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llda\OneDrive\Documentos\Publicaciones Transparencia\"/>
    </mc:Choice>
  </mc:AlternateContent>
  <bookViews>
    <workbookView xWindow="0" yWindow="0" windowWidth="19200" windowHeight="6930"/>
  </bookViews>
  <sheets>
    <sheet name="Resumen" sheetId="2" r:id="rId1"/>
    <sheet name="Georreferencias" sheetId="1" r:id="rId2"/>
  </sheets>
  <definedNames>
    <definedName name="_xlnm.Print_Titles" localSheetId="1">Georreferencias!$1:$4</definedName>
    <definedName name="_xlnm.Print_Titles" localSheetId="0">Resumen!$1:$4</definedName>
  </definedNames>
  <calcPr calcId="999999"/>
</workbook>
</file>

<file path=xl/calcChain.xml><?xml version="1.0" encoding="utf-8"?>
<calcChain xmlns="http://schemas.openxmlformats.org/spreadsheetml/2006/main">
  <c r="L14178" i="1" l="1"/>
  <c r="L14177" i="1"/>
  <c r="L14176" i="1"/>
  <c r="L14175" i="1"/>
  <c r="L14174" i="1"/>
  <c r="L14173" i="1"/>
  <c r="L14172" i="1"/>
  <c r="L14171" i="1"/>
  <c r="L14170" i="1"/>
  <c r="L14169" i="1"/>
  <c r="L14168" i="1"/>
  <c r="L14167" i="1"/>
  <c r="L14166" i="1"/>
  <c r="L14165" i="1"/>
  <c r="L14164" i="1"/>
  <c r="L14163" i="1"/>
  <c r="L14162" i="1"/>
  <c r="L14161" i="1"/>
  <c r="L14160" i="1"/>
  <c r="L14159" i="1"/>
  <c r="L14158" i="1"/>
  <c r="L14157" i="1"/>
  <c r="L14156" i="1"/>
  <c r="L14155" i="1"/>
  <c r="L14154" i="1"/>
  <c r="L14153" i="1"/>
  <c r="L14152" i="1"/>
  <c r="L14151" i="1"/>
  <c r="L14150" i="1"/>
  <c r="L14149" i="1"/>
  <c r="L14148" i="1"/>
  <c r="L14147" i="1"/>
  <c r="L14146" i="1"/>
  <c r="L14145" i="1"/>
  <c r="L14144" i="1"/>
  <c r="L14143" i="1"/>
  <c r="L14142" i="1"/>
  <c r="L14141" i="1"/>
  <c r="L14140" i="1"/>
  <c r="L14139" i="1"/>
  <c r="L14138" i="1"/>
  <c r="L14137" i="1"/>
  <c r="L14136" i="1"/>
  <c r="L14135" i="1"/>
  <c r="L14134" i="1"/>
  <c r="L14133" i="1"/>
  <c r="L14132" i="1"/>
  <c r="L14131" i="1"/>
  <c r="L14130" i="1"/>
  <c r="L14129" i="1"/>
  <c r="L14128" i="1"/>
  <c r="L14127" i="1"/>
  <c r="L14126" i="1"/>
  <c r="L14125" i="1"/>
  <c r="L14124" i="1"/>
  <c r="L14123" i="1"/>
  <c r="L14122" i="1"/>
  <c r="L14121" i="1"/>
  <c r="L14120" i="1"/>
  <c r="L14119" i="1"/>
  <c r="L14118" i="1"/>
  <c r="L14117" i="1"/>
  <c r="L14116" i="1"/>
  <c r="L14115" i="1"/>
  <c r="L14114" i="1"/>
  <c r="L14113" i="1"/>
  <c r="L14112" i="1"/>
  <c r="L14111" i="1"/>
  <c r="L14110" i="1"/>
  <c r="L14109" i="1"/>
  <c r="L14108" i="1"/>
  <c r="L14107" i="1"/>
  <c r="L14106" i="1"/>
  <c r="L14105" i="1"/>
  <c r="L14104" i="1"/>
  <c r="L14103" i="1"/>
  <c r="L14102" i="1"/>
  <c r="L14101" i="1"/>
  <c r="L14100" i="1"/>
  <c r="L14099" i="1"/>
  <c r="L14098" i="1"/>
  <c r="L14097" i="1"/>
  <c r="L14096" i="1"/>
  <c r="L14095" i="1"/>
  <c r="L14094" i="1"/>
  <c r="L14093" i="1"/>
  <c r="L14092" i="1"/>
  <c r="L14091" i="1"/>
  <c r="L14090" i="1"/>
  <c r="L14089" i="1"/>
  <c r="L14088" i="1"/>
  <c r="L14087" i="1"/>
  <c r="L14086" i="1"/>
  <c r="L14085" i="1"/>
  <c r="L14084" i="1"/>
  <c r="L14083" i="1"/>
  <c r="L14082" i="1"/>
  <c r="L14081" i="1"/>
  <c r="L14080" i="1"/>
  <c r="L14079" i="1"/>
  <c r="L14078" i="1"/>
  <c r="L14077" i="1"/>
  <c r="L14076" i="1"/>
  <c r="L14075" i="1"/>
  <c r="L14074" i="1"/>
  <c r="L14073" i="1"/>
  <c r="L14072" i="1"/>
  <c r="L14071" i="1"/>
  <c r="L14070" i="1"/>
  <c r="L14069" i="1"/>
  <c r="L14068" i="1"/>
  <c r="L14067" i="1"/>
  <c r="L14066" i="1"/>
  <c r="L14065" i="1"/>
  <c r="L14064" i="1"/>
  <c r="L14063" i="1"/>
  <c r="L14062" i="1"/>
  <c r="L14061" i="1"/>
  <c r="L14060" i="1"/>
  <c r="L14059" i="1"/>
  <c r="L14058" i="1"/>
  <c r="L14057" i="1"/>
  <c r="L14056" i="1"/>
  <c r="L14055" i="1"/>
  <c r="L14054" i="1"/>
  <c r="L14053" i="1"/>
  <c r="L14052" i="1"/>
  <c r="L14051" i="1"/>
  <c r="L14050" i="1"/>
  <c r="L14049" i="1"/>
  <c r="L14048" i="1"/>
  <c r="L14047" i="1"/>
  <c r="L14046" i="1"/>
  <c r="L14045" i="1"/>
  <c r="L14044" i="1"/>
  <c r="L14043" i="1"/>
  <c r="L14042" i="1"/>
  <c r="L14041" i="1"/>
  <c r="L14040" i="1"/>
  <c r="L14039" i="1"/>
  <c r="L14038" i="1"/>
  <c r="L14037" i="1"/>
  <c r="L14036" i="1"/>
  <c r="L14035" i="1"/>
  <c r="L14034" i="1"/>
  <c r="L14033" i="1"/>
  <c r="L14032" i="1"/>
  <c r="L14031" i="1"/>
  <c r="L14030" i="1"/>
  <c r="L14029" i="1"/>
  <c r="L14028" i="1"/>
  <c r="L14027" i="1"/>
  <c r="L14026" i="1"/>
  <c r="L14025" i="1"/>
  <c r="L14024" i="1"/>
  <c r="L14023" i="1"/>
  <c r="L14022" i="1"/>
  <c r="L14021" i="1"/>
  <c r="L14020" i="1"/>
  <c r="L14019" i="1"/>
  <c r="L14018" i="1"/>
  <c r="L14017" i="1"/>
  <c r="L14016" i="1"/>
  <c r="L14015" i="1"/>
  <c r="L14014" i="1"/>
  <c r="L14013" i="1"/>
  <c r="L14012" i="1"/>
  <c r="L14011" i="1"/>
  <c r="L14010" i="1"/>
  <c r="L14009" i="1"/>
  <c r="L14008" i="1"/>
  <c r="L14007" i="1"/>
  <c r="L14006" i="1"/>
  <c r="L14005" i="1"/>
  <c r="L14004" i="1"/>
  <c r="L14003" i="1"/>
  <c r="L14002" i="1"/>
  <c r="L14001" i="1"/>
  <c r="L14000" i="1"/>
  <c r="L13999" i="1"/>
  <c r="L13998" i="1"/>
  <c r="L13997" i="1"/>
  <c r="L13996" i="1"/>
  <c r="L13995" i="1"/>
  <c r="L13994" i="1"/>
  <c r="L13993" i="1"/>
  <c r="L13992" i="1"/>
  <c r="L13991" i="1"/>
  <c r="L13990" i="1"/>
  <c r="L13989" i="1"/>
  <c r="L13988" i="1"/>
  <c r="L13987" i="1"/>
  <c r="L13986" i="1"/>
  <c r="L13985" i="1"/>
  <c r="L13984" i="1"/>
  <c r="L13983" i="1"/>
  <c r="L13982" i="1"/>
  <c r="L13981" i="1"/>
  <c r="L13980" i="1"/>
  <c r="L13979" i="1"/>
  <c r="L13978" i="1"/>
  <c r="L13977" i="1"/>
  <c r="L13976" i="1"/>
  <c r="L13975" i="1"/>
  <c r="L13974" i="1"/>
  <c r="L13973" i="1"/>
  <c r="L13972" i="1"/>
  <c r="L13971" i="1"/>
  <c r="L13970" i="1"/>
  <c r="L13969" i="1"/>
  <c r="L13968" i="1"/>
  <c r="L13967" i="1"/>
  <c r="L13966" i="1"/>
  <c r="L13965" i="1"/>
  <c r="L13964" i="1"/>
  <c r="L13963" i="1"/>
  <c r="L13962" i="1"/>
  <c r="L13961" i="1"/>
  <c r="L13960" i="1"/>
  <c r="L13959" i="1"/>
  <c r="L13958" i="1"/>
  <c r="L13957" i="1"/>
  <c r="L13956" i="1"/>
  <c r="L13955" i="1"/>
  <c r="L13954" i="1"/>
  <c r="L13953" i="1"/>
  <c r="L13952" i="1"/>
  <c r="L13951" i="1"/>
  <c r="L13950" i="1"/>
  <c r="L13949" i="1"/>
  <c r="L13948" i="1"/>
  <c r="L13947" i="1"/>
  <c r="L13946" i="1"/>
  <c r="L13945" i="1"/>
  <c r="L13944" i="1"/>
  <c r="L13943" i="1"/>
  <c r="L13942" i="1"/>
  <c r="L13941" i="1"/>
  <c r="L13940" i="1"/>
  <c r="L13939" i="1"/>
  <c r="L13938" i="1"/>
  <c r="L13937" i="1"/>
  <c r="L13936" i="1"/>
  <c r="L13935" i="1"/>
  <c r="L13934" i="1"/>
  <c r="L13933" i="1"/>
  <c r="L13932" i="1"/>
  <c r="L13931" i="1"/>
  <c r="L13930" i="1"/>
  <c r="L13929" i="1"/>
  <c r="L13928" i="1"/>
  <c r="L13927" i="1"/>
  <c r="L13926" i="1"/>
  <c r="L13925" i="1"/>
  <c r="L13924" i="1"/>
  <c r="L13923" i="1"/>
  <c r="L13922" i="1"/>
  <c r="L13921" i="1"/>
  <c r="L13920" i="1"/>
  <c r="L13919" i="1"/>
  <c r="L13918" i="1"/>
  <c r="L13917" i="1"/>
  <c r="L13916" i="1"/>
  <c r="L13915" i="1"/>
  <c r="L13914" i="1"/>
  <c r="L13913" i="1"/>
  <c r="L13912" i="1"/>
  <c r="L13911" i="1"/>
  <c r="L13910" i="1"/>
  <c r="L13909" i="1"/>
  <c r="L13908" i="1"/>
  <c r="L13907" i="1"/>
  <c r="L13906" i="1"/>
  <c r="L13905" i="1"/>
  <c r="L13904" i="1"/>
  <c r="L13903" i="1"/>
  <c r="L13902" i="1"/>
  <c r="L13901" i="1"/>
  <c r="L13900" i="1"/>
  <c r="L13899" i="1"/>
  <c r="L13898" i="1"/>
  <c r="L13897" i="1"/>
  <c r="L13896" i="1"/>
  <c r="L13895" i="1"/>
  <c r="L13894" i="1"/>
  <c r="L13893" i="1"/>
  <c r="L13892" i="1"/>
  <c r="L13891" i="1"/>
  <c r="L13890" i="1"/>
  <c r="L13889" i="1"/>
  <c r="L13888" i="1"/>
  <c r="L13887" i="1"/>
  <c r="L13886" i="1"/>
  <c r="L13885" i="1"/>
  <c r="L13884" i="1"/>
  <c r="L13883" i="1"/>
  <c r="L13882" i="1"/>
  <c r="L13881" i="1"/>
  <c r="L13880" i="1"/>
  <c r="L13879" i="1"/>
  <c r="L13878" i="1"/>
  <c r="L13877" i="1"/>
  <c r="L13876" i="1"/>
  <c r="L13875" i="1"/>
  <c r="L13874" i="1"/>
  <c r="L13873" i="1"/>
  <c r="L13872" i="1"/>
  <c r="L13871" i="1"/>
  <c r="L13870" i="1"/>
  <c r="L13869" i="1"/>
  <c r="L13868" i="1"/>
  <c r="L13867" i="1"/>
  <c r="L13866" i="1"/>
  <c r="L13865" i="1"/>
  <c r="L13864" i="1"/>
  <c r="L13863" i="1"/>
  <c r="L13862" i="1"/>
  <c r="L13861" i="1"/>
  <c r="L13860" i="1"/>
  <c r="L13859" i="1"/>
  <c r="L13858" i="1"/>
  <c r="L13857" i="1"/>
  <c r="L13856" i="1"/>
  <c r="L13855" i="1"/>
  <c r="L13854" i="1"/>
  <c r="L13853" i="1"/>
  <c r="L13852" i="1"/>
  <c r="L13851" i="1"/>
  <c r="L13850" i="1"/>
  <c r="L13849" i="1"/>
  <c r="L13848" i="1"/>
  <c r="L13847" i="1"/>
  <c r="L13846" i="1"/>
  <c r="L13845" i="1"/>
  <c r="L13844" i="1"/>
  <c r="L13843" i="1"/>
  <c r="L13842" i="1"/>
  <c r="L13841" i="1"/>
  <c r="L13840" i="1"/>
  <c r="L13839" i="1"/>
  <c r="L13838" i="1"/>
  <c r="L13837" i="1"/>
  <c r="L13836" i="1"/>
  <c r="L13835" i="1"/>
  <c r="L13834" i="1"/>
  <c r="L13833" i="1"/>
  <c r="L13832" i="1"/>
  <c r="L13831" i="1"/>
  <c r="L13830" i="1"/>
  <c r="L13829" i="1"/>
  <c r="L13828" i="1"/>
  <c r="L13827" i="1"/>
  <c r="L13826" i="1"/>
  <c r="L13825" i="1"/>
  <c r="L13824" i="1"/>
  <c r="L13823" i="1"/>
  <c r="L13822" i="1"/>
  <c r="L13821" i="1"/>
  <c r="L13820" i="1"/>
  <c r="L13819" i="1"/>
  <c r="L13818" i="1"/>
  <c r="L13817" i="1"/>
  <c r="L13816" i="1"/>
  <c r="L13815" i="1"/>
  <c r="L13814" i="1"/>
  <c r="L13813" i="1"/>
  <c r="L13812" i="1"/>
  <c r="L13811" i="1"/>
  <c r="L13810" i="1"/>
  <c r="L13809" i="1"/>
  <c r="L13808" i="1"/>
  <c r="L13807" i="1"/>
  <c r="L13806" i="1"/>
  <c r="L13805" i="1"/>
  <c r="L13804" i="1"/>
  <c r="L13803" i="1"/>
  <c r="L13802" i="1"/>
  <c r="L13801" i="1"/>
  <c r="L13800" i="1"/>
  <c r="L13799" i="1"/>
  <c r="L13798" i="1"/>
  <c r="L13797" i="1"/>
  <c r="L13796" i="1"/>
  <c r="L13795" i="1"/>
  <c r="L13794" i="1"/>
  <c r="L13793" i="1"/>
  <c r="L13792" i="1"/>
  <c r="L13791" i="1"/>
  <c r="L13790" i="1"/>
  <c r="L13789" i="1"/>
  <c r="L13788" i="1"/>
  <c r="L13787" i="1"/>
  <c r="L13786" i="1"/>
  <c r="L13785" i="1"/>
  <c r="L13784" i="1"/>
  <c r="L13783" i="1"/>
  <c r="L13782" i="1"/>
  <c r="L13781" i="1"/>
  <c r="L13780" i="1"/>
  <c r="L13779" i="1"/>
  <c r="L13778" i="1"/>
  <c r="L13777" i="1"/>
  <c r="L13776" i="1"/>
  <c r="L13775" i="1"/>
  <c r="L13774" i="1"/>
  <c r="L13773" i="1"/>
  <c r="L13772" i="1"/>
  <c r="L13771" i="1"/>
  <c r="L13770" i="1"/>
  <c r="L13769" i="1"/>
  <c r="L13768" i="1"/>
  <c r="L13767" i="1"/>
  <c r="L13766" i="1"/>
  <c r="L13765" i="1"/>
  <c r="L13764" i="1"/>
  <c r="L13763" i="1"/>
  <c r="L13762" i="1"/>
  <c r="L13761" i="1"/>
  <c r="L13760" i="1"/>
  <c r="L13759" i="1"/>
  <c r="L13758" i="1"/>
  <c r="L13757" i="1"/>
  <c r="L13756" i="1"/>
  <c r="L13755" i="1"/>
  <c r="L13754" i="1"/>
  <c r="L13753" i="1"/>
  <c r="L13752" i="1"/>
  <c r="L13751" i="1"/>
  <c r="L13750" i="1"/>
  <c r="L13749" i="1"/>
  <c r="L13748" i="1"/>
  <c r="L13747" i="1"/>
  <c r="L13746" i="1"/>
  <c r="L13745" i="1"/>
  <c r="L13744" i="1"/>
  <c r="L13743" i="1"/>
  <c r="L13742" i="1"/>
  <c r="L13741" i="1"/>
  <c r="L13740" i="1"/>
  <c r="L13739" i="1"/>
  <c r="L13738" i="1"/>
  <c r="L13737" i="1"/>
  <c r="L13736" i="1"/>
  <c r="L13735" i="1"/>
  <c r="L13734" i="1"/>
  <c r="L13733" i="1"/>
  <c r="L13732" i="1"/>
  <c r="L13731" i="1"/>
  <c r="L13730" i="1"/>
  <c r="L13729" i="1"/>
  <c r="L13728" i="1"/>
  <c r="L13727" i="1"/>
  <c r="L13726" i="1"/>
  <c r="L13725" i="1"/>
  <c r="L13724" i="1"/>
  <c r="L13723" i="1"/>
  <c r="L13722" i="1"/>
  <c r="L13721" i="1"/>
  <c r="L13720" i="1"/>
  <c r="L13719" i="1"/>
  <c r="L13718" i="1"/>
  <c r="L13717" i="1"/>
  <c r="L13716" i="1"/>
  <c r="L13715" i="1"/>
  <c r="L13714" i="1"/>
  <c r="L13713" i="1"/>
  <c r="L13712" i="1"/>
  <c r="L13711" i="1"/>
  <c r="L13710" i="1"/>
  <c r="L13709" i="1"/>
  <c r="L13708" i="1"/>
  <c r="L13707" i="1"/>
  <c r="L13706" i="1"/>
  <c r="L13705" i="1"/>
  <c r="L13704" i="1"/>
  <c r="L13703" i="1"/>
  <c r="L13702" i="1"/>
  <c r="L13701" i="1"/>
  <c r="L13700" i="1"/>
  <c r="L13699" i="1"/>
  <c r="L13698" i="1"/>
  <c r="L13697" i="1"/>
  <c r="L13696" i="1"/>
  <c r="L13695" i="1"/>
  <c r="L13694" i="1"/>
  <c r="L13693" i="1"/>
  <c r="L13692" i="1"/>
  <c r="L13691" i="1"/>
  <c r="L13690" i="1"/>
  <c r="L13689" i="1"/>
  <c r="L13688" i="1"/>
  <c r="L13687" i="1"/>
  <c r="L13686" i="1"/>
  <c r="L13685" i="1"/>
  <c r="L13684" i="1"/>
  <c r="L13683" i="1"/>
  <c r="L13682" i="1"/>
  <c r="L13681" i="1"/>
  <c r="L13680" i="1"/>
  <c r="L13679" i="1"/>
  <c r="L13678" i="1"/>
  <c r="L13677" i="1"/>
  <c r="L13676" i="1"/>
  <c r="L13675" i="1"/>
  <c r="L13674" i="1"/>
  <c r="L13673" i="1"/>
  <c r="L13672" i="1"/>
  <c r="L13671" i="1"/>
  <c r="L13670" i="1"/>
  <c r="L13669" i="1"/>
  <c r="L13668" i="1"/>
  <c r="L13667" i="1"/>
  <c r="L13666" i="1"/>
  <c r="L13665" i="1"/>
  <c r="L13664" i="1"/>
  <c r="L13663" i="1"/>
  <c r="L13662" i="1"/>
  <c r="L13661" i="1"/>
  <c r="L13660" i="1"/>
  <c r="L13659" i="1"/>
  <c r="L13658" i="1"/>
  <c r="L13657" i="1"/>
  <c r="L13656" i="1"/>
  <c r="L13655" i="1"/>
  <c r="L13654" i="1"/>
  <c r="L13653" i="1"/>
  <c r="L13652" i="1"/>
  <c r="L13651" i="1"/>
  <c r="L13650" i="1"/>
  <c r="L13649" i="1"/>
  <c r="L13648" i="1"/>
  <c r="L13647" i="1"/>
  <c r="L13646" i="1"/>
  <c r="L13645" i="1"/>
  <c r="L13644" i="1"/>
  <c r="L13643" i="1"/>
  <c r="L13642" i="1"/>
  <c r="L13641" i="1"/>
  <c r="L13640" i="1"/>
  <c r="L13639" i="1"/>
  <c r="L13638" i="1"/>
  <c r="L13637" i="1"/>
  <c r="L13636" i="1"/>
  <c r="L13635" i="1"/>
  <c r="L13634" i="1"/>
  <c r="L13633" i="1"/>
  <c r="L13632" i="1"/>
  <c r="L13631" i="1"/>
  <c r="L13630" i="1"/>
  <c r="L13629" i="1"/>
  <c r="L13628" i="1"/>
  <c r="L13627" i="1"/>
  <c r="L13626" i="1"/>
  <c r="L13625" i="1"/>
  <c r="L13624" i="1"/>
  <c r="L13623" i="1"/>
  <c r="L13622" i="1"/>
  <c r="L13621" i="1"/>
  <c r="L13620" i="1"/>
  <c r="L13619" i="1"/>
  <c r="L13618" i="1"/>
  <c r="L13617" i="1"/>
  <c r="L13616" i="1"/>
  <c r="L13615" i="1"/>
  <c r="L13614" i="1"/>
  <c r="L13613" i="1"/>
  <c r="L13612" i="1"/>
  <c r="L13611" i="1"/>
  <c r="L13610" i="1"/>
  <c r="L13609" i="1"/>
  <c r="L13608" i="1"/>
  <c r="L13607" i="1"/>
  <c r="L13606" i="1"/>
  <c r="L13605" i="1"/>
  <c r="L13604" i="1"/>
  <c r="L13603" i="1"/>
  <c r="L13602" i="1"/>
  <c r="L13601" i="1"/>
  <c r="L13600" i="1"/>
  <c r="L13599" i="1"/>
  <c r="L13598" i="1"/>
  <c r="L13597" i="1"/>
  <c r="L13596" i="1"/>
  <c r="L13595" i="1"/>
  <c r="L13594" i="1"/>
  <c r="L13593" i="1"/>
  <c r="L13592" i="1"/>
  <c r="L13591" i="1"/>
  <c r="L13590" i="1"/>
  <c r="L13589" i="1"/>
  <c r="L13588" i="1"/>
  <c r="L13587" i="1"/>
  <c r="L13586" i="1"/>
  <c r="L13585" i="1"/>
  <c r="L13584" i="1"/>
  <c r="L13583" i="1"/>
  <c r="L13582" i="1"/>
  <c r="L13581" i="1"/>
  <c r="L13580" i="1"/>
  <c r="L13579" i="1"/>
  <c r="L13578" i="1"/>
  <c r="L13577" i="1"/>
  <c r="L13576" i="1"/>
  <c r="L13575" i="1"/>
  <c r="L13574" i="1"/>
  <c r="L13573" i="1"/>
  <c r="L13572" i="1"/>
  <c r="L13571" i="1"/>
  <c r="L13570" i="1"/>
  <c r="L13569" i="1"/>
  <c r="L13568" i="1"/>
  <c r="L13567" i="1"/>
  <c r="L13566" i="1"/>
  <c r="L13565" i="1"/>
  <c r="L13564" i="1"/>
  <c r="L13563" i="1"/>
  <c r="L13562" i="1"/>
  <c r="L13561" i="1"/>
  <c r="L13560" i="1"/>
  <c r="L13559" i="1"/>
  <c r="L13558" i="1"/>
  <c r="L13557" i="1"/>
  <c r="L13556" i="1"/>
  <c r="L13555" i="1"/>
  <c r="L13554" i="1"/>
  <c r="L13553" i="1"/>
  <c r="L13552" i="1"/>
  <c r="L13551" i="1"/>
  <c r="L13550" i="1"/>
  <c r="L13549" i="1"/>
  <c r="L13548" i="1"/>
  <c r="L13547" i="1"/>
  <c r="L13546" i="1"/>
  <c r="L13545" i="1"/>
  <c r="L13544" i="1"/>
  <c r="L13543" i="1"/>
  <c r="L13542" i="1"/>
  <c r="L13541" i="1"/>
  <c r="L13540" i="1"/>
  <c r="L13539" i="1"/>
  <c r="L13538" i="1"/>
  <c r="L13537" i="1"/>
  <c r="L13536" i="1"/>
  <c r="L13535" i="1"/>
  <c r="L13534" i="1"/>
  <c r="L13533" i="1"/>
  <c r="L13532" i="1"/>
  <c r="L13531" i="1"/>
  <c r="L13530" i="1"/>
  <c r="L13529" i="1"/>
  <c r="L13528" i="1"/>
  <c r="L13527" i="1"/>
  <c r="L13526" i="1"/>
  <c r="L13525" i="1"/>
  <c r="L13524" i="1"/>
  <c r="L13523" i="1"/>
  <c r="L13522" i="1"/>
  <c r="L13521" i="1"/>
  <c r="L13520" i="1"/>
  <c r="L13519" i="1"/>
  <c r="L13518" i="1"/>
  <c r="L13517" i="1"/>
  <c r="L13516" i="1"/>
  <c r="L13515" i="1"/>
  <c r="L13514" i="1"/>
  <c r="L13513" i="1"/>
  <c r="L13512" i="1"/>
  <c r="L13511" i="1"/>
  <c r="L13510" i="1"/>
  <c r="L13509" i="1"/>
  <c r="L13508" i="1"/>
  <c r="L13507" i="1"/>
  <c r="L13506" i="1"/>
  <c r="L13505" i="1"/>
  <c r="L13504" i="1"/>
  <c r="L13503" i="1"/>
  <c r="L13502" i="1"/>
  <c r="L13501" i="1"/>
  <c r="L13500" i="1"/>
  <c r="L13499" i="1"/>
  <c r="L13498" i="1"/>
  <c r="L13497" i="1"/>
  <c r="L13496" i="1"/>
  <c r="L13495" i="1"/>
  <c r="L13494" i="1"/>
  <c r="L13493" i="1"/>
  <c r="L13492" i="1"/>
  <c r="L13491" i="1"/>
  <c r="L13490" i="1"/>
  <c r="L13489" i="1"/>
  <c r="L13488" i="1"/>
  <c r="L13487" i="1"/>
  <c r="L13486" i="1"/>
  <c r="L13485" i="1"/>
  <c r="L13484" i="1"/>
  <c r="L13483" i="1"/>
  <c r="L13482" i="1"/>
  <c r="L13481" i="1"/>
  <c r="L13480" i="1"/>
  <c r="L13479" i="1"/>
  <c r="L13478" i="1"/>
  <c r="L13477" i="1"/>
  <c r="L13476" i="1"/>
  <c r="L13475" i="1"/>
  <c r="L13474" i="1"/>
  <c r="L13473" i="1"/>
  <c r="L13472" i="1"/>
  <c r="L13471" i="1"/>
  <c r="L13470" i="1"/>
  <c r="L13469" i="1"/>
  <c r="L13468" i="1"/>
  <c r="L13467" i="1"/>
  <c r="L13466" i="1"/>
  <c r="L13465" i="1"/>
  <c r="L13464" i="1"/>
  <c r="L13463" i="1"/>
  <c r="L13462" i="1"/>
  <c r="L13461" i="1"/>
  <c r="L13460" i="1"/>
  <c r="L13459" i="1"/>
  <c r="L13458" i="1"/>
  <c r="L13457" i="1"/>
  <c r="L13456" i="1"/>
  <c r="L13455" i="1"/>
  <c r="L13454" i="1"/>
  <c r="L13453" i="1"/>
  <c r="L13452" i="1"/>
  <c r="L13451" i="1"/>
  <c r="L13450" i="1"/>
  <c r="L13449" i="1"/>
  <c r="L13448" i="1"/>
  <c r="L13447" i="1"/>
  <c r="L13446" i="1"/>
  <c r="L13445" i="1"/>
  <c r="L13444" i="1"/>
  <c r="L13443" i="1"/>
  <c r="L13442" i="1"/>
  <c r="L13441" i="1"/>
  <c r="L13440" i="1"/>
  <c r="L13439" i="1"/>
  <c r="L13438" i="1"/>
  <c r="L13437" i="1"/>
  <c r="L13436" i="1"/>
  <c r="L13435" i="1"/>
  <c r="L13434" i="1"/>
  <c r="L13433" i="1"/>
  <c r="L13432" i="1"/>
  <c r="L13431" i="1"/>
  <c r="L13430" i="1"/>
  <c r="L13429" i="1"/>
  <c r="L13428" i="1"/>
  <c r="L13427" i="1"/>
  <c r="L13426" i="1"/>
  <c r="L13425" i="1"/>
  <c r="L13424" i="1"/>
  <c r="L13423" i="1"/>
  <c r="L13422" i="1"/>
  <c r="L13421" i="1"/>
  <c r="L13420" i="1"/>
  <c r="L13419" i="1"/>
  <c r="L13418" i="1"/>
  <c r="L13417" i="1"/>
  <c r="L13416" i="1"/>
  <c r="L13415" i="1"/>
  <c r="L13414" i="1"/>
  <c r="L13413" i="1"/>
  <c r="L13412" i="1"/>
  <c r="L13411" i="1"/>
  <c r="L13410" i="1"/>
  <c r="L13409" i="1"/>
  <c r="L13408" i="1"/>
  <c r="L13407" i="1"/>
  <c r="L13406" i="1"/>
  <c r="L13405" i="1"/>
  <c r="L13404" i="1"/>
  <c r="L13403" i="1"/>
  <c r="L13402" i="1"/>
  <c r="L13401" i="1"/>
  <c r="L13400" i="1"/>
  <c r="L13399" i="1"/>
  <c r="L13398" i="1"/>
  <c r="L13397" i="1"/>
  <c r="L13396" i="1"/>
  <c r="L13395" i="1"/>
  <c r="L13394" i="1"/>
  <c r="L13393" i="1"/>
  <c r="L13392" i="1"/>
  <c r="L13391" i="1"/>
  <c r="L13390" i="1"/>
  <c r="L13389" i="1"/>
  <c r="L13388" i="1"/>
  <c r="L13387" i="1"/>
  <c r="L13386" i="1"/>
  <c r="L13385" i="1"/>
  <c r="L13384" i="1"/>
  <c r="L13383" i="1"/>
  <c r="L13382" i="1"/>
  <c r="L13381" i="1"/>
  <c r="L13380" i="1"/>
  <c r="L13379" i="1"/>
  <c r="L13378" i="1"/>
  <c r="L13377" i="1"/>
  <c r="L13376" i="1"/>
  <c r="L13375" i="1"/>
  <c r="L13374" i="1"/>
  <c r="L13373" i="1"/>
  <c r="L13372" i="1"/>
  <c r="L13371" i="1"/>
  <c r="L13370" i="1"/>
  <c r="L13369" i="1"/>
  <c r="L13368" i="1"/>
  <c r="L13367" i="1"/>
  <c r="L13366" i="1"/>
  <c r="L13365" i="1"/>
  <c r="L13364" i="1"/>
  <c r="L13363" i="1"/>
  <c r="L13362" i="1"/>
  <c r="L13361" i="1"/>
  <c r="L13360" i="1"/>
  <c r="L13359" i="1"/>
  <c r="L13358" i="1"/>
  <c r="L13357" i="1"/>
  <c r="L13356" i="1"/>
  <c r="L13355" i="1"/>
  <c r="L13354" i="1"/>
  <c r="L13353" i="1"/>
  <c r="L13352" i="1"/>
  <c r="L13351" i="1"/>
  <c r="L13350" i="1"/>
  <c r="L13349" i="1"/>
  <c r="L13348" i="1"/>
  <c r="L13347" i="1"/>
  <c r="L13346" i="1"/>
  <c r="L13345" i="1"/>
  <c r="L13344" i="1"/>
  <c r="L13343" i="1"/>
  <c r="L13342" i="1"/>
  <c r="L13341" i="1"/>
  <c r="L13340" i="1"/>
  <c r="L13339" i="1"/>
  <c r="L13338" i="1"/>
  <c r="L13337" i="1"/>
  <c r="L13336" i="1"/>
  <c r="L13335" i="1"/>
  <c r="L13334" i="1"/>
  <c r="L13333" i="1"/>
  <c r="L13332" i="1"/>
  <c r="L13331" i="1"/>
  <c r="L13330" i="1"/>
  <c r="L13329" i="1"/>
  <c r="L13328" i="1"/>
  <c r="L13327" i="1"/>
  <c r="L13326" i="1"/>
  <c r="L13325" i="1"/>
  <c r="L13324" i="1"/>
  <c r="L13323" i="1"/>
  <c r="L13322" i="1"/>
  <c r="L13321" i="1"/>
  <c r="L13320" i="1"/>
  <c r="L13319" i="1"/>
  <c r="L13318" i="1"/>
  <c r="L13317" i="1"/>
  <c r="L13316" i="1"/>
  <c r="L13315" i="1"/>
  <c r="L13314" i="1"/>
  <c r="L13313" i="1"/>
  <c r="L13312" i="1"/>
  <c r="L13311" i="1"/>
  <c r="L13310" i="1"/>
  <c r="L13309" i="1"/>
  <c r="L13308" i="1"/>
  <c r="L13307" i="1"/>
  <c r="L13306" i="1"/>
  <c r="L13305" i="1"/>
  <c r="L13304" i="1"/>
  <c r="L13303" i="1"/>
  <c r="L13302" i="1"/>
  <c r="L13301" i="1"/>
  <c r="L13300" i="1"/>
  <c r="L13299" i="1"/>
  <c r="L13298" i="1"/>
  <c r="L13297" i="1"/>
  <c r="L13296" i="1"/>
  <c r="L13295" i="1"/>
  <c r="L13294" i="1"/>
  <c r="L13293" i="1"/>
  <c r="L13292" i="1"/>
  <c r="L13291" i="1"/>
  <c r="L13290" i="1"/>
  <c r="L13289" i="1"/>
  <c r="L13288" i="1"/>
  <c r="L13287" i="1"/>
  <c r="L13286" i="1"/>
  <c r="L13285" i="1"/>
  <c r="L13284" i="1"/>
  <c r="L13283" i="1"/>
  <c r="L13282" i="1"/>
  <c r="L13281" i="1"/>
  <c r="L13280" i="1"/>
  <c r="L13279" i="1"/>
  <c r="L13278" i="1"/>
  <c r="L13277" i="1"/>
  <c r="L13276" i="1"/>
  <c r="L13275" i="1"/>
  <c r="L13274" i="1"/>
  <c r="L13273" i="1"/>
  <c r="L13272" i="1"/>
  <c r="L13271" i="1"/>
  <c r="L13270" i="1"/>
  <c r="L13269" i="1"/>
  <c r="L13268" i="1"/>
  <c r="L13267" i="1"/>
  <c r="L13266" i="1"/>
  <c r="L13265" i="1"/>
  <c r="L13264" i="1"/>
  <c r="L13263" i="1"/>
  <c r="L13262" i="1"/>
  <c r="L13261" i="1"/>
  <c r="L13260" i="1"/>
  <c r="L13259" i="1"/>
  <c r="L13258" i="1"/>
  <c r="L13257" i="1"/>
  <c r="L13256" i="1"/>
  <c r="L13255" i="1"/>
  <c r="L13254" i="1"/>
  <c r="L13253" i="1"/>
  <c r="L13252" i="1"/>
  <c r="L13251" i="1"/>
  <c r="L13250" i="1"/>
  <c r="L13249" i="1"/>
  <c r="L13248" i="1"/>
  <c r="L13247" i="1"/>
  <c r="L13246" i="1"/>
  <c r="L13245" i="1"/>
  <c r="L13244" i="1"/>
  <c r="L13243" i="1"/>
  <c r="L13242" i="1"/>
  <c r="L13241" i="1"/>
  <c r="L13240" i="1"/>
  <c r="L13239" i="1"/>
  <c r="L13238" i="1"/>
  <c r="L13237" i="1"/>
  <c r="L13236" i="1"/>
  <c r="L13235" i="1"/>
  <c r="L13234" i="1"/>
  <c r="L13233" i="1"/>
  <c r="L13232" i="1"/>
  <c r="L13231" i="1"/>
  <c r="L13230" i="1"/>
  <c r="L13229" i="1"/>
  <c r="L13228" i="1"/>
  <c r="L13227" i="1"/>
  <c r="L13226" i="1"/>
  <c r="L13225" i="1"/>
  <c r="L13224" i="1"/>
  <c r="L13223" i="1"/>
  <c r="L13222" i="1"/>
  <c r="L13221" i="1"/>
  <c r="L13220" i="1"/>
  <c r="L13219" i="1"/>
  <c r="L13218" i="1"/>
  <c r="L13217" i="1"/>
  <c r="L13216" i="1"/>
  <c r="L13215" i="1"/>
  <c r="L13214" i="1"/>
  <c r="L13213" i="1"/>
  <c r="L13212" i="1"/>
  <c r="L13211" i="1"/>
  <c r="L13210" i="1"/>
  <c r="L13209" i="1"/>
  <c r="L13208" i="1"/>
  <c r="L13207" i="1"/>
  <c r="L13206" i="1"/>
  <c r="L13205" i="1"/>
  <c r="L13204" i="1"/>
  <c r="L13203" i="1"/>
  <c r="L13202" i="1"/>
  <c r="L13201" i="1"/>
  <c r="L13200" i="1"/>
  <c r="L13199" i="1"/>
  <c r="L13198" i="1"/>
  <c r="L13197" i="1"/>
  <c r="L13196" i="1"/>
  <c r="L13195" i="1"/>
  <c r="L13194" i="1"/>
  <c r="L13193" i="1"/>
  <c r="L13192" i="1"/>
  <c r="L13191" i="1"/>
  <c r="L13190" i="1"/>
  <c r="L13189" i="1"/>
  <c r="L13188" i="1"/>
  <c r="L13187" i="1"/>
  <c r="L13186" i="1"/>
  <c r="L13185" i="1"/>
  <c r="L13184" i="1"/>
  <c r="L13183" i="1"/>
  <c r="L13182" i="1"/>
  <c r="L13181" i="1"/>
  <c r="L13180" i="1"/>
  <c r="L13179" i="1"/>
  <c r="L13178" i="1"/>
  <c r="L13177" i="1"/>
  <c r="L13176" i="1"/>
  <c r="L13175" i="1"/>
  <c r="L13174" i="1"/>
  <c r="L13173" i="1"/>
  <c r="L13172" i="1"/>
  <c r="L13171" i="1"/>
  <c r="L13170" i="1"/>
  <c r="L13169" i="1"/>
  <c r="L13168" i="1"/>
  <c r="L13167" i="1"/>
  <c r="L13166" i="1"/>
  <c r="L13165" i="1"/>
  <c r="L13164" i="1"/>
  <c r="L13163" i="1"/>
  <c r="L13162" i="1"/>
  <c r="L13161" i="1"/>
  <c r="L13160" i="1"/>
  <c r="L13159" i="1"/>
  <c r="L13158" i="1"/>
  <c r="L13157" i="1"/>
  <c r="L13156" i="1"/>
  <c r="L13155" i="1"/>
  <c r="L13154" i="1"/>
  <c r="L13153" i="1"/>
  <c r="L13152" i="1"/>
  <c r="L13151" i="1"/>
  <c r="L13150" i="1"/>
  <c r="L13149" i="1"/>
  <c r="L13148" i="1"/>
  <c r="L13147" i="1"/>
  <c r="L13146" i="1"/>
  <c r="L13145" i="1"/>
  <c r="L13144" i="1"/>
  <c r="L13143" i="1"/>
  <c r="L13142" i="1"/>
  <c r="L13141" i="1"/>
  <c r="L13140" i="1"/>
  <c r="L13139" i="1"/>
  <c r="L13138" i="1"/>
  <c r="L13137" i="1"/>
  <c r="L13136" i="1"/>
  <c r="L13135" i="1"/>
  <c r="L13134" i="1"/>
  <c r="L13133" i="1"/>
  <c r="L13132" i="1"/>
  <c r="L13131" i="1"/>
  <c r="L13130" i="1"/>
  <c r="L13129" i="1"/>
  <c r="L13128" i="1"/>
  <c r="L13127" i="1"/>
  <c r="L13126" i="1"/>
  <c r="L13125" i="1"/>
  <c r="L13124" i="1"/>
  <c r="L13123" i="1"/>
  <c r="L13122" i="1"/>
  <c r="L13121" i="1"/>
  <c r="L13120" i="1"/>
  <c r="L13119" i="1"/>
  <c r="L13118" i="1"/>
  <c r="L13117" i="1"/>
  <c r="L13116" i="1"/>
  <c r="L13115" i="1"/>
  <c r="L13114" i="1"/>
  <c r="L13113" i="1"/>
  <c r="L13112" i="1"/>
  <c r="L13111" i="1"/>
  <c r="L13110" i="1"/>
  <c r="L13109" i="1"/>
  <c r="L13108" i="1"/>
  <c r="L13107" i="1"/>
  <c r="L13106" i="1"/>
  <c r="L13105" i="1"/>
  <c r="L13104" i="1"/>
  <c r="L13103" i="1"/>
  <c r="L13102" i="1"/>
  <c r="L13101" i="1"/>
  <c r="L13100" i="1"/>
  <c r="L13099" i="1"/>
  <c r="L13098" i="1"/>
  <c r="L13097" i="1"/>
  <c r="L13096" i="1"/>
  <c r="L13095" i="1"/>
  <c r="L13094" i="1"/>
  <c r="L13093" i="1"/>
  <c r="L13092" i="1"/>
  <c r="L13091" i="1"/>
  <c r="L13090" i="1"/>
  <c r="L13089" i="1"/>
  <c r="L13088" i="1"/>
  <c r="L13087" i="1"/>
  <c r="L13086" i="1"/>
  <c r="L13085" i="1"/>
  <c r="L13084" i="1"/>
  <c r="L13083" i="1"/>
  <c r="L13082" i="1"/>
  <c r="L13081" i="1"/>
  <c r="L13080" i="1"/>
  <c r="L13079" i="1"/>
  <c r="L13078" i="1"/>
  <c r="L13077" i="1"/>
  <c r="L13076" i="1"/>
  <c r="L13075" i="1"/>
  <c r="L13074" i="1"/>
  <c r="L13073" i="1"/>
  <c r="L13072" i="1"/>
  <c r="L13071" i="1"/>
  <c r="L13070" i="1"/>
  <c r="L13069" i="1"/>
  <c r="L13068" i="1"/>
  <c r="L13067" i="1"/>
  <c r="L13066" i="1"/>
  <c r="L13065" i="1"/>
  <c r="L13064" i="1"/>
  <c r="L13063" i="1"/>
  <c r="L13062" i="1"/>
  <c r="L13061" i="1"/>
  <c r="L13060" i="1"/>
  <c r="L13059" i="1"/>
  <c r="L13058" i="1"/>
  <c r="L13057" i="1"/>
  <c r="L13056" i="1"/>
  <c r="L13055" i="1"/>
  <c r="L13054" i="1"/>
  <c r="L13053" i="1"/>
  <c r="L13052" i="1"/>
  <c r="L13051" i="1"/>
  <c r="L13050" i="1"/>
  <c r="L13049" i="1"/>
  <c r="L13048" i="1"/>
  <c r="L13047" i="1"/>
  <c r="L13046" i="1"/>
  <c r="L13045" i="1"/>
  <c r="L13044" i="1"/>
  <c r="L13043" i="1"/>
  <c r="L13042" i="1"/>
  <c r="L13041" i="1"/>
  <c r="L13040" i="1"/>
  <c r="L13039" i="1"/>
  <c r="L13038" i="1"/>
  <c r="L13037" i="1"/>
  <c r="L13036" i="1"/>
  <c r="L13035" i="1"/>
  <c r="L13034" i="1"/>
  <c r="L13033" i="1"/>
  <c r="L13032" i="1"/>
  <c r="L13031" i="1"/>
  <c r="L13030" i="1"/>
  <c r="L13029" i="1"/>
  <c r="L13028" i="1"/>
  <c r="L13027" i="1"/>
  <c r="L13026" i="1"/>
  <c r="L13025" i="1"/>
  <c r="L13024" i="1"/>
  <c r="L13023" i="1"/>
  <c r="L13022" i="1"/>
  <c r="L13021" i="1"/>
  <c r="L13020" i="1"/>
  <c r="L13019" i="1"/>
  <c r="L13018" i="1"/>
  <c r="L13017" i="1"/>
  <c r="L13016" i="1"/>
  <c r="L13015" i="1"/>
  <c r="L13014" i="1"/>
  <c r="L13013" i="1"/>
  <c r="L13012" i="1"/>
  <c r="L13011" i="1"/>
  <c r="L13010" i="1"/>
  <c r="L13009" i="1"/>
  <c r="L13008" i="1"/>
  <c r="L13007" i="1"/>
  <c r="L13006" i="1"/>
  <c r="L13005" i="1"/>
  <c r="L13004" i="1"/>
  <c r="L13003" i="1"/>
  <c r="L13002" i="1"/>
  <c r="L13001" i="1"/>
  <c r="L13000" i="1"/>
  <c r="L12999" i="1"/>
  <c r="L12998" i="1"/>
  <c r="L12997" i="1"/>
  <c r="L12996" i="1"/>
  <c r="L12995" i="1"/>
  <c r="L12994" i="1"/>
  <c r="L12993" i="1"/>
  <c r="L12992" i="1"/>
  <c r="L12991" i="1"/>
  <c r="L12990" i="1"/>
  <c r="L12989" i="1"/>
  <c r="L12988" i="1"/>
  <c r="L12987" i="1"/>
  <c r="L12986" i="1"/>
  <c r="L12985" i="1"/>
  <c r="L12984" i="1"/>
  <c r="L12983" i="1"/>
  <c r="L12982" i="1"/>
  <c r="L12981" i="1"/>
  <c r="L12980" i="1"/>
  <c r="L12979" i="1"/>
  <c r="L12978" i="1"/>
  <c r="L12977" i="1"/>
  <c r="L12976" i="1"/>
  <c r="L12975" i="1"/>
  <c r="L12974" i="1"/>
  <c r="L12973" i="1"/>
  <c r="L12972" i="1"/>
  <c r="L12971" i="1"/>
  <c r="L12970" i="1"/>
  <c r="L12969" i="1"/>
  <c r="L12968" i="1"/>
  <c r="L12967" i="1"/>
  <c r="L12966" i="1"/>
  <c r="L12965" i="1"/>
  <c r="L12964" i="1"/>
  <c r="L12963" i="1"/>
  <c r="L12962" i="1"/>
  <c r="L12961" i="1"/>
  <c r="L12960" i="1"/>
  <c r="L12959" i="1"/>
  <c r="L12958" i="1"/>
  <c r="L12957" i="1"/>
  <c r="L12956" i="1"/>
  <c r="L12955" i="1"/>
  <c r="L12954" i="1"/>
  <c r="L12953" i="1"/>
  <c r="L12952" i="1"/>
  <c r="L12951" i="1"/>
  <c r="L12950" i="1"/>
  <c r="L12949" i="1"/>
  <c r="L12948" i="1"/>
  <c r="L12947" i="1"/>
  <c r="L12946" i="1"/>
  <c r="L12945" i="1"/>
  <c r="L12944" i="1"/>
  <c r="L12943" i="1"/>
  <c r="L12942" i="1"/>
  <c r="L12941" i="1"/>
  <c r="L12940" i="1"/>
  <c r="L12939" i="1"/>
  <c r="L12938" i="1"/>
  <c r="L12937" i="1"/>
  <c r="L12936" i="1"/>
  <c r="L12935" i="1"/>
  <c r="L12934" i="1"/>
  <c r="L12933" i="1"/>
  <c r="L12932" i="1"/>
  <c r="L12931" i="1"/>
  <c r="L12930" i="1"/>
  <c r="L12929" i="1"/>
  <c r="L12928" i="1"/>
  <c r="L12927" i="1"/>
  <c r="L12926" i="1"/>
  <c r="L12925" i="1"/>
  <c r="L12924" i="1"/>
  <c r="L12923" i="1"/>
  <c r="L12922" i="1"/>
  <c r="L12921" i="1"/>
  <c r="L12920" i="1"/>
  <c r="L12919" i="1"/>
  <c r="L12918" i="1"/>
  <c r="L12917" i="1"/>
  <c r="L12916" i="1"/>
  <c r="L12915" i="1"/>
  <c r="L12914" i="1"/>
  <c r="L12913" i="1"/>
  <c r="L12912" i="1"/>
  <c r="L12911" i="1"/>
  <c r="L12910" i="1"/>
  <c r="L12909" i="1"/>
  <c r="L12908" i="1"/>
  <c r="L12907" i="1"/>
  <c r="L12906" i="1"/>
  <c r="L12905" i="1"/>
  <c r="L12904" i="1"/>
  <c r="L12903" i="1"/>
  <c r="L12902" i="1"/>
  <c r="L12901" i="1"/>
  <c r="L12900" i="1"/>
  <c r="L12899" i="1"/>
  <c r="L12898" i="1"/>
  <c r="L12897" i="1"/>
  <c r="L12896" i="1"/>
  <c r="L12895" i="1"/>
  <c r="L12894" i="1"/>
  <c r="L12893" i="1"/>
  <c r="L12892" i="1"/>
  <c r="L12891" i="1"/>
  <c r="L12890" i="1"/>
  <c r="L12889" i="1"/>
  <c r="L12888" i="1"/>
  <c r="L12887" i="1"/>
  <c r="L12886" i="1"/>
  <c r="L12885" i="1"/>
  <c r="L12884" i="1"/>
  <c r="L12883" i="1"/>
  <c r="L12882" i="1"/>
  <c r="L12881" i="1"/>
  <c r="L12880" i="1"/>
  <c r="L12879" i="1"/>
  <c r="L12878" i="1"/>
  <c r="L12877" i="1"/>
  <c r="L12876" i="1"/>
  <c r="L12875" i="1"/>
  <c r="L12874" i="1"/>
  <c r="L12873" i="1"/>
  <c r="L12872" i="1"/>
  <c r="L12871" i="1"/>
  <c r="L12870" i="1"/>
  <c r="L12869" i="1"/>
  <c r="L12868" i="1"/>
  <c r="L12867" i="1"/>
  <c r="L12866" i="1"/>
  <c r="L12865" i="1"/>
  <c r="L12864" i="1"/>
  <c r="L12863" i="1"/>
  <c r="L12862" i="1"/>
  <c r="L12861" i="1"/>
  <c r="L12860" i="1"/>
  <c r="L12859" i="1"/>
  <c r="L12858" i="1"/>
  <c r="L12857" i="1"/>
  <c r="L12856" i="1"/>
  <c r="L12855" i="1"/>
  <c r="L12854" i="1"/>
  <c r="L12853" i="1"/>
  <c r="L12852" i="1"/>
  <c r="L12851" i="1"/>
  <c r="L12850" i="1"/>
  <c r="L12849" i="1"/>
  <c r="L12848" i="1"/>
  <c r="L12847" i="1"/>
  <c r="L12846" i="1"/>
  <c r="L12845" i="1"/>
  <c r="L12844" i="1"/>
  <c r="L12843" i="1"/>
  <c r="L12842" i="1"/>
  <c r="L12841" i="1"/>
  <c r="L12840" i="1"/>
  <c r="L12839" i="1"/>
  <c r="L12838" i="1"/>
  <c r="L12837" i="1"/>
  <c r="L12836" i="1"/>
  <c r="L12835" i="1"/>
  <c r="L12834" i="1"/>
  <c r="L12833" i="1"/>
  <c r="L12832" i="1"/>
  <c r="L12831" i="1"/>
  <c r="L12830" i="1"/>
  <c r="L12829" i="1"/>
  <c r="L12828" i="1"/>
  <c r="L12827" i="1"/>
  <c r="L12826" i="1"/>
  <c r="L12825" i="1"/>
  <c r="L12824" i="1"/>
  <c r="L12823" i="1"/>
  <c r="L12822" i="1"/>
  <c r="L12821" i="1"/>
  <c r="L12820" i="1"/>
  <c r="L12819" i="1"/>
  <c r="L12818" i="1"/>
  <c r="L12817" i="1"/>
  <c r="L12816" i="1"/>
  <c r="L12815" i="1"/>
  <c r="L12814" i="1"/>
  <c r="L12813" i="1"/>
  <c r="L12812" i="1"/>
  <c r="L12811" i="1"/>
  <c r="L12810" i="1"/>
  <c r="L12809" i="1"/>
  <c r="L12808" i="1"/>
  <c r="L12807" i="1"/>
  <c r="L12806" i="1"/>
  <c r="L12805" i="1"/>
  <c r="L12804" i="1"/>
  <c r="L12803" i="1"/>
  <c r="L12802" i="1"/>
  <c r="L12801" i="1"/>
  <c r="L12800" i="1"/>
  <c r="L12799" i="1"/>
  <c r="L12798" i="1"/>
  <c r="L12797" i="1"/>
  <c r="L12796" i="1"/>
  <c r="L12795" i="1"/>
  <c r="L12794" i="1"/>
  <c r="L12793" i="1"/>
  <c r="L12792" i="1"/>
  <c r="L12791" i="1"/>
  <c r="L12790" i="1"/>
  <c r="L12789" i="1"/>
  <c r="L12788" i="1"/>
  <c r="L12787" i="1"/>
  <c r="L12786" i="1"/>
  <c r="L12785" i="1"/>
  <c r="L12784" i="1"/>
  <c r="L12783" i="1"/>
  <c r="L12782" i="1"/>
  <c r="L12781" i="1"/>
  <c r="L12780" i="1"/>
  <c r="L12779" i="1"/>
  <c r="L12778" i="1"/>
  <c r="L12777" i="1"/>
  <c r="L12776" i="1"/>
  <c r="L12775" i="1"/>
  <c r="L12774" i="1"/>
  <c r="L12773" i="1"/>
  <c r="L12772" i="1"/>
  <c r="L12771" i="1"/>
  <c r="L12770" i="1"/>
  <c r="L12769" i="1"/>
  <c r="L12768" i="1"/>
  <c r="L12767" i="1"/>
  <c r="L12766" i="1"/>
  <c r="L12765" i="1"/>
  <c r="L12764" i="1"/>
  <c r="L12763" i="1"/>
  <c r="L12762" i="1"/>
  <c r="L12761" i="1"/>
  <c r="L12760" i="1"/>
  <c r="L12759" i="1"/>
  <c r="L12758" i="1"/>
  <c r="L12757" i="1"/>
  <c r="L12756" i="1"/>
  <c r="L12755" i="1"/>
  <c r="L12754" i="1"/>
  <c r="L12753" i="1"/>
  <c r="L12752" i="1"/>
  <c r="L12751" i="1"/>
  <c r="L12750" i="1"/>
  <c r="L12749" i="1"/>
  <c r="L12748" i="1"/>
  <c r="L12747" i="1"/>
  <c r="L12746" i="1"/>
  <c r="L12745" i="1"/>
  <c r="L12744" i="1"/>
  <c r="L12743" i="1"/>
  <c r="L12742" i="1"/>
  <c r="L12741" i="1"/>
  <c r="L12740" i="1"/>
  <c r="L12739" i="1"/>
  <c r="L12738" i="1"/>
  <c r="L12737" i="1"/>
  <c r="L12736" i="1"/>
  <c r="L12735" i="1"/>
  <c r="L12734" i="1"/>
  <c r="L12733" i="1"/>
  <c r="L12732" i="1"/>
  <c r="L12731" i="1"/>
  <c r="L12730" i="1"/>
  <c r="L12729" i="1"/>
  <c r="L12728" i="1"/>
  <c r="L12727" i="1"/>
  <c r="L12726" i="1"/>
  <c r="L12725" i="1"/>
  <c r="L12724" i="1"/>
  <c r="L12723" i="1"/>
  <c r="L12722" i="1"/>
  <c r="L12721" i="1"/>
  <c r="L12720" i="1"/>
  <c r="L12719" i="1"/>
  <c r="L12718" i="1"/>
  <c r="L12717" i="1"/>
  <c r="L12716" i="1"/>
  <c r="L12715" i="1"/>
  <c r="L12714" i="1"/>
  <c r="L12713" i="1"/>
  <c r="L12712" i="1"/>
  <c r="L12711" i="1"/>
  <c r="L12710" i="1"/>
  <c r="L12709" i="1"/>
  <c r="L12708" i="1"/>
  <c r="L12707" i="1"/>
  <c r="L12706" i="1"/>
  <c r="L12705" i="1"/>
  <c r="L12704" i="1"/>
  <c r="L12703" i="1"/>
  <c r="L12702" i="1"/>
  <c r="L12701" i="1"/>
  <c r="L12700" i="1"/>
  <c r="L12699" i="1"/>
  <c r="L12698" i="1"/>
  <c r="L12697" i="1"/>
  <c r="L12696" i="1"/>
  <c r="L12695" i="1"/>
  <c r="L12694" i="1"/>
  <c r="L12693" i="1"/>
  <c r="L12692" i="1"/>
  <c r="L12691" i="1"/>
  <c r="L12690" i="1"/>
  <c r="L12689" i="1"/>
  <c r="L12688" i="1"/>
  <c r="L12687" i="1"/>
  <c r="L12686" i="1"/>
  <c r="L12685" i="1"/>
  <c r="L12684" i="1"/>
  <c r="L12683" i="1"/>
  <c r="L12682" i="1"/>
  <c r="L12681" i="1"/>
  <c r="L12680" i="1"/>
  <c r="L12679" i="1"/>
  <c r="L12678" i="1"/>
  <c r="L12677" i="1"/>
  <c r="L12676" i="1"/>
  <c r="L12675" i="1"/>
  <c r="L12674" i="1"/>
  <c r="L12673" i="1"/>
  <c r="L12672" i="1"/>
  <c r="L12671" i="1"/>
  <c r="L12670" i="1"/>
  <c r="L12669" i="1"/>
  <c r="L12668" i="1"/>
  <c r="L12667" i="1"/>
  <c r="L12666" i="1"/>
  <c r="L12665" i="1"/>
  <c r="L12664" i="1"/>
  <c r="L12663" i="1"/>
  <c r="L12662" i="1"/>
  <c r="L12661" i="1"/>
  <c r="L12660" i="1"/>
  <c r="L12659" i="1"/>
  <c r="L12658" i="1"/>
  <c r="L12657" i="1"/>
  <c r="L12656" i="1"/>
  <c r="L12655" i="1"/>
  <c r="L12654" i="1"/>
  <c r="L12653" i="1"/>
  <c r="L12652" i="1"/>
  <c r="L12651" i="1"/>
  <c r="L12650" i="1"/>
  <c r="L12649" i="1"/>
  <c r="L12648" i="1"/>
  <c r="L12647" i="1"/>
  <c r="L12646" i="1"/>
  <c r="L12645" i="1"/>
  <c r="L12644" i="1"/>
  <c r="L12643" i="1"/>
  <c r="L12642" i="1"/>
  <c r="L12641" i="1"/>
  <c r="L12640" i="1"/>
  <c r="L12639" i="1"/>
  <c r="L12638" i="1"/>
  <c r="L12637" i="1"/>
  <c r="L12636" i="1"/>
  <c r="L12635" i="1"/>
  <c r="L12634" i="1"/>
  <c r="L12633" i="1"/>
  <c r="L12632" i="1"/>
  <c r="L12631" i="1"/>
  <c r="L12630" i="1"/>
  <c r="L12629" i="1"/>
  <c r="L12628" i="1"/>
  <c r="L12627" i="1"/>
  <c r="L12626" i="1"/>
  <c r="L12625" i="1"/>
  <c r="L12624" i="1"/>
  <c r="L12623" i="1"/>
  <c r="L12622" i="1"/>
  <c r="L12621" i="1"/>
  <c r="L12620" i="1"/>
  <c r="L12619" i="1"/>
  <c r="L12618" i="1"/>
  <c r="L12617" i="1"/>
  <c r="L12616" i="1"/>
  <c r="L12615" i="1"/>
  <c r="L12614" i="1"/>
  <c r="L12613" i="1"/>
  <c r="L12612" i="1"/>
  <c r="L12611" i="1"/>
  <c r="L12610" i="1"/>
  <c r="L12609" i="1"/>
  <c r="L12608" i="1"/>
  <c r="L12607" i="1"/>
  <c r="L12606" i="1"/>
  <c r="L12605" i="1"/>
  <c r="L12604" i="1"/>
  <c r="L12603" i="1"/>
  <c r="L12602" i="1"/>
  <c r="L12601" i="1"/>
  <c r="L12600" i="1"/>
  <c r="L12599" i="1"/>
  <c r="L12598" i="1"/>
  <c r="L12597" i="1"/>
  <c r="L12596" i="1"/>
  <c r="L12595" i="1"/>
  <c r="L12594" i="1"/>
  <c r="L12593" i="1"/>
  <c r="L12592" i="1"/>
  <c r="L12591" i="1"/>
  <c r="L12590" i="1"/>
  <c r="L12589" i="1"/>
  <c r="L12588" i="1"/>
  <c r="L12587" i="1"/>
  <c r="L12586" i="1"/>
  <c r="L12585" i="1"/>
  <c r="L12584" i="1"/>
  <c r="L12583" i="1"/>
  <c r="L12582" i="1"/>
  <c r="L12581" i="1"/>
  <c r="L12580" i="1"/>
  <c r="L12579" i="1"/>
  <c r="L12578" i="1"/>
  <c r="L12577" i="1"/>
  <c r="L12576" i="1"/>
  <c r="L12575" i="1"/>
  <c r="L12574" i="1"/>
  <c r="L12573" i="1"/>
  <c r="L12572" i="1"/>
  <c r="L12571" i="1"/>
  <c r="L12570" i="1"/>
  <c r="L12569" i="1"/>
  <c r="L12568" i="1"/>
  <c r="L12567" i="1"/>
  <c r="L12566" i="1"/>
  <c r="L12565" i="1"/>
  <c r="L12564" i="1"/>
  <c r="L12563" i="1"/>
  <c r="L12562" i="1"/>
  <c r="L12561" i="1"/>
  <c r="L12560" i="1"/>
  <c r="L12559" i="1"/>
  <c r="L12558" i="1"/>
  <c r="L12557" i="1"/>
  <c r="L12556" i="1"/>
  <c r="L12555" i="1"/>
  <c r="L12554" i="1"/>
  <c r="L12553" i="1"/>
  <c r="L12552" i="1"/>
  <c r="L12551" i="1"/>
  <c r="L12550" i="1"/>
  <c r="L12549" i="1"/>
  <c r="L12548" i="1"/>
  <c r="L12547" i="1"/>
  <c r="L12546" i="1"/>
  <c r="L12545" i="1"/>
  <c r="L12544" i="1"/>
  <c r="L12543" i="1"/>
  <c r="L12542" i="1"/>
  <c r="L12541" i="1"/>
  <c r="L12540" i="1"/>
  <c r="L12539" i="1"/>
  <c r="L12538" i="1"/>
  <c r="L12537" i="1"/>
  <c r="L12536" i="1"/>
  <c r="L12535" i="1"/>
  <c r="L12534" i="1"/>
  <c r="L12533" i="1"/>
  <c r="L12532" i="1"/>
  <c r="L12531" i="1"/>
  <c r="L12530" i="1"/>
  <c r="L12529" i="1"/>
  <c r="L12528" i="1"/>
  <c r="L12527" i="1"/>
  <c r="L12526" i="1"/>
  <c r="L12525" i="1"/>
  <c r="L12524" i="1"/>
  <c r="L12523" i="1"/>
  <c r="L12522" i="1"/>
  <c r="L12521" i="1"/>
  <c r="L12520" i="1"/>
  <c r="L12519" i="1"/>
  <c r="L12518" i="1"/>
  <c r="L12517" i="1"/>
  <c r="L12516" i="1"/>
  <c r="L12515" i="1"/>
  <c r="L12514" i="1"/>
  <c r="L12513" i="1"/>
  <c r="L12512" i="1"/>
  <c r="L12511" i="1"/>
  <c r="L12510" i="1"/>
  <c r="L12509" i="1"/>
  <c r="L12508" i="1"/>
  <c r="L12507" i="1"/>
  <c r="L12506" i="1"/>
  <c r="L12505" i="1"/>
  <c r="L12504" i="1"/>
  <c r="L12503" i="1"/>
  <c r="L12502" i="1"/>
  <c r="L12501" i="1"/>
  <c r="L12500" i="1"/>
  <c r="L12499" i="1"/>
  <c r="L12498" i="1"/>
  <c r="L12497" i="1"/>
  <c r="L12496" i="1"/>
  <c r="L12495" i="1"/>
  <c r="L12494" i="1"/>
  <c r="L12493" i="1"/>
  <c r="L12492" i="1"/>
  <c r="L12491" i="1"/>
  <c r="L12490" i="1"/>
  <c r="L12489" i="1"/>
  <c r="L12488" i="1"/>
  <c r="L12487" i="1"/>
  <c r="L12486" i="1"/>
  <c r="L12485" i="1"/>
  <c r="L12484" i="1"/>
  <c r="L12483" i="1"/>
  <c r="L12482" i="1"/>
  <c r="L12481" i="1"/>
  <c r="L12480" i="1"/>
  <c r="L12479" i="1"/>
  <c r="L12478" i="1"/>
  <c r="L12477" i="1"/>
  <c r="L12476" i="1"/>
  <c r="L12475" i="1"/>
  <c r="L12474" i="1"/>
  <c r="L12473" i="1"/>
  <c r="L12472" i="1"/>
  <c r="L12471" i="1"/>
  <c r="L12470" i="1"/>
  <c r="L12469" i="1"/>
  <c r="L12468" i="1"/>
  <c r="L12467" i="1"/>
  <c r="L12466" i="1"/>
  <c r="L12465" i="1"/>
  <c r="L12464" i="1"/>
  <c r="L12463" i="1"/>
  <c r="L12462" i="1"/>
  <c r="L12461" i="1"/>
  <c r="L12460" i="1"/>
  <c r="L12459" i="1"/>
  <c r="L12458" i="1"/>
  <c r="L12457" i="1"/>
  <c r="L12456" i="1"/>
  <c r="L12455" i="1"/>
  <c r="L12454" i="1"/>
  <c r="L12453" i="1"/>
  <c r="L12452" i="1"/>
  <c r="L12451" i="1"/>
  <c r="L12450" i="1"/>
  <c r="L12449" i="1"/>
  <c r="L12448" i="1"/>
  <c r="L12447" i="1"/>
  <c r="L12446" i="1"/>
  <c r="L12445" i="1"/>
  <c r="L12444" i="1"/>
  <c r="L12443" i="1"/>
  <c r="L12442" i="1"/>
  <c r="L12441" i="1"/>
  <c r="L12440" i="1"/>
  <c r="L12439" i="1"/>
  <c r="L12438" i="1"/>
  <c r="L12437" i="1"/>
  <c r="L12436" i="1"/>
  <c r="L12435" i="1"/>
  <c r="L12434" i="1"/>
  <c r="L12433" i="1"/>
  <c r="L12432" i="1"/>
  <c r="L12431" i="1"/>
  <c r="L12430" i="1"/>
  <c r="L12429" i="1"/>
  <c r="L12428" i="1"/>
  <c r="L12427" i="1"/>
  <c r="L12426" i="1"/>
  <c r="L12425" i="1"/>
  <c r="L12424" i="1"/>
  <c r="L12423" i="1"/>
  <c r="L12422" i="1"/>
  <c r="L12421" i="1"/>
  <c r="L12420" i="1"/>
  <c r="L12419" i="1"/>
  <c r="L12418" i="1"/>
  <c r="L12417" i="1"/>
  <c r="L12416" i="1"/>
  <c r="L12415" i="1"/>
  <c r="L12414" i="1"/>
  <c r="L12413" i="1"/>
  <c r="L12412" i="1"/>
  <c r="L12411" i="1"/>
  <c r="L12410" i="1"/>
  <c r="L12409" i="1"/>
  <c r="L12408" i="1"/>
  <c r="L12407" i="1"/>
  <c r="L12406" i="1"/>
  <c r="L12405" i="1"/>
  <c r="L12404" i="1"/>
  <c r="L12403" i="1"/>
  <c r="L12402" i="1"/>
  <c r="L12401" i="1"/>
  <c r="L12400" i="1"/>
  <c r="L12399" i="1"/>
  <c r="L12398" i="1"/>
  <c r="L12397" i="1"/>
  <c r="L12396" i="1"/>
  <c r="L12395" i="1"/>
  <c r="L12394" i="1"/>
  <c r="L12393" i="1"/>
  <c r="L12392" i="1"/>
  <c r="L12391" i="1"/>
  <c r="L12390" i="1"/>
  <c r="L12389" i="1"/>
  <c r="L12388" i="1"/>
  <c r="L12387" i="1"/>
  <c r="L12386" i="1"/>
  <c r="L12385" i="1"/>
  <c r="L12384" i="1"/>
  <c r="L12383" i="1"/>
  <c r="L12382" i="1"/>
  <c r="L12381" i="1"/>
  <c r="L12380" i="1"/>
  <c r="L12379" i="1"/>
  <c r="L12378" i="1"/>
  <c r="L12377" i="1"/>
  <c r="L12376" i="1"/>
  <c r="L12375" i="1"/>
  <c r="L12374" i="1"/>
  <c r="L12373" i="1"/>
  <c r="L12372" i="1"/>
  <c r="L12371" i="1"/>
  <c r="L12370" i="1"/>
  <c r="L12369" i="1"/>
  <c r="L12368" i="1"/>
  <c r="L12367" i="1"/>
  <c r="L12366" i="1"/>
  <c r="L12365" i="1"/>
  <c r="L12364" i="1"/>
  <c r="L12363" i="1"/>
  <c r="L12362" i="1"/>
  <c r="L12361" i="1"/>
  <c r="L12360" i="1"/>
  <c r="L12359" i="1"/>
  <c r="L12358" i="1"/>
  <c r="L12357" i="1"/>
  <c r="L12356" i="1"/>
  <c r="L12355" i="1"/>
  <c r="L12354" i="1"/>
  <c r="L12353" i="1"/>
  <c r="L12352" i="1"/>
  <c r="L12351" i="1"/>
  <c r="L12350" i="1"/>
  <c r="L12349" i="1"/>
  <c r="L12348" i="1"/>
  <c r="L12347" i="1"/>
  <c r="L12346" i="1"/>
  <c r="L12345" i="1"/>
  <c r="L12344" i="1"/>
  <c r="L12343" i="1"/>
  <c r="L12342" i="1"/>
  <c r="L12341" i="1"/>
  <c r="L12340" i="1"/>
  <c r="L12339" i="1"/>
  <c r="L12338" i="1"/>
  <c r="L12337" i="1"/>
  <c r="L12336" i="1"/>
  <c r="L12335" i="1"/>
  <c r="L12334" i="1"/>
  <c r="L12333" i="1"/>
  <c r="L12332" i="1"/>
  <c r="L12331" i="1"/>
  <c r="L12330" i="1"/>
  <c r="L12329" i="1"/>
  <c r="L12328" i="1"/>
  <c r="L12327" i="1"/>
  <c r="L12326" i="1"/>
  <c r="L12325" i="1"/>
  <c r="L12324" i="1"/>
  <c r="L12323" i="1"/>
  <c r="L12322" i="1"/>
  <c r="L12321" i="1"/>
  <c r="L12320" i="1"/>
  <c r="L12319" i="1"/>
  <c r="L12318" i="1"/>
  <c r="L12317" i="1"/>
  <c r="L12316" i="1"/>
  <c r="L12315" i="1"/>
  <c r="L12314" i="1"/>
  <c r="L12313" i="1"/>
  <c r="L12312" i="1"/>
  <c r="L12311" i="1"/>
  <c r="L12310" i="1"/>
  <c r="L12309" i="1"/>
  <c r="L12308" i="1"/>
  <c r="L12307" i="1"/>
  <c r="L12306" i="1"/>
  <c r="L12305" i="1"/>
  <c r="L12304" i="1"/>
  <c r="L12303" i="1"/>
  <c r="L12302" i="1"/>
  <c r="L12301" i="1"/>
  <c r="L12300" i="1"/>
  <c r="L12299" i="1"/>
  <c r="L12298" i="1"/>
  <c r="L12297" i="1"/>
  <c r="L12296" i="1"/>
  <c r="L12295" i="1"/>
  <c r="L12294" i="1"/>
  <c r="L12293" i="1"/>
  <c r="L12292" i="1"/>
  <c r="L12291" i="1"/>
  <c r="L12290" i="1"/>
  <c r="L12289" i="1"/>
  <c r="L12288" i="1"/>
  <c r="L12287" i="1"/>
  <c r="L12286" i="1"/>
  <c r="L12285" i="1"/>
  <c r="L12284" i="1"/>
  <c r="L12283" i="1"/>
  <c r="L12282" i="1"/>
  <c r="L12281" i="1"/>
  <c r="L12280" i="1"/>
  <c r="L12279" i="1"/>
  <c r="L12278" i="1"/>
  <c r="L12277" i="1"/>
  <c r="L12276" i="1"/>
  <c r="L12275" i="1"/>
  <c r="L12274" i="1"/>
  <c r="L12273" i="1"/>
  <c r="L12272" i="1"/>
  <c r="L12271" i="1"/>
  <c r="L12270" i="1"/>
  <c r="L12269" i="1"/>
  <c r="L12268" i="1"/>
  <c r="L12267" i="1"/>
  <c r="L12266" i="1"/>
  <c r="L12265" i="1"/>
  <c r="L12264" i="1"/>
  <c r="L12263" i="1"/>
  <c r="L12262" i="1"/>
  <c r="L12261" i="1"/>
  <c r="L12260" i="1"/>
  <c r="L12259" i="1"/>
  <c r="L12258" i="1"/>
  <c r="L12257" i="1"/>
  <c r="L12256" i="1"/>
  <c r="L12255" i="1"/>
  <c r="L12254" i="1"/>
  <c r="L12253" i="1"/>
  <c r="L12252" i="1"/>
  <c r="L12251" i="1"/>
  <c r="L12250" i="1"/>
  <c r="L12249" i="1"/>
  <c r="L12248" i="1"/>
  <c r="L12247" i="1"/>
  <c r="L12246" i="1"/>
  <c r="L12245" i="1"/>
  <c r="L12244" i="1"/>
  <c r="L12243" i="1"/>
  <c r="L12242" i="1"/>
  <c r="L12241" i="1"/>
  <c r="L12240" i="1"/>
  <c r="L12239" i="1"/>
  <c r="L12238" i="1"/>
  <c r="L12237" i="1"/>
  <c r="L12236" i="1"/>
  <c r="L12235" i="1"/>
  <c r="L12234" i="1"/>
  <c r="L12233" i="1"/>
  <c r="L12232" i="1"/>
  <c r="L12231" i="1"/>
  <c r="L12230" i="1"/>
  <c r="L12229" i="1"/>
  <c r="L12228" i="1"/>
  <c r="L12227" i="1"/>
  <c r="L12226" i="1"/>
  <c r="L12225" i="1"/>
  <c r="L12224" i="1"/>
  <c r="L12223" i="1"/>
  <c r="L12222" i="1"/>
  <c r="L12221" i="1"/>
  <c r="L12220" i="1"/>
  <c r="L12219" i="1"/>
  <c r="L12218" i="1"/>
  <c r="L12217" i="1"/>
  <c r="L12216" i="1"/>
  <c r="L12215" i="1"/>
  <c r="L12214" i="1"/>
  <c r="L12213" i="1"/>
  <c r="L12212" i="1"/>
  <c r="L12211" i="1"/>
  <c r="L12210" i="1"/>
  <c r="L12209" i="1"/>
  <c r="L12208" i="1"/>
  <c r="L12207" i="1"/>
  <c r="L12206" i="1"/>
  <c r="L12205" i="1"/>
  <c r="L12204" i="1"/>
  <c r="L12203" i="1"/>
  <c r="L12202" i="1"/>
  <c r="L12201" i="1"/>
  <c r="L12200" i="1"/>
  <c r="L12199" i="1"/>
  <c r="L12198" i="1"/>
  <c r="L12197" i="1"/>
  <c r="L12196" i="1"/>
  <c r="L12195" i="1"/>
  <c r="L12194" i="1"/>
  <c r="L12193" i="1"/>
  <c r="L12192" i="1"/>
  <c r="L12191" i="1"/>
  <c r="L12190" i="1"/>
  <c r="L12189" i="1"/>
  <c r="L12188" i="1"/>
  <c r="L12187" i="1"/>
  <c r="L12186" i="1"/>
  <c r="L12185" i="1"/>
  <c r="L12184" i="1"/>
  <c r="L12183" i="1"/>
  <c r="L12182" i="1"/>
  <c r="L12181" i="1"/>
  <c r="L12180" i="1"/>
  <c r="L12179" i="1"/>
  <c r="L12178" i="1"/>
  <c r="L12177" i="1"/>
  <c r="L12176" i="1"/>
  <c r="L12175" i="1"/>
  <c r="L12174" i="1"/>
  <c r="L12173" i="1"/>
  <c r="L12172" i="1"/>
  <c r="L12171" i="1"/>
  <c r="L12170" i="1"/>
  <c r="L12169" i="1"/>
  <c r="L12168" i="1"/>
  <c r="L12167" i="1"/>
  <c r="L12166" i="1"/>
  <c r="L12165" i="1"/>
  <c r="L12164" i="1"/>
  <c r="L12163" i="1"/>
  <c r="L12162" i="1"/>
  <c r="L12161" i="1"/>
  <c r="L12160" i="1"/>
  <c r="L12159" i="1"/>
  <c r="L12158" i="1"/>
  <c r="L12157" i="1"/>
  <c r="L12156" i="1"/>
  <c r="L12155" i="1"/>
  <c r="L12154" i="1"/>
  <c r="L12153" i="1"/>
  <c r="L12152" i="1"/>
  <c r="L12151" i="1"/>
  <c r="L12150" i="1"/>
  <c r="L12149" i="1"/>
  <c r="L12148" i="1"/>
  <c r="L12147" i="1"/>
  <c r="L12146" i="1"/>
  <c r="L12145" i="1"/>
  <c r="L12144" i="1"/>
  <c r="L12143" i="1"/>
  <c r="L12142" i="1"/>
  <c r="L12141" i="1"/>
  <c r="L12140" i="1"/>
  <c r="L12139" i="1"/>
  <c r="L12138" i="1"/>
  <c r="L12137" i="1"/>
  <c r="L12136" i="1"/>
  <c r="L12135" i="1"/>
  <c r="L12134" i="1"/>
  <c r="L12133" i="1"/>
  <c r="L12132" i="1"/>
  <c r="L12131" i="1"/>
  <c r="L12130" i="1"/>
  <c r="L12129" i="1"/>
  <c r="L12128" i="1"/>
  <c r="L12127" i="1"/>
  <c r="L12126" i="1"/>
  <c r="L12125" i="1"/>
  <c r="L12124" i="1"/>
  <c r="L12123" i="1"/>
  <c r="L12122" i="1"/>
  <c r="L12121" i="1"/>
  <c r="L12120" i="1"/>
  <c r="L12119" i="1"/>
  <c r="L12118" i="1"/>
  <c r="L12117" i="1"/>
  <c r="L12116" i="1"/>
  <c r="L12115" i="1"/>
  <c r="L12114" i="1"/>
  <c r="L12113" i="1"/>
  <c r="L12112" i="1"/>
  <c r="L12111" i="1"/>
  <c r="L12110" i="1"/>
  <c r="L12109" i="1"/>
  <c r="L12108" i="1"/>
  <c r="L12107" i="1"/>
  <c r="L12106" i="1"/>
  <c r="L12105" i="1"/>
  <c r="L12104" i="1"/>
  <c r="L12103" i="1"/>
  <c r="L12102" i="1"/>
  <c r="L12101" i="1"/>
  <c r="L12100" i="1"/>
  <c r="L12099" i="1"/>
  <c r="L12098" i="1"/>
  <c r="L12097" i="1"/>
  <c r="L12096" i="1"/>
  <c r="L12095" i="1"/>
  <c r="L12094" i="1"/>
  <c r="L12093" i="1"/>
  <c r="L12092" i="1"/>
  <c r="L12091" i="1"/>
  <c r="L12090" i="1"/>
  <c r="L12089" i="1"/>
  <c r="L12088" i="1"/>
  <c r="L12087" i="1"/>
  <c r="L12086" i="1"/>
  <c r="L12085" i="1"/>
  <c r="L12084" i="1"/>
  <c r="L12083" i="1"/>
  <c r="L12082" i="1"/>
  <c r="L12081" i="1"/>
  <c r="L12080" i="1"/>
  <c r="L12079" i="1"/>
  <c r="L12078" i="1"/>
  <c r="L12077" i="1"/>
  <c r="L12076" i="1"/>
  <c r="L12075" i="1"/>
  <c r="L12074" i="1"/>
  <c r="L12073" i="1"/>
  <c r="L12072" i="1"/>
  <c r="L12071" i="1"/>
  <c r="L12070" i="1"/>
  <c r="L12069" i="1"/>
  <c r="L12068" i="1"/>
  <c r="L12067" i="1"/>
  <c r="L12066" i="1"/>
  <c r="L12065" i="1"/>
  <c r="L12064" i="1"/>
  <c r="L12063" i="1"/>
  <c r="L12062" i="1"/>
  <c r="L12061" i="1"/>
  <c r="L12060" i="1"/>
  <c r="L12059" i="1"/>
  <c r="L12058" i="1"/>
  <c r="L12057" i="1"/>
  <c r="L12056" i="1"/>
  <c r="L12055" i="1"/>
  <c r="L12054" i="1"/>
  <c r="L12053" i="1"/>
  <c r="L12052" i="1"/>
  <c r="L12051" i="1"/>
  <c r="L12050" i="1"/>
  <c r="L12049" i="1"/>
  <c r="L12048" i="1"/>
  <c r="L12047" i="1"/>
  <c r="L12046" i="1"/>
  <c r="L12045" i="1"/>
  <c r="L12044" i="1"/>
  <c r="L12043" i="1"/>
  <c r="L12042" i="1"/>
  <c r="L12041" i="1"/>
  <c r="L12040" i="1"/>
  <c r="L12039" i="1"/>
  <c r="L12038" i="1"/>
  <c r="L12037" i="1"/>
  <c r="L12036" i="1"/>
  <c r="L12035" i="1"/>
  <c r="L12034" i="1"/>
  <c r="L12033" i="1"/>
  <c r="L12032" i="1"/>
  <c r="L12031" i="1"/>
  <c r="L12030" i="1"/>
  <c r="L12029" i="1"/>
  <c r="L12028" i="1"/>
  <c r="L12027" i="1"/>
  <c r="L12026" i="1"/>
  <c r="L12025" i="1"/>
  <c r="L12024" i="1"/>
  <c r="L12023" i="1"/>
  <c r="L12022" i="1"/>
  <c r="L12021" i="1"/>
  <c r="L12020" i="1"/>
  <c r="L12019" i="1"/>
  <c r="L12018" i="1"/>
  <c r="L12017" i="1"/>
  <c r="L12016" i="1"/>
  <c r="L12015" i="1"/>
  <c r="L12014" i="1"/>
  <c r="L12013" i="1"/>
  <c r="L12012" i="1"/>
  <c r="L12011" i="1"/>
  <c r="L12010" i="1"/>
  <c r="L12009" i="1"/>
  <c r="L12008" i="1"/>
  <c r="L12007" i="1"/>
  <c r="L12006" i="1"/>
  <c r="L12005" i="1"/>
  <c r="L12004" i="1"/>
  <c r="L12003" i="1"/>
  <c r="L12002" i="1"/>
  <c r="L12001" i="1"/>
  <c r="L12000" i="1"/>
  <c r="L11999" i="1"/>
  <c r="L11998" i="1"/>
  <c r="L11997" i="1"/>
  <c r="L11996" i="1"/>
  <c r="L11995" i="1"/>
  <c r="L11994" i="1"/>
  <c r="L11993" i="1"/>
  <c r="L11992" i="1"/>
  <c r="L11991" i="1"/>
  <c r="L11990" i="1"/>
  <c r="L11989" i="1"/>
  <c r="L11988" i="1"/>
  <c r="L11987" i="1"/>
  <c r="L11986" i="1"/>
  <c r="L11985" i="1"/>
  <c r="L11984" i="1"/>
  <c r="L11983" i="1"/>
  <c r="L11982" i="1"/>
  <c r="L11981" i="1"/>
  <c r="L11980" i="1"/>
  <c r="L11979" i="1"/>
  <c r="L11978" i="1"/>
  <c r="L11977" i="1"/>
  <c r="L11976" i="1"/>
  <c r="L11975" i="1"/>
  <c r="L11974" i="1"/>
  <c r="L11973" i="1"/>
  <c r="L11972" i="1"/>
  <c r="L11971" i="1"/>
  <c r="L11970" i="1"/>
  <c r="L11969" i="1"/>
  <c r="L11968" i="1"/>
  <c r="L11967" i="1"/>
  <c r="L11966" i="1"/>
  <c r="L11965" i="1"/>
  <c r="L11964" i="1"/>
  <c r="L11963" i="1"/>
  <c r="L11962" i="1"/>
  <c r="L11961" i="1"/>
  <c r="L11960" i="1"/>
  <c r="L11959" i="1"/>
  <c r="L11958" i="1"/>
  <c r="L11957" i="1"/>
  <c r="L11956" i="1"/>
  <c r="L11955" i="1"/>
  <c r="L11954" i="1"/>
  <c r="L11953" i="1"/>
  <c r="L11952" i="1"/>
  <c r="L11951" i="1"/>
  <c r="L11950" i="1"/>
  <c r="L11949" i="1"/>
  <c r="L11948" i="1"/>
  <c r="L11947" i="1"/>
  <c r="L11946" i="1"/>
  <c r="L11945" i="1"/>
  <c r="L11944" i="1"/>
  <c r="L11943" i="1"/>
  <c r="L11942" i="1"/>
  <c r="L11941" i="1"/>
  <c r="L11940" i="1"/>
  <c r="L11939" i="1"/>
  <c r="L11938" i="1"/>
  <c r="L11937" i="1"/>
  <c r="L11936" i="1"/>
  <c r="L11935" i="1"/>
  <c r="L11934" i="1"/>
  <c r="L11933" i="1"/>
  <c r="L11932" i="1"/>
  <c r="L11931" i="1"/>
  <c r="L11930" i="1"/>
  <c r="L11929" i="1"/>
  <c r="L11928" i="1"/>
  <c r="L11927" i="1"/>
  <c r="L11926" i="1"/>
  <c r="L11925" i="1"/>
  <c r="L11924" i="1"/>
  <c r="L11923" i="1"/>
  <c r="L11922" i="1"/>
  <c r="L11921" i="1"/>
  <c r="L11920" i="1"/>
  <c r="L11919" i="1"/>
  <c r="L11918" i="1"/>
  <c r="L11917" i="1"/>
  <c r="L11916" i="1"/>
  <c r="L11915" i="1"/>
  <c r="L11914" i="1"/>
  <c r="L11913" i="1"/>
  <c r="L11912" i="1"/>
  <c r="L11911" i="1"/>
  <c r="L11910" i="1"/>
  <c r="L11909" i="1"/>
  <c r="L11908" i="1"/>
  <c r="L11907" i="1"/>
  <c r="L11906" i="1"/>
  <c r="L11905" i="1"/>
  <c r="L11904" i="1"/>
  <c r="L11903" i="1"/>
  <c r="L11902" i="1"/>
  <c r="L11901" i="1"/>
  <c r="L11900" i="1"/>
  <c r="L11899" i="1"/>
  <c r="L11898" i="1"/>
  <c r="L11897" i="1"/>
  <c r="L11896" i="1"/>
  <c r="L11895" i="1"/>
  <c r="L11894" i="1"/>
  <c r="L11893" i="1"/>
  <c r="L11892" i="1"/>
  <c r="L11891" i="1"/>
  <c r="L11890" i="1"/>
  <c r="L11889" i="1"/>
  <c r="L11888" i="1"/>
  <c r="L11887" i="1"/>
  <c r="L11886" i="1"/>
  <c r="L11885" i="1"/>
  <c r="L11884" i="1"/>
  <c r="L11883" i="1"/>
  <c r="L11882" i="1"/>
  <c r="L11881" i="1"/>
  <c r="L11880" i="1"/>
  <c r="L11879" i="1"/>
  <c r="L11878" i="1"/>
  <c r="L11877" i="1"/>
  <c r="L11876" i="1"/>
  <c r="L11875" i="1"/>
  <c r="L11874" i="1"/>
  <c r="L11873" i="1"/>
  <c r="L11872" i="1"/>
  <c r="L11871" i="1"/>
  <c r="L11870" i="1"/>
  <c r="L11869" i="1"/>
  <c r="L11868" i="1"/>
  <c r="L11867" i="1"/>
  <c r="L11866" i="1"/>
  <c r="L11865" i="1"/>
  <c r="L11864" i="1"/>
  <c r="L11863" i="1"/>
  <c r="L11862" i="1"/>
  <c r="L11861" i="1"/>
  <c r="L11860" i="1"/>
  <c r="L11859" i="1"/>
  <c r="L11858" i="1"/>
  <c r="L11857" i="1"/>
  <c r="L11856" i="1"/>
  <c r="L11855" i="1"/>
  <c r="L11854" i="1"/>
  <c r="L11853" i="1"/>
  <c r="L11852" i="1"/>
  <c r="L11851" i="1"/>
  <c r="L11850" i="1"/>
  <c r="L11849" i="1"/>
  <c r="L11848" i="1"/>
  <c r="L11847" i="1"/>
  <c r="L11846" i="1"/>
  <c r="L11845" i="1"/>
  <c r="L11844" i="1"/>
  <c r="L11843" i="1"/>
  <c r="L11842" i="1"/>
  <c r="L11841" i="1"/>
  <c r="L11840" i="1"/>
  <c r="L11839" i="1"/>
  <c r="L11838" i="1"/>
  <c r="L11837" i="1"/>
  <c r="L11836" i="1"/>
  <c r="L11835" i="1"/>
  <c r="L11834" i="1"/>
  <c r="L11833" i="1"/>
  <c r="L11832" i="1"/>
  <c r="L11831" i="1"/>
  <c r="L11830" i="1"/>
  <c r="L11829" i="1"/>
  <c r="L11828" i="1"/>
  <c r="L11827" i="1"/>
  <c r="L11826" i="1"/>
  <c r="L11825" i="1"/>
  <c r="L11824" i="1"/>
  <c r="L11823" i="1"/>
  <c r="L11822" i="1"/>
  <c r="L11821" i="1"/>
  <c r="L11820" i="1"/>
  <c r="L11819" i="1"/>
  <c r="L11818" i="1"/>
  <c r="L11817" i="1"/>
  <c r="L11816" i="1"/>
  <c r="L11815" i="1"/>
  <c r="L11814" i="1"/>
  <c r="L11813" i="1"/>
  <c r="L11812" i="1"/>
  <c r="L11811" i="1"/>
  <c r="L11810" i="1"/>
  <c r="L11809" i="1"/>
  <c r="L11808" i="1"/>
  <c r="L11807" i="1"/>
  <c r="L11806" i="1"/>
  <c r="L11805" i="1"/>
  <c r="L11804" i="1"/>
  <c r="L11803" i="1"/>
  <c r="L11802" i="1"/>
  <c r="L11801" i="1"/>
  <c r="L11800" i="1"/>
  <c r="L11799" i="1"/>
  <c r="L11798" i="1"/>
  <c r="L11797" i="1"/>
  <c r="L11796" i="1"/>
  <c r="L11795" i="1"/>
  <c r="L11794" i="1"/>
  <c r="L11793" i="1"/>
  <c r="L11792" i="1"/>
  <c r="L11791" i="1"/>
  <c r="L11790" i="1"/>
  <c r="L11789" i="1"/>
  <c r="L11788" i="1"/>
  <c r="L11787" i="1"/>
  <c r="L11786" i="1"/>
  <c r="L11785" i="1"/>
  <c r="L11784" i="1"/>
  <c r="L11783" i="1"/>
  <c r="L11782" i="1"/>
  <c r="L11781" i="1"/>
  <c r="L11780" i="1"/>
  <c r="L11779" i="1"/>
  <c r="L11778" i="1"/>
  <c r="L11777" i="1"/>
  <c r="L11776" i="1"/>
  <c r="L11775" i="1"/>
  <c r="L11774" i="1"/>
  <c r="L11773" i="1"/>
  <c r="L11772" i="1"/>
  <c r="L11771" i="1"/>
  <c r="L11770" i="1"/>
  <c r="L11769" i="1"/>
  <c r="L11768" i="1"/>
  <c r="L11767" i="1"/>
  <c r="L11766" i="1"/>
  <c r="L11765" i="1"/>
  <c r="L11764" i="1"/>
  <c r="L11763" i="1"/>
  <c r="L11762" i="1"/>
  <c r="L11761" i="1"/>
  <c r="L11760" i="1"/>
  <c r="L11759" i="1"/>
  <c r="L11758" i="1"/>
  <c r="L11757" i="1"/>
  <c r="L11756" i="1"/>
  <c r="L11755" i="1"/>
  <c r="L11754" i="1"/>
  <c r="L11753" i="1"/>
  <c r="L11752" i="1"/>
  <c r="L11751" i="1"/>
  <c r="L11750" i="1"/>
  <c r="L11749" i="1"/>
  <c r="L11748" i="1"/>
  <c r="L11747" i="1"/>
  <c r="L11746" i="1"/>
  <c r="L11745" i="1"/>
  <c r="L11744" i="1"/>
  <c r="L11743" i="1"/>
  <c r="L11742" i="1"/>
  <c r="L11741" i="1"/>
  <c r="L11740" i="1"/>
  <c r="L11739" i="1"/>
  <c r="L11738" i="1"/>
  <c r="L11737" i="1"/>
  <c r="L11736" i="1"/>
  <c r="L11735" i="1"/>
  <c r="L11734" i="1"/>
  <c r="L11733" i="1"/>
  <c r="L11732" i="1"/>
  <c r="L11731" i="1"/>
  <c r="L11730" i="1"/>
  <c r="L11729" i="1"/>
  <c r="L11728" i="1"/>
  <c r="L11727" i="1"/>
  <c r="L11726" i="1"/>
  <c r="L11725" i="1"/>
  <c r="L11724" i="1"/>
  <c r="L11723" i="1"/>
  <c r="L11722" i="1"/>
  <c r="L11721" i="1"/>
  <c r="L11720" i="1"/>
  <c r="L11719" i="1"/>
  <c r="L11718" i="1"/>
  <c r="L11717" i="1"/>
  <c r="L11716" i="1"/>
  <c r="L11715" i="1"/>
  <c r="L11714" i="1"/>
  <c r="L11713" i="1"/>
  <c r="L11712" i="1"/>
  <c r="L11711" i="1"/>
  <c r="L11710" i="1"/>
  <c r="L11709" i="1"/>
  <c r="L11708" i="1"/>
  <c r="L11707" i="1"/>
  <c r="L11706" i="1"/>
  <c r="L11705" i="1"/>
  <c r="L11704" i="1"/>
  <c r="L11703" i="1"/>
  <c r="L11702" i="1"/>
  <c r="L11701" i="1"/>
  <c r="L11700" i="1"/>
  <c r="L11699" i="1"/>
  <c r="L11698" i="1"/>
  <c r="L11697" i="1"/>
  <c r="L11696" i="1"/>
  <c r="L11695" i="1"/>
  <c r="L11694" i="1"/>
  <c r="L11693" i="1"/>
  <c r="L11692" i="1"/>
  <c r="L11691" i="1"/>
  <c r="L11690" i="1"/>
  <c r="L11689" i="1"/>
  <c r="L11688" i="1"/>
  <c r="L11687" i="1"/>
  <c r="L11686" i="1"/>
  <c r="L11685" i="1"/>
  <c r="L11684" i="1"/>
  <c r="L11683" i="1"/>
  <c r="L11682" i="1"/>
  <c r="L11681" i="1"/>
  <c r="L11680" i="1"/>
  <c r="L11679" i="1"/>
  <c r="L11678" i="1"/>
  <c r="L11677" i="1"/>
  <c r="L11676" i="1"/>
  <c r="L11675" i="1"/>
  <c r="L11674" i="1"/>
  <c r="L11673" i="1"/>
  <c r="L11672" i="1"/>
  <c r="L11671" i="1"/>
  <c r="L11670" i="1"/>
  <c r="L11669" i="1"/>
  <c r="L11668" i="1"/>
  <c r="L11667" i="1"/>
  <c r="L11666" i="1"/>
  <c r="L11665" i="1"/>
  <c r="L11664" i="1"/>
  <c r="L11663" i="1"/>
  <c r="L11662" i="1"/>
  <c r="L11661" i="1"/>
  <c r="L11660" i="1"/>
  <c r="L11659" i="1"/>
  <c r="L11658" i="1"/>
  <c r="L11657" i="1"/>
  <c r="L11656" i="1"/>
  <c r="L11655" i="1"/>
  <c r="L11654" i="1"/>
  <c r="L11653" i="1"/>
  <c r="L11652" i="1"/>
  <c r="L11651" i="1"/>
  <c r="L11650" i="1"/>
  <c r="L11649" i="1"/>
  <c r="L11648" i="1"/>
  <c r="L11647" i="1"/>
  <c r="L11646" i="1"/>
  <c r="L11645" i="1"/>
  <c r="L11644" i="1"/>
  <c r="L11643" i="1"/>
  <c r="L11642" i="1"/>
  <c r="L11641" i="1"/>
  <c r="L11640" i="1"/>
  <c r="L11639" i="1"/>
  <c r="L11638" i="1"/>
  <c r="L11637" i="1"/>
  <c r="L11636" i="1"/>
  <c r="L11635" i="1"/>
  <c r="L11634" i="1"/>
  <c r="L11633" i="1"/>
  <c r="L11632" i="1"/>
  <c r="L11631" i="1"/>
  <c r="L11630" i="1"/>
  <c r="L11629" i="1"/>
  <c r="L11628" i="1"/>
  <c r="L11627" i="1"/>
  <c r="L11626" i="1"/>
  <c r="L11625" i="1"/>
  <c r="L11624" i="1"/>
  <c r="L11623" i="1"/>
  <c r="L11622" i="1"/>
  <c r="L11621" i="1"/>
  <c r="L11620" i="1"/>
  <c r="L11619" i="1"/>
  <c r="L11618" i="1"/>
  <c r="L11617" i="1"/>
  <c r="L11616" i="1"/>
  <c r="L11615" i="1"/>
  <c r="L11614" i="1"/>
  <c r="L11613" i="1"/>
  <c r="L11612" i="1"/>
  <c r="L11611" i="1"/>
  <c r="L11610" i="1"/>
  <c r="L11609" i="1"/>
  <c r="L11608" i="1"/>
  <c r="L11607" i="1"/>
  <c r="L11606" i="1"/>
  <c r="L11605" i="1"/>
  <c r="L11604" i="1"/>
  <c r="L11603" i="1"/>
  <c r="L11602" i="1"/>
  <c r="L11601" i="1"/>
  <c r="L11600" i="1"/>
  <c r="L11599" i="1"/>
  <c r="L11598" i="1"/>
  <c r="L11597" i="1"/>
  <c r="L11596" i="1"/>
  <c r="L11595" i="1"/>
  <c r="L11594" i="1"/>
  <c r="L11593" i="1"/>
  <c r="L11592" i="1"/>
  <c r="L11591" i="1"/>
  <c r="L11590" i="1"/>
  <c r="L11589" i="1"/>
  <c r="L11588" i="1"/>
  <c r="L11587" i="1"/>
  <c r="L11586" i="1"/>
  <c r="L11585" i="1"/>
  <c r="L11584" i="1"/>
  <c r="L11583" i="1"/>
  <c r="L11582" i="1"/>
  <c r="L11581" i="1"/>
  <c r="L11580" i="1"/>
  <c r="L11579" i="1"/>
  <c r="L11578" i="1"/>
  <c r="L11577" i="1"/>
  <c r="L11576" i="1"/>
  <c r="L11575" i="1"/>
  <c r="L11574" i="1"/>
  <c r="L11573" i="1"/>
  <c r="L11572" i="1"/>
  <c r="L11571" i="1"/>
  <c r="L11570" i="1"/>
  <c r="L11569" i="1"/>
  <c r="L11568" i="1"/>
  <c r="L11567" i="1"/>
  <c r="L11566" i="1"/>
  <c r="L11565" i="1"/>
  <c r="L11564" i="1"/>
  <c r="L11563" i="1"/>
  <c r="L11562" i="1"/>
  <c r="L11561" i="1"/>
  <c r="L11560" i="1"/>
  <c r="L11559" i="1"/>
  <c r="L11558" i="1"/>
  <c r="L11557" i="1"/>
  <c r="L11556" i="1"/>
  <c r="L11555" i="1"/>
  <c r="L11554" i="1"/>
  <c r="L11553" i="1"/>
  <c r="L11552" i="1"/>
  <c r="L11551" i="1"/>
  <c r="L11550" i="1"/>
  <c r="L11549" i="1"/>
  <c r="L11548" i="1"/>
  <c r="L11547" i="1"/>
  <c r="L11546" i="1"/>
  <c r="L11545" i="1"/>
  <c r="L11544" i="1"/>
  <c r="L11543" i="1"/>
  <c r="L11542" i="1"/>
  <c r="L11541" i="1"/>
  <c r="L11540" i="1"/>
  <c r="L11539" i="1"/>
  <c r="L11538" i="1"/>
  <c r="L11537" i="1"/>
  <c r="L11536" i="1"/>
  <c r="L11535" i="1"/>
  <c r="L11534" i="1"/>
  <c r="L11533" i="1"/>
  <c r="L11532" i="1"/>
  <c r="L11531" i="1"/>
  <c r="L11530" i="1"/>
  <c r="L11529" i="1"/>
  <c r="L11528" i="1"/>
  <c r="L11527" i="1"/>
  <c r="L11526" i="1"/>
  <c r="L11525" i="1"/>
  <c r="L11524" i="1"/>
  <c r="L11523" i="1"/>
  <c r="L11522" i="1"/>
  <c r="L11521" i="1"/>
  <c r="L11520" i="1"/>
  <c r="L11519" i="1"/>
  <c r="L11518" i="1"/>
  <c r="L11517" i="1"/>
  <c r="L11516" i="1"/>
  <c r="L11515" i="1"/>
  <c r="L11514" i="1"/>
  <c r="L11513" i="1"/>
  <c r="L11512" i="1"/>
  <c r="L11511" i="1"/>
  <c r="L11510" i="1"/>
  <c r="L11509" i="1"/>
  <c r="L11508" i="1"/>
  <c r="L11507" i="1"/>
  <c r="L11506" i="1"/>
  <c r="L11505" i="1"/>
  <c r="L11504" i="1"/>
  <c r="L11503" i="1"/>
  <c r="L11502" i="1"/>
  <c r="L11501" i="1"/>
  <c r="L11500" i="1"/>
  <c r="L11499" i="1"/>
  <c r="L11498" i="1"/>
  <c r="L11497" i="1"/>
  <c r="L11496" i="1"/>
  <c r="L11495" i="1"/>
  <c r="L11494" i="1"/>
  <c r="L11493" i="1"/>
  <c r="L11492" i="1"/>
  <c r="L11491" i="1"/>
  <c r="L11490" i="1"/>
  <c r="L11489" i="1"/>
  <c r="L11488" i="1"/>
  <c r="L11487" i="1"/>
  <c r="L11486" i="1"/>
  <c r="L11485" i="1"/>
  <c r="L11484" i="1"/>
  <c r="L11483" i="1"/>
  <c r="L11482" i="1"/>
  <c r="L11481" i="1"/>
  <c r="L11480" i="1"/>
  <c r="L11479" i="1"/>
  <c r="L11478" i="1"/>
  <c r="L11477" i="1"/>
  <c r="L11476" i="1"/>
  <c r="L11475" i="1"/>
  <c r="L11474" i="1"/>
  <c r="L11473" i="1"/>
  <c r="L11472" i="1"/>
  <c r="L11471" i="1"/>
  <c r="L11470" i="1"/>
  <c r="L11469" i="1"/>
  <c r="L11468" i="1"/>
  <c r="L11467" i="1"/>
  <c r="L11466" i="1"/>
  <c r="L11465" i="1"/>
  <c r="L11464" i="1"/>
  <c r="L11463" i="1"/>
  <c r="L11462" i="1"/>
  <c r="L11461" i="1"/>
  <c r="L11460" i="1"/>
  <c r="L11459" i="1"/>
  <c r="L11458" i="1"/>
  <c r="L11457" i="1"/>
  <c r="L11456" i="1"/>
  <c r="L11455" i="1"/>
  <c r="L11454" i="1"/>
  <c r="L11453" i="1"/>
  <c r="L11452" i="1"/>
  <c r="L11451" i="1"/>
  <c r="L11450" i="1"/>
  <c r="L11449" i="1"/>
  <c r="L11448" i="1"/>
  <c r="L11447" i="1"/>
  <c r="L11446" i="1"/>
  <c r="L11445" i="1"/>
  <c r="L11444" i="1"/>
  <c r="L11443" i="1"/>
  <c r="L11442" i="1"/>
  <c r="L11441" i="1"/>
  <c r="L11440" i="1"/>
  <c r="L11439" i="1"/>
  <c r="L11438" i="1"/>
  <c r="L11437" i="1"/>
  <c r="L11436" i="1"/>
  <c r="L11435" i="1"/>
  <c r="L11434" i="1"/>
  <c r="L11433" i="1"/>
  <c r="L11432" i="1"/>
  <c r="L11431" i="1"/>
  <c r="L11430" i="1"/>
  <c r="L11429" i="1"/>
  <c r="L11428" i="1"/>
  <c r="L11427" i="1"/>
  <c r="L11426" i="1"/>
  <c r="L11425" i="1"/>
  <c r="L11424" i="1"/>
  <c r="L11423" i="1"/>
  <c r="L11422" i="1"/>
  <c r="L11421" i="1"/>
  <c r="L11420" i="1"/>
  <c r="L11419" i="1"/>
  <c r="L11418" i="1"/>
  <c r="L11417" i="1"/>
  <c r="L11416" i="1"/>
  <c r="L11415" i="1"/>
  <c r="L11414" i="1"/>
  <c r="L11413" i="1"/>
  <c r="L11412" i="1"/>
  <c r="L11411" i="1"/>
  <c r="L11410" i="1"/>
  <c r="L11409" i="1"/>
  <c r="L11408" i="1"/>
  <c r="L11407" i="1"/>
  <c r="L11406" i="1"/>
  <c r="L11405" i="1"/>
  <c r="L11404" i="1"/>
  <c r="L11403" i="1"/>
  <c r="L11402" i="1"/>
  <c r="L11401" i="1"/>
  <c r="L11400" i="1"/>
  <c r="L11399" i="1"/>
  <c r="L11398" i="1"/>
  <c r="L11397" i="1"/>
  <c r="L11396" i="1"/>
  <c r="L11395" i="1"/>
  <c r="L11394" i="1"/>
  <c r="L11393" i="1"/>
  <c r="L11392" i="1"/>
  <c r="L11391" i="1"/>
  <c r="L11390" i="1"/>
  <c r="L11389" i="1"/>
  <c r="L11388" i="1"/>
  <c r="L11387" i="1"/>
  <c r="L11386" i="1"/>
  <c r="L11385" i="1"/>
  <c r="L11384" i="1"/>
  <c r="L11383" i="1"/>
  <c r="L11382" i="1"/>
  <c r="L11381" i="1"/>
  <c r="L11380" i="1"/>
  <c r="L11379" i="1"/>
  <c r="L11378" i="1"/>
  <c r="L11377" i="1"/>
  <c r="L11376" i="1"/>
  <c r="L11375" i="1"/>
  <c r="L11374" i="1"/>
  <c r="L11373" i="1"/>
  <c r="L11372" i="1"/>
  <c r="L11371" i="1"/>
  <c r="L11370" i="1"/>
  <c r="L11369" i="1"/>
  <c r="L11368" i="1"/>
  <c r="L11367" i="1"/>
  <c r="L11366" i="1"/>
  <c r="L11365" i="1"/>
  <c r="L11364" i="1"/>
  <c r="L11363" i="1"/>
  <c r="L11362" i="1"/>
  <c r="L11361" i="1"/>
  <c r="L11360" i="1"/>
  <c r="L11359" i="1"/>
  <c r="L11358" i="1"/>
  <c r="L11357" i="1"/>
  <c r="L11356" i="1"/>
  <c r="L11355" i="1"/>
  <c r="L11354" i="1"/>
  <c r="L11353" i="1"/>
  <c r="L11352" i="1"/>
  <c r="L11351" i="1"/>
  <c r="L11350" i="1"/>
  <c r="L11349" i="1"/>
  <c r="L11348" i="1"/>
  <c r="L11347" i="1"/>
  <c r="L11346" i="1"/>
  <c r="L11345" i="1"/>
  <c r="L11344" i="1"/>
  <c r="L11343" i="1"/>
  <c r="L11342" i="1"/>
  <c r="L11341" i="1"/>
  <c r="L11340" i="1"/>
  <c r="L11339" i="1"/>
  <c r="L11338" i="1"/>
  <c r="L11337" i="1"/>
  <c r="L11336" i="1"/>
  <c r="L11335" i="1"/>
  <c r="L11334" i="1"/>
  <c r="L11333" i="1"/>
  <c r="L11332" i="1"/>
  <c r="L11331" i="1"/>
  <c r="L11330" i="1"/>
  <c r="L11329" i="1"/>
  <c r="L11328" i="1"/>
  <c r="L11327" i="1"/>
  <c r="L11326" i="1"/>
  <c r="L11325" i="1"/>
  <c r="L11324" i="1"/>
  <c r="L11323" i="1"/>
  <c r="L11322" i="1"/>
  <c r="L11321" i="1"/>
  <c r="L11320" i="1"/>
  <c r="L11319" i="1"/>
  <c r="L11318" i="1"/>
  <c r="L11317" i="1"/>
  <c r="L11316" i="1"/>
  <c r="L11315" i="1"/>
  <c r="L11314" i="1"/>
  <c r="L11313" i="1"/>
  <c r="L11312" i="1"/>
  <c r="L11311" i="1"/>
  <c r="L11310" i="1"/>
  <c r="L11309" i="1"/>
  <c r="L11308" i="1"/>
  <c r="L11307" i="1"/>
  <c r="L11306" i="1"/>
  <c r="L11305" i="1"/>
  <c r="L11304" i="1"/>
  <c r="L11303" i="1"/>
  <c r="L11302" i="1"/>
  <c r="L11301" i="1"/>
  <c r="L11300" i="1"/>
  <c r="L11299" i="1"/>
  <c r="L11298" i="1"/>
  <c r="L11297" i="1"/>
  <c r="L11296" i="1"/>
  <c r="L11295" i="1"/>
  <c r="L11294" i="1"/>
  <c r="L11293" i="1"/>
  <c r="L11292" i="1"/>
  <c r="L11291" i="1"/>
  <c r="L11290" i="1"/>
  <c r="L11289" i="1"/>
  <c r="L11288" i="1"/>
  <c r="L11287" i="1"/>
  <c r="L11286" i="1"/>
  <c r="L11285" i="1"/>
  <c r="L11284" i="1"/>
  <c r="L11283" i="1"/>
  <c r="L11282" i="1"/>
  <c r="L11281" i="1"/>
  <c r="L11280" i="1"/>
  <c r="L11279" i="1"/>
  <c r="L11278" i="1"/>
  <c r="L11277" i="1"/>
  <c r="L11276" i="1"/>
  <c r="L11275" i="1"/>
  <c r="L11274" i="1"/>
  <c r="L11273" i="1"/>
  <c r="L11272" i="1"/>
  <c r="L11271" i="1"/>
  <c r="L11270" i="1"/>
  <c r="L11269" i="1"/>
  <c r="L11268" i="1"/>
  <c r="L11267" i="1"/>
  <c r="L11266" i="1"/>
  <c r="L11265" i="1"/>
  <c r="L11264" i="1"/>
  <c r="L11263" i="1"/>
  <c r="L11262" i="1"/>
  <c r="L11261" i="1"/>
  <c r="L11260" i="1"/>
  <c r="L11259" i="1"/>
  <c r="L11258" i="1"/>
  <c r="L11257" i="1"/>
  <c r="L11256" i="1"/>
  <c r="L11255" i="1"/>
  <c r="L11254" i="1"/>
  <c r="L11253" i="1"/>
  <c r="L11252" i="1"/>
  <c r="L11251" i="1"/>
  <c r="L11250" i="1"/>
  <c r="L11249" i="1"/>
  <c r="L11248" i="1"/>
  <c r="L11247" i="1"/>
  <c r="L11246" i="1"/>
  <c r="L11245" i="1"/>
  <c r="L11244" i="1"/>
  <c r="L11243" i="1"/>
  <c r="L11242" i="1"/>
  <c r="L11241" i="1"/>
  <c r="L11240" i="1"/>
  <c r="L11239" i="1"/>
  <c r="L11238" i="1"/>
  <c r="L11237" i="1"/>
  <c r="L11236" i="1"/>
  <c r="L11235" i="1"/>
  <c r="L11234" i="1"/>
  <c r="L11233" i="1"/>
  <c r="L11232" i="1"/>
  <c r="L11231" i="1"/>
  <c r="L11230" i="1"/>
  <c r="L11229" i="1"/>
  <c r="L11228" i="1"/>
  <c r="L11227" i="1"/>
  <c r="L11226" i="1"/>
  <c r="L11225" i="1"/>
  <c r="L11224" i="1"/>
  <c r="L11223" i="1"/>
  <c r="L11222" i="1"/>
  <c r="L11221" i="1"/>
  <c r="L11220" i="1"/>
  <c r="L11219" i="1"/>
  <c r="L11218" i="1"/>
  <c r="L11217" i="1"/>
  <c r="L11216" i="1"/>
  <c r="L11215" i="1"/>
  <c r="L11214" i="1"/>
  <c r="L11213" i="1"/>
  <c r="L11212" i="1"/>
  <c r="L11211" i="1"/>
  <c r="L11210" i="1"/>
  <c r="L11209" i="1"/>
  <c r="L11208" i="1"/>
  <c r="L11207" i="1"/>
  <c r="L11206" i="1"/>
  <c r="L11205" i="1"/>
  <c r="L11204" i="1"/>
  <c r="L11203" i="1"/>
  <c r="L11202" i="1"/>
  <c r="L11201" i="1"/>
  <c r="L11200" i="1"/>
  <c r="L11199" i="1"/>
  <c r="L11198" i="1"/>
  <c r="L11197" i="1"/>
  <c r="L11196" i="1"/>
  <c r="L11195" i="1"/>
  <c r="L11194" i="1"/>
  <c r="L11193" i="1"/>
  <c r="L11192" i="1"/>
  <c r="L11191" i="1"/>
  <c r="L11190" i="1"/>
  <c r="L11189" i="1"/>
  <c r="L11188" i="1"/>
  <c r="L11187" i="1"/>
  <c r="L11186" i="1"/>
  <c r="L11185" i="1"/>
  <c r="L11184" i="1"/>
  <c r="L11183" i="1"/>
  <c r="L11182" i="1"/>
  <c r="L11181" i="1"/>
  <c r="L11180" i="1"/>
  <c r="L11179" i="1"/>
  <c r="L11178" i="1"/>
  <c r="L11177" i="1"/>
  <c r="L11176" i="1"/>
  <c r="L11175" i="1"/>
  <c r="L11174" i="1"/>
  <c r="L11173" i="1"/>
  <c r="L11172" i="1"/>
  <c r="L11171" i="1"/>
  <c r="L11170" i="1"/>
  <c r="L11169" i="1"/>
  <c r="L11168" i="1"/>
  <c r="L11167" i="1"/>
  <c r="L11166" i="1"/>
  <c r="L11165" i="1"/>
  <c r="L11164" i="1"/>
  <c r="L11163" i="1"/>
  <c r="L11162" i="1"/>
  <c r="L11161" i="1"/>
  <c r="L11160" i="1"/>
  <c r="L11159" i="1"/>
  <c r="L11158" i="1"/>
  <c r="L11157" i="1"/>
  <c r="L11156" i="1"/>
  <c r="L11155" i="1"/>
  <c r="L11154" i="1"/>
  <c r="L11153" i="1"/>
  <c r="L11152" i="1"/>
  <c r="L11151" i="1"/>
  <c r="L11150" i="1"/>
  <c r="L11149" i="1"/>
  <c r="L11148" i="1"/>
  <c r="L11147" i="1"/>
  <c r="L11146" i="1"/>
  <c r="L11145" i="1"/>
  <c r="L11144" i="1"/>
  <c r="L11143" i="1"/>
  <c r="L11142" i="1"/>
  <c r="L11141" i="1"/>
  <c r="L11140" i="1"/>
  <c r="L11139" i="1"/>
  <c r="L11138" i="1"/>
  <c r="L11137" i="1"/>
  <c r="L11136" i="1"/>
  <c r="L11135" i="1"/>
  <c r="L11134" i="1"/>
  <c r="L11133" i="1"/>
  <c r="L11132" i="1"/>
  <c r="L11131" i="1"/>
  <c r="L11130" i="1"/>
  <c r="L11129" i="1"/>
  <c r="L11128" i="1"/>
  <c r="L11127" i="1"/>
  <c r="L11126" i="1"/>
  <c r="L11125" i="1"/>
  <c r="L11124" i="1"/>
  <c r="L11123" i="1"/>
  <c r="L11122" i="1"/>
  <c r="L11121" i="1"/>
  <c r="L11120" i="1"/>
  <c r="L11119" i="1"/>
  <c r="L11118" i="1"/>
  <c r="L11117" i="1"/>
  <c r="L11116" i="1"/>
  <c r="L11115" i="1"/>
  <c r="L11114" i="1"/>
  <c r="L11113" i="1"/>
  <c r="L11112" i="1"/>
  <c r="L11111" i="1"/>
  <c r="L11110" i="1"/>
  <c r="L11109" i="1"/>
  <c r="L11108" i="1"/>
  <c r="L11107" i="1"/>
  <c r="L11106" i="1"/>
  <c r="L11105" i="1"/>
  <c r="L11104" i="1"/>
  <c r="L11103" i="1"/>
  <c r="L11102" i="1"/>
  <c r="L11101" i="1"/>
  <c r="L11100" i="1"/>
  <c r="L11099" i="1"/>
  <c r="L11098" i="1"/>
  <c r="L11097" i="1"/>
  <c r="L11096" i="1"/>
  <c r="L11095" i="1"/>
  <c r="L11094" i="1"/>
  <c r="L11093" i="1"/>
  <c r="L11092" i="1"/>
  <c r="L11091" i="1"/>
  <c r="L11090" i="1"/>
  <c r="L11089" i="1"/>
  <c r="L11088" i="1"/>
  <c r="L11087" i="1"/>
  <c r="L11086" i="1"/>
  <c r="L11085" i="1"/>
  <c r="L11084" i="1"/>
  <c r="L11083" i="1"/>
  <c r="L11082" i="1"/>
  <c r="L11081" i="1"/>
  <c r="L11080" i="1"/>
  <c r="L11079" i="1"/>
  <c r="L11078" i="1"/>
  <c r="L11077" i="1"/>
  <c r="L11076" i="1"/>
  <c r="L11075" i="1"/>
  <c r="L11074" i="1"/>
  <c r="L11073" i="1"/>
  <c r="L11072" i="1"/>
  <c r="L11071" i="1"/>
  <c r="L11070" i="1"/>
  <c r="L11069" i="1"/>
  <c r="L11068" i="1"/>
  <c r="L11067" i="1"/>
  <c r="L11066" i="1"/>
  <c r="L11065" i="1"/>
  <c r="L11064" i="1"/>
  <c r="L11063" i="1"/>
  <c r="L11062" i="1"/>
  <c r="L11061" i="1"/>
  <c r="L11060" i="1"/>
  <c r="L11059" i="1"/>
  <c r="L11058" i="1"/>
  <c r="L11057" i="1"/>
  <c r="L11056" i="1"/>
  <c r="L11055" i="1"/>
  <c r="L11054" i="1"/>
  <c r="L11053" i="1"/>
  <c r="L11052" i="1"/>
  <c r="L11051" i="1"/>
  <c r="L11050" i="1"/>
  <c r="L11049" i="1"/>
  <c r="L11048" i="1"/>
  <c r="L11047" i="1"/>
  <c r="L11046" i="1"/>
  <c r="L11045" i="1"/>
  <c r="L11044" i="1"/>
  <c r="L11043" i="1"/>
  <c r="L11042" i="1"/>
  <c r="L11041" i="1"/>
  <c r="L11040" i="1"/>
  <c r="L11039" i="1"/>
  <c r="L11038" i="1"/>
  <c r="L11037" i="1"/>
  <c r="L11036" i="1"/>
  <c r="L11035" i="1"/>
  <c r="L11034" i="1"/>
  <c r="L11033" i="1"/>
  <c r="L11032" i="1"/>
  <c r="L11031" i="1"/>
  <c r="L11030" i="1"/>
  <c r="L11029" i="1"/>
  <c r="L11028" i="1"/>
  <c r="L11027" i="1"/>
  <c r="L11026" i="1"/>
  <c r="L11025" i="1"/>
  <c r="L11024" i="1"/>
  <c r="L11023" i="1"/>
  <c r="L11022" i="1"/>
  <c r="L11021" i="1"/>
  <c r="L11020" i="1"/>
  <c r="L11019" i="1"/>
  <c r="L11018" i="1"/>
  <c r="L11017" i="1"/>
  <c r="L11016" i="1"/>
  <c r="L11015" i="1"/>
  <c r="L11014" i="1"/>
  <c r="L11013" i="1"/>
  <c r="L11012" i="1"/>
  <c r="L11011" i="1"/>
  <c r="L11010" i="1"/>
  <c r="L11009" i="1"/>
  <c r="L11008" i="1"/>
  <c r="L11007" i="1"/>
  <c r="L11006" i="1"/>
  <c r="L11005" i="1"/>
  <c r="L11004" i="1"/>
  <c r="L11003" i="1"/>
  <c r="L11002" i="1"/>
  <c r="L11001" i="1"/>
  <c r="L11000" i="1"/>
  <c r="L10999" i="1"/>
  <c r="L10998" i="1"/>
  <c r="L10997" i="1"/>
  <c r="L10996" i="1"/>
  <c r="L10995" i="1"/>
  <c r="L10994" i="1"/>
  <c r="L10993" i="1"/>
  <c r="L10992" i="1"/>
  <c r="L10991" i="1"/>
  <c r="L10990" i="1"/>
  <c r="L10989" i="1"/>
  <c r="L10988" i="1"/>
  <c r="L10987" i="1"/>
  <c r="L10986" i="1"/>
  <c r="L10985" i="1"/>
  <c r="L10984" i="1"/>
  <c r="L10983" i="1"/>
  <c r="L10982" i="1"/>
  <c r="L10981" i="1"/>
  <c r="L10980" i="1"/>
  <c r="L10979" i="1"/>
  <c r="L10978" i="1"/>
  <c r="L10977" i="1"/>
  <c r="L10976" i="1"/>
  <c r="L10975" i="1"/>
  <c r="L10974" i="1"/>
  <c r="L10973" i="1"/>
  <c r="L10972" i="1"/>
  <c r="L10971" i="1"/>
  <c r="L10970" i="1"/>
  <c r="L10969" i="1"/>
  <c r="L10968" i="1"/>
  <c r="L10967" i="1"/>
  <c r="L10966" i="1"/>
  <c r="L10965" i="1"/>
  <c r="L10964" i="1"/>
  <c r="L10963" i="1"/>
  <c r="L10962" i="1"/>
  <c r="L10961" i="1"/>
  <c r="L10960" i="1"/>
  <c r="L10959" i="1"/>
  <c r="L10958" i="1"/>
  <c r="L10957" i="1"/>
  <c r="L10956" i="1"/>
  <c r="L10955" i="1"/>
  <c r="L10954" i="1"/>
  <c r="L10953" i="1"/>
  <c r="L10952" i="1"/>
  <c r="L10951" i="1"/>
  <c r="L10950" i="1"/>
  <c r="L10949" i="1"/>
  <c r="L10948" i="1"/>
  <c r="L10947" i="1"/>
  <c r="L10946" i="1"/>
  <c r="L10945" i="1"/>
  <c r="L10944" i="1"/>
  <c r="L10943" i="1"/>
  <c r="L10942" i="1"/>
  <c r="L10941" i="1"/>
  <c r="L10940" i="1"/>
  <c r="L10939" i="1"/>
  <c r="L10938" i="1"/>
  <c r="L10937" i="1"/>
  <c r="L10936" i="1"/>
  <c r="L10935" i="1"/>
  <c r="L10934" i="1"/>
  <c r="L10933" i="1"/>
  <c r="L10932" i="1"/>
  <c r="L10931" i="1"/>
  <c r="L10930" i="1"/>
  <c r="L10929" i="1"/>
  <c r="L10928" i="1"/>
  <c r="L10927" i="1"/>
  <c r="L10926" i="1"/>
  <c r="L10925" i="1"/>
  <c r="L10924" i="1"/>
  <c r="L10923" i="1"/>
  <c r="L10922" i="1"/>
  <c r="L10921" i="1"/>
  <c r="L10920" i="1"/>
  <c r="L10919" i="1"/>
  <c r="L10918" i="1"/>
  <c r="L10917" i="1"/>
  <c r="L10916" i="1"/>
  <c r="L10915" i="1"/>
  <c r="L10914" i="1"/>
  <c r="L10913" i="1"/>
  <c r="L10912" i="1"/>
  <c r="L10911" i="1"/>
  <c r="L10910" i="1"/>
  <c r="L10909" i="1"/>
  <c r="L10908" i="1"/>
  <c r="L10907" i="1"/>
  <c r="L10906" i="1"/>
  <c r="L10905" i="1"/>
  <c r="L10904" i="1"/>
  <c r="L10903" i="1"/>
  <c r="L10902" i="1"/>
  <c r="L10901" i="1"/>
  <c r="L10900" i="1"/>
  <c r="L10899" i="1"/>
  <c r="L10898" i="1"/>
  <c r="L10897" i="1"/>
  <c r="L10896" i="1"/>
  <c r="L10895" i="1"/>
  <c r="L10894" i="1"/>
  <c r="L10893" i="1"/>
  <c r="L10892" i="1"/>
  <c r="L10891" i="1"/>
  <c r="L10890" i="1"/>
  <c r="L10889" i="1"/>
  <c r="L10888" i="1"/>
  <c r="L10887" i="1"/>
  <c r="L10886" i="1"/>
  <c r="L10885" i="1"/>
  <c r="L10884" i="1"/>
  <c r="L10883" i="1"/>
  <c r="L10882" i="1"/>
  <c r="L10881" i="1"/>
  <c r="L10880" i="1"/>
  <c r="L10879" i="1"/>
  <c r="L10878" i="1"/>
  <c r="L10877" i="1"/>
  <c r="L10876" i="1"/>
  <c r="L10875" i="1"/>
  <c r="L10874" i="1"/>
  <c r="L10873" i="1"/>
  <c r="L10872" i="1"/>
  <c r="L10871" i="1"/>
  <c r="L10870" i="1"/>
  <c r="L10869" i="1"/>
  <c r="L10868" i="1"/>
  <c r="L10867" i="1"/>
  <c r="L10866" i="1"/>
  <c r="L10865" i="1"/>
  <c r="L10864" i="1"/>
  <c r="L10863" i="1"/>
  <c r="L10862" i="1"/>
  <c r="L10861" i="1"/>
  <c r="L10860" i="1"/>
  <c r="L10859" i="1"/>
  <c r="L10858" i="1"/>
  <c r="L10857" i="1"/>
  <c r="L10856" i="1"/>
  <c r="L10855" i="1"/>
  <c r="L10854" i="1"/>
  <c r="L10853" i="1"/>
  <c r="L10852" i="1"/>
  <c r="L10851" i="1"/>
  <c r="L10850" i="1"/>
  <c r="L10849" i="1"/>
  <c r="L10848" i="1"/>
  <c r="L10847" i="1"/>
  <c r="L10846" i="1"/>
  <c r="L10845" i="1"/>
  <c r="L10844" i="1"/>
  <c r="L10843" i="1"/>
  <c r="L10842" i="1"/>
  <c r="L10841" i="1"/>
  <c r="L10840" i="1"/>
  <c r="L10839" i="1"/>
  <c r="L10838" i="1"/>
  <c r="L10837" i="1"/>
  <c r="L10836" i="1"/>
  <c r="L10835" i="1"/>
  <c r="L10834" i="1"/>
  <c r="L10833" i="1"/>
  <c r="L10832" i="1"/>
  <c r="L10831" i="1"/>
  <c r="L10830" i="1"/>
  <c r="L10829" i="1"/>
  <c r="L10828" i="1"/>
  <c r="L10827" i="1"/>
  <c r="L10826" i="1"/>
  <c r="L10825" i="1"/>
  <c r="L10824" i="1"/>
  <c r="L10823" i="1"/>
  <c r="L10822" i="1"/>
  <c r="L10821" i="1"/>
  <c r="L10820" i="1"/>
  <c r="L10819" i="1"/>
  <c r="L10818" i="1"/>
  <c r="L10817" i="1"/>
  <c r="L10816" i="1"/>
  <c r="L10815" i="1"/>
  <c r="L10814" i="1"/>
  <c r="L10813" i="1"/>
  <c r="L10812" i="1"/>
  <c r="L10811" i="1"/>
  <c r="L10810" i="1"/>
  <c r="L10809" i="1"/>
  <c r="L10808" i="1"/>
  <c r="L10807" i="1"/>
  <c r="L10806" i="1"/>
  <c r="L10805" i="1"/>
  <c r="L10804" i="1"/>
  <c r="L10803" i="1"/>
  <c r="L10802" i="1"/>
  <c r="L10801" i="1"/>
  <c r="L10800" i="1"/>
  <c r="L10799" i="1"/>
  <c r="L10798" i="1"/>
  <c r="L10797" i="1"/>
  <c r="L10796" i="1"/>
  <c r="L10795" i="1"/>
  <c r="L10794" i="1"/>
  <c r="L10793" i="1"/>
  <c r="L10792" i="1"/>
  <c r="L10791" i="1"/>
  <c r="L10790" i="1"/>
  <c r="L10789" i="1"/>
  <c r="L10788" i="1"/>
  <c r="L10787" i="1"/>
  <c r="L10786" i="1"/>
  <c r="L10785" i="1"/>
  <c r="L10784" i="1"/>
  <c r="L10783" i="1"/>
  <c r="L10782" i="1"/>
  <c r="L10781" i="1"/>
  <c r="L10780" i="1"/>
  <c r="L10779" i="1"/>
  <c r="L10778" i="1"/>
  <c r="L10777" i="1"/>
  <c r="L10776" i="1"/>
  <c r="L10775" i="1"/>
  <c r="L10774" i="1"/>
  <c r="L10773" i="1"/>
  <c r="L10772" i="1"/>
  <c r="L10771" i="1"/>
  <c r="L10770" i="1"/>
  <c r="L10769" i="1"/>
  <c r="L10768" i="1"/>
  <c r="L10767" i="1"/>
  <c r="L10766" i="1"/>
  <c r="L10765" i="1"/>
  <c r="L10764" i="1"/>
  <c r="L10763" i="1"/>
  <c r="L10762" i="1"/>
  <c r="L10761" i="1"/>
  <c r="L10760" i="1"/>
  <c r="L10759" i="1"/>
  <c r="L10758" i="1"/>
  <c r="L10757" i="1"/>
  <c r="L10756" i="1"/>
  <c r="L10755" i="1"/>
  <c r="L10754" i="1"/>
  <c r="L10753" i="1"/>
  <c r="L10752" i="1"/>
  <c r="L10751" i="1"/>
  <c r="L10750" i="1"/>
  <c r="L10749" i="1"/>
  <c r="L10748" i="1"/>
  <c r="L10747" i="1"/>
  <c r="L10746" i="1"/>
  <c r="L10745" i="1"/>
  <c r="L10744" i="1"/>
  <c r="L10743" i="1"/>
  <c r="L10742" i="1"/>
  <c r="L10741" i="1"/>
  <c r="L10740" i="1"/>
  <c r="L10739" i="1"/>
  <c r="L10738" i="1"/>
  <c r="L10737" i="1"/>
  <c r="L10736" i="1"/>
  <c r="L10735" i="1"/>
  <c r="L10734" i="1"/>
  <c r="L10733" i="1"/>
  <c r="L10732" i="1"/>
  <c r="L10731" i="1"/>
  <c r="L10730" i="1"/>
  <c r="L10729" i="1"/>
  <c r="L10728" i="1"/>
  <c r="L10727" i="1"/>
  <c r="L10726" i="1"/>
  <c r="L10725" i="1"/>
  <c r="L10724" i="1"/>
  <c r="L10723" i="1"/>
  <c r="L10722" i="1"/>
  <c r="L10721" i="1"/>
  <c r="L10720" i="1"/>
  <c r="L10719" i="1"/>
  <c r="L10718" i="1"/>
  <c r="L10717" i="1"/>
  <c r="L10716" i="1"/>
  <c r="L10715" i="1"/>
  <c r="L10714" i="1"/>
  <c r="L10713" i="1"/>
  <c r="L10712" i="1"/>
  <c r="L10711" i="1"/>
  <c r="L10710" i="1"/>
  <c r="L10709" i="1"/>
  <c r="L10708" i="1"/>
  <c r="L10707" i="1"/>
  <c r="L10706" i="1"/>
  <c r="L10705" i="1"/>
  <c r="L10704" i="1"/>
  <c r="L10703" i="1"/>
  <c r="L10702" i="1"/>
  <c r="L10701" i="1"/>
  <c r="L10700" i="1"/>
  <c r="L10699" i="1"/>
  <c r="L10698" i="1"/>
  <c r="L10697" i="1"/>
  <c r="L10696" i="1"/>
  <c r="L10695" i="1"/>
  <c r="L10694" i="1"/>
  <c r="L10693" i="1"/>
  <c r="L10692" i="1"/>
  <c r="L10691" i="1"/>
  <c r="L10690" i="1"/>
  <c r="L10689" i="1"/>
  <c r="L10688" i="1"/>
  <c r="L10687" i="1"/>
  <c r="L10686" i="1"/>
  <c r="L10685" i="1"/>
  <c r="L10684" i="1"/>
  <c r="L10683" i="1"/>
  <c r="L10682" i="1"/>
  <c r="L10681" i="1"/>
  <c r="L10680" i="1"/>
  <c r="L10679" i="1"/>
  <c r="L10678" i="1"/>
  <c r="L10677" i="1"/>
  <c r="L10676" i="1"/>
  <c r="L10675" i="1"/>
  <c r="L10674" i="1"/>
  <c r="L10673" i="1"/>
  <c r="L10672" i="1"/>
  <c r="L10671" i="1"/>
  <c r="L10670" i="1"/>
  <c r="L10669" i="1"/>
  <c r="L10668" i="1"/>
  <c r="L10667" i="1"/>
  <c r="L10666" i="1"/>
  <c r="L10665" i="1"/>
  <c r="L10664" i="1"/>
  <c r="L10663" i="1"/>
  <c r="L10662" i="1"/>
  <c r="L10661" i="1"/>
  <c r="L10660" i="1"/>
  <c r="L10659" i="1"/>
  <c r="L10658" i="1"/>
  <c r="L10657" i="1"/>
  <c r="L10656" i="1"/>
  <c r="L10655" i="1"/>
  <c r="L10654" i="1"/>
  <c r="L10653" i="1"/>
  <c r="L10652" i="1"/>
  <c r="L10651" i="1"/>
  <c r="L10650" i="1"/>
  <c r="L10649" i="1"/>
  <c r="L10648" i="1"/>
  <c r="L10647" i="1"/>
  <c r="L10646" i="1"/>
  <c r="L10645" i="1"/>
  <c r="L10644" i="1"/>
  <c r="L10643" i="1"/>
  <c r="L10642" i="1"/>
  <c r="L10641" i="1"/>
  <c r="L10640" i="1"/>
  <c r="L10639" i="1"/>
  <c r="L10638" i="1"/>
  <c r="L10637" i="1"/>
  <c r="L10636" i="1"/>
  <c r="L10635" i="1"/>
  <c r="L10634" i="1"/>
  <c r="L10633" i="1"/>
  <c r="L10632" i="1"/>
  <c r="L10631" i="1"/>
  <c r="L10630" i="1"/>
  <c r="L10629" i="1"/>
  <c r="L10628" i="1"/>
  <c r="L10627" i="1"/>
  <c r="L10626" i="1"/>
  <c r="L10625" i="1"/>
  <c r="L10624" i="1"/>
  <c r="L10623" i="1"/>
  <c r="L10622" i="1"/>
  <c r="L10621" i="1"/>
  <c r="L10620" i="1"/>
  <c r="L10619" i="1"/>
  <c r="L10618" i="1"/>
  <c r="L10617" i="1"/>
  <c r="L10616" i="1"/>
  <c r="L10615" i="1"/>
  <c r="L10614" i="1"/>
  <c r="L10613" i="1"/>
  <c r="L10612" i="1"/>
  <c r="L10611" i="1"/>
  <c r="L10610" i="1"/>
  <c r="L10609" i="1"/>
  <c r="L10608" i="1"/>
  <c r="L10607" i="1"/>
  <c r="L10606" i="1"/>
  <c r="L10605" i="1"/>
  <c r="L10604" i="1"/>
  <c r="L10603" i="1"/>
  <c r="L10602" i="1"/>
  <c r="L10601" i="1"/>
  <c r="L10600" i="1"/>
  <c r="L10599" i="1"/>
  <c r="L10598" i="1"/>
  <c r="L10597" i="1"/>
  <c r="L10596" i="1"/>
  <c r="L10595" i="1"/>
  <c r="L10594" i="1"/>
  <c r="L10593" i="1"/>
  <c r="L10592" i="1"/>
  <c r="L10591" i="1"/>
  <c r="L10590" i="1"/>
  <c r="L10589" i="1"/>
  <c r="L10588" i="1"/>
  <c r="L10587" i="1"/>
  <c r="L10586" i="1"/>
  <c r="L10585" i="1"/>
  <c r="L10584" i="1"/>
  <c r="L10583" i="1"/>
  <c r="L10582" i="1"/>
  <c r="L10581" i="1"/>
  <c r="L10580" i="1"/>
  <c r="L10579" i="1"/>
  <c r="L10578" i="1"/>
  <c r="L10577" i="1"/>
  <c r="L10576" i="1"/>
  <c r="L10575" i="1"/>
  <c r="L10574" i="1"/>
  <c r="L10573" i="1"/>
  <c r="L10572" i="1"/>
  <c r="L10571" i="1"/>
  <c r="L10570" i="1"/>
  <c r="L10569" i="1"/>
  <c r="L10568" i="1"/>
  <c r="L10567" i="1"/>
  <c r="L10566" i="1"/>
  <c r="L10565" i="1"/>
  <c r="L10564" i="1"/>
  <c r="L10563" i="1"/>
  <c r="L10562" i="1"/>
  <c r="L10561" i="1"/>
  <c r="L10560" i="1"/>
  <c r="L10559" i="1"/>
  <c r="L10558" i="1"/>
  <c r="L10557" i="1"/>
  <c r="L10556" i="1"/>
  <c r="L10555" i="1"/>
  <c r="L10554" i="1"/>
  <c r="L10553" i="1"/>
  <c r="L10552" i="1"/>
  <c r="L10551" i="1"/>
  <c r="L10550" i="1"/>
  <c r="L10549" i="1"/>
  <c r="L10548" i="1"/>
  <c r="L10547" i="1"/>
  <c r="L10546" i="1"/>
  <c r="L10545" i="1"/>
  <c r="L10544" i="1"/>
  <c r="L10543" i="1"/>
  <c r="L10542" i="1"/>
  <c r="L10541" i="1"/>
  <c r="L10540" i="1"/>
  <c r="L10539" i="1"/>
  <c r="L10538" i="1"/>
  <c r="L10537" i="1"/>
  <c r="L10536" i="1"/>
  <c r="L10535" i="1"/>
  <c r="L10534" i="1"/>
  <c r="L10533" i="1"/>
  <c r="L10532" i="1"/>
  <c r="L10531" i="1"/>
  <c r="L10530" i="1"/>
  <c r="L10529" i="1"/>
  <c r="L10528" i="1"/>
  <c r="L10527" i="1"/>
  <c r="L10526" i="1"/>
  <c r="L10525" i="1"/>
  <c r="L10524" i="1"/>
  <c r="L10523" i="1"/>
  <c r="L10522" i="1"/>
  <c r="L10521" i="1"/>
  <c r="L10520" i="1"/>
  <c r="L10519" i="1"/>
  <c r="L10518" i="1"/>
  <c r="L10517" i="1"/>
  <c r="L10516" i="1"/>
  <c r="L10515" i="1"/>
  <c r="L10514" i="1"/>
  <c r="L10513" i="1"/>
  <c r="L10512" i="1"/>
  <c r="L10511" i="1"/>
  <c r="L10510" i="1"/>
  <c r="L10509" i="1"/>
  <c r="L10508" i="1"/>
  <c r="L10507" i="1"/>
  <c r="L10506" i="1"/>
  <c r="L10505" i="1"/>
  <c r="L10504" i="1"/>
  <c r="L10503" i="1"/>
  <c r="L10502" i="1"/>
  <c r="L10501" i="1"/>
  <c r="L10500" i="1"/>
  <c r="L10499" i="1"/>
  <c r="L10498" i="1"/>
  <c r="L10497" i="1"/>
  <c r="L10496" i="1"/>
  <c r="L10495" i="1"/>
  <c r="L10494" i="1"/>
  <c r="L10493" i="1"/>
  <c r="L10492" i="1"/>
  <c r="L10491" i="1"/>
  <c r="L10490" i="1"/>
  <c r="L10489" i="1"/>
  <c r="L10488" i="1"/>
  <c r="L10487" i="1"/>
  <c r="L10486" i="1"/>
  <c r="L10485" i="1"/>
  <c r="L10484" i="1"/>
  <c r="L10483" i="1"/>
  <c r="L10482" i="1"/>
  <c r="L10481" i="1"/>
  <c r="L10480" i="1"/>
  <c r="L10479" i="1"/>
  <c r="L10478" i="1"/>
  <c r="L10477" i="1"/>
  <c r="L10476" i="1"/>
  <c r="L10475" i="1"/>
  <c r="L10474" i="1"/>
  <c r="L10473" i="1"/>
  <c r="L10472" i="1"/>
  <c r="L10471" i="1"/>
  <c r="L10470" i="1"/>
  <c r="L10469" i="1"/>
  <c r="L10468" i="1"/>
  <c r="L10467" i="1"/>
  <c r="L10466" i="1"/>
  <c r="L10465" i="1"/>
  <c r="L10464" i="1"/>
  <c r="L10463" i="1"/>
  <c r="L10462" i="1"/>
  <c r="L10461" i="1"/>
  <c r="L10460" i="1"/>
  <c r="L10459" i="1"/>
  <c r="L10458" i="1"/>
  <c r="L10457" i="1"/>
  <c r="L10456" i="1"/>
  <c r="L10455" i="1"/>
  <c r="L10454" i="1"/>
  <c r="L10453" i="1"/>
  <c r="L10452" i="1"/>
  <c r="L10451" i="1"/>
  <c r="L10450" i="1"/>
  <c r="L10449" i="1"/>
  <c r="L10448" i="1"/>
  <c r="L10447" i="1"/>
  <c r="L10446" i="1"/>
  <c r="L10445" i="1"/>
  <c r="L10444" i="1"/>
  <c r="L10443" i="1"/>
  <c r="L10442" i="1"/>
  <c r="L10441" i="1"/>
  <c r="L10440" i="1"/>
  <c r="L10439" i="1"/>
  <c r="L10438" i="1"/>
  <c r="L10437" i="1"/>
  <c r="L10436" i="1"/>
  <c r="L10435" i="1"/>
  <c r="L10434" i="1"/>
  <c r="L10433" i="1"/>
  <c r="L10432" i="1"/>
  <c r="L10431" i="1"/>
  <c r="L10430" i="1"/>
  <c r="L10429" i="1"/>
  <c r="L10428" i="1"/>
  <c r="L10427" i="1"/>
  <c r="L10426" i="1"/>
  <c r="L10425" i="1"/>
  <c r="L10424" i="1"/>
  <c r="L10423" i="1"/>
  <c r="L10422" i="1"/>
  <c r="L10421" i="1"/>
  <c r="L10420" i="1"/>
  <c r="L10419" i="1"/>
  <c r="L10418" i="1"/>
  <c r="L10417" i="1"/>
  <c r="L10416" i="1"/>
  <c r="L10415" i="1"/>
  <c r="L10414" i="1"/>
  <c r="L10413" i="1"/>
  <c r="L10412" i="1"/>
  <c r="L10411" i="1"/>
  <c r="L10410" i="1"/>
  <c r="L10409" i="1"/>
  <c r="L10408" i="1"/>
  <c r="L10407" i="1"/>
  <c r="L10406" i="1"/>
  <c r="L10405" i="1"/>
  <c r="L10404" i="1"/>
  <c r="L10403" i="1"/>
  <c r="L10402" i="1"/>
  <c r="L10401" i="1"/>
  <c r="L10400" i="1"/>
  <c r="L10399" i="1"/>
  <c r="L10398" i="1"/>
  <c r="L10397" i="1"/>
  <c r="L10396" i="1"/>
  <c r="L10395" i="1"/>
  <c r="L10394" i="1"/>
  <c r="L10393" i="1"/>
  <c r="L10392" i="1"/>
  <c r="L10391" i="1"/>
  <c r="L10390" i="1"/>
  <c r="L10389" i="1"/>
  <c r="L10388" i="1"/>
  <c r="L10387" i="1"/>
  <c r="L10386" i="1"/>
  <c r="L10385" i="1"/>
  <c r="L10384" i="1"/>
  <c r="L10383" i="1"/>
  <c r="L10382" i="1"/>
  <c r="L10381" i="1"/>
  <c r="L10380" i="1"/>
  <c r="L10379" i="1"/>
  <c r="L10378" i="1"/>
  <c r="L10377" i="1"/>
  <c r="L10376" i="1"/>
  <c r="L10375" i="1"/>
  <c r="L10374" i="1"/>
  <c r="L10373" i="1"/>
  <c r="L10372" i="1"/>
  <c r="L10371" i="1"/>
  <c r="L10370" i="1"/>
  <c r="L10369" i="1"/>
  <c r="L10368" i="1"/>
  <c r="L10367" i="1"/>
  <c r="L10366" i="1"/>
  <c r="L10365" i="1"/>
  <c r="L10364" i="1"/>
  <c r="L10363" i="1"/>
  <c r="L10362" i="1"/>
  <c r="L10361" i="1"/>
  <c r="L10360" i="1"/>
  <c r="L10359" i="1"/>
  <c r="L10358" i="1"/>
  <c r="L10357" i="1"/>
  <c r="L10356" i="1"/>
  <c r="L10355" i="1"/>
  <c r="L10354" i="1"/>
  <c r="L10353" i="1"/>
  <c r="L10352" i="1"/>
  <c r="L10351" i="1"/>
  <c r="L10350" i="1"/>
  <c r="L10349" i="1"/>
  <c r="L10348" i="1"/>
  <c r="L10347" i="1"/>
  <c r="L10346" i="1"/>
  <c r="L10345" i="1"/>
  <c r="L10344" i="1"/>
  <c r="L10343" i="1"/>
  <c r="L10342" i="1"/>
  <c r="L10341" i="1"/>
  <c r="L10340" i="1"/>
  <c r="L10339" i="1"/>
  <c r="L10338" i="1"/>
  <c r="L10337" i="1"/>
  <c r="L10336" i="1"/>
  <c r="L10335" i="1"/>
  <c r="L10334" i="1"/>
  <c r="L10333" i="1"/>
  <c r="L10332" i="1"/>
  <c r="L10331" i="1"/>
  <c r="L10330" i="1"/>
  <c r="L10329" i="1"/>
  <c r="L10328" i="1"/>
  <c r="L10327" i="1"/>
  <c r="L10326" i="1"/>
  <c r="L10325" i="1"/>
  <c r="L10324" i="1"/>
  <c r="L10323" i="1"/>
  <c r="L10322" i="1"/>
  <c r="L10321" i="1"/>
  <c r="L10320" i="1"/>
  <c r="L10319" i="1"/>
  <c r="L10318" i="1"/>
  <c r="L10317" i="1"/>
  <c r="L10316" i="1"/>
  <c r="L10315" i="1"/>
  <c r="L10314" i="1"/>
  <c r="L10313" i="1"/>
  <c r="L10312" i="1"/>
  <c r="L10311" i="1"/>
  <c r="L10310" i="1"/>
  <c r="L10309" i="1"/>
  <c r="L10308" i="1"/>
  <c r="L10307" i="1"/>
  <c r="L10306" i="1"/>
  <c r="L10305" i="1"/>
  <c r="L10304" i="1"/>
  <c r="L10303" i="1"/>
  <c r="L10302" i="1"/>
  <c r="L10301" i="1"/>
  <c r="L10300" i="1"/>
  <c r="L10299" i="1"/>
  <c r="L10298" i="1"/>
  <c r="L10297" i="1"/>
  <c r="L10296" i="1"/>
  <c r="L10295" i="1"/>
  <c r="L10294" i="1"/>
  <c r="L10293" i="1"/>
  <c r="L10292" i="1"/>
  <c r="L10291" i="1"/>
  <c r="L10290" i="1"/>
  <c r="L10289" i="1"/>
  <c r="L10288" i="1"/>
  <c r="L10287" i="1"/>
  <c r="L10286" i="1"/>
  <c r="L10285" i="1"/>
  <c r="L10284" i="1"/>
  <c r="L10283" i="1"/>
  <c r="L10282" i="1"/>
  <c r="L10281" i="1"/>
  <c r="L10280" i="1"/>
  <c r="L10279" i="1"/>
  <c r="L10278" i="1"/>
  <c r="L10277" i="1"/>
  <c r="L10276" i="1"/>
  <c r="L10275" i="1"/>
  <c r="L10274" i="1"/>
  <c r="L10273" i="1"/>
  <c r="L10272" i="1"/>
  <c r="L10271" i="1"/>
  <c r="L10270" i="1"/>
  <c r="L10269" i="1"/>
  <c r="L10268" i="1"/>
  <c r="L10267" i="1"/>
  <c r="L10266" i="1"/>
  <c r="L10265" i="1"/>
  <c r="L10264" i="1"/>
  <c r="L10263" i="1"/>
  <c r="L10262" i="1"/>
  <c r="L10261" i="1"/>
  <c r="L10260" i="1"/>
  <c r="L10259" i="1"/>
  <c r="L10258" i="1"/>
  <c r="L10257" i="1"/>
  <c r="L10256" i="1"/>
  <c r="L10255" i="1"/>
  <c r="L10254" i="1"/>
  <c r="L10253" i="1"/>
  <c r="L10252" i="1"/>
  <c r="L10251" i="1"/>
  <c r="L10250" i="1"/>
  <c r="L10249" i="1"/>
  <c r="L10248" i="1"/>
  <c r="L10247" i="1"/>
  <c r="L10246" i="1"/>
  <c r="L10245" i="1"/>
  <c r="L10244" i="1"/>
  <c r="L10243" i="1"/>
  <c r="L10242" i="1"/>
  <c r="L10241" i="1"/>
  <c r="L10240" i="1"/>
  <c r="L10239" i="1"/>
  <c r="L10238" i="1"/>
  <c r="L10237" i="1"/>
  <c r="L10236" i="1"/>
  <c r="L10235" i="1"/>
  <c r="L10234" i="1"/>
  <c r="L10233" i="1"/>
  <c r="L10232" i="1"/>
  <c r="L10231" i="1"/>
  <c r="L10230" i="1"/>
  <c r="L10229" i="1"/>
  <c r="L10228" i="1"/>
  <c r="L10227" i="1"/>
  <c r="L10226" i="1"/>
  <c r="L10225" i="1"/>
  <c r="L10224" i="1"/>
  <c r="L10223" i="1"/>
  <c r="L10222" i="1"/>
  <c r="L10221" i="1"/>
  <c r="L10220" i="1"/>
  <c r="L10219" i="1"/>
  <c r="L10218" i="1"/>
  <c r="L10217" i="1"/>
  <c r="L10216" i="1"/>
  <c r="L10215" i="1"/>
  <c r="L10214" i="1"/>
  <c r="L10213" i="1"/>
  <c r="L10212" i="1"/>
  <c r="L10211" i="1"/>
  <c r="L10210" i="1"/>
  <c r="L10209" i="1"/>
  <c r="L10208" i="1"/>
  <c r="L10207" i="1"/>
  <c r="L10206" i="1"/>
  <c r="L10205" i="1"/>
  <c r="L10204" i="1"/>
  <c r="L10203" i="1"/>
  <c r="L10202" i="1"/>
  <c r="L10201" i="1"/>
  <c r="L10200" i="1"/>
  <c r="L10199" i="1"/>
  <c r="L10198" i="1"/>
  <c r="L10197" i="1"/>
  <c r="L10196" i="1"/>
  <c r="L10195" i="1"/>
  <c r="L10194" i="1"/>
  <c r="L10193" i="1"/>
  <c r="L10192" i="1"/>
  <c r="L10191" i="1"/>
  <c r="L10190" i="1"/>
  <c r="L10189" i="1"/>
  <c r="L10188" i="1"/>
  <c r="L10187" i="1"/>
  <c r="L10186" i="1"/>
  <c r="L10185" i="1"/>
  <c r="L10184" i="1"/>
  <c r="L10183" i="1"/>
  <c r="L10182" i="1"/>
  <c r="L10181" i="1"/>
  <c r="L10180" i="1"/>
  <c r="L10179" i="1"/>
  <c r="L10178" i="1"/>
  <c r="L10177" i="1"/>
  <c r="L10176" i="1"/>
  <c r="L10175" i="1"/>
  <c r="L10174" i="1"/>
  <c r="L10173" i="1"/>
  <c r="L10172" i="1"/>
  <c r="L10171" i="1"/>
  <c r="L10170" i="1"/>
  <c r="L10169" i="1"/>
  <c r="L10168" i="1"/>
  <c r="L10167" i="1"/>
  <c r="L10166" i="1"/>
  <c r="L10165" i="1"/>
  <c r="L10164" i="1"/>
  <c r="L10163" i="1"/>
  <c r="L10162" i="1"/>
  <c r="L10161" i="1"/>
  <c r="L10160" i="1"/>
  <c r="L10159" i="1"/>
  <c r="L10158" i="1"/>
  <c r="L10157" i="1"/>
  <c r="L10156" i="1"/>
  <c r="L10155" i="1"/>
  <c r="L10154" i="1"/>
  <c r="L10153" i="1"/>
  <c r="L10152" i="1"/>
  <c r="L10151" i="1"/>
  <c r="L10150" i="1"/>
  <c r="L10149" i="1"/>
  <c r="L10148" i="1"/>
  <c r="L10147" i="1"/>
  <c r="L10146" i="1"/>
  <c r="L10145" i="1"/>
  <c r="L10144" i="1"/>
  <c r="L10143" i="1"/>
  <c r="L10142" i="1"/>
  <c r="L10141" i="1"/>
  <c r="L10140" i="1"/>
  <c r="L10139" i="1"/>
  <c r="L10138" i="1"/>
  <c r="L10137" i="1"/>
  <c r="L10136" i="1"/>
  <c r="L10135" i="1"/>
  <c r="L10134" i="1"/>
  <c r="L10133" i="1"/>
  <c r="L10132" i="1"/>
  <c r="L10131" i="1"/>
  <c r="L10130" i="1"/>
  <c r="L10129" i="1"/>
  <c r="L10128" i="1"/>
  <c r="L10127" i="1"/>
  <c r="L10126" i="1"/>
  <c r="L10125" i="1"/>
  <c r="L10124" i="1"/>
  <c r="L10123" i="1"/>
  <c r="L10122" i="1"/>
  <c r="L10121" i="1"/>
  <c r="L10120" i="1"/>
  <c r="L10119" i="1"/>
  <c r="L10118" i="1"/>
  <c r="L10117" i="1"/>
  <c r="L10116" i="1"/>
  <c r="L10115" i="1"/>
  <c r="L10114" i="1"/>
  <c r="L10113" i="1"/>
  <c r="L10112" i="1"/>
  <c r="L10111" i="1"/>
  <c r="L10110" i="1"/>
  <c r="L10109" i="1"/>
  <c r="L10108" i="1"/>
  <c r="L10107" i="1"/>
  <c r="L10106" i="1"/>
  <c r="L10105" i="1"/>
  <c r="L10104" i="1"/>
  <c r="L10103" i="1"/>
  <c r="L10102" i="1"/>
  <c r="L10101" i="1"/>
  <c r="L10100" i="1"/>
  <c r="L10099" i="1"/>
  <c r="L10098" i="1"/>
  <c r="L10097" i="1"/>
  <c r="L10096" i="1"/>
  <c r="L10095" i="1"/>
  <c r="L10094" i="1"/>
  <c r="L10093" i="1"/>
  <c r="L10092" i="1"/>
  <c r="L10091" i="1"/>
  <c r="L10090" i="1"/>
  <c r="L10089" i="1"/>
  <c r="L10088" i="1"/>
  <c r="L10087" i="1"/>
  <c r="L10086" i="1"/>
  <c r="L10085" i="1"/>
  <c r="L10084" i="1"/>
  <c r="L10083" i="1"/>
  <c r="L10082" i="1"/>
  <c r="L10081" i="1"/>
  <c r="L10080" i="1"/>
  <c r="L10079" i="1"/>
  <c r="L10078" i="1"/>
  <c r="L10077" i="1"/>
  <c r="L10076" i="1"/>
  <c r="L10075" i="1"/>
  <c r="L10074" i="1"/>
  <c r="L10073" i="1"/>
  <c r="L10072" i="1"/>
  <c r="L10071" i="1"/>
  <c r="L10070" i="1"/>
  <c r="L10069" i="1"/>
  <c r="L10068" i="1"/>
  <c r="L10067" i="1"/>
  <c r="L10066" i="1"/>
  <c r="L10065" i="1"/>
  <c r="L10064" i="1"/>
  <c r="L10063" i="1"/>
  <c r="L10062" i="1"/>
  <c r="L10061" i="1"/>
  <c r="L10060" i="1"/>
  <c r="L10059" i="1"/>
  <c r="L10058" i="1"/>
  <c r="L10057" i="1"/>
  <c r="L10056" i="1"/>
  <c r="L10055" i="1"/>
  <c r="L10054" i="1"/>
  <c r="L10053" i="1"/>
  <c r="L10052" i="1"/>
  <c r="L10051" i="1"/>
  <c r="L10050" i="1"/>
  <c r="L10049" i="1"/>
  <c r="L10048" i="1"/>
  <c r="L10047" i="1"/>
  <c r="L10046" i="1"/>
  <c r="L10045" i="1"/>
  <c r="L10044" i="1"/>
  <c r="L10043" i="1"/>
  <c r="L10042" i="1"/>
  <c r="L10041" i="1"/>
  <c r="L10040" i="1"/>
  <c r="L10039" i="1"/>
  <c r="L10038" i="1"/>
  <c r="L10037" i="1"/>
  <c r="L10036" i="1"/>
  <c r="L10035" i="1"/>
  <c r="L10034" i="1"/>
  <c r="L10033" i="1"/>
  <c r="L10032" i="1"/>
  <c r="L10031" i="1"/>
  <c r="L10030" i="1"/>
  <c r="L10029" i="1"/>
  <c r="L10028" i="1"/>
  <c r="L10027" i="1"/>
  <c r="L10026" i="1"/>
  <c r="L10025" i="1"/>
  <c r="L10024" i="1"/>
  <c r="L10023" i="1"/>
  <c r="L10022" i="1"/>
  <c r="L10021" i="1"/>
  <c r="L10020" i="1"/>
  <c r="L10019" i="1"/>
  <c r="L10018" i="1"/>
  <c r="L10017" i="1"/>
  <c r="L10016" i="1"/>
  <c r="L10015" i="1"/>
  <c r="L10014" i="1"/>
  <c r="L10013" i="1"/>
  <c r="L10012" i="1"/>
  <c r="L10011" i="1"/>
  <c r="L10010" i="1"/>
  <c r="L10009" i="1"/>
  <c r="L10008" i="1"/>
  <c r="L10007" i="1"/>
  <c r="L10006" i="1"/>
  <c r="L10005" i="1"/>
  <c r="L10004" i="1"/>
  <c r="L10003" i="1"/>
  <c r="L10002" i="1"/>
  <c r="L10001" i="1"/>
  <c r="L10000" i="1"/>
  <c r="L9999" i="1"/>
  <c r="L9998" i="1"/>
  <c r="L9997" i="1"/>
  <c r="L9996" i="1"/>
  <c r="L9995" i="1"/>
  <c r="L9994" i="1"/>
  <c r="L9993" i="1"/>
  <c r="L9992" i="1"/>
  <c r="L9991" i="1"/>
  <c r="L9990" i="1"/>
  <c r="L9989" i="1"/>
  <c r="L9988" i="1"/>
  <c r="L9987" i="1"/>
  <c r="L9986" i="1"/>
  <c r="L9985" i="1"/>
  <c r="L9984" i="1"/>
  <c r="L9983" i="1"/>
  <c r="L9982" i="1"/>
  <c r="L9981" i="1"/>
  <c r="L9980" i="1"/>
  <c r="L9979" i="1"/>
  <c r="L9978" i="1"/>
  <c r="L9977" i="1"/>
  <c r="L9976" i="1"/>
  <c r="L9975" i="1"/>
  <c r="L9974" i="1"/>
  <c r="L9973" i="1"/>
  <c r="L9972" i="1"/>
  <c r="L9971" i="1"/>
  <c r="L9970" i="1"/>
  <c r="L9969" i="1"/>
  <c r="L9968" i="1"/>
  <c r="L9967" i="1"/>
  <c r="L9966" i="1"/>
  <c r="L9965" i="1"/>
  <c r="L9964" i="1"/>
  <c r="L9963" i="1"/>
  <c r="L9962" i="1"/>
  <c r="L9961" i="1"/>
  <c r="L9960" i="1"/>
  <c r="L9959" i="1"/>
  <c r="L9958" i="1"/>
  <c r="L9957" i="1"/>
  <c r="L9956" i="1"/>
  <c r="L9955" i="1"/>
  <c r="L9954" i="1"/>
  <c r="L9953" i="1"/>
  <c r="L9952" i="1"/>
  <c r="L9951" i="1"/>
  <c r="L9950" i="1"/>
  <c r="L9949" i="1"/>
  <c r="L9948" i="1"/>
  <c r="L9947" i="1"/>
  <c r="L9946" i="1"/>
  <c r="L9945" i="1"/>
  <c r="L9944" i="1"/>
  <c r="L9943" i="1"/>
  <c r="L9942" i="1"/>
  <c r="L9941" i="1"/>
  <c r="L9940" i="1"/>
  <c r="L9939" i="1"/>
  <c r="L9938" i="1"/>
  <c r="L9937" i="1"/>
  <c r="L9936" i="1"/>
  <c r="L9935" i="1"/>
  <c r="L9934" i="1"/>
  <c r="L9933" i="1"/>
  <c r="L9932" i="1"/>
  <c r="L9931" i="1"/>
  <c r="L9930" i="1"/>
  <c r="L9929" i="1"/>
  <c r="L9928" i="1"/>
  <c r="L9927" i="1"/>
  <c r="L9926" i="1"/>
  <c r="L9925" i="1"/>
  <c r="L9924" i="1"/>
  <c r="L9923" i="1"/>
  <c r="L9922" i="1"/>
  <c r="L9921" i="1"/>
  <c r="L9920" i="1"/>
  <c r="L9919" i="1"/>
  <c r="L9918" i="1"/>
  <c r="L9917" i="1"/>
  <c r="L9916" i="1"/>
  <c r="L9915" i="1"/>
  <c r="L9914" i="1"/>
  <c r="L9913" i="1"/>
  <c r="L9912" i="1"/>
  <c r="L9911" i="1"/>
  <c r="L9910" i="1"/>
  <c r="L9909" i="1"/>
  <c r="L9908" i="1"/>
  <c r="L9907" i="1"/>
  <c r="L9906" i="1"/>
  <c r="L9905" i="1"/>
  <c r="L9904" i="1"/>
  <c r="L9903" i="1"/>
  <c r="L9902" i="1"/>
  <c r="L9901" i="1"/>
  <c r="L9900" i="1"/>
  <c r="L9899" i="1"/>
  <c r="L9898" i="1"/>
  <c r="L9897" i="1"/>
  <c r="L9896" i="1"/>
  <c r="L9895" i="1"/>
  <c r="L9894" i="1"/>
  <c r="L9893" i="1"/>
  <c r="L9892" i="1"/>
  <c r="L9891" i="1"/>
  <c r="L9890" i="1"/>
  <c r="L9889" i="1"/>
  <c r="L9888" i="1"/>
  <c r="L9887" i="1"/>
  <c r="L9886" i="1"/>
  <c r="L9885" i="1"/>
  <c r="L9884" i="1"/>
  <c r="L9883" i="1"/>
  <c r="L9882" i="1"/>
  <c r="L9881" i="1"/>
  <c r="L9880" i="1"/>
  <c r="L9879" i="1"/>
  <c r="L9878" i="1"/>
  <c r="L9877" i="1"/>
  <c r="L9876" i="1"/>
  <c r="L9875" i="1"/>
  <c r="L9874" i="1"/>
  <c r="L9873" i="1"/>
  <c r="L9872" i="1"/>
  <c r="L9871" i="1"/>
  <c r="L9870" i="1"/>
  <c r="L9869" i="1"/>
  <c r="L9868" i="1"/>
  <c r="L9867" i="1"/>
  <c r="L9866" i="1"/>
  <c r="L9865" i="1"/>
  <c r="L9864" i="1"/>
  <c r="L9863" i="1"/>
  <c r="L9862" i="1"/>
  <c r="L9861" i="1"/>
  <c r="L9860" i="1"/>
  <c r="L9859" i="1"/>
  <c r="L9858" i="1"/>
  <c r="L9857" i="1"/>
  <c r="L9856" i="1"/>
  <c r="L9855" i="1"/>
  <c r="L9854" i="1"/>
  <c r="L9853" i="1"/>
  <c r="L9852" i="1"/>
  <c r="L9851" i="1"/>
  <c r="L9850" i="1"/>
  <c r="L9849" i="1"/>
  <c r="L9848" i="1"/>
  <c r="L9847" i="1"/>
  <c r="L9846" i="1"/>
  <c r="L9845" i="1"/>
  <c r="L9844" i="1"/>
  <c r="L9843" i="1"/>
  <c r="L9842" i="1"/>
  <c r="L9841" i="1"/>
  <c r="L9840" i="1"/>
  <c r="L9839" i="1"/>
  <c r="L9838" i="1"/>
  <c r="L9837" i="1"/>
  <c r="L9836" i="1"/>
  <c r="L9835" i="1"/>
  <c r="L9834" i="1"/>
  <c r="L9833" i="1"/>
  <c r="L9832" i="1"/>
  <c r="L9831" i="1"/>
  <c r="L9830" i="1"/>
  <c r="L9829" i="1"/>
  <c r="L9828" i="1"/>
  <c r="L9827" i="1"/>
  <c r="L9826" i="1"/>
  <c r="L9825" i="1"/>
  <c r="L9824" i="1"/>
  <c r="L9823" i="1"/>
  <c r="L9822" i="1"/>
  <c r="L9821" i="1"/>
  <c r="L9820" i="1"/>
  <c r="L9819" i="1"/>
  <c r="L9818" i="1"/>
  <c r="L9817" i="1"/>
  <c r="L9816" i="1"/>
  <c r="L9815" i="1"/>
  <c r="L9814" i="1"/>
  <c r="L9813" i="1"/>
  <c r="L9812" i="1"/>
  <c r="L9811" i="1"/>
  <c r="L9810" i="1"/>
  <c r="L9809" i="1"/>
  <c r="L9808" i="1"/>
  <c r="L9807" i="1"/>
  <c r="L9806" i="1"/>
  <c r="L9805" i="1"/>
  <c r="L9804" i="1"/>
  <c r="L9803" i="1"/>
  <c r="L9802" i="1"/>
  <c r="L9801" i="1"/>
  <c r="L9800" i="1"/>
  <c r="L9799" i="1"/>
  <c r="L9798" i="1"/>
  <c r="L9797" i="1"/>
  <c r="L9796" i="1"/>
  <c r="L9795" i="1"/>
  <c r="L9794" i="1"/>
  <c r="L9793" i="1"/>
  <c r="L9792" i="1"/>
  <c r="L9791" i="1"/>
  <c r="L9790" i="1"/>
  <c r="L9789" i="1"/>
  <c r="L9788" i="1"/>
  <c r="L9787" i="1"/>
  <c r="L9786" i="1"/>
  <c r="L9785" i="1"/>
  <c r="L9784" i="1"/>
  <c r="L9783" i="1"/>
  <c r="L9782" i="1"/>
  <c r="L9781" i="1"/>
  <c r="L9780" i="1"/>
  <c r="L9779" i="1"/>
  <c r="L9778" i="1"/>
  <c r="L9777" i="1"/>
  <c r="L9776" i="1"/>
  <c r="L9775" i="1"/>
  <c r="L9774" i="1"/>
  <c r="L9773" i="1"/>
  <c r="L9772" i="1"/>
  <c r="L9771" i="1"/>
  <c r="L9770" i="1"/>
  <c r="L9769" i="1"/>
  <c r="L9768" i="1"/>
  <c r="L9767" i="1"/>
  <c r="L9766" i="1"/>
  <c r="L9765" i="1"/>
  <c r="L9764" i="1"/>
  <c r="L9763" i="1"/>
  <c r="L9762" i="1"/>
  <c r="L9761" i="1"/>
  <c r="L9760" i="1"/>
  <c r="L9759" i="1"/>
  <c r="L9758" i="1"/>
  <c r="L9757" i="1"/>
  <c r="L9756" i="1"/>
  <c r="L9755" i="1"/>
  <c r="L9754"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728" i="1"/>
  <c r="L9727" i="1"/>
  <c r="L9726" i="1"/>
  <c r="L9725" i="1"/>
  <c r="L9724" i="1"/>
  <c r="L9723" i="1"/>
  <c r="L9722" i="1"/>
  <c r="L9721" i="1"/>
  <c r="L9720" i="1"/>
  <c r="L9719" i="1"/>
  <c r="L9718" i="1"/>
  <c r="L9717" i="1"/>
  <c r="L9716" i="1"/>
  <c r="L9715" i="1"/>
  <c r="L9714" i="1"/>
  <c r="L9713" i="1"/>
  <c r="L9712" i="1"/>
  <c r="L9711" i="1"/>
  <c r="L9710" i="1"/>
  <c r="L9709" i="1"/>
  <c r="L9708" i="1"/>
  <c r="L9707" i="1"/>
  <c r="L9706" i="1"/>
  <c r="L9705" i="1"/>
  <c r="L9704" i="1"/>
  <c r="L9703" i="1"/>
  <c r="L9702" i="1"/>
  <c r="L9701" i="1"/>
  <c r="L9700" i="1"/>
  <c r="L9699" i="1"/>
  <c r="L9698" i="1"/>
  <c r="L9697" i="1"/>
  <c r="L9696" i="1"/>
  <c r="L9695" i="1"/>
  <c r="L9694" i="1"/>
  <c r="L9693" i="1"/>
  <c r="L9692" i="1"/>
  <c r="L9691" i="1"/>
  <c r="L9690" i="1"/>
  <c r="L9689" i="1"/>
  <c r="L9688" i="1"/>
  <c r="L9687" i="1"/>
  <c r="L9686" i="1"/>
  <c r="L9685" i="1"/>
  <c r="L9684" i="1"/>
  <c r="L9683" i="1"/>
  <c r="L9682" i="1"/>
  <c r="L9681" i="1"/>
  <c r="L9680" i="1"/>
  <c r="L9679" i="1"/>
  <c r="L9678" i="1"/>
  <c r="L9677" i="1"/>
  <c r="L9676" i="1"/>
  <c r="L9675" i="1"/>
  <c r="L9674" i="1"/>
  <c r="L9673" i="1"/>
  <c r="L9672" i="1"/>
  <c r="L9671" i="1"/>
  <c r="L9670" i="1"/>
  <c r="L9669" i="1"/>
  <c r="L9668" i="1"/>
  <c r="L9667" i="1"/>
  <c r="L9666" i="1"/>
  <c r="L9665" i="1"/>
  <c r="L9664" i="1"/>
  <c r="L9663" i="1"/>
  <c r="L9662" i="1"/>
  <c r="L9661" i="1"/>
  <c r="L9660" i="1"/>
  <c r="L9659" i="1"/>
  <c r="L9658" i="1"/>
  <c r="L9657" i="1"/>
  <c r="L9656" i="1"/>
  <c r="L9655" i="1"/>
  <c r="L9654" i="1"/>
  <c r="L9653" i="1"/>
  <c r="L9652" i="1"/>
  <c r="L9651" i="1"/>
  <c r="L9650" i="1"/>
  <c r="L9649" i="1"/>
  <c r="L9648" i="1"/>
  <c r="L9647" i="1"/>
  <c r="L9646" i="1"/>
  <c r="L9645" i="1"/>
  <c r="L9644" i="1"/>
  <c r="L9643" i="1"/>
  <c r="L9642" i="1"/>
  <c r="L9641" i="1"/>
  <c r="L9640" i="1"/>
  <c r="L9639" i="1"/>
  <c r="L9638" i="1"/>
  <c r="L9637" i="1"/>
  <c r="L9636" i="1"/>
  <c r="L9635" i="1"/>
  <c r="L9634" i="1"/>
  <c r="L9633" i="1"/>
  <c r="L9632" i="1"/>
  <c r="L9631" i="1"/>
  <c r="L9630" i="1"/>
  <c r="L9629" i="1"/>
  <c r="L9628" i="1"/>
  <c r="L9627" i="1"/>
  <c r="L9626" i="1"/>
  <c r="L9625" i="1"/>
  <c r="L9624" i="1"/>
  <c r="L9623" i="1"/>
  <c r="L9622" i="1"/>
  <c r="L9621" i="1"/>
  <c r="L9620" i="1"/>
  <c r="L9619" i="1"/>
  <c r="L9618" i="1"/>
  <c r="L9617" i="1"/>
  <c r="L9616" i="1"/>
  <c r="L9615" i="1"/>
  <c r="L9614" i="1"/>
  <c r="L9613" i="1"/>
  <c r="L9612" i="1"/>
  <c r="L9611" i="1"/>
  <c r="L9610" i="1"/>
  <c r="L9609" i="1"/>
  <c r="L9608" i="1"/>
  <c r="L9607" i="1"/>
  <c r="L9606" i="1"/>
  <c r="L9605" i="1"/>
  <c r="L9604" i="1"/>
  <c r="L9603" i="1"/>
  <c r="L9602" i="1"/>
  <c r="L9601" i="1"/>
  <c r="L9600" i="1"/>
  <c r="L9599" i="1"/>
  <c r="L9598" i="1"/>
  <c r="L9597" i="1"/>
  <c r="L9596" i="1"/>
  <c r="L9595" i="1"/>
  <c r="L9594" i="1"/>
  <c r="L9593" i="1"/>
  <c r="L9592" i="1"/>
  <c r="L9591" i="1"/>
  <c r="L9590" i="1"/>
  <c r="L9589" i="1"/>
  <c r="L9588" i="1"/>
  <c r="L9587" i="1"/>
  <c r="L9586" i="1"/>
  <c r="L9585" i="1"/>
  <c r="L9584" i="1"/>
  <c r="L9583" i="1"/>
  <c r="L9582" i="1"/>
  <c r="L9581" i="1"/>
  <c r="L9580" i="1"/>
  <c r="L9579" i="1"/>
  <c r="L9578" i="1"/>
  <c r="L9577" i="1"/>
  <c r="L9576" i="1"/>
  <c r="L9575" i="1"/>
  <c r="L9574" i="1"/>
  <c r="L9573" i="1"/>
  <c r="L9572" i="1"/>
  <c r="L9571" i="1"/>
  <c r="L9570" i="1"/>
  <c r="L9569" i="1"/>
  <c r="L9568" i="1"/>
  <c r="L9567" i="1"/>
  <c r="L9566" i="1"/>
  <c r="L9565" i="1"/>
  <c r="L9564" i="1"/>
  <c r="L9563" i="1"/>
  <c r="L9562" i="1"/>
  <c r="L9561" i="1"/>
  <c r="L9560" i="1"/>
  <c r="L9559" i="1"/>
  <c r="L9558" i="1"/>
  <c r="L9557" i="1"/>
  <c r="L9556" i="1"/>
  <c r="L9555" i="1"/>
  <c r="L9554" i="1"/>
  <c r="L9553" i="1"/>
  <c r="L9552" i="1"/>
  <c r="L9551" i="1"/>
  <c r="L9550" i="1"/>
  <c r="L9549" i="1"/>
  <c r="L9548" i="1"/>
  <c r="L9547" i="1"/>
  <c r="L9546" i="1"/>
  <c r="L9545" i="1"/>
  <c r="L9544" i="1"/>
  <c r="L9543" i="1"/>
  <c r="L9542" i="1"/>
  <c r="L9541" i="1"/>
  <c r="L9540" i="1"/>
  <c r="L9539" i="1"/>
  <c r="L9538" i="1"/>
  <c r="L9537" i="1"/>
  <c r="L9536" i="1"/>
  <c r="L9535" i="1"/>
  <c r="L9534" i="1"/>
  <c r="L9533" i="1"/>
  <c r="L9532" i="1"/>
  <c r="L9531" i="1"/>
  <c r="L9530" i="1"/>
  <c r="L9529" i="1"/>
  <c r="L9528" i="1"/>
  <c r="L9527" i="1"/>
  <c r="L9526" i="1"/>
  <c r="L9525" i="1"/>
  <c r="L9524" i="1"/>
  <c r="L9523" i="1"/>
  <c r="L9522" i="1"/>
  <c r="L9521" i="1"/>
  <c r="L9520" i="1"/>
  <c r="L9519" i="1"/>
  <c r="L9518" i="1"/>
  <c r="L9517" i="1"/>
  <c r="L9516" i="1"/>
  <c r="L9515" i="1"/>
  <c r="L9514" i="1"/>
  <c r="L9513" i="1"/>
  <c r="L9512" i="1"/>
  <c r="L9511" i="1"/>
  <c r="L9510" i="1"/>
  <c r="L9509" i="1"/>
  <c r="L9508" i="1"/>
  <c r="L9507" i="1"/>
  <c r="L9506" i="1"/>
  <c r="L9505" i="1"/>
  <c r="L9504" i="1"/>
  <c r="L9503" i="1"/>
  <c r="L9502" i="1"/>
  <c r="L9501" i="1"/>
  <c r="L9500" i="1"/>
  <c r="L9499" i="1"/>
  <c r="L9498" i="1"/>
  <c r="L9497" i="1"/>
  <c r="L9496" i="1"/>
  <c r="L9495" i="1"/>
  <c r="L9494" i="1"/>
  <c r="L9493" i="1"/>
  <c r="L9492" i="1"/>
  <c r="L9491" i="1"/>
  <c r="L9490" i="1"/>
  <c r="L9489" i="1"/>
  <c r="L9488" i="1"/>
  <c r="L9487" i="1"/>
  <c r="L9486" i="1"/>
  <c r="L9485" i="1"/>
  <c r="L9484" i="1"/>
  <c r="L9483" i="1"/>
  <c r="L9482" i="1"/>
  <c r="L9481" i="1"/>
  <c r="L9480" i="1"/>
  <c r="L9479" i="1"/>
  <c r="L9478" i="1"/>
  <c r="L9477" i="1"/>
  <c r="L9476" i="1"/>
  <c r="L9475" i="1"/>
  <c r="L9474" i="1"/>
  <c r="L9473" i="1"/>
  <c r="L9472" i="1"/>
  <c r="L9471" i="1"/>
  <c r="L9470" i="1"/>
  <c r="L9469" i="1"/>
  <c r="L9468" i="1"/>
  <c r="L9467" i="1"/>
  <c r="L9466" i="1"/>
  <c r="L9465" i="1"/>
  <c r="L9464" i="1"/>
  <c r="L9463" i="1"/>
  <c r="L9462" i="1"/>
  <c r="L9461" i="1"/>
  <c r="L9460" i="1"/>
  <c r="L9459" i="1"/>
  <c r="L9458" i="1"/>
  <c r="L9457" i="1"/>
  <c r="L9456" i="1"/>
  <c r="L9455" i="1"/>
  <c r="L9454" i="1"/>
  <c r="L9453" i="1"/>
  <c r="L9452" i="1"/>
  <c r="L9451" i="1"/>
  <c r="L9450" i="1"/>
  <c r="L9449" i="1"/>
  <c r="L9448" i="1"/>
  <c r="L9447" i="1"/>
  <c r="L9446" i="1"/>
  <c r="L9445" i="1"/>
  <c r="L9444" i="1"/>
  <c r="L9443" i="1"/>
  <c r="L9442" i="1"/>
  <c r="L9441" i="1"/>
  <c r="L9440" i="1"/>
  <c r="L9439" i="1"/>
  <c r="L9438" i="1"/>
  <c r="L9437" i="1"/>
  <c r="L9436" i="1"/>
  <c r="L9435" i="1"/>
  <c r="L9434" i="1"/>
  <c r="L9433" i="1"/>
  <c r="L9432" i="1"/>
  <c r="L9431" i="1"/>
  <c r="L9430" i="1"/>
  <c r="L9429" i="1"/>
  <c r="L9428" i="1"/>
  <c r="L9427" i="1"/>
  <c r="L9426" i="1"/>
  <c r="L9425" i="1"/>
  <c r="L9424" i="1"/>
  <c r="L9423" i="1"/>
  <c r="L9422" i="1"/>
  <c r="L9421" i="1"/>
  <c r="L9420" i="1"/>
  <c r="L9419" i="1"/>
  <c r="L9418" i="1"/>
  <c r="L9417" i="1"/>
  <c r="L9416" i="1"/>
  <c r="L9415" i="1"/>
  <c r="L9414" i="1"/>
  <c r="L9413" i="1"/>
  <c r="L9412" i="1"/>
  <c r="L9411" i="1"/>
  <c r="L9410" i="1"/>
  <c r="L9409" i="1"/>
  <c r="L9408" i="1"/>
  <c r="L9407" i="1"/>
  <c r="L9406" i="1"/>
  <c r="L9405" i="1"/>
  <c r="L9404" i="1"/>
  <c r="L9403" i="1"/>
  <c r="L9402" i="1"/>
  <c r="L9401" i="1"/>
  <c r="L9400" i="1"/>
  <c r="L9399" i="1"/>
  <c r="L9398" i="1"/>
  <c r="L9397" i="1"/>
  <c r="L9396" i="1"/>
  <c r="L9395" i="1"/>
  <c r="L9394" i="1"/>
  <c r="L9393" i="1"/>
  <c r="L9392" i="1"/>
  <c r="L9391" i="1"/>
  <c r="L9390" i="1"/>
  <c r="L9389" i="1"/>
  <c r="L9388" i="1"/>
  <c r="L9387" i="1"/>
  <c r="L9386" i="1"/>
  <c r="L9385" i="1"/>
  <c r="L9384" i="1"/>
  <c r="L9383" i="1"/>
  <c r="L9382" i="1"/>
  <c r="L9381" i="1"/>
  <c r="L9380" i="1"/>
  <c r="L9379" i="1"/>
  <c r="L9378" i="1"/>
  <c r="L9377" i="1"/>
  <c r="L9376" i="1"/>
  <c r="L9375" i="1"/>
  <c r="L9374" i="1"/>
  <c r="L9373" i="1"/>
  <c r="L9372" i="1"/>
  <c r="L9371" i="1"/>
  <c r="L9370" i="1"/>
  <c r="L9369" i="1"/>
  <c r="L9368" i="1"/>
  <c r="L9367" i="1"/>
  <c r="L9366" i="1"/>
  <c r="L9365" i="1"/>
  <c r="L9364" i="1"/>
  <c r="L9363" i="1"/>
  <c r="L9362" i="1"/>
  <c r="L9361" i="1"/>
  <c r="L9360" i="1"/>
  <c r="L9359" i="1"/>
  <c r="L9358" i="1"/>
  <c r="L9357" i="1"/>
  <c r="L9356" i="1"/>
  <c r="L9355" i="1"/>
  <c r="L9354" i="1"/>
  <c r="L9353" i="1"/>
  <c r="L9352" i="1"/>
  <c r="L9351" i="1"/>
  <c r="L9350" i="1"/>
  <c r="L9349" i="1"/>
  <c r="L9348" i="1"/>
  <c r="L9347" i="1"/>
  <c r="L9346" i="1"/>
  <c r="L9345" i="1"/>
  <c r="L9344" i="1"/>
  <c r="L9343" i="1"/>
  <c r="L9342" i="1"/>
  <c r="L9341" i="1"/>
  <c r="L9340" i="1"/>
  <c r="L9339" i="1"/>
  <c r="L9338" i="1"/>
  <c r="L9337" i="1"/>
  <c r="L9336" i="1"/>
  <c r="L9335" i="1"/>
  <c r="L9334" i="1"/>
  <c r="L9333" i="1"/>
  <c r="L9332" i="1"/>
  <c r="L9331" i="1"/>
  <c r="L9330" i="1"/>
  <c r="L9329" i="1"/>
  <c r="L9328" i="1"/>
  <c r="L9327" i="1"/>
  <c r="L9326" i="1"/>
  <c r="L9325" i="1"/>
  <c r="L9324" i="1"/>
  <c r="L9323" i="1"/>
  <c r="L9322" i="1"/>
  <c r="L9321" i="1"/>
  <c r="L9320" i="1"/>
  <c r="L9319" i="1"/>
  <c r="L9318" i="1"/>
  <c r="L9317" i="1"/>
  <c r="L9316" i="1"/>
  <c r="L9315" i="1"/>
  <c r="L9314" i="1"/>
  <c r="L9313" i="1"/>
  <c r="L9312" i="1"/>
  <c r="L9311" i="1"/>
  <c r="L9310" i="1"/>
  <c r="L9309" i="1"/>
  <c r="L9308" i="1"/>
  <c r="L9307" i="1"/>
  <c r="L9306" i="1"/>
  <c r="L9305" i="1"/>
  <c r="L9304" i="1"/>
  <c r="L9303" i="1"/>
  <c r="L9302" i="1"/>
  <c r="L9301" i="1"/>
  <c r="L9300" i="1"/>
  <c r="L9299" i="1"/>
  <c r="L9298" i="1"/>
  <c r="L9297" i="1"/>
  <c r="L9296" i="1"/>
  <c r="L9295" i="1"/>
  <c r="L9294" i="1"/>
  <c r="L9293" i="1"/>
  <c r="L9292" i="1"/>
  <c r="L9291" i="1"/>
  <c r="L9290" i="1"/>
  <c r="L9289" i="1"/>
  <c r="L9288" i="1"/>
  <c r="L9287" i="1"/>
  <c r="L9286" i="1"/>
  <c r="L9285" i="1"/>
  <c r="L9284" i="1"/>
  <c r="L9283" i="1"/>
  <c r="L9282" i="1"/>
  <c r="L9281" i="1"/>
  <c r="L9280" i="1"/>
  <c r="L9279" i="1"/>
  <c r="L9278" i="1"/>
  <c r="L9277" i="1"/>
  <c r="L9276" i="1"/>
  <c r="L9275" i="1"/>
  <c r="L9274" i="1"/>
  <c r="L9273" i="1"/>
  <c r="L9272" i="1"/>
  <c r="L9271" i="1"/>
  <c r="L9270" i="1"/>
  <c r="L9269" i="1"/>
  <c r="L9268" i="1"/>
  <c r="L9267" i="1"/>
  <c r="L9266" i="1"/>
  <c r="L9265" i="1"/>
  <c r="L9264" i="1"/>
  <c r="L9263" i="1"/>
  <c r="L9262" i="1"/>
  <c r="L9261" i="1"/>
  <c r="L9260" i="1"/>
  <c r="L9259" i="1"/>
  <c r="L9258" i="1"/>
  <c r="L9257" i="1"/>
  <c r="L9256" i="1"/>
  <c r="L9255" i="1"/>
  <c r="L9254" i="1"/>
  <c r="L9253" i="1"/>
  <c r="L9252" i="1"/>
  <c r="L9251" i="1"/>
  <c r="L9250" i="1"/>
  <c r="L9249" i="1"/>
  <c r="L9248" i="1"/>
  <c r="L9247" i="1"/>
  <c r="L9246" i="1"/>
  <c r="L9245" i="1"/>
  <c r="L9244" i="1"/>
  <c r="L9243" i="1"/>
  <c r="L9242" i="1"/>
  <c r="L9241" i="1"/>
  <c r="L9240" i="1"/>
  <c r="L9239" i="1"/>
  <c r="L9238" i="1"/>
  <c r="L9237" i="1"/>
  <c r="L9236" i="1"/>
  <c r="L9235" i="1"/>
  <c r="L9234" i="1"/>
  <c r="L9233" i="1"/>
  <c r="L9232" i="1"/>
  <c r="L9231" i="1"/>
  <c r="L9230" i="1"/>
  <c r="L9229" i="1"/>
  <c r="L9228" i="1"/>
  <c r="L9227" i="1"/>
  <c r="L9226" i="1"/>
  <c r="L9225" i="1"/>
  <c r="L9224" i="1"/>
  <c r="L9223" i="1"/>
  <c r="L9222" i="1"/>
  <c r="L9221" i="1"/>
  <c r="L9220" i="1"/>
  <c r="L9219" i="1"/>
  <c r="L9218" i="1"/>
  <c r="L9217" i="1"/>
  <c r="L9216" i="1"/>
  <c r="L9215" i="1"/>
  <c r="L9214" i="1"/>
  <c r="L9213" i="1"/>
  <c r="L9212" i="1"/>
  <c r="L9211" i="1"/>
  <c r="L9210" i="1"/>
  <c r="L9209" i="1"/>
  <c r="L9208" i="1"/>
  <c r="L9207" i="1"/>
  <c r="L9206" i="1"/>
  <c r="L9205" i="1"/>
  <c r="L9204" i="1"/>
  <c r="L9203" i="1"/>
  <c r="L9202" i="1"/>
  <c r="L9201" i="1"/>
  <c r="L9200" i="1"/>
  <c r="L9199" i="1"/>
  <c r="L9198" i="1"/>
  <c r="L9197" i="1"/>
  <c r="L9196" i="1"/>
  <c r="L9195" i="1"/>
  <c r="L9194" i="1"/>
  <c r="L9193" i="1"/>
  <c r="L9192" i="1"/>
  <c r="L9191" i="1"/>
  <c r="L9190" i="1"/>
  <c r="L9189" i="1"/>
  <c r="L9188" i="1"/>
  <c r="L9187" i="1"/>
  <c r="L9186" i="1"/>
  <c r="L9185" i="1"/>
  <c r="L9184" i="1"/>
  <c r="L9183" i="1"/>
  <c r="L9182" i="1"/>
  <c r="L9181" i="1"/>
  <c r="L9180" i="1"/>
  <c r="L9179" i="1"/>
  <c r="L9178" i="1"/>
  <c r="L9177" i="1"/>
  <c r="L9176" i="1"/>
  <c r="L9175" i="1"/>
  <c r="L9174" i="1"/>
  <c r="L9173" i="1"/>
  <c r="L9172" i="1"/>
  <c r="L9171" i="1"/>
  <c r="L9170" i="1"/>
  <c r="L9169" i="1"/>
  <c r="L9168" i="1"/>
  <c r="L9167" i="1"/>
  <c r="L9166" i="1"/>
  <c r="L9165" i="1"/>
  <c r="L9164" i="1"/>
  <c r="L9163" i="1"/>
  <c r="L9162" i="1"/>
  <c r="L9161" i="1"/>
  <c r="L9160" i="1"/>
  <c r="L9159" i="1"/>
  <c r="L9158" i="1"/>
  <c r="L9157" i="1"/>
  <c r="L9156" i="1"/>
  <c r="L9155" i="1"/>
  <c r="L9154" i="1"/>
  <c r="L9153" i="1"/>
  <c r="L9152" i="1"/>
  <c r="L9151" i="1"/>
  <c r="L9150" i="1"/>
  <c r="L9149" i="1"/>
  <c r="L9148" i="1"/>
  <c r="L9147" i="1"/>
  <c r="L9146" i="1"/>
  <c r="L9145" i="1"/>
  <c r="L9144" i="1"/>
  <c r="L9143" i="1"/>
  <c r="L9142" i="1"/>
  <c r="L9141" i="1"/>
  <c r="L9140" i="1"/>
  <c r="L9139" i="1"/>
  <c r="L9138" i="1"/>
  <c r="L9137" i="1"/>
  <c r="L9136" i="1"/>
  <c r="L9135" i="1"/>
  <c r="L9134" i="1"/>
  <c r="L9133" i="1"/>
  <c r="L9132" i="1"/>
  <c r="L9131" i="1"/>
  <c r="L9130" i="1"/>
  <c r="L9129" i="1"/>
  <c r="L9128" i="1"/>
  <c r="L9127" i="1"/>
  <c r="L9126" i="1"/>
  <c r="L9125" i="1"/>
  <c r="L9124" i="1"/>
  <c r="L9123" i="1"/>
  <c r="L9122" i="1"/>
  <c r="L9121" i="1"/>
  <c r="L9120" i="1"/>
  <c r="L9119" i="1"/>
  <c r="L9118" i="1"/>
  <c r="L9117" i="1"/>
  <c r="L9116" i="1"/>
  <c r="L9115" i="1"/>
  <c r="L9114" i="1"/>
  <c r="L9113" i="1"/>
  <c r="L9112" i="1"/>
  <c r="L9111" i="1"/>
  <c r="L9110" i="1"/>
  <c r="L9109" i="1"/>
  <c r="L9108" i="1"/>
  <c r="L9107" i="1"/>
  <c r="L9106" i="1"/>
  <c r="L9105" i="1"/>
  <c r="L9104" i="1"/>
  <c r="L9103" i="1"/>
  <c r="L9102" i="1"/>
  <c r="L9101" i="1"/>
  <c r="L9100" i="1"/>
  <c r="L9099" i="1"/>
  <c r="L9098" i="1"/>
  <c r="L9097" i="1"/>
  <c r="L9096" i="1"/>
  <c r="L9095" i="1"/>
  <c r="L9094" i="1"/>
  <c r="L9093" i="1"/>
  <c r="L9092" i="1"/>
  <c r="L9091" i="1"/>
  <c r="L9090" i="1"/>
  <c r="L9089" i="1"/>
  <c r="L9088" i="1"/>
  <c r="L9087" i="1"/>
  <c r="L9086" i="1"/>
  <c r="L9085" i="1"/>
  <c r="L9084" i="1"/>
  <c r="L9083" i="1"/>
  <c r="L9082" i="1"/>
  <c r="L9081" i="1"/>
  <c r="L9080" i="1"/>
  <c r="L9079" i="1"/>
  <c r="L9078" i="1"/>
  <c r="L9077" i="1"/>
  <c r="L9076" i="1"/>
  <c r="L9075" i="1"/>
  <c r="L9074" i="1"/>
  <c r="L9073" i="1"/>
  <c r="L9072" i="1"/>
  <c r="L9071" i="1"/>
  <c r="L9070" i="1"/>
  <c r="L9069" i="1"/>
  <c r="L9068" i="1"/>
  <c r="L9067" i="1"/>
  <c r="L9066" i="1"/>
  <c r="L9065" i="1"/>
  <c r="L9064" i="1"/>
  <c r="L9063" i="1"/>
  <c r="L9062" i="1"/>
  <c r="L9061" i="1"/>
  <c r="L9060" i="1"/>
  <c r="L9059" i="1"/>
  <c r="L9058" i="1"/>
  <c r="L9057" i="1"/>
  <c r="L9056" i="1"/>
  <c r="L9055" i="1"/>
  <c r="L9054" i="1"/>
  <c r="L9053" i="1"/>
  <c r="L9052" i="1"/>
  <c r="L9051" i="1"/>
  <c r="L9050" i="1"/>
  <c r="L9049" i="1"/>
  <c r="L9048" i="1"/>
  <c r="L9047" i="1"/>
  <c r="L9046" i="1"/>
  <c r="L9045" i="1"/>
  <c r="L9044" i="1"/>
  <c r="L9043" i="1"/>
  <c r="L9042" i="1"/>
  <c r="L9041" i="1"/>
  <c r="L9040" i="1"/>
  <c r="L9039" i="1"/>
  <c r="L9038" i="1"/>
  <c r="L9037" i="1"/>
  <c r="L9036" i="1"/>
  <c r="L9035" i="1"/>
  <c r="L9034" i="1"/>
  <c r="L9033" i="1"/>
  <c r="L9032" i="1"/>
  <c r="L9031" i="1"/>
  <c r="L9030" i="1"/>
  <c r="L9029" i="1"/>
  <c r="L9028" i="1"/>
  <c r="L9027" i="1"/>
  <c r="L9026" i="1"/>
  <c r="L9025" i="1"/>
  <c r="L9024" i="1"/>
  <c r="L9023" i="1"/>
  <c r="L9022" i="1"/>
  <c r="L9021" i="1"/>
  <c r="L9020" i="1"/>
  <c r="L9019" i="1"/>
  <c r="L9018" i="1"/>
  <c r="L9017" i="1"/>
  <c r="L9016" i="1"/>
  <c r="L9015" i="1"/>
  <c r="L9014" i="1"/>
  <c r="L9013" i="1"/>
  <c r="L9012" i="1"/>
  <c r="L9011" i="1"/>
  <c r="L9010" i="1"/>
  <c r="L9009" i="1"/>
  <c r="L9008" i="1"/>
  <c r="L9007" i="1"/>
  <c r="L9006" i="1"/>
  <c r="L9005" i="1"/>
  <c r="L9004" i="1"/>
  <c r="L9003" i="1"/>
  <c r="L9002" i="1"/>
  <c r="L9001" i="1"/>
  <c r="L9000" i="1"/>
  <c r="L8999" i="1"/>
  <c r="L8998" i="1"/>
  <c r="L8997" i="1"/>
  <c r="L8996" i="1"/>
  <c r="L8995" i="1"/>
  <c r="L8994" i="1"/>
  <c r="L8993" i="1"/>
  <c r="L8992" i="1"/>
  <c r="L8991" i="1"/>
  <c r="L8990" i="1"/>
  <c r="L8989" i="1"/>
  <c r="L8988" i="1"/>
  <c r="L8987" i="1"/>
  <c r="L8986" i="1"/>
  <c r="L8985" i="1"/>
  <c r="L8984" i="1"/>
  <c r="L8983" i="1"/>
  <c r="L8982" i="1"/>
  <c r="L8981" i="1"/>
  <c r="L8980" i="1"/>
  <c r="L8979" i="1"/>
  <c r="L8978" i="1"/>
  <c r="L8977" i="1"/>
  <c r="L8976" i="1"/>
  <c r="L8975" i="1"/>
  <c r="L8974" i="1"/>
  <c r="L8973" i="1"/>
  <c r="L8972" i="1"/>
  <c r="L8971" i="1"/>
  <c r="L8970" i="1"/>
  <c r="L8969" i="1"/>
  <c r="L8968" i="1"/>
  <c r="L8967" i="1"/>
  <c r="L8966" i="1"/>
  <c r="L8965" i="1"/>
  <c r="L8964" i="1"/>
  <c r="L8963" i="1"/>
  <c r="L8962" i="1"/>
  <c r="L8961" i="1"/>
  <c r="L8960" i="1"/>
  <c r="L8959" i="1"/>
  <c r="L8958" i="1"/>
  <c r="L8957" i="1"/>
  <c r="L8956" i="1"/>
  <c r="L8955" i="1"/>
  <c r="L8954" i="1"/>
  <c r="L8953" i="1"/>
  <c r="L8952" i="1"/>
  <c r="L8951" i="1"/>
  <c r="L8950" i="1"/>
  <c r="L8949" i="1"/>
  <c r="L8948" i="1"/>
  <c r="L8947" i="1"/>
  <c r="L8946" i="1"/>
  <c r="L8945" i="1"/>
  <c r="L8944" i="1"/>
  <c r="L8943" i="1"/>
  <c r="L8942" i="1"/>
  <c r="L8941" i="1"/>
  <c r="L8940" i="1"/>
  <c r="L8939" i="1"/>
  <c r="L8938" i="1"/>
  <c r="L8937" i="1"/>
  <c r="L8936" i="1"/>
  <c r="L8935" i="1"/>
  <c r="L8934" i="1"/>
  <c r="L8933" i="1"/>
  <c r="L8932" i="1"/>
  <c r="L8931" i="1"/>
  <c r="L8930" i="1"/>
  <c r="L8929" i="1"/>
  <c r="L8928" i="1"/>
  <c r="L8927" i="1"/>
  <c r="L8926" i="1"/>
  <c r="L8925" i="1"/>
  <c r="L8924" i="1"/>
  <c r="L8923" i="1"/>
  <c r="L8922" i="1"/>
  <c r="L8921" i="1"/>
  <c r="L8920" i="1"/>
  <c r="L8919" i="1"/>
  <c r="L8918" i="1"/>
  <c r="L8917" i="1"/>
  <c r="L8916" i="1"/>
  <c r="L8915" i="1"/>
  <c r="L8914" i="1"/>
  <c r="L8913" i="1"/>
  <c r="L8912" i="1"/>
  <c r="L8911" i="1"/>
  <c r="L8910" i="1"/>
  <c r="L8909" i="1"/>
  <c r="L8908" i="1"/>
  <c r="L8907" i="1"/>
  <c r="L8906" i="1"/>
  <c r="L8905" i="1"/>
  <c r="L8904" i="1"/>
  <c r="L8903" i="1"/>
  <c r="L8902" i="1"/>
  <c r="L8901" i="1"/>
  <c r="L8900" i="1"/>
  <c r="L8899" i="1"/>
  <c r="L8898" i="1"/>
  <c r="L8897" i="1"/>
  <c r="L8896" i="1"/>
  <c r="L8895" i="1"/>
  <c r="L8894" i="1"/>
  <c r="L8893" i="1"/>
  <c r="L8892" i="1"/>
  <c r="L8891" i="1"/>
  <c r="L8890" i="1"/>
  <c r="L8889" i="1"/>
  <c r="L8888" i="1"/>
  <c r="L8887" i="1"/>
  <c r="L8886" i="1"/>
  <c r="L8885" i="1"/>
  <c r="L8884" i="1"/>
  <c r="L8883" i="1"/>
  <c r="L8882" i="1"/>
  <c r="L8881" i="1"/>
  <c r="L8880" i="1"/>
  <c r="L8879" i="1"/>
  <c r="L8878" i="1"/>
  <c r="L8877" i="1"/>
  <c r="L8876" i="1"/>
  <c r="L8875" i="1"/>
  <c r="L8874" i="1"/>
  <c r="L8873" i="1"/>
  <c r="L8872" i="1"/>
  <c r="L8871" i="1"/>
  <c r="L8870" i="1"/>
  <c r="L8869" i="1"/>
  <c r="L8868" i="1"/>
  <c r="L8867" i="1"/>
  <c r="L8866" i="1"/>
  <c r="L8865" i="1"/>
  <c r="L8864" i="1"/>
  <c r="L8863" i="1"/>
  <c r="L8862" i="1"/>
  <c r="L8861" i="1"/>
  <c r="L8860" i="1"/>
  <c r="L8859" i="1"/>
  <c r="L8858" i="1"/>
  <c r="L8857" i="1"/>
  <c r="L8856" i="1"/>
  <c r="L8855" i="1"/>
  <c r="L8854" i="1"/>
  <c r="L8853" i="1"/>
  <c r="L8852" i="1"/>
  <c r="L8851" i="1"/>
  <c r="L8850" i="1"/>
  <c r="L8849" i="1"/>
  <c r="L8848" i="1"/>
  <c r="L8847" i="1"/>
  <c r="L8846" i="1"/>
  <c r="L8845" i="1"/>
  <c r="L8844" i="1"/>
  <c r="L8843" i="1"/>
  <c r="L8842" i="1"/>
  <c r="L8841" i="1"/>
  <c r="L8840" i="1"/>
  <c r="L8839" i="1"/>
  <c r="L8838" i="1"/>
  <c r="L8837" i="1"/>
  <c r="L8836" i="1"/>
  <c r="L8835" i="1"/>
  <c r="L8834" i="1"/>
  <c r="L8833" i="1"/>
  <c r="L8832" i="1"/>
  <c r="L8831" i="1"/>
  <c r="L8830" i="1"/>
  <c r="L8829" i="1"/>
  <c r="L8828" i="1"/>
  <c r="L8827" i="1"/>
  <c r="L8826" i="1"/>
  <c r="L8825" i="1"/>
  <c r="L8824" i="1"/>
  <c r="L8823" i="1"/>
  <c r="L8822" i="1"/>
  <c r="L8821" i="1"/>
  <c r="L8820" i="1"/>
  <c r="L8819" i="1"/>
  <c r="L8818" i="1"/>
  <c r="L8817" i="1"/>
  <c r="L8816" i="1"/>
  <c r="L8815" i="1"/>
  <c r="L8814" i="1"/>
  <c r="L8813" i="1"/>
  <c r="L8812" i="1"/>
  <c r="L8811" i="1"/>
  <c r="L8810" i="1"/>
  <c r="L8809" i="1"/>
  <c r="L8808" i="1"/>
  <c r="L8807" i="1"/>
  <c r="L8806" i="1"/>
  <c r="L8805" i="1"/>
  <c r="L8804" i="1"/>
  <c r="L8803" i="1"/>
  <c r="L8802" i="1"/>
  <c r="L8801" i="1"/>
  <c r="L8800" i="1"/>
  <c r="L8799" i="1"/>
  <c r="L8798" i="1"/>
  <c r="L8797" i="1"/>
  <c r="L8796" i="1"/>
  <c r="L8795" i="1"/>
  <c r="L8794" i="1"/>
  <c r="L8793" i="1"/>
  <c r="L8792" i="1"/>
  <c r="L8791" i="1"/>
  <c r="L8790" i="1"/>
  <c r="L8789" i="1"/>
  <c r="L8788" i="1"/>
  <c r="L8787" i="1"/>
  <c r="L8786" i="1"/>
  <c r="L8785" i="1"/>
  <c r="L8784" i="1"/>
  <c r="L8783" i="1"/>
  <c r="L8782" i="1"/>
  <c r="L8781" i="1"/>
  <c r="L8780" i="1"/>
  <c r="L8779" i="1"/>
  <c r="L8778" i="1"/>
  <c r="L8777" i="1"/>
  <c r="L8776" i="1"/>
  <c r="L8775" i="1"/>
  <c r="L8774" i="1"/>
  <c r="L8773" i="1"/>
  <c r="L8772" i="1"/>
  <c r="L8771" i="1"/>
  <c r="L8770" i="1"/>
  <c r="L8769" i="1"/>
  <c r="L8768" i="1"/>
  <c r="L8767" i="1"/>
  <c r="L8766" i="1"/>
  <c r="L8765" i="1"/>
  <c r="L8764" i="1"/>
  <c r="L8763" i="1"/>
  <c r="L8762" i="1"/>
  <c r="L8761" i="1"/>
  <c r="L8760" i="1"/>
  <c r="L8759" i="1"/>
  <c r="L8758" i="1"/>
  <c r="L8757" i="1"/>
  <c r="L8756" i="1"/>
  <c r="L8755" i="1"/>
  <c r="L8754" i="1"/>
  <c r="L8753" i="1"/>
  <c r="L8752" i="1"/>
  <c r="L8751" i="1"/>
  <c r="L8750" i="1"/>
  <c r="L8749" i="1"/>
  <c r="L8748" i="1"/>
  <c r="L8747" i="1"/>
  <c r="L8746" i="1"/>
  <c r="L8745" i="1"/>
  <c r="L8744" i="1"/>
  <c r="L8743" i="1"/>
  <c r="L8742" i="1"/>
  <c r="L8741" i="1"/>
  <c r="L8740" i="1"/>
  <c r="L8739" i="1"/>
  <c r="L8738" i="1"/>
  <c r="L8737" i="1"/>
  <c r="L8736" i="1"/>
  <c r="L8735" i="1"/>
  <c r="L8734" i="1"/>
  <c r="L8733" i="1"/>
  <c r="L8732" i="1"/>
  <c r="L8731" i="1"/>
  <c r="L8730" i="1"/>
  <c r="L8729" i="1"/>
  <c r="L8728" i="1"/>
  <c r="L8727" i="1"/>
  <c r="L8726" i="1"/>
  <c r="L8725" i="1"/>
  <c r="L8724" i="1"/>
  <c r="L8723" i="1"/>
  <c r="L8722" i="1"/>
  <c r="L8721" i="1"/>
  <c r="L8720" i="1"/>
  <c r="L8719" i="1"/>
  <c r="L8718" i="1"/>
  <c r="L8717" i="1"/>
  <c r="L8716" i="1"/>
  <c r="L8715" i="1"/>
  <c r="L8714" i="1"/>
  <c r="L8713" i="1"/>
  <c r="L8712" i="1"/>
  <c r="L8711" i="1"/>
  <c r="L8710" i="1"/>
  <c r="L8709" i="1"/>
  <c r="L8708" i="1"/>
  <c r="L8707" i="1"/>
  <c r="L8706" i="1"/>
  <c r="L8705" i="1"/>
  <c r="L8704" i="1"/>
  <c r="L8703" i="1"/>
  <c r="L8702" i="1"/>
  <c r="L8701" i="1"/>
  <c r="L8700" i="1"/>
  <c r="L8699" i="1"/>
  <c r="L8698" i="1"/>
  <c r="L8697" i="1"/>
  <c r="L8696" i="1"/>
  <c r="L8695" i="1"/>
  <c r="L8694" i="1"/>
  <c r="L8693" i="1"/>
  <c r="L8692" i="1"/>
  <c r="L8691" i="1"/>
  <c r="L8690" i="1"/>
  <c r="L8689" i="1"/>
  <c r="L8688" i="1"/>
  <c r="L8687" i="1"/>
  <c r="L8686" i="1"/>
  <c r="L8685" i="1"/>
  <c r="L8684" i="1"/>
  <c r="L8683" i="1"/>
  <c r="L8682" i="1"/>
  <c r="L8681" i="1"/>
  <c r="L8680" i="1"/>
  <c r="L8679" i="1"/>
  <c r="L8678" i="1"/>
  <c r="L8677" i="1"/>
  <c r="L8676" i="1"/>
  <c r="L8675" i="1"/>
  <c r="L8674" i="1"/>
  <c r="L8673" i="1"/>
  <c r="L8672" i="1"/>
  <c r="L8671" i="1"/>
  <c r="L8670" i="1"/>
  <c r="L8669" i="1"/>
  <c r="L8668" i="1"/>
  <c r="L8667" i="1"/>
  <c r="L8666" i="1"/>
  <c r="L8665" i="1"/>
  <c r="L8664" i="1"/>
  <c r="L8663" i="1"/>
  <c r="L8662" i="1"/>
  <c r="L8661" i="1"/>
  <c r="L8660" i="1"/>
  <c r="L8659" i="1"/>
  <c r="L8658" i="1"/>
  <c r="L8657" i="1"/>
  <c r="L8656" i="1"/>
  <c r="L8655" i="1"/>
  <c r="L8654" i="1"/>
  <c r="L8653" i="1"/>
  <c r="L8652" i="1"/>
  <c r="L8651" i="1"/>
  <c r="L8650" i="1"/>
  <c r="L8649" i="1"/>
  <c r="L8648" i="1"/>
  <c r="L8647" i="1"/>
  <c r="L8646" i="1"/>
  <c r="L8645" i="1"/>
  <c r="L8644" i="1"/>
  <c r="L8643" i="1"/>
  <c r="L8642" i="1"/>
  <c r="L8641" i="1"/>
  <c r="L8640" i="1"/>
  <c r="L8639" i="1"/>
  <c r="L8638" i="1"/>
  <c r="L8637" i="1"/>
  <c r="L8636" i="1"/>
  <c r="L8635" i="1"/>
  <c r="L8634" i="1"/>
  <c r="L8633" i="1"/>
  <c r="L8632" i="1"/>
  <c r="L8631" i="1"/>
  <c r="L8630" i="1"/>
  <c r="L8629" i="1"/>
  <c r="L8628" i="1"/>
  <c r="L8627" i="1"/>
  <c r="L8626" i="1"/>
  <c r="L8625" i="1"/>
  <c r="L8624" i="1"/>
  <c r="L8623" i="1"/>
  <c r="L8622" i="1"/>
  <c r="L8621" i="1"/>
  <c r="L8620" i="1"/>
  <c r="L8619" i="1"/>
  <c r="L8618" i="1"/>
  <c r="L8617" i="1"/>
  <c r="L8616" i="1"/>
  <c r="L8615" i="1"/>
  <c r="L8614" i="1"/>
  <c r="L8613" i="1"/>
  <c r="L8612" i="1"/>
  <c r="L8611" i="1"/>
  <c r="L8610" i="1"/>
  <c r="L8609" i="1"/>
  <c r="L8608" i="1"/>
  <c r="L8607" i="1"/>
  <c r="L8606" i="1"/>
  <c r="L8605" i="1"/>
  <c r="L8604" i="1"/>
  <c r="L8603" i="1"/>
  <c r="L8602" i="1"/>
  <c r="L8601" i="1"/>
  <c r="L8600" i="1"/>
  <c r="L8599" i="1"/>
  <c r="L8598" i="1"/>
  <c r="L8597" i="1"/>
  <c r="L8596" i="1"/>
  <c r="L8595" i="1"/>
  <c r="L8594" i="1"/>
  <c r="L8593" i="1"/>
  <c r="L8592" i="1"/>
  <c r="L8591" i="1"/>
  <c r="L8590" i="1"/>
  <c r="L8589" i="1"/>
  <c r="L8588" i="1"/>
  <c r="L8587" i="1"/>
  <c r="L8586" i="1"/>
  <c r="L8585" i="1"/>
  <c r="L8584" i="1"/>
  <c r="L8583" i="1"/>
  <c r="L8582" i="1"/>
  <c r="L8581" i="1"/>
  <c r="L8580" i="1"/>
  <c r="L8579" i="1"/>
  <c r="L8578" i="1"/>
  <c r="L8577" i="1"/>
  <c r="L8576" i="1"/>
  <c r="L8575" i="1"/>
  <c r="L8574" i="1"/>
  <c r="L8573" i="1"/>
  <c r="L8572" i="1"/>
  <c r="L8571" i="1"/>
  <c r="L8570" i="1"/>
  <c r="L8569" i="1"/>
  <c r="L8568" i="1"/>
  <c r="L8567" i="1"/>
  <c r="L8566" i="1"/>
  <c r="L8565" i="1"/>
  <c r="L8564" i="1"/>
  <c r="L8563" i="1"/>
  <c r="L8562" i="1"/>
  <c r="L8561" i="1"/>
  <c r="L8560" i="1"/>
  <c r="L8559" i="1"/>
  <c r="L8558" i="1"/>
  <c r="L8557" i="1"/>
  <c r="L8556" i="1"/>
  <c r="L8555" i="1"/>
  <c r="L8554" i="1"/>
  <c r="L8553" i="1"/>
  <c r="L8552" i="1"/>
  <c r="L8551" i="1"/>
  <c r="L8550" i="1"/>
  <c r="L8549" i="1"/>
  <c r="L8548" i="1"/>
  <c r="L8547" i="1"/>
  <c r="L8546" i="1"/>
  <c r="L8545" i="1"/>
  <c r="L8544" i="1"/>
  <c r="L8543" i="1"/>
  <c r="L8542" i="1"/>
  <c r="L8541" i="1"/>
  <c r="L8540" i="1"/>
  <c r="L8539" i="1"/>
  <c r="L8538" i="1"/>
  <c r="L8537" i="1"/>
  <c r="L8536" i="1"/>
  <c r="L8535" i="1"/>
  <c r="L8534" i="1"/>
  <c r="L8533" i="1"/>
  <c r="L8532" i="1"/>
  <c r="L8531" i="1"/>
  <c r="L8530" i="1"/>
  <c r="L8529" i="1"/>
  <c r="L8528" i="1"/>
  <c r="L8527" i="1"/>
  <c r="L8526" i="1"/>
  <c r="L8525" i="1"/>
  <c r="L8524" i="1"/>
  <c r="L8523" i="1"/>
  <c r="L8522" i="1"/>
  <c r="L8521" i="1"/>
  <c r="L8520" i="1"/>
  <c r="L8519" i="1"/>
  <c r="L8518" i="1"/>
  <c r="L8517" i="1"/>
  <c r="L8516" i="1"/>
  <c r="L8515" i="1"/>
  <c r="L8514" i="1"/>
  <c r="L8513" i="1"/>
  <c r="L8512" i="1"/>
  <c r="L8511" i="1"/>
  <c r="L8510" i="1"/>
  <c r="L8509" i="1"/>
  <c r="L8508" i="1"/>
  <c r="L8507" i="1"/>
  <c r="L8506" i="1"/>
  <c r="L8505" i="1"/>
  <c r="L8504" i="1"/>
  <c r="L8503" i="1"/>
  <c r="L8502" i="1"/>
  <c r="L8501" i="1"/>
  <c r="L8500" i="1"/>
  <c r="L8499" i="1"/>
  <c r="L8498" i="1"/>
  <c r="L8497" i="1"/>
  <c r="L8496" i="1"/>
  <c r="L8495" i="1"/>
  <c r="L8494"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L8326" i="1"/>
  <c r="L8325" i="1"/>
  <c r="L8324" i="1"/>
  <c r="L8323" i="1"/>
  <c r="L8322" i="1"/>
  <c r="L8321" i="1"/>
  <c r="L8320" i="1"/>
  <c r="L8319" i="1"/>
  <c r="L8318" i="1"/>
  <c r="L8317" i="1"/>
  <c r="L8316" i="1"/>
  <c r="L8315" i="1"/>
  <c r="L8314" i="1"/>
  <c r="L8313" i="1"/>
  <c r="L8312" i="1"/>
  <c r="L8311" i="1"/>
  <c r="L8310" i="1"/>
  <c r="L8309" i="1"/>
  <c r="L8308" i="1"/>
  <c r="L8307" i="1"/>
  <c r="L8306" i="1"/>
  <c r="L8305" i="1"/>
  <c r="L8304" i="1"/>
  <c r="L8303" i="1"/>
  <c r="L8302" i="1"/>
  <c r="L8301" i="1"/>
  <c r="L8300" i="1"/>
  <c r="L8299" i="1"/>
  <c r="L8298" i="1"/>
  <c r="L8297" i="1"/>
  <c r="L8296" i="1"/>
  <c r="L8295" i="1"/>
  <c r="L8294" i="1"/>
  <c r="L8293" i="1"/>
  <c r="L8292" i="1"/>
  <c r="L8291" i="1"/>
  <c r="L8290" i="1"/>
  <c r="L8289" i="1"/>
  <c r="L8288" i="1"/>
  <c r="L8287" i="1"/>
  <c r="L8286" i="1"/>
  <c r="L8285" i="1"/>
  <c r="L8284" i="1"/>
  <c r="L8283" i="1"/>
  <c r="L8282" i="1"/>
  <c r="L8281" i="1"/>
  <c r="L8280" i="1"/>
  <c r="L8279" i="1"/>
  <c r="L8278" i="1"/>
  <c r="L8277" i="1"/>
  <c r="L8276" i="1"/>
  <c r="L8275" i="1"/>
  <c r="L8274" i="1"/>
  <c r="L8273" i="1"/>
  <c r="L8272" i="1"/>
  <c r="L8271" i="1"/>
  <c r="L8270" i="1"/>
  <c r="L8269" i="1"/>
  <c r="L8268" i="1"/>
  <c r="L8267" i="1"/>
  <c r="L8266" i="1"/>
  <c r="L8265" i="1"/>
  <c r="L8264" i="1"/>
  <c r="L8263" i="1"/>
  <c r="L8262" i="1"/>
  <c r="L8261" i="1"/>
  <c r="L8260" i="1"/>
  <c r="L8259" i="1"/>
  <c r="L8258" i="1"/>
  <c r="L8257" i="1"/>
  <c r="L8256" i="1"/>
  <c r="L8255" i="1"/>
  <c r="L8254" i="1"/>
  <c r="L8253" i="1"/>
  <c r="L8252" i="1"/>
  <c r="L8251" i="1"/>
  <c r="L8250" i="1"/>
  <c r="L8249" i="1"/>
  <c r="L8248" i="1"/>
  <c r="L8247" i="1"/>
  <c r="L8246" i="1"/>
  <c r="L8245" i="1"/>
  <c r="L8244" i="1"/>
  <c r="L8243" i="1"/>
  <c r="L8242" i="1"/>
  <c r="L8241" i="1"/>
  <c r="L8240" i="1"/>
  <c r="L8239" i="1"/>
  <c r="L8238" i="1"/>
  <c r="L8237" i="1"/>
  <c r="L8236" i="1"/>
  <c r="L8235" i="1"/>
  <c r="L8234" i="1"/>
  <c r="L8233" i="1"/>
  <c r="L8232" i="1"/>
  <c r="L8231" i="1"/>
  <c r="L8230" i="1"/>
  <c r="L8229" i="1"/>
  <c r="L8228" i="1"/>
  <c r="L8227" i="1"/>
  <c r="L8226" i="1"/>
  <c r="L8225" i="1"/>
  <c r="L8224" i="1"/>
  <c r="L8223" i="1"/>
  <c r="L8222" i="1"/>
  <c r="L8221" i="1"/>
  <c r="L8220" i="1"/>
  <c r="L8219" i="1"/>
  <c r="L8218" i="1"/>
  <c r="L8217" i="1"/>
  <c r="L8216" i="1"/>
  <c r="L8215" i="1"/>
  <c r="L8214" i="1"/>
  <c r="L8213" i="1"/>
  <c r="L8212" i="1"/>
  <c r="L8211" i="1"/>
  <c r="L8210" i="1"/>
  <c r="L8209" i="1"/>
  <c r="L8208" i="1"/>
  <c r="L8207" i="1"/>
  <c r="L8206" i="1"/>
  <c r="L8205" i="1"/>
  <c r="L8204" i="1"/>
  <c r="L8203" i="1"/>
  <c r="L8202"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3"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L8103" i="1"/>
  <c r="L8102" i="1"/>
  <c r="L8101" i="1"/>
  <c r="L8100" i="1"/>
  <c r="L8099" i="1"/>
  <c r="L8098" i="1"/>
  <c r="L8097" i="1"/>
  <c r="L8096" i="1"/>
  <c r="L8095" i="1"/>
  <c r="L8094" i="1"/>
  <c r="L8093" i="1"/>
  <c r="L8092" i="1"/>
  <c r="L8091" i="1"/>
  <c r="L8090" i="1"/>
  <c r="L8089" i="1"/>
  <c r="L8088" i="1"/>
  <c r="L8087" i="1"/>
  <c r="L8086" i="1"/>
  <c r="L8085" i="1"/>
  <c r="L8084" i="1"/>
  <c r="L8083" i="1"/>
  <c r="L8082" i="1"/>
  <c r="L8081" i="1"/>
  <c r="L8080" i="1"/>
  <c r="L8079" i="1"/>
  <c r="L8078" i="1"/>
  <c r="L8077" i="1"/>
  <c r="L8076" i="1"/>
  <c r="L8075" i="1"/>
  <c r="L8074" i="1"/>
  <c r="L8073" i="1"/>
  <c r="L8072" i="1"/>
  <c r="L8071" i="1"/>
  <c r="L8070" i="1"/>
  <c r="L8069" i="1"/>
  <c r="L8068" i="1"/>
  <c r="L8067" i="1"/>
  <c r="L8066" i="1"/>
  <c r="L8065" i="1"/>
  <c r="L8064" i="1"/>
  <c r="L8063" i="1"/>
  <c r="L8062" i="1"/>
  <c r="L8061" i="1"/>
  <c r="L8060" i="1"/>
  <c r="L8059" i="1"/>
  <c r="L8058" i="1"/>
  <c r="L8057" i="1"/>
  <c r="L8056" i="1"/>
  <c r="L8055" i="1"/>
  <c r="L8054" i="1"/>
  <c r="L8053" i="1"/>
  <c r="L8052" i="1"/>
  <c r="L8051" i="1"/>
  <c r="L8050" i="1"/>
  <c r="L8049" i="1"/>
  <c r="L8048" i="1"/>
  <c r="L8047" i="1"/>
  <c r="L8046" i="1"/>
  <c r="L8045" i="1"/>
  <c r="L8044" i="1"/>
  <c r="L8043" i="1"/>
  <c r="L8042" i="1"/>
  <c r="L8041" i="1"/>
  <c r="L8040" i="1"/>
  <c r="L8039" i="1"/>
  <c r="L8038" i="1"/>
  <c r="L8037" i="1"/>
  <c r="L8036" i="1"/>
  <c r="L8035" i="1"/>
  <c r="L8034" i="1"/>
  <c r="L8033" i="1"/>
  <c r="L8032" i="1"/>
  <c r="L8031" i="1"/>
  <c r="L8030" i="1"/>
  <c r="L8029" i="1"/>
  <c r="L8028" i="1"/>
  <c r="L8027" i="1"/>
  <c r="L8026" i="1"/>
  <c r="L8025" i="1"/>
  <c r="L8024" i="1"/>
  <c r="L8023" i="1"/>
  <c r="L8022" i="1"/>
  <c r="L8021" i="1"/>
  <c r="L8020" i="1"/>
  <c r="L8019" i="1"/>
  <c r="L8018" i="1"/>
  <c r="L8017" i="1"/>
  <c r="L8016" i="1"/>
  <c r="L8015" i="1"/>
  <c r="L8014" i="1"/>
  <c r="L8013" i="1"/>
  <c r="L8012" i="1"/>
  <c r="L8011" i="1"/>
  <c r="L8010" i="1"/>
  <c r="L8009" i="1"/>
  <c r="L8008" i="1"/>
  <c r="L8007" i="1"/>
  <c r="L8006" i="1"/>
  <c r="L8005" i="1"/>
  <c r="L8004" i="1"/>
  <c r="L8003" i="1"/>
  <c r="L8002" i="1"/>
  <c r="L8001" i="1"/>
  <c r="L8000" i="1"/>
  <c r="L7999" i="1"/>
  <c r="L7998" i="1"/>
  <c r="L7997" i="1"/>
  <c r="L7996" i="1"/>
  <c r="L7995" i="1"/>
  <c r="L7994" i="1"/>
  <c r="L7993" i="1"/>
  <c r="L7992" i="1"/>
  <c r="L7991" i="1"/>
  <c r="L7990" i="1"/>
  <c r="L7989" i="1"/>
  <c r="L7988" i="1"/>
  <c r="L7987" i="1"/>
  <c r="L7986" i="1"/>
  <c r="L7985" i="1"/>
  <c r="L7984" i="1"/>
  <c r="L7983" i="1"/>
  <c r="L7982" i="1"/>
  <c r="L7981" i="1"/>
  <c r="L7980" i="1"/>
  <c r="L7979" i="1"/>
  <c r="L7978" i="1"/>
  <c r="L7977" i="1"/>
  <c r="L7976" i="1"/>
  <c r="L7975" i="1"/>
  <c r="L7974" i="1"/>
  <c r="L7973" i="1"/>
  <c r="L7972" i="1"/>
  <c r="L7971" i="1"/>
  <c r="L7970" i="1"/>
  <c r="L7969" i="1"/>
  <c r="L7968" i="1"/>
  <c r="L7967" i="1"/>
  <c r="L7966" i="1"/>
  <c r="L7965" i="1"/>
  <c r="L7964" i="1"/>
  <c r="L7963" i="1"/>
  <c r="L7962" i="1"/>
  <c r="L7961" i="1"/>
  <c r="L7960" i="1"/>
  <c r="L7959" i="1"/>
  <c r="L7958" i="1"/>
  <c r="L7957" i="1"/>
  <c r="L7956" i="1"/>
  <c r="L7955" i="1"/>
  <c r="L7954" i="1"/>
  <c r="L7953" i="1"/>
  <c r="L7952" i="1"/>
  <c r="L7951" i="1"/>
  <c r="L7950" i="1"/>
  <c r="L7949" i="1"/>
  <c r="L7948" i="1"/>
  <c r="L7947" i="1"/>
  <c r="L7946" i="1"/>
  <c r="L7945" i="1"/>
  <c r="L7944" i="1"/>
  <c r="L7943" i="1"/>
  <c r="L7942" i="1"/>
  <c r="L7941" i="1"/>
  <c r="L7940" i="1"/>
  <c r="L7939" i="1"/>
  <c r="L7938" i="1"/>
  <c r="L7937" i="1"/>
  <c r="L7936" i="1"/>
  <c r="L7935" i="1"/>
  <c r="L7934" i="1"/>
  <c r="L7933" i="1"/>
  <c r="L7932" i="1"/>
  <c r="L7931" i="1"/>
  <c r="L7930" i="1"/>
  <c r="L7929" i="1"/>
  <c r="L7928" i="1"/>
  <c r="L7927" i="1"/>
  <c r="L7926" i="1"/>
  <c r="L7925" i="1"/>
  <c r="L7924" i="1"/>
  <c r="L7923" i="1"/>
  <c r="L7922" i="1"/>
  <c r="L7921" i="1"/>
  <c r="L7920" i="1"/>
  <c r="L7919" i="1"/>
  <c r="L7918" i="1"/>
  <c r="L7917" i="1"/>
  <c r="L7916" i="1"/>
  <c r="L7915" i="1"/>
  <c r="L7914" i="1"/>
  <c r="L7913" i="1"/>
  <c r="L7912" i="1"/>
  <c r="L7911" i="1"/>
  <c r="L7910" i="1"/>
  <c r="L7909" i="1"/>
  <c r="L7908" i="1"/>
  <c r="L7907" i="1"/>
  <c r="L7906" i="1"/>
  <c r="L7905" i="1"/>
  <c r="L7904" i="1"/>
  <c r="L7903" i="1"/>
  <c r="L7902" i="1"/>
  <c r="L7901" i="1"/>
  <c r="L7900" i="1"/>
  <c r="L7899" i="1"/>
  <c r="L7898" i="1"/>
  <c r="L7897" i="1"/>
  <c r="L7896" i="1"/>
  <c r="L7895" i="1"/>
  <c r="L7894" i="1"/>
  <c r="L7893" i="1"/>
  <c r="L7892" i="1"/>
  <c r="L7891" i="1"/>
  <c r="L7890" i="1"/>
  <c r="L7889" i="1"/>
  <c r="L7888" i="1"/>
  <c r="L7887" i="1"/>
  <c r="L7886" i="1"/>
  <c r="L7885" i="1"/>
  <c r="L7884" i="1"/>
  <c r="L7883" i="1"/>
  <c r="L7882" i="1"/>
  <c r="L7881" i="1"/>
  <c r="L7880" i="1"/>
  <c r="L7879" i="1"/>
  <c r="L7878" i="1"/>
  <c r="L7877" i="1"/>
  <c r="L7876" i="1"/>
  <c r="L7875" i="1"/>
  <c r="L7874" i="1"/>
  <c r="L7873" i="1"/>
  <c r="L7872" i="1"/>
  <c r="L7871" i="1"/>
  <c r="L7870" i="1"/>
  <c r="L7869" i="1"/>
  <c r="L7868" i="1"/>
  <c r="L7867" i="1"/>
  <c r="L7866" i="1"/>
  <c r="L7865" i="1"/>
  <c r="L7864" i="1"/>
  <c r="L7863" i="1"/>
  <c r="L7862" i="1"/>
  <c r="L7861" i="1"/>
  <c r="L7860" i="1"/>
  <c r="L7859" i="1"/>
  <c r="L7858" i="1"/>
  <c r="L7857" i="1"/>
  <c r="L7856" i="1"/>
  <c r="L7855" i="1"/>
  <c r="L7854" i="1"/>
  <c r="L7853" i="1"/>
  <c r="L7852" i="1"/>
  <c r="L7851" i="1"/>
  <c r="L7850" i="1"/>
  <c r="L7849" i="1"/>
  <c r="L7848" i="1"/>
  <c r="L7847" i="1"/>
  <c r="L7846" i="1"/>
  <c r="L7845" i="1"/>
  <c r="L7844" i="1"/>
  <c r="L7843" i="1"/>
  <c r="L7842" i="1"/>
  <c r="L7841" i="1"/>
  <c r="L7840" i="1"/>
  <c r="L7839" i="1"/>
  <c r="L7838" i="1"/>
  <c r="L7837" i="1"/>
  <c r="L7836" i="1"/>
  <c r="L7835" i="1"/>
  <c r="L7834" i="1"/>
  <c r="L7833" i="1"/>
  <c r="L7832" i="1"/>
  <c r="L7831" i="1"/>
  <c r="L7830" i="1"/>
  <c r="L7829" i="1"/>
  <c r="L7828" i="1"/>
  <c r="L7827" i="1"/>
  <c r="L7826" i="1"/>
  <c r="L7825" i="1"/>
  <c r="L7824" i="1"/>
  <c r="L7823" i="1"/>
  <c r="L7822" i="1"/>
  <c r="L7821" i="1"/>
  <c r="L7820" i="1"/>
  <c r="L7819" i="1"/>
  <c r="L7818" i="1"/>
  <c r="L7817" i="1"/>
  <c r="L7816" i="1"/>
  <c r="L7815" i="1"/>
  <c r="L7814" i="1"/>
  <c r="L7813" i="1"/>
  <c r="L7812" i="1"/>
  <c r="L7811" i="1"/>
  <c r="L7810" i="1"/>
  <c r="L7809" i="1"/>
  <c r="L7808" i="1"/>
  <c r="L7807" i="1"/>
  <c r="L7806" i="1"/>
  <c r="L7805" i="1"/>
  <c r="L7804" i="1"/>
  <c r="L7803" i="1"/>
  <c r="L7802" i="1"/>
  <c r="L7801" i="1"/>
  <c r="L7800" i="1"/>
  <c r="L7799" i="1"/>
  <c r="L7798" i="1"/>
  <c r="L7797" i="1"/>
  <c r="L7796" i="1"/>
  <c r="L7795" i="1"/>
  <c r="L7794" i="1"/>
  <c r="L7793" i="1"/>
  <c r="L7792" i="1"/>
  <c r="L7791" i="1"/>
  <c r="L7790" i="1"/>
  <c r="L7789" i="1"/>
  <c r="L7788" i="1"/>
  <c r="L7787" i="1"/>
  <c r="L7786" i="1"/>
  <c r="L7785" i="1"/>
  <c r="L7784" i="1"/>
  <c r="L7783" i="1"/>
  <c r="L7782" i="1"/>
  <c r="L7781" i="1"/>
  <c r="L7780" i="1"/>
  <c r="L7779" i="1"/>
  <c r="L7778" i="1"/>
  <c r="L7777" i="1"/>
  <c r="L7776" i="1"/>
  <c r="L7775" i="1"/>
  <c r="L7774" i="1"/>
  <c r="L7773" i="1"/>
  <c r="L7772" i="1"/>
  <c r="L7771" i="1"/>
  <c r="L7770" i="1"/>
  <c r="L7769" i="1"/>
  <c r="L7768" i="1"/>
  <c r="L7767" i="1"/>
  <c r="L7766" i="1"/>
  <c r="L7765" i="1"/>
  <c r="L7764" i="1"/>
  <c r="L7763" i="1"/>
  <c r="L7762" i="1"/>
  <c r="L7761" i="1"/>
  <c r="L7760" i="1"/>
  <c r="L7759" i="1"/>
  <c r="L7758" i="1"/>
  <c r="L7757" i="1"/>
  <c r="L7756" i="1"/>
  <c r="L7755" i="1"/>
  <c r="L7754" i="1"/>
  <c r="L7753" i="1"/>
  <c r="L7752" i="1"/>
  <c r="L7751" i="1"/>
  <c r="L7750" i="1"/>
  <c r="L7749" i="1"/>
  <c r="L7748" i="1"/>
  <c r="L7747" i="1"/>
  <c r="L7746" i="1"/>
  <c r="L7745" i="1"/>
  <c r="L7744" i="1"/>
  <c r="L7743" i="1"/>
  <c r="L7742" i="1"/>
  <c r="L7741" i="1"/>
  <c r="L7740" i="1"/>
  <c r="L7739" i="1"/>
  <c r="L7738" i="1"/>
  <c r="L7737" i="1"/>
  <c r="L7736" i="1"/>
  <c r="L7735" i="1"/>
  <c r="L7734" i="1"/>
  <c r="L7733" i="1"/>
  <c r="L7732" i="1"/>
  <c r="L7731" i="1"/>
  <c r="L7730" i="1"/>
  <c r="L7729" i="1"/>
  <c r="L7728" i="1"/>
  <c r="L7727" i="1"/>
  <c r="L7726" i="1"/>
  <c r="L7725" i="1"/>
  <c r="L7724" i="1"/>
  <c r="L7723" i="1"/>
  <c r="L7722" i="1"/>
  <c r="L7721" i="1"/>
  <c r="L7720" i="1"/>
  <c r="L7719" i="1"/>
  <c r="L7718" i="1"/>
  <c r="L7717" i="1"/>
  <c r="L7716" i="1"/>
  <c r="L7715" i="1"/>
  <c r="L7714" i="1"/>
  <c r="L7713" i="1"/>
  <c r="L7712" i="1"/>
  <c r="L7711" i="1"/>
  <c r="L7710" i="1"/>
  <c r="L7709" i="1"/>
  <c r="L7708" i="1"/>
  <c r="L7707" i="1"/>
  <c r="L7706" i="1"/>
  <c r="L7705" i="1"/>
  <c r="L7704" i="1"/>
  <c r="L7703" i="1"/>
  <c r="L7702" i="1"/>
  <c r="L7701" i="1"/>
  <c r="L7700" i="1"/>
  <c r="L7699" i="1"/>
  <c r="L7698" i="1"/>
  <c r="L7697" i="1"/>
  <c r="L7696" i="1"/>
  <c r="L7695" i="1"/>
  <c r="L7694" i="1"/>
  <c r="L7693" i="1"/>
  <c r="L7692" i="1"/>
  <c r="L7691" i="1"/>
  <c r="L7690" i="1"/>
  <c r="L7689" i="1"/>
  <c r="L7688" i="1"/>
  <c r="L7687" i="1"/>
  <c r="L7686" i="1"/>
  <c r="L7685" i="1"/>
  <c r="L7684" i="1"/>
  <c r="L7683" i="1"/>
  <c r="L7682" i="1"/>
  <c r="L7681" i="1"/>
  <c r="L7680" i="1"/>
  <c r="L7679" i="1"/>
  <c r="L7678" i="1"/>
  <c r="L7677" i="1"/>
  <c r="L7676" i="1"/>
  <c r="L7675" i="1"/>
  <c r="L7674" i="1"/>
  <c r="L7673" i="1"/>
  <c r="L7672" i="1"/>
  <c r="L7671" i="1"/>
  <c r="L7670" i="1"/>
  <c r="L7669" i="1"/>
  <c r="L7668" i="1"/>
  <c r="L7667" i="1"/>
  <c r="L7666" i="1"/>
  <c r="L7665" i="1"/>
  <c r="L7664" i="1"/>
  <c r="L7663" i="1"/>
  <c r="L7662" i="1"/>
  <c r="L7661" i="1"/>
  <c r="L7660" i="1"/>
  <c r="L7659" i="1"/>
  <c r="L7658" i="1"/>
  <c r="L7657" i="1"/>
  <c r="L7656" i="1"/>
  <c r="L7655" i="1"/>
  <c r="L7654" i="1"/>
  <c r="L7653" i="1"/>
  <c r="L7652" i="1"/>
  <c r="L7651" i="1"/>
  <c r="L7650" i="1"/>
  <c r="L7649" i="1"/>
  <c r="L7648" i="1"/>
  <c r="L7647" i="1"/>
  <c r="L7646" i="1"/>
  <c r="L7645" i="1"/>
  <c r="L7644" i="1"/>
  <c r="L7643" i="1"/>
  <c r="L7642" i="1"/>
  <c r="L7641" i="1"/>
  <c r="L7640" i="1"/>
  <c r="L7639" i="1"/>
  <c r="L7638" i="1"/>
  <c r="L7637" i="1"/>
  <c r="L7636" i="1"/>
  <c r="L7635" i="1"/>
  <c r="L7634" i="1"/>
  <c r="L7633" i="1"/>
  <c r="L7632" i="1"/>
  <c r="L7631" i="1"/>
  <c r="L7630" i="1"/>
  <c r="L7629" i="1"/>
  <c r="L7628" i="1"/>
  <c r="L7627" i="1"/>
  <c r="L7626" i="1"/>
  <c r="L7625" i="1"/>
  <c r="L7624" i="1"/>
  <c r="L7623" i="1"/>
  <c r="L7622" i="1"/>
  <c r="L7621" i="1"/>
  <c r="L7620" i="1"/>
  <c r="L7619" i="1"/>
  <c r="L7618" i="1"/>
  <c r="L7617" i="1"/>
  <c r="L7616" i="1"/>
  <c r="L7615" i="1"/>
  <c r="L7614" i="1"/>
  <c r="L7613" i="1"/>
  <c r="L7612" i="1"/>
  <c r="L7611" i="1"/>
  <c r="L7610" i="1"/>
  <c r="L7609" i="1"/>
  <c r="L7608" i="1"/>
  <c r="L7607" i="1"/>
  <c r="L7606" i="1"/>
  <c r="L7605" i="1"/>
  <c r="L7604" i="1"/>
  <c r="L7603" i="1"/>
  <c r="L7602" i="1"/>
  <c r="L7601" i="1"/>
  <c r="L7600" i="1"/>
  <c r="L7599" i="1"/>
  <c r="L7598" i="1"/>
  <c r="L7597" i="1"/>
  <c r="L7596" i="1"/>
  <c r="L7595" i="1"/>
  <c r="L7594" i="1"/>
  <c r="L7593" i="1"/>
  <c r="L7592" i="1"/>
  <c r="L7591" i="1"/>
  <c r="L7590" i="1"/>
  <c r="L7589" i="1"/>
  <c r="L7588" i="1"/>
  <c r="L7587" i="1"/>
  <c r="L7586" i="1"/>
  <c r="L7585" i="1"/>
  <c r="L7584" i="1"/>
  <c r="L7583" i="1"/>
  <c r="L7582" i="1"/>
  <c r="L7581" i="1"/>
  <c r="L7580" i="1"/>
  <c r="L7579" i="1"/>
  <c r="L7578" i="1"/>
  <c r="L7577" i="1"/>
  <c r="L7576" i="1"/>
  <c r="L7575" i="1"/>
  <c r="L7574" i="1"/>
  <c r="L7573" i="1"/>
  <c r="L7572" i="1"/>
  <c r="L7571" i="1"/>
  <c r="L7570" i="1"/>
  <c r="L7569" i="1"/>
  <c r="L7568" i="1"/>
  <c r="L7567" i="1"/>
  <c r="L7566" i="1"/>
  <c r="L7565" i="1"/>
  <c r="L7564" i="1"/>
  <c r="L7563" i="1"/>
  <c r="L7562" i="1"/>
  <c r="L7561" i="1"/>
  <c r="L7560" i="1"/>
  <c r="L7559" i="1"/>
  <c r="L7558"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7"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6"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alcChain>
</file>

<file path=xl/sharedStrings.xml><?xml version="1.0" encoding="utf-8"?>
<sst xmlns="http://schemas.openxmlformats.org/spreadsheetml/2006/main" count="127728" uniqueCount="3404">
  <si>
    <t>SECRETARIA DE FINANZAS DEL ESTADO DE OAXACA
SUBSECRETARIA DE PLANEACIÓN E INVERSIÓN PÚBLICA
DIRECCIÓN DE SEGUIMIENTO A LA INVERSIÓN PÚBLICA
GEORREFERENCIAS DE LA INVERSIÓN PÚBLICA EJERCICIO 2024
PERIODO 3ER TRIMESTRE</t>
  </si>
  <si>
    <t>UNIDAD RESPONSABLE</t>
  </si>
  <si>
    <t>902 - INVERSIÓN CONCERTADA</t>
  </si>
  <si>
    <t>UNIDAD EJECUTORA</t>
  </si>
  <si>
    <t>902511 - SANTO DOMINGO NUXAÁ</t>
  </si>
  <si>
    <t>902324 - SAN PEDRO POCHUTLA</t>
  </si>
  <si>
    <t>902445 - SANTA MARÍA YOSOYÚA</t>
  </si>
  <si>
    <t>NOMBRE ACTIVIDAD</t>
  </si>
  <si>
    <t>CONSTRUCCIÓN DE 65 SISTEMAS DE CAPTACIÓN DE AGUA PLUVIAL PARA EL MEJORAMIENTO DE LA VIVIENDA</t>
  </si>
  <si>
    <t>REHABILITACIÓN DE LA OBRA DE CAPTACIÓN Y LÍNEA DE CONDUCCIÓN DEL SISTEMA DE AGUA POTABLE (2A. Y 3A. ETAPA DE 3)</t>
  </si>
  <si>
    <t>REHABILITACIÓN DE LA OBRA DE CAPTACIÓN Y LÍNEA DE CONDUCCIÓN DEL SISTEMA DE AGUA POTABLE (2A. Y 3A. ETAPA DE 3) ( SUPERVISIÓN TÉCNICA )</t>
  </si>
  <si>
    <t>CONSTRUCCIÓN DE 43 SANITARIOS CON BIODIGESTOR (ETAPA ÚNICA)</t>
  </si>
  <si>
    <t>VERTIENTE</t>
  </si>
  <si>
    <t>AGP - AGUA POTABLE</t>
  </si>
  <si>
    <t>VIV - VIVIENDA</t>
  </si>
  <si>
    <t>REGION</t>
  </si>
  <si>
    <t>04 - MIXTECA</t>
  </si>
  <si>
    <t>02 - COSTA</t>
  </si>
  <si>
    <t>DISTRITO</t>
  </si>
  <si>
    <t>10 - NOCHIXTLÁN</t>
  </si>
  <si>
    <t>30 - POCHUTLA</t>
  </si>
  <si>
    <t>16 - TLAXIACO</t>
  </si>
  <si>
    <t>MUNICIPIO</t>
  </si>
  <si>
    <t>511 - SANTO DOMINGO NUXAÁ</t>
  </si>
  <si>
    <t>324 - SAN PEDRO POCHUTLA</t>
  </si>
  <si>
    <t>445 - SANTA MARÍA YOSOYÚA</t>
  </si>
  <si>
    <t>LOCALIDAD</t>
  </si>
  <si>
    <t>0001 - SANTO DOMINGO NUXAÁ</t>
  </si>
  <si>
    <t>0001 - SAN PEDRO POCHUTLA</t>
  </si>
  <si>
    <t>0004 - SANTA CRUZ</t>
  </si>
  <si>
    <t>TIPO AREA GEOGRÁFICA</t>
  </si>
  <si>
    <t>PUNTO</t>
  </si>
  <si>
    <t>POLILINEA</t>
  </si>
  <si>
    <t>LATITUD</t>
  </si>
  <si>
    <t>LONGITUD</t>
  </si>
  <si>
    <t>CONSULTAR</t>
  </si>
  <si>
    <t>CONSTRUCCIÓN DE 43 SANITARIOS CON BIODIGESTOR (ETAPA UNICA) (SUPERVISIÓN TECNICA)</t>
  </si>
  <si>
    <t>902088 - SAN ANDRÉS CABECERA NUEVA</t>
  </si>
  <si>
    <t>CONSTRUCCIÓN DE 54 SANITARIOS CON BIODIGESTOR (ETAPA ÚNICA)</t>
  </si>
  <si>
    <t>07 - SIERRA SUR</t>
  </si>
  <si>
    <t>15 - PUTLA</t>
  </si>
  <si>
    <t>088 - SAN ANDRÉS CABECERA NUEVA</t>
  </si>
  <si>
    <t>0001 - SAN ANDRÉS CABECERA NUEVA</t>
  </si>
  <si>
    <t>CONSTRUCCIÓN DE 54 SANITARIOS CON BIODIGESTOR (ETAPA ÚNICA) SUPERVISIÓN TÉCNICA</t>
  </si>
  <si>
    <t>902364 - SANTA CATARINA JUQUILA</t>
  </si>
  <si>
    <t>CONSTRUCCIÓN DEL SISTEMA DE AGUA POTABLE (ETAPA ÚNICA) (SUPERVISIÓN TÉCNICA)</t>
  </si>
  <si>
    <t>22 - JUQUILA</t>
  </si>
  <si>
    <t>364 - SANTA CATARINA JUQUILA</t>
  </si>
  <si>
    <t>0056 - PASO HONDO</t>
  </si>
  <si>
    <t>902051 - MAGDALENA TEITIPAC</t>
  </si>
  <si>
    <t>CONSTRUCCIÓN DE MERCADO GANADERO ORIENTADO A PEQUEÑOS PRODUCTORES 2A ETAPA EN LA LOCALIDAD DE MAGDALENA TEITIPAC, MUNICIPIO DE MAGDALENA TEITIPAC, OAX.</t>
  </si>
  <si>
    <t>PEC - DESARROLLO PECUARIO</t>
  </si>
  <si>
    <t>08 - VALLES CENTRALES</t>
  </si>
  <si>
    <t>20 - TLACOLULA</t>
  </si>
  <si>
    <t>051 - MAGDALENA TEITIPAC</t>
  </si>
  <si>
    <t>0001 - MAGDALENA TEITIPAC</t>
  </si>
  <si>
    <t>902482 - SANTIAGO PINOTEPA NACIONAL</t>
  </si>
  <si>
    <t>PROYECTO EJECUTIVO DEL SISTEMA DE ALCANTARILLADO SANITARIO</t>
  </si>
  <si>
    <t>ALS - ALCANTARILLADO Y SANEAMIENTO</t>
  </si>
  <si>
    <t>21 - JAMILTEPEC</t>
  </si>
  <si>
    <t>482 - SANTIAGO PINOTEPA NACIONAL</t>
  </si>
  <si>
    <t>0001 - SANTIAGO PINOTEPA NACIONAL</t>
  </si>
  <si>
    <t>CONSTRUCCIÓN DEL SISTEMA DE AGUA POTABLE (ETAPA ÚNICA)</t>
  </si>
  <si>
    <t>REHABILITACIÓN DE LA LINEA DE CONDUCCIÓN DEL SISTEMA DE AGUA POTABLE (2A. ETAPA DE 2) (SUPERVISIÓN TÉCNICA)</t>
  </si>
  <si>
    <t>0025 - PUERTO ÁNGEL</t>
  </si>
  <si>
    <t>REHABILITACIÓN DE LA LINEA DE CONDUCCIÓN DEL SISTEMA DE AGUA POTABLE (2A. ETAPA DE 2)</t>
  </si>
  <si>
    <t>530 - INSTITUTO ESTATAL DE EDUCACIÓN PARA ADULTOS</t>
  </si>
  <si>
    <t>530001 - COORDINACIÓN DE PLANEACIÓN</t>
  </si>
  <si>
    <t>CONVENIO ESPECÍFICO DE COLABORACIÓN PARA OPERAR EL PROGRAMA DENOMINADO "EDUCACIÓN PARA ADULTOS (INEA)"</t>
  </si>
  <si>
    <t>ASS - ASISTENCIA SOCIAL</t>
  </si>
  <si>
    <t>19 - CENTRO</t>
  </si>
  <si>
    <t>067 - OAXACA DE JUÁREZ</t>
  </si>
  <si>
    <t>0001 - OAXACA DE JUÁREZ</t>
  </si>
  <si>
    <t>532 - INSTITUTO OAXAQUEÑO CONSTRUCTOR DE INFRAESTRUCTURA EDUCATIVA</t>
  </si>
  <si>
    <t>532001 - INSTITUTO OAXAQUEÑO CONSTRUCTOR DE INFRAESTRUCTURA EDUCATIVA</t>
  </si>
  <si>
    <t>EQUIPAMIENTO PARA IEBO NÚM. 267 CON CLAVE ESCOLAR:20ETH0275D EN LA LOCALIDAD DE SAN FRANCISCO LOXICHA, MUNICIPIO DE SAN AGUSTÍN LOXICHA</t>
  </si>
  <si>
    <t>EDI - EDUCACION E INVESTIGACION</t>
  </si>
  <si>
    <t>085 - SAN AGUSTÍN LOXICHA</t>
  </si>
  <si>
    <t>0011 - SAN FRANCISCO LOXICHA</t>
  </si>
  <si>
    <t>128 - SECRETARÍA DE DESARROLLO ECONÓMICO</t>
  </si>
  <si>
    <t>128001 - OFICINA DEL SECRETARIO DE DESARROLLO ECONÓMICO</t>
  </si>
  <si>
    <t>EXPO FERIA DEL QUESO Y DEL QUESILLO EN REYES ETLA</t>
  </si>
  <si>
    <t>EAC - DESARROLLO ECONOMICO, ABASTO Y COMERCIALIZACION</t>
  </si>
  <si>
    <t>11 - ETLA</t>
  </si>
  <si>
    <t>077 - REYES ETLA</t>
  </si>
  <si>
    <t>0001 - REYES ETLA</t>
  </si>
  <si>
    <t>CONSTRUCCIÓN DE SANITARIOS EN ESCUELA TELESECUNDARIA CON CLAVE ESCOLAR: 20DTV0435V, EN LA LOCALIDAD DE SAN JUAN GUELAVÍA, MUNICIPIO DE SAN JUAN GUELAVÍA.</t>
  </si>
  <si>
    <t>197 - SAN JUAN GUELAVÍA</t>
  </si>
  <si>
    <t>0001 - SAN JUAN GUELAVÍA</t>
  </si>
  <si>
    <t>CONSTRUCCIÓN DE CANCHA DEPORTIVA EN ESCUELA PRIMARIA "VICENTE GUERRERO" CON CLAVE ESCOLAR: 20DPR1515O, EN LA LOCALIDAD DE SANTIAGO JARETA, MUNICIPIO DE TOTONTEPEC VILLA DE MORELOS</t>
  </si>
  <si>
    <t>06 - SIERRA DE JUÁREZ</t>
  </si>
  <si>
    <t>14 - MIXE</t>
  </si>
  <si>
    <t>554 - TOTONTEPEC VILLA DE MORELOS</t>
  </si>
  <si>
    <t>0010 - SANTIAGO JARETA</t>
  </si>
  <si>
    <t>EQUIPAMIENTO DE UN LABORATORIO MÚLTIPLE PARA IEBO NÚM. 166 CON CLAVE ESCOLAR:20ETH0166X EN LA LOCALIDAD DE VILLA DE TEJÚPAM DE LA UNIÓN, MUNICIPIO DE VILLA DE TEJÚPAM DE LA UNIÓN</t>
  </si>
  <si>
    <t>09 - TEPOSCOLULA</t>
  </si>
  <si>
    <t>486 - VILLA TEJÚPAM DE LA UNIÓN</t>
  </si>
  <si>
    <t>0001 - VILLA TEJÚPAM DE LA UNIÓN</t>
  </si>
  <si>
    <t>511 - VIVIENDA BIENESTAR</t>
  </si>
  <si>
    <t>511001 - VIVIENDA BIENESTAR</t>
  </si>
  <si>
    <t>REHABILITACIÓN DE VIVIENDA PARA EL MEJORAMIENTO DE LA VIVIENDA, EN LA LOCALIDAD SAN ANTONIO HUITEPEC, MUNICIPIO SAN ANTONIO HUITEPEC.</t>
  </si>
  <si>
    <t>17 - ZAACHILA</t>
  </si>
  <si>
    <t>108 - SAN ANTONIO HUITEPEC</t>
  </si>
  <si>
    <t>0001 - SAN ANTONIO HUITEPEC</t>
  </si>
  <si>
    <t> -97.149611</t>
  </si>
  <si>
    <t> -97.142671</t>
  </si>
  <si>
    <t> -97.141413</t>
  </si>
  <si>
    <t>543 - UNIVERSIDAD DE LA CAÑADA</t>
  </si>
  <si>
    <t>543001 - UNIVERSIDAD DE LA CAÑADA</t>
  </si>
  <si>
    <t>AMPLIACIÓN DEL EDIFICIO DE CAFETERÍA DE LA UNIVERSIDAD DE LA CAÑADA</t>
  </si>
  <si>
    <t>01 - SIERRA DE FLORES MAGÓN</t>
  </si>
  <si>
    <t>04 - TEOTITLÁN</t>
  </si>
  <si>
    <t>545 - TEOTITLÁN DE FLORES MAGÓN</t>
  </si>
  <si>
    <t>0001 - TEOTITLÁN DE FLORES MAGÓN</t>
  </si>
  <si>
    <t>ADECUACIÓN DE EDIFICIO PARA UN LABORATORIO CLÍNICO UNIVERSITARIO</t>
  </si>
  <si>
    <t>513 - COMISIÓN ESTATAL FORESTAL</t>
  </si>
  <si>
    <t>513001 - COMISIÓN ESTATAL FORESTAL</t>
  </si>
  <si>
    <t>OPERACIÓN DE LA BRIGADA OFICIAL DE PREVENCIÓN Y COMBATE DE INCENDIOS FORESTALES EN ZONAS DE ALTO RIESGO (CORRAL DE PIEDRA)</t>
  </si>
  <si>
    <t>FOR - DESARROLLO FORESTAL</t>
  </si>
  <si>
    <t>12 - BENEMÉRITO DISTRITO DE IXTLÁN DE JUÁREZ</t>
  </si>
  <si>
    <t>363 - SANTA CATARINA IXTEPEJI</t>
  </si>
  <si>
    <t>0001 - SANTA CATARINA IXTEPEJI</t>
  </si>
  <si>
    <t>OPERACIÓN DE LA BRIGADA OFICIAL DE PREVENCIÓN Y COMBATE DE INCENDIOS FORESTALES EN ZONAS DE ALTO RIESGO (TEQUIO)</t>
  </si>
  <si>
    <t>385 - SANTA CRUZ XOXOCOTLÁN</t>
  </si>
  <si>
    <t>0048 - CAMINO A XOXOCOTLÁN ESTACIONAMIENTO TEQUIO</t>
  </si>
  <si>
    <t>OPERACIÓN DE LA BRIGADA OFICIAL DE PREVENCIÓN Y COMBATE DE INCENDIOS FORESTALES EN ZONAS DE ALTO RIESGO (TLALIXTAC DE CABRERA)</t>
  </si>
  <si>
    <t>05 - CUICATLÁN</t>
  </si>
  <si>
    <t>438 - SANTA MARÍA TLALIXTAC</t>
  </si>
  <si>
    <t>0001 - SANTA MARÍA TLALIXTAC</t>
  </si>
  <si>
    <t>OPERACIÓN DE LA BRIGADA OFICIAL DE PREVENCIÓN Y COMBATE DE INCENDIOS FORESTALES EN ZONAS DE ALTO RIESGO (SAN ISIDRO HUAYÁPAM)</t>
  </si>
  <si>
    <t>394 - SANTA MARÍA ALOTEPEC</t>
  </si>
  <si>
    <t>0002 - SAN ISIDRO HUAYÁPAM</t>
  </si>
  <si>
    <t>OPERACIÓN DE LA BRIGADA OFICIAL DE PREVENCIÓN Y COMBATE DE INCENDIOS FORESTALES EN ZONAS DE ALTO RIESGO (EL COYUL)</t>
  </si>
  <si>
    <t>27 - YAUTEPEC</t>
  </si>
  <si>
    <t>204 - SAN JUAN LAJARCIA</t>
  </si>
  <si>
    <t>0003 - EL COYUL</t>
  </si>
  <si>
    <t>OPERACIÓN DE LA BRIGADA OFICIAL DE PREVENCIÓN Y COMBATE DE INCENDIOS FORESTALES EN ZONAS DE ALTO RIESGO (SAN JUAN BAUTISTA CUICATLÁN)</t>
  </si>
  <si>
    <t>177 - SAN JUAN BAUTISTA CUICATLÁN</t>
  </si>
  <si>
    <t>0001 - SAN JUAN BAUTISTA CUICATLÁN</t>
  </si>
  <si>
    <t>OPERACIÓN DE LA BRIGADA OFICIAL DE PREVENCIÓN Y COMBATE DE INCENDIOS FORESTALES EN ZONAS DE ALTO RIESGO (YETLA)</t>
  </si>
  <si>
    <t>05 - CUENCA DEL PAPALOAPAN</t>
  </si>
  <si>
    <t>06 - TUXTEPEC</t>
  </si>
  <si>
    <t>559 - SAN JUAN BAUTISTA VALLE NACIONAL</t>
  </si>
  <si>
    <t>0032 - SAN MATEO YETLA</t>
  </si>
  <si>
    <t>OPERACIÓN DE LA BRIGADA OFICIAL DE PREVENCIÓN Y COMBATE DE INCENDIOS FORESTALES EN ZONAS DE ALTO RIESGO (YOSOCUTA)</t>
  </si>
  <si>
    <t>02 - HUAJUAPAN</t>
  </si>
  <si>
    <t>039 - HEROICA CIUDAD DE HUAJUAPAN DE LEÓN</t>
  </si>
  <si>
    <t>0064 - SAN FRANCISCO YOSOCUTA</t>
  </si>
  <si>
    <t>OPERACIÓN DE LA BRIGADA OFICIAL DE PREVENCIÓN Y COMBATE DE INCENDIOS FORESTALES EN ZONAS DE ALTO RIESGO (ZACATEPEC)</t>
  </si>
  <si>
    <t>447 - SANTA MARÍA ZACATEPEC</t>
  </si>
  <si>
    <t>0001 - SANTA MARÍA ZACATEPEC</t>
  </si>
  <si>
    <t>OPERACIÓN DE LA BRIGADA OFICIAL DE PREVENCIÓN Y COMBATE DE INCENDIOS FORESTALES EN ZONAS DE ALTO RIESGO (DEL VIDRIO)</t>
  </si>
  <si>
    <t>202 - SAN JUAN LACHAO</t>
  </si>
  <si>
    <t>0033 - SANTA CATARINA CERRO DEL VIDRIO</t>
  </si>
  <si>
    <t>OPERACIÓN DE LA BRIGADA OFICIAL DE PREVENCIÓN Y COMBATE DE INCENDIOS FORESTALES EN ZONAS DE ALTO RIESGO (LA MERCED)</t>
  </si>
  <si>
    <t>266 - SAN MIGUEL DEL PUERTO</t>
  </si>
  <si>
    <t>0020 - LA MERCED DEL POTRERO</t>
  </si>
  <si>
    <t>OPERACIÓN DE LA BRIGADA OFICIAL DE PREVENCIÓN Y COMBATE DE INCENDIOS FORESTALES EN ZONAS DE ALTO RIESGO (SANTA MARÍA CHIMALAPA)</t>
  </si>
  <si>
    <t>03 - ISTMO</t>
  </si>
  <si>
    <t>29 - JUCHITÁN</t>
  </si>
  <si>
    <t>407 - SANTA MARÍA CHIMALAPA</t>
  </si>
  <si>
    <t>0001 - SANTA MARÍA CHIMALAPA</t>
  </si>
  <si>
    <t>OPERACIÓN DE LA BRIGADA OFICIAL DE PREVENCIÓN Y COMBATE DE INCENDIOS FORESTALES EN ZONAS DE ALTO RIESGO (BENITO JUÁREZ)</t>
  </si>
  <si>
    <t>265 - SAN MIGUEL CHIMALAPA</t>
  </si>
  <si>
    <t>0035 - BENITO JUÁREZ (EL TRÉBOL)</t>
  </si>
  <si>
    <t>EQUIPAMIENTO PARA EL CECYTE NÚM. 18 CON CLAVE ESCOLAR 20ETC0018T EN LA LOCALIDAD DE SANTO DOMINGO TEHUANTEPEC,  MUNICIPIO DE SANTO DOMINGO TEHUANTEPEC</t>
  </si>
  <si>
    <t>28 - TEHUANTEPEC</t>
  </si>
  <si>
    <t>515 - SANTO DOMINGO TEHUANTEPEC</t>
  </si>
  <si>
    <t>0001 - SANTO DOMINGO TEHUANTEPEC</t>
  </si>
  <si>
    <t>506 - COLEGIO DE BACHILLERES DEL ESTADO DE OAXACA</t>
  </si>
  <si>
    <t>506001 - COLEGIO DE BACHILLERES DEL ESTADO DE OAXACA</t>
  </si>
  <si>
    <t>EQUIPAMIENTO DEL PLANTEL 01 PUEBLO NUEVO DEL COLEGIO DE BACHILLERES DEL ESTADO DE OAXACA.</t>
  </si>
  <si>
    <t>0067 - PUEBLO NUEVO PARTE ALTA</t>
  </si>
  <si>
    <t>EQUIPAMIENTO DEL PLANTEL 02 EL ESPINAL DEL COLEGIO DE BACHILLERES DEL ESTADO DE OAXACA.</t>
  </si>
  <si>
    <t>030 - EL ESPINAL</t>
  </si>
  <si>
    <t>0001 - EL ESPINAL</t>
  </si>
  <si>
    <t>EQUIPAMIENTO DEL PLANTEL 03 PINOTEPA NACIONAL DEL COLEGIO DE BACHILLERES DEL ESTADO DE OAXACA.</t>
  </si>
  <si>
    <t>EQUIPAMIENTO DEL PLANTEL 04 EL TULE DEL COLEGIO DE BACHILLERES DEL ESTADO DE OAXACA.</t>
  </si>
  <si>
    <t>409 - SANTA MARÍA DEL TULE</t>
  </si>
  <si>
    <t>0001 - SANTA MARÍA DEL TULE</t>
  </si>
  <si>
    <t>EQUIPAMIENTO DEL PLANTEL 05 MATÍAS ROMERO DEL COLEGIO DE BACHILLERES DEL ESTADO DE OAXACA.</t>
  </si>
  <si>
    <t>427 - SANTA MARÍA PETAPA</t>
  </si>
  <si>
    <t>0001 - SANTA MARÍA PETAPA</t>
  </si>
  <si>
    <t>EQUIPAMIENTO DEL PLANTEL 06 PUTLA DEL COLEGIO DE BACHILLERES DEL ESTADO DE OAXACA.</t>
  </si>
  <si>
    <t>073 - PUTLA VILLA DE GUERRERO</t>
  </si>
  <si>
    <t>0001 - PUTLA VILLA DE GUERRERO</t>
  </si>
  <si>
    <t>EQUIPAMIENTO DEL PLANTEL 07 TUXTEPEC DEL COLEGIO DE BACHILLERES DEL ESTADO DE OAXACA.</t>
  </si>
  <si>
    <t>184 - SAN JUAN BAUTISTA TUXTEPEC</t>
  </si>
  <si>
    <t>0001 - SAN JUAN BAUTISTA TUXTEPEC</t>
  </si>
  <si>
    <t>EQUIPAMIENTO DEL PLANTEL 08 HUAJUAPAN DE LEÓN DEL COLEGIO DE BACHILLERES DEL ESTADO DE OAXACA.</t>
  </si>
  <si>
    <t>0002 - ACATLIMA</t>
  </si>
  <si>
    <t>EQUIPAMIENTO DEL PLANTEL 09 TAPANATEPEC DEL COLEGIO DE BACHILLERES DEL ESTADO DE OAXACA.</t>
  </si>
  <si>
    <t>327 - SAN PEDRO TAPANATEPEC</t>
  </si>
  <si>
    <t>0001 - SAN PEDRO TAPANATEPEC</t>
  </si>
  <si>
    <t>EQUIPAMIENTO DEL PLANTEL 10 SILACAYOÁPAM DEL COLEGIO DE BACHILLERES DEL ESTADO DE OAXACA.</t>
  </si>
  <si>
    <t>01 - SILACAYOÁPAM</t>
  </si>
  <si>
    <t>537 - SILACAYOÁPAM</t>
  </si>
  <si>
    <t>0001 - SILACAYOÁPAM</t>
  </si>
  <si>
    <t>EQUIPAMIENTO DEL PLANTEL 12 NOCHIXTLÁN DEL COLEGIO DE BACHILLERES DEL ESTADO DE OAXACA.</t>
  </si>
  <si>
    <t>006 - ASUNCIÓN NOCHIXTLÁN</t>
  </si>
  <si>
    <t>0001 - ASUNCIÓN NOCHIXTLÁN</t>
  </si>
  <si>
    <t>EQUIPAMIENTO DEL PLANTEL 15 UNIÓN HIDALGO DEL COLEGIO DE BACHILLERES DEL ESTADO DE OAXACA.</t>
  </si>
  <si>
    <t>557 - UNIÓN HIDALGO</t>
  </si>
  <si>
    <t>0001 - UNIÓN HIDALGO</t>
  </si>
  <si>
    <t>EQUIPAMIENTO DEL PLANTEL 19 TOLOSA DONAJÍ DEL COLEGIO DE BACHILLERES DEL ESTADO DE OAXACA.</t>
  </si>
  <si>
    <t>057 - MATÍAS ROMERO AVENDAÑO</t>
  </si>
  <si>
    <t>0026 - DONAJÍ</t>
  </si>
  <si>
    <t>EQUIPAMIENTO DEL PLANTEL 22 HUATULCO DEL COLEGIO DE BACHILLERES DEL ESTADO DE OAXACA.</t>
  </si>
  <si>
    <t>413 - SANTA MARÍA HUATULCO</t>
  </si>
  <si>
    <t>0001 - SANTA MARÍA HUATULCO</t>
  </si>
  <si>
    <t>EQUIPAMIENTO DEL PLANTEL 24 POCHUTLA DEL COLEGIO DE BACHILLERES DEL ESTADO DE OAXACA.</t>
  </si>
  <si>
    <t>EQUIPAMIENTO DEL PLANTEL 25 RÍO GRANDE DEL COLEGIO DE BACHILLERES DEL ESTADO DE OAXACA.</t>
  </si>
  <si>
    <t>334 - VILLA DE TUTUTEPEC</t>
  </si>
  <si>
    <t>0034 - RÍO GRANDE O PIEDRA PARADA</t>
  </si>
  <si>
    <t>EQUIPAMIENTO DEL PLANTEL 26 JUXTLAHUACA DEL COLEGIO DE BACHILLERES DEL ESTADO DE OAXACA.</t>
  </si>
  <si>
    <t>08 - JUXTLAHUACA</t>
  </si>
  <si>
    <t>469 - SANTIAGO JUXTLAHUACA</t>
  </si>
  <si>
    <t>0001 - SANTIAGO JUXTLAHUACA</t>
  </si>
  <si>
    <t>EQUIPAMIENTO DEL PLANTEL 28 JALAPA DE DÍAZ DEL COLEGIO DE BACHILLERES DEL ESTADO DE OAXACA.</t>
  </si>
  <si>
    <t>134 - SAN FELIPE JALAPA DE DÍAZ</t>
  </si>
  <si>
    <t>0001 - SAN FELIPE JALAPA DE DÍAZ</t>
  </si>
  <si>
    <t>EQUIPAMIENTO DEL PLANTEL 29 GUICHICOVI DEL COLEGIO DE BACHILLERES DEL ESTADO DE OAXACA.</t>
  </si>
  <si>
    <t>198 - SAN JUAN GUICHICOVI</t>
  </si>
  <si>
    <t>0001 - SAN JUAN GUICHICOVI</t>
  </si>
  <si>
    <t>EQUIPAMIENTO DEL PLANTEL 32 CUILÁPAM DEL COLEGIO DE BACHILLERES DEL ESTADO DE OAXACA.</t>
  </si>
  <si>
    <t>023 - CUILÁPAM DE GUERRERO</t>
  </si>
  <si>
    <t>0001 - CUILÁPAM DE GUERRERO</t>
  </si>
  <si>
    <t>EQUIPAMIENTO DEL PLANTEL 34 SAN ANTONINO DEL COLEGIO DE BACHILLERES DEL ESTADO DE OAXACA.</t>
  </si>
  <si>
    <t>25 - OCOTLÁN</t>
  </si>
  <si>
    <t>103 - SAN ANTONINO CASTILLO VELASCO</t>
  </si>
  <si>
    <t>0001 - SAN ANTONINO CASTILLO VELASCO</t>
  </si>
  <si>
    <t>EQUIPAMIENTO DEL PLANTEL 37 TAMAZULÁPAM DEL COLEGIO DE BACHILLERES DEL ESTADO DE OAXACA.</t>
  </si>
  <si>
    <t>031 - TAMAZULÁPAM DEL ESPÍRITU SANTO</t>
  </si>
  <si>
    <t>0001 - TAMAZULÁPAM DEL ESPÍRITU SANTO</t>
  </si>
  <si>
    <t>EQUIPAMIENTO DEL PLANTEL 38 TLAXIACO DEL COLEGIO DE BACHILLERES DEL ESTADO DE OAXACA.</t>
  </si>
  <si>
    <t>397 - HEROICA CIUDAD DE TLAXIACO</t>
  </si>
  <si>
    <t>0001 - HEROICA CIUDAD DE TLAXIACO</t>
  </si>
  <si>
    <t>EQUIPAMIENTO DEL PLANTEL 39 NAZARENO DEL COLEGIO DE BACHILLERES DEL ESTADO DE OAXACA.</t>
  </si>
  <si>
    <t>063 - NAZARENO ETLA</t>
  </si>
  <si>
    <t>0001 - NAZARENO ETLA</t>
  </si>
  <si>
    <t>EQUIPAMIENTO DEL PLANTEL 40 BAJOS DE CHILA DEL COLEGIO DE BACHILLERES DEL ESTADO DE OAXACA.</t>
  </si>
  <si>
    <t>318 - SAN PEDRO MIXTEPEC -DTO. 22 -</t>
  </si>
  <si>
    <t>0002 - BAJOS DE CHILA</t>
  </si>
  <si>
    <t>EQUIPAMIENTO DEL PLANTEL 41 TOTONTEPEC DEL COLEGIO DE BACHILLERES DEL ESTADO DE OAXACA.</t>
  </si>
  <si>
    <t>0001 - TOTONTEPEC VILLA DE MORELOS</t>
  </si>
  <si>
    <t>EQUIPAMIENTO DEL PLANTEL 42 HUITZO DEL COLEGIO DE BACHILLERES DEL ESTADO DE OAXACA.</t>
  </si>
  <si>
    <t>294 - SAN PABLO HUITZO</t>
  </si>
  <si>
    <t>0001 - SAN PABLO HUITZO</t>
  </si>
  <si>
    <t>EQUIPAMIENTO DEL PLANTEL 44 SAN ANTONIO DE LA CAL DEL COLEGIO DE BACHILLERES DEL ESTADO DE OAXACA.</t>
  </si>
  <si>
    <t>107 - SAN ANTONIO DE LA CAL</t>
  </si>
  <si>
    <t>0001 - SAN ANTONIO DE LA CAL</t>
  </si>
  <si>
    <t>EQUIPAMIENTO DEL PLANTEL 46 TLACOLULA DEL COLEGIO DE BACHILLERES DEL ESTADO DE OAXACA.</t>
  </si>
  <si>
    <t>551 - TLACOLULA DE MATAMOROS</t>
  </si>
  <si>
    <t>0001 - TLACOLULA DE MATAMOROS</t>
  </si>
  <si>
    <t>EQUIPAMIENTO DEL PLANTEL 48 HUAXPALTEPEC DEL COLEGIO DE BACHILLERES DEL ESTADO DE OAXACA.</t>
  </si>
  <si>
    <t>090 - SAN ANDRÉS HUAXPALTEPEC</t>
  </si>
  <si>
    <t>0001 - SAN ANDRÉS HUAXPALTEPEC</t>
  </si>
  <si>
    <t>EQUIPAMIENTO DEL PLANTEL 51 SOYALTEPEC DEL COLEGIO DE BACHILLERES DEL ESTADO DE OAXACA.</t>
  </si>
  <si>
    <t>278 - SAN MIGUEL SOYALTEPEC</t>
  </si>
  <si>
    <t>0001 - TEMASCAL</t>
  </si>
  <si>
    <t>EQUIPAMIENTO DEL PLANTEL 54 CHILTEPEC DEL COLEGIO DE BACHILLERES DEL ESTADO DE OAXACA.</t>
  </si>
  <si>
    <t>166 - SAN JOSÉ CHILTEPEC</t>
  </si>
  <si>
    <t>0001 - SAN JOSÉ CHILTEPEC</t>
  </si>
  <si>
    <t>EQUIPAMIENTO DEL PLANTEL 55 SAN JOSÉ DEL PROGRESO DEL COLEGIO DE BACHILLERES DEL ESTADO DE OAXACA.</t>
  </si>
  <si>
    <t>0038 - SAN JOSÉ DEL PROGRESO</t>
  </si>
  <si>
    <t>EQUIPAMIENTO DEL PLANTEL 57 LO DE SOTO DEL COLEGIO DE BACHILLERES DEL ESTADO DE OAXACA.</t>
  </si>
  <si>
    <t>180 - SAN JUAN BAUTISTA LO DE SOTO</t>
  </si>
  <si>
    <t>0001 - SAN JUAN BAUTISTA LO DE SOTO</t>
  </si>
  <si>
    <t>EQUIPAMIENTO DEL PLANTEL 60 SAN BLAS ATEMPA DEL COLEGIO DE BACHILLERES DEL ESTADO DE OAXACA.</t>
  </si>
  <si>
    <t>124 - HEROICA VILLA DE SAN BLAS ATEMPA</t>
  </si>
  <si>
    <t>0001 - HEROICA VILLA DE SAN BLAS ATEMPA</t>
  </si>
  <si>
    <t>EQUIPAMIENTO DEL PLANTEL 61 SAN BARTOLO COYOTEPEC DEL COLEGIO DE BACHILLERES DEL ESTADO DE OAXACA.</t>
  </si>
  <si>
    <t>115 - SAN BARTOLO COYOTEPEC</t>
  </si>
  <si>
    <t>0001 - SAN BARTOLO COYOTEPEC</t>
  </si>
  <si>
    <t>EQUIPAMIENTO DEL PLANTEL 62 HUAZOLOTITLÁN DEL COLEGIO DE BACHILLERES DEL ESTADO DE OAXACA.</t>
  </si>
  <si>
    <t>414 - SANTA MARÍA HUAZOLOTITLÁN</t>
  </si>
  <si>
    <t>0001 - SANTA MARÍA HUAZOLOTITLÁN</t>
  </si>
  <si>
    <t>EQUIPAMIENTO DEL PLANTEL 63 JUCHITÁN DEL COLEGIO DE BACHILLERES DEL ESTADO DE OAXACA.</t>
  </si>
  <si>
    <t>043 - JUCHITÁN DE ZARAGOZA</t>
  </si>
  <si>
    <t>0001 - JUCHITÁN DE ZARAGOZA</t>
  </si>
  <si>
    <t>EQUIPAMIENTO DEL PLANTEL 67 RASTROJO DEL COLEGIO DE BACHILLERES DEL ESTADO DE OAXACA.</t>
  </si>
  <si>
    <t>0021 - EL RASTROJO</t>
  </si>
  <si>
    <t>403 - UNIVERSIDAD AUTÓNOMA "BENITO JUÁREZ" DE OAXACA</t>
  </si>
  <si>
    <t>403001 - UNIVERSIDAD AUTÓNOMA "BENITO JUÁREZ" DE OAXACA</t>
  </si>
  <si>
    <t>EQUIPAMIENTO PARA LOS TALLERES DE LA FACULTAD DE ARQUITECTURA "5 DE MAYO"</t>
  </si>
  <si>
    <t>CONSTRUCCIÓN DE SANITARIOS EN ESCUELA TELESECUNDARIA CON CLAVE ESCOLAR: 20DTV0504A, EN LA LOCALIDAD SAN PEDRO ATOYAC, MUNICIPIO SAN PEDRO ATOYAC.</t>
  </si>
  <si>
    <t>302 - SAN PEDRO ATOYAC</t>
  </si>
  <si>
    <t>0001 - SAN PEDRO ATOYAC</t>
  </si>
  <si>
    <t>106 - SECRETARÍA DE INFRAESTRUCTURAS Y COMUNICACIONES</t>
  </si>
  <si>
    <t>106001 - OFICINA DEL SECRETARIO DE INFRAESTRUCTURAS Y COMUNICACIONES</t>
  </si>
  <si>
    <t>CONSTRUCCIÓN DEL SISTEMA DE AGUA POTABLE 1A. ETAPA (PERFORACIÓN DE POZO PROFUNDO).</t>
  </si>
  <si>
    <t>0012 - MOGOÑÉ VIEJO</t>
  </si>
  <si>
    <t>CONSTRUCCIÓN DE 45 SISTEMAS DE CAPTACIÓN DE AGUA DE LLUVIA (ETAPA ÚNICA).</t>
  </si>
  <si>
    <t>171 - SAN JOSÉ TENANGO</t>
  </si>
  <si>
    <t>0069 - AGUA DE RAYO</t>
  </si>
  <si>
    <t>CONSTRUCCIÓN DEL SISTEMA DE AGUA POTABLE - 45 CAPTACIONES DE AGUA DE LLUVIA (ETAPA ÚNICA).</t>
  </si>
  <si>
    <t>0172 - RANCHO GUADALUPE</t>
  </si>
  <si>
    <t>539 - SISTEMA OPERADOR DE LOS SERVICIOS DE AGUA POTABLE Y ALCANTARILLADO</t>
  </si>
  <si>
    <t>539002 - SERVICIOS DE INFRAESTRUCTURA PARA AGUA POTABLE Y SANEAMIENTO</t>
  </si>
  <si>
    <t>REPOSICIÓN DE POZO PROFUNDO PARA AGUA POTABLE UNIVERSIDAD (ETAPA ÚNICA)</t>
  </si>
  <si>
    <t>REPOSICIÓN DE POZO PROFUNDO PARA AGUA POTABLE PALMAS (ETAPA ÚNICA)</t>
  </si>
  <si>
    <t>CONSTRUCCIÓN DE INTERCONEXIONES DE LA LÍNEA DE CONDUCCIÓN EN LOS TRAMOS DE LAS CALLES DIODORO C. - VALERIO TRUJANO Y CARRETERA A MONTE ALBÁN - AVENIDA MEXICAPAN (ETAPA ÚNICA)</t>
  </si>
  <si>
    <t>CONSTRUCCIÓN DE INTERCONEXIÓN DE LA LÍNEA DE CONDUCCIÓN DEL SECTOR RIO BLANCO EN LAS CALLES RIO PAPALOAPAM-MARTIRES DE RIO BLANCO-PIRINEOS EN LA COLONIA AURORA (ETAPA ÚNICA)</t>
  </si>
  <si>
    <t>REPOSICIÓN DE POZO PROFUNDO PARA AGUA POTABLE SAUCES (ETAPA ÚNICA)</t>
  </si>
  <si>
    <t>157 - SAN JACINTO AMILPAS</t>
  </si>
  <si>
    <t>0001 - SAN JACINTO AMILPAS</t>
  </si>
  <si>
    <t>PERFORACIÓN Y EQUIPAMIENTO ELECTROMECÁNICO DE POZO PROFUNDO PARA AGUA POTABLE LAS TORRES E INTERCONEXIÓN A SISTEMA CÁRCAMO-TECNOLÓGICO (ETAPA ÚNICA)</t>
  </si>
  <si>
    <t>0001 - SANTA CRUZ XOXOCOTLÁN</t>
  </si>
  <si>
    <t>EQUIPAMIENTO PARA LOS EDIFICIOS A, B, C Y H DE LA FACULTAD DE CIENCIAS QUÍMICAS</t>
  </si>
  <si>
    <t>113 - SECRETARÍA DE FOMENTO AGROALIMENTARIO Y DESARROLLO RURAL</t>
  </si>
  <si>
    <t>113001 - OFICINA DEL SECRETARIO DE FOMENTO AGROALIMENTARIO Y DESARROLLO RURAL</t>
  </si>
  <si>
    <t>CONVENCIÓN DEL CAFÉ OAXAQUEÑO</t>
  </si>
  <si>
    <t>AGR - DESARROLLO AGRICOLA</t>
  </si>
  <si>
    <t>CONVENCIÓN REGIONAL AGROALIMENTARIA DE OAXACA PARA EL MUNDO 2024 EN LA REGIÓN CUENCA DEL PAPALOAPAN</t>
  </si>
  <si>
    <t>CONVENCIÓN REGIONAL AGROALIMENTARIA DE OAXACA PARA EL MUNDO 2024 EN LA REGIÓN COSTA</t>
  </si>
  <si>
    <t>EXPOFERIA AGROALIMENTARIA OAXACA 2024</t>
  </si>
  <si>
    <t>CONVENCIÓN AGAVE-MEZCAL 2024</t>
  </si>
  <si>
    <t>390 - SANTA LUCÍA DEL CAMINO</t>
  </si>
  <si>
    <t>0001 - SANTA LUCÍA DEL CAMINO</t>
  </si>
  <si>
    <t>DESAZOLVE DE REPRESA EN LAS REGIONES VALLES CENTRALES Y MIXTECA, DEL PROGRAMA ABASTO SEGURO DE MAÍZ</t>
  </si>
  <si>
    <t>0002 - REYES MANTECÓN</t>
  </si>
  <si>
    <t>541 - SISTEMA PARA EL DESARROLLO INTEGRAL DE LA FAMILIA DEL ESTADO DE OAXACA</t>
  </si>
  <si>
    <t>541001 - SISTEMA PARA EL DESARROLLO INTEGRAL DE LA FAMILIA DEL ESTADO DE OAXACA</t>
  </si>
  <si>
    <t>MANITAS DE ALGODÓN (EQUIPAMIENTO DE CASAS DE DÍA)</t>
  </si>
  <si>
    <t>09 - COBERTURA ESTATAL</t>
  </si>
  <si>
    <t>99 - COBERTURA ESTATAL</t>
  </si>
  <si>
    <t>999 - COBERTURA ESTATAL</t>
  </si>
  <si>
    <t>9999 - COBERTURA ESTATAL</t>
  </si>
  <si>
    <t>MANITAS DE ALGODÓN (FORTALECIMIENTO DE EQUIPAMIENTO PARA CASAS DE DÍA)</t>
  </si>
  <si>
    <t>131 - SECRETARÍA DE MEDIO AMBIENTE, BIODIVERSIDAD, ENERGÍAS Y SOSTENIBILIDAD</t>
  </si>
  <si>
    <t>131001 - OFICINA DEL SECRETARIO DEL MEDIO AMBIENTE, BIODIVERSIDAD, ENERGÍAS Y SOSTENIBILIDAD</t>
  </si>
  <si>
    <t>PROGRAMA E005 CAPACITACIÓN AMBIENTAL Y DESARROLLO SUSTENTABLE, EN RELACIÓN A LAS ACCIONES DE CULTURA DEL AGUA, EJERCICIO FISCAL 2024.</t>
  </si>
  <si>
    <t>AMB - PROTECCION Y PRESERVACION AMBIENTAL</t>
  </si>
  <si>
    <t>127 - SECRETARIADO EJECUTIVO DEL SISTEMA ESTATAL DE SEGURIDAD PÚBLICA</t>
  </si>
  <si>
    <t>127001 - SECRETARIADO EJECUTIVO DEL SISTEMA ESTATAL DE SEGURIDAD PÚBLICA</t>
  </si>
  <si>
    <t>PROYECTO AVGM/OAX/AC02/SESESP/122</t>
  </si>
  <si>
    <t>SPJ - PROTECCION CIVIL, SEGURIDAD PUBLICA Y JUSTICIA</t>
  </si>
  <si>
    <t>PROYECTO AVGM/OAX/AC02/SESESP/125</t>
  </si>
  <si>
    <t xml:space="preserve">-96.7157940912962	</t>
  </si>
  <si>
    <t>129 - SECRETARÍA DE TURISMO</t>
  </si>
  <si>
    <t>129001 - OFICINA DEL SECRETARIO DE TURISMO</t>
  </si>
  <si>
    <t>PROMOCIÓN DE OAXACA COMO DESTINO TURÍSTICO GASTRONÓMICO</t>
  </si>
  <si>
    <t>TUR - DESARROLLO TURISTICO</t>
  </si>
  <si>
    <t>SUSTITUCIÓN DE UNIDADES DENTALES PARA LAS CLÍNICAS 1 Y 2 DE LA FACULTAD DE ODONTOLOGÍA</t>
  </si>
  <si>
    <t>545 - UNIVERSIDAD DE LA SIERRA JUÁREZ</t>
  </si>
  <si>
    <t>545001 - UNIVERSIDAD DE LA SIERRA JUÁREZ</t>
  </si>
  <si>
    <t>EQUIPAMIENTO DE LABORATORIOS EN LA UNIVERSIDAD DE LA SIERRA JUÁREZ</t>
  </si>
  <si>
    <t>042 - IXTLÁN DE JUÁREZ</t>
  </si>
  <si>
    <t>0001 - IXTLÁN DE JUÁREZ</t>
  </si>
  <si>
    <t>REPARACIONES GENERALES EN ESCUELA PRIMARIA “BENITO JUÁREZ” CON CLAVE ESCOLAR: 20DPR0147D, EN LA LOCALIDAD GUELATAO DE JUÁREZ, MUNICIPIO GUELATAO DE JUÁREZ</t>
  </si>
  <si>
    <t>035 - GUELATAO DE JUÁREZ</t>
  </si>
  <si>
    <t>0001 - GUELATAO DE JUÁREZ</t>
  </si>
  <si>
    <t>CONSTRUCCIÓN DE CANCHA DEPORTIVA EN LA ESCUELA PRIMARIA "NIÑOS HÉROES" CON CLAVE ESCOLAR: 20DPB0865L EN LA LOCALIDAD DE SAN JOSÉ CIENEGUILLA, MUNICIPIO DE SAN SEBASTIÁN COATLÁN.</t>
  </si>
  <si>
    <t>26 - MIAHUATLÁN</t>
  </si>
  <si>
    <t>344 - SAN SEBASTIÁN COATLÁN</t>
  </si>
  <si>
    <t>0007 - SAN JOSÉ CIENEGUILLA</t>
  </si>
  <si>
    <t>CONSTRUCCIÓN DE AULA EN ESCUELA PRIMARIA "IGNACIO ALLENDE" CON CLAVE ESCOLAR: 20DPR1978W EN LA LOCALIDAD DE EL CAMARÓN,  MUNICIPIO DE NEJAPA DE MADERO.</t>
  </si>
  <si>
    <t>064 - NEJAPA DE MADERO</t>
  </si>
  <si>
    <t>0004 - EL CAMARÓN</t>
  </si>
  <si>
    <t>561 - ORGANISMO OPERADOR ENCARGADO DE LA GESTIÓN Y MANEJO INTEGRAL DE LOS RESIDUOS SÓLIDOS URBANOS Y DE MANEJO ESPECIAL DEL ESTADO DE OAXACA</t>
  </si>
  <si>
    <t>561001 - ORGANISMO OPERADOR ENCARGADO DE LA GESTIÓN Y MANEJO INTEGRAL DE LOS RESIDUOS SÓLIDOS URBANOS Y DE MANEJO ESPECIAL DEL ESTADO DE OAXACA</t>
  </si>
  <si>
    <t>INSTALACIÓN DEL SISTEMA DE REINFILTRACIÓN DE LIXIVIADOS EN EL SITIO DE DISPOSICIÓN FINAL UBICADO EN EL MUNICIPIO DE VILLA DE ZAACHILA, OAXACA.</t>
  </si>
  <si>
    <t>565 - VILLA DE ZAACHILA</t>
  </si>
  <si>
    <t>0001 - VILLA DE ZAACHILA</t>
  </si>
  <si>
    <t>EQUIPAMIENTO PARA EL AULA MAGNA DE LA FACULTAD DE CONTADURÍA Y ADMINISTRACIÓN</t>
  </si>
  <si>
    <t>EQUIPAMIENTO PARA LOS EDIFICIOS: B (LABORATORIO DE INVESTIGACIÓN), D, E, F, G, H, (AULAS), CAMSI (ÁREA DE SIMULACIÓN) BIBLIOTECA Y CENTRO DE CÓMPUTO (ÁREA DE REDES) DE LA FACULTAD DE MEDICINA Y CIRUGÍA</t>
  </si>
  <si>
    <t>EQUIPAMIENTO DEL AUDITORIO DE LA FACULTAD DE ARQUITECTURA, DISEÑO Y URBANISMO</t>
  </si>
  <si>
    <t>SUPERVISIÓN TÉCNICA DE LA OBRA: CONSTRUCCIÓN DEL SISTEMA DE AGUA POTABLE – 45 CAPTACIONES DE AGUA DE LLUVIA (ETAPA ÚNICA), EN LA LOCALIDAD DE RANCHO GUADALUPE, MUNICIPIO DE SAN JOSÉ TENANGO.</t>
  </si>
  <si>
    <t>SUPERVISIÓN TÉCNICA DE LA OBRA: CONSTRUCCIÓN DEL SISTEMA DE AGUA POTABLE 1A. ETAPA (PERFORACIÓN DE POZO PROFUNDO) EN LA LOCALIDAD DE MOGOÑÉ VIEJO, MUNICIPIO DE SAN JUAN GUICHICOVI</t>
  </si>
  <si>
    <t>SUPERVISIÓN TÉCNICA DE LA OBRA: CONSTRUCCIÓN DE 45 SISTEMAS DE CAPTACIÓN DE AGUA DE LLUVIA (ETAPA ÚNICA) EN LA LOCALIDAD DE AGUA DE RAYO, MUNICIPIO DE SAN JOSÉ TENANGO.</t>
  </si>
  <si>
    <t>CONSTRUCCIÓN DE UN LABORATORIO-TALLER EN ESCUELA TELESECUNDARIA CON CLAVE ESCOLAR: 20DTV0066S, EN LA LOCALIDAD NUEVO ZOQUIÁPAM, MUNICIPIO NUEVO ZOQUIÁPAM.</t>
  </si>
  <si>
    <t>504 - NUEVO ZOQUIÁPAM</t>
  </si>
  <si>
    <t>0001 - NUEVO ZOQUIÁPAM</t>
  </si>
  <si>
    <t>REPARACIONES GENERALES EN LA ESCUELA SECUNDARIA TÉCNICA NÚM. 99 CON CLAVE ESCOLAR: 20DST0080Y, EN LA LOCALIDAD DE SAN JUAN TEITIPAC, MUNICIPIO DE SAN JUAN TEITIPAC</t>
  </si>
  <si>
    <t>219 - SAN JUAN TEITIPAC</t>
  </si>
  <si>
    <t>0001 - SAN JUAN TEITIPAC</t>
  </si>
  <si>
    <t>REPARACIONES GENERALES EN ESCUELA TELESECUNDARIA CON CLAVE ESCOLAR: 20DTV0206B, EN LA LOCALIDAD DE CERRO ARMADILLO GRANDE, MUNICIPIO DE SAN JUAN BAUTISTA VALLE NACIONAL</t>
  </si>
  <si>
    <t>0039 - CERRO ARMADILLO GRANDE</t>
  </si>
  <si>
    <t>REPARACIONES GENERALES EN ESCUELA PRIMARIA “LA LUZ” CON CLAVE ESCOLAR: 20DPR0716E, EN LA LOCALIDAD SAN JUAN LACHAO, MUNICIPIO SAN JUAN LACHAO</t>
  </si>
  <si>
    <t>0001 - SAN JUAN LACHAO</t>
  </si>
  <si>
    <t>REPARACIONES GENERALES EN IEBO NÚM. 155 CON CLAVE ESCOLAR: 20ETH0155R, EN LA LOCALIDAD SAN JUAN LACHAO, MUNICIPIO SAN JUAN LACHAO.</t>
  </si>
  <si>
    <t>REPARACIONES GENERALES EN JARDÍN DE NIÑOS URBANO "HANS CHRISTIAN ANDERSEN" CON CLAVE ESCOLAR: 20DJN0007N, EN LA LOCALIDAD DE SAN JUAN CHILATECA, MUNICIPIO DE SAN JUAN CHILATECA</t>
  </si>
  <si>
    <t>192 - SAN JUAN CHILATECA</t>
  </si>
  <si>
    <t>0001 - SAN JUAN CHILATECA</t>
  </si>
  <si>
    <t>EQUIPAMIENTO DE LOS LABORATORIOS DE LA FACULTAD DE ENFERMERÍA – HUAJUAPAN</t>
  </si>
  <si>
    <t>0001 - HEROICA CIUDAD DE HUAJUAPAN DE LEÓN</t>
  </si>
  <si>
    <t>EQUIPAMIENTO DE AULAS, SALA INTERACTIVA, BIBLIOTECA, SALA DE JUICIOS ORALES Y CENTRO DE CÓMPUTO DE LA FACULTAD DE DERECHO Y CIENCIAS SOCIALES</t>
  </si>
  <si>
    <t>EQUIPAMIENTO PARA EL CECYTE NÚM. 18 CON CLAVE ESCOLAR 20ETC0018T EN LA LOCALIDAD DE SANTO DOMINGO TEHUANTEPEC, MUNICIPIO DE SANTO DOMINGO TEHUANTEPEC</t>
  </si>
  <si>
    <t>406 - FISCALÍA GENERAL DEL ESTADO DE OAXACA</t>
  </si>
  <si>
    <t>406001 - OFICINA DEL FISCAL GENERAL DEL ESTADO DE OAXACA</t>
  </si>
  <si>
    <t>PROYECTO OPERACIÓN DEL CJM OAXACA, OAXACA.</t>
  </si>
  <si>
    <t>PROYECTO OPERACIÓN DEL CJM ISTMO DE TEHUANTEPEC, OAXACA.</t>
  </si>
  <si>
    <t>519 - CONSEJO OAXAQUEÑO DE CIENCIA, TECNOLOGÍA E INNOVACIÓN.</t>
  </si>
  <si>
    <t>519001 - CONSEJO OAXAQUEÑO DE CIENCIA, TECNOLOGÍA E INNOVACIÓN</t>
  </si>
  <si>
    <t>FOMENTO A LA DIVULGACIÓN EN HUMANIDADES, CIENCIA, TECNOLOGÍA E INNOVACIÓN.</t>
  </si>
  <si>
    <t>EQUIPAMIENTO PARA LA FACULTAD DE ENFERMERÍA Y OBSTETRICIA – OAXACA</t>
  </si>
  <si>
    <t>528 - INSTITUTO DEL PATRIMONIO CULTURAL DEL ESTADO DE OAXACA</t>
  </si>
  <si>
    <t>528001 - INSTITUTO DEL PATRIMONIO CULTURAL DEL ESTADO DE OAXACA</t>
  </si>
  <si>
    <t>TEMPLO DE SAN MARTÍN OBISPO</t>
  </si>
  <si>
    <t>CUL - CULTURA Y ARTE</t>
  </si>
  <si>
    <t>244 - SAN MARTÍN TOXPALAN</t>
  </si>
  <si>
    <t>0001 - SAN MARTÍN TOXPALAN</t>
  </si>
  <si>
    <t>PALACIO ANTIGUO, SANTO DOMINGO CHIHUITÁN.</t>
  </si>
  <si>
    <t>508 - SANTO DOMINGO CHIHUITÁN</t>
  </si>
  <si>
    <t>0001 - SANTO DOMINGO CHIHUITÁN</t>
  </si>
  <si>
    <t>TEMPLO DE SAN BARTOLOME APÓSTOL</t>
  </si>
  <si>
    <t>122 - SAN BARTOLO YAUTEPEC</t>
  </si>
  <si>
    <t>0001 - SAN BARTOLO YAUTEPEC</t>
  </si>
  <si>
    <t>ANTIGUA PRESIDENCIA MUNICIPAL DE SAN JUAN COIXTLAHUACA.</t>
  </si>
  <si>
    <t>03 - COIXTLAHUACA</t>
  </si>
  <si>
    <t>176 - SAN JUAN BAUTISTA COIXTLAHUACA</t>
  </si>
  <si>
    <t>0001 - SAN JUAN BAUTISTA COIXTLAHUACA</t>
  </si>
  <si>
    <t>REHABILITACIÓN DE LA LÍNEA DE CONDUCCIÓN DEL CÁRCAMO HIDALGO AL TANQUE DE ALMACENAMIENTO DEL SECTOR HIDALGO, EN LA AVENIDA OAXACA DE LA COLONIA MIGUEL HIDALGO Y EN AVENIDA MONTE ALBÁN DE LA COLONIA PRESIDENTE JUAREZ (ETAPA ÚNICA)</t>
  </si>
  <si>
    <t>CONSTRUCCIÓN DE PAVIMENTO CON CONCRETO HIDRÁULICO EN VARIAS CALLES EN LA LOCALIDAD DE LA MURALLA MUNICIPIO DE SANTIAGO IXTAYUTLA</t>
  </si>
  <si>
    <t>URB - URBANIZACION</t>
  </si>
  <si>
    <t>466 - SANTIAGO IXTAYUTLA</t>
  </si>
  <si>
    <t>0012 - LA MURALLA</t>
  </si>
  <si>
    <t>CONSTRUCCIÓN DE CUARTO DORMITORIO PARA EL MEJORAMIENTO DE LA VIVIENDA, EN LA LOCALIDAD LINDA VISTA, MUNICIPIO CHALCATONGO DE HIDALGO.</t>
  </si>
  <si>
    <t>026 - CHALCATONGO DE HIDALGO</t>
  </si>
  <si>
    <t>0026 - LINDA VISTA</t>
  </si>
  <si>
    <t>CONSTRUCCIÓN DE CUARTO DORMITORIO PARA EL MEJORAMIENTO DE LA VIVIENDA, EN LA LOCALIDAD HEROICA CIUDAD DE EJUTLA DE CRESPO, MUNICIPIO HEROICA CIUDAD DE EJUTLA DE CRESPO.</t>
  </si>
  <si>
    <t>24 - EJUTLA</t>
  </si>
  <si>
    <t>028 - HEROICA CIUDAD DE EJUTLA DE CRESPO</t>
  </si>
  <si>
    <t>0001 - HEROICA CIUDAD DE EJUTLA DE CRESPO</t>
  </si>
  <si>
    <t>CONSTRUCCIÓN DE CUARTO DORMITORIO PARA EL MEJORAMIENTO DE LA VIVIENDA, EN LA LOCALIDAD EL CERRO DE LAS HUERTAS, MUNICIPIO HEROICA CIUDAD DE EJUTLA DE CRESPO.</t>
  </si>
  <si>
    <t>0014 - EL CERRO DE LAS HUERTAS</t>
  </si>
  <si>
    <t>CONSTRUCCIÓN DE CUARTO DORMITORIO PARA EL MEJORAMIENTO DE LA VIVIENDA, EN LA LOCALIDAD POBLETE, MUNICIPIO COATECAS ALTAS.</t>
  </si>
  <si>
    <t>015 - COATECAS ALTAS</t>
  </si>
  <si>
    <t>0003 - POBLETE</t>
  </si>
  <si>
    <t>CONSTRUCCIÓN DE TECHO FIRME PARA EL MEJORAMIENTO DE LA VIVIENDA, EN LA LOCALIDAD AYOTZINTEPEC, MUNICIPIO AYOTZINTEPEC.</t>
  </si>
  <si>
    <t>009 - AYOTZINTEPEC</t>
  </si>
  <si>
    <t>0001 - AYOTZINTEPEC</t>
  </si>
  <si>
    <t>CONSTRUCCIÓN DE TECHO FIRME PARA EL MEJORAMIENTO DE LA VIVIENDA, EN LA LOCALIDAD PLAN JUAN MARTÍNEZ, MUNICIPIO AYOTZINTEPEC.</t>
  </si>
  <si>
    <t>0012 - PLAN JUAN MARTÍNEZ</t>
  </si>
  <si>
    <t>CONSTRUCCIÓN DE PISO FIRME PARA EL MEJORAMIENTO DE LA VIVIENDA, EN LA LOCALIDAD PLAN JUAN MARTÍNEZ, MUNICIPIO AYOTZINTEPEC.</t>
  </si>
  <si>
    <t>CONSTRUCCIÓN DE PISO FIRME PARA EL MEJORAMIENTO DE LA VIVIENDA, EN LA LOCALIDAD LA PALMA, MUNICIPIO PLUMA HIDALGO.</t>
  </si>
  <si>
    <t>071 - PLUMA HIDALGO</t>
  </si>
  <si>
    <t>0161 - LA PALMA</t>
  </si>
  <si>
    <t>CONSTRUCCIÓN DE PISO FIRME PARA EL MEJORAMIENTO DE LA VIVIENDA, EN LA LOCALIDAD MARGARITAS, MUNICIPIO PLUMA HIDALGO.</t>
  </si>
  <si>
    <t>0088 - MARGARITAS</t>
  </si>
  <si>
    <t>CONSTRUCCIÓN DE PISO FIRME PARA EL MEJORAMIENTO DE LA VIVIENDA, EN LA LOCALIDAD JUÁREZ, MUNICIPIO PLUMA HIDALGO.</t>
  </si>
  <si>
    <t>0172 - JUÁREZ</t>
  </si>
  <si>
    <t>CONSTRUCCIÓN DE TECHO FIRME PARA EL MEJORAMIENTO DE LA VIVIENDA, EN LA LOCALIDAD SANTA CATALINA MIXTEPEC, MUNICIPIO MAGDALENA MIXTEPEC.</t>
  </si>
  <si>
    <t>18 - ZIMATLÁN</t>
  </si>
  <si>
    <t>048 - MAGDALENA MIXTEPEC</t>
  </si>
  <si>
    <t>0004 - SANTA CATALINA MIXTEPEC</t>
  </si>
  <si>
    <t>CONSTRUCCIÓN DE CUARTO DORMITORIO PARA EL MEJORAMIENTO DE LA VIVIENDA, EN LA LOCALIDAD SANTA MARTA CHICHIHUALTEPEC, MUNICIPIO HEROICA CIUDAD DE EJUTLA DE CRESPO.</t>
  </si>
  <si>
    <t>0019 - SANTA MARTA CHICHIHUALTEPEC</t>
  </si>
  <si>
    <t> -96.772346</t>
  </si>
  <si>
    <t>CONSTRUCCIÓN DE PISO FIRME PARA EL MEJORAMIENTO DE LA VIVIENDA, EN LA LOCALIDAD LA IHUALEJA, MUNICIPIO MAZATLÁN VILLA DE FLORES.</t>
  </si>
  <si>
    <t>058 - MAZATLÁN VILLA DE FLORES</t>
  </si>
  <si>
    <t>0008 - LA IHUALEJA</t>
  </si>
  <si>
    <t>CONSTRUCCIÓN DE PISO FIRME PARA EL MEJORAMIENTO DE LA VIVIENDA, EN LA LOCALIDAD BUENAVISTA, MUNICIPIO MAZATLÁN VILLA DE FLORES.</t>
  </si>
  <si>
    <t>0096 - BUENAVISTA</t>
  </si>
  <si>
    <t>CONSTRUCCIÓN DE PISO FIRME PARA EL MEJORAMIENTO DE LA VIVIENDA, EN LA LOCALIDAD AGUA DE CERRO, MUNICIPIO MAZATLÁN VILLA DE FLORES.</t>
  </si>
  <si>
    <t>0126 - AGUA DE CERRO</t>
  </si>
  <si>
    <t>CONSTRUCCIÓN DE PISO FIRME PARA EL MEJORAMIENTO DE LA VIVIENDA, EN LA LOCALIDAD LOMA GRANDE, MUNICIPIO MAZATLÁN VILLA DE FLORES.</t>
  </si>
  <si>
    <t>0010 - LOMA GRANDE</t>
  </si>
  <si>
    <t>CONSTRUCCIÓN DE PISO FIRME PARA EL MEJORAMIENTO DE LA VIVIENDA, EN LA LOCALIDAD LOMA ALTA, MUNICIPIO MAZATLÁN VILLA DE FLORES.</t>
  </si>
  <si>
    <t>0021 - LOMA ALTA</t>
  </si>
  <si>
    <t>CONSTRUCCIÓN DE PISO FIRME PARA EL MEJORAMIENTO DE LA VIVIENDA, EN LA LOCALIDAD AGUA DUENDE, MUNICIPIO MAZATLÁN VILLA DE FLORES.</t>
  </si>
  <si>
    <t>0003 - AGUA DUENDE</t>
  </si>
  <si>
    <t>CONSTRUCCIÓN DE PISO FIRME PARA EL MEJORAMIENTO DE LA VIVIENDA, EN LA LOCALIDAD EL PROGRESO, MUNICIPIO MAZATLÁN VILLA DE FLORES.</t>
  </si>
  <si>
    <t>0024 - EL PROGRESO</t>
  </si>
  <si>
    <t>CONSTRUCCIÓN DE AULAS EN COBAO NÚM. 32 CON CLAVE ESCOLAR: 20ECB0032X, EN LA LOCALIDAD DE CUILAPAM DE GUERRERO, MUNICIPIO CUILAPAM DE GUERRERO</t>
  </si>
  <si>
    <t>CONSTRUCCIÓN DE UN AULA PRIMARIA "RICARDO FLORES MAGÓN" CON CLAVE ESCOLAR: 20DPR0124T, EN LA LOCALIDAD DE MONTE DEL TORO, MUNICIPIO DE HEROICA CIUDAD DE EJUTLA DE CRESPO.</t>
  </si>
  <si>
    <t>0007 - MONTE DEL TORO</t>
  </si>
  <si>
    <t>CONSTRUCCIÓN DE OBRAS DE ESPACIO PÚBLICO PARA LA CONFORMACIÓN DE CALLES EN EL POLÍGONO PESCADORES, EN HUATULCO, OAXACA</t>
  </si>
  <si>
    <t>0078 - CRUCECITA</t>
  </si>
  <si>
    <t>POLIGONO</t>
  </si>
  <si>
    <t>CONSTRUCCIÓN DE OBRAS DE ESPACIO PÚBLICO PARA LA CONFORMACIÓN DE CALLES EN EL POLÍGONO EMILIANO ZAPATA, EN HUATULCO, OAXACA</t>
  </si>
  <si>
    <t>CONSTRUCCIÓN DE OBRAS DE ESPACIO PÚBLICO PARA LA CONFORMACIÓN DE CALLES EN EL POLÍGONO TALLERES, EN HUATULCO, OAXACA</t>
  </si>
  <si>
    <t>CONSTRUCCIÓN DE OBRAS DE ESPACIO PÚBLICO PARA LA CONFORMACIÓN DE CALLES EN EL POLÍGONO SEXTA ETAPA, EN HUATULCO, OAXACA</t>
  </si>
  <si>
    <t>CONSTRUCCIÓN DE OBRAS DE ESPACIO PÚBLICO PARA LA CONFORMACIÓN DE CALLES EN EL POLÍGONO EL ZAPOTE (1ª ETAPA), EN HUATULCO, OAXACA</t>
  </si>
  <si>
    <t>CONSTRUCCIÓN DE OBRAS DE ESPACIO PÚBLICO PARA LA CONFORMACIÓN DE CALLES EN EL POLÍGONO CORREDOR PESQUERO, EN HUATULCO, OAXACA</t>
  </si>
  <si>
    <t>CONSTRUCCIÓN DE OBRAS DE ESPACIO PÚBLICO PARA LA CONFORMACIÓN DE CALLES EN EL POLÍGONO EL TANQUE, EN HUATULCO, OAXACA</t>
  </si>
  <si>
    <t>CONSTRUCCIÓN DE OBRAS DE ESPACIO PÚBLICO PARA LA CONFORMACIÓN DE CALLES EN EL POLÍGONO FLORES MAGÓN, EN HUATULCO, OAXACA</t>
  </si>
  <si>
    <t>PALACIO MUNICIPAL DE JUCHITÁN DE ZARAGOZA</t>
  </si>
  <si>
    <t>CONSTRUCCIÓN DE PISO FIRME PARA EL MEJORAMIENTO DE LA VIVIENDA, EN LA LOCALIDAD SAN MIGUEL PIEDRAS, MUNICIPIO SAN MIGUEL PIEDRAS.</t>
  </si>
  <si>
    <t>274 - SAN MIGUEL PIEDRAS</t>
  </si>
  <si>
    <t>0001 - SAN MIGUEL PIEDRAS</t>
  </si>
  <si>
    <t>CONSTRUCCIÓN DE PISO FIRME PARA EL MEJORAMIENTO DE LA VIVIENDA, EN LA LOCALIDAD CHIDOCO, MUNICIPIO SAN MIGUEL PIEDRAS.</t>
  </si>
  <si>
    <t>0002 - CHIDOCO</t>
  </si>
  <si>
    <t>CONSTRUCCIÓN DE PISO FIRME PARA EL MEJORAMIENTO DE LA VIVIENDA, EN LA LOCALIDAD COLORADO, MUNICIPIO SAN MIGUEL PIEDRAS.</t>
  </si>
  <si>
    <t>0004 - COLORADO</t>
  </si>
  <si>
    <t>CONSTRUCCIÓN DE PISO FIRME PARA EL MEJORAMIENTO DE LA VIVIENDA, EN LA LOCALIDAD EL POTRERITO, MUNICIPIO SAN MIGUEL PIEDRAS.</t>
  </si>
  <si>
    <t>0006 - EL POTRERITO</t>
  </si>
  <si>
    <t>CONSTRUCCIÓN DE CUARTO DORMITORIO PARA EL MEJORAMIENTO DE LA VIVIENDA, EN LA LOCALIDAD SANTA LUCÍA SOSOLA, MUNICIPIO SAN JERÓNIMO SOSOLA.</t>
  </si>
  <si>
    <t>161 - SAN JERÓNIMO SOSOLA</t>
  </si>
  <si>
    <t>0009 - SANTA LUCÍA SOSOLA</t>
  </si>
  <si>
    <t>CONSTRUCCIÓN DE CUARTO DORMITORIO PARA EL MEJORAMIENTO DE LA VIVIENDA, EN LA LOCALIDAD SAN PABLO GUILÁ, MUNICIPIO SANTIAGO MATATLÁN.</t>
  </si>
  <si>
    <t>475 - SANTIAGO MATATLÁN</t>
  </si>
  <si>
    <t>0005 - SAN PABLO GUILÁ</t>
  </si>
  <si>
    <t>CONSTRUCCIÓN DE TECHO FIRME PARA EL MEJORAMIENTO DE LA VIVIENDA, EN LA LOCALIDAD SAN FRANCISCO SOLA, MUNICIPIO SAN FRANCISCO SOLA.</t>
  </si>
  <si>
    <t>23 - SOLA DE VEGA</t>
  </si>
  <si>
    <t>149 - SAN FRANCISCO SOLA</t>
  </si>
  <si>
    <t>0001 - SAN FRANCISCO SOLA</t>
  </si>
  <si>
    <t>CONSTRUCCIÓN DE TECHO FIRME PARA EL MEJORAMIENTO DE LA VIVIENDA, EN LA LOCALIDAD SAN JUAN LUVINA, MUNICIPIO SAN PABLO MACUILTIANGUIS.</t>
  </si>
  <si>
    <t>296 - SAN PABLO MACUILTIANGUIS</t>
  </si>
  <si>
    <t>0002 - SAN JUAN LUVINA</t>
  </si>
  <si>
    <t>CONSTRUCCIÓN DE PISO FIRME PARA EL MEJORAMIENTO DE LA VIVIENDA, EN LA LOCALIDAD SAN ISIDRO ZOQUIÁPAM, MUNICIPIO SAN LUCAS ZOQUIÁPAM.</t>
  </si>
  <si>
    <t>234 - SAN LUCAS ZOQUIÁPAM</t>
  </si>
  <si>
    <t>0005 - SAN ISIDRO ZOQUIÁPAM</t>
  </si>
  <si>
    <t>CONSTRUCCIÓN DE PISO FIRME PARA EL MEJORAMIENTO DE LA VIVIENDA, EN LA LOCALIDAD AGUA DE NIÑO, MUNICIPIO SAN LUCAS ZOQUIÁPAM.</t>
  </si>
  <si>
    <t>0002 - AGUA DE NIÑO</t>
  </si>
  <si>
    <t>CONSTRUCCIÓN DE CUARTO DORMITORIO PARA EL MEJORAMIENTO DE LA VIVIENDA, EN LA LOCALIDAD SAN ESTEBAN ATATLAHUCA, MUNICIPIO SAN ESTEBAN ATATLAHUCA.</t>
  </si>
  <si>
    <t>133 - SAN ESTEBAN ATATLAHUCA</t>
  </si>
  <si>
    <t>0001 - SAN ESTEBAN ATATLAHUCA</t>
  </si>
  <si>
    <t>CONSTRUCCIÓN DE CUARTO DORMITORIO PARA EL MEJORAMIENTO DE LA VIVIENDA, EN LA LOCALIDAD INDEPENDENCIA, MUNICIPIO SAN ESTEBAN ATATLAHUCA.</t>
  </si>
  <si>
    <t>0003 - INDEPENDENCIA</t>
  </si>
  <si>
    <t>CONSTRUCCIÓN DE CUARTO DORMITORIO PARA EL MEJORAMIENTO DE LA VIVIENDA, EN LA LOCALIDAD VICENTE GUERRERO, MUNICIPIO SAN ESTEBAN ATATLAHUCA.</t>
  </si>
  <si>
    <t>0009 - VICENTE GUERRERO</t>
  </si>
  <si>
    <t>CONSTRUCCIÓN DE TECHO FIRME PARA EL MEJORAMIENTO DE LA VIVIENDA, EN LA LOCALIDAD SAN MARCOS MESONCITO, MUNICIPIO PUTLA VILLA DE GUERRERO.</t>
  </si>
  <si>
    <t>0017 - SAN MARCOS MESONCITO</t>
  </si>
  <si>
    <t>CONSTRUCCIÓN DE TECHO FIRME PARA EL MEJORAMIENTO DE LA VIVIENDA, EN LA LOCALIDAD LA CAÑADA TEJOCOTE, MUNICIPIO PUTLA VILLA DE GUERRERO.</t>
  </si>
  <si>
    <t>0056 - LA CAÑADA TEJOCOTE</t>
  </si>
  <si>
    <t>512 - COMISIÓN ESTATAL DEL AGUA PARA EL BIENESTAR</t>
  </si>
  <si>
    <t>512001 - COMISIÓN ESTATAL DEL AGUA PARA EL BIENESTAR</t>
  </si>
  <si>
    <t>REHABILITACIÓN DE LA PLANTA DE TRATAMIENTO DE AGUAS RESIDUALES LOCALIDAD SAN MARCOS ARTEAGA, MUNICIPIO SAN MARCOS ARTEAGA.</t>
  </si>
  <si>
    <t>237 - SAN MARCOS ARTEAGA</t>
  </si>
  <si>
    <t>0001 - SAN MARCOS ARTEAGA</t>
  </si>
  <si>
    <t>CONSTRUCCIÓN DE TECHO FIRME PARA EL MEJORAMIENTO DE LA VIVIENDA, EN LA LOCALIDAD SANTO DOMINGO TEOJOMULCO, MUNICIPIO SANTO DOMINGO TEOJOMULCO.</t>
  </si>
  <si>
    <t>516 - SANTO DOMINGO TEOJOMULCO</t>
  </si>
  <si>
    <t>0001 - SANTO DOMINGO TEOJOMULCO</t>
  </si>
  <si>
    <t>CONSTRUCCIÓN DEL SISTEMA DE DRENAJE SANITARIO 3RA. ETAPA EN LA LOCALIDAD SANTA MARÍA DEL TULE (FRAC. EL RETIRO), MUNICIPIO SANTA MARÍA DEL TULE</t>
  </si>
  <si>
    <t>CONSTRUCCIÓN DE CUARTO DORMITORIO PARA EL MEJORAMIENTO DE LA VIVIENDA, EN LA LOCALIDAD SAN JOSÉ AYUQUILA, MUNICIPIO SAN JOSÉ AYUQUILA.</t>
  </si>
  <si>
    <t>165 - SAN JOSÉ AYUQUILA</t>
  </si>
  <si>
    <t>0001 - SAN JOSÉ AYUQUILA</t>
  </si>
  <si>
    <t>CONSTRUCCIÓN DE TECHADO EN ÁREA DE IMPARTICIÓN DE EDUCACIÓN FÍSICA EN ESCUELA PRIMARIA "CENTRO ESCOLAR MORELOS" CON CLAVE ESCOLAR: 20DPR1453S, EN LA LOCALIDAD SILACAYOÁPAM, MUNICIPIO SILACAYOÁPAM</t>
  </si>
  <si>
    <t>CONSTRUCCIÓN DE TECHADO EN ÁREA DE IMPARTICIÓN DE EDUCACIÓN FÍSICA EN ESCUELA PRIMARIA “ARTICULO 27 CONSTITUCIONAL” CON CLAVE ESCOLAR: 20DPR0611K, EN LA LOCALIDAD DE SAN JOSÉ DEL CHILAR, MUNICIPIO DE SAN JUAN BAUTISTA CUICATLÁN.</t>
  </si>
  <si>
    <t>0007 - SAN JOSÉ DEL CHILAR</t>
  </si>
  <si>
    <t>CONSTRUCCIÓN DE PISO FIRME PARA EL MEJORAMIENTO DE LA VIVIENDA, EN LA LOCALIDAD LA RINCONADA, MUNICIPIO SAN JUAN BAUTISTA VALLE NACIONAL.</t>
  </si>
  <si>
    <t>0077 - LA RINCONADA</t>
  </si>
  <si>
    <t>REHABILITACIÓN DE AULA EN JARDÍN DE NIÑOS "12 DE OCTUBRE" CON CLAVE ESCOLAR: 20DJN1995W, EN LA LOCALIDAD SANTA MARÍA COATLÁN, MUNICIPIO SAN PABLO COATLÁN.</t>
  </si>
  <si>
    <t>291 - SAN PABLO COATLÁN</t>
  </si>
  <si>
    <t>0004 - SANTA MARÍA COATLÁN</t>
  </si>
  <si>
    <t>CONSTRUCCIÓN DE CUARTO DORMITORIO PARA EL MEJORAMIENTO DE LA VIVIENDA, EN LA LOCALIDAD LA LAGUNA, MUNICIPIO SAN MIGUEL AMATITLÁN.</t>
  </si>
  <si>
    <t>261 - SAN MIGUEL AMATITLÁN</t>
  </si>
  <si>
    <t>0010 - LA LAGUNA</t>
  </si>
  <si>
    <t>CONSTRUCCIÓN DE AULA EN ESCUELA PRIMARIA "VICTORIANO GONZÁLEZ" CON CLAVE ESCOLAR: 20DPR0606Z, EN LA LOCALIDAD DE SAN JUAN BAUTISTA CUICATLÁN, MUNICIPIO DE SAN JUAN BAUTISTA CUICATLÁN.</t>
  </si>
  <si>
    <t>CONSTRUCCION DE AULA EN ESCUELA PRIMARIA "PROF. RAFAEL RAMÍREZ" CON CLAVE ESCOLAR :20DPB1076F, EN LA LOCALIDAD GUADALUPE, MUNICIPIO SAN LUCAS ZOQUIÁPAM</t>
  </si>
  <si>
    <t>0010 - GUADALUPE</t>
  </si>
  <si>
    <t>CONSTRUCCIÓN DE TECHADO EN ÁREA DE IMPARTICIÓN DE EDUCACIÓN FÍSICA EN IEBO NÚM. 264 CON CLAVE ESCOLAR: 20ETH0272G, EN LA LOCALIDAD DE SAN ISIDRO ZOQUIÁPAM, MUNICIPIO SAN LUCAS ZOQUIÁPAM</t>
  </si>
  <si>
    <t>CONSTRUCCIÓN DE TECHADO EN ÁREA DE IMPARTICIÓN DE EDUCACIÓN FÍSICA EN ESCUELA TELESECUNDARIA CON CLAVE ESCOLAR: 20DTV0371A, EN LA LOCALIDAD SAN JOSÉ VISTA HERMOSA, MUNICIPIO SAN LUCAS ZOQUIÁPAM</t>
  </si>
  <si>
    <t>0006 - SAN JOSÉ VISTA HERMOSA</t>
  </si>
  <si>
    <t>CONSTRUCCIÓN DE CUARTO DORMITORIO PARA EL MEJORAMIENTO DE LA VIVIENDA, EN LA LOCALIDAD SAN MARCOS ZAPOTALITO (EL ZAPOTE), MUNICIPIO SANTOS REYES NOPALA.</t>
  </si>
  <si>
    <t>526 - SANTOS REYES NOPALA</t>
  </si>
  <si>
    <t>0023 - SAN MARCOS ZAPOTALITO (EL ZAPOTE)</t>
  </si>
  <si>
    <t>AMPLIACIÓN DE LA RED DE AGUA POTABLE EN LA AVENIDA DEL ROSARIO - CALLE RIO DE LAS ROSAS, LOCALIDAD  SANTA LUCÍA DEL CAMINO, MUNICIPIO SANTA LUCÍA DEL CAMINO</t>
  </si>
  <si>
    <t>CONSTRUCCIÓN DE TECHO FIRME PARA EL MEJORAMIENTO DE LA VIVIENDA, EN LA LOCALIDAD SAN JUAN BAUTISTA VALLE NACIONAL, MUNICIPIO SAN JUAN BAUTISTA VALLE NACIONAL.</t>
  </si>
  <si>
    <t>0001 - SAN JUAN BAUTISTA VALLE NACIONAL</t>
  </si>
  <si>
    <t>EQUIPAMIENTO DE 1 POZO PROFUNDO DE AGUA POTABLE EN LA LOCALIDAD DE SANTA CRUZ XOXOCOTLAN, MUNICIPIO DE SANTA CRUZ XOXOCOTLAN</t>
  </si>
  <si>
    <t>CONSTRUCCIÓN DE CUARTO DORMITORIO PARA EL MEJORAMIENTO DE LA VIVIENDA, EN LA LOCALIDAD ARROYO CHICAL, MUNICIPIO SAN MIGUEL SOYALTEPEC.</t>
  </si>
  <si>
    <t>0003 - ARROYO CHICAL</t>
  </si>
  <si>
    <t>CONSTRUCCIÓN DE CUARTO DORMITORIO PARA EL MEJORAMIENTO DE LA VIVIENDA, EN LA LOCALIDAD SANTO DOMINGO TEOJOMULCO, MUNICIPIO SANTO DOMINGO TEOJOMULCO.</t>
  </si>
  <si>
    <t>CONSTRUCCIÓN DE PISO FIRME PARA EL MEJORAMIENTO DE LA VIVIENDA, EN LA LOCALIDAD SAN ANTONIO ABAD, MUNICIPIO SAN MIGUEL SOYALTEPEC.</t>
  </si>
  <si>
    <t>0052 - SAN ANTONIO ABAD</t>
  </si>
  <si>
    <t>CONSTRUCCIÓN DE PISO FIRME PARA EL MEJORAMIENTO DE LA VIVIENDA, EN LA LOCALIDAD LAS MARGARITAS, MUNICIPIO SAN MIGUEL SOYALTEPEC.</t>
  </si>
  <si>
    <t>0020 - LAS MARGARITAS</t>
  </si>
  <si>
    <t>CONSTRUCCIÓN DE PISO FIRME PARA EL MEJORAMIENTO DE LA VIVIENDA, EN LA LOCALIDAD EL CAPULÍN, MUNICIPIO SAN MIGUEL SOYALTEPEC.</t>
  </si>
  <si>
    <t>0050 - EL CAPULÍN</t>
  </si>
  <si>
    <t>CONSTRUCCIÓN DE TECHO FIRME PARA EL MEJORAMIENTO DE LA VIVIENDA, EN LA LOCALIDAD SAN JUAN BAUTISTA TUXTEPEC, MUNICIPIO SAN JUAN BAUTISTA TUXTEPEC.</t>
  </si>
  <si>
    <t>CONSTRUCCIÓN DE CUARTO DORMITORIO PARA EL MEJORAMIENTO DE LA VIVIENDA, EN LA LOCALIDAD LA CORREGIDORA TIERRA COLORADA, MUNICIPIO SAN MIGUEL CHICAHUA.</t>
  </si>
  <si>
    <t>264 - SAN MIGUEL CHICAHUA</t>
  </si>
  <si>
    <t>0004 - LA CORREGIDORA TIERRA COLORADA</t>
  </si>
  <si>
    <t>CONSTRUCCIÓN DE TECHO FIRME PARA EL MEJORAMIENTO DE LA VIVIENDA, EN LA LOCALIDAD SAN JOSÉ AYUQUILA, MUNICIPIO SAN JOSÉ AYUQUILA.</t>
  </si>
  <si>
    <t>CONSTRUCCIÓN DE CUARTO DORMITORIO PARA EL MEJORAMIENTO DE LA VIVIENDA, EN LA LOCALIDAD SANTA LUCRECIA, MUNICIPIO HEROICA CIUDAD DE TLAXIACO.</t>
  </si>
  <si>
    <t>0024 - SANTA LUCRECIA</t>
  </si>
  <si>
    <t>CONSTRUCCIÓN DE PISO FIRME PARA EL MEJORAMIENTO DE LA VIVIENDA, EN LA LOCALIDAD LEYES DE REFORMA, MUNICIPIO SAN JOSÉ CHILTEPEC.</t>
  </si>
  <si>
    <t>0017 - LEYES DE REFORMA</t>
  </si>
  <si>
    <t>CONSTRUCCIÓN DE TECHO FIRME PARA EL MEJORAMIENTO DE LA VIVIENDA, EN LA LOCALIDAD SANTA MARÍA SOLA, MUNICIPIO SANTA MARÍA SOLA.</t>
  </si>
  <si>
    <t>429 - SANTA MARÍA SOLA</t>
  </si>
  <si>
    <t>0001 - SANTA MARÍA SOLA</t>
  </si>
  <si>
    <t>CONSTRUCCIÓN DE PISO FIRME PARA EL MEJORAMIENTO DE LA VIVIENDA, EN LA LOCALIDAD EL FARO, MUNICIPIO PLUMA HIDALGO.</t>
  </si>
  <si>
    <t>0019 - EL FARO</t>
  </si>
  <si>
    <t>CONSTRUCCIÓN DE PISO FIRME PARA EL MEJORAMIENTO DE LA VIVIENDA, EN LA LOCALIDAD SOLEDAD, MUNICIPIO PLUMA HIDALGO.</t>
  </si>
  <si>
    <t>0072 - SOLEDAD</t>
  </si>
  <si>
    <t>CONSTRUCCIÓN DE PISO FIRME PARA EL MEJORAMIENTO DE LA VIVIENDA, EN LA LOCALIDAD EL REFUGIO, MUNICIPIO PLUMA HIDALGO.</t>
  </si>
  <si>
    <t>0051 - EL REFUGIO</t>
  </si>
  <si>
    <t> -96.415162</t>
  </si>
  <si>
    <t>CONSTRUCCIÓN DE PISO FIRME PARA EL MEJORAMIENTO DE LA VIVIENDA, EN LA LOCALIDAD SANTA FE, MUNICIPIO PLUMA HIDALGO.</t>
  </si>
  <si>
    <t>0153 - SANTA FE</t>
  </si>
  <si>
    <t>CONSTRUCCIÓN DE PISO FIRME PARA EL MEJORAMIENTO DE LA VIVIENDA, EN LA LOCALIDAD EUREKA, MUNICIPIO PLUMA HIDALGO.</t>
  </si>
  <si>
    <t>0018 - EUREKA</t>
  </si>
  <si>
    <t>CONSTRUCCIÓN DE PISO FIRME PARA EL MEJORAMIENTO DE LA VIVIENDA, EN LA LOCALIDAD SAN JOSÉ PALO GRANDE, MUNICIPIO PLUMA HIDALGO.</t>
  </si>
  <si>
    <t>0044 - SAN JOSÉ PALO GRANDE</t>
  </si>
  <si>
    <t>CONSTRUCCIÓN DE PISO FIRME PARA EL MEJORAMIENTO DE LA VIVIENDA, EN LA LOCALIDAD TRES DE MAYO, MUNICIPIO PLUMA HIDALGO.</t>
  </si>
  <si>
    <t>0179 - TRES DE MAYO</t>
  </si>
  <si>
    <t>CONSTRUCCIÓN DE PISO FIRME PARA EL MEJORAMIENTO DE LA VIVIENDA, EN LA LOCALIDAD EL ROSARIO, MUNICIPIO PLUMA HIDALGO.</t>
  </si>
  <si>
    <t>0053 - EL ROSARIO</t>
  </si>
  <si>
    <t> -96.424830</t>
  </si>
  <si>
    <t>CONSTRUCCIÓN DE PISO FIRME PARA EL MEJORAMIENTO DE LA VIVIENDA, EN LA LOCALIDAD POCITOS, MUNICIPIO PLUMA HIDALGO.</t>
  </si>
  <si>
    <t>0087 - POCITOS</t>
  </si>
  <si>
    <t>CONSTRUCCIÓN DE PISO FIRME PARA EL MEJORAMIENTO DE LA VIVIENDA, EN LA LOCALIDAD EDÉN BAJO, MUNICIPIO PLUMA HIDALGO.</t>
  </si>
  <si>
    <t>0127 - EDÉN BAJO</t>
  </si>
  <si>
    <t>CONSTRUCCIÓN DE PISO FIRME PARA EL MEJORAMIENTO DE LA VIVIENDA, EN LA LOCALIDAD PLUMA HIDALGO, MUNICIPIO PLUMA HIDALGO.</t>
  </si>
  <si>
    <t>0001 - PLUMA HIDALGO</t>
  </si>
  <si>
    <t>CONSTRUCCIÓN DE PISO FIRME PARA EL MEJORAMIENTO DE LA VIVIENDA, EN LA LOCALIDAD NAZARENO, MUNICIPIO PLUMA HIDALGO.</t>
  </si>
  <si>
    <t>0037 - NAZARENO</t>
  </si>
  <si>
    <t>CONSTRUCCIÓN DE TECHADO EN ESPACIO MULTIDEPORTIVO Y BIENES PUBLICOS EN LA LOCALIDAD TLALIXTAC DE CABRERA, MUNICIPIO DE TLALIXTAC DE CABRERA</t>
  </si>
  <si>
    <t>CFD - CULTURA FISICA Y DEPORTE</t>
  </si>
  <si>
    <t>553 - TLALIXTAC DE CABRERA</t>
  </si>
  <si>
    <t>0001 - TLALIXTAC DE CABRERA</t>
  </si>
  <si>
    <t>CONSTRUCCIÓN DE TECHO FIRME PARA EL MEJORAMIENTO DE LA VIVIENDA, EN LA LOCALIDAD CERRO DE ORO, MUNICIPIO SAN LUCAS OJITLÁN.</t>
  </si>
  <si>
    <t>232 - SAN LUCAS OJITLÁN</t>
  </si>
  <si>
    <t>0019 - CERRO DE ORO</t>
  </si>
  <si>
    <t>CONSTRUCCIÓN DE TECHO FIRME PARA EL MEJORAMIENTO DE LA VIVIENDA, EN LA LOCALIDAD CACAHUATAL, MUNICIPIO SAN LUCAS OJITLÁN.</t>
  </si>
  <si>
    <t>0099 - CACAHUATAL</t>
  </si>
  <si>
    <t>CONSTRUCCIÓN DE CUARTO DORMITORIO PARA EL MEJORAMIENTO DE LA VIVIENDA, EN LA LOCALIDAD PIEDRA ANCHA O LA RAYA, MUNICIPIO SAN PEDRO TEUTILA.</t>
  </si>
  <si>
    <t>330 - SAN PEDRO TEUTILA</t>
  </si>
  <si>
    <t>0007 - PIEDRA ANCHA O LA RAYA</t>
  </si>
  <si>
    <t>EQUIPAMIENTO CON ESTUFA ECOLÓGICA PARA EL MEJORAMIENTO DE LA VIVIENDA, EN LA LOCALIDAD LA UNIÓN ALTAMIRA, MUNICIPIO SANTA LUCÍA MONTEVERDE.</t>
  </si>
  <si>
    <t>392 - SANTA LUCÍA MONTEVERDE</t>
  </si>
  <si>
    <t>0002 - LA UNIÓN ALTAMIRA</t>
  </si>
  <si>
    <t>EQUIPAMIENTO CON ESTUFA ECOLÓGICA PARA EL MEJORAMIENTO DE LA VIVIENDA, EN LA LOCALIDAD AGUA DEL TORO, MUNICIPIO SANTA LUCÍA MONTEVERDE.</t>
  </si>
  <si>
    <t>0010 - AGUA DEL TORO</t>
  </si>
  <si>
    <t>EQUIPAMIENTO CON ESTUFA ECOLÓGICA PARA EL MEJORAMIENTO DE LA VIVIENDA, EN LA LOCALIDAD COLONIA VILLANUEVA, MUNICIPIO SANTA LUCÍA MONTEVERDE.</t>
  </si>
  <si>
    <t>0003 - COLONIA VILLANUEVA</t>
  </si>
  <si>
    <t>EQUIPAMIENTO CON ESTUFA ECOLÓGICA PARA EL MEJORAMIENTO DE LA VIVIENDA, EN LA LOCALIDAD SANTA MARÍA OCOTLÁN, MUNICIPIO SANTA LUCÍA MONTEVERDE.</t>
  </si>
  <si>
    <t>0007 - SANTA MARÍA OCOTLÁN</t>
  </si>
  <si>
    <t>EQUIPAMIENTO CON ESTUFA ECOLÓGICA PARA EL MEJORAMIENTO DE LA VIVIENDA, EN LA LOCALIDAD MOCTEZUMA, MUNICIPIO SANTA LUCÍA MONTEVERDE.</t>
  </si>
  <si>
    <t>0016 - MOCTEZUMA</t>
  </si>
  <si>
    <t>CONSTRUCCIÓN DE TECHO FIRME PARA EL MEJORAMIENTO DE LA VIVIENDA, EN LA LOCALIDAD EL CAPULÍN, MUNICIPIO SAN MIGUEL SOYALTEPEC.</t>
  </si>
  <si>
    <t>CONSTRUCCIÓN DE CUARTO DORMITORIO PARA EL MEJORAMIENTO DE LA VIVIENDA, EN LA LOCALIDAD SANTIAGO JOCOTEPEC, MUNICIPIO SANTIAGO JOCOTEPEC.</t>
  </si>
  <si>
    <t>07 - CHOÁPAM</t>
  </si>
  <si>
    <t>468 - SANTIAGO JOCOTEPEC</t>
  </si>
  <si>
    <t>0001 - SANTIAGO JOCOTEPEC</t>
  </si>
  <si>
    <t>CONSTRUCCIÓN DE CUARTO DORMITORIO PARA EL MEJORAMIENTO DE LA VIVIENDA, EN LA LOCALIDAD PLAN MATA DE CAÑA, MUNICIPIO SANTIAGO JOCOTEPEC.</t>
  </si>
  <si>
    <t>0013 - PLAN MATA DE CAÑA</t>
  </si>
  <si>
    <t>CONSTRUCCIÓN DE PISO FIRME PARA EL MEJORAMIENTO DE LA VIVIENDA, EN LA LOCALIDAD CERRITO GRANDE, MUNICIPIO SAN AGUSTÍN YATARENI.</t>
  </si>
  <si>
    <t>087 - SAN AGUSTÍN YATARENI</t>
  </si>
  <si>
    <t>0003 - CERRITO GRANDE</t>
  </si>
  <si>
    <t>CONSTRUCCIÓN DE PISO FIRME PARA EL MEJORAMIENTO DE LA VIVIENDA, EN LA LOCALIDAD LOMAS DE TABICHI, MUNICIPIO SAN AGUSTÍN YATARENI.</t>
  </si>
  <si>
    <t>0013 - LOMAS DE TABICHI</t>
  </si>
  <si>
    <t>CONSTRUCCIÓN DE PISO FIRME PARA EL MEJORAMIENTO DE LA VIVIENDA, EN LA LOCALIDAD SAN AGUSTÍN YATARENI, MUNICIPIO SAN AGUSTÍN YATARENI.</t>
  </si>
  <si>
    <t>0001 - SAN AGUSTÍN YATARENI</t>
  </si>
  <si>
    <t>CONSTRUCCIÓN DE PISO FIRME PARA EL MEJORAMIENTO DE LA VIVIENDA, EN LA LOCALIDAD PUENTE EL TECOLOTE, MUNICIPIO SAN AGUSTÍN YATARENI.</t>
  </si>
  <si>
    <t>0002 - PUENTE EL TECOLOTE</t>
  </si>
  <si>
    <t>CONSTRUCCIÓN DE TECHO FIRME PARA EL MEJORAMIENTO DE LA VIVIENDA, EN LA LOCALIDAD VILLA SOLA DE VEGA, MUNICIPIO VILLA SOLA DE VEGA.</t>
  </si>
  <si>
    <t>277 - VILLA SOLA DE VEGA</t>
  </si>
  <si>
    <t>0001 - VILLA SOLA DE VEGA</t>
  </si>
  <si>
    <t>CONSTRUCCIÓN DE TECHO FIRME PARA EL MEJORAMIENTO DE LA VIVIENDA, EN LA LOCALIDAD LAZO, MUNICIPIO VILLA SOLA DE VEGA.</t>
  </si>
  <si>
    <t>0011 - LAZO</t>
  </si>
  <si>
    <t> -97.03771224012736</t>
  </si>
  <si>
    <t>CONSTRUCCIÓN DE PISO FIRME PARA EL MEJORAMIENTO DE LA VIVIENDA, EN LA LOCALIDAD LA LAGUNA, MUNICIPIO SAN MIGUEL AMATITLÁN.</t>
  </si>
  <si>
    <t>CONSTRUCCIÓN DE PISO FIRME PARA EL MEJORAMIENTO DE LA VIVIENDA, EN LA LOCALIDAD SAN JORGE EL ZAPOTE, MUNICIPIO SAN MIGUEL AMATITLÁN.</t>
  </si>
  <si>
    <t>0006 - SAN JORGE EL ZAPOTE</t>
  </si>
  <si>
    <t>CONSTRUCCIÓN DE TECHO FIRME PARA EL MEJORAMIENTO DE LA VIVIENDA, EN LA LOCALIDAD SANTA MARÍA TLALIXTAC, MUNICIPIO SANTA MARÍA TLALIXTAC.</t>
  </si>
  <si>
    <t>CONSTRUCCIÓN DE TECHO FIRME PARA EL MEJORAMIENTO DE LA VIVIENDA, EN LA LOCALIDAD SAN MIGUEL PERAS, MUNICIPIO SAN MIGUEL PERAS.</t>
  </si>
  <si>
    <t>273 - SAN MIGUEL PERAS</t>
  </si>
  <si>
    <t>0001 - SAN MIGUEL PERAS</t>
  </si>
  <si>
    <t>CONSTRUCCIÓN DE TECHO FIRME PARA EL MEJORAMIENTO DE LA VIVIENDA, EN LA LOCALIDAD SOLEDAD PERAS, MUNICIPIO SAN MIGUEL PERAS.</t>
  </si>
  <si>
    <t>0008 - SOLEDAD PERAS</t>
  </si>
  <si>
    <t>CONSTRUCCIÓN DE CUARTO DORMITORIO PARA EL MEJORAMIENTO DE LA VIVIENDA, EN LA LOCALIDAD SANTA MARÍA SOLA, MUNICIPIO SANTA MARÍA SOLA.</t>
  </si>
  <si>
    <t>CONSTRUCCIÓN DE SANITARIO CON BIODIGESTOR PARA EL MEJORAMIENTO DE LA VIVIENDA, EN LA LOCALIDAD SAN MIGUEL ACHIUTLA, MUNICIPIO SAN MIGUEL ACHIUTLA.</t>
  </si>
  <si>
    <t>258 - SAN MIGUEL ACHIUTLA</t>
  </si>
  <si>
    <t>0001 - SAN MIGUEL ACHIUTLA</t>
  </si>
  <si>
    <t>CONSTRUCCIÓN DE PISO FIRME PARA EL MEJORAMIENTO DE LA VIVIENDA, EN LA LOCALIDAD LLANO FLOR, MUNICIPIO SAN PEDRO EL ALTO.</t>
  </si>
  <si>
    <t>306 - SAN PEDRO EL ALTO</t>
  </si>
  <si>
    <t>0003 - LLANO FLOR</t>
  </si>
  <si>
    <t> -96.46588249426</t>
  </si>
  <si>
    <t> -96.4662707997</t>
  </si>
  <si>
    <t> -96.4656646205</t>
  </si>
  <si>
    <t>CONSTRUCCIÓN DE TECHO FIRME PARA EL MEJORAMIENTO DE LA VIVIENDA, EN LA LOCALIDAD MANO DEL SEÑOR, MUNICIPIO SANTA CRUZ ZENZONTEPEC.</t>
  </si>
  <si>
    <t>386 - SANTA CRUZ ZENZONTEPEC</t>
  </si>
  <si>
    <t>0011 - MANO DEL SEÑOR</t>
  </si>
  <si>
    <t>CONSTRUCCIÓN DE TECHO FIRME PARA EL MEJORAMIENTO DE LA VIVIENDA, EN LA LOCALIDAD RANCHO VIEJO, MUNICIPIO SANTA CRUZ ZENZONTEPEC.</t>
  </si>
  <si>
    <t>0018 - RANCHO VIEJO</t>
  </si>
  <si>
    <t>CONSTRUCCIÓN DE CISTERNA PARA EL MEJORAMIENTO DE LA VIVIENDA, EN LA LOCALIDAD SAN PEDRO CHOLULA, MUNICIPIO SANTA MARÍA PEÑOLES.</t>
  </si>
  <si>
    <t>426 - SANTA MARÍA PEÑOLES</t>
  </si>
  <si>
    <t>0005 - SAN PEDRO CHOLULA</t>
  </si>
  <si>
    <t>CONSTRUCCIÓN DE CUARTO DORMITORIO PARA EL MEJORAMIENTO DE LA VIVIENDA, EN LA LOCALIDAD QUIALELÁ, MUNICIPIO SAN FRANCISCO SOLA.</t>
  </si>
  <si>
    <t>0006 - QUIALELÁ</t>
  </si>
  <si>
    <t>EQUIPAMIENTO GENERAL PARA LA FACULTAD DE CULTURA FÍSICA Y DEPORTE</t>
  </si>
  <si>
    <t>501 - CAMINOS BIENESTAR</t>
  </si>
  <si>
    <t>501001 - CAMINOS BIENESTAR</t>
  </si>
  <si>
    <t>CONSTRUCCIÓN DE LA CARRETERA SIN NOMBRE CON CONCRETO HIDRÁULICO DE SANTA MARÍA XOCHIXTEPEC - SANTA MARÍA TAVEHUA, TRAMO DEL KM 0+000 AL KM 3+200, SUBTRAMO DEL KM 0+000 AL KM 0+600, EN EL MUNICIPIO DE SAN BALTAZAR YATZACHI EL BAJO</t>
  </si>
  <si>
    <t>CCP - CARRETERAS, CAMINOS Y PUENTES</t>
  </si>
  <si>
    <t>13 - VILLA ALTA</t>
  </si>
  <si>
    <t>114 - SAN BALTAZAR YATZACHI EL BAJO</t>
  </si>
  <si>
    <t>0005 - SANTA MARÍA XOCHIXTEPEC</t>
  </si>
  <si>
    <t>CONSTRUCCIÓN DE PISO FIRME PARA EL MEJORAMIENTO DE LA VIVIENDA, EN LA LOCALIDAD NUEVO MÁLZAGA, MUNICIPIO SANTA MARÍA JACATEPEC.</t>
  </si>
  <si>
    <t>417 - SANTA MARÍA JACATEPEC</t>
  </si>
  <si>
    <t>0014 - NUEVO MÁLZAGA</t>
  </si>
  <si>
    <t>CONSTRUCCIÓN DE PISO FIRME PARA EL MEJORAMIENTO DE LA VIVIENDA, EN LA LOCALIDAD RANCHO MANANTIAL, MUNICIPIO SANTA MARÍA JACATEPEC.</t>
  </si>
  <si>
    <t>0039 - RANCHO MANANTIAL</t>
  </si>
  <si>
    <t>CONSTRUCCIÓN DE CUARTO DORMITORIO PARA EL MEJORAMIENTO DE LA VIVIENDA, EN LA LOCALIDAD EL FORTÍN II, MUNICIPIO SANTA MARÍA JACATEPEC.</t>
  </si>
  <si>
    <t>0061 - EL FORTÍN II</t>
  </si>
  <si>
    <t>CONSTRUCCIÓN DE PISO FIRME PARA EL MEJORAMIENTO DE LA VIVIENDA, EN LA LOCALIDAD SAN PEDRO IXTLAHUACA, MUNICIPIO SAN PEDRO IXTLAHUACA.</t>
  </si>
  <si>
    <t>310 - SAN PEDRO IXTLAHUACA</t>
  </si>
  <si>
    <t>0001 - SAN PEDRO IXTLAHUACA</t>
  </si>
  <si>
    <t>CONSTRUCCIÓN DE CUARTO DORMITORIO PARA EL MEJORAMIENTO DE LA VIVIENDA, EN LA LOCALIDAD YOSONDUCHI, MUNICIPIO PUTLA VILLA DE GUERRERO.</t>
  </si>
  <si>
    <t>0078 - YOSONDUCHI</t>
  </si>
  <si>
    <t>CONSTRUCCIÓN DE CUARTO DORMITORIO PARA EL MEJORAMIENTO DE LA VIVIENDA, EN LA LOCALIDAD SAN ANDRÉS CHICAHUAXTLA, MUNICIPIO PUTLA VILLA DE GUERRERO.</t>
  </si>
  <si>
    <t>0022 - SAN ANDRÉS CHICAHUAXTLA</t>
  </si>
  <si>
    <t>CONSTRUCCIÓN DE CUARTO DORMITORIO PARA EL MEJORAMIENTO DE LA VIVIENDA, EN LA LOCALIDAD SANTO DOMINGO DEL ESTADO, MUNICIPIO PUTLA VILLA DE GUERRERO.</t>
  </si>
  <si>
    <t>0036 - SANTO DOMINGO DEL ESTADO</t>
  </si>
  <si>
    <t>CONSTRUCCIÓN DE CUARTO DORMITORIO PARA EL MEJORAMIENTO DE LA VIVIENDA, EN LA LOCALIDAD SAN PEDRO IXTLAHUACA, MUNICIPIO SAN PEDRO IXTLAHUACA.</t>
  </si>
  <si>
    <t>CONSTRUCCIÓN DE CUARTO DORMITORIO PARA EL MEJORAMIENTO DE LA VIVIENDA, EN LA LOCALIDAD YOSONICAJE, MUNICIPIO SANTA MARÍA YUCUHITI.</t>
  </si>
  <si>
    <t>446 - SANTA MARÍA YUCUHITI</t>
  </si>
  <si>
    <t>0007 - YOSONICAJE</t>
  </si>
  <si>
    <t xml:space="preserve">  -97.78895173785705</t>
  </si>
  <si>
    <t xml:space="preserve"> -97.79048711045071</t>
  </si>
  <si>
    <t xml:space="preserve"> -97.78784413988107</t>
  </si>
  <si>
    <t xml:space="preserve"> -97.79038435333833</t>
  </si>
  <si>
    <t xml:space="preserve"> -97.79008910548788</t>
  </si>
  <si>
    <t>CONSTRUCCIÓN DE CUARTO DORMITORIO PARA EL MEJORAMIENTO DE LA VIVIENDA, EN LA LOCALIDAD SAN VICENTE COATLÁN, MUNICIPIO SAN VICENTE COATLÁN.</t>
  </si>
  <si>
    <t>534 - SAN VICENTE COATLÁN</t>
  </si>
  <si>
    <t>0001 - SAN VICENTE COATLÁN</t>
  </si>
  <si>
    <t>CONSTRUCCIÓN DE CUARTO DORMITORIO PARA EL MEJORAMIENTO DE LA VIVIENDA, EN LA LOCALIDAD EL FARO, MUNICIPIO SAN PEDRO TEUTILA.</t>
  </si>
  <si>
    <t>0004 - EL FARO</t>
  </si>
  <si>
    <t>CONSTRUCCIÓN DE CUARTO DORMITORIO PARA EL MEJORAMIENTO DE LA VIVIENDA, EN LA LOCALIDAD SAN ISIDRO CHINANTILLA, MUNICIPIO SAN JUAN BAUTISTA VALLE NACIONAL.</t>
  </si>
  <si>
    <t>0013 - SAN ISIDRO CHINANTILLA</t>
  </si>
  <si>
    <t>CONSTRUCCIÓN DE CUARTO DORMITORIO PARA EL MEJORAMIENTO DE LA VIVIENDA, EN LA LOCALIDAD LLANO DEL SABINO, MUNICIPIO SANTA MARÍA APAZCO.</t>
  </si>
  <si>
    <t>395 - SANTA MARÍA APAZCO</t>
  </si>
  <si>
    <t>0005 - LLANO DEL SABINO</t>
  </si>
  <si>
    <t>CONSTRUCCIÓN DE CUARTO DORMITORIO PARA EL MEJORAMIENTO DE LA VIVIENDA, EN LA LOCALIDAD SIERRA LLANO GRANDE, MUNICIPIO SANTA LUCÍA MIAHUATLÁN.</t>
  </si>
  <si>
    <t>391 - SANTA LUCÍA MIAHUATLÁN</t>
  </si>
  <si>
    <t>0007 - SIERRA LLANO GRANDE</t>
  </si>
  <si>
    <t>CONSTRUCCIÓN DE CUARTO DORMITORIO PARA EL MEJORAMIENTO DE LA VIVIENDA, EN LA LOCALIDAD DURAZNAL, MUNICIPIO SANTA MARÍA PEÑOLES.</t>
  </si>
  <si>
    <t>0007 - DURAZNAL</t>
  </si>
  <si>
    <t> -96.96251333093542</t>
  </si>
  <si>
    <t> -96.9712725809613</t>
  </si>
  <si>
    <t>CONSTRUCCIÓN DE CUARTO DORMITORIO PARA EL MEJORAMIENTO DE LA VIVIENDA, EN LA LOCALIDAD EL COMÚN, MUNICIPIO VILLA SOLA DE VEGA.</t>
  </si>
  <si>
    <t>0061 - EL COMÚN</t>
  </si>
  <si>
    <t>CONSTRUCCIÓN DE CUARTO DORMITORIO PARA EL MEJORAMIENTO DE LA VIVIENDA, EN LA LOCALIDAD YOGANITA, MUNICIPIO VILLA SOLA DE VEGA.</t>
  </si>
  <si>
    <t>0045 - YOGANITA</t>
  </si>
  <si>
    <t>CONSTRUCCIÓN DE CUARTO DORMITORIO PARA EL MEJORAMIENTO DE LA VIVIENDA, EN LA LOCALIDAD SAN AGUSTÍN, MUNICIPIO VILLA SOLA DE VEGA.</t>
  </si>
  <si>
    <t>0076 - SAN AGUSTÍN</t>
  </si>
  <si>
    <t>CONSTRUCCIÓN DE TECHO FIRME PARA EL MEJORAMIENTO DE LA VIVIENDA, EN LA LOCALIDAD SAN JORGE EL ZAPOTE, MUNICIPIO SAN MIGUEL AMATITLÁN.</t>
  </si>
  <si>
    <t>CONSTRUCCIÓN DE CUARTO DORMITORIO PARA EL MEJORAMIENTO DE LA VIVIENDA, EN LA LOCALIDAD RECIBIMIENTO DE CUAUHTÉMOC, MUNICIPIO SANTIAGO TEXTITLÁN.</t>
  </si>
  <si>
    <t>491 - SANTIAGO TEXTITLÁN</t>
  </si>
  <si>
    <t>0007 - RECIBIMIENTO DE CUAUHTÉMOC</t>
  </si>
  <si>
    <t>CONSTRUCCIÓN DE CUARTO DORMITORIO PARA EL MEJORAMIENTO DE LA VIVIENDA, EN LA LOCALIDAD SAN ESTEBAN AMATLÁN, MUNICIPIO SAN LUIS AMATLÁN.</t>
  </si>
  <si>
    <t>235 - SAN LUIS AMATLÁN</t>
  </si>
  <si>
    <t>0005 - SAN ESTEBAN AMATLÁN</t>
  </si>
  <si>
    <t>EQUIPAMIENTO PARA ESPECIALIDAD DE CONTROL Y AUTOMATIZACIÓN DE PROCESOS Y LABORATORIO DE ELECTROMECÁNICA EN EL INSTITUTO TECNOLÓGICO DEL ISTMO</t>
  </si>
  <si>
    <t>EQUIPAMIENTO DEL PERSONAL DE LAS INSTITUCIONES DE SEGURIDAD PÚBLICA Y PROCURACIÓN DE JUSTICIA.</t>
  </si>
  <si>
    <t>PARROQUIA DE ASUNCIÓN DE MARÍA</t>
  </si>
  <si>
    <t>005 - ASUNCIÓN IXTALTEPEC</t>
  </si>
  <si>
    <t>0001 - ASUNCIÓN IXTALTEPEC</t>
  </si>
  <si>
    <t>EVENTOS DE PROMOCIÓN DE LAS EXPRESIONES Y MANIFESTACIONES CULTURALES DE LOS PUEBLOS Y COMUNIDADES INDÍGENAS DE LA REGIÓN SIERRA SUR.</t>
  </si>
  <si>
    <t>254 - SAN MATEO RÍO HONDO</t>
  </si>
  <si>
    <t>0001 - SAN MATEO RÍO HONDO</t>
  </si>
  <si>
    <t>CONSTRUCCIÓN  DE  INFRAESTRUCTURA URBANA BÁSICA PARA LA ELECTRIFICACIÓN DEL POLÍGONO PESCADORES, EN HUATULCO, OAXACA</t>
  </si>
  <si>
    <t>ELE - ELECTRIFICACION</t>
  </si>
  <si>
    <t>CONSTRUCCIÓN  DE  INFRAESTRUCTURA URBANA BÁSICA PARA LA ELECTRIFICACIÓN DEL POLÍGONO CORREDOR PESQUERO, EN HUATULCO, OAXACA</t>
  </si>
  <si>
    <t>CONSTRUCCIÓN  DE  INFRAESTRUCTURA URBANA BÁSICA PARA LA ELECTRIFICACIÓN DEL POLÍGONO FLORES MAGÓN, EN HUATULCO, OAXACA</t>
  </si>
  <si>
    <t>CONSTRUCCIÓN DE INFRAESTRUCTURA URBANA BÁSICA PARA LA ELECTRIFICACIÓN DEL POLÍGONO EMILIANO ZAPATA, EN  HUATULCO, OAXACA</t>
  </si>
  <si>
    <t>CONSTRUCCIÓN DE INFRAESTRUCTURA URBANA BÁSICA PARA LA ELECTRIFICACIÓN DEL POLÍGONO TALLERES, EN HUATULCO, OAXACA</t>
  </si>
  <si>
    <t>CONSTRUCCIÓN DE INFRAESTRUCTURA URBANA BÁSICA PARA LA ELECTRIFICACIÓN DEL POLÍGONO SEXTA ETAPA, EN HUATULCO, OAXACA</t>
  </si>
  <si>
    <t>CONSTRUCCIÓN DE INFRAESTRUCTURA URBANA BÁSICA PARA LA ELECTRIFICACIÓN DEL POLÍGONO EL TANQUE, EN HUATULCO, OAXACA</t>
  </si>
  <si>
    <t>CONSTRUCCIÓN  DE  INFRAESTRUCTURA URBANA BÁSICA PARA LA ELECTRIFICACIÓN DEL POLÍGONO EL ZAPOTE (1ª ETAPA), EN HUATULCO, OAXACA</t>
  </si>
  <si>
    <t>111 - SECRETARÍA DE BIENESTAR, TEQUIO E INCLUSIÓN</t>
  </si>
  <si>
    <t>111001 - OFICINA DEL SECRETARIO DE BIENESTAR, TEQUIO  E INCLUSIÓN</t>
  </si>
  <si>
    <t>PROGRAMA DE ATENCIÓN A NIÑAS, NIÑOS Y ADOLESCENTES “ÚTILES PARA EL BIENESTAR”, PARA EL EJERCICIO FISCAL 2024.</t>
  </si>
  <si>
    <t>REPARACIONES GENERALES EN ESCUELA SECUNDARIA GENERAL “LÁZARO CÁRDENAS DEL RÍO” CON CLAVE ESCOLAR: 20DES0135S, EN LA LOCALIDAD SAN MIGUEL ACHIUTLA, MUNICIPIO SAN SAN MIGUEL ACHIUTLA</t>
  </si>
  <si>
    <t>CONSTRUCCIÓN DE TECHADO EN ESPACIO MULTIDEPORTIVO Y BIENES PÚBLICOS EN LA LOCALIDAD DE SAN AGUSTÍN ATENANGO, MUNICIPIO DE SAN AGUSTÍN ATENANGO</t>
  </si>
  <si>
    <t>081 - SAN AGUSTÍN ATENANGO</t>
  </si>
  <si>
    <t>0001 - SAN AGUSTÍN ATENANGO</t>
  </si>
  <si>
    <t>ESTABLECIMIENTO DE HUERTOS ESCOLARES DEL PROGRAMA AUTOSUFICIENCIA ALIMENTARIA</t>
  </si>
  <si>
    <t xml:space="preserve">	-96.720373</t>
  </si>
  <si>
    <t>EVENTO ACUÍCOLA-PESQUERO PARA LA  PROMOCIÓN DEL PROGRAMA DE AUTOSUFICIENCIA ALIMENTARIA</t>
  </si>
  <si>
    <t>FOA - FOMENTO ACUICOLA</t>
  </si>
  <si>
    <t>PRIMER MODIFICATORIO AL ANEXO DE EJECUCIÓN NO. 20-C.-01/24 QUE CELEBRA POR UNA PARTE EL EJECUTIVO FEDERAL, POR CONDUCTO DE LA SEMARNAT, A TRAVÉS DE LA CONAGUA, Y POR LA OTRA, EL EJECUTIVO DEL ESTADO LIBRE Y SOBERANO DE OAXACA</t>
  </si>
  <si>
    <t>PARROQUIA DE SAN JERÓNIMO</t>
  </si>
  <si>
    <t>014 - CIUDAD IXTEPEC</t>
  </si>
  <si>
    <t>0001 - CIUDAD IXTEPEC</t>
  </si>
  <si>
    <t>CONSTRUCCIÓN DE CUARTO PARA COCINA PARA EL MEJORAMIENTO DE LA VIVIENDA, EN LA LOCALIDAD SAN SEBASTIÁN ATITLÁN, MUNICIPIO SANTIAGO ATITLÁN.</t>
  </si>
  <si>
    <t>454 - SANTIAGO ATITLÁN</t>
  </si>
  <si>
    <t>0003 - SAN SEBASTIÁN ATITLÁN</t>
  </si>
  <si>
    <t>CONSTRUCCIÓN DE CUARTO PARA COCINA PARA EL MEJORAMIENTO DE LA VIVIENDA, EN LA LOCALIDAD SANTIAGO ATITLÁN, MUNICIPIO SANTIAGO ATITLÁN.</t>
  </si>
  <si>
    <t>0001 - SANTIAGO ATITLÁN</t>
  </si>
  <si>
    <t>CONSTRUCCIÓN DE CUARTO PARA COCINA PARA EL MEJORAMIENTO DE LA VIVIENDA, EN LA LOCALIDAD EL RODEO, MUNICIPIO SANTIAGO ATITLÁN.</t>
  </si>
  <si>
    <t>0004 - EL RODEO</t>
  </si>
  <si>
    <t>CONSTRUCCIÓN DE CUARTO PARA COCINA PARA EL MEJORAMIENTO DE LA VIVIENDA, EN LA LOCALIDAD EL POTRERO, MUNICIPIO SANTIAGO ATITLÁN.</t>
  </si>
  <si>
    <t>0006 - EL POTRERO</t>
  </si>
  <si>
    <t>CONSTRUCCIÓN DE CUARTO PARA COCINA PARA EL MEJORAMIENTO DE LA VIVIENDA, EN LA LOCALIDAD SANTA MARÍA TLAHUITOLTEPEC, MUNICIPIO SANTA MARÍA TLAHUITOLTEPEC.</t>
  </si>
  <si>
    <t>437 - SANTA MARÍA TLAHUITOLTEPEC</t>
  </si>
  <si>
    <t>0001 - SANTA MARÍA TLAHUITOLTEPEC</t>
  </si>
  <si>
    <t>CONVENIO DE COLABORACIÓN PARA LA IMPLEMENTACIÓN DE LA CAMPAÑA NACIONAL DE ALFABETIZACIÓN Y REDUCCIÓN DEL REZAGO EDUCATIVO.</t>
  </si>
  <si>
    <t xml:space="preserve">	-96.71122686043876</t>
  </si>
  <si>
    <t>540 - SERVICIOS DE SALUD DE OAXACA</t>
  </si>
  <si>
    <t>540001 - DIRECCIÓN GENERAL DE SERVICIOS DE SALUD</t>
  </si>
  <si>
    <t>REHABILITACIÓN DE HOSPITAL INTEGRAL (COMUNITARIO) EN LA LOCALIDAD DE IXTLÁN DE JUÁREZ</t>
  </si>
  <si>
    <t>SAL - SALUD</t>
  </si>
  <si>
    <t>REHABILITACIÓN DE CENTRO DE SALUD URBANO DE 02 NÚCLEOS BÁSICOS EN LA LOCALIDAD DE MAGDALENA TEITIPAC</t>
  </si>
  <si>
    <t>REHABILITACIÓN DE CENTRO DE SALUD RURAL DE 01 NÚCLEO BÁSICO EN LA LOCALIDAD DE SANTA MARIA YACOCHI</t>
  </si>
  <si>
    <t>0008 - SANTA MARÍA YACOCHI</t>
  </si>
  <si>
    <t>REHABILITACIÓN DE CENTRO DE SALUD URBANO DE 10 NÚCLEOS BÁSICOS EN LA LOCALIDAD DE SAN JUAN BAUTISTA TUXTEPEC</t>
  </si>
  <si>
    <t>REHABILITACIÓN DE CENTRO DE SALUD CON HOSPITALIZACIÓN EN LA LOCALIDAD DE LOMA BONITA</t>
  </si>
  <si>
    <t>044 - LOMA BONITA</t>
  </si>
  <si>
    <t>0001 - LOMA BONITA</t>
  </si>
  <si>
    <t>REHABILITACIÓN DE HOSPITAL INTEGRAL (COMUNITARIO) EN LA LOCALIDAD DE SAN JUAN BAUTISTA VALLE NACIONAL</t>
  </si>
  <si>
    <t>REHABILITACIÓN DE CENTRO DE SALUD URBANO DE 05 NÚCLEOS BÁSICOS EN LA LOCALIDAD DE RIO GRANDE O PIEDRA PARADA</t>
  </si>
  <si>
    <t>REHABILITACIÓN DE HOSPITAL INTEGRAL (COMUNITARIO) EN LA LOCALIDAD DE SANTA CATARINA JUQUILA</t>
  </si>
  <si>
    <t>0001 - SANTA CATARINA JUQUILA</t>
  </si>
  <si>
    <t>REHABILITACIÓN DE LA JURISDICCIÓN SANITARIA NO. 2 "ISTMO"</t>
  </si>
  <si>
    <t>REHABILITACIÓN DE LA JURISDICCIÓN SANITARIA NO. 4 "COSTA"</t>
  </si>
  <si>
    <t>0009 - PUERTO ESCONDIDO</t>
  </si>
  <si>
    <t>REHABILITACIÓN DE HOSPITAL GENERAL EN LA LOCALIDAD DE SANTO DOMINGO TEHUANTEPEC</t>
  </si>
  <si>
    <t>REHABILITACIÓN DEL HOSPITAL BÁSICO COMUNITARIO DE LA LOCALIDAD ASUNCIÓN NOCHIXTLÁN</t>
  </si>
  <si>
    <t>REHABILITACION DE CENTRO DE SALUD URBANO DE 7 NB DE LA LOCALIDAD DE MATÍAS ROMERO AVENDAÑO</t>
  </si>
  <si>
    <t>0001 - MATÍAS ROMERO AVENDAÑO</t>
  </si>
  <si>
    <t>REHABILITACIÓN DE CENTRO DE SALUD RURAL DE 1 NB DE LA LOCALIDAD DE CERRO CHICO (CERRITOS)</t>
  </si>
  <si>
    <t>143 - SAN FRANCISCO IXHUATÁN</t>
  </si>
  <si>
    <t>0037 - CERRO CHICO (CERRITOS)</t>
  </si>
  <si>
    <t>REHABILITACIÓN DE CENTRO DE SALUD URBANO DE 3 NB DE LA LOCALIDAD DE SANTO DOMINGO ZANATEPEC</t>
  </si>
  <si>
    <t>525 - SANTO DOMINGO ZANATEPEC</t>
  </si>
  <si>
    <t>0001 - SANTO DOMINGO ZANATEPEC</t>
  </si>
  <si>
    <t>REHABILITACIÓN DE CENTRO DE SALUD URBANO DE 1 NB DE LA LOCALIDAD DE HEROICA VILLA DE SAN BLAS ATEMPA</t>
  </si>
  <si>
    <t>REHABILITACIÓN DE CENTRO DE SALUD URBANO DE 4 NB DE LA LOCALIDAD DE SANTA MARÍA JALAPA DEL MARQUÉS</t>
  </si>
  <si>
    <t>418 - SANTA MARÍA JALAPA DEL MARQUÉS</t>
  </si>
  <si>
    <t>0001 - SANTA MARÍA JALAPA DEL MARQUÉS</t>
  </si>
  <si>
    <t>REHABILITACIÓN DE CENTRO DE SALUD URBANO DE 1 NB DE LA LOCALIDAD DE MAGDALENA TEQUISISTLÁN</t>
  </si>
  <si>
    <t>052 - MAGDALENA TEQUISISTLÁN</t>
  </si>
  <si>
    <t>0001 - MAGDALENA TEQUISISTLÁN</t>
  </si>
  <si>
    <t>REHABILITACIÓN DE CENTRO DE SALUD CON SERVICIOS AMPLIADOS DE LA LOCALIDAD DE SANTO DOMINGO TEHUANTEPEC</t>
  </si>
  <si>
    <t>REHABILITACIÓN DE CENTRO DE SALUD URBANO DE 12 NB DE LA LOCALIDAD DE SALINA CRUZ</t>
  </si>
  <si>
    <t>079 - SALINA CRUZ</t>
  </si>
  <si>
    <t>0001 - SALINA CRUZ</t>
  </si>
  <si>
    <t>REHABILITACIÓN DE LA UNIDAD DE ESPECIALIDADES MÉDICAS  (UNEMES) DE LA LOCALIDAD DE SANTO DOMINGO TEHUANTEPEC</t>
  </si>
  <si>
    <t>REHABILITACIÓN DE CENTRO DE SALUD URBANO DE 4 NB DE LA LOCALIDAD DE CIUDAD IXTEPEC</t>
  </si>
  <si>
    <t>REHABILITACION DE CENTRO DE SALUD RURAL DE 1 NB DE LA LOCALIDAD DE RINCÓN MORENO</t>
  </si>
  <si>
    <t>0013 - RINCÓN MORENO</t>
  </si>
  <si>
    <t>SUPERVISIÓN TÉCNICA DE LA REPOSICIÓN DE POZO PROFUNDO PARA AGUA POTABLE UNIVERSIDAD (ETAPA ÚNICA)</t>
  </si>
  <si>
    <t>SUPERVISIÓN TÉCNICA DE LA REHABILITACIÓN DE LA LÍNEA DE CONDUCCIÓN DEL CÁRCAMO HIDALGO AL TANQUE DE ALMACENAMIENTO DEL SECTOR HIDALGO, EN LA AVENIDA OAXACA DE LA COLONIA MIGUEL HIDALGO Y EN AVENIDA MONTE ALBÁN DE LA COLONIA PRESIDENTE JUAREZ (ETAPA ÚNICA)</t>
  </si>
  <si>
    <t>SUPERVISIÓN TÉCNICA DE LA REPOSICIÓN DE POZO PROFUNDO PARA AGUA POTABLE PALMAS (ETAPA ÚNICA)</t>
  </si>
  <si>
    <t>SUPERVISIÓN TÉCNICA DE LA REPOSICIÓN DE POZO PROFUNDO PARA AGUA POTABLE SAUCES (ETAPA ÚNICA)</t>
  </si>
  <si>
    <t>SUPERVISIÓN TÉCNICA DE LA PERFORACIÓN Y EQUIPAMIENTO ELECTROMECÁNICO DE POZO PROFUNDO PARA AGUA POTABLE LAS TORRES E INTERCONEXIÓN A SISTEMA CÁRCAMO-TECNOLÓGICO (ETAPA ÚNICA)</t>
  </si>
  <si>
    <t>SUPERVISIÓN TÉCNICA DE LA CONSTRUCCIÓN DE INTERCONEXIÓN DE LA LÍNEA DE CONDUCCIÓN DEL SECTOR RIO BLANCO EN LAS CALLES RIO PAPALOAPAM-MARTIRES DE RIO BLANCO-PIRINEOS EN LA COLONIA AURORA (ETAPA ÚNICA)</t>
  </si>
  <si>
    <t>SUPERVISIÓN TÉCNICA DE LA CONSTRUCCIÓN DE INTERCONEXIONES DE LA LÍNEA DE CONDUCCIÓN EN LOS TRAMOS DE LAS CALLES DIODORO C. - VALERIO TRUJANO Y CARRETERA A MONTE ALBÁN - AVENIDA MEXICAPAN (ETAPA ÚNICA)</t>
  </si>
  <si>
    <t>CONTRALORÍA SOCIAL DE LA OBRA: CONSTRUCCIÓN DEL SISTEMA DE AGUA POTABLE - 45 CAPTACIONES DE AGUA DE LLUVIA (ETAPA ÚNICA), EN LA LOCALIDAD DE RANCHO GUADALUPE, MUNICIPIO DE SAN JOSÉ TENANGO</t>
  </si>
  <si>
    <t>CONTRALORÍA SOCIAL DE LA OBRA: CONSTRUCCIÓN DE 45 SISTEMAS DE CAPTACIÓN DE AGUA DE LLUVIA (ETAPA ÚNICA), EN LA LOCALIDAD DE AGUA DE RAYO, MUNICIPIO DE SAN JOSÉ TENANGO</t>
  </si>
  <si>
    <t>CONTRALORÍA SOCIAL DE LA OBRA: CONSTRUCCIÓN DEL SISTEMA DE AGUA POTABLE 1A. ETAPA (PERFORACIÓN DE POZO PROFUNDO), EN LA LOCALIDAD DE MOGOÑÉ VIEJO, MUNICIPIO DE SAN JUAN GUICHICOVI</t>
  </si>
  <si>
    <t>REHABILITACIÓN DEL HOSPITAL GENERAL "DR. PEDRO ESPINOZA RUEDA" EN LA LOCALIDAD DE SANTIAGO PINOTEPA NACIONAL</t>
  </si>
  <si>
    <t>REHABILITACIÓN DEL HOSPITAL INTEGRAL (COMUNITARIO) EN LA LOCALIDAD DE NEJAPA DE MADERO</t>
  </si>
  <si>
    <t>0001 - NEJAPA DE MADERO</t>
  </si>
  <si>
    <t>REHABILITACIÓN DEL CENTRO DE SALUD CON SERVICIOS AMPLIADOS EN LA LOCALIDAD DE TEOTITLÁN DEL VALLE</t>
  </si>
  <si>
    <t>546 - TEOTITLÁN DEL VALLE</t>
  </si>
  <si>
    <t>0001 - TEOTITLÁN DEL VALLE</t>
  </si>
  <si>
    <t>REHABILITACIÓN DE HOSPITAL INTEGRAL (COMUNITARIO) EN LA LOCALIDAD DE SANTIAGO TAMAZOLA</t>
  </si>
  <si>
    <t>484 - SANTIAGO TAMAZOLA</t>
  </si>
  <si>
    <t>0001 - SANTIAGO TAMAZOLA</t>
  </si>
  <si>
    <t>CONSTRUCCIÓN DE AULAS EN TELESECUNDARIA CON CLAVE ESCOLAR: 20DTV1876Y, EN LA LOCALIDAD SAN PABLO LACHIRIEGA, MUNICIPIO SAN PEDRO QUIATONI</t>
  </si>
  <si>
    <t>325 - SAN PEDRO QUIATONI</t>
  </si>
  <si>
    <t>0038 - SAN PABLO LACHIRIEGA</t>
  </si>
  <si>
    <t>MANTENIMIENTO DE HOSPITAL GENERAL EN LA LOCALIDAD DE SALINA CRUZ</t>
  </si>
  <si>
    <t>REHABILITACIÓN DE VIVIENDA PARA EL MEJORAMIENTO DE LA VIVIENDA, EN LA LOCALIDAD SAN JOSÉ RÍO MANZO, MUNICIPIO SAN JUAN LALANA.</t>
  </si>
  <si>
    <t>205 - SAN JUAN LALANA</t>
  </si>
  <si>
    <t>0018 - SAN JOSÉ RÍO MANZO</t>
  </si>
  <si>
    <t> -95.877652</t>
  </si>
  <si>
    <t> -95.875609</t>
  </si>
  <si>
    <t> -95.879792</t>
  </si>
  <si>
    <t>REHABILITACIÓN DE VIVIENDA PARA EL MEJORAMIENTO DE LA VIVIENDA, EN LA LOCALIDAD EL ALACRÁN, MUNICIPIO SANTIAGO PINOTEPA NACIONAL.</t>
  </si>
  <si>
    <t>0002 - EL ALACRÁN</t>
  </si>
  <si>
    <t>REHABILITACIÓN DE VIVIENDA PARA EL MEJORAMIENTO DE LA VIVIENDA, EN LA LOCALIDAD LA LAGUNA GUADALUPE, MUNICIPIO PUTLA VILLA DE GUERRERO.</t>
  </si>
  <si>
    <t>0025 - LA LAGUNA GUADALUPE</t>
  </si>
  <si>
    <t xml:space="preserve"> -97.851610</t>
  </si>
  <si>
    <t>REHABILITACIÓN DE VIVIENDA PARA EL MEJORAMIENTO DE LA VIVIENDA, EN LA LOCALIDAD LO DE MEJÍA, MUNICIPIO SANTIAGO PINOTEPA NACIONAL.</t>
  </si>
  <si>
    <t>0018 - LO DE MEJÍA</t>
  </si>
  <si>
    <t>REHABILITACIÓN DE VIVIENDA PARA EL MEJORAMIENTO DE LA VIVIENDA, EN LA LOCALIDAD CHEPILME, MUNICIPIO SAN PEDRO POCHUTLA.</t>
  </si>
  <si>
    <t>0011 - CHEPILME</t>
  </si>
  <si>
    <t> -96.435111</t>
  </si>
  <si>
    <t> -96.432301</t>
  </si>
  <si>
    <t> -96.431044</t>
  </si>
  <si>
    <t>REHABILITACIÓN DE VIVIENDA PARA EL MEJORAMIENTO DE LA VIVIENDA, EN LA LOCALIDAD BENITO JUÁREZ, MUNICIPIO SAN PEDRO POCHUTLA.</t>
  </si>
  <si>
    <t>0223 - BENITO JUÁREZ</t>
  </si>
  <si>
    <t> -96.3227335</t>
  </si>
  <si>
    <t>REHABILITACIÓN DE VIVIENDA PARA EL MEJORAMIENTO DE LA VIVIENDA, EN LA LOCALIDAD SANTA ELENA COMALTEPEC, MUNICIPIO SANTIAGO JAMILTEPEC.</t>
  </si>
  <si>
    <t>467 - SANTIAGO JAMILTEPEC</t>
  </si>
  <si>
    <t>0021 - SANTA ELENA COMALTEPEC</t>
  </si>
  <si>
    <t> -97.7999518</t>
  </si>
  <si>
    <t> -97.7976463</t>
  </si>
  <si>
    <t>REHABILITACIÓN DE VIVIENDA PARA EL MEJORAMIENTO DE LA VIVIENDA, EN LA LOCALIDAD CRUCECITA, MUNICIPIO SANTA MARÍA HUATULCO.</t>
  </si>
  <si>
    <t>REHABILITACIÓN DE VIVIENDA PARA EL MEJORAMIENTO DE LA VIVIENDA, EN LA LOCALIDAD MANCUERNAS, MUNICIPIO SANTIAGO PINOTEPA NACIONAL.</t>
  </si>
  <si>
    <t>0021 - MANCUERNAS</t>
  </si>
  <si>
    <t> -98.109380</t>
  </si>
  <si>
    <t> -98.112182</t>
  </si>
  <si>
    <t>REHABILITACIÓN DE VIVIENDA PARA EL MEJORAMIENTO DE LA VIVIENDA, EN LA LOCALIDAD RÍO CHIQUITO, MUNICIPIO SANTIAGO JOCOTEPEC.</t>
  </si>
  <si>
    <t>0015 - RÍO CHIQUITO</t>
  </si>
  <si>
    <t> -95.940058</t>
  </si>
  <si>
    <t> -95.935096</t>
  </si>
  <si>
    <t>EQUIPAMIENTO A SUBCOMITÉS MUNICIPALES DE ATENCIÓN A POBLACIÓN EN CONDICIONES DE EMERGENCIA (PUEBLO SOLIDARIO)</t>
  </si>
  <si>
    <t>EQUIPAMIENTO PARA EL FORTALECIMIENTO DE LA INFRAESTRUCTURA EN SALUD, JURISDICCIÓN SANITARIA NO. 1 VALLES CENTRALES</t>
  </si>
  <si>
    <t>EQUIPAMIENTO PARA EL FORTALECIMIENTO DE LA INFRAESTRUCTURA EN SALUD, JURISDICCIÓN SANITARIA NO. 2 ISTMO</t>
  </si>
  <si>
    <t>EQUIPAMIENTO PARA EL FORTALECIMIENTO DE LA INFRAESTRUCTURA EN SALUD, JURISDICCIÓN SANITARIA NO. 3 TUXTEPEC</t>
  </si>
  <si>
    <t>EQUIPAMIENTO PARA EL FORTALECIMIENTO DE LA INFRAESTRUCTURA EN SALUD, JURISDICCIÓN SANITARIA NO. 4 COSTA</t>
  </si>
  <si>
    <t>EQUIPAMIENTO PARA EL FORTALECIMIENTO DE LA INFRAESTRUCTURA EN SALUD, JURISDICCIÓN SANITARIA NO. 5 MIXTECA</t>
  </si>
  <si>
    <t>EQUIPAMIENTO PARA EL FORTALECIMIENTO DE LA INFRAESTRUCTURA EN SALUD, JURISDICCIÓN SANITARIA NO. 6 SIERRA</t>
  </si>
  <si>
    <t>REHABILITACIÓN DE CENTRO DE SALUD URBANO DE 01 NÚCLEO BÁSICO EN LA LOCALIDAD DE JUCHITÁN DE ZARAGOZA (COLONIA SÉPTIMA SECCIÓN)</t>
  </si>
  <si>
    <t>REHABILITACIÓN DE HOSPITAL GENERAL EN LA LOCALIDAD DE HEROICA CIUDAD DE HUAJUAPAN DE LEÓN</t>
  </si>
  <si>
    <t>EQUIPAMIENTO DEL CENTRO ESTATAL DE ONCOLOGÍA Y RADIOTERAPIA, EN LA LOCALIDAD DE OAXACA DE JUÁREZ</t>
  </si>
  <si>
    <t>CONSTRUCCIÓN DE LA CARRETERA CON CONCRETO HIDRÁULICO DE CHIQUIHUITLÁN DE BENITO JUÁREZ - LA CONCEPCIÓN, TRAMO DEL KM 0+000 AL KM 7+500, SUBTRAMO DEL KM 1+100 AL KM 1+720, EN EL MUNICIPIO DE CHIQUIHUITLÁN DE BENITO JUÁREZ</t>
  </si>
  <si>
    <t>027 - CHIQUIHUITLÁN DE BENITO JUÁREZ</t>
  </si>
  <si>
    <t>0001 - CHIQUIHUITLÁN DE BENITO JUÁREZ</t>
  </si>
  <si>
    <t>CONSTRUCCIÓN DE PISO FIRME PARA EL MEJORAMIENTO DE LA VIVIENDA, EN LA LOCALIDAD MODELO ALTA LUZ, MUNICIPIO PLUMA HIDALGO.</t>
  </si>
  <si>
    <t>0103 - MODELO ALTA LUZ</t>
  </si>
  <si>
    <t>CONSTRUCCIÓN DE CUARTO DORMITORIO PARA EL MEJORAMIENTO DE LA VIVIENDA, EN LA LOCALIDAD EL CERRO DE LAS HUERTAS, MUNICIPIO HEROICA CIUDAD EJUTLA DE CRESPO.</t>
  </si>
  <si>
    <t>CONSTRUCCIÓN DE PISO FIRME PARA EL MEJORAMIENTO DE LA VIVIENDA, EN LA LOCALIDAD SAN VICENTE YOGODOY, MUNICIPIO SAN AGUSTÍN LOXICHA.</t>
  </si>
  <si>
    <t>0015 - SAN VICENTE YOGODOY</t>
  </si>
  <si>
    <t>CONSTRUCCIÓN DE PISO FIRME PARA EL MEJORAMIENTO DE LA VIVIENDA, EN LA LOCALIDAD CERRO CANTOR, MUNICIPIO SAN AGUSTÍN LOXICHA.</t>
  </si>
  <si>
    <t>0004 - CERRO CANTOR</t>
  </si>
  <si>
    <t>CONSTRUCCIÓN DE PISO FIRME PARA EL MEJORAMIENTO DE LA VIVIENDA, EN LA LOCALIDAD LA CONCHUDA, MUNICIPIO SAN AGUSTÍN LOXICHA.</t>
  </si>
  <si>
    <t>0005 - LA CONCHUDA</t>
  </si>
  <si>
    <t>CONSTRUCCIÓN DE PISO FIRME PARA EL MEJORAMIENTO DE LA VIVIENDA, EN LA LOCALIDAD SANTA CRUZ DE LAS FLORES, MUNICIPIO SAN AGUSTÍN LOXICHA.</t>
  </si>
  <si>
    <t>0014 - SANTA CRUZ DE LAS FLORES</t>
  </si>
  <si>
    <t>CONSTRUCCIÓN DE PISO FIRME PARA EL MEJORAMIENTO DE LA VIVIENDA, EN LA LOCALIDAD EL PORTILLO [BARRIO], MUNICIPIO SAN AGUSTÍN LOXICHA.</t>
  </si>
  <si>
    <t>0040 - EL PORTILLO [BARRIO]</t>
  </si>
  <si>
    <t>CONSTRUCCIÓN DE PISO FIRME PARA EL MEJORAMIENTO DE LA VIVIENDA, EN LA LOCALIDAD LOMA BONITA LOXICHA, MUNICIPIO SAN AGUSTÍN LOXICHA.</t>
  </si>
  <si>
    <t>0028 - LOMA BONITA LOXICHA</t>
  </si>
  <si>
    <t>CONSTRUCCIÓN DE PISO FIRME PARA EL MEJORAMIENTO DE LA VIVIENDA, EN LA LOCALIDAD JUQUILITA, MUNICIPIO SAN AGUSTÍN LOXICHA.</t>
  </si>
  <si>
    <t>0027 - JUQUILITA</t>
  </si>
  <si>
    <t>CONSTRUCCIÓN DE PISO FIRME PARA EL MEJORAMIENTO DE LA VIVIENDA, EN LA LOCALIDAD TIERRA BLANCA SAN VICENTE, MUNICIPIO SAN AGUSTÍN LOXICHA.</t>
  </si>
  <si>
    <t>0033 - TIERRA BLANCA SAN VICENTE</t>
  </si>
  <si>
    <t>CONSTRUCCIÓN DE PISO FIRME PARA EL MEJORAMIENTO DE LA VIVIENDA, EN LA LOCALIDAD SAN AGUSTÍN LOXICHA, MUNICIPIO SAN AGUSTÍN LOXICHA.</t>
  </si>
  <si>
    <t>0001 - SAN AGUSTÍN LOXICHA</t>
  </si>
  <si>
    <t>CONSTRUCCIÓN DE PISO FIRME PARA EL MEJORAMIENTO DE LA VIVIENDA, EN LA LOCALIDAD CHILAPA, MUNICIPIO SAN AGUSTÍN LOXICHA.</t>
  </si>
  <si>
    <t>0006 - CHILAPA</t>
  </si>
  <si>
    <t>CONSTRUCCIÓN DE PISO FIRME PARA EL MEJORAMIENTO DE LA VIVIENDA, EN LA LOCALIDAD SANTA CRUZ LOXICHA, MUNICIPIO SAN AGUSTÍN LOXICHA.</t>
  </si>
  <si>
    <t>0013 - SANTA CRUZ LOXICHA</t>
  </si>
  <si>
    <t>CONSTRUCCIÓN DE CUARTO DORMITORIO PARA EL MEJORAMIENTO DE LA VIVIENDA, EN LA LOCALIDAD SAN JUAN DEL RÍO, MUNICIPIO MAGDALENA PEÑASCO.</t>
  </si>
  <si>
    <t>050 - MAGDALENA PEÑASCO</t>
  </si>
  <si>
    <t>0014 - SAN JUAN DEL RÍO</t>
  </si>
  <si>
    <t>CONSTRUCCIÓN DE TECHO FIRME PARA EL MEJORAMIENTO DE LA VIVIENDA, EN LA LOCALIDAD EL CERRO DE LAS HUERTAS, MUNICIPIO HEROICA CIUDAD DE EJUTLA DE CRESPO.</t>
  </si>
  <si>
    <t>CONSTRUCCIÓN DE TECHO FIRME PARA EL MEJORAMIENTO DE LA VIVIENDA, EN LA LOCALIDAD SANTA MARTA CHICHIHUALTEPEC, MUNICIPIO HEROICA CIUDAD DE EJUTLA DE CRESPO.</t>
  </si>
  <si>
    <t> -96.77114090674593</t>
  </si>
  <si>
    <t>CONSTRUCCIÓN DE PISO FIRME PARA EL MEJORAMIENTO DE LA VIVIENDA, EN LA LOCALIDAD SAN AGUSTÍN ATENANGO, MUNICIPIO SAN AGUSTÍN ATENANGO.</t>
  </si>
  <si>
    <t>CONSTRUCCIÓN DE PISO FIRME PARA EL MEJORAMIENTO DE LA VIVIENDA, EN LA LOCALIDAD SANTA CRUZ MITLATONGO, MUNICIPIO MAGDALENA JALTEPEC.</t>
  </si>
  <si>
    <t>046 - MAGDALENA JALTEPEC</t>
  </si>
  <si>
    <t>0008 - SANTA CRUZ MITLATONGO</t>
  </si>
  <si>
    <t>CONSTRUCCIÓN DE TECHO FIRME PARA EL MEJORAMIENTO DE LA VIVIENDA, EN LA LOCALIDAD LA COMPAÑÍA, MUNICIPIO LA COMPAÑÍA.</t>
  </si>
  <si>
    <t>017 - LA COMPAÑÍA</t>
  </si>
  <si>
    <t>0001 - LA COMPAÑÍA</t>
  </si>
  <si>
    <t>CONSTRUCCIÓN DE TECHO FIRME PARA EL MEJORAMIENTO DE LA VIVIENDA, EN LA LOCALIDAD SAN JUAN COATECAS BAJAS, MUNICIPIO HEROICA CIUDAD DE EJUTLA DE CRESPO.</t>
  </si>
  <si>
    <t>0015 - SAN JUAN COATECAS BAJAS</t>
  </si>
  <si>
    <t>AMPLIACIÓN DE LA RED DE DRENAJE SANITARIO "CALLE SIN ASIGNACIÓN DE NOMBRE - AV. UNIVERSIDAD" EN LA LOCALIDAD OAXACA DE JUÁREZ, MUNICIPIO OAXACA DE JUÁREZ</t>
  </si>
  <si>
    <t>CONSTRUCCIÓN DE BARDA PERIMETRAL EN COBAO NÚM. 11 CON CLAVE ESCOLAR: 20ECB0011K, EN LA LOCALIDAD DE HEROICA CIUDAD DE EJUTLA DE CRESPO, MUNICIPIO HEROICA CIUDAD DE EJUTLA DE CRESPO</t>
  </si>
  <si>
    <t>CONSTRUCCIÓN DE SANITARIOS EN COBAO NÚM. 32 CON CLAVE ESCOLAR: 20ECB0032X, EN LA LOCALIDAD DE CUILAPAM DE GUERRERO, MUNICIPIO CUILAPAM DE GUERRERO</t>
  </si>
  <si>
    <t>CONSTRUCCIÓN DE AULA EN ESCUELA PRIMARIA "GREGORIO TORRES QUINTERO" CON CLAVE ESCOLAR: 20DPR3513D, EN LA LOCALIDAD DE ASUNCIÓN NOCHIXTLÁN, MUNICIPIO DE ASUNCIÓN NOCHIXTLÁN.</t>
  </si>
  <si>
    <t>CONSTRUCCIÓN DE TECHADO EN ÁREA DE IMPARTICIÓN DE EDUCACIÓN FÍSICA EN ESCUELA PRIMARIA "MIGUEL HIDALGO" CON CLAVE ESCOLAR: 20DPB1434C, EN LA LOCALIDAD DE LLANO DE AGUACATE, MUNICIPIO DE PUTLA VILLA DE GUERRERO</t>
  </si>
  <si>
    <t>0124 - LLANO DE AGUACATE</t>
  </si>
  <si>
    <t>CONSTRUCCIÓN DE AULA EN ESCUELA PRIMARIA " COSIJOEZA" CON  CLAVE ESCOLAR: 20DPB1100P, EN LA LOCALIDAD LA VENTA, MUNICIPIO SAN ANDRÉS PAXTLÁN</t>
  </si>
  <si>
    <t>095 - SAN ANDRÉS PAXTLÁN</t>
  </si>
  <si>
    <t>0005 - LA VENTA</t>
  </si>
  <si>
    <t>EQUIPAMIENTO DE 3 POZOS PROFUNDOS DE AGUA POTABLE EN LA LOCALIDAD DE OAXACA DE JUAREZ, MUNICIPIO DE OAXACA DE JUAREZ</t>
  </si>
  <si>
    <t>REHABILITACION DEL SISTEMA DE AGUA POTABLE EN CALLE SIN NOMBRE, TRAMO CALLE VILLA DEL MAR - CALZADA VALERIO TRUJANO, LOCALIDAD OAXACA DE JUAREZ, MUNICIPIO OAXACA DE JUAREZ</t>
  </si>
  <si>
    <t>REHABILITACION DE DRENAJE SANITARIO EN LAS CALLES DE CAMINO NACIONAL- LUIS ECHEVERRIA, LOCALIDAD OAXACA DE JUAREZ, MUNICIPIO DE OAXACA DE JUAREZ</t>
  </si>
  <si>
    <t>REHABILITACION DEL DRENAJE SANITARIO EN LA COLONIA VICENTE SUAREZ, LOCALIDAD OAXACA DE JUAREZ, MUNICIPIO DE OAXACA DE JUAREZ</t>
  </si>
  <si>
    <t>MANTENIMIENTO Y ADECUACIÓN DEL EDIFICIO DE HERBARIO EN LA UNIVERSIDAD DE LA SIERRA JUÁREZ</t>
  </si>
  <si>
    <t>IGU - INFRAESTRUCTURA GUBERNAMENTAL</t>
  </si>
  <si>
    <t>EQUIPAMIENTO DE HERBARIO EN LA UNIVERSIDAD DE LA SIERRA JUÁREZ</t>
  </si>
  <si>
    <t>MANTENIMIENTO DE EQUIPOS DE LABORATORIO EN LA UNIVERSIDAD DE LA SIERRA JUÁREZ</t>
  </si>
  <si>
    <t>MANTENIMIENTO A INFRAESTRUCTURA DE LA UNIVERSIDAD DE LA SIERRA JUÁREZ</t>
  </si>
  <si>
    <t>SUMINISTRO DE MATERIALES EN LA UNIVERSIDAD DE LA SIERRA JUÁREZ</t>
  </si>
  <si>
    <t>CONSTRUCCIÓN DE CENTRO DE SENSIBILIZACIÓN Y CULTURA AMBIENTAL PARA LA GESTIÓN SUSTENTABLE EN LA UNIVERSIDAD DE LA SIERRA JUÁREZ</t>
  </si>
  <si>
    <t>EQUIPAMIENTO DEL CENTRO DE SENSIBILIZACIÓN Y CULTURA AMBIENTAL PARA LA GESTIÓN SUSTENTABLE EN LA UNIVERSIDAD DE LA SIERRA JUÁREZ</t>
  </si>
  <si>
    <t>MANTENIMIENTO DE LA PLANTA DE TRATAMIENTO DE AGUAS RESIDUALES EN LA UNIVERSIDAD DE LA SIERRA JUÁREZ</t>
  </si>
  <si>
    <t>REHABILITACIÓN DE HOSPITAL INTEGRAL (COMUNITARIO) EN LA LOCALIDAD DE RIO GRANDE O PIEDRA PARADA</t>
  </si>
  <si>
    <t>REHABILITACIÓN DE HOSPITAL INTEGRAL (COMUNITARIO) EN LA LOCALIDAD DE SANTOS REYES NOPALA</t>
  </si>
  <si>
    <t>0001 - SANTOS REYES NOPALA</t>
  </si>
  <si>
    <t>REHABILITACIÓN DE CENTRO DE SALUD URBANO DE 02 NÚCLEOS BÁSICOS EN LA LOCALIDAD DE SANTIAGO ZACATEPEC</t>
  </si>
  <si>
    <t>502 - SANTIAGO ZACATEPEC</t>
  </si>
  <si>
    <t>0001 - SANTIAGO ZACATEPEC</t>
  </si>
  <si>
    <t>REHABILITACIÓN DE LA JURISDICCIÓN SANITARIA NO. 6 SIERRA</t>
  </si>
  <si>
    <t>CONTRALORIA SOCIAL DE LA REPOSICIÓN DE POZO PROFUNDO PARA AGUA POTABLE UNIVERSIDAD (ETAPA ÚNICA)</t>
  </si>
  <si>
    <t>CONTRALORIA SOCIAL DE LA REHABILITACIÓN DE LA LÍNEA DE CONDUCCIÓN DEL CÁRCAMO HIDALGO AL TANQUE DE ALMACENAMIENTO DEL SECTOR HIDALGO, EN LA AVENIDA OAXACA DE LA COLONIA MIGUEL HIDALGO Y EN AVENIDA MONTE ALBÁN DE LA COLONIA PRESIDENTE JUAREZ (ETAPA ÚNICA)</t>
  </si>
  <si>
    <t>CONTRALORIA SOCIAL DE LA REPOSICIÓN DE POZO PROFUNDO PARA AGUA POTABLE PALMAS (ETAPA ÚNICA)</t>
  </si>
  <si>
    <t>CONTRALORIA SOCIAL DE LA REPOSICIÓN DE POZO PROFUNDO PARA AGUA POTABLE SAUCES (ETAPA ÚNICA)</t>
  </si>
  <si>
    <t>CONTRALORIA SOCIAL DE LA PERFORACIÓN Y EQUIPAMIENTO ELECTROMECÁNICO DE POZO PROFUNDO PARA AGUA POTABLE LAS TORRES E INTERCONEXIÓN A SISTEMA CÁRCAMO-TECNOLÓGICO (ETAPA ÚNICA)</t>
  </si>
  <si>
    <t>CONTRALORIA SOCIAL DE LA CONSTRUCCIÓN DE INTERCONEXIÓN DE LA LÍNEA DE CONDUCCIÓN DEL SECTOR RIO BLANCO EN LAS CALLES RIO PAPALOAPAM-MARTIRES DE RIO BLANCO-PIRINEOS EN LA COLONIA AURORA (ETAPA ÚNICA)</t>
  </si>
  <si>
    <t>CONTRALORIA SOCIAL DE LA CONSTRUCCIÓN DE INTERCONEXIONES DE LA LÍNEA DE CONDUCCIÓN EN LOS TRAMOS DE LAS CALLES DIODORO C. - VALERIO TRUJANO Y CARRETERA A MONTE ALBÁN - AVENIDA MEXICAPAN (ETAPA ÚNICA)</t>
  </si>
  <si>
    <t>REHABILITACIÓN DE HOSPITAL INTEGRAL (COMUNITARIO) EN LA LOCALIDAD DE SAN PEDRO TAPANATEPEC</t>
  </si>
  <si>
    <t>CONSTRUCCIÓN DE SANITARIOS EN TELESECUNDARIA CON CLAVE ESCOLAR: 20DTV0694I, EN LA LOCALIDAD SAN LUCAS QUIAVINÍ, MUNICIPIO SAN LUCAS QUIAVINÍ</t>
  </si>
  <si>
    <t>233 - SAN LUCAS QUIAVINÍ</t>
  </si>
  <si>
    <t>0001 - SAN LUCAS QUIAVINÍ</t>
  </si>
  <si>
    <t>MEJORAMIENTO DE HOSPITAL GENERAL DR. MACEDONIO BENÍTEZ FUENTES EN LA LOCALIDAD DE JUCHITAN DE ZARAGOZA (RAMPA DE EMERGENCIA)</t>
  </si>
  <si>
    <t>CONSTRUCCIÓN DE TECHADO EN ÁREA DE IMPARTICIÓN DE EDUCACIÓN FÍSICA EN ESCUELA TELESECUNDARIA CON CLAVE ESCOLAR: 20DTV1296R, EN LA LOCALIDAD SAN NICOLÁS HIDALGO, MUNICIPIO SAN NICOLÁS HIDALGO.</t>
  </si>
  <si>
    <t>290 - SAN NICOLÁS HIDALGO</t>
  </si>
  <si>
    <t>0001 - SAN NICOLÁS HIDALGO</t>
  </si>
  <si>
    <t>CONSTRUCCIÓN DE SANITARIOS EN PRIMARIA "ATONALTZIN" CON CLAVE ESCOLAR: 20DPR0599F, EN LA LOCALIDAD SAN JUAN BAUTISTA COIXTLAHUACA, MUNICIPIO SAN JUAN BAUTISTA COIXTLAHUACA</t>
  </si>
  <si>
    <t>CONSTRUCCIÓN DE CANCHA DEPORTIVA EN JARDÍN DE NIÑOS "GABRIELA MISTRAL" CON CLAVE ESCOLAR: 20DJN0263D, EN LA LOCALIDAD SANTIAGO TAPEXTLA, MUNICIPIO SANTIAGO TAPEXTLA</t>
  </si>
  <si>
    <t>485 - SANTIAGO TAPEXTLA</t>
  </si>
  <si>
    <t>0001 - SANTIAGO TAPEXTLA</t>
  </si>
  <si>
    <t>CONSTRUCCIÓN DE DOS AULAS EN ESCUELA PRIMARIA "BENITO JUÁREZ" CON CLAVE ESCOLAR: 20DPR0906W, EN LA LOCALIDAD SAN NICOLÁS HIDALGO, MUNICIPIO SAN NICOLÁS HIDALGO</t>
  </si>
  <si>
    <t>CONSTRUCCIÓN DE PISO FIRME PARA EL MEJORAMIENTO DE LA VIVIENDA, EN LA LOCALIDAD SAN ANDRÉS TEOTILÁLPAM, MUNICIPIO SAN ANDRÉS TEOTILÁLPAM.</t>
  </si>
  <si>
    <t>098 - SAN ANDRÉS TEOTILÁLPAM</t>
  </si>
  <si>
    <t>0001 - SAN ANDRÉS TEOTILÁLPAM</t>
  </si>
  <si>
    <t>CONSTRUCCIÓN DE SANITARIO CON BIODIGESTOR PARA EL MEJORAMIENTO DE LA VIVIENDA, EN LA LOCALIDAD SAN BARTOLOMÉ QUIALANA, MUNICIPIO SAN BARTOLOMÉ QUIALANA.</t>
  </si>
  <si>
    <t>118 - SAN BARTOLOMÉ QUIALANA</t>
  </si>
  <si>
    <t>0001 - SAN BARTOLOMÉ QUIALANA</t>
  </si>
  <si>
    <t>CONSTRUCCIÓN DE PISO FIRME PARA EL MEJORAMIENTO DE LA VIVIENDA, EN LA LOCALIDAD SAN CRISTÓBAL LACHIRIOAG, MUNICIPIO SAN CRISTÓBAL LACHIRIOAG.</t>
  </si>
  <si>
    <t>128 - SAN CRISTÓBAL LACHIRIOAG</t>
  </si>
  <si>
    <t>0001 - SAN CRISTÓBAL LACHIRIOAG</t>
  </si>
  <si>
    <t> -96.16437371483539</t>
  </si>
  <si>
    <t> -96.16645174049279</t>
  </si>
  <si>
    <t> -96.16546064833362</t>
  </si>
  <si>
    <t>CONSTRUCCIÓN DE TECHO FIRME PARA EL MEJORAMIENTO DE LA VIVIENDA, EN LA LOCALIDAD SAN DIONISIO OCOTEPEC, MUNICIPIO SAN DIONISIO OCOTEPEC.</t>
  </si>
  <si>
    <t>131 - SAN DIONISIO OCOTEPEC</t>
  </si>
  <si>
    <t>0001 - SAN DIONISIO OCOTEPEC</t>
  </si>
  <si>
    <t>CONSTRUCCIÓN DE PISO FIRME PARA EL MEJORAMIENTO DE LA VIVIENDA, EN LA LOCALIDAD SAN BARTOLOMÉ AYAUTLA, MUNICIPIO SAN BARTOLOMÉ AYAUTLA.</t>
  </si>
  <si>
    <t>116 - SAN BARTOLOMÉ AYAUTLA</t>
  </si>
  <si>
    <t>0001 - SAN BARTOLOMÉ AYAUTLA</t>
  </si>
  <si>
    <t>CONSTRUCCIÓN DE PISO FIRME PARA EL MEJORAMIENTO DE LA VIVIENDA, EN LA LOCALIDAD LA PASIONARIA, MUNICIPIO PLUMA HIDALGO.</t>
  </si>
  <si>
    <t>0046 - LA PASIONARIA</t>
  </si>
  <si>
    <t>CONSTRUCCIÓN DE TECHO FIRME PARA EL MEJORAMIENTO DE LA VIVIENDA, EN LA LOCALIDAD UNIÓN Y PROGRESO, MUNICIPIO SAN CRISTÓBAL AMOLTEPEC.</t>
  </si>
  <si>
    <t>127 - SAN CRISTÓBAL AMOLTEPEC</t>
  </si>
  <si>
    <t>0005 - UNIÓN Y PROGRESO</t>
  </si>
  <si>
    <t>CONSTRUCCIÓN DE TECHO FIRME PARA EL MEJORAMIENTO DE LA VIVIENDA, EN LA LOCALIDAD LA CONCEPCIÓN, MUNICIPIO CHIQUIHUITLÁN DE BENITO JUÁREZ.</t>
  </si>
  <si>
    <t>0003 - LA CONCEPCIÓN</t>
  </si>
  <si>
    <t>CONSTRUCCIÓN DE TECHADO EN ÁREA DE IMPARTICIÓN DE EDUCACIÓN FÍSICA EN BIC NÚM. 06 CON CLAVE ESCOLAR: 20EBD0006Y, EN LA LOCALIDAD SAN CRISTÓBAL LACHIRIOAG, MUNICIPIO SAN CRISTÓBAL LACHIRIOAG.</t>
  </si>
  <si>
    <t>CONSTRUCCIÓN DE AULA EN ESCUELA PRIMARIA "LEONA VICARIO" CON CLAVE ESCOLAR: 20DPR2706L, EN LA LOCALIDAD SAN FRANCISCO DEL MAR, MUNICIPIO SAN FRANCISCO DEL MAR.</t>
  </si>
  <si>
    <t>141 - SAN FRANCISCO DEL MAR</t>
  </si>
  <si>
    <t>0036 - SAN FRANCISCO DEL MAR</t>
  </si>
  <si>
    <t>CONSTRUCCIÓN DE BARDA PERIMETRAL EN ESCUELA PRIMARIA "HÉROES DE CHAPULTEPEC" CON CLAVE ESCOLAR: 20DPR0443E, EN LA LOCALIDAD SAN ANTONINO CASTILLO VELASCO, MUNICIPIO SAN ANTONINO CASTILLO VELASCO.</t>
  </si>
  <si>
    <t>REHABILITACIÓN DE AULAS EN ESCUELA SECUNDARIA TÉCNICA NÚM. 203 CON CLAVE ESCOLAR: 20DST0220H, EN LA LOCALIDAD SAN CRISTÓBAL LACHIRIOAG, MUNICIPIO SAN CRISTÓBAL LACHIRIOAG</t>
  </si>
  <si>
    <t>AMPLIACIÓN DE CENTRO DE SALUD URBANO DE 01 NÚCLEO BÁSICO EN LA LOCALIDAD DE MAGDALENA APASCO</t>
  </si>
  <si>
    <t>045 - MAGDALENA APASCO</t>
  </si>
  <si>
    <t>0001 - MAGDALENA APASCO</t>
  </si>
  <si>
    <t>OBTENCIÓN DE PERMISOS AMBIENTALES PARA LA CONSTRUCCIÓN DEL CENTRO INTEGRAL DE REVALORIZACIÓN DE RESIDUOS SÓLIDOS URBANOS (CIRRSU)</t>
  </si>
  <si>
    <t>98 - COBERTURA REGIONAL VALLES CENTRALES</t>
  </si>
  <si>
    <t>998 - COBERTURA REGIONAL VALLES CENTRALES</t>
  </si>
  <si>
    <t>9999 - COBERTURA REGIONAL VALLES CENTRALES</t>
  </si>
  <si>
    <t>FESTIVAL DE LAS AVES OAXACA: NUESTRO TESORO NACIONAL</t>
  </si>
  <si>
    <t>CAPITAL SEMILLA COPPEL EMPRENDE 2024, EN EL ESTADO DE OAXACA.</t>
  </si>
  <si>
    <t>TRABAJOS DE IMPERMEABILIZACIÓN EN LOS EDIFICIOS DE LA FACULTAD DE CONTADURÍA Y ADMINISTRACIÓN</t>
  </si>
  <si>
    <t>CONSTRUCCIÓN DE CANCHA DEPORTIVA EN PRIMARIA "VICENTE GUERRERO" CON CLAVE ESCOLAR: 20DPR3543Y, EN LA LOCALIDAD PUERTO GRANDE, MUNICIPIO SAN FRANCISCO DEL MAR</t>
  </si>
  <si>
    <t>0106 - PUERTO GRANDE</t>
  </si>
  <si>
    <t>CONSTRUCCIÓN DE SANITARIOS EN TELESECUNDARIA CON CLAVE ESCOLAR: 20DTV0731W, EN LA LOCALIDAD EL ZAPOTE, MUNICIPIO SAN MIGUEL TLACAMAMA</t>
  </si>
  <si>
    <t>285 - SAN MIGUEL TLACAMAMA</t>
  </si>
  <si>
    <t>0005 - EL ZAPOTE</t>
  </si>
  <si>
    <t>CONSTRUCCIÓN DE SANITARIOS EN JARDÍN DE NIÑOS RURAL "FRANCISCO GONZÁLEZ BOCANEGRA" CON CLAVE ESCOLAR: 20DJN1291G, EN LA LOCALIDAD DE LA CAÑADA DEL MARQUÉS, MUNICIPIO DE SAN MIGUEL TLACAMAMA.</t>
  </si>
  <si>
    <t>0002 - LA CAÑADA DEL MARQUÉS</t>
  </si>
  <si>
    <t>EQUIPAMIENTO A PROCURADURIAS MUNICIPALES DE PROTECCIÓN DE DERECHOS DE NIÑAS, NIÑOS Y ADOLESCENTES (YO TE CUIDO)</t>
  </si>
  <si>
    <t>FORTALECIMIENTO DE LA PROCURADURIA ESTATAL DE PROTECCIÓN DE LOS DERECHOS DE NIÑAS, NIÑOS Y ADOLESCENTES DEL ESTADO DE OAXACA (MIS DERECHOS SE DEFIENDEN)</t>
  </si>
  <si>
    <t>0000 - COBERTURA MUNICIPAL OAXACA DE JUÁREZ</t>
  </si>
  <si>
    <t>CONSTRUCCIÓN DE PAVIMENTO A BASE DE CONCRETO HIDRÁULICO DE LA CALLE CAMINO AL PANTEÓN EN LA LOCALIDAD DE SANTA MARIA LAGUICHE, MUNICIPIO DE SAN MIGUEL YOTAO</t>
  </si>
  <si>
    <t>288 - SAN MIGUEL YOTAO</t>
  </si>
  <si>
    <t>0002 - SANTA MARÍA LAGUICHE</t>
  </si>
  <si>
    <t>AMPLIACION DEL ALUMBRADO PUBLICO EN VARIAS CALLES DE LA LOCALIDAD DE SAN MELCHOR BETAZA DEL MUNICIPIO DE SAN MELCHOR BETAZA</t>
  </si>
  <si>
    <t>257 - SAN MELCHOR BETAZA</t>
  </si>
  <si>
    <t>0001 - SAN MELCHOR BETAZA</t>
  </si>
  <si>
    <t>AMPLIACION DE LA RED DE DISTRIBUCION DE ENERGIA ELECTRICA EN VARIAS CALLES DE LA LOCALIDAD DE SAN BARTOLO LACHIXOVA DEL MUNICIPIO DE SAN JUAN COMALTEPEC</t>
  </si>
  <si>
    <t>189 - SAN JUAN COMALTEPEC</t>
  </si>
  <si>
    <t>0002 - SAN BARTOLO LACHIXOVA</t>
  </si>
  <si>
    <t>REHABILITACIÓN DE CANCHA DE FUTBOL SOCCER EN EL CAMPO DEPORTIVO EN LA LOCALIDAD DE SAN MIGUEL EJUTLA, MUNICIPIO DE SAN MIGUEL EJUTLA</t>
  </si>
  <si>
    <t>268 - SAN MIGUEL EJUTLA</t>
  </si>
  <si>
    <t>0001 - SAN MIGUEL EJUTLA</t>
  </si>
  <si>
    <t>CONSTRUCCIÓN DE PISO FIRME PARA EL MEJORAMIENTO DE LA VIVIENDA, EN LA LOCALIDAD SAN JUAN DIUXI, MUNICIPIO SAN JUAN DIUXI.</t>
  </si>
  <si>
    <t>195 - SAN JUAN DIUXI</t>
  </si>
  <si>
    <t>0001 - SAN JUAN DIUXI</t>
  </si>
  <si>
    <t>CONSTRUCCIÓN DE TECHADO EN ESPACIO MULTIDEPORTIVO Y BIENES PÚBLICOS, EN LA LOCALIDAD DE SAN MARTÍN DE LOS CANSECOS, MUNICIPIO DE SAN MARTÍN DE LOS CANSECOS</t>
  </si>
  <si>
    <t>238 - SAN MARTÍN DE LOS CANSECOS</t>
  </si>
  <si>
    <t>0001 - SAN MARTÍN DE LOS CANSECOS</t>
  </si>
  <si>
    <t>CONSTRUCCIÓN DE PISO FIRME PARA EL MEJORAMIENTO DE LA VIVIENDA, EN LA LOCALIDAD EL PISTE, MUNICIPIO SAN PEDRO POCHUTLA.</t>
  </si>
  <si>
    <t>0052 - EL PISTE</t>
  </si>
  <si>
    <t>CONSTRUCCIÓN DE PISO FIRME PARA EL MEJORAMIENTO DE LA VIVIENDA, EN LA LOCALIDAD BARRIO NUEVO TOLTEPEC, MUNICIPIO SAN PEDRO POCHUTLA.</t>
  </si>
  <si>
    <t>0109 - BARRIO NUEVO TOLTEPEC</t>
  </si>
  <si>
    <t>CONSTRUCCIÓN DE PISO FIRME PARA EL MEJORAMIENTO DE LA VIVIENDA, EN LA LOCALIDAD PALMARILLO (PALMARILLO SAN MARTÍN), MUNICIPIO SAN PEDRO POCHUTLA.</t>
  </si>
  <si>
    <t>0087 - PALMARILLO (PALMARILLO SAN MARTÍN)</t>
  </si>
  <si>
    <t>CONSTRUCCIÓN DE PISO FIRME PARA EL MEJORAMIENTO DE LA VIVIENDA, EN LA LOCALIDAD PIEDRA DE LUMBRE, MUNICIPIO SAN PEDRO POCHUTLA.</t>
  </si>
  <si>
    <t>0075 - PIEDRA DE LUMBRE</t>
  </si>
  <si>
    <t>CONSTRUCCIÓN DE PISO FIRME PARA EL MEJORAMIENTO DE LA VIVIENDA, EN LA LOCALIDAD BENITO JUÁREZ, MUNICIPIO SAN PEDRO POCHUTLA.</t>
  </si>
  <si>
    <t>CONSTRUCCIÓN DE PISO FIRME PARA EL MEJORAMIENTO DE LA VIVIENDA, EN LA LOCALIDAD LOS CIRUELOS, MUNICIPIO SAN PEDRO POCHUTLA.</t>
  </si>
  <si>
    <t>0093 - LOS CIRUELOS</t>
  </si>
  <si>
    <t> -96.38900994848085</t>
  </si>
  <si>
    <t>CONSTRUCCIÓN DE PISO FIRME PARA EL MEJORAMIENTO DE LA VIVIENDA, EN LA LOCALIDAD SAN JOSÉ CHACALAPA, MUNICIPIO SAN PEDRO POCHUTLA.</t>
  </si>
  <si>
    <t>0010 - SAN JOSÉ CHACALAPA</t>
  </si>
  <si>
    <t>CONSTRUCCIÓN DE PISO FIRME PARA EL MEJORAMIENTO DE LA VIVIENDA, EN LA LOCALIDAD EL VIGÍA, MUNICIPIO SAN PEDRO POCHUTLA.</t>
  </si>
  <si>
    <t>0082 - EL VIGÍA</t>
  </si>
  <si>
    <t>CONSTRUCCIÓN DE PISO FIRME PARA EL MEJORAMIENTO DE LA VIVIENDA, EN LA LOCALIDAD SAN ISIDRO APANGO, MUNICIPIO SAN PEDRO POCHUTLA.</t>
  </si>
  <si>
    <t>0029 - SAN ISIDRO APANGO</t>
  </si>
  <si>
    <t>CONSTRUCCIÓN DE SANITARIO CON BIODIGESTOR PARA EL MEJORAMIENTO DE LA VIVIENDA, EN LA LOCALIDAD SAN JORGE EL ZAPOTE, MUNICIPIO SAN MIGUEL AMATITLÁN.</t>
  </si>
  <si>
    <t>CONSTRUCCIÓN DE TECHO FIRME PARA EL MEJORAMIENTO DE LA VIVIENDA, EN LA LOCALIDAD EL SÚCHIL, MUNICIPIO SAN LORENZO TEXMELÚCAN.</t>
  </si>
  <si>
    <t>229 - SAN LORENZO TEXMELÚCAN</t>
  </si>
  <si>
    <t>0007 - EL SÚCHIL</t>
  </si>
  <si>
    <t>CONSTRUCCIÓN DE TECHO FIRME PARA EL MEJORAMIENTO DE LA VIVIENDA, EN LA LOCALIDAD LA LUZ, MUNICIPIO VILLA DE TUTUTEPEC.</t>
  </si>
  <si>
    <t>0024 - LA LUZ</t>
  </si>
  <si>
    <t>CONSTRUCCIÓN DE TECHO FIRME PARA EL MEJORAMIENTO DE LA VIVIENDA, EN LA LOCALIDAD VILLA DE TUTUTEPEC, MUNICIPIO VILLA DE TUTUTEPEC.</t>
  </si>
  <si>
    <t>0001 - VILLA DE TUTUTEPEC</t>
  </si>
  <si>
    <t>CONSTRUCCIÓN DE TECHO FIRME PARA EL MEJORAMIENTO DE LA VIVIENDA, EN LA LOCALIDAD SAN JOSÉ MANIALTEPEC, MUNICIPIO VILLA DE TUTUTEPEC.</t>
  </si>
  <si>
    <t>0039 - SAN JOSÉ MANIALTEPEC</t>
  </si>
  <si>
    <t>CONSTRUCCIÓN DE TECHO FIRME PARA EL MEJORAMIENTO DE LA VIVIENDA, EN LA LOCALIDAD SAN JOSÉ DEL PROGRESO, MUNICIPIO VILLA DE TUTUTEPEC.</t>
  </si>
  <si>
    <t>CONSTRUCCIÓN DE TECHO FIRME PARA EL MEJORAMIENTO DE LA VIVIENDA, EN LA LOCALIDAD RÍO GRANDE O PIEDRA PARADA, MUNICIPIO VILLA DE TUTUTEPEC.</t>
  </si>
  <si>
    <t>CONSTRUCCIÓN DE PISO FIRME PARA EL MEJORAMIENTO DE LA VIVIENDA, EN LA LOCALIDAD UNIÓN, MUNICIPIO SAN ILDEFONSO AMATLÁN.</t>
  </si>
  <si>
    <t>154 - SAN ILDEFONSO AMATLÁN</t>
  </si>
  <si>
    <t>0012 - UNIÓN</t>
  </si>
  <si>
    <t>CONSTRUCCIÓN DE PISO FIRME PARA EL MEJORAMIENTO DE LA VIVIENDA, EN LA LOCALIDAD BARRIO SAN ISIDRO, MUNICIPIO SAN ILDEFONSO AMATLÁN.</t>
  </si>
  <si>
    <t>0011 - BARRIO SAN ISIDRO</t>
  </si>
  <si>
    <t>CONSTRUCCIÓN DE PISO FIRME PARA EL MEJORAMIENTO DE LA VIVIENDA, EN LA LOCALIDAD SAN ILDEFONSO AMATLÁN, MUNICIPIO SAN ILDEFONSO AMATLÁN.</t>
  </si>
  <si>
    <t>0001 - SAN ILDEFONSO AMATLÁN</t>
  </si>
  <si>
    <t>CONSTRUCCIÓN DE TECHO FIRME PARA EL MEJORAMIENTO DE LA VIVIENDA, EN LA LOCALIDAD SAN JUAN DIUXI, MUNICIPIO SAN JUAN DIUXI.</t>
  </si>
  <si>
    <t> -97.37592435581972</t>
  </si>
  <si>
    <t> -97.36939324375379</t>
  </si>
  <si>
    <t> -97.3742330463893</t>
  </si>
  <si>
    <t> -97.375139625582</t>
  </si>
  <si>
    <t> -97.3755712331352</t>
  </si>
  <si>
    <t> -97.36598310185242</t>
  </si>
  <si>
    <t> -97.37043143684</t>
  </si>
  <si>
    <t> -97.37828727116394</t>
  </si>
  <si>
    <t> -97.38312636441802</t>
  </si>
  <si>
    <t>CONSTRUCCIÓN DE SANITARIO CON BIODIGESTOR PARA EL MEJORAMIENTO DE LA VIVIENDA, EN LA LOCALIDAD LAS MARGARITAS, MUNICIPIO SAN MIGUEL SOYALTEPEC.</t>
  </si>
  <si>
    <t>CONSTRUCCIÓN DE SANITARIO CON BIODIGESTOR PARA EL MEJORAMIENTO DE LA VIVIENDA, EN LA LOCALIDAD SAN ANTONIO ABAD, MUNICIPIO SAN MIGUEL SOYALTEPEC.</t>
  </si>
  <si>
    <t>CONSTRUCCIÓN DE PISO FIRME PARA EL MEJORAMIENTO DE LA VIVIENDA, EN LA LOCALIDAD CRISTO REY LA SELVA, MUNICIPIO SANTIAGO CAMOTLÁN.</t>
  </si>
  <si>
    <t>457 - SANTIAGO CAMOTLÁN</t>
  </si>
  <si>
    <t>0005 - CRISTO REY LA SELVA</t>
  </si>
  <si>
    <t>CONSTRUCCIÓN DE PISO FIRME PARA EL MEJORAMIENTO DE LA VIVIENDA, EN LA LOCALIDAD SANTIAGO CAMOTLÁN, MUNICIPIO SANTIAGO CAMOTLÁN.</t>
  </si>
  <si>
    <t>0001 - SANTIAGO CAMOTLÁN</t>
  </si>
  <si>
    <t>CONSTRUCCIÓN DE PISO FIRME PARA EL MEJORAMIENTO DE LA VIVIENDA, EN LA LOCALIDAD SAN MIGUEL REAGUÍ, MUNICIPIO SANTIAGO CAMOTLÁN.</t>
  </si>
  <si>
    <t>0009 - SAN MIGUEL REAGUÍ</t>
  </si>
  <si>
    <t>CONSTRUCCIÓN DE PISO FIRME PARA EL MEJORAMIENTO DE LA VIVIENDA, EN LA LOCALIDAD SAN FRANCISCO YOVEGO, MUNICIPIO SANTIAGO CAMOTLÁN.</t>
  </si>
  <si>
    <t>0008 - SAN FRANCISCO YOVEGO</t>
  </si>
  <si>
    <t>CONSTRUCCIÓN DE PISO FIRME PARA EL MEJORAMIENTO DE LA VIVIENDA, EN LA LOCALIDAD ASUNCIÓN LACHIXILA, MUNICIPIO SANTIAGO CAMOTLÁN.</t>
  </si>
  <si>
    <t>0003 - ASUNCIÓN LACHIXILA</t>
  </si>
  <si>
    <t>CONSTRUCCIÓN DE TECHO FIRME PARA EL MEJORAMIENTO DE LA VIVIENDA, EN LA LOCALIDAD SAN ANTONIO YOSOCANI, MUNICIPIO SAN LORENZO.</t>
  </si>
  <si>
    <t>225 - SAN LORENZO</t>
  </si>
  <si>
    <t>0004 - SAN ANTONIO YOSOCANI</t>
  </si>
  <si>
    <t>CONSTRUCCIÓN DE TECHO FIRME PARA EL MEJORAMIENTO DE LA VIVIENDA, EN LA LOCALIDAD GUADALUPE YOSOCANI, MUNICIPIO SAN LORENZO.</t>
  </si>
  <si>
    <t>0002 - GUADALUPE YOSOCANI</t>
  </si>
  <si>
    <t>CONSTRUCCIÓN DE TECHO FIRME PARA EL MEJORAMIENTO DE LA VIVIENDA, EN LA LOCALIDAD SAN JUAN YOSOCANI, MUNICIPIO SAN LORENZO.</t>
  </si>
  <si>
    <t>0009 - SAN JUAN YOSOCANI</t>
  </si>
  <si>
    <t>CONSTRUCCIÓN DE PISO FIRME PARA EL MEJORAMIENTO DE LA VIVIENDA, EN LA LOCALIDAD SAN JOSÉ AYUQUILA, MUNICIPIO SAN JOSÉ AYUQUILA.</t>
  </si>
  <si>
    <t>CONSTRUCCIÓN DE TECHO FIRME PARA EL MEJORAMIENTO DE LA VIVIENDA, EN LA LOCALIDAD SAN JUAN YAEÉ, MUNICIPIO SAN JUAN YAEÉ.</t>
  </si>
  <si>
    <t>222 - SAN JUAN YAEÉ</t>
  </si>
  <si>
    <t>0001 - SAN JUAN YAEÉ</t>
  </si>
  <si>
    <t>CONSTRUCCIÓN DE POZO PROFUNDO PARA EL SISTEMA DE AGUA POTABLE DE LA LOCALIDAD SAN PEDRO TOTOLAPAM, MUNICIPIO SAN PEDRO TOTOLAPAM</t>
  </si>
  <si>
    <t>333 - SAN PEDRO TOTOLÁPAM</t>
  </si>
  <si>
    <t>0001 - SAN PEDRO TOTOLÁPAM</t>
  </si>
  <si>
    <t>CONSTRUCCIÓN DE PISO FIRME PARA EL MEJORAMIENTO DE LA VIVIENDA, EN LA LOCALIDAD BRAMADERO, MUNICIPIO SAN FRANCISCO LOGUECHE.</t>
  </si>
  <si>
    <t>146 - SAN FRANCISCO LOGUECHE</t>
  </si>
  <si>
    <t>0002 - BRAMADERO</t>
  </si>
  <si>
    <t>CONSTRUCCIÓN DE CUARTO DORMITORIO PARA EL MEJORAMIENTO DE LA VIVIENDA, EN LA LOCALIDAD BRAMADERO, MUNICIPIO SAN FRANCISCO LOGUECHE.</t>
  </si>
  <si>
    <t>CONSTRUCCIÓN DE CUARTO DORMITORIO PARA EL MEJORAMIENTO DE LA VIVIENDA, EN LA LOCALIDAD EL MANZANAL, MUNICIPIO SAN JUAN COATZÓSPAM.</t>
  </si>
  <si>
    <t>187 - SAN JUAN COATZÓSPAM</t>
  </si>
  <si>
    <t>0007 - EL MANZANAL</t>
  </si>
  <si>
    <t>CONSTRUCCIÓN DE CUARTO DORMITORIO PARA EL MEJORAMIENTO DE LA VIVIENDA, EN LA LOCALIDAD SAN JUAN COATZÓSPAM, MUNICIPIO SAN JUAN COATZÓSPAM.</t>
  </si>
  <si>
    <t>0001 - SAN JUAN COATZÓSPAM</t>
  </si>
  <si>
    <t>CONSTRUCCIÓN DE SANITARIO CON BIODIGESTOR PARA EL MEJORAMIENTO DE LA VIVIENDA, EN LA LOCALIDAD SAN MIGUEL PIEDRAS, MUNICIPIO SAN MIGUEL PIEDRAS.</t>
  </si>
  <si>
    <t>CONSTRUCCIÓN DE PISO FIRME PARA EL MEJORAMIENTO DE LA VIVIENDA, EN LA LOCALIDAD SAN MIGUEL ACHIUTLA, MUNICIPIO SAN MIGUEL ACHIUTLA.</t>
  </si>
  <si>
    <t>CONSTRUCCIÓN DE CUARTO DORMITORIO PARA EL MEJORAMIENTO DE LA VIVIENDA, EN LA LOCALIDAD RÍO GRANDE O PIEDRA PARADA, MUNICIPIO VILLA DE TUTUTEPEC.</t>
  </si>
  <si>
    <t>CONSTRUCCIÓN DE CUARTO DORMITORIO PARA EL MEJORAMIENTO DE LA VIVIENDA, EN LA LOCALIDAD CANDELARIA LA ESTANCIA, MUNICIPIO VILLA SOLA VEGA.</t>
  </si>
  <si>
    <t>0006 - CANDELARIA LA ESTANCIA</t>
  </si>
  <si>
    <t>CONSTRUCCIÓN DE CISTERNA PARA EL MEJORAMIENTO DE LA VIVIENDA, EN LA LOCALIDAD SAN LORENZO CACAOTEPEC, MUNICIPIO SAN LORENZO CACAOTEPEC.</t>
  </si>
  <si>
    <t>227 - SAN LORENZO CACAOTEPEC</t>
  </si>
  <si>
    <t>0001 - SAN LORENZO CACAOTEPEC</t>
  </si>
  <si>
    <t>CONSTRUCCIÓN DE PISO FIRME PARA EL MEJORAMIENTO DE LA VIVIENDA, EN LA LOCALIDAD VILLA DE TUTUTEPEC, MUNICIPIO VILLA DE TUTUTEPEC.</t>
  </si>
  <si>
    <t>CONSTRUCCIÓN DE PISO FIRME PARA EL MEJORAMIENTO DE LA VIVIENDA, EN LA LOCALIDAD LA LUZ, MUNICIPIO VILLA DE TUTUTEPEC.</t>
  </si>
  <si>
    <t>CONSTRUCCIÓN DE PISO FIRME PARA EL MEJORAMIENTO DE LA VIVIENDA, EN LA LOCALIDAD RÍO GRANDE O PIEDRA PARADA, MUNICIPIO VILLA DE TUTUTEPEC.</t>
  </si>
  <si>
    <t>CONSTRUCCIÓN DE PISO FIRME PARA EL MEJORAMIENTO DE LA VIVIENDA, EN LA LOCALIDAD SAN JOSÉ DEL PROGRESO, MUNICIPIO VILLA DE TUTUTEPEC.</t>
  </si>
  <si>
    <t>CONSTRUCCIÓN DE PISO FIRME PARA EL MEJORAMIENTO DE LA VIVIENDA, EN LA LOCALIDAD SAN JOSÉ MANIALTEPEC, MUNICIPIO VILLA DE TUTUTEPEC.</t>
  </si>
  <si>
    <t>CONSTRUCCIÓN DE CUARTO DORMITORIO PARA EL MEJORAMIENTO DE LA VIVIENDA, EN LA LOCALIDAD SAN JUAN LUVINA, MUNICIPIO SAN PABLO MACUILTIANGUIS.</t>
  </si>
  <si>
    <t>CONSTRUCCIÓN DEL SISTEMA DE AGUA POTABLE EN LA LOCALIDAD CERRO QUEMADO, MUNICIPIO SAN PEDRO IXCATLÁN</t>
  </si>
  <si>
    <t>309 - SAN PEDRO IXCATLÁN</t>
  </si>
  <si>
    <t>0009 - CERRO QUEMADO</t>
  </si>
  <si>
    <t>CONSTRUCCIÓN DE TECHO FIRME PARA EL MEJORAMIENTO DE LA VIVIENDA, EN LA LOCALIDAD SANTA MARÍA ZANIZA, MUNICIPIO SANTA MARÍA ZANIZA.</t>
  </si>
  <si>
    <t>448 - SANTA MARÍA ZANIZA</t>
  </si>
  <si>
    <t>0001 - SANTA MARÍA ZANIZA</t>
  </si>
  <si>
    <t>CONSTRUCCIÓN DE PISO FIRME PARA EL MEJORAMIENTO DE LA VIVIENDA, EN LA LOCALIDAD SAN PEDRO TEUTILA, MUNICIPIO SAN PEDRO TEUTILA.</t>
  </si>
  <si>
    <t>0001 - SAN PEDRO TEUTILA</t>
  </si>
  <si>
    <t>CONSTRUCCIÓN DE TECHO FIRME PARA EL MEJORAMIENTO DE LA VIVIENDA, EN LA LOCALIDAD SAN PEDRO TEUTILA, MUNICIPIO SAN PEDRO TEUTILA.</t>
  </si>
  <si>
    <t>CONSTRUCCIÓN DE SANITARIO CON BIODIGESTOR PARA EL MEJORAMIENTO DE LA VIVIENDA, EN LA LOCALIDAD SAN SEBASTIÁN TEITIPAC, MUNICIPIO SAN SEBASTIÁN TEITIPAC.</t>
  </si>
  <si>
    <t>349 - SAN SEBASTIÁN TEITIPAC</t>
  </si>
  <si>
    <t>0001 - SAN SEBASTIÁN TEITIPAC</t>
  </si>
  <si>
    <t>CONSTRUCCIÓN DE SANITARIOS EN ESCUELA PRIMARIA "NUEVO DÍA" CON CLAVE ESCOLAR 20DPB0290Q, EN LA LOCALIDAD SAN MARCOS LIQUIDÁMBAR, MUNICIPIO SAN LUCAS ZOQUIÁPAM</t>
  </si>
  <si>
    <t>0004 - SAN MARCOS LIQUIDÁMBAR</t>
  </si>
  <si>
    <t>CONSTRUCCIÓN DE SANITARIO CON BIODIGESTOR PARA EL MEJORAMIENTO DE LA VIVIENDA, EN LA LOCALIDAD SAN ILDEFONSO OZOLOTEPEC, MUNICIPIO SAN MATEO RÍO HONDO.</t>
  </si>
  <si>
    <t>0008 - SAN ILDEFONSO OZOLOTEPEC</t>
  </si>
  <si>
    <t>REHABILITACIÓN DE HOSPITAL INTEGRAL (COMUNITARIO) EN LA LOCALIDAD DE TEOTITLAN DE FLORES MAGÓN</t>
  </si>
  <si>
    <t>REHABILITACIÓN DE HOSPITAL GENERAL EN LA LOCALIDAD DE SAN JUAN BAUTISTA CUICATLAN</t>
  </si>
  <si>
    <t>CONSTRUCCIÓN DE BIBLIOTECA ESCOLAR EN CENTRO DE BACHILLERATO TECNOLÓGICO AGROPECUARIO NO. 317 CON CLAVE ESCOLAR: 20DTA0022I, EN LA LOCALIDAD DE SAN JUAN GUELAVÍA, MUNICIPIO DE SAN JUAN GUELAVÍA</t>
  </si>
  <si>
    <t>CONSTRUCCIÓN DE PISO FIRME PARA EL MEJORAMIENTO DE LA VIVIENDA, EN LA LOCALIDAD SAN GABRIEL MIXTEPEC, MUNICIPIO SAN GABRIEL MIXTEPEC.</t>
  </si>
  <si>
    <t>153 - SAN GABRIEL MIXTEPEC</t>
  </si>
  <si>
    <t>0001 - SAN GABRIEL MIXTEPEC</t>
  </si>
  <si>
    <t>CONSTRUCCIÓN DE SANITARIO CON BIODIGESTOR PARA EL MEJORAMIENTO DE LA VIVIENDA, EN LA LOCALIDAD SAN ISIDRO, MUNICIPIO SAN PEDRO TEOZACOALCO.</t>
  </si>
  <si>
    <t>329 - SAN PEDRO TEOZACOALCO</t>
  </si>
  <si>
    <t>0003 - SAN ISIDRO</t>
  </si>
  <si>
    <t>CONSTRUCCIÓN DE CUARTO DORMITORIO PARA EL MEJORAMIENTO DE LA VIVIENDA, EN LA LOCALIDAD LA REFORMA, MUNICIPIO SAN ILDEFONSO AMATLÁN.</t>
  </si>
  <si>
    <t>0003 - LA REFORMA</t>
  </si>
  <si>
    <t>CONSTRUCCIÓN DE UN AULA EN LA ESCUELA SECUNDARIA GENERAL "NDUVA KITI´I" CLAVE 20DES0258B EN LA LOCALIDAD DE CANDELARIA LA UNION, MUNICIPIO DE SAN PABLO TIJALTEPEC</t>
  </si>
  <si>
    <t>297 - SAN PABLO TIJALTEPEC</t>
  </si>
  <si>
    <t>0003 - CANDELARIA LA UNIÓN</t>
  </si>
  <si>
    <t>CONSTRUCCIÓN DE CUARTO DORMITORIO PARA EL MEJORAMIENTO DE LA VIVIENDA, EN LA LOCALIDAD SAN FELIPE CIENEGUILLA, MUNICIPIO SAN SEBASTIÁN RÍO HONDO.</t>
  </si>
  <si>
    <t>347 - SAN SEBASTIÁN RÍO HONDO</t>
  </si>
  <si>
    <t>0003 - SAN FELIPE CIENEGUILLA</t>
  </si>
  <si>
    <t>CONSTRUCCIÓN DE CUARTO DORMITORIO PARA EL MEJORAMIENTO DE LA VIVIENDA, EN LA LOCALIDAD SAN LUCAS, MUNICIPIO SANTA CATARINA JUQUILA.</t>
  </si>
  <si>
    <t>0076 - SAN LUCAS</t>
  </si>
  <si>
    <t>CONSTRUCCIÓN DE SANITARIOS EN ESCUELA SECUNDARIA GENERAL "NDUVA KITI`I" CON CLAVE ESCOLAR: 20DES0258B EN LA LOCALIDAD DE CANDELARIA LA UNIÓN, MUNICIPIO DE SAN PABLO TIJALTEPEC.</t>
  </si>
  <si>
    <t>CONSTRUCCIÓN DE PISO FIRME PARA EL MEJORAMIENTO DE LA VIVIENDA, EN LA LOCALIDAD LA LABOR, MUNICIPIO SAN SIMÓN ALMOLONGAS.</t>
  </si>
  <si>
    <t>351 - SAN SIMÓN ALMOLONGAS</t>
  </si>
  <si>
    <t>0011 - LA LABOR</t>
  </si>
  <si>
    <t>CONSTRUCCIÓN DE PISO FIRME PARA EL MEJORAMIENTO DE LA VIVIENDA, EN LA LOCALIDAD BARRIO ORIENTE, MUNICIPIO SAN SIMÓN ALMOLONGAS.</t>
  </si>
  <si>
    <t>0010 - BARRIO ORIENTE</t>
  </si>
  <si>
    <t>CONSTRUCCIÓN DE PISO FIRME PARA EL MEJORAMIENTO DE LA VIVIENDA, EN LA LOCALIDAD SAN SIMÓN ALMOLONGAS, MUNICIPIO SAN SIMÓN ALMOLONGAS.</t>
  </si>
  <si>
    <t>0001 - SAN SIMÓN ALMOLONGAS</t>
  </si>
  <si>
    <t>CONSTRUCCIÓN DE AULAS EN ESCUELA PRIMARIA "ISAÍAS ROJAS APARICIO" CON CLAVE ESCOLAR: 20DPR3172X, EN LA LOCALIDAD DE SAN MIGUEL TLACAMAMA, MUNICIPIO DE SAN MIGUEL TLACAMAMA.</t>
  </si>
  <si>
    <t>0001 - SAN MIGUEL TLACAMAMA</t>
  </si>
  <si>
    <t>CONSTRUCCIÓN DE TECHO FIRME PARA EL MEJORAMIENTO DE LA VIVIENDA, EN LA LOCALIDAD SAN LUCAS OJITLÁN, MUNICIPIO SAN LUCAS OJITLÁN.</t>
  </si>
  <si>
    <t>0001 - SAN LUCAS OJITLÁN</t>
  </si>
  <si>
    <t>CONSTRUCCIÓN DE AULAS EN LA ESCUELA PRIMARIA "LÁZARO CÁRDENAS" CON CLAVE ESCOLAR: 20DPB0300G, EN LA LOCALIDAD DE BENITO JUÁREZ, DEL MUNICIPIO DE SAN MIGUEL EL GRANDE</t>
  </si>
  <si>
    <t>269 - SAN MIGUEL EL GRANDE</t>
  </si>
  <si>
    <t>0002 - BENITO JUÁREZ</t>
  </si>
  <si>
    <t>CONSTRUCCIÓN DE AULA EN JARDÍN DE NIÑOS “FANNY ANITUA” CON CLAVE ESCOLAR: 20DJN2145C, EN LA LOCALIDAD SAN JUAN BAUTISTA LO DE SOTO, MUNICIPIO SAN JUAN BAUTISTA LO DE SOTO</t>
  </si>
  <si>
    <t>MANTENIMIENTO GENERAL A LOS EDIFICIOS DE LA FACULTAD DE MEDICINA Y CIRUGÍA</t>
  </si>
  <si>
    <t>CONSTRUCCIÓN DE AULAS EN ESCUELA TELESECUNDARIA CON CLAVE ESCOLAR: 20DTV1067Y, EN LA LOCALIDAD SANTO DOMINGO DEL RÍO, MUNICIPIO SAN PEDRO TEUTILA</t>
  </si>
  <si>
    <t>0012 - SANTO DOMINGO DEL RÍO</t>
  </si>
  <si>
    <t>MANTENIMIENTO DE CENTRO DE SALUD URBANO DE 05 NÚCLEOS BÁSICOS EN LA LOCALIDAD DE COSOLAPA</t>
  </si>
  <si>
    <t>021 - COSOLAPA</t>
  </si>
  <si>
    <t>0001 - COSOLAPA</t>
  </si>
  <si>
    <t>REHABILITACIÓN DE CENTRO DE SALUD CON SERVICIOS AMPLIADOS EN LA LOCALIDAD DE PINOTEPA DE DON LUÍS</t>
  </si>
  <si>
    <t>070 - PINOTEPA DE DON LUIS</t>
  </si>
  <si>
    <t>0001 - PINOTEPA DE DON LUIS</t>
  </si>
  <si>
    <t>CONSTRUCCIÓN DE LA CARRETERA SIN NOMBRE CON CONCRETO HIDRÁULICO DE YOSOCUNO - SAN PEDRO NOPALA, TRAMO DEL KM 0+000 AL KM 12+000, SUBTRAMO DEL KM 0+000 AL KM 0+780, EN EL MUNICIPIO DE SAN PEDRO NOPALA</t>
  </si>
  <si>
    <t>321 - SAN PEDRO NOPALA</t>
  </si>
  <si>
    <t>0002 - YOSOCUNO</t>
  </si>
  <si>
    <t>CONSTRUCCIÓN DE TECHO FIRME PARA EL MEJORAMIENTO DE LA VIVIENDA, EN LA LOCALIDAD LA Y, MUNICIPIO LA COMPAÑÍA.</t>
  </si>
  <si>
    <t>0008 - LA Y</t>
  </si>
  <si>
    <t>CONSTRUCCIÓN DE SANITARIO CON BIODIGESTOR PARA EL MEJORAMIENTO DE LA VIVIENDA, EN LA LOCALIDAD JUCHITÁN DE ZARAGOZA, MUNICIPIO JUCHITÁN DE ZARAGOZA.</t>
  </si>
  <si>
    <t>CONSTRUCCIÓN DE SANITARIO CON BIODIGESTOR PARA EL MEJORAMIENTO DE LA VIVIENDA, EN LA LOCALIDAD MAGDALENA PEÑASCO, MUNICIPIO MAGDALENA PEÑASCO.</t>
  </si>
  <si>
    <t>0001 - MAGDALENA PEÑASCO</t>
  </si>
  <si>
    <t>CONSTRUCCIÓN DE SANITARIO CON BIODIGESTOR PARA EL MEJORAMIENTO DE LA VIVIENDA, EN LA LOCALIDAD SAN ISIDRO, MUNICIPIO MAGDALENA PEÑASCO.</t>
  </si>
  <si>
    <t>0004 - SAN ISIDRO</t>
  </si>
  <si>
    <t>CONSTRUCCIÓN DE SANITARIO CON BIODIGESTOR PARA EL MEJORAMIENTO DE LA VIVIENDA, EN LA LOCALIDAD CHICABAYA, MUNICIPIO MAGDALENA PEÑASCO.</t>
  </si>
  <si>
    <t>0011 - CHICABAYA</t>
  </si>
  <si>
    <t>CONSTRUCCIÓN DE SANITARIO CON BIODIGESTOR PARA EL MEJORAMIENTO DE LA VIVIENDA, EN LA LOCALIDAD SAN JUAN DEL RÍO, MUNICIPIO MAGDALENA PEÑASCO.</t>
  </si>
  <si>
    <t>CONSTRUCCIÓN DE SANITARIO CON BIODIGESTOR PARA EL MEJORAMIENTO DE LA VIVIENDA, EN LA LOCALIDAD IGNACIO ZARAGOZA, MUNICIPIO MAGDALENA PEÑASCO.</t>
  </si>
  <si>
    <t>0003 - IGNACIO ZARAGOZA</t>
  </si>
  <si>
    <t>CONSTRUCCIÓN DE SANITARIO CON BIODIGESTOR PARA EL MEJORAMIENTO DE LA VIVIENDA, EN LA LOCALIDAD GUADALUPE PEÑASCO, MUNICIPIO MAGDALENA PEÑASCO.</t>
  </si>
  <si>
    <t>0002 - GUADALUPE PEÑASCO</t>
  </si>
  <si>
    <t>CONSTRUCCIÓN DE SANITARIO CON BIODIGESTOR PARA EL MEJORAMIENTO DE LA VIVIENDA, EN LA LOCALIDAD PUEBLO VIEJO, MUNICIPIO MAGDALENA PEÑASCO.</t>
  </si>
  <si>
    <t>0019 - PUEBLO VIEJO</t>
  </si>
  <si>
    <t>CONSTRUCCIÓN DE SANITARIO CON BIODIGESTOR PARA EL MEJORAMIENTO DE LA VIVIENDA, EN LA LOCALIDAD CABACÚA, MUNICIPIO MAGDALENA PEÑASCO.</t>
  </si>
  <si>
    <t>0010 - CABACÚA</t>
  </si>
  <si>
    <t>CONSTRUCCIÓN DE SANITARIO CON BIODIGESTOR PARA EL MEJORAMIENTO DE LA VIVIENDA, EN LA LOCALIDAD LA CUMBRE, MUNICIPIO MAGDALENA PEÑASCO.</t>
  </si>
  <si>
    <t>0007 - LA CUMBRE</t>
  </si>
  <si>
    <t>CONSTRUCCIÓN DE TECHADO EN ÁREA DE IMPARTICIÓN DE EDUCACIÓN FÍSICA EN LA ESCUELA SECUNDARIA GENERAL BENEMÉRITO DE LAS AMÉRICAS CON CLAVE: 20DES0188X DE LA LOCALIDAD DE SAN ISIDRO VISTA HERMOSA MUNICIPIO DE SANTA CRUZ NUNDACO</t>
  </si>
  <si>
    <t>379 - SANTA CRUZ NUNDACO</t>
  </si>
  <si>
    <t>0004 - SAN ISIDRO VISTA HERMOSA</t>
  </si>
  <si>
    <t>CONSTRUCCIÓN DE PISO FIRME PARA EL MEJORAMIENTO DE LA VIVIENDA, EN LA LOCALIDAD SANTA CATARINA TAYATA, MUNICIPIO SANTA CATARINA TAYATA.</t>
  </si>
  <si>
    <t>370 - SANTA CATARINA TAYATA</t>
  </si>
  <si>
    <t>0001 - SANTA CATARINA TAYATA</t>
  </si>
  <si>
    <t>CONSTRUCCIÓN DE CUARTO DORMITORIO PARA EL MEJORAMIENTO DE LA VIVIENDA, EN LA LOCALIDAD SAN MARCOS ZACATEPEC, MUNICIPIO SANTA CATARINA JUQUILA.</t>
  </si>
  <si>
    <t>0019 - SAN MARCOS ZACATEPEC</t>
  </si>
  <si>
    <t>CONSTRUCCIÓN DE CUARTO DORMITORIO PARA EL MEJORAMIENTO DE LA VIVIENDA, EN LA LOCALIDAD SAN JOSÉ IXTÁPAM, MUNICIPIO SANTA CATARINA JUQUILA.</t>
  </si>
  <si>
    <t>0018 - SAN JOSÉ IXTÁPAM</t>
  </si>
  <si>
    <t>CONSTRUCCIÓN DE PISO FIRME PARA EL MEJORAMIENTO DE LA VIVIENDA, EN LA LOCALIDAD LA CUMBRE, MUNICIPIO MAGDALENA PEÑASCO.</t>
  </si>
  <si>
    <t>CONSTRUCCIÓN DE PISO FIRME PARA EL MEJORAMIENTO DE LA VIVIENDA, EN LA LOCALIDAD SAN JUAN DEL RÍO, MUNICIPIO MAGDALENA PEÑASCO.</t>
  </si>
  <si>
    <t>CONSTRUCCIÓN DE PISO FIRME PARA EL MEJORAMIENTO DE LA VIVIENDA, EN LA LOCALIDAD MAGDALENA PEÑASCO, MUNICIPIO MAGDALENA PEÑASCO.</t>
  </si>
  <si>
    <t>CONSTRUCCIÓN DE PISO FIRME PARA EL MEJORAMIENTO DE LA VIVIENDA, EN LA LOCALIDAD IGNACIO ZARAGOZA, MUNICIPIO MAGDALENA PEÑASCO.</t>
  </si>
  <si>
    <t>CONSTRUCCIÓN DE PISO FIRME PARA EL MEJORAMIENTO DE LA VIVIENDA, EN LA LOCALIDAD YOSOCAHUA, MUNICIPIO MAGDALENA PEÑASCO.</t>
  </si>
  <si>
    <t>0005 - YOSOCAHUA</t>
  </si>
  <si>
    <t>CONSTRUCCIÓN DE PISO FIRME PARA EL MEJORAMIENTO DE LA VIVIENDA, EN LA LOCALIDAD SAN ISIDRO, MUNICIPIO MAGDALENA PEÑASCO.</t>
  </si>
  <si>
    <t>CONSTRUCCIÓN DE PISO FIRME PARA EL MEJORAMIENTO DE LA VIVIENDA, EN LA LOCALIDAD GUADALUPE PEÑASCO, MUNICIPIO MAGDALENA PEÑASCO.</t>
  </si>
  <si>
    <t>MANTENIMIENTO GENERAL A LOS EDIFICIOS DE LA ESCUELA DE ARTES PLÁSTICAS Y VISUALES</t>
  </si>
  <si>
    <t xml:space="preserve">	-96.711226860438761075</t>
  </si>
  <si>
    <t>REPARACIONES GENERALES EN CENTRO DE INTEGRACIÓN SOCIAL "BENITO JUÁREZ" CON CLAVE ESCOLAR: 20DCI0001Y, EN LA LOCALIDAD GUELATAO DE JUÁREZ, MUNICIPIO GUELATAO DE JUÁREZ</t>
  </si>
  <si>
    <t>REPARACIONES GENERALES EN PRIMARIA "NETZAHUALCÓYOTL" CON CLAVE ESCOLAR: 20DPB0610K, EN LA LOCALIDAD SANTA MARÍA TLALIXTAC, MUNICIPIO SANTA MARÍA TLALIXTAC</t>
  </si>
  <si>
    <t>REPARACIONES GENERALES EN PRIMARIA "GUADALUPE VICTORIA" CON CLAVE ESCOLAR: 20DPR1338A, EN LA LOCALIDAD LLANO GRANDE, MUNICIPIO SANTIAGO TAPEXTLA</t>
  </si>
  <si>
    <t>0003 - LLANO GRANDE</t>
  </si>
  <si>
    <t>REPARACIONES GENERALES EN PRIMARIA "NARCISO MENDOZA" CON CLAVE ESCOLAR 20DPB2197Y, EN LA LOCALIDAD SAN AGUSTÍN LOXICHA, MUNICIPIO SAN AGUSTÍN LOXICHA</t>
  </si>
  <si>
    <t>CONSTRUCCIÓN DE CANCHA DEPORTIVA EN TELESECUNDARIA CON CLAVE ESCOLAR: 20DTV0966J, EN LA LOCALIDAD SAN PEDRO ORIZABA, MUNICIPIO SAN JUAN BAUTISTA LO DE SOTO</t>
  </si>
  <si>
    <t>0004 - SAN PEDRO ORIZABA</t>
  </si>
  <si>
    <t>ELABORACIÓN DEL ESTUDIO Y PROYECTO PARA LA MODERNIZACIÓN Y AMPLIACIÓN DEL CAMINO: E.C. N°135 (TEHUACÁN - HUITZO) - E.C. N° 135 D (CUACNOPALAN - OAXACA) CUOTA, TRAMO, DEL KM 0+000 AL KM 49+000, EN LA LOCALIDAD DE TEOTITLÁN DE FLORES MAGÓN, MUNICIPIO DE TEOTITLÁN DE FLORES MAGÓN, EN EL ESTADO DE OAXACA.</t>
  </si>
  <si>
    <t>MANTENIMIENTO GENERAL DE LA UNIVERSIDAD DE LA CAÑADA</t>
  </si>
  <si>
    <t>546 - UNIVERSIDAD DE LA SIERRA SUR</t>
  </si>
  <si>
    <t>546001 - UNIVERSIDAD DE LA SIERRA SUR</t>
  </si>
  <si>
    <t>EQUIPAMIENTO PARA AULAS, SALAS DE COMPUTO, LABORATORIOS, Y ÁREA DEPORTIVA DE LA UNIVERSIDAD DE LA SIERRA SUR (COMPLEMENTO)</t>
  </si>
  <si>
    <t>059 - MIAHUATLÁN DE PORFIRIO DÍAZ</t>
  </si>
  <si>
    <t>0001 - MIAHUATLÁN DE PORFIRIO DÍAZ</t>
  </si>
  <si>
    <t>AMPLIACIÓN DE LA RED DE DISTRIBUCIÓN DE ENERGÍA ELÉCTRICA EN VARIAS CALLES (SEGUNDA ETAPA), EN LA LOCALIDAD DE CACALOTEPEC, MUNICIPIO DE SANTOS REYES PÁPALO</t>
  </si>
  <si>
    <t>527 - SANTOS REYES PÁPALO</t>
  </si>
  <si>
    <t>0002 - CACALOTEPEC</t>
  </si>
  <si>
    <t>CONSTRUCCIÓN DE PAVIMENTO A BASE DE CONCRETO HIDRÁULICO EN LA CALLE TULIPÁN, LIRIO, LAUREL, EN LA LOCALIDAD DE HEROICA CIUDAD DE TLAXIACO, MUNICIPIO HEROICA CIUDAD DE TLAXIACO,</t>
  </si>
  <si>
    <t>CONSTRUCCIÓN DE PAVIMENTO A BASE DE CONCRETO HIDRÁULICO EN LA CALLE EL SABINO, EN LA LOCALIDAD DE HEROICA CIUDAD DE TLAXIACO, MUNICIPIO HEROICA CIUDAD DE TLAXIACO</t>
  </si>
  <si>
    <t>CONSTRUCCIÓN DE LA CARRETERA SIN NOMBRE CON CONCRETO HIDRÁULICO DEL E.C. (SAN PABLO VILLA DE MITLA - T.C. (TUXTEPEC PALOMARES) - SANTA CRUZ, TRAMO DEL KM 0+000 AL KM 1+850, SUBTRAMO DEL KM 0+000 AL KM 0+860, EN EL MUNICIPIO DE SANTA MARÍA TLAHUITOLTEPEC</t>
  </si>
  <si>
    <t>0005 - SANTA CRUZ</t>
  </si>
  <si>
    <t>CONSTRUCCIÓN DE CARRETERA SIN NOMBRE CON CONCRETO HIDRÁULICO DE SANTA MARÍA TLAHUITOLTEPEC - E.C. (SAN PABLO VILLA DE MITLA - T.C. (TUXTEPEC - PALOMARES)), TRAMO DEL KM 0+000 AL KM 2+530, SUBTRAMO DEL 0+000 AL KM 0+760, EN EL MUNICIPIO DE SANTA MARÍA TLAHUITOLTEPEC</t>
  </si>
  <si>
    <t>CONSTRUCCIÓN DE LA CARRETERA SIN NOMBRE CON CONCRETO HIDRÁULICO DE SANTIAGO YAITEPEC - SANTA MARÍA TEMAXCALTEPEC, TRAMO DEL KM 0+000 AL KM 14+900, SUBTRAMO DEL KM 0+180 AL KM 0+880, EN EL MUNICIPIO DE SANTIAGO YAITEPEC</t>
  </si>
  <si>
    <t>497 - SANTIAGO YAITEPEC</t>
  </si>
  <si>
    <t>0001 - SANTIAGO YAITEPEC</t>
  </si>
  <si>
    <t>CONSTRUCCIÓN DE CARRETERA SIN NOMBRE CON CONCRETO HIDRÁULICO DE SANTA MARÍA TLAHUITOLTEPEC – NEJAPA, TRAMO DEL KM 0+000 AL KM 15+100, SUBTRAMO DEL KM 0+000 AL KM 0+700, EN EL MUNICIPIO DE SANTA MARÍA TLAHUITOLTEPEC</t>
  </si>
  <si>
    <t>CONSTRUCCIÓN DE LA CARRETERA SIN NOMBRE CON CONCRETO HIDRÁULICO DE SANTA CRUZ TEPENIXTLAHUACA - E.C. (EL GACHUPÍN - TATALTEPEC DE VALDÉS), DEL KM 0+000 AL KM 7+200, SUBTRAMO DEL KM 1+000 AL KM 1+640, EN EL MUNICIPIO DE TATALTEPEC DE VALDÉS</t>
  </si>
  <si>
    <t>543 - TATALTEPEC DE VALDÉS</t>
  </si>
  <si>
    <t>0005 - SANTA CRUZ TEPENIXTLAHUACA</t>
  </si>
  <si>
    <t>CONSTRUCCIÓN DE LA CARRETERA SIN NOMBRE CON CONCRETO HIDRÁULICO DE CAÑADA DE GUADALUPE - E.C. (SAN JUAN LACHAO - SANTA MARÍA TEMAXCALTEPEC), TRAMO DEL KM 0+000 AL KM 2+500, SUBTRAMO DEL KM 0+000 AL KM 0+620, EN EL MUNICIPIO DE SANTA MARÍA TEMAXCALTEPEC</t>
  </si>
  <si>
    <t>433 - SANTA MARÍA TEMAXCALTEPEC</t>
  </si>
  <si>
    <t>0003 - CAÑADA DE GUADALUPE</t>
  </si>
  <si>
    <t>CONSTRUCCIÓN DE LA CARRETERA SIN NOMBRE CON CONCRETO HIDRÁULICO E.C. (OAXACA - PUERTO ÁNGEL) - SANTA CECILIA JALIEZA, TRAMO DEL KM 0+000 AL KM 9+620, SUBTRAMO DEL KM 8+620 AL KM 9+380, EN EL MUNICIPIO DE SANTO TOMÁS JALIEZA</t>
  </si>
  <si>
    <t>530 - SANTO TOMÁS JALIEZA</t>
  </si>
  <si>
    <t>0003 - SANTA CECILIA JALIEZA</t>
  </si>
  <si>
    <t>CONSTRUCCIÓN DE LA CARRETERA SIN NOMBRE CON CONCRETO HIDRÁULICO DE EMILIO PORTES GIL - E.C. (SANTO TOMÁS OCOTEPEC – SANTA MARÍA YUCUITI), TRAMO DEL KM 0+000 AL KM 2+000, SUBTRAMO DEL KM 0+000 AL KM 1+040, EN EL MUNICIPIO DE SANTO TOMÁS OCOTEPEC</t>
  </si>
  <si>
    <t>532 - SANTO TOMÁS OCOTEPEC</t>
  </si>
  <si>
    <t>0005 - EMILIO PORTES GIL</t>
  </si>
  <si>
    <t>CONSTRUCCIÓN DE LA CARRETERA SIN NOMBRE CON CONCRETO HIDRÁULICO DE SANTA LUCÍA OCOTLÁN – EL PORVENIR, TRAMO DEL KM 0+000 AL KM 5+300, SUBTRAMO DEL KM 2+000 AL KM 3+000, EN EL MUNICIPIO DE SANTA LUCÍA OCOTLÁN</t>
  </si>
  <si>
    <t>393 - SANTA LUCÍA OCOTLÁN</t>
  </si>
  <si>
    <t>0001 - SANTA LUCÍA OCOTLÁN</t>
  </si>
  <si>
    <t>CONSTRUCCIÓN DE LA CARRETERA SIN NOMBRE CON CONCRETO HIDRÁULICO DE OCOTLÁN DE JUÁREZ - UNIÓN LINDA VISTA, TRAMO DEL KM 0+000 AL KM 14+100, SUBTRAMO DEL KM 0+000 AL KM 1+300, EN EL MUNICIPIO DE SANTIAGO TETEPEC</t>
  </si>
  <si>
    <t>489 - SANTIAGO TETEPEC</t>
  </si>
  <si>
    <t>0007 - OCOTLÁN DE JUÁREZ</t>
  </si>
  <si>
    <t>CONSTRUCCIÓN DE LA CARRETERA SIN NOMBRE CON CONCRETO HIDRÁULICO DE EL SOCORRO - SAN MARTÍN DE LAS PALMAS, TRAMO DEL KM 0+000 AL KM 13+400, SUBTRAMO DEL KM 1+400 AL KM 2+280, EN EL MUNICIPIO DE SANTIAGO TILANTONGO</t>
  </si>
  <si>
    <t>492 - SANTIAGO TILANTONGO</t>
  </si>
  <si>
    <t>0018 - EL SOCORRO</t>
  </si>
  <si>
    <t>CONSTRUCCIÓN DE LA CARRETERA SIN NOMBRE CON CONCRETO HIDRÁULICO DE TLALIXTAC VIEJO - SAN FRANCISCO CHAPULAPA, TRAMO DEL KM 0+000 AL KM 13+400, SUBTRAMO DEL KM 0+000 AL KM 0+700, EN EL MUNICIPIO DE SANTA MARÍA TLALIXTAC</t>
  </si>
  <si>
    <t>0002 - TLALIXTAC VIEJO</t>
  </si>
  <si>
    <t>CONSTRUCCIÓN DE LA CARRETERA SIN NOMBRE CON CONCRETO HIDRÁULICO DE SAN SEBASTIÁN RÍO HONDO - SAN BERNARDO, TRAMO DEL KM 0+000 AL KM 5+000, SUBTRAMO DEL KM 0+000 DEL KM 0+720, EN EL MUNICIPIO DE SAN SEBASTIÁN RÍO HONDO</t>
  </si>
  <si>
    <t>0001 - SAN SEBASTIÁN RÍO HONDO</t>
  </si>
  <si>
    <t>CONSTRUCCIÓN DE LA CARRETERA SIN NOMBRE CON CONCRETO HIDRÁULICO DE SAN PEDRO TULIXTLAHUACA - SAN PEDRO ATOYAC, TRAMO DEL KM 0+000 AL KM 9+700, SUBTRAMOS DEL KM 1+373 AL KM 2+020 Y DEL KM 3+180 AL KM 3+780, EN EL MUNICIPIO DE SAN ANTONIO TEPETLAPA</t>
  </si>
  <si>
    <t>111 - SAN ANTONIO TEPETLAPA</t>
  </si>
  <si>
    <t>0003 - SAN PEDRO TULIXTLAHUACA</t>
  </si>
  <si>
    <t>CONSTRUCCIÓN DE CUARTO DORMITORIO PARA EL MEJORAMIENTO DE LA VIVIENDA, EN LA LOCALIDAD SAN JUAN ELOTEPEC, MUNICIPIO VILLA SOLA DE VEGA.</t>
  </si>
  <si>
    <t>0058 - SAN JUAN ELOTEPEC</t>
  </si>
  <si>
    <t>CONSTRUCCIÓN DE SANITARIO CON BIODIGESTOR PARA EL MEJORAMIENTO DE LA VIVIENDA, EN LA LOCALIDAD LA RINCONADA, MUNICIPIO SAN JUAN BAUTISTA VALLE NACIONAL.</t>
  </si>
  <si>
    <t>CONSTRUCCIÓN DE PISO FIRME PARA EL MEJORAMIENTO DE LA VIVIENDA, EN LA LOCALIDAD ARROYO CHICAL, MUNICIPIO SAN MIGUEL SOYALTEPEC.</t>
  </si>
  <si>
    <t>EQUIPAMIENTO CON CALENTADOR SOLAR PARA EL MEJORAMIENTO DE LA VIVIENDA, EN LA LOCALIDAD SAN MIGUEL PERAS, MUNICIPIO SAN MIGUEL PERAS.</t>
  </si>
  <si>
    <t>CONSTRUCCIÓN DE TECHO FIRME PARA EL MEJORAMIENTO DE LA VIVIENDA, EN LA LOCALIDAD EL TEMASCAL, MUNICIPIO SAN MIGUEL PERAS.</t>
  </si>
  <si>
    <t>0010 - EL TEMASCAL</t>
  </si>
  <si>
    <t>CONSTRUCCIÓN DE CISTERNA PARA EL MEJORAMIENTO DE LA VIVIENDA, EN LA LOCALIDAD LOMA BLANCA, MUNICIPIO SANTIAGO TLAZOYALTEPEC.</t>
  </si>
  <si>
    <t>494 - SANTIAGO TLAZOYALTEPEC</t>
  </si>
  <si>
    <t>0013 - LOMA BLANCA</t>
  </si>
  <si>
    <t> -96.9843455129396</t>
  </si>
  <si>
    <t>CONSTRUCCIÓN DE SANITARIO CON BIODIGESTOR PARA EL MEJORAMIENTO DE LA VIVIENDA, EN LA LOCALIDAD CERRO CAMPANA, MUNICIPIO SANTO DOMINGO DE MORELOS.</t>
  </si>
  <si>
    <t>509 - SANTO DOMINGO DE MORELOS</t>
  </si>
  <si>
    <t>0004 - CERRO CAMPANA</t>
  </si>
  <si>
    <t> -96.6478660625</t>
  </si>
  <si>
    <t> -96.6494630631</t>
  </si>
  <si>
    <t> -96.6493481709</t>
  </si>
  <si>
    <t>CONSTRUCCIÓN DE TECHO FIRME PARA EL MEJORAMIENTO DE LA VIVIENDA, EN LA LOCALIDAD SAN VICENTE LACHIXÍO, MUNICIPIO SAN VICENTE LACHIXÍO.</t>
  </si>
  <si>
    <t>535 - SAN VICENTE LACHIXÍO</t>
  </si>
  <si>
    <t>0001 - SAN VICENTE LACHIXÍO</t>
  </si>
  <si>
    <t>CONSTRUCCIÓN DE TECHO FIRME PARA EL MEJORAMIENTO DE LA VIVIENDA, EN LA LOCALIDAD EJIDO EL RINCÓN, MUNICIPIO SAN VICENTE LACHIXÍO.</t>
  </si>
  <si>
    <t>0002 - EJIDO EL RINCÓN</t>
  </si>
  <si>
    <t> -97.039361411</t>
  </si>
  <si>
    <t> -97.03941103218749</t>
  </si>
  <si>
    <t>CONSTRUCCIÓN DE TECHO FIRME PARA EL MEJORAMIENTO DE LA VIVIENDA, EN LA LOCALIDAD CANDELARIA LA ESTANCIA, MUNICIPIO VILLA SOLA DE VEGA.</t>
  </si>
  <si>
    <t>CONSTRUCCIÓN DE CUARTO DORMITORIO PARA EL MEJORAMIENTO DE LA VIVIENDA, EN LA LOCALIDAD SAN ANTONIO CUIXTLA, MUNICIPIO SANTOS REYES NOPALA.</t>
  </si>
  <si>
    <t>0041 - SAN ANTONIO CUIXTLA</t>
  </si>
  <si>
    <t>CONSTRUCCIÓN DE CUARTO DORMITORIO PARA EL MEJORAMIENTO DE LA VIVIENDA, EN LA LOCALIDAD SANTA MARÍA MAGDALENA TILTEPEC, MUNICIPIO SANTOS REYES NOPALA.</t>
  </si>
  <si>
    <t>0019 - SANTA MARÍA MAGDALENA TILTEPEC</t>
  </si>
  <si>
    <t>CONSTRUCCIÓN DE TECHO FIRME PARA EL MEJORAMIENTO DE LA VIVIENDA, EN LA LOCALIDAD CAÑADA DE YUKCIMIL, MUNICIPIO SANTIAGO TLAZOYALTEPEC.</t>
  </si>
  <si>
    <t>0009 - CAÑADA DE YUKCIMIL</t>
  </si>
  <si>
    <t>CONSTRUCCIÓN DE TECHO FIRME PARA EL MEJORAMIENTO DE LA VIVIENDA, EN LA LOCALIDAD SANTIAGO HUAXOLOTIPAC, MUNICIPIO SANTIAGO TLAZOYALTEPEC.</t>
  </si>
  <si>
    <t>0066 - SANTIAGO HUAXOLOTIPAC</t>
  </si>
  <si>
    <t>CONSTRUCCIÓN DE TECHO FIRME PARA EL MEJORAMIENTO DE LA VIVIENDA, EN LA LOCALIDAD LA ESMERALDA, MUNICIPIO SANTA MARÍA CHIMALAPA.</t>
  </si>
  <si>
    <t>0004 - LA ESMERALDA</t>
  </si>
  <si>
    <t>CONSTRUCCIÓN DE PISO FIRME PARA EL MEJORAMIENTO DE LA VIVIENDA, EN LA LOCALIDAD SANTO DOMINGO TEHUANTEPEC, MUNICIPIO SANTO DOMINGO TEHUANTEPEC.</t>
  </si>
  <si>
    <t>CONSTRUCCIÓN DE PISO FIRME PARA EL MEJORAMIENTO DE LA VIVIENDA, EN LA LOCALIDAD SANTA CECILIA, MUNICIPIO TEOTITLÁN DEL VALLE.</t>
  </si>
  <si>
    <t>0007 - SANTA CECILIA</t>
  </si>
  <si>
    <t>CONSTRUCCIÓN DE CUARTO DORMITORIO PARA EL MEJORAMIENTO DE LA VIVIENDA, EN LA LOCALIDAD SANTA CRUZ, MUNICIPIO SANTA MARÍA YOSOYÚA.</t>
  </si>
  <si>
    <t>CONSTRUCCIÓN DE PISO FIRME PARA EL MEJORAMIENTO DE LA VIVIENDA, EN LA LOCALIDAD YUTANDUCHI DE GUERRERO, MUNICIPIO YUTANDUCHI DE GUERRERO.</t>
  </si>
  <si>
    <t>564 - YUTANDUCHI DE GUERRERO</t>
  </si>
  <si>
    <t>0001 - YUTANDUCHI DE GUERRERO</t>
  </si>
  <si>
    <t>CONSTRUCCIÓN DE PISO FIRME PARA EL MEJORAMIENTO DE LA VIVIENDA, EN LA LOCALIDAD COSABICO VERDE (LA CIÉNEGA), MUNICIPIO YUTANDUCHI DE GUERRERO.</t>
  </si>
  <si>
    <t>0007 - COSABICO VERDE (LA CIÉNEGA)</t>
  </si>
  <si>
    <t>CONSTRUCCIÓN DE CUARTO DORMITORIO PARA EL MEJORAMIENTO DE LA VIVIENDA, EN LA LOCALIDAD SAN PABLO OZOLOTEPEC, MUNICIPIO SANTA MARÍA OZOLOTEPEC.</t>
  </si>
  <si>
    <t>424 - SANTA MARÍA OZOLOTEPEC</t>
  </si>
  <si>
    <t>0006 - SAN PABLO OZOLOTEPEC</t>
  </si>
  <si>
    <t>CONSTRUCCIÓN DE TECHO FIRME PARA EL MEJORAMIENTO DE LA VIVIENDA, EN LA LOCALIDAD TEXCOCO, MUNICIPIO SANTA MARÍA SOLA.</t>
  </si>
  <si>
    <t>0005 - TEXCOCO</t>
  </si>
  <si>
    <t>CONSTRUCCIÓN DE TECHO FIRME PARA EL MEJORAMIENTO DE LA VIVIENDA, EN LA LOCALIDAD FERNANDO CASTREJÓN, MUNICIPIO SANTIAGO PINOTEPA NACIONAL.</t>
  </si>
  <si>
    <t>0166 - FERNANDO CASTREJÓN</t>
  </si>
  <si>
    <t>CONSTRUCCIÓN DE TECHO FIRME PARA EL MEJORAMIENTO DE LA VIVIENDA, EN LA LOCALIDAD SANTIAGO PINOTEPA NACIONAL, MUNICIPIO SANTIAGO PINOTEPA NACIONAL.</t>
  </si>
  <si>
    <t> -98.075525</t>
  </si>
  <si>
    <t> -98.054566</t>
  </si>
  <si>
    <t> -98.055247</t>
  </si>
  <si>
    <t> -98.062647</t>
  </si>
  <si>
    <t> -98.066724</t>
  </si>
  <si>
    <t> -98.057870</t>
  </si>
  <si>
    <t>CONSTRUCCIÓN DE PISO FIRME PARA EL MEJORAMIENTO DE LA VIVIENDA, EN LA LOCALIDAD IGNACIO ZARAGOZA, MUNICIPIO SANTIAGO NUNDICHE.</t>
  </si>
  <si>
    <t>480 - SANTIAGO NUNDICHE</t>
  </si>
  <si>
    <t>0006 - IGNACIO ZARAGOZA</t>
  </si>
  <si>
    <t>CONSTRUCCIÓN DE PISO FIRME PARA EL MEJORAMIENTO DE LA VIVIENDA, EN LA LOCALIDAD HIDALGO, MUNICIPIO SANTIAGO NUNDICHE.</t>
  </si>
  <si>
    <t>0008 - HIDALGO</t>
  </si>
  <si>
    <t>CONSTRUCCIÓN DE TECHO FIRME PARA EL MEJORAMIENTO DE LA VIVIENDA, EN LA LOCALIDAD LAS HUERTAS, MUNICIPIO SANTIAGO NUNDICHE.</t>
  </si>
  <si>
    <t>0003 - LAS HUERTAS</t>
  </si>
  <si>
    <t>CONSTRUCCIÓN DE TECHO FIRME PARA EL MEJORAMIENTO DE LA VIVIENDA, EN LA LOCALIDAD IGNACIO ZARAGOZA, MUNICIPIO SANTIAGO NUNDICHE.</t>
  </si>
  <si>
    <t>CONSTRUCCIÓN DE TECHO FIRME PARA EL MEJORAMIENTO DE LA VIVIENDA, EN LA LOCALIDAD YOSOCOHOYO, MUNICIPIO SANTIAGO NUNDICHE.</t>
  </si>
  <si>
    <t>0010 - YOSOCOHOYO</t>
  </si>
  <si>
    <t>CONSTRUCCIÓN DE TECHO FIRME PARA EL MEJORAMIENTO DE LA VIVIENDA, EN LA LOCALIDAD IGNACIO ALLENDE LAS HUERTAS, MUNICIPIO SANTIAGO NUNDICHE.</t>
  </si>
  <si>
    <t>0004 - IGNACIO ALLENDE LAS HUERTAS</t>
  </si>
  <si>
    <t>CONSTRUCCIÓN DE TECHO FIRME PARA EL MEJORAMIENTO DE LA VIVIENDA, EN LA LOCALIDAD CAÑADA TIERRA BLANCA, MUNICIPIO SANTIAGO NUNDICHE.</t>
  </si>
  <si>
    <t>0007 - CAÑADA TIERRA BLANCA</t>
  </si>
  <si>
    <t>CONSTRUCCIÓN DE TECHO FIRME PARA EL MEJORAMIENTO DE LA VIVIENDA, EN LA LOCALIDAD LA COBRANZA, MUNICIPIO SANTA MARÍA HUAZOLOTITLÁN.</t>
  </si>
  <si>
    <t>0003 - LA COBRANZA</t>
  </si>
  <si>
    <t>CONSTRUCCIÓN DE TECHO FIRME PARA EL MEJORAMIENTO DE LA VIVIENDA, EN LA LOCALIDAD JOSÉ MARÍA MORELOS, MUNICIPIO SANTA MARÍA HUAZOLOTITLÁN.</t>
  </si>
  <si>
    <t>0005 - JOSÉ MARÍA MORELOS</t>
  </si>
  <si>
    <t>CONSTRUCCIÓN DE TECHO FIRME PARA EL MEJORAMIENTO DE LA VIVIENDA, EN LA LOCALIDAD PASO DEL JIOTE, MUNICIPIO SANTA MARÍA HUAZOLOTITLÁN.</t>
  </si>
  <si>
    <t>0007 - PASO DEL JIOTE</t>
  </si>
  <si>
    <t>CONSTRUCCIÓN DE TECHO FIRME PARA EL MEJORAMIENTO DE LA VIVIENDA, EN LA LOCALIDAD CERRO EL CHIVO, MUNICIPIO SANTA MARÍA HUAZOLOTITLÁN.</t>
  </si>
  <si>
    <t>0016 - CERRO EL CHIVO</t>
  </si>
  <si>
    <t>CONSTRUCCIÓN DE TECHO FIRME PARA EL MEJORAMIENTO DE LA VIVIENDA, EN LA LOCALIDAD SANTA MARÍA CHICOMETEPEC, MUNICIPIO SANTA MARÍA HUAZOLOTITLÁN.</t>
  </si>
  <si>
    <t>0009 - SANTA MARÍA CHICOMETEPEC</t>
  </si>
  <si>
    <t>CONSTRUCCIÓN DE TECHO FIRME PARA EL MEJORAMIENTO DE LA VIVIENDA, EN LA LOCALIDAD CERRO BLANCO, MUNICIPIO SANTA MARÍA HUAZOLOTITLÁN.</t>
  </si>
  <si>
    <t>0002 - CERRO BLANCO</t>
  </si>
  <si>
    <t>CONSTRUCCIÓN DE TECHO FIRME PARA EL MEJORAMIENTO DE LA VIVIENDA, EN LA LOCALIDAD EL POTRERO, MUNICIPIO SANTA MARÍA HUAZOLOTITLÁN.</t>
  </si>
  <si>
    <t>0008 - EL POTRERO</t>
  </si>
  <si>
    <t>CONSTRUCCIÓN DE TECHO FIRME PARA EL MEJORAMIENTO DE LA VIVIENDA, EN LA LOCALIDAD SANTA MARÍA HUAZOLOTITLÁN, MUNICIPIO SANTA MARÍA HUAZOLOTITLÁN.</t>
  </si>
  <si>
    <t>CONSTRUCCIÓN DE PISO FIRME PARA EL MEJORAMIENTO DE LA VIVIENDA, EN LA LOCALIDAD ARROYO MACHO, MUNICIPIO SANTIAGO CAMOTLÁN.</t>
  </si>
  <si>
    <t>0002 - ARROYO MACHO</t>
  </si>
  <si>
    <t>CONSTRUCCIÓN DE TECHO FIRME PARA EL MEJORAMIENTO DE LA VIVIENDA, EN LA LOCALIDAD YAXE, MUNICIPIO YAXE.</t>
  </si>
  <si>
    <t>561 - YAXE</t>
  </si>
  <si>
    <t>0001 - YAXE</t>
  </si>
  <si>
    <t>CONSTRUCCIÓN DE TECHO FIRME PARA EL MEJORAMIENTO DE LA VIVIENDA, EN LA LOCALIDAD LA HUMEDAD, MUNICIPIO SANTIAGO IXTAYUTLA.</t>
  </si>
  <si>
    <t>0008 - LA HUMEDAD</t>
  </si>
  <si>
    <t>CONSTRUCCIÓN DE TECHO FIRME PARA EL MEJORAMIENTO DE LA VIVIENDA, EN LA LOCALIDAD LLANO VERDE, MUNICIPIO SANTIAGO IXTAYUTLA.</t>
  </si>
  <si>
    <t>0010 - LLANO VERDE</t>
  </si>
  <si>
    <t>CONSTRUCCIÓN DE TECHO FIRME PARA EL MEJORAMIENTO DE LA VIVIENDA, EN LA LOCALIDAD SANTIAGO IXTAYUTLA, MUNICIPIO SANTIAGO IXTAYUTLA.</t>
  </si>
  <si>
    <t>0001 - SANTIAGO IXTAYUTLA</t>
  </si>
  <si>
    <t>CONSTRUCCIÓN DE SANITARIO CON BIODIGESTOR PARA EL MEJORAMIENTO DE LA VIVIENDA, EN LA LOCALIDAD YUTANDUCHI DE GUERRERO, MUNICIPIO YUTANDUCHI DE GUERRERO.</t>
  </si>
  <si>
    <t>CONSTRUCCIÓN DE TECHO FIRME PARA EL MEJORAMIENTO DE LA VIVIENDA, EN LA LOCALIDAD RÍO CACHO, MUNICIPIO SANTA MARÍA PEÑOLES.</t>
  </si>
  <si>
    <t>0012 - RÍO CACHO</t>
  </si>
  <si>
    <t>CONSTRUCCIÓN DE TECHO FIRME PARA EL MEJORAMIENTO DE LA VIVIENDA, EN LA LOCALIDAD SANTA MARÍA PEÑOLES, MUNICIPIO SANTA MARÍA PEÑOLES.</t>
  </si>
  <si>
    <t>0001 - SANTA MARÍA PEÑOLES</t>
  </si>
  <si>
    <t> -97.001193</t>
  </si>
  <si>
    <t>CONSTRUCCIÓN DE TECHO FIRME PARA EL MEJORAMIENTO DE LA VIVIENDA, EN LA LOCALIDAD SAN PEDRO CHOLULA, MUNICIPIO SANTA MARÍA PEÑOLES.</t>
  </si>
  <si>
    <t> -97.051977</t>
  </si>
  <si>
    <t> -97.051623</t>
  </si>
  <si>
    <t>CONSTRUCCIÓN DE PISO FIRME PARA EL MEJORAMIENTO DE LA VIVIENDA, EN LA LOCALIDAD PUEBLO VIEJO, MUNICIPIO MAGDALENA PEÑASCO.</t>
  </si>
  <si>
    <t>CONSTRUCCIÓN DE CUARTO DORMITORIO PARA EL MEJORAMIENTO DE LA VIVIENDA, EN LA LOCALIDAD SANTA CRUZ XITLA, MUNICIPIO SANTA CRUZ XITLA.</t>
  </si>
  <si>
    <t>384 - SANTA CRUZ XITLA</t>
  </si>
  <si>
    <t>0001 - SANTA CRUZ XITLA</t>
  </si>
  <si>
    <t>CONSTRUCCIÓN DE PISO FIRME PARA EL MEJORAMIENTO DE LA VIVIENDA, EN LA LOCALIDAD OAXACA DE JUÁREZ, MUNICIPIO OAXACA DE JUÁREZ.</t>
  </si>
  <si>
    <t>CONSTRUCCIÓN DE TECHO FIRME PARA EL MEJORAMIENTO DE LA VIVIENDA, EN LA LOCALIDAD PIEDRA BLANCA, MUNICIPIO SAN JUAN GUICHICOVI.</t>
  </si>
  <si>
    <t>0015 - PIEDRA BLANCA</t>
  </si>
  <si>
    <t>CONSTRUCCIÓN DE TECHO FIRME PARA EL MEJORAMIENTO DE LA VIVIENDA, EN LA LOCALIDAD SAN PEDRO TIDAÁ, MUNICIPIO SAN PEDRO TIDAÁ.</t>
  </si>
  <si>
    <t>331 - SAN PEDRO TIDAÁ</t>
  </si>
  <si>
    <t>0001 - SAN PEDRO TIDAÁ</t>
  </si>
  <si>
    <t>CONSTRUCCIÓN DE TECHO FIRME PARA EL MEJORAMIENTO DE LA VIVIENDA, EN LA LOCALIDAD EL TORTUGUERO, MUNICIPIO SAN JUAN MAZATLÁN.</t>
  </si>
  <si>
    <t>207 - SAN JUAN MAZATLÁN</t>
  </si>
  <si>
    <t>0009 - EL TORTUGUERO</t>
  </si>
  <si>
    <t>CONSTRUCCIÓN DE TECHO FIRME PARA EL MEJORAMIENTO DE LA VIVIENDA, EN LA LOCALIDAD SANTA MARÍA ALOTEPEC, MUNICIPIO SANTA MARÍA ALOTEPEC.</t>
  </si>
  <si>
    <t>0001 - SANTA MARÍA ALOTEPEC</t>
  </si>
  <si>
    <t>CONSTRUCCIÓN DE TECHO FIRME PARA EL MEJORAMIENTO DE LA VIVIENDA, EN LA LOCALIDAD DONAJÍ, MUNICIPIO MATÍAS ROMERO AVENDAÑO.</t>
  </si>
  <si>
    <t>CONSTRUCCIÓN DE PISO FIRME PARA EL MEJORAMIENTO DE LA VIVIENDA, EN LA LOCALIDAD SAN JOSÉ YOSOJICA, MUNICIPIO SAN AGUSTÍN TLACOTEPEC.</t>
  </si>
  <si>
    <t>086 - SAN AGUSTÍN TLACOTEPEC</t>
  </si>
  <si>
    <t>0005 - SAN JOSÉ YOSOJICA</t>
  </si>
  <si>
    <t>CONSTRUCCIÓN DE PISO FIRME PARA EL MEJORAMIENTO DE LA VIVIENDA, EN LA LOCALIDAD SAN AGUSTÍN TLACOTEPEC, MUNICIPIO SAN AGUSTÍN TLACOTEPEC.</t>
  </si>
  <si>
    <t>0001 - SAN AGUSTÍN TLACOTEPEC</t>
  </si>
  <si>
    <t>CONSTRUCCIÓN DE TECHO FIRME PARA EL MEJORAMIENTO DE LA VIVIENDA, EN LA LOCALIDAD LA PE, MUNICIPIO LA PE.</t>
  </si>
  <si>
    <t>069 - LA PE</t>
  </si>
  <si>
    <t>0001 - LA PE</t>
  </si>
  <si>
    <t>CONSTRUCCIÓN DE CUARTO DORMITORIO PARA EL MEJORAMIENTO DE LA VIVIENDA, EN LA LOCALIDAD SANTA CRUZ OZOLOTEPEC, MUNICIPIO SANTA MARÍA OZOLOTEPEC.</t>
  </si>
  <si>
    <t>0007 - SANTA CRUZ OZOLOTEPEC</t>
  </si>
  <si>
    <t> -96.301067</t>
  </si>
  <si>
    <t> -96.3017565</t>
  </si>
  <si>
    <t> -96.2988783</t>
  </si>
  <si>
    <t> -96.303269</t>
  </si>
  <si>
    <t> -96.303348</t>
  </si>
  <si>
    <t>CONSTRUCCIÓN DE CUARTO DORMITORIO PARA EL MEJORAMIENTO DE LA VIVIENDA, EN LA LOCALIDAD SAN JUAN GUIVINI, MUNICIPIO SAN FRANCISCO OZOLOTEPEC.</t>
  </si>
  <si>
    <t>148 - SAN FRANCISCO OZOLOTEPEC</t>
  </si>
  <si>
    <t>0003 - SAN JUAN GUIVINI</t>
  </si>
  <si>
    <t> -96.19348752530648</t>
  </si>
  <si>
    <t>CONSTRUCCIÓN DE CUARTO DORMITORIO PARA EL MEJORAMIENTO DE LA VIVIENDA, EN LA LOCALIDAD CIENEGUILLA, MUNICIPIO SAN SEBASTIÁN RÍO HONDO.</t>
  </si>
  <si>
    <t>0002 - CIENEGUILLA</t>
  </si>
  <si>
    <t>CONSTRUCCIÓN DE TECHO FIRME PARA EL MEJORAMIENTO DE LA VIVIENDA, EN LA LOCALIDAD PEÑA VERDE, MUNICIPIO SANTA MARÍA PÁPALO.</t>
  </si>
  <si>
    <t>425 - SANTA MARÍA PÁPALO</t>
  </si>
  <si>
    <t>0002 - PEÑA VERDE</t>
  </si>
  <si>
    <t>CONSTRUCCIÓN DE TECHO FIRME PARA EL MEJORAMIENTO DE LA VIVIENDA, EN LA LOCALIDAD RÍO JALAPILLA, MUNICIPIO SAN PABLO CUATRO VENADOS.</t>
  </si>
  <si>
    <t>292 - SAN PABLO CUATRO VENADOS</t>
  </si>
  <si>
    <t>0002 - RÍO JALAPILLA</t>
  </si>
  <si>
    <t> -96.890861</t>
  </si>
  <si>
    <t> -96.890762</t>
  </si>
  <si>
    <t> -96.890992</t>
  </si>
  <si>
    <t> -96.890143</t>
  </si>
  <si>
    <t>CONSTRUCCIÓN DE TECHO FIRME PARA EL MEJORAMIENTO DE LA VIVIENDA, EN LA LOCALIDAD LA UNIÓN, MUNICIPIO SANTA MARÍA PETAPA.</t>
  </si>
  <si>
    <t>0008 - LA UNIÓN</t>
  </si>
  <si>
    <t>CONSTRUCCIÓN DE CUARTO DORMITORIO PARA EL MEJORAMIENTO DE LA VIVIENDA, EN LA LOCALIDAD SANTA MARÍA PETATENGO, MUNICIPIO SAN MIGUEL DEL PUERTO.</t>
  </si>
  <si>
    <t>0026 - SANTA MARÍA PETATENGO</t>
  </si>
  <si>
    <t>CONSTRUCCIÓN DE PISO FIRME PARA EL MEJORAMIENTO DE LA VIVIENDA, EN LA LOCALIDAD SAN CRISTÓBAL AMATLÁN, MUNICIPIO SAN CRISTÓBAL AMATLÁN.</t>
  </si>
  <si>
    <t>126 - SAN CRISTÓBAL AMATLÁN</t>
  </si>
  <si>
    <t>0001 - SAN CRISTÓBAL AMATLÁN</t>
  </si>
  <si>
    <t>CONSTRUCCIÓN DE CUARTO DORMITORIO PARA EL MEJORAMIENTO DE LA VIVIENDA, EN LA LOCALIDAD MIAHUATLÁN DE PORFIRIO DÍAZ, MUNICIPIO MIAHUATLÁN DE PORFIRIO DÍAZ.</t>
  </si>
  <si>
    <t>CONSTRUCCIÓN DE SANITARIO CON BIODIGESTOR PARA EL MEJORAMIENTO DE LA VIVIENDA, EN LA LOCALIDAD BUENAVISTA LOXICHA, MUNICIPIO SAN AGUSTÍN LOXICHA.</t>
  </si>
  <si>
    <t>0003 - BUENAVISTA LOXICHA</t>
  </si>
  <si>
    <t>CONSTRUCCIÓN DE PISO FIRME PARA EL MEJORAMIENTO DE LA VIVIENDA, EN LA LOCALIDAD SANTA CRUZ ACATEPEC, MUNICIPIO SANTA CRUZ ACATEPEC.</t>
  </si>
  <si>
    <t>374 - SANTA CRUZ ACATEPEC</t>
  </si>
  <si>
    <t>0001 - SANTA CRUZ ACATEPEC</t>
  </si>
  <si>
    <t>CONSTRUCCIÓN DE PISO FIRME PARA EL MEJORAMIENTO DE LA VIVIENDA, EN LA LOCALIDAD AGUA PEÑAFIEL, MUNICIPIO SANTA CRUZ ACATEPEC.</t>
  </si>
  <si>
    <t>0005 - AGUA PEÑAFIEL</t>
  </si>
  <si>
    <t>CONSTRUCCIÓN DE PISO FIRME PARA EL MEJORAMIENTO DE LA VIVIENDA, EN LA LOCALIDAD CUAJINICUIL, MUNICIPIO SAN JACINTO TLACOTEPEC.</t>
  </si>
  <si>
    <t>158 - SAN JACINTO TLACOTEPEC</t>
  </si>
  <si>
    <t>0002 - CUAJINICUIL</t>
  </si>
  <si>
    <t>CONSTRUCCIÓN DE PISO FIRME PARA EL MEJORAMIENTO DE LA VIVIENDA, EN LA LOCALIDAD SAN JUAN JUQUILA VIJANOS, MUNICIPIO SAN JUAN JUQUILA VIJANOS.</t>
  </si>
  <si>
    <t>201 - SAN JUAN JUQUILA VIJANOS</t>
  </si>
  <si>
    <t>0001 - SAN JUAN JUQUILA VIJANOS</t>
  </si>
  <si>
    <t>CONSTRUCCIÓN DE PISO FIRME PARA EL MEJORAMIENTO DE LA VIVIENDA, EN LA LOCALIDAD ARROYO FRIJOL, MUNICIPIO SAN JOSÉ CHILTEPEC.</t>
  </si>
  <si>
    <t>0004 - ARROYO FRIJOL</t>
  </si>
  <si>
    <t>CONSTRUCCIÓN DE PISO FIRME PARA EL MEJORAMIENTO DE LA VIVIENDA, EN LA LOCALIDAD BUENOS AIRES, MUNICIPIO SAN JOSÉ CHILTEPEC.</t>
  </si>
  <si>
    <t>0008 - BUENOS AIRES</t>
  </si>
  <si>
    <t>CONSTRUCCIÓN DE PISO FIRME PARA EL MEJORAMIENTO DE LA VIVIENDA, EN LA LOCALIDAD SAN PEDRO TOTOLÁPAM, MUNICIPIO SAN PEDRO TOTOLÁPAM.</t>
  </si>
  <si>
    <t>CONSTRUCCIÓN DE PISO FIRME PARA EL MEJORAMIENTO DE LA VIVIENDA, EN LA LOCALIDAD OCOTLÁN DE JUÁREZ, MUNICIPIO SANTIAGO TETEPEC.</t>
  </si>
  <si>
    <t>CONSTRUCCIÓN DE PISO FIRME PARA EL MEJORAMIENTO DE LA VIVIENDA, EN LA LOCALIDAD GUADALUPE DEL TAMBOR, MUNICIPIO SANTIAGO TETEPEC.</t>
  </si>
  <si>
    <t>0004 - GUADALUPE DEL TAMBOR</t>
  </si>
  <si>
    <t>CONSTRUCCIÓN DE TECHO FIRME PARA EL MEJORAMIENTO DE LA VIVIENDA, EN LA LOCALIDAD SANTA CRUZ XOXOCOTLÁN, MUNICIPIO SANTA CRUZ XOXOCOTLÁN.</t>
  </si>
  <si>
    <t> -96.747942</t>
  </si>
  <si>
    <t> -96.748345</t>
  </si>
  <si>
    <t> -96.758963</t>
  </si>
  <si>
    <t>CONSTRUCCIÓN DE PISO FIRME PARA EL MEJORAMIENTO DE LA VIVIENDA, EN LA LOCALIDAD SAN GABRIEL ALMOLOYA, MUNICIPIO SAN JUAN BAUTISTA CUICATLÁN.</t>
  </si>
  <si>
    <t>0006 - SAN GABRIEL ALMOLOYA</t>
  </si>
  <si>
    <t> -97.0359901011</t>
  </si>
  <si>
    <t>CONSTRUCCIÓN DE TECHO FIRME PARA EL MEJORAMIENTO DE LA VIVIENDA, EN LA LOCALIDAD SAN PEDRO TULIXTLAHUACA, MUNICIPIO SAN ANTONIO TEPETLAPA.</t>
  </si>
  <si>
    <t>CONSTRUCCIÓN DE SANITARIO CON BIODIGESTOR PARA EL MEJORAMIENTO DE LA VIVIENDA, EN LA LOCALIDAD YOSOCAHUA, MUNICIPIO MAGDALENA PEÑASCO.</t>
  </si>
  <si>
    <t>CONSTRUCCIÓN DE CUARTO PARA COCINA PARA EL MEJORAMIENTO DE LA VIVIENDA, EN LA LOCALIDAD EL PROGRESO (SAN JUAN ELOTEPEC), MUNICIPIO VILLA SOLA DE VEGA.</t>
  </si>
  <si>
    <t>0022 - EL PROGRESO (SAN JUAN ELOTEPEC)</t>
  </si>
  <si>
    <t>CONSTRUCCIÓN DE CUARTO PARA COCINA PARA EL MEJORAMIENTO DE LA VIVIENDA, EN LA LOCALIDAD SANTA CATARINA XANAGUÍA, MUNICIPIO SAN JUAN OZOLOTEPEC.</t>
  </si>
  <si>
    <t>211 - SAN JUAN OZOLOTEPEC</t>
  </si>
  <si>
    <t>0003 - SANTA CATARINA XANAGUÍA</t>
  </si>
  <si>
    <t>CONSTRUCCIÓN DE CUARTO DORMITORIO PARA EL MEJORAMIENTO DE LA VIVIENDA, EN LA LOCALIDAD SAN SEBASTIÁN COATLÁN, MUNICIPIO SAN SEBASTIÁN COATLÁN.</t>
  </si>
  <si>
    <t>0001 - SAN SEBASTIÁN COATLÁN</t>
  </si>
  <si>
    <t>CONSTRUCCIÓN DE TECHO FIRME PARA EL MEJORAMIENTO DE LA VIVIENDA, EN LA LOCALIDAD LA TORTOLITA, MUNICIPIO OCOTLÁN DE MORELOS.</t>
  </si>
  <si>
    <t>068 - OCOTLÁN DE MORELOS</t>
  </si>
  <si>
    <t>0025 - LA TORTOLITA</t>
  </si>
  <si>
    <t>CONSTRUCCIÓN DE SANITARIO CON BIODIGESTOR PARA EL MEJORAMIENTO DE LA VIVIENDA, EN LA LOCALIDAD SANTA CRUZ, MUNICIPIO SAN MATEO PEÑASCO.</t>
  </si>
  <si>
    <t>252 - SAN MATEO PEÑASCO</t>
  </si>
  <si>
    <t>CONSTRUCCIÓN DE SANITARIO CON BIODIGESTOR PARA EL MEJORAMIENTO DE LA VIVIENDA, EN LA LOCALIDAD SAN MATEO PEÑASCO, MUNICIPIO SAN MATEO PEÑASCO.</t>
  </si>
  <si>
    <t>0001 - SAN MATEO PEÑASCO</t>
  </si>
  <si>
    <t>CONSTRUCCIÓN DE PISO FIRME PARA EL MEJORAMIENTO DE LA VIVIENDA, EN LA LOCALIDAD SAN MATEO PEÑASCO, MUNICIPIO SAN MATEO PEÑASCO.</t>
  </si>
  <si>
    <t>CONSTRUCCIÓN DE PISO FIRME PARA EL MEJORAMIENTO DE LA VIVIENDA, EN LA LOCALIDAD SANTA CRUZ, MUNICIPIO SAN MATEO PEÑASCO.</t>
  </si>
  <si>
    <t>CONSTRUCCIÓN DE SANITARIO CON BIODIGESTOR PARA EL MEJORAMIENTO DE LA VIVIENDA, EN LA LOCALIDAD SAN JUAN TEITIPAC, MUNICIPIO SAN JUAN TEITIPAC.</t>
  </si>
  <si>
    <t>CONSTRUCCIÓN DE PISO FIRME PARA EL MEJORAMIENTO DE LA VIVIENDA, EN LA LOCALIDAD SAN JUAN TEITIPAC, MUNICIPIO SAN JUAN TEITIPAC.</t>
  </si>
  <si>
    <t>CONSTRUCCIÓN DE PISO FIRME PARA EL MEJORAMIENTO DE LA VIVIENDA, EN LA LOCALIDAD SAN ALEJO EL PROGRESO, MUNICIPIO SAN FRANCISCO CHAPULAPA.</t>
  </si>
  <si>
    <t>139 - SAN FRANCISCO CHAPULAPA</t>
  </si>
  <si>
    <t>0003 - SAN ALEJO EL PROGRESO</t>
  </si>
  <si>
    <t>CONSTRUCCIÓN DE PISO FIRME PARA EL MEJORAMIENTO DE LA VIVIENDA, EN LA LOCALIDAD GUADALUPE SIETE CERROS, MUNICIPIO SAN FRANCISCO CHAPULAPA.</t>
  </si>
  <si>
    <t>0004 - GUADALUPE SIETE CERROS</t>
  </si>
  <si>
    <t>CONSTRUCCIÓN DE CUARTO DORMITORIO PARA EL MEJORAMIENTO DE LA VIVIENDA, EN LA LOCALIDAD PUERTO GRANDE, MUNICIPIO SAN FRANCISCO DEL MAR.</t>
  </si>
  <si>
    <t>CONSTRUCCIÓN DE CUARTO DORMITORIO PARA EL MEJORAMIENTO DE LA VIVIENDA, EN LA LOCALIDAD GUADALUPE BUENAVISTA, MUNICIPIO SANTA MARÍA YUCUHITI.</t>
  </si>
  <si>
    <t>0002 - GUADALUPE BUENAVISTA</t>
  </si>
  <si>
    <t>CONSTRUCCIÓN DE CUARTO DORMITORIO PARA EL MEJORAMIENTO DE LA VIVIENDA, EN LA LOCALIDAD SAN JUAN MIXTEPEC DISTRITO 26, MUNICIPIO SAN JUAN MIXTEPEC DISTRITO 26.</t>
  </si>
  <si>
    <t>209 - SAN JUAN MIXTEPEC -DTO. 26 -</t>
  </si>
  <si>
    <t>0001 - SAN JUAN MIXTEPEC DISTRITO 26</t>
  </si>
  <si>
    <t>CONSTRUCCIÓN DE CUARTO DORMITORIO PARA EL MEJORAMIENTO DE LA VIVIENDA, EN LA LOCALIDAD SANTA LUCÍA MIAHUATLÁN, MUNICIPIO SANTA LUCÍA MIAHUATLÁN.</t>
  </si>
  <si>
    <t>0001 - SANTA LUCÍA MIAHUATLÁN</t>
  </si>
  <si>
    <t>CONSTRUCCIÓN DE CUARTO DORMITORIO PARA EL MEJORAMIENTO DE LA VIVIENDA, EN LA LOCALIDAD LA CHINILLA, MUNICIPIO SANTA LUCÍA MIAHUATLÁN.</t>
  </si>
  <si>
    <t>0004 - LA CHINILLA</t>
  </si>
  <si>
    <t>CONSTRUCCIÓN DE TECHO FIRME PARA EL MEJORAMIENTO DE LA VIVIENDA, EN LA LOCALIDAD SAN PEDRO IXTLAHUACA, MUNICIPIO SAN PEDRO IXTLAHUACA.</t>
  </si>
  <si>
    <t>CONSTRUCCIÓN DE TECHO FIRME PARA EL MEJORAMIENTO DE LA VIVIENDA, EN LA LOCALIDAD CAÑADA ALEJANDRO, MUNICIPIO HEROICA CIUDAD DE TLAXIACO.</t>
  </si>
  <si>
    <t>0054 - CAÑADA ALEJANDRO</t>
  </si>
  <si>
    <t>CONSTRUCCIÓN DE PISO FIRME PARA EL MEJORAMIENTO DE LA VIVIENDA, EN LA LOCALIDAD SAN JUAN BAUTISTA TUXTEPEC, MUNICIPIO SAN JUAN BAUTISTA TUXTEPEC.</t>
  </si>
  <si>
    <t>AMPLIACIÓN DEL SISTEMA DE AGUA POTABLE EN LA LOCALIDAD SANTIAGO ZOOCHILA, MUNICIPIO SANTIAGO ZOOCHILA</t>
  </si>
  <si>
    <t>503 - SANTIAGO ZOOCHILA</t>
  </si>
  <si>
    <t>0001 - SANTIAGO ZOOCHILA</t>
  </si>
  <si>
    <t>AMPLIACIÓN DEL SISTEMA DE AGUA POTABLE 3RA. ETAPA EN LA LOCALIDAD SANTA MARÍA TEMAXCALAPA, MUNICIPIO DE SANTA MARÍA TEMAXCALAPA</t>
  </si>
  <si>
    <t>432 - SANTA MARÍA TEMAXCALAPA</t>
  </si>
  <si>
    <t>0001 - SANTA MARÍA TEMAXCALAPA</t>
  </si>
  <si>
    <t>REHABILITACIÓN DEL SISTEMA DE AGUA POTABLE EN LA LOCALIDAD SANTA CRUZ HIDALGO, MUNICIPIO SANTO DOMINGO TEHUANTEPEC</t>
  </si>
  <si>
    <t>0026 - SANTA CRUZ HIDALGO</t>
  </si>
  <si>
    <t>CONSTRUCCIÓN DE TECHADO EN ÁREA DE IMPARTICIÓN DE EDUCACIÓN FÍSICA EN LA ESCUELA PRIMARIA "PLAN DE AYALA", CON CLAVE ESCOLAR: 20DPB0072C, EN LA LOCALIDAD DE CRUZ CHIQUITA MUNICIPIO DE SANTIAGO JUXTLAHUACA.</t>
  </si>
  <si>
    <t>0010 - CRUZ CHIQUITA</t>
  </si>
  <si>
    <t>CONSTRUCCIÓN DE TECHADO EN ÁREA DE IMPARTICIÓN DE EDUCACIÓN FISICA EN LA ESCUELA PRIMARIA "EL PORVENIR" CON CLAVE ESCOLAR: 20DPB0501D, EN LA LOCALIDAD RÍO LAGARTO, MUNICIPIO SANTIAGO JUXTLAHUACA.</t>
  </si>
  <si>
    <t>0022 - RÍO LAGARTO</t>
  </si>
  <si>
    <t>CONSTRUCCIÓN DE SANITARIOS EN LA ESCUELA PRIMARIA "ADOLFO LÓPEZ MATEOS" CON CLAVE ESCOLAR: 20DPB0669J, DE LA LOCALIDAD DE BUENAVISTA, DEL MUNICIPIO DE SANTIAGO TILANTONGO</t>
  </si>
  <si>
    <t>0002 - BUENAVISTA</t>
  </si>
  <si>
    <t>CONSTRUCCIÓN DE AULA EN LA ESCUELA PRIMARIA "VALENTÍN GÓMEZ FARÍAS" CON CLAVE ESCOLAR: 20DPB0457G, EN LA LOCALIDAD DE CAÑADA DE GUADALUPE, MUNICIPIO DE SANTA MARÍA TEMAXCALTEPEC.</t>
  </si>
  <si>
    <t>CONSTRUCCIÓN DE TECHADO EN ÁREA DE IMPARTICIÓN DE EDUCACIÓN FÍSICA EN IEBO NÚM. 80 CON CLAVE ESCOLAR: 20ETH0080R, EN LA LOCALIDAD SANTA MARÍA YACOCHI, MUNICIPIO SANTA MARÍA TLAHUITOLTEPEC.</t>
  </si>
  <si>
    <t>CONSTRUCCIÓN DE TECHADO EN ÁREA DE IMPARTICIÓN DE EDUCACIÓN FÍSICA EN ESCUELA TELESECUNDARIA CON CLAVE ESCOLAR: 20DTV0870X, EN LA LOCALIDAD SAN ALEJO EL PROGRESO, MUNICIPIO SAN FRANCISCO CHAPULAPA</t>
  </si>
  <si>
    <t>CONSTRUCCIÓN DE AULA EN ESCUELA TELESECUNDARIA CON CLAVE ESCOLAR: 20DTV0125R, EN LA LOCALIDAD SANTIAGO TAPEXTLA, MUNICIPIO SANTIAGO TAPEXTLA</t>
  </si>
  <si>
    <t>CONSTRUCCIÓN DE AULA EN ESCUELA PRIMARIA "IGNACIO ALLENDE" CON CLAVE ESCOLAR: 20DPB0536T, EN LA LOCALIDAD SANTIAGO TETEPEC, MUNICIPIO SANTIAGO TETEPEC</t>
  </si>
  <si>
    <t>0001 - SANTIAGO TETEPEC</t>
  </si>
  <si>
    <t>CONSTRUCCIÓN DE AULA EN ESCUELA PRIMARIA "CARLOS M. BUSTAMANTE" CON CLAVE ESCOLAR: 20DPR1075H, EN LA LOCALIDAD SANTA CRUZ PAPALUTLA, MUNICIPIO SANTA CRUZ PAPALUTLA</t>
  </si>
  <si>
    <t>380 - SANTA CRUZ PAPALUTLA</t>
  </si>
  <si>
    <t>0001 - SANTA CRUZ PAPALUTLA</t>
  </si>
  <si>
    <t>CONSTRUCCIÓN DE AULA EN JARDÍN DE NIÑOS RURAL "DOÑA JUANA C. ROMERO"  CON CLAVE ESCOLAR: 20DJN0854Q EN LA LOCALIDAD SANTA ANA TAVELA, MUNICIPIO DE SANTA ANA TAVELA.</t>
  </si>
  <si>
    <t>357 - SANTA ANA TAVELA</t>
  </si>
  <si>
    <t>0001 - SANTA ANA TAVELA</t>
  </si>
  <si>
    <t>CONSTRUCCIÓN DE AULA EN ESCUELA TELESECUNDARIA CON CLAVE ESCOLAR: 20DTV1246J, EN LA LOCALIDAD SANTIAGO YAITEPEC, MUNICIPIO SANTIAGO YAITEPEC</t>
  </si>
  <si>
    <t>CONSTRUCCIÓN DE AULA EN JARDÍN DE NIÑOS INDÍGENA  "EMILIANO ZAPATA" CON CLAVE ESCOLAR: 20DCC1328O, EN LA LOCALIDAD SAN MIGUEL PIEDRAS, MUNICIPIO SAN MIGUEL PIEDRAS.</t>
  </si>
  <si>
    <t>CONSTRUCCIÓN DE AULA EN ESCUELA TELESECUNDARIA CON CLAVE ESCOLAR: 20DTV1225X, EN LA LOCALIDAD SAN FRANCISCO CHAPULAPA, MUNICIPIO SAN FRANCISCO CHAPULAPA</t>
  </si>
  <si>
    <t>0001 - SAN FRANCISCO CHAPULAPA</t>
  </si>
  <si>
    <t>CONSTRUCCIÓN DE AULA EN ESCUELA PRIMARIA "BENITO JUÁREZ" CON CLAVE ESCOLAR: 20DPR0434X, EN LA LOCALIDAD LUCRECIA DE MATAMOROS, MUNICIPIO SAN ANDRÉS TEOTILÁLPAM</t>
  </si>
  <si>
    <t>0005 - LUCRECIA DE MATAMOROS</t>
  </si>
  <si>
    <t>CONSTRUCCIÓN DE AULA EN ESCUELA PRIMARIA "EMILIO CARRANZA" CON CLAVE ESCOLAR: 20DPB0133Z, EN LA LOCALIDAD SAN BARTOLOMÉ YUCUAÑE, MUNICIPIO SAN BARTOLOMÉ YUCUAÑE.</t>
  </si>
  <si>
    <t>119 - SAN BARTOLOMÉ YUCUAÑE</t>
  </si>
  <si>
    <t>0001 - SAN BARTOLOMÉ YUCUAÑE</t>
  </si>
  <si>
    <t>CONSTRUCCIÓN DE AULA EN ESCUELA TELESECUNDARIA CON CLAVE ESCOLAR: 20DTV1700J, EN LA LOCALIDAD LUCRECIA DE MATAMOROS, MUNICIPIO SAN ANDRÉS TEOTILÁLPAM</t>
  </si>
  <si>
    <t>CONSTRUCCIÓN DE TECHADO EN ÁREA DE IMPARTICIÓN DE EDUCACIÓN FÍSICA EN TELESECUNDARIA CON CLAVE ESCOLAR: 20DTV0100I, EN LA LOCALIDAD SAN FELIPE TEJALÁPAM, MUNICIPIO SAN FELIPE TEJALÁPAM.</t>
  </si>
  <si>
    <t>135 - SAN FELIPE TEJALÁPAM</t>
  </si>
  <si>
    <t>0001 - SAN FELIPE TEJALÁPAM</t>
  </si>
  <si>
    <t>CONSTRUCCIÓN DE TECHADO EN ÁREA DE IMPARTICIÓN DE EDUCACIÓN FÍSICA EN ESCUELA PRIMARIA "JUSTICIA Y LIBERTAD" CON CLAVE ESCOLAR: 20DPR0713H, EN LA LOCALIDAD SAN JUAN JUQUILA VIJANOS, MUNICIPIO SAN JUAN JUQUILA VIJANOS.</t>
  </si>
  <si>
    <t>REHABILITACIÓN DE DRENAJE SANITARIO EN LA COLONIA SANTA ELENA, LOCALIDAD DE SANTA CRUZ XOXOCOTLAN, MUNICIPIO SANTA CRUZ XOXOCOTLAN.</t>
  </si>
  <si>
    <t>EQUIPAMIENTO CON CALENTADOR SOLAR PARA EL MEJORAMIENTO DE LA VIVIENDA, EN LA LOCALIDAD SANTIAGO HUAXOLOTIPAC, MUNICIPIO SANTIAGO TLAZOYALTEPEC.</t>
  </si>
  <si>
    <t>CONSTRUCCIÓN DE TECHO FIRME PARA EL MEJORAMIENTO DE LA VIVIENDA, EN LA LOCALIDAD LOMA DE ÁGUILA, MUNICIPIO SANTIAGO TLAZOYALTEPEC.</t>
  </si>
  <si>
    <t>0020 - LOMA DE ÁGUILA</t>
  </si>
  <si>
    <t>CONSTRUCCIÓN DE TECHO FIRME PARA EL MEJORAMIENTO DE LA VIVIENDA, EN LA LOCALIDAD TANETZE DE ZARAGOZA, MUNICIPIO TANETZE DE ZARAGOZA.</t>
  </si>
  <si>
    <t>541 - TANETZE DE ZARAGOZA</t>
  </si>
  <si>
    <t>0001 - TANETZE DE ZARAGOZA</t>
  </si>
  <si>
    <t>CONSTRUCCIÓN DE TECHO FIRME PARA EL MEJORAMIENTO DE LA VIVIENDA, EN LA LOCALIDAD EL TEJÓN, MUNICIPIO SANTO DOMINGO PETAPA.</t>
  </si>
  <si>
    <t>513 - SANTO DOMINGO PETAPA</t>
  </si>
  <si>
    <t>0007 - EL TEJÓN</t>
  </si>
  <si>
    <t>CONSTRUCCIÓN DE TECHO FIRME PARA EL MEJORAMIENTO DE LA VIVIENDA, EN LA LOCALIDAD LA MACETA, MUNICIPIO SANTO DOMINGO PETAPA.</t>
  </si>
  <si>
    <t>0005 - LA MACETA</t>
  </si>
  <si>
    <t>CONSTRUCCIÓN DE TECHO FIRME PARA EL MEJORAMIENTO DE LA VIVIENDA, EN LA LOCALIDAD SANTO DOMINGO PETAPA, MUNICIPIO SANTO DOMINGO PETAPA.</t>
  </si>
  <si>
    <t>0001 - SANTO DOMINGO PETAPA</t>
  </si>
  <si>
    <t>CONSTRUCCIÓN DE TECHO FIRME PARA EL MEJORAMIENTO DE LA VIVIENDA, EN LA LOCALIDAD EL CAMPANARIO, MUNICIPIO SANTO DOMINGO PETAPA.</t>
  </si>
  <si>
    <t>0014 - EL CAMPANARIO</t>
  </si>
  <si>
    <t>CONSTRUCCIÓN DE SANITARIO CON BIODIGESTOR PARA EL MEJORAMIENTO DE LA VIVIENDA, EN LA LOCALIDAD SANTO DOMINGO ZANATEPEC, MUNICIPIO SANTO DOMINGO ZANATEPEC.</t>
  </si>
  <si>
    <t>CONSTRUCCIÓN DE CUARTO DORMITORIO PARA EL MEJORAMIENTO DE LA VIVIENDA, EN LA LOCALIDAD BARRIO NUEVO, MUNICIPIO SANTO DOMINGO DE MORELOS.</t>
  </si>
  <si>
    <t>0029 - BARRIO NUEVO</t>
  </si>
  <si>
    <t>CONSTRUCCIÓN DE CUARTO DORMITORIO PARA EL MEJORAMIENTO DE LA VIVIENDA, EN LA LOCALIDAD CAÑADA BRAVA, MUNICIPIO SANTO DOMINGO DE MORELOS.</t>
  </si>
  <si>
    <t>0010 - CAÑADA BRAVA</t>
  </si>
  <si>
    <t>CONSTRUCCIÓN DE CUARTO DORMITORIO PARA EL MEJORAMIENTO DE LA VIVIENDA, EN LA LOCALIDAD MACAHUITERA, MUNICIPIO SANTO DOMINGO DE MORELOS.</t>
  </si>
  <si>
    <t>0027 - MACAHUITERA</t>
  </si>
  <si>
    <t>CONSTRUCCIÓN DE CUARTO DORMITORIO PARA EL MEJORAMIENTO DE LA VIVIENDA, EN LA LOCALIDAD SANTO DOMINGO DE MORELOS, MUNICIPIO SANTO DOMINGO DE MORELOS.</t>
  </si>
  <si>
    <t>0001 - SANTO DOMINGO DE MORELOS</t>
  </si>
  <si>
    <t>EQUIPAMIENTO DEL HOSPITAL GENERAL "DR. AURELIO VALDIVIESO" EN LA LOCALIDAD DE OAXACA DE JUÁREZ</t>
  </si>
  <si>
    <t>EQUIPAMIENTO DEL HOSPITAL GENERAL EN LA LOCALIDAD DE SAN JUAN BAUTISTA TUXTEPEC</t>
  </si>
  <si>
    <t>ADQUISICIÓN DE EQUIPAMIENTO PARA EL "CENTRO DE SALUD CON SERVICIOS AMPLIADOS DE SANTIAGO ASTATA"</t>
  </si>
  <si>
    <t>453 - SANTIAGO ASTATA</t>
  </si>
  <si>
    <t>0001 - SANTIAGO ASTATA</t>
  </si>
  <si>
    <t>CONSTRUCCIÓN DE SANITARIOS EN JARDÍN DE NIÑOS "FRANCISCO GABILONDO SOLER" CON CLAVE ESCOLAR: 20DJN1299Z, EN LA LOCALIDAD SAN AGUSTIN AMATENGO, MUNICIPIO SAN AGUSTÍN AMATENGO</t>
  </si>
  <si>
    <t>080 - SAN AGUSTÍN AMATENGO</t>
  </si>
  <si>
    <t>0001 - SAN AGUSTÍN AMATENGO</t>
  </si>
  <si>
    <t>FORTALECIMIENTO DE ACCIONES LEGALES A PROCURADURÍAS MUNICIPALES (YO TE CUIDO)</t>
  </si>
  <si>
    <t>FORTALECIMIENTO EN LA ASESORÍA Y REPRESENTACIÓN JURÍDICA DE NIÑAS, NIÑOS Y ADOLESCENTES  (MIS DERECHOS SE DEFIENDEN)</t>
  </si>
  <si>
    <t>MANTENIMIENTO A EDIFICIOS DE LA FACULTAD DE IDIOMAS - SEDE "BURGOA" OAXACA</t>
  </si>
  <si>
    <t>MANTENIMIENTO A EDIFICIOS DE LA FACULTAD DE IDIOMAS - SEDE TEHUANTEPEC</t>
  </si>
  <si>
    <t>EQUIPAMIENTO PARA CENTRO DE INTEGRACIÓN SOCIAL "BENITO JUÁREZ" CON CLAVE ESCOLAR: 20DCI0001Y, EN LA LOCALIDAD GUELATAO DE JUÁREZ, MUNICIPIO GUELATAO DE JUÁREZ</t>
  </si>
  <si>
    <t>601 - FIDEICOMISO PARA EL DESARROLLO LOGÍSTICO DEL ESTADO DE OAXACA</t>
  </si>
  <si>
    <t>601001 - FIDEICOMISO PARA EL DESARROLLO LOGÍSTICO DEL ESTADO DE OAXACA</t>
  </si>
  <si>
    <t>REHABILITACIÓN DE PLANTA PURIFICADORA DE AGUA DE SAN MIGUEL MIXTEPEC</t>
  </si>
  <si>
    <t>271 - SAN MIGUEL MIXTEPEC</t>
  </si>
  <si>
    <t>0001 - SAN MIGUEL MIXTEPEC</t>
  </si>
  <si>
    <t>EQUIPAMIENTO DE PLANTA PURIFICADORA DE AGUA DE SAN MIGUEL MIXTEPEC</t>
  </si>
  <si>
    <t>REHABILITACIÓN DE CENTRO DE SALUD RURAL DE 01 NÚCLEO BÁSICO EN LA LOCALIDAD DE LÁZARO CÁRDENAS</t>
  </si>
  <si>
    <t>136 - SAN FELIPE USILA</t>
  </si>
  <si>
    <t>0012 - LÁZARO CÁRDENAS</t>
  </si>
  <si>
    <t>MANTENIMIENTO INTEGRAL EN LA UNIVERSIDAD DE LA SIERRA JUÁREZ (EQUIPO DE LABORATORIO)</t>
  </si>
  <si>
    <t>MANTENIMIENTO INTEGRAL EN LA UNIVERSIDAD DE LA SIERRA JUÁREZ (REHABILITACIÓN EN ÁREAS)</t>
  </si>
  <si>
    <t>MANTENIMIENTO INTEGRAL EN LA UNIVERSIDAD DE LA SIERRA JUÁREZ (MANTENIMIENTO EN ÁREAS)</t>
  </si>
  <si>
    <t>CENTRO DE SENSIBILIZACIÓN Y CULTURA AMBIENTAL PARA LA GESTIÓN SUSTENTABLE EN LA UNIVERSIDAD DE LA SIERRA JUÁREZ (2DA. ETAPA) (CONSTRUCCIÓN)</t>
  </si>
  <si>
    <t>CENTRO DE SENSIBILIZACIÓN Y CULTURA AMBIENTAL PARA LA GESTIÓN SUSTENTABLE EN LA UNIVERSIDAD DE LA SIERRA JUÁREZ (2DA. ETAPA) (EQUIPAMIENTO 2DA. ETAPA)</t>
  </si>
  <si>
    <t>CENTRO DE SENSIBILIZACIÓN Y CULTURA AMBIENTAL PARA LA GESTIÓN SUSTENTABLE EN LA UNIVERSIDAD DE LA SIERRA JUÁREZ (2DA. ETAPA) (REHABILITACIÓN)</t>
  </si>
  <si>
    <t>568 - SISTEMA DE TRANSPORTE COLECTIVO METROPOLITANO CITYBUS OAXACA</t>
  </si>
  <si>
    <t>568001 - SISTEMA DE TRANSPORTE COLECTIVO METROPOLITANO CITYBUS OAXACA</t>
  </si>
  <si>
    <t>INSTALACIÓN, CONFIGURACIÓN Y PUESTA A PUNTO DE EQUIPAMIENTO TECNOLÓGICO Y PLATAFORMA DIGITAL INTEGRAL DE GESTIÓN, CONTROL DE FLOTA Y RECAUDACIÓN DEL SISTEMA DE TRANSPORTE COLECTIVO METROPOLITANO CITYBUS OAXACA.</t>
  </si>
  <si>
    <t>0051 - VIGUERA</t>
  </si>
  <si>
    <t>OBRA EXTERIOR 2° ETAPA PARA ACCESO Y SEGURIDAD DE LA ENTRADA EN EXTENSIÓN SANTO DOMINGO IXCATLÁN</t>
  </si>
  <si>
    <t>510 - SANTO DOMINGO IXCATLÁN</t>
  </si>
  <si>
    <t>0001 - SANTO DOMINGO IXCATLÁN</t>
  </si>
  <si>
    <t>ELABORACIÓN DEL ESTUDIO Y PROYECTO PARA ENCAUZAMIENTO Y VIALIDADES LATERALES EN EL RÍO ATOYAC, TRAMO DEL PUENTE LA EXGARITA- AL PUENTE DEL AEROPUERTO INTERNACIONAL DE OAXACA.</t>
  </si>
  <si>
    <t>REPARACIONES GENERALES EN JARDÍN DE NIÑOS "BRÍGIDA GARCÍA" CON CLAVE ESCOLAR: 20DJN0086Q, EN LA LOCALIDAD GUELATAO DE JUÁREZ, MUNICIPIO GUELATAO DE JUÁREZ</t>
  </si>
  <si>
    <t>PRIMERA ETAPA DE EQUIPAMIENTO DE LOS LABORATORIOS DE INGENIERÍA CIVIL EN EL INSTITUTO TECNOLÓGICO DEL VALLE DE ETLA</t>
  </si>
  <si>
    <t>483 - SANTIAGO SUCHILQUITONGO</t>
  </si>
  <si>
    <t>0001 - SANTIAGO SUCHILQUITONGO</t>
  </si>
  <si>
    <t>CONSTRUCCIÓN DE CANCHA DE FÚTBOL SOCCER EN EL INSTITUTO TECNOLÓGICO DE TLAXIACO</t>
  </si>
  <si>
    <t>REHABILITACIÓN DE LA CARRETERA SIN NOMBRE CON CONCRETO ASFÁLTICO TLACOLULA DE MATAMOROS - SAN LUCAS QUIAVINÍ, TRAMO DEL KM 0+000 AL KM 6+010, EN LOS MUNICIPIOS DE TLACOLULA DE MATAMOROS Y SAN LUCAS QUIAVINÍ</t>
  </si>
  <si>
    <t xml:space="preserve">-96.470527 </t>
  </si>
  <si>
    <t>APERTURA DEL NUEVO PROGRAMA EDUCATIVO DE LICENCIATURA EN ARQUITECTURA BIOCLIMÁTICA DE LA UP DE NOCHIXTLÁN, EN LA VERTIENTE A, MODALIDAD 2. CONSTRUCCIÓN DE CUATRO AULAS</t>
  </si>
  <si>
    <t>APERTURA DEL NUEVO PROGRAMA EDUCATIVO DE LICENCIATURA EN ARQUITECTURA BIOCLIMÁTICA DE LA UP DE NOCHIXTLÁN, EN LA VERTIENTE A, MODALIDAD 2. EQUIPAMIENTO</t>
  </si>
  <si>
    <t>117 - SECRETARÍA DE ADMINISTRACIÓN</t>
  </si>
  <si>
    <t>117001 - OFICINA DEL SECRETARIO DE ADMINISTRACIÓN</t>
  </si>
  <si>
    <t>MANTENIMIENTO PREVENTIVO Y CORRECTIVO A LAS INSTALACIONES DEL CENTRO CULTURAL Y DE CONVENCIONES DE OAXACA</t>
  </si>
  <si>
    <t>133 - SECRETARÍA DE EDUCACIÓN PÚBLICA</t>
  </si>
  <si>
    <t>133001 - OFICINA DEL SECRETARIO DE EDUCACIÓN PÚBLICA</t>
  </si>
  <si>
    <t>SEPTIEMBRE, MES DE LA 1RA TRANSFORMACIÓN, MES DE LA INDEPENDENCIA DE MÉXICO</t>
  </si>
  <si>
    <t>NOVIEMBRE, MES DE LA 3RA TRANSFORMACIÓN, MES DE LA REVOLUCIÓN MEXICANA</t>
  </si>
  <si>
    <t>REHABILITACIÓN DE HOSPITAL GENERAL EN LA LOCALIDAD DE PUERTO ESCONDIDO</t>
  </si>
  <si>
    <t>REHABILITACION DE CENTRO DE SALUD URBANO DE 02 NÚCLEOS BÁSICOS EN LA LOCALIDAD DE SAN PEDRO IXCATLAN</t>
  </si>
  <si>
    <t>0001 - SAN PEDRO IXCATLÁN</t>
  </si>
  <si>
    <t>REHABILITACION DE CENTRO DE SALUD RURAL DE 03 NÚCLEOS BÁSICOS Y MÁS EN LA LOCALIDAD DE PAPALOAPAN</t>
  </si>
  <si>
    <t>0038 - PAPALOAPAN</t>
  </si>
  <si>
    <t>REHABILITACION DE CENTRO DE SALUD RURAL DE 01 NÚCLEO BÁSICO EN LA LOCALIDAD DE MACIN CHICO</t>
  </si>
  <si>
    <t>0032 - MACÍN CHICO</t>
  </si>
  <si>
    <t>REHABILITACION DE CENTRO DE SALUD RURAL DE 01 NÚCLEO BÁSICO EN LA LOCALIDAD DE SANTA CRUZ TEPETOTUTLA</t>
  </si>
  <si>
    <t>0016 - SANTA CRUZ TEPETOTUTLA</t>
  </si>
  <si>
    <t>CONSTRUCCIÓN DE EDIFICIO DE LA DIRECCIÓN PARA LA ESCUELA PREPARATORIA NÚMERO UNO (PRIMERA ETAPA)</t>
  </si>
  <si>
    <t>REHABILITACION DE HOSPITAL INTEGRAL (COMUNITARIO) EN LA LOCALIDAD DE LOMA BONITA</t>
  </si>
  <si>
    <t>REHABILITACION DE CENTRO DE SALUD URBANO DE 01 NÚCLEO BÁSICO EN LA LOCALIDAD DE SANTA CRUZ ACATEPEC</t>
  </si>
  <si>
    <t>SEXTA EDICIÓN DEL TIANGUIS NACIONAL DE PUEBLOS MÁGICOS, VERACRUZ 2024</t>
  </si>
  <si>
    <t>AMPLIACIÓN DE LA RED DE DISTRIBUCIÓN DE ENERGÍA ELÉCTRICA EN VARIAS CALLES DE LA LOCALIDAD DE SAN JUAN DEL ESTADO, EN EL MUNICIPIO DE SAN JUAN DEL ESTADO</t>
  </si>
  <si>
    <t>193 - SAN JUAN DEL ESTADO</t>
  </si>
  <si>
    <t>0001 - SAN JUAN DEL ESTADO</t>
  </si>
  <si>
    <t>CONSTRUCCIÓN DE ALUMBRADO PÚBLICO SUSTENTABLE EN VARIAS CALLES DE LA LOCALIDAD COLONIA REFORMA, MUNICIPIO DE SAN JUAN JUQUILA VIJANOS</t>
  </si>
  <si>
    <t>0004 - COLONIA REFORMA</t>
  </si>
  <si>
    <t>CONSTRUCCIÓN DE LA CARRETERA SIN NOMBRE CON CONCRETO HIDRÁULICO E.C. (TLAXIACO - CHALCATONGO DE HIDALGO) - SAN JOSÉ YOSOJICA, TRAMO DEL KM 0+000 AL KM 1+900, SUBTRAMO DEL KM 0+000 AL KM 0+820, EN EL MUNICIPIO DE SAN AGUSTÍN TLACOTEPEC</t>
  </si>
  <si>
    <t>CONSTRUCCIÓN DE LA CARRETERA SIN NOMBRE CON CONCRETO HIDRÁULICO DE SAN JUAN LACHAO PUEBLO VIEJO - E.C.(T.C. (OAXACA-PUERTO ÁNGEL) - PUERTO ESCONDIDO), TRAMO DEL KM 0+000 AL KM 3+400, SUBTRAMO DEL KM 1+000 AL KM 1+580, EN EL MUNICIPIO DE SAN JUAN LACHAO</t>
  </si>
  <si>
    <t>0014 - SAN JUAN LACHAO PUEBLO VIEJO</t>
  </si>
  <si>
    <t>CONSTRUCCIÓN DE LA CARRETERA SIN NOMBRE CON CONCRETO HIDRÁULICO DE MAGDALENA LOXICHA – PASO LIMÓN, TRAMO DEL KM 0+000 AL KM 3+300, SUBTRAMO DEL KM 0+000 AL KM 1+480, EN EL MUNICIPIO DE SAN AGUSTÍN LOXICHA</t>
  </si>
  <si>
    <t>0008 - MAGDALENA LOXICHA</t>
  </si>
  <si>
    <t>CONSTRUCCIÓN DE PISO FIRME PARA EL MEJORAMIENTO DE LA VIVIENDA, EN LA LOCALIDAD LA LAGUNA (LOMA DEL CACALOTE), MUNICIPIO CHIQUIHUITLÁN DE BENITO JUÁREZ.</t>
  </si>
  <si>
    <t>0014 - LA LAGUNA (LOMA DEL CACALOTE)</t>
  </si>
  <si>
    <t>CONSTRUCCIÓN DE PISO FIRME PARA EL MEJORAMIENTO DE LA VIVIENDA, EN LA LOCALIDAD CAMPO DE AVIACIÓN, MUNICIPIO CHIQUIHUITLÁN DE BENITO JUÁREZ.</t>
  </si>
  <si>
    <t>0015 - CAMPO DE AVIACIÓN</t>
  </si>
  <si>
    <t>CONSTRUCCIÓN DE PISO FIRME PARA EL MEJORAMIENTO DE LA VIVIENDA, EN LA LOCALIDAD CHIQUIHUITLÁN DE BENITO JUÁREZ, MUNICIPIO CHIQUIHUITLÁN DE BENITO JUÁREZ.</t>
  </si>
  <si>
    <t>CONSTRUCCIÓN DE TECHO FIRME PARA EL MEJORAMIENTO DE LA VIVIENDA, EN LA LOCALIDAD SAN PABLO ETLA, MUNICIPIO SAN PABLO ETLA.</t>
  </si>
  <si>
    <t>293 - SAN PABLO ETLA</t>
  </si>
  <si>
    <t>0001 - SAN PABLO ETLA</t>
  </si>
  <si>
    <t>CONSTRUCCIÓN DE TECHO FIRME PARA EL MEJORAMIENTO DE LA VIVIENDA, EN LA LOCALIDAD LA UNIÓN, MUNICIPIO MIAHUATLÁN DE PORFIRIO DÍAZ.</t>
  </si>
  <si>
    <t>0040 - LA UNIÓN</t>
  </si>
  <si>
    <t>CONSTRUCCIÓN DE TECHO FIRME PARA EL MEJORAMIENTO DE LA VIVIENDA, EN LA LOCALIDAD MIAHUATLÁN DE PORFIRIO DÍAZ, MUNICIPIO MIAHUATLÁN DE PORFIRIO DÍAZ.</t>
  </si>
  <si>
    <t>CONSTRUCCIÓN DE TECHO FIRME PARA EL MEJORAMIENTO DE LA VIVIENDA, EN LA LOCALIDAD EL BEJUCO, MUNICIPIO MIAHUATLÁN DE PORFIRIO DÍAZ.</t>
  </si>
  <si>
    <t>0025 - EL BEJUCO</t>
  </si>
  <si>
    <t>CONSTRUCCIÓN DE PISO FIRME PARA EL MEJORAMIENTO DE LA VIVIENDA, EN LA LOCALIDAD MIAHUATLÁN DE PORFIRIO DÍAZ, MUNICIPIO MIAHUATLÁN DE PORFIRIO DÍAZ.</t>
  </si>
  <si>
    <t>CONSTRUCCIÓN DE PISO FIRME PARA EL MEJORAMIENTO DE LA VIVIENDA, EN LA LOCALIDAD JUCHITÁN DE ZARAGOZA, MUNICIPIO JUCHITÁN DE ZARAGOZA.</t>
  </si>
  <si>
    <t> -96.97556340429881</t>
  </si>
  <si>
    <t>CONSTRUCCIÓN DE PISO FIRME PARA EL MEJORAMIENTO DE LA VIVIENDA, EN LA LOCALIDAD SAN JUAN DEL ESTADO, MUNICIPIO SAN JUAN DEL ESTADO.</t>
  </si>
  <si>
    <t>CONSTRUCCIÓN DE TECHO FIRME PARA EL MEJORAMIENTO DE LA VIVIENDA, EN LA LOCALIDAD EL VERGEL, MUNICIPIO HEROICA CIUDAD DE EJUTLA DE CRESPO.</t>
  </si>
  <si>
    <t>0025 - EL VERGEL</t>
  </si>
  <si>
    <t>CONSTRUCCIÓN DE TECHO FIRME PARA EL MEJORAMIENTO DE LA VIVIENDA, EN LA LOCALIDAD SANTA CRUZ NEXILA, MUNICIPIO HEROICA CIUDAD DE EJUTLA DE CRESPO.</t>
  </si>
  <si>
    <t>0018 - SANTA CRUZ NEXILA</t>
  </si>
  <si>
    <t>CONSTRUCCIÓN DE TECHO FIRME PARA EL MEJORAMIENTO DE LA VIVIENDA, EN LA LOCALIDAD OCOTLÁN DE MORELOS, MUNICIPIO OCOTLÁN DE MORELOS.</t>
  </si>
  <si>
    <t>0001 - OCOTLÁN DE MORELOS</t>
  </si>
  <si>
    <t>CONSTRUCCIÓN DE PISO FIRME PARA EL MEJORAMIENTO DE LA VIVIENDA, EN LA LOCALIDAD HEROICA CIUDAD DE EJUTLA DE CRESPO, MUNICIPIO HEROICA CIUDAD DE EJUTLA DE CRESPO.</t>
  </si>
  <si>
    <t>CONSTRUCCIÓN DE PISO FIRME PARA EL MEJORAMIENTO DE LA VIVIENDA, EN LA LOCALIDAD MAGDALENA OCOTLÁN, MUNICIPIO MAGDALENA OCOTLÁN.</t>
  </si>
  <si>
    <t>049 - MAGDALENA OCOTLÁN</t>
  </si>
  <si>
    <t>0001 - MAGDALENA OCOTLÁN</t>
  </si>
  <si>
    <t> -96.709304</t>
  </si>
  <si>
    <t> -96.709917</t>
  </si>
  <si>
    <t> -96.708868</t>
  </si>
  <si>
    <t>CONSTRUCCIÓN DE SANITARIO CON BIODIGESTOR PARA EL MEJORAMIENTO DE LA VIVIENDA, EN LA LOCALIDAD MAGDALENA OCOTLÁN, MUNICIPIO MAGDALENA OCOTLÁN.</t>
  </si>
  <si>
    <t> -96.707729</t>
  </si>
  <si>
    <t>CONSTRUCCIÓN DE AULA EN TELESECUNDARIA CON CLAVE ESCOLAR: 20DTV0821O, EN LA LOCALIDAD LA PE, MUNICIPIO LA PE</t>
  </si>
  <si>
    <t>CONSTRUCCIÓN DE TECHADO EN ÁREA DE IMPARTICIÓN DE EDUCACIÓN FÍSICA EN PRIMARIA "VICENTE GUERRERO" CON CLAVE ESCOLAR: 20DPR0395L, EN LA LOCALIDAD SAN AGUSTÍN ATENANGO, MUNICIPIO SAN AGUSTÍN ATENANGO</t>
  </si>
  <si>
    <t>CONSTRUCCIÓN DE TECHADO EN ÁREA DE IMPARTICIÓN DE EDUCACIÓN FÍSICA EN TELESECUNDARIA CON CLAVE ESCOLAR: 20DTV0121V, EN LA LOCALIDAD SAN JUAN EVANGELISTA ANALCO, MUNICIPIO SAN JUAN EVANGELISTA ANALCO</t>
  </si>
  <si>
    <t>196 - SAN JUAN EVANGELISTA ANALCO</t>
  </si>
  <si>
    <t>0001 - SAN JUAN EVANGELISTA ANALCO</t>
  </si>
  <si>
    <t>112 - SECRETARÍA DE INTERCULTURALIDAD, PUEBLOS Y COMUNIDADES INDÍGENAS Y AFROMEXICANAS</t>
  </si>
  <si>
    <t>112001 - OFICINA DEL SECRETARIO DE INTERCULTURALIDAD, PUEBLOS Y COMUNIDADES INDIGENAS Y AFROMEXICANAS</t>
  </si>
  <si>
    <t>PROMOCIÓN Y PRESERVACIÓN DE LA IDENTIDAD MUSICAL DE LOS PUEBLOS Y COMUNIDADES INDÍGENAS Y AFROMEXICANAS. EXPRESIONES DE MI COMUNIDAD</t>
  </si>
  <si>
    <t>MEJORAMIENTO VISUAL DE LA INFRAESTRUCTURA COMUNITARIA INDÍGENA Y AFROMEXICANA. FONDO COMUNITARIO</t>
  </si>
  <si>
    <t>EMPODERAMIENTO ECONÓMICO PARA MUJERES INDÍGENAS Y AFROMEXICANAS. MUJERES EMPRENDIENDO</t>
  </si>
  <si>
    <t>CONSTRUCCIÓN DE LA CARRETERA SIN NOMBRE CON CONCRETO HIDRÁULICO DE SAN LORENZO VISTA HERMOSA - E.C. (HUAJUAPAN DE LEÓN - MARISCALA DE JUÁREZ), TRAMO DEL KM 0+000 AL KM 9+800, SUBTRAMO DEL KM 0+000 AL KM 1+280, EN EL MUNICIPIO DE SAN MIGUEL AMATITLÁN</t>
  </si>
  <si>
    <t>0007 - SAN LORENZO VISTA HERMOSA</t>
  </si>
  <si>
    <t>CONSTRUCCIÓN DE LA CARRETERA SIN NOMBRE CON CONCRETO HIDRÁULICO DEL E.C. (SAN PABLO VILLA DE MITLA - T.C. (TUXTEPEC - PALOMARES)) - EL PORTILLO MATAGALLINA, TRAMO DEL KM 0+000 AL KM 2+500, SUBTRAMO DEL KM 0+000 AL KM 1+340, EN EL MUNICIPIO DE SAN PEDRO Y SAN PABLO AYUTLA</t>
  </si>
  <si>
    <t>337 - SAN PEDRO Y SAN PABLO AYUTLA</t>
  </si>
  <si>
    <t>0014 - EL PORTILLO MATAGALLINA</t>
  </si>
  <si>
    <t>CONSTRUCCIÓN DE LA CARRETERA SIN NOMBRE CON CONCRETO HIDRÁULICO DE BENITO JUÁREZ - SAN MIGUEL EL GRANDE, TRAMO DEL KM 0+000 AL KM 5+200, SUBTRAMO DEL KM 0+000 AL KM 1+800, EN EL MUNICIPIO DE SAN MIGUEL EL GRANDE</t>
  </si>
  <si>
    <t>CONSTRUCCIÓN DE LA CARRETERA SIN NOMBRE CON CONCRETO HIDRÁULICO DE CRUZ COLORADA - SAN PEDRO ATOYAC, TRAMO DEL KM 0+000 AL KM 7+500, SUBTRAMO DEL KM 0+000 AL KM 0+780, EN EL MUNICIPIO DE SAN PEDRO ATOYAC</t>
  </si>
  <si>
    <t>0002 - CRUZ COLORADA</t>
  </si>
  <si>
    <t>REHABILITACIÓN DE LA CARRETERA CON CONCRETO ASFÁLTICO E.C. (OAXACA - TEHUANTEPEC) - NEJAPA DE MADERO - SANTA ANA TAVELA, TRAMO DEL KM 0+000 AL KM 9+800, SUBTRAMO DEL KM 0+000 AL KM 3+725, EN EL MUNICIPIO DE SANTA ANA TAVELA</t>
  </si>
  <si>
    <t>CONSTRUCCIÓN DE LA CARRETERA BENITO JUÁREZ CON CONCRETO HIDRÁULICO DE SANTA CRUZ – BUENAVISTA, TRAMO DEL KM 0+000 AL KM 1+120, SUBTRAMO DEL KM 0+000 AL KM 0+920, EN EL MUNICIPIO DE SANTA MARÍA YOSOYÚA</t>
  </si>
  <si>
    <t xml:space="preserve">-97.496183 </t>
  </si>
  <si>
    <t>CONSTRUCCIÓN DE CUARTO PARA COCINA PARA EL MEJORAMIENTO DE LA VIVIENDA, EN LA LOCALIDAD MORRO DE MAZATÁN, MUNICIPIO SANTO DOMINGO TEHUANTEPEC.</t>
  </si>
  <si>
    <t>0010 - MORRO DE MAZATÁN</t>
  </si>
  <si>
    <t>CONSTRUCCIÓN DE CUARTO PARA COCINA PARA EL MEJORAMIENTO DE LA VIVIENDA, EN LA LOCALIDAD SANTA CLARA, MUNICIPIO SANTO DOMINGO TEHUANTEPEC.</t>
  </si>
  <si>
    <t>0018 - SANTA CLARA</t>
  </si>
  <si>
    <t>CONSTRUCCIÓN DE CUARTO PARA COCINA PARA EL MEJORAMIENTO DE LA VIVIENDA, EN LA LOCALIDAD SANTA CRUZ BAMBA Y GARRAPATERO, MUNICIPIO SANTO DOMINGO TEHUANTEPEC.</t>
  </si>
  <si>
    <t>0019 - SANTA CRUZ BAMBA Y GARRAPATERO</t>
  </si>
  <si>
    <t>CONSTRUCCIÓN DE SANITARIO CON BIODIGESTOR PARA EL MEJORAMIENTO DE LA VIVIENDA, EN LA LOCALIDAD BUENAVISTA, MUNICIPIO SANTA MARÍA YOSOYÚA.</t>
  </si>
  <si>
    <t>CONSTRUCCIÓN DE SANITARIO CON BIODIGESTOR PARA EL MEJORAMIENTO DE LA VIVIENDA, EN LA LOCALIDAD SANTA MARÍA YOSOYÚA, MUNICIPIO SANTA MARÍA YOSOYÚA.</t>
  </si>
  <si>
    <t>0001 - SANTA MARÍA YOSOYÚA</t>
  </si>
  <si>
    <t>CONSTRUCCIÓN DE SANITARIO CON BIODIGESTOR PARA EL MEJORAMIENTO DE LA VIVIENDA, EN LA LOCALIDAD SANTA CRUZ, MUNICIPIO SANTA MARÍA YOSOYÚA.</t>
  </si>
  <si>
    <t>CONSTRUCCIÓN DE SANITARIO CON BIODIGESTOR PARA EL MEJORAMIENTO DE LA VIVIENDA, EN LA LOCALIDAD EL MANZANAL, MUNICIPIO SAN PEDRO Y SAN PABLO AYUTLA.</t>
  </si>
  <si>
    <t>0031 - EL MANZANAL</t>
  </si>
  <si>
    <t>CONSTRUCCIÓN DE SANITARIO CON BIODIGESTOR PARA EL MEJORAMIENTO DE LA VIVIENDA, EN LA LOCALIDAD ESQUIPULAS, MUNICIPIO SAN PEDRO Y SAN PABLO AYUTLA.</t>
  </si>
  <si>
    <t>0037 - ESQUIPULAS</t>
  </si>
  <si>
    <t>CONSTRUCCIÓN DE SANITARIO CON BIODIGESTOR PARA EL MEJORAMIENTO DE LA VIVIENDA, EN LA LOCALIDAD CERRO DEL AMOLE, MUNICIPIO SAN PEDRO Y SAN PABLO AYUTLA.</t>
  </si>
  <si>
    <t>0002 - CERRO DEL AMOLE</t>
  </si>
  <si>
    <t>CONSTRUCCIÓN DE TECHO FIRME PARA EL MEJORAMIENTO DE LA VIVIENDA, EN LA LOCALIDAD XAAGÁ, MUNICIPIO SAN PABLO VILLA DE MITLA.</t>
  </si>
  <si>
    <t>298 - SAN PABLO VILLA DE MITLA</t>
  </si>
  <si>
    <t>0005 - XAAGÁ</t>
  </si>
  <si>
    <t>CONSTRUCCIÓN DE TECHO FIRME PARA EL MEJORAMIENTO DE LA VIVIENDA, EN LA LOCALIDAD SAN PABLO VILLA DE MITLA, MUNICIPIO SAN PABLO VILLA DE MITLA.</t>
  </si>
  <si>
    <t>0001 - SAN PABLO VILLA DE MITLA</t>
  </si>
  <si>
    <t>CONSTRUCCIÓN DE PISO FIRME PARA EL MEJORAMIENTO DE LA VIVIENDA, EN LA LOCALIDAD TIERRA BLANCA, MUNICIPIO SAN PEDRO Y SAN PABLO AYUTLA.</t>
  </si>
  <si>
    <t>0017 - TIERRA BLANCA</t>
  </si>
  <si>
    <t>CONSTRUCCIÓN DE PISO FIRME PARA EL MEJORAMIENTO DE LA VIVIENDA, EN LA LOCALIDAD PUENTE AZUL, MUNICIPIO SAN PEDRO Y SAN PABLO AYUTLA.</t>
  </si>
  <si>
    <t>0023 - PUENTE AZUL</t>
  </si>
  <si>
    <t>CONSTRUCCIÓN DE PISO FIRME PARA EL MEJORAMIENTO DE LA VIVIENDA, EN LA LOCALIDAD RANCHO MAGUEYAL, MUNICIPIO SAN PEDRO Y SAN PABLO AYUTLA.</t>
  </si>
  <si>
    <t>0025 - RANCHO MAGUEYAL</t>
  </si>
  <si>
    <t>CONSTRUCCIÓN DE PISO FIRME PARA EL MEJORAMIENTO DE LA VIVIENDA, EN LA LOCALIDAD CERRO PELÓN, MUNICIPIO SAN PEDRO Y SAN PABLO AYUTLA.</t>
  </si>
  <si>
    <t>0003 - CERRO PELÓN</t>
  </si>
  <si>
    <t>CONSTRUCCIÓN DE PISO FIRME PARA EL MEJORAMIENTO DE LA VIVIENDA, EN LA LOCALIDAD EL PORTILLO MATAGALLINA, MUNICIPIO SAN PEDRO Y SAN PABLO AYUTLA.</t>
  </si>
  <si>
    <t>CONSTRUCCIÓN DE PISO FIRME PARA EL MEJORAMIENTO DE LA VIVIENDA, EN LA LOCALIDAD SANTA MARÍA YOSOYÚA, MUNICIPIO SANTA MARÍA YOSOYÚA.</t>
  </si>
  <si>
    <t>CONSTRUCCIÓN DE PISO FIRME PARA EL MEJORAMIENTO DE LA VIVIENDA, EN LA LOCALIDAD SANTA CRUZ, MUNICIPIO SANTA MARÍA YOSOYÚA.</t>
  </si>
  <si>
    <t>CONSTRUCCIÓN DE PISO FIRME PARA EL MEJORAMIENTO DE LA VIVIENDA, EN LA LOCALIDAD GUADALUPE YOSOYÚA, MUNICIPIO SANTA MARÍA YOSOYÚA.</t>
  </si>
  <si>
    <t>0003 - GUADALUPE YOSOYÚA</t>
  </si>
  <si>
    <t>CONSTRUCCIÓN DE PISO FIRME PARA EL MEJORAMIENTO DE LA VIVIENDA, EN LA LOCALIDAD BUENAVISTA, MUNICIPIO SANTA MARÍA YOSOYÚA.</t>
  </si>
  <si>
    <t>CONSTRUCCIÓN DE PISO FIRME PARA EL MEJORAMIENTO DE LA VIVIENDA, EN LA LOCALIDAD CAÑADA ALEJANDRO, MUNICIPIO HEROICA CIUDAD DE TLAXIACO.</t>
  </si>
  <si>
    <t>CONSTRUCCIÓN DE PISO FIRME PARA EL MEJORAMIENTO DE LA VIVIENDA, EN LA LOCALIDAD SAN MARTÍN DE LAS PALMAS, MUNICIPIO SANTIAGO TILANTONGO.</t>
  </si>
  <si>
    <t>0017 - SAN MARTÍN DE LAS PALMAS</t>
  </si>
  <si>
    <t>CONSTRUCCIÓN DE PISO FIRME PARA EL MEJORAMIENTO DE LA VIVIENDA, EN LA LOCALIDAD YUUKU-YAQUUZ, MUNICIPIO SANTIAGO TILANTONGO.</t>
  </si>
  <si>
    <t>0023 - YUUKU-YAQUUZ</t>
  </si>
  <si>
    <t>CONSTRUCCIÓN DE PISO FIRME PARA EL MEJORAMIENTO DE LA VIVIENDA, EN LA LOCALIDAD LA PAZ, MUNICIPIO SANTIAGO TILANTONGO.</t>
  </si>
  <si>
    <t>0011 - LA PAZ</t>
  </si>
  <si>
    <t>CONSTRUCCIÓN DE PISO FIRME PARA EL MEJORAMIENTO DE LA VIVIENDA, EN LA LOCALIDAD SANTIAGO TILANTONGO, MUNICIPIO SANTIAGO TILANTONGO.</t>
  </si>
  <si>
    <t>0001 - SANTIAGO TILANTONGO</t>
  </si>
  <si>
    <t>CONSTRUCCIÓN DE PISO FIRME PARA EL MEJORAMIENTO DE LA VIVIENDA, EN LA LOCALIDAD GALEANA, MUNICIPIO SANTIAGO TILANTONGO.</t>
  </si>
  <si>
    <t>0005 - GALEANA</t>
  </si>
  <si>
    <t>CONSTRUCCIÓN DE PISO FIRME PARA EL MEJORAMIENTO DE LA VIVIENDA, EN LA LOCALIDAD LAGUNA GRANDE TILANTONGO, MUNICIPIO SANTIAGO TILANTONGO.</t>
  </si>
  <si>
    <t>0008 - LAGUNA GRANDE TILANTONGO</t>
  </si>
  <si>
    <t>CONSTRUCCIÓN DE PISO FIRME PARA EL MEJORAMIENTO DE LA VIVIENDA, EN LA LOCALIDAD NARCISO MENDOZA, MUNICIPIO SANTIAGO TILANTONGO.</t>
  </si>
  <si>
    <t>0010 - NARCISO MENDOZA</t>
  </si>
  <si>
    <t>CONSTRUCCIÓN DE PISO FIRME PARA EL MEJORAMIENTO DE LA VIVIENDA, EN LA LOCALIDAD EL CARMEN, MUNICIPIO SANTIAGO TILANTONGO.</t>
  </si>
  <si>
    <t>0003 - EL CARMEN</t>
  </si>
  <si>
    <t>CONSTRUCCIÓN DE PISO FIRME PARA EL MEJORAMIENTO DE LA VIVIENDA, EN LA LOCALIDAD GUADALUPE HIDALGO, MUNICIPIO SANTIAGO TILANTONGO.</t>
  </si>
  <si>
    <t>0007 - GUADALUPE HIDALGO</t>
  </si>
  <si>
    <t>CONSTRUCCIÓN DE PISO FIRME PARA EL MEJORAMIENTO DE LA VIVIENDA, EN LA LOCALIDAD SAN ISIDRO, MUNICIPIO SANTIAGO TILANTONGO.</t>
  </si>
  <si>
    <t>0015 - SAN ISIDRO</t>
  </si>
  <si>
    <t>CONSTRUCCIÓN DE PISO FIRME PARA EL MEJORAMIENTO DE LA VIVIENDA, EN LA LOCALIDAD SAN PEDRO HUILOTEPEC, MUNICIPIO SAN PEDRO HUILOTEPEC.</t>
  </si>
  <si>
    <t>308 - SAN PEDRO HUILOTEPEC</t>
  </si>
  <si>
    <t>0001 - SAN PEDRO HUILOTEPEC</t>
  </si>
  <si>
    <t>CONSTRUCCIÓN DE SANITARIO CON BIODIGESTOR PARA EL MEJORAMIENTO DE LA VIVIENDA, EN LA LOCALIDAD SANTIAGO YAITEPEC, MUNICIPIO SANTIAGO YAITEPEC.</t>
  </si>
  <si>
    <t>CONSTRUCCIÓN DE PISO FIRME PARA EL MEJORAMIENTO DE LA VIVIENDA, EN LA LOCALIDAD SAN ISIDRO ALOÁPAM, MUNICIPIO SAN MIGUEL ALOÁPAM.</t>
  </si>
  <si>
    <t>260 - SAN MIGUEL ALOÁPAM</t>
  </si>
  <si>
    <t>0002 - SAN ISIDRO ALOÁPAM</t>
  </si>
  <si>
    <t>CONSTRUCCIÓN DE TECHO FIRME PARA EL MEJORAMIENTO DE LA VIVIENDA, EN LA LOCALIDAD RÍO DE TALEA, MUNICIPIO SAN LORENZO TEXMELÚCAN.</t>
  </si>
  <si>
    <t>0005 - RÍO DE TALEA</t>
  </si>
  <si>
    <t>CONSTRUCCIÓN DE CUARTO DORMITORIO PARA EL MEJORAMIENTO DE LA VIVIENDA, EN LA LOCALIDAD SAN ISIDRO OJO DE AGUA, MUNICIPIO VILLA SOLA DE VEGA.</t>
  </si>
  <si>
    <t>0019 - SAN ISIDRO OJO DE AGUA</t>
  </si>
  <si>
    <t>CONSTRUCCIÓN DE CUARTO DORMITORIO PARA EL MEJORAMIENTO DE LA VIVIENDA, EN LA LOCALIDAD SAN PEDRO TEUTILA, MUNICIPIO SAN PEDRO TEUTILA.</t>
  </si>
  <si>
    <t>CONSTRUCCIÓN DE PISO FIRME PARA EL MEJORAMIENTO DE LA VIVIENDA, EN LA LOCALIDAD JUQUILITA, MUNICIPIO SAN PEDRO IXTLAHUACA.</t>
  </si>
  <si>
    <t>0015 - JUQUILITA</t>
  </si>
  <si>
    <t>CONSTRUCCIÓN DE PISO FIRME PARA EL MEJORAMIENTO DE LA VIVIENDA, EN LA LOCALIDAD MIGUEL CRUZ JOSÉ (COLONIA), MUNICIPIO SAN PEDRO IXTLAHUACA.</t>
  </si>
  <si>
    <t>0054 - MIGUEL CRUZ JOSÉ [COLONIA]</t>
  </si>
  <si>
    <t>CONSTRUCCIÓN DE PISO FIRME PARA EL MEJORAMIENTO DE LA VIVIENDA, EN LA LOCALIDAD LOS MANGALES [COLONIA], MUNICIPIO SAN PEDRO IXTLAHUACA.</t>
  </si>
  <si>
    <t>0048 - LOS MANGALES [COLONIA]</t>
  </si>
  <si>
    <t>CONSTRUCCIÓN DE PISO FIRME PARA EL MEJORAMIENTO DE LA VIVIENDA, EN LA LOCALIDAD LA PEÑA, MUNICIPIO SAN PEDRO IXTLAHUACA.</t>
  </si>
  <si>
    <t>0016 - LA PEÑA</t>
  </si>
  <si>
    <t>CONSTRUCCIÓN DE PISO FIRME PARA EL MEJORAMIENTO DE LA VIVIENDA, EN LA LOCALIDAD SAN JUAN (COLONIA), MUNICIPIO SAN PEDRO IXTLAHUACA.</t>
  </si>
  <si>
    <t>0053 - SAN JUAN [COLONIA]</t>
  </si>
  <si>
    <t>CONSTRUCCIÓN DE PISO FIRME PARA EL MEJORAMIENTO DE LA VIVIENDA, EN LA LOCALIDAD COLONIA OJO DE AGUA, MUNICIPIO SAN PEDRO IXTLAHUACA.</t>
  </si>
  <si>
    <t>0049 - COLONIA OJO DE AGUA</t>
  </si>
  <si>
    <t>CONSTRUCCIÓN DE PISO FIRME PARA EL MEJORAMIENTO DE LA VIVIENDA, EN LA LOCALIDAD JOSÉ GUADALUPE MARTÍNEZ GARCÍA, MUNICIPIO SAN PEDRO IXTLAHUACA.</t>
  </si>
  <si>
    <t>0014 - JOSÉ GUADALUPE MARTÍNEZ GARCÍA</t>
  </si>
  <si>
    <t>CONSTRUCCIÓN DE PISO FIRME PARA EL MEJORAMIENTO DE LA VIVIENDA, EN LA LOCALIDAD LAS RAZAS, MUNICIPIO SAN PEDRO IXTLAHUACA.</t>
  </si>
  <si>
    <t>0017 - LAS RAZAS</t>
  </si>
  <si>
    <t>CONSTRUCCIÓN DE CUARTO DORMITORIO PARA EL MEJORAMIENTO DE LA VIVIENDA, EN LA LOCALIDAD SANTIAGO SOCHILTEPEC, MUNICIPIO SANTIAGO TEXTITLÁN.</t>
  </si>
  <si>
    <t>0009 - SANTIAGO SOCHILTEPEC</t>
  </si>
  <si>
    <t>CONSTRUCCIÓN DE PISO FIRME PARA EL MEJORAMIENTO DE LA VIVIENDA, EN LA LOCALIDAD PEÑA VERDE, MUNICIPIO SANTA MARÍA PÁPALO.</t>
  </si>
  <si>
    <t>CONSTRUCCIÓN DE SANITARIO CON BIODIGESTOR PARA EL MEJORAMIENTO DE LA VIVIENDA, EN LA LOCALIDAD BENITO JUÁREZ, MUNICIPIO SANTO TOMÁS OCOTEPEC.</t>
  </si>
  <si>
    <t>CONSTRUCCIÓN DE SANITARIO CON BIODIGESTOR PARA EL MEJORAMIENTO DE LA VIVIENDA, EN LA LOCALIDAD MIGUEL HIDALGO, MUNICIPIO SANTO TOMÁS OCOTEPEC.</t>
  </si>
  <si>
    <t>0009 - MIGUEL HIDALGO</t>
  </si>
  <si>
    <t>CONSTRUCCIÓN DE SANITARIO CON BIODIGESTOR PARA EL MEJORAMIENTO DE LA VIVIENDA, EN LA LOCALIDAD LAGUNA AMARILLA, MUNICIPIO SANTO TOMÁS OCOTEPEC.</t>
  </si>
  <si>
    <t>0017 - LAGUNA AMARILLA</t>
  </si>
  <si>
    <t> -97.79278611</t>
  </si>
  <si>
    <t>CONSTRUCCIÓN DE SANITARIO CON BIODIGESTOR PARA EL MEJORAMIENTO DE LA VIVIENDA, EN LA LOCALIDAD EMILIO PORTES GIL, MUNICIPIO SANTO TOMÁS OCOTEPEC.</t>
  </si>
  <si>
    <t>CONSTRUCCIÓN DE SANITARIO CON BIODIGESTOR PARA EL MEJORAMIENTO DE LA VIVIENDA, EN LA LOCALIDAD NUNUMA, MUNICIPIO SANTO TOMÁS OCOTEPEC.</t>
  </si>
  <si>
    <t>0011 - NUNUMA</t>
  </si>
  <si>
    <t>CONSTRUCCIÓN DE PISO FIRME PARA EL MEJORAMIENTO DE LA VIVIENDA, EN LA LOCALIDAD DIECINUEVE DE ABRIL, MUNICIPIO SANTO TOMÁS OCOTEPEC.</t>
  </si>
  <si>
    <t>0003 - DIECINUEVE DE ABRIL</t>
  </si>
  <si>
    <t>CONSTRUCCIÓN DE PISO FIRME PARA EL MEJORAMIENTO DE LA VIVIENDA, EN LA LOCALIDAD BENITO JUÁREZ, MUNICIPIO SANTO TOMÁS OCOTEPEC.</t>
  </si>
  <si>
    <t>CONSTRUCCIÓN DE PISO FIRME PARA EL MEJORAMIENTO DE LA VIVIENDA, EN LA LOCALIDAD MORELOS, MUNICIPIO SANTO TOMÁS OCOTEPEC.</t>
  </si>
  <si>
    <t>0010 - MORELOS</t>
  </si>
  <si>
    <t>CONSTRUCCIÓN DE PISO FIRME PARA EL MEJORAMIENTO DE LA VIVIENDA, EN LA LOCALIDAD LÁZARO CÁRDENAS, MUNICIPIO SANTO TOMÁS OCOTEPEC.</t>
  </si>
  <si>
    <t>0008 - LÁZARO CÁRDENAS</t>
  </si>
  <si>
    <t>CONSTRUCCIÓN DE PISO FIRME PARA EL MEJORAMIENTO DE LA VIVIENDA, EN LA LOCALIDAD MIGUEL HIDALGO, MUNICIPIO SAN TOMÁS OCOTEPEC.</t>
  </si>
  <si>
    <t>CONSTRUCCIÓN DE PISO FIRME PARA EL MEJORAMIENTO DE LA VIVIENDA, EN LA LOCALIDAD EMILIO PORTES GIL, MUNICIPIO SANTO TOMÁS OCOTEPEC.</t>
  </si>
  <si>
    <t>CONSTRUCCIÓN DE CUARTO PARA COCINA PARA EL MEJORAMIENTO DE LA VIVIENDA, EN LA LOCALIDAD SANTA GERTRUDIS MIRAMAR, MUNICIPIO SANTO DOMINGO TEHUANTEPEC.</t>
  </si>
  <si>
    <t>0021 - SANTA GERTRUDIS MIRAMAR</t>
  </si>
  <si>
    <t>CONSTRUCCIÓN DE CUARTO PARA COCINA PARA EL MEJORAMIENTO DE LA VIVIENDA, EN LA LOCALIDAD SAN VICENTE MAZATÁN, MUNICIPIO SANTO DOMINGO TEHUANTEPEC.</t>
  </si>
  <si>
    <t>0024 - SAN VICENTE MAZATÁN</t>
  </si>
  <si>
    <t>CONSTRUCCIÓN DE TECHO FIRME PARA EL MEJORAMIENTO DE LA VIVIENDA, EN LA LOCALIDAD BAJOS DEL ARENAL, MUNICIPIO SANTA MARÍA HUATULCO.</t>
  </si>
  <si>
    <t>0007 - BAJOS DEL ARENAL</t>
  </si>
  <si>
    <t>CONSTRUCCIÓN DE CUARTO DORMITORIO PARA EL MEJORAMIENTO DE LA VIVIENDA, EN LA LOCALIDAD VILLA DE ETLA, MUNICIPIO VILLA DE ETLA.</t>
  </si>
  <si>
    <t>338 - VILLA DE ETLA</t>
  </si>
  <si>
    <t>0001 - VILLA DE ETLA</t>
  </si>
  <si>
    <t>CONSTRUCCIÓN DE AULA EN PRIMARIA "JUAN ESCUTIA" CON CLAVE ESCOLAR: 20DPR2872J, EN LA LOCALIDAD SANTIAGO YAITEPEC, MUNICIPIO SANTIAGO YAITEPEC</t>
  </si>
  <si>
    <t>CONSTRUCCIÓN DE AULA EN TELESECUNDARIA CON CLAVE ESCOLAR: 20DTV0634U, EN LA LOCALIDAD SANTA ANA TAVELA, MUNICIPIO SANTA ANA TAVELA</t>
  </si>
  <si>
    <t>CONSTRUCCIÓN DE AULAS EN JARDÍN DE NIÑOS "CUAUHTÉMOC" CON CLAVE  ESCOLAR: 20DJN0421C, EN LA LOCALIDAD SAN PEDRO COMITANCILLO, MUNICIPIO SAN PEDRO COMITANCILLO</t>
  </si>
  <si>
    <t>305 - SAN PEDRO COMITANCILLO</t>
  </si>
  <si>
    <t>0001 - SAN PEDRO COMITANCILLO</t>
  </si>
  <si>
    <t>CONSTRUCCIÓN DE COMEDOR ESCOLAR EN ESCUELA SECUNDARIA TÉCNICA NÚM. 60 CON CLAVE ESCOLAR: 20DST0054Z, EN LA LOCALIDAD DE  VILLA DE CHILAPA DE DÍAZ, MUNICIPIO DE  VILLA DE CHILAPA DE DÍAZ.</t>
  </si>
  <si>
    <t>405 - VILLA DE CHILAPA DE DÍAZ</t>
  </si>
  <si>
    <t>0001 - VILLA DE CHILAPA DE DÍAZ</t>
  </si>
  <si>
    <t>CONSTRUCCIÓN DE AULA EN JARDÍN DE NIÑOS RURAL  "MARGARITA MAZA DE JUÁREZ" CON CLAVE ESCOLAR: 20DJN1135P, EN LA LOCALIDAD SANTA MARÍA GUELACÉ, MUNICIPIO SANTA MARÍA GUELACÉ.</t>
  </si>
  <si>
    <t>411 - SANTA MARÍA GUELACÉ</t>
  </si>
  <si>
    <t>0001 - SANTA MARÍA GUELACÉ</t>
  </si>
  <si>
    <t>CONSTRUCCIÓN DE UN AULA EN ESCUELA PRIMARIA "FELIPE CARRILLO PUERTO" CON CLAVE ESCOLAR: 20DPR1499N  EN LA LOCALIDAD SAN JERÓNIMO TLACOCHAHUAYA, MUNICIPIO SAN JERÓNIMO TLACOCHAHUAYA.</t>
  </si>
  <si>
    <t>550 - SAN JERÓNIMO TLACOCHAHUAYA</t>
  </si>
  <si>
    <t>0001 - SAN JERÓNIMO TLACOCHAHUAYA</t>
  </si>
  <si>
    <t>CONSTRUCCIÓN DE TECHADO EN ÁREA DE IMPARTICIÓN DE EDUCACIÓN FÍSICA EN IEBO NÚM. 37 CON CLAVE ESCOLAR: 20ETH0038B, EN LA LOCALIDAD SANTIAGO TAMAZOLA, MUNICIPIO SANTIAGO TAMAZOLA.</t>
  </si>
  <si>
    <t>CONSTRUCCIÓN DE TECHADO EN ÁREA DE IMPARTICIÓN DE EDUCACIÓN FÍSICA EN IEBO NÚM. 215 CON CLAVE ESCOLAR: 20ETH0215P, EN LA LOCALIDAD TEPELMEME VILLA DE MORELOS, MUNICIPIO TEPELMEME VILLA DE MORELOS.</t>
  </si>
  <si>
    <t>548 - TEPELMEME VILLA DE MORELOS</t>
  </si>
  <si>
    <t>0001 - TEPELMEME VILLA DE MORELOS</t>
  </si>
  <si>
    <t>CONSTRUCCIÓN DE AULA EN PRIMARIA "DR. JAIME TORRES BODET" CON CLAVE ESCOLAR: 20DPR2870L, EN LA LOCALIDAD HEROICA VILLA TEZOATLÁN DE SEGURA Y LUNA, CUNA DE LA INDEPENDENCIA DE OAXACA, MUNICIPIO HEROICA VILLA TEZOATLÁN DE SEGURA Y LUNA, CUNA DE LA INDEPENDENCIA DE OAXACA</t>
  </si>
  <si>
    <t>549 - HEROICA VILLA TEZOATLÁN DE SEGURA Y LUNA, CUNA DE LA INDEPENDENCIA DE OAXACA</t>
  </si>
  <si>
    <t>0001 - HEROICA VILLA TEZOATLÁN DE SEGURA Y LUNA, CUNA DE LA INDEPENDENCIA DE OAXACA</t>
  </si>
  <si>
    <t>CONSTRUCCIÓN DE AULA EN TELESECUNDARIA CON CLAVE ESCOLAR: 20DTV0644A, EN LA LOCALIDAD SANTA MARÍA TEMAXCALTEPEC, MUNICIPIO SANTA MARÍA TEMAXCALTEPEC</t>
  </si>
  <si>
    <t>0001 - SANTA MARÍA TEMAXCALTEPEC</t>
  </si>
  <si>
    <t>CONSTRUCCIÓN DE AULAS EN PRIMARIA "NIÑOS HÉROES" CON CLAVE ESCOLAR: 20DPR1332G, EN LA LOCALIDAD SANTIAGO TAMAZOLA, MUNICIPIO SANTIAGO TAMAZOLA</t>
  </si>
  <si>
    <t>CONSTRUCCIÓN DE AULA EN PRIMARIA "EMILIANO ZAPATA" CON CLAVE ESCOLAR: 20DPR1131J, EN LA LOCALIDAD SANTA MARÍA CORTIJO, MUNICIPIO SANTA MARÍA CORTIJO</t>
  </si>
  <si>
    <t>402 - SANTA MARÍA CORTIJO</t>
  </si>
  <si>
    <t>0001 - SANTA MARÍA CORTIJO</t>
  </si>
  <si>
    <t>REHABILITACIÓN DE LABORATORIO ESTATAL, EN LA LOCALIDAD DE REYES MANTECÓN</t>
  </si>
  <si>
    <t>TEQUIOS POR EL BIENESTAR</t>
  </si>
  <si>
    <t>CAMPAÑA NACIONAL DE ALFABETIZACIÓN Y REDUCCIÓN DEL REZAGO EDUCATIVO EN EL ESTADO DE OAXACA 2023-2028.</t>
  </si>
  <si>
    <t>CONSTRUCCIÓN DE POZO PROFUNDO DE AGUA POTABLE EMILIANO ZAPATA BIS, EN LA LOCALIDAD DE OAXACA DE JUAREZ, MUNICIPIO DE OAXACA DE JUAREZ</t>
  </si>
  <si>
    <t>IMPERMEABILIZACIÓN DE LOS CENTROS DE ATENCIÓN INFANTIL COMUNITARIOS EN LA LOCALIDAD DE OAXACA DE JUÁREZ, MUNICIPIO DE OAXACA DE JUÁREZ</t>
  </si>
  <si>
    <t>CONSTRUCCIÓN DE CERCA DE MALLA CICLONICA GALVANIZADA EN PREDIO DE EX FABRICA DE TRIPLAY, SOBRE RIVERAS DEL RÍO ATOYAC, EN LA LOCALIDAD DE OAXACA DE JUÁREZ, MUNICIPIO DE OAXACA DE JUÁREZ</t>
  </si>
  <si>
    <t>REHABILITACIÓN DEL CAMINO RURAL AV. NEGRETE DE JUCHITÁN DE ZARAGOZA - RANCHO LUIS DE LA CRUZ MARTÍNEZ, TRAMO DEL KM 0+000 AL KM 2+000, EN EL MUNICIPIO DE JUCHITÁN DE ZARAGOZA</t>
  </si>
  <si>
    <t>CONSTRUCCIÓN DE LA CARRETERA SIN NOMBRE CON CONCRETO HIDRÁULICO DE SITIO DE LAS FLORES - SANTIAGO IXTALTEPEC, TRAMO DEL KM 0+000 AL KM 5+400, SUBTRAMO DEL KM 0+000 AL KM 0+860, EN EL MUNICIPIO DE ASUNCIÓN IXTALTEPEC</t>
  </si>
  <si>
    <t>0017 - SITIO DE LAS FLORES</t>
  </si>
  <si>
    <t xml:space="preserve">-94.899785 </t>
  </si>
  <si>
    <t>CONSTRUCCIÓN DE LA CARRETERA SIN NOMBRE CON CONCRETO HIDRÁULICO DE SAN LORENZO PÁPALO - CONCEPCIÓN PÁPALO, TRAMO DEL KM 0+000 AL KM 15+000, SUBTRAMO DEL KM 0+000 AL KM 0+700, EN EL MUNICIPIO DE CONCEPCIÓN PÁPALO</t>
  </si>
  <si>
    <t>019 - CONCEPCIÓN PÁPALO</t>
  </si>
  <si>
    <t>0005 - SAN LORENZO PÁPALO</t>
  </si>
  <si>
    <t>CONSTRUCCIÓN DE LA CARRETERA SIN NOMBRE CON CONCRETO HIDRÁULICO DE AGUA ANCHA - SAN JOSÉ BUENAVISTA, TRAMO DEL KM 0+000 AL KM 5+500, SUBTRAMO DEL KM 0+000 AL KM 0+680, EN EL MUNICIPIO DE ELOXOCHITLÁN DE FLORES MAGÓN</t>
  </si>
  <si>
    <t>029 - ELOXOCHITLÁN DE FLORES MAGÓN</t>
  </si>
  <si>
    <t>0002 - AGUA ANCHA</t>
  </si>
  <si>
    <t>EQUIPAMIENTO CON ELECTRIFICACIÓN NO CONVENCIONAL (PANEL SOLAR FOTOVOLTAICO) PARA EL MEJORAMIENTO DE LA VIVIENDA, EN LA LOCALIDAD LA VENTOSA, MUNICIPIO JUCHITÁN DE ZARAGOZA.</t>
  </si>
  <si>
    <t>0006 - LA VENTOSA</t>
  </si>
  <si>
    <t>EQUIPAMIENTO CON CALENTADOR SOLAR PARA EL MEJORAMIENTO DE LA VIVIENDA, EN LA LOCALIDAD ASUNCIÓN NOCHIXTLÁN, MUNICIPIO ASUNCIÓN NOCHIXTLÁN.</t>
  </si>
  <si>
    <t>CONSTRUCCIÓN DE PISO FIRME PARA EL MEJORAMIENTO DE LA VIVIENDA, EN LA LOCALIDAD MAGDALENA TEITIPAC, MUNICIPIO MAGDALENA TEITIPAC.</t>
  </si>
  <si>
    <t>CONSTRUCCIÓN DE SISTEMA DE CAPTACIÓN DE AGUA PLUVIAL PARA EL MEJORAMIENTO DE LA VIVIENDA, EN LA LOCALIDAD JUCHITÁN DE ZARAGOZA, MUNICIPIO JUCHITÁN DE ZARAGOZA.</t>
  </si>
  <si>
    <t>EQUIPAMIENTO DE SISTEMA DE CAPTACIÓN DE AGUA PLUVIAL PARA EL MEJORAMIENTO DE LA VIVIENDA, EN LA LOCALIDAD JUCHITÁN DE ZARAGOZA, MUNICIPIO JUCHITÁN DE ZARAGOZA.</t>
  </si>
  <si>
    <t>REHABILITACION DE POZO PROFUNDO DE AGUA POTABLE "DIF" EN LA LOCALIDAD DE OAXACA DE JUAREZ, MUNICIPIO DE OAXACA DE JUAREZ.</t>
  </si>
  <si>
    <t>REHABILITACIÓN DE POZO PROFUNDO DE AGUA POTABLE "ZAHANARA" LOCALIDAD DE OAXACA DE JUÁREZ, MUNICIPIO DE OAXACA DE JUÁREZ.</t>
  </si>
  <si>
    <t>CONSTRUCCIÓN DE TECHADO EN ÁREA DE IMPARTICIÓN DE EDUCACIÓN FÍSICA EN LA ESCUELA SECUNDARIA COMUNITARIA INDÍGENA CON CLAVE 20ESC0005Z EN LA LOCALIDAD DE SAN ANDRÉS SOLAGA, MUNICIPIO DE SAN ANDRÉS SOLAGA</t>
  </si>
  <si>
    <t>097 - SAN ANDRÉS SOLAGA</t>
  </si>
  <si>
    <t>0001 - SAN ANDRÉS SOLAGA</t>
  </si>
  <si>
    <t>CONSTRUCCIÓN DE PISO FIRME PARA EL MEJORAMIENTO DE LA VIVIENDA, EN LA LOCALIDAD EL GUAYABO, MUNICIPIO SAN FRANCISCO LOGUECHE.</t>
  </si>
  <si>
    <t>0004 - EL GUAYABO</t>
  </si>
  <si>
    <t>CONSTRUCCIÓN DE PISO FIRME PARA EL MEJORAMIENTO DE LA VIVIENDA, EN LA LOCALIDAD EL COSTOCHE, MUNICIPIO SAN FRANCISCO LOGUECHE.</t>
  </si>
  <si>
    <t>0003 - EL COSTOCHE</t>
  </si>
  <si>
    <t>CONSTRUCCIÓN DE PISO FIRME PARA EL MEJORAMIENTO DE LA VIVIENDA, EN LA LOCALIDAD SAN FRANCISCO LOGUECHE, MUNICIPIO SAN FRANCISCO LOGUECHE.</t>
  </si>
  <si>
    <t>0001 - SAN FRANCISCO LOGUECHE</t>
  </si>
  <si>
    <t>EQUIPAMIENTO DE SISTEMA DE CAPTACIÓN DE AGUA PLUVIAL PARA EL MEJORAMIENTO DE LA VIVIENDA, EN LA LOCALIDAD REFORMA DE PINEDA, MUNICIPIO REFORMA DE PINEDA.</t>
  </si>
  <si>
    <t>075 - REFORMA DE PINEDA</t>
  </si>
  <si>
    <t>0001 - REFORMA DE PINEDA</t>
  </si>
  <si>
    <t>CONSTRUCCIÓN DE SISTEMA DE CAPTACIÓN DE AGUA PLUVIAL PARA EL MEJORAMIENTO DE LA VIVIENDA, EN LA LOCALIDAD REFORMA DE PINEDA, MUNICIPIO REFORMA DE PINEDA.</t>
  </si>
  <si>
    <t>CONSTRUCCIÓN DE SISTEMA DE CAPTACIÓN DE AGUA PLUVIAL PARA EL MEJORAMIENTO DE LA VIVIENDA, EN LA LOCALIDAD SAN FRANCISCO IXHUATÁN, MUNICIPIO SAN FRANCISCO IXHUATÁN.</t>
  </si>
  <si>
    <t>0001 - SAN FRANCISCO IXHUATÁN</t>
  </si>
  <si>
    <t>EQUIPAMIENTO DE SISTEMA DE CAPTACIÓN DE AGUA PLUVIAL PARA EL MEJORAMIENTO DE LA VIVIENDA, EN LA LOCALIDAD SAN FRANCISCO IXHUATÁN, MUNICIPIO SAN FRANCISCO IXHUATÁN.</t>
  </si>
  <si>
    <t>CONSTRUCCIÓN DE PISO FIRME PARA EL MEJORAMIENTO DE LA VIVIENDA, EN LA LOCALIDAD SALINA CRUZ, MUNICIPIO SALINA CRUZ.</t>
  </si>
  <si>
    <t>CONSTRUCCIÓN DE CUARTO DORMITORIO PARA EL MEJORAMIENTO DE LA VIVIENDA, EN LA LOCALIDAD LA UNIÓN, MUNICIPIO SAN ANTONIO SINICAHUA.</t>
  </si>
  <si>
    <t>110 - SAN ANTONIO SINICAHUA</t>
  </si>
  <si>
    <t>0005 - LA UNIÓN</t>
  </si>
  <si>
    <t>CONSTRUCCIÓN DE TECHADO EN ÁREA DE IMPARTICIÓN DE EDUCACIÓN FÍSICA EN CENTRO DE INTEGRACIÓN SOCIAL "GENERAL LÁZARO CÁRDENAS" CON CLAVE ESCOLAR: 20DCI0006T, EN LA LOCALIDAD SAN BARTOLOMÉ ZOOGOCHO, MUNICIPIO SAN BARTOLOMÉ ZOOGOCHO.</t>
  </si>
  <si>
    <t>120 - SAN BARTOLOMÉ ZOOGOCHO</t>
  </si>
  <si>
    <t>0001 - SAN BARTOLOMÉ ZOOGOCHO</t>
  </si>
  <si>
    <t>AMPLIACIÓN DE LA RED DE DISTRIBUCIÓN DE ENERGÍA ELÉCTRICA EN LA LOCALIDAD DE SAN JOSE, MUNICIPIO DE SAN JUAN TAMAZOLA</t>
  </si>
  <si>
    <t>217 - SAN JUAN TAMAZOLA</t>
  </si>
  <si>
    <t>0010 - SAN JOSÉ</t>
  </si>
  <si>
    <t>CONSTRUCCIÓN DE LA CARRETERA A SANTA MARÍA EL RINCÓN CON CONCRETO HIDRÁULICO, TRAMO DEL KM 0+000 AL KM 1+000, SUBTRAMO DEL KM 0+000 AL KM 0+820, EN EL MUNICIPIO DE SAN JUAN LACHIGALLA</t>
  </si>
  <si>
    <t>203 - SAN JUAN LACHIGALLA</t>
  </si>
  <si>
    <t>0001 - SAN JUAN LACHIGALLA</t>
  </si>
  <si>
    <t>REHABILITACIÓN DE LA CARRETERA DE GUADALUPE CON CONCRETO ASFÁLTICO DE SAN LORENZO CACAOTEPEC – SAN FELIPE TEJALÁPAM, TRAMO DEL KM 0+000 AL KM 5+200, SUBTRAMO DEL KM 0+000 AL KM 1+600, EN EL MUNICIPIO DE SAN LORENZO CACAOTEPEC</t>
  </si>
  <si>
    <t xml:space="preserve">-96.809272 </t>
  </si>
  <si>
    <t>CONSTRUCCIÓN DE LA CARRETERA SIN NOMBRE CON CONCRETO HIDRÁULICO DE SAN JUAN YETZECOVI - SAN ILDEFONSO VILLA ALTA, TRAMO DEL KM 0+000 AL KM 13+900, SUBTRAMO DEL KM 0+000 AL KM 0+869, EN EL MUNICIPIO DE SAN ILDEFONSO VILLA ALTA</t>
  </si>
  <si>
    <t>156 - SAN ILDEFONSO VILLA ALTA</t>
  </si>
  <si>
    <t>0005 - SAN JUAN YETZECOVI</t>
  </si>
  <si>
    <t>REHABILITACIÓN DE LA CARRETERA SIN NOMBRE, ALFONSO PÉREZ GASGA, CON CONCRETO ASFÁLTICO, TRAMO DEL KM 0+000 AL KM 1+085, EN EL MUNICIPIO DE SAN JUAN BAUTISTA LO DE SOTO</t>
  </si>
  <si>
    <t>CONSTRUCCIÓN DE LA CARRETERA SIN NOMBRE CON CONCRETO HIDRÁULICO DE SANTA CATARINA YETZELALAG - SANTIAGO CAMOTLÁN, TRAMO DEL KM 0+000 AL KM 3+000, SUBTRAMO DEL KM 0+000 AL KM 0+900, EN LOS MUNICIPIOS DE SAN ILDEFONSO VILLA ALTA Y SANTIAGO CAMOTLÁN</t>
  </si>
  <si>
    <t>0006 - SANTA CATARINA YETZELALAG</t>
  </si>
  <si>
    <t xml:space="preserve">-96.169670 </t>
  </si>
  <si>
    <t>CONSTRUCCIÓN DE LA CARRETERA SIN NOMBRE CON CONCRETO HIDRÁULICO DEL (E.C. KM 3+500 (PINOTEPA DE DON LUIS - SAN JUAN COLORADO) - AGUA FRÍA), TRAMO DEL KM 0+000 AL KM 5+602, SUBTRAMO DEL KM 1+000 AL KM 2+070, EN EL MUNICIPIO DE SAN JUAN COLORADO</t>
  </si>
  <si>
    <t>188 - SAN JUAN COLORADO</t>
  </si>
  <si>
    <t>0001 - SAN JUAN COLORADO</t>
  </si>
  <si>
    <t xml:space="preserve">-97.947695 </t>
  </si>
  <si>
    <t>CONSTRUCCIÓN DE LA CARRETERA MONTE NEGRO – ARROYO PLÁTANO CON CONCRETO HIDRÁULICO, TRAMO DEL KM 0+000 AL KM 3+200, SUBTRAMO DEL KM 0+000 AL KM 0+840, EN EL MUNICIPIO DE SAN JUAN LALANA</t>
  </si>
  <si>
    <t>0010 - IGNACIO ZARAGOZA</t>
  </si>
  <si>
    <t>CONSTRUCCIÓN DE PISO FIRME PARA EL MEJORAMIENTO DE LA VIVIENDA, EN LA LOCALIDAD LA LAGUNA, MUNICIPIO SAN PEDRO Y SAN PABLO AYUTLA.</t>
  </si>
  <si>
    <t>0016 - LA LAGUNA</t>
  </si>
  <si>
    <t>CONSTRUCCIÓN DE PISO FIRME PARA EL MEJORAMIENTO DE LA VIVIENDA, EN LA LOCALIDAD SAN JUAN DIUXI, MUNICIPIO SAN JUAN DIUXI.</t>
  </si>
  <si>
    <t>AMPLIACIÓN DE LA RED DE DISTRIBUCIÓN DE ENERGIA ELECTRICA EN LA CALLE CUAUHTEMOC EN LA LOCALIDAD DE SAN MELCHOR BETAZA DEL MUNICIPIO DE SAN MELCHOR BETAZA</t>
  </si>
  <si>
    <t>CONSTRUCCIÓN DE MURO DE CONTENCIÓN EN EL SALÓN DE ENSAYOS "BANDA FILARMÓNICA INFANTIL Y JUVENIL,UNION Y PROGRESO", EN LA LOCALIDAD DE VILLA TALEA DE CASTRO, MUNICIPIO VILLA TALEA DE CASTRO</t>
  </si>
  <si>
    <t>280 - VILLA TALEA DE CASTRO</t>
  </si>
  <si>
    <t>0001 - VILLA TALEA DE CASTRO</t>
  </si>
  <si>
    <t>CONSTRUCCIÓN DE PAVIMENTO CON CONCRETO HIDRÁULICO EN LAS CALLES INDEPENDENCIA Y BENITO JUÁREZ, EN LA LOCALIDAD DE COMITLÁN, MUNICIPIO DE SAN PABLO COATLÁN</t>
  </si>
  <si>
    <t>0005 - COMITLÁN</t>
  </si>
  <si>
    <t>CONSTRUCCIÓN DE PAVIMENTO CON CONCRETO HIDRÁULICO EN CALLE SIN NOMBRE, EN LA LOCALIDAD TAMARINDO, MUNICIPIO DE SAN PABLO COATLÁN</t>
  </si>
  <si>
    <t>0007 - TAMARINDO</t>
  </si>
  <si>
    <t>AMPLIACIÓN DE LA RED DE DISTRIBUCIÓN DE ENERGÍA ELÉCTRICA EN VARIAS CALLES DE LA LOCALDAD DE SAN PABLO LACHIRIEGA, MUNICIPIO DE SAN PEDRO QUIATONI</t>
  </si>
  <si>
    <t>CONSTRUCCIÓN DE PAVIMENTO A BASE DE CONCRETO HIDRÁULICO EN LA CALLE CORREGIDORA, EN LA LOCALIDAD DE SAN MARTÍN TILCAJETE, MUNICIPIO DE SAN MARTÍN TILCAJETE</t>
  </si>
  <si>
    <t>243 - SAN MARTÍN TILCAJETE</t>
  </si>
  <si>
    <t>0001 - SAN MARTÍN TILCAJETE</t>
  </si>
  <si>
    <t>AMPLIACIÓN DE LA RED DE DISTRIBUCIÓN DE ENERGÍA ELÉCTRICA EN AVENIDA NACIONAL DE LA LOCALIDAD DE MIRAMAR, MUNICIPIO DE SANTA MARÍA YUCUHITI</t>
  </si>
  <si>
    <t>0003 - MIRAMAR</t>
  </si>
  <si>
    <t>REHABILITACIÓN DE LA CARRETERA SIN NOMBRE CON CONCRETO ASFÁLTICO DEL E.C. TUXTEPEC - T.C. (OAXACA - TEHUANTEPEC) – SAN MIGUEL DEL RÍO, TRAMO DEL KM 0+000 AL KM 6+943, EN LOS MUNICIPIOS DE SAN MIGUEL DEL RÍO Y SANTA CATARINA IXTEPEJI</t>
  </si>
  <si>
    <t>267 - SAN MIGUEL DEL RÍO</t>
  </si>
  <si>
    <t>0001 - SAN MIGUEL DEL RÍO</t>
  </si>
  <si>
    <t xml:space="preserve">-96.555313 </t>
  </si>
  <si>
    <t>CONSTRUCCIÓN DE LA CARRETERA SIN NOMBRE CON CONCRETO HIDRÁULICO DEL E.C. KM 239+200 (YUCUDAA - SANTIAGO PINOTEPA NACIONAL) - VISTA HERMOSA DEL KM 0+000 AL KM 3+644, SUBTRAMO DEL KM 2+200 AL KM 2+880, EN EL MUNICIPIO DE SAN SEBASTIÁN IXCAPA</t>
  </si>
  <si>
    <t>345 - SAN SEBASTIÁN IXCAPA</t>
  </si>
  <si>
    <t>0008 - VISTA HERMOSA</t>
  </si>
  <si>
    <t>CONSTRUCCIÓN DE LA CARRETERA SIN NOMBRE CON CONCRETO HIDRÁULICO DE SAN ISIDRO ALOÁPAM - SANTA ANA YARENI, TRAMO DEL KM 0+000 AL KM 11+700, SUBTRAMO DEL KM 0+000 AL KM 1+100, EN EL MUNICIPIO DE SAN MIGUEL ALOÁPAM</t>
  </si>
  <si>
    <t>CONSTRUCCIÓN DE LA CARRETERA CON CONCRETO HIDRÁULICO E.C. (YUCUDAA - SANTIAGO PINOTEPA NACIONAL) - SAN SEBASTIÁN NICANANDUTA, TRAMO DEL KM 0+000 AL KM 17+900, SUBTRAMO DEL KM 5+000 AL KM 6+420, EN EL MUNICIPIO DE SAN PEDRO Y SAN PABLO TEPOSCOLULA</t>
  </si>
  <si>
    <t>339 - SAN PEDRO Y SAN PABLO TEPOSCOLULA</t>
  </si>
  <si>
    <t>0003 - GUADALUPE VISTA HERMOSA</t>
  </si>
  <si>
    <t>CONSTRUCCIÓN DE LA CARRETERA SIN NOMBRE CON CONCRETO HIDRÁULICO DE CAÑADA DEL TOTOMOXTLE - E.C. (YUCUDAA - SANTIAGO PINOTEPA NACIONAL), TRAMO DEL KM 0+000 AL KM 4+400, SUBTRAMO DEL KM 0+000 AL KM 0+760, EN EL MUNICIPIO DE SAN SEBASTIÁN IXCAPA</t>
  </si>
  <si>
    <t>0003 - CAÑADA DEL TOTOMOXTLE</t>
  </si>
  <si>
    <t>CONSTRUCCIÓN DE SANITARIO CON BIODIGESTOR PARA EL MEJORAMIENTO DE LA VIVIENDA, EN LA LOCALIDAD GUADALUPE YOSOYÚA, MUNICIPIO SANTA MARÍA YOSOYÚA.</t>
  </si>
  <si>
    <t>CONSTRUCCIÓN DE CISTERNA PARA EL MEJORAMIENTO DE LA VIVIENDA, EN LA LOCALIDAD CERRO ARMADILLO GRANDE, MUNICIPIO SAN JUAN BAUTISTA VALLE NACIONAL.</t>
  </si>
  <si>
    <t>CONSTRUCCIÓN DE PISO FIRME PARA EL MEJORAMIENTO DE LA VIVIENDA, EN LA LOCALIDAD SANTA CRUZ XOXOCOTLÁN, MUNICIPIO SANTA CRUZ XOXOCOTLÁN.</t>
  </si>
  <si>
    <t>CONSTRUCCIÓN DE TECHO FIRME PARA EL MEJORAMIENTO DE LA VIVIENDA, EN LA LOCALIDAD BARRANCA MAPACHE, MUNICIPIO SANTIAGO AMOLTEPEC.</t>
  </si>
  <si>
    <t>450 - SANTIAGO AMOLTEPEC</t>
  </si>
  <si>
    <t>0040 - BARRANCA MAPACHE</t>
  </si>
  <si>
    <t>CONSTRUCCIÓN DE SISTEMA DE CAPTACIÓN DE AGUA PLUVIAL PARA EL MEJORAMIENTO DE LA VIVIENDA, EN LA LOCALIDAD SAN PEDRO TAPANATEPEC, MUNICIPIO SAN PEDRO TAPANATEPEC.</t>
  </si>
  <si>
    <t>EQUIPAMIENTO DE SISTEMA DE CAPTACIÓN DE AGUA PLUVIAL PARA EL MEJORAMIENTO DE LA VIVIENDA, EN LA LOCALIDAD SAN PEDRO TAPANATEPEC, MUNICIPIO SAN PEDRO TAPANATEPEC.</t>
  </si>
  <si>
    <t>CONSTRUCCIÓN DE CUARTO DORMITORIO PARA EL MEJORAMIENTO DE LA VIVIENDA, EN LA LOCALIDAD SANTA CATARINA TAYATA, MUNICIPIO SANTA CATARINA TAYATA.</t>
  </si>
  <si>
    <t xml:space="preserve"> -97.56281463310061</t>
  </si>
  <si>
    <t xml:space="preserve"> -97.5621052526487</t>
  </si>
  <si>
    <t>CONSTRUCCIÓN DE CUARTO DORMITORIO PARA EL MEJORAMIENTO DE LA VIVIENDA, EN LA LOCALIDAD LA CONCEPCIÓN, MUNICIPIO SAN MARTÍN ITUNYOSO.</t>
  </si>
  <si>
    <t>240 - SAN MARTÍN ITUNYOSO</t>
  </si>
  <si>
    <t>0002 - LA CONCEPCIÓN</t>
  </si>
  <si>
    <t>CONSTRUCCIÓN DE CUARTO DORMITORIO PARA EL MEJORAMIENTO DE LA VIVIENDA, EN LA LOCALIDAD SANTA MARÍA CUQUILA, MUNICIPIO HEROICA CIUDAD DE TLAXIACO.</t>
  </si>
  <si>
    <t>0025 - SANTA MARÍA CUQUILA</t>
  </si>
  <si>
    <t>CONSTRUCCIÓN DE CUARTO DORMITORIO PARA EL MEJORAMIENTO DE LA VIVIENDA, EN LA LOCALIDAD AGUA ZARCA CUQUILA, MUNICIPIO HEROICA CIUDAD DE TLAXIACO.</t>
  </si>
  <si>
    <t>0036 - AGUA ZARCA CUQUILA</t>
  </si>
  <si>
    <t>CONSTRUCCIÓN DE CUARTO DORMITORIO PARA EL MEJORAMIENTO DE LA VIVIENDA, EN LA LOCALIDAD PIEDRA AZUL, MUNICIPIO SAN MARTÍN PERAS.</t>
  </si>
  <si>
    <t>242 - SAN MARTÍN PERAS</t>
  </si>
  <si>
    <t>0015 - PIEDRA AZUL</t>
  </si>
  <si>
    <t>CONSTRUCCIÓN DE CUARTO DORMITORIO PARA EL MEJORAMIENTO DE LA VIVIENDA, EN LA LOCALIDAD EL SUMIDERO, MUNICIPIO SANTA LUCÍA MIAHUATLÁN.</t>
  </si>
  <si>
    <t>0008 - EL SUMIDERO</t>
  </si>
  <si>
    <t>CONSTRUCCIÓN DE CUARTO DORMITORIO PARA EL MEJORAMIENTO DE LA VIVIENDA, EN LA LOCALIDAD CINCO NEGRITOS, MUNICIPIO SANTA CATARINA JUQUILA.</t>
  </si>
  <si>
    <t>0045 - CINCO NEGRITOS</t>
  </si>
  <si>
    <t>CONSTRUCCIÓN DE CUARTO DORMITORIO PARA EL MEJORAMIENTO DE LA VIVIENDA, EN LA LOCALIDAD EL ZAPOTALITO, MUNICIPIO VILLA DE TUTUTEPEC.</t>
  </si>
  <si>
    <t>0070 - EL ZAPOTALITO</t>
  </si>
  <si>
    <t> -97.425492675</t>
  </si>
  <si>
    <t>CONSTRUCCIÓN DE PISO FIRME PARA EL MEJORAMIENTO DE LA VIVIENDA, EN LA LOCALIDAD SANTA CATARINA CUIXTLA, MUNICIPIO SANTA CATARINA CUIXTLA.</t>
  </si>
  <si>
    <t>362 - SANTA CATARINA CUIXTLA</t>
  </si>
  <si>
    <t>0001 - SANTA CATARINA CUIXTLA</t>
  </si>
  <si>
    <t>CONSTRUCCIÓN DE PISO FIRME PARA EL MEJORAMIENTO DE LA VIVIENDA, EN LA LOCALIDAD SAN MARTÍN LACHILÁ, MUNICIPIO SAN MARTÍN LACHILÁ.</t>
  </si>
  <si>
    <t>241 - SAN MARTÍN LACHILÁ</t>
  </si>
  <si>
    <t>0001 - SAN MARTÍN LACHILÁ</t>
  </si>
  <si>
    <t>CONSTRUCCIÓN DE PISO FIRME PARA EL MEJORAMIENTO DE LA VIVIENDA, EN LA LOCALIDAD SAN ISIDRO ZEGACHE, MUNICIPIO SANTA ANA ZEGACHE.</t>
  </si>
  <si>
    <t>360 - SANTA ANA ZEGACHE</t>
  </si>
  <si>
    <t>0003 - SAN ISIDRO ZEGACHE</t>
  </si>
  <si>
    <t>CONSTRUCCIÓN DE PISO FIRME PARA EL MEJORAMIENTO DE LA VIVIENDA, EN LA LOCALIDAD SAN JERÓNIMO ZEGACHE, MUNICIPIO SANTA ANA ZEGACHE.</t>
  </si>
  <si>
    <t>0002 - SAN JERÓNIMO ZEGACHE</t>
  </si>
  <si>
    <t>CONSTRUCCIÓN DE PISO FIRME PARA EL MEJORAMIENTO DE LA VIVIENDA, EN LA LOCALIDAD SANTA ANA ZEGACHE, MUNICIPIO SANTA ANA ZEGACHE.</t>
  </si>
  <si>
    <t>0001 - SANTA ANA ZEGACHE</t>
  </si>
  <si>
    <t>CONSTRUCCIÓN DE CUARTO DORMITORIO PARA EL MEJORAMIENTO DE LA VIVIENDA, EN LA LOCALIDAD HUAZANTLÁN DEL RÍO, MUNICIPIO SAN MATEO DEL MAR.</t>
  </si>
  <si>
    <t>248 - SAN MATEO DEL MAR</t>
  </si>
  <si>
    <t>0003 - HUAZANTLÁN DEL RÍO</t>
  </si>
  <si>
    <t>CONSTRUCCIÓN DE CUARTO DORMITORIO PARA EL MEJORAMIENTO DE LA VIVIENDA, EN LA LOCALIDAD SAN MATEO DEL MAR, MUNICIPIO SAN MATEO DEL MAR.</t>
  </si>
  <si>
    <t>0001 - SAN MATEO DEL MAR</t>
  </si>
  <si>
    <t>CONSTRUCCIÓN DEL SISTEMA DE AGUA POTABLE EN LA LOCALIDAD SAN ISIDRO VISTA HERMOSA, MUNICIPIO SANTA CRUZ NUNDACO</t>
  </si>
  <si>
    <t>CONSTRUCCIÓN DE TECHADO EN ÁREA DE IMPARTICIÓN DE EDUCACIÓN FÍSICA EN IEBO NUM. 182 CON CLAVE ESCOLAR: 20ETH0182O, EN LA LOCALIDAD SANTA MARÍA PÁPALO, MUNICIPIO SANTA MARÍA PÁPALO.</t>
  </si>
  <si>
    <t>0001 - SANTA MARÍA PÁPALO</t>
  </si>
  <si>
    <t>CONSTRUCCIÓN DE AULA EN CECYTE EMSAD. NUM. 56 CON CLAVE ESCOLAR: 20EMS0056N, EN LA LOCALIDAD SANTA MARÍA SOLA, MUNICIPIO SANYTA MARÍA SOLA.</t>
  </si>
  <si>
    <t>531 - INSTITUTO ESTATAL DE EDUCACIÓN PÚBLICA DE OAXACA</t>
  </si>
  <si>
    <t>531001 - DIRECCIÓN GENERAL DEL IEEPO</t>
  </si>
  <si>
    <t>EQUIPAMIENTO DE ESCUELAS PÚBLICAS DE EDUCACIÓN BÁSICA DEL MUNICIPIO DE: COATECAS ALTAS</t>
  </si>
  <si>
    <t>0000 - COBERTURA MUNICIPAL COATECAS ALTAS</t>
  </si>
  <si>
    <t>EQUIPAMIENTO DE ESCUELAS PÚBLICAS DE EDUCACIÓN BÁSICA DEL MUNICIPIO DE: CUILÁPAM DE GUERRERO</t>
  </si>
  <si>
    <t>0000 - COBERTURA MUNICIPAL CUILÁPAM DE GUERRERO</t>
  </si>
  <si>
    <t>EQUIPAMIENTO DE ESCUELAS PÚBLICAS DE EDUCACIÓN BÁSICA DEL MUNICIPIO DE: HEROICA CIUDAD DE EJUTLA DE CRESPO</t>
  </si>
  <si>
    <t>0000 - COBERTURA MUNICIPAL HEROICA CIUDAD DE EJUTLA DE CRESPO</t>
  </si>
  <si>
    <t>EQUIPAMIENTO DE ESCUELAS PÚBLICAS DE EDUCACIÓN BÁSICA DEL MUNICIPIO DE: IXPANTEPEC NIEVES</t>
  </si>
  <si>
    <t>065 - IXPANTEPEC NIEVES</t>
  </si>
  <si>
    <t>0000 - COBERTURA MUNICIPAL IXPANTEPEC NIEVES</t>
  </si>
  <si>
    <t>EQUIPAMIENTO DE ESCUELAS PÚBLICAS DE EDUCACIÓN BÁSICA DEL MUNICIPIO DE: SAN AGUSTÍN YATARENI</t>
  </si>
  <si>
    <t>0000 - COBERTURA MUNICIPAL SAN AGUSTÍN YATARENI</t>
  </si>
  <si>
    <t>EQUIPAMIENTO DE ESCUELAS PÚBLICAS DE EDUCACIÓN BÁSICA DEL MUNICIPIO DE: SAN GABRIEL MIXTEPEC</t>
  </si>
  <si>
    <t>0000 - COBERTURA MUNICIPAL SAN GABRIEL MIXTEPEC</t>
  </si>
  <si>
    <t>EQUIPAMIENTO DE ESCUELAS PÚBLICAS DE EDUCACIÓN BÁSICA DEL MUNICIPIO DE: SAN JOSÉ DEL PROGRESO</t>
  </si>
  <si>
    <t>072 - SAN JOSÉ DEL PROGRESO</t>
  </si>
  <si>
    <t>0000 - COBERTURA MUNICIPAL SAN JOSÉ DEL PROGRESO</t>
  </si>
  <si>
    <t>EQUIPAMIENTO DE ESCUELAS PÚBLICAS DE EDUCACIÓN BÁSICA DEL MUNICIPIO DE: SAN JOSÉ ESTANCIA GRANDE</t>
  </si>
  <si>
    <t>168 - SAN JOSÉ ESTANCIA GRANDE</t>
  </si>
  <si>
    <t>0000 - COBERTURA MUNICIPAL SAN JOSÉ ESTANCIA GRANDE</t>
  </si>
  <si>
    <t>EQUIPAMIENTO DE ESCUELAS PÚBLICAS DE EDUCACIÓN BÁSICA DEL MUNICIPIO DE: SAN JUAN CACAHUATEPEC</t>
  </si>
  <si>
    <t>185 - SAN JUAN CACAHUATEPEC</t>
  </si>
  <si>
    <t>0001 - SAN JUAN CACAHUATEPEC</t>
  </si>
  <si>
    <t>EQUIPAMIENTO DE ESCUELAS PÚBLICAS DE EDUCACIÓN BÁSICA DEL MUNICIPIO DE: SAN MARCOS ARTEAGA</t>
  </si>
  <si>
    <t>0000 - COBERTURA MUNICIPAL SAN MARCOS ARTEAGA</t>
  </si>
  <si>
    <t>EQUIPAMIENTO DE ESCUELAS PÚBLICAS DE EDUCACIÓN BÁSICA DEL MUNICIPIO DE: SAN MARTÍN DE LOS CANSECOS</t>
  </si>
  <si>
    <t>0000 - COBERTURA MUNICIPAL SAN MARTÍN DE LOS CANSECOS</t>
  </si>
  <si>
    <t>EQUIPAMIENTO DE ESCUELAS PÚBLICAS DE EDUCACIÓN BÁSICA DEL MUNICIPIO DE: SAN PEDRO AMUZGOS</t>
  </si>
  <si>
    <t>300 - SAN PEDRO AMUZGOS</t>
  </si>
  <si>
    <t>0000 - COBERTURA MUNICIPAL SAN PEDRO AMUZGOS</t>
  </si>
  <si>
    <t>EQUIPAMIENTO DE ESCUELAS PÚBLICAS DE EDUCACIÓN BÁSICA DEL MUNICIPIO DE: SAN PEDRO JUCHATENGO</t>
  </si>
  <si>
    <t>314 - SAN PEDRO JUCHATENGO</t>
  </si>
  <si>
    <t>0000 - COBERTURA MUNICIPAL SAN PEDRO JUCHATENGO</t>
  </si>
  <si>
    <t>EQUIPAMIENTO DE ESCUELAS PÚBLICAS DE EDUCACIÓN BÁSICA DEL MUNICIPIO DE: SAN SEBASTIÁN COATLÁN</t>
  </si>
  <si>
    <t>0000 - COBERTURA MUNICIPAL SAN SEBASTIÁN COATLÁN</t>
  </si>
  <si>
    <t>EQUIPAMIENTO DE ESCUELAS PÚBLICAS DE EDUCACIÓN BÁSICA DEL MUNICIPIO DE: SAN SEBASTIÁN IXCAPA</t>
  </si>
  <si>
    <t>0000 - COBERTURA MUNICIPAL SAN SEBASTIÁN IXCAPA</t>
  </si>
  <si>
    <t>EQUIPAMIENTO DE ESCUELAS PÚBLICAS DE EDUCACIÓN BÁSICA DEL MUNICIPIO DE: SANTA CATARINA MINAS</t>
  </si>
  <si>
    <t>368 - SANTA CATARINA MINAS</t>
  </si>
  <si>
    <t>0000 - COBERTURA MUNICIPAL SANTA CATARINA MINAS</t>
  </si>
  <si>
    <t>EQUIPAMIENTO DE ESCUELAS PÚBLICAS DE EDUCACIÓN BÁSICA DEL MUNICIPIO DE: SANTA MARÍA DEL TULE</t>
  </si>
  <si>
    <t>0000 - COBERTURA MUNICIPAL SANTA MARÍA DEL TULE</t>
  </si>
  <si>
    <t>EQUIPAMIENTO DE ESCUELAS PÚBLICAS DE EDUCACIÓN BÁSICA DEL MUNICIPIO DE: SANTIAGO CHOÁPAM</t>
  </si>
  <si>
    <t>460 - SANTIAGO CHOÁPAM</t>
  </si>
  <si>
    <t>0006 - SANTA MARÍA YAHUIVÉ</t>
  </si>
  <si>
    <t>EQUIPAMIENTO DE ESCUELAS PÚBLICAS DE EDUCACIÓN BÁSICA DEL MUNICIPIO DE: SANTO DOMINGO TONALÁ</t>
  </si>
  <si>
    <t>520 - SANTO DOMINGO TONALÁ</t>
  </si>
  <si>
    <t>0000 - COBERTURA MUNICIPAL SANTO DOMINGO TONALÁ</t>
  </si>
  <si>
    <t>EQUIPAMIENTO DE ESCUELAS PÚBLICAS DE EDUCACIÓN BÁSICA DEL MUNICIPIO DE: TEOTITLÁN DEL VALLE</t>
  </si>
  <si>
    <t>EQUIPAMIENTO DE ESCUELAS PÚBLICAS DE EDUCACIÓN BÁSICA DEL MUNICIPIO DE: VILLA TEJÚPAM DE LA UNIÓN</t>
  </si>
  <si>
    <t>0000 - COBERTURA MUNICIPAL VILLA TEJÚPAM DE LA UNIÓN</t>
  </si>
  <si>
    <t>EQUIPAMIENTO DE ESCUELAS PÚBLICAS DE EDUCACIÓN BÁSICA DEL MUNICIPIO DE: SANTIAGO TAMAZOLA</t>
  </si>
  <si>
    <t>0000 - COBERTURA MUNICIPAL SANTIAGO TAMAZOLA</t>
  </si>
  <si>
    <t>EQUIPAMIENTO DE ESCUELAS PÚBLICAS DE EDUCACIÓN BÁSICA DEL MUNICIPIO DE: SANTA CRUZ PAPALUTLA</t>
  </si>
  <si>
    <t>0000 - COBERTURA MUNICIPAL SANTA CRUZ PAPALUTLA</t>
  </si>
  <si>
    <t>EQUIPAMIENTO DE ESCUELAS PÚBLICAS DE EDUCACIÓN BÁSICA DEL MUNICIPIO DE: SANTA MARIA GUELACE</t>
  </si>
  <si>
    <t>0000 - COBERTURA MUNICIPAL SANTA MARÍA GUELACÉ</t>
  </si>
  <si>
    <t>EQUIPAMIENTO DE ESCUELAS PÚBLICAS DE EDUCACIÓN BÁSICA DEL MUNICIPIO DE: TEPELMEME VILLA DE MORELOS</t>
  </si>
  <si>
    <t>0000 - COBERTURA MUNICIPAL TEPELMEME VILLA DE MORELOS</t>
  </si>
  <si>
    <t>EQUIPAMIENTO DE ESCUELAS PÚBLICAS DE EDUCACIÓN BÁSICA DEL MUNICIPIO DE: SANTIAGO TENANGO</t>
  </si>
  <si>
    <t>487 - SANTIAGO TENANGO</t>
  </si>
  <si>
    <t>0000 - COBERTURA MUNICIPAL SANTIAGO TENANGO</t>
  </si>
  <si>
    <t>EQUIPAMIENTO DE ESCUELAS PÚBLICAS DE EDUCACIÓN BÁSICA DEL MUNICIPIO DE: SANTIAGO YAITEPEC</t>
  </si>
  <si>
    <t>0000 - COBERTURA MUNICIPAL SANTIAGO YAITEPEC</t>
  </si>
  <si>
    <t>EQUIPAMIENTO DE ESCUELAS PÚBLICAS DE EDUCACIÓN BÁSICA DEL MUNICIPIO DE: SANTA MARIA JALTIANGUIS</t>
  </si>
  <si>
    <t>419 - SANTA MARÍA JALTIANGUIS</t>
  </si>
  <si>
    <t>0001 - SANTA MARÍA JALTIANGUIS</t>
  </si>
  <si>
    <t>EQUIPAMIENTO DE ESCUELAS PÚBLICAS DE EDUCACIÓN BÁSICA DEL MUNICIPIO DE: SANTO TOMAS JALIEZA</t>
  </si>
  <si>
    <t>0000 - COBERTURA MUNICIPAL SANTO TOMÁS JALIEZA</t>
  </si>
  <si>
    <t>EQUIPAMIENTO DE ESCUELAS PÚBLICAS DE EDUCACIÓN BÁSICA DEL MUNICIPIO DE: SANTA MARIA YOSOYUA</t>
  </si>
  <si>
    <t>0000 - COBERTURA MUNICIPAL SANTA MARÍA YOSOYÚA</t>
  </si>
  <si>
    <t>EQUIPAMIENTO DE ESCUELAS PÚBLICAS DE EDUCACIÓN BÁSICA DEL MUNICIPIO DE: SANTO TOMAS OCOTEPEC</t>
  </si>
  <si>
    <t>0000 - COBERTURA MUNICIPAL SANTO TOMÁS OCOTEPEC</t>
  </si>
  <si>
    <t>EQUIPAMIENTO DE ESCUELAS PÚBLICAS DE EDUCACIÓN BÁSICA DEL MUNICIPIO DE: SANTA CATARINA TAYATA</t>
  </si>
  <si>
    <t>0000 - COBERTURA MUNICIPAL SANTA CATARINA TAYATA</t>
  </si>
  <si>
    <t>EQUIPAMIENTO DE ESCUELAS PÚBLICAS DE EDUCACIÓN BÁSICA DEL MUNICIPIO DE: TEOCOCUILCO DE MARCOS PEREZ</t>
  </si>
  <si>
    <t>544 - TEOCOCUILCO DE MARCOS PÉREZ</t>
  </si>
  <si>
    <t>0000 - COBERTURA MUNICIPAL TEOCOCUILCO DE MARCOS PÉREZ</t>
  </si>
  <si>
    <t>EQUIPAMIENTO DE ESCUELAS PÚBLICAS DE EDUCACIÓN BÁSICA DEL MUNICIPIO DE: YUTANDUCHI DE GUERRERO</t>
  </si>
  <si>
    <t>0000 - COBERTURA MUNICIPAL YUTANDUCHI DE GUERRERO</t>
  </si>
  <si>
    <t>EQUIPAMIENTO DE ESCUELAS PÚBLICAS DE EDUCACIÓN BÁSICA DEL MUNICIPIO DE: SANTIAGO TILANTONGO</t>
  </si>
  <si>
    <t>0000 - COBERTURA MUNICIPAL SANTIAGO TILANTONGO</t>
  </si>
  <si>
    <t>EQUIPAMIENTO DE ESCUELAS PÚBLICAS DE EDUCACIÓN BÁSICA DEL MUNICIPIO DE: SANTA MARIA TLALIXTAC</t>
  </si>
  <si>
    <t>0000 - COBERTURA MUNICIPAL SANTA MARÍA TLALIXTAC</t>
  </si>
  <si>
    <t>EQUIPAMIENTO DE ESCUELAS PÚBLICAS DE EDUCACIÓN BÁSICA DEL MUNICIPIO DE: SAN SEBASTIAN RIO HONDO</t>
  </si>
  <si>
    <t>0000 - COBERTURA MUNICIPAL SAN SEBASTIÁN RÍO HONDO</t>
  </si>
  <si>
    <t>EQUIPAMIENTO DE ESCUELAS PÚBLICAS DE EDUCACIÓN BÁSICA DEL MUNICIPIO DE: SANTA LUCIA OCOTLAN</t>
  </si>
  <si>
    <t>EQUIPAMIENTO DE ESCUELAS PÚBLICAS DE EDUCACIÓN BÁSICA DEL MUNICIPIO DE: SANTA ANA TAVELA</t>
  </si>
  <si>
    <t>0000 - COBERTURA MUNICIPAL SANTA ANA TAVELA</t>
  </si>
  <si>
    <t>EQUIPAMIENTO DE ESCUELAS PÚBLICAS DE EDUCACIÓN BÁSICA DEL MUNICIPIO DE: SANTIAGO MINAS</t>
  </si>
  <si>
    <t>477 - SANTIAGO MINAS</t>
  </si>
  <si>
    <t>0000 - COBERTURA MUNICIPAL SANTIAGO MINAS</t>
  </si>
  <si>
    <t>EQUIPAMIENTO DE ESCUELAS PÚBLICAS DE EDUCACIÓN BÁSICA DEL MUNICIPIO DE: SANTA MARIA SOLA</t>
  </si>
  <si>
    <t>0000 - COBERTURA MUNICIPAL SANTA MARÍA SOLA</t>
  </si>
  <si>
    <t>EQUIPAMIENTO DE ESCUELAS PÚBLICAS DE EDUCACIÓN BÁSICA DEL MUNICIPIO DE: SANTIAGO TAPEXTLA</t>
  </si>
  <si>
    <t>0000 - COBERTURA MUNICIPAL SANTIAGO TAPEXTLA</t>
  </si>
  <si>
    <t>EQUIPAMIENTO DE ESCUELAS PÚBLICAS DE EDUCACIÓN BÁSICA DEL MUNICIPIO DE: SANTO DOMINGO ARMENTA</t>
  </si>
  <si>
    <t>507 - SANTO DOMINGO ARMENTA</t>
  </si>
  <si>
    <t>0000 - COBERTURA MUNICIPAL SANTO DOMINGO ARMENTA</t>
  </si>
  <si>
    <t>EQUIPAMIENTO DE ESCUELAS PÚBLICAS DE EDUCACIÓN BÁSICA DEL MUNICIPIO DE: SAN PEDRO TEUTILA</t>
  </si>
  <si>
    <t>0000 - COBERTURA MUNICIPAL SAN PEDRO TEUTILA</t>
  </si>
  <si>
    <t>EQUIPAMIENTO DE ESCUELAS PÚBLICAS DE EDUCACIÓN BÁSICA DEL MUNICIPIO DE: SAN SEBASTIAN ABASOLO</t>
  </si>
  <si>
    <t>343 - SAN SEBASTIÁN ABASOLO</t>
  </si>
  <si>
    <t>0000 - COBERTURA MUNICIPAL SAN SEBASTIÁN ABASOLO</t>
  </si>
  <si>
    <t>EQUIPAMIENTO DE ESCUELAS PÚBLICAS DE EDUCACIÓN BÁSICA DEL MUNICIPIO DE: SAN SEBASTIAN TEITIPAC</t>
  </si>
  <si>
    <t>0000 - COBERTURA MUNICIPAL SAN SEBASTIÁN TEITIPAC</t>
  </si>
  <si>
    <t>EQUIPAMIENTO DE ESCUELAS PÚBLICAS DE EDUCACIÓN BÁSICA DEL MUNICIPIO DE: SANTA MARIA GUIENAGATI</t>
  </si>
  <si>
    <t>412 - SANTA MARÍA GUIENAGATI</t>
  </si>
  <si>
    <t>0000 - COBERTURA MUNICIPAL SANTA MARÍA GUIENAGATI</t>
  </si>
  <si>
    <t>EQUIPAMIENTO DE ESCUELAS PÚBLICAS DE EDUCACIÓN BÁSICA DEL MUNICIPIO DE: ASUNCION IXTALTEPEC</t>
  </si>
  <si>
    <t>0000 - COBERTURA MUNICIPAL ASUNCIÓN IXTALTEPEC</t>
  </si>
  <si>
    <t>EQUIPAMIENTO DE ESCUELAS PÚBLICAS DE EDUCACIÓN BÁSICA DEL MUNICIPIO DE: ASUNCION NOCHIXTLAN</t>
  </si>
  <si>
    <t>0000 - COBERTURA MUNICIPAL ASUNCIÓN NOCHIXTLÁN</t>
  </si>
  <si>
    <t>EQUIPAMIENTO DE ESCUELAS PÚBLICAS DE EDUCACIÓN BÁSICA DEL MUNICIPIO DE: AYOTZINTEPEC</t>
  </si>
  <si>
    <t>0003 - MONTE TINTA</t>
  </si>
  <si>
    <t>EQUIPAMIENTO DE ESCUELAS PÚBLICAS DE EDUCACIÓN BÁSICA DEL MUNICIPIO DE: CANDELARIA LOXICHA</t>
  </si>
  <si>
    <t>012 - CANDELARIA LOXICHA</t>
  </si>
  <si>
    <t>0000 - COBERTURA MUNICIPAL CANDELARIA LOXICHA</t>
  </si>
  <si>
    <t>EQUIPAMIENTO DE ESCUELAS PÚBLICAS DE EDUCACIÓN BÁSICA DEL MUNICIPIO DE: CONCEPCION PAPALO</t>
  </si>
  <si>
    <t>0000 - COBERTURA MUNICIPAL CONCEPCIÓN PÁPALO</t>
  </si>
  <si>
    <t>EQUIPAMIENTO DE ESCUELAS PÚBLICAS DE EDUCACIÓN BÁSICA DEL MUNICIPIO DE: LA COMPAÑIA</t>
  </si>
  <si>
    <t>0000 - COBERTURA MUNICIPAL LA COMPAÑÍA</t>
  </si>
  <si>
    <t>EQUIPAMIENTO DE ESCUELAS PÚBLICAS DE EDUCACIÓN BÁSICA DEL MUNICIPIO DE: MAGDALENA JALTEPEC</t>
  </si>
  <si>
    <t>0000 - COBERTURA MUNICIPAL MAGDALENA JALTEPEC</t>
  </si>
  <si>
    <t>EQUIPAMIENTO DE ESCUELAS PÚBLICAS DE EDUCACIÓN BÁSICA DEL MUNICIPIO DE: SAN ANDRES SINAXTLA</t>
  </si>
  <si>
    <t>096 - SAN ANDRÉS SINAXTLA</t>
  </si>
  <si>
    <t>0000 - COBERTURA MUNICIPAL SAN ANDRÉS SINAXTLA</t>
  </si>
  <si>
    <t>EQUIPAMIENTO DE ESCUELAS PÚBLICAS DE EDUCACIÓN BÁSICA DEL MUNICIPIO DE: SAN JOSE DEL PEÑASCO</t>
  </si>
  <si>
    <t>167 - SAN JOSÉ DEL PEÑASCO</t>
  </si>
  <si>
    <t>0000 - COBERTURA MUNICIPAL SAN JOSÉ DEL PEÑASCO</t>
  </si>
  <si>
    <t>0000 - COBERTURA MUNICIPAL SAN JUAN CACAHUATEPEC</t>
  </si>
  <si>
    <t>EQUIPAMIENTO DE ESCUELAS PÚBLICAS DE EDUCACIÓN BÁSICA DEL MUNICIPIO DE: SAN SEBASTIAN NICANANDUTA</t>
  </si>
  <si>
    <t>346 - SAN SEBASTIÁN NICANANDUTA</t>
  </si>
  <si>
    <t>0000 - COBERTURA MUNICIPAL SAN SEBASTIÁN NICANANDUTA</t>
  </si>
  <si>
    <t>EQUIPAMIENTO DE ESCUELAS PÚBLICAS DE EDUCACIÓN BÁSICA DEL MUNICIPIO DE: SANTA CRUZ XITLA</t>
  </si>
  <si>
    <t>0000 - COBERTURA MUNICIPAL SANTA CRUZ XITLA</t>
  </si>
  <si>
    <t>EQUIPAMIENTO DE ESCUELAS PÚBLICAS DE EDUCACIÓN BÁSICA DEL MUNICIPIO DE: SANTA MARIA CHACHOAPAM</t>
  </si>
  <si>
    <t>404 - SANTA MARÍA CHACHOÁPAM</t>
  </si>
  <si>
    <t>0000 - COBERTURA MUNICIPAL SANTA MARÍA CHACHOÁPAM</t>
  </si>
  <si>
    <t>EQUIPAMIENTO DE ESCUELAS PÚBLICAS DE EDUCACIÓN BÁSICA DEL MUNICIPIO DE: SAN ILDEFONSO SOLA</t>
  </si>
  <si>
    <t>155 - SAN ILDEFONSO SOLA</t>
  </si>
  <si>
    <t>0000 - COBERTURA MUNICIPAL SAN ILDEFONSO SOLA</t>
  </si>
  <si>
    <t>EQUIPAMIENTO DE ESCUELAS PÚBLICAS DE EDUCACIÓN BÁSICA DEL MUNICIPIO DE: SAN ANDRES TEOTILALPAM</t>
  </si>
  <si>
    <t>0000 - COBERTURA MUNICIPAL SAN ANDRÉS TEOTILÁLPAM</t>
  </si>
  <si>
    <t>EQUIPAMIENTO DE ESCUELAS PÚBLICAS DE EDUCACIÓN BÁSICA DEL MUNICIPIO DE: SANTA MARIA PAPALO</t>
  </si>
  <si>
    <t>0000 - COBERTURA MUNICIPAL SANTA MARÍA PÁPALO</t>
  </si>
  <si>
    <t>EQUIPAMIENTO DE ESCUELAS PÚBLICAS DE EDUCACIÓN BÁSICA DEL MUNICIPIO DE: SAN PEDRO QUIATONI</t>
  </si>
  <si>
    <t>0000 - COBERTURA MUNICIPAL SAN PEDRO QUIATONI</t>
  </si>
  <si>
    <t>EQUIPAMIENTO DE ESCUELAS PÚBLICAS DE EDUCACIÓN BÁSICA DEL MUNICIPIO DE: SAN MARTIN HUAMELULPAM</t>
  </si>
  <si>
    <t>239 - SAN MARTÍN HUAMELÚLPAM</t>
  </si>
  <si>
    <t>0000 - COBERTURA MUNICIPAL SAN MARTÍN HUAMELÚLPAM</t>
  </si>
  <si>
    <t>EQUIPAMIENTO DE ESCUELAS PÚBLICAS DE EDUCACIÓN BÁSICA DEL MUNICIPIO DE: SAN PEDRO YANERI</t>
  </si>
  <si>
    <t>335 - SAN PEDRO YANERI</t>
  </si>
  <si>
    <t>0000 - COBERTURA MUNICIPAL SAN PEDRO YANERI</t>
  </si>
  <si>
    <t>EQUIPAMIENTO DE ESCUELAS PÚBLICAS DE EDUCACIÓN BÁSICA DEL MUNICIPIO DE: SANTA CATARINA YOSONOTU</t>
  </si>
  <si>
    <t>372 - SANTA CATARINA YOSONOTÚ</t>
  </si>
  <si>
    <t>0000 - COBERTURA MUNICIPAL SANTA CATARINA YOSONOTÚ</t>
  </si>
  <si>
    <t>EQUIPAMIENTO DE ESCUELAS PÚBLICAS DE EDUCACIÓN BÁSICA DEL MUNICIPIO DE: ABEJONES</t>
  </si>
  <si>
    <t>001 - ABEJONES</t>
  </si>
  <si>
    <t>0000 - COBERTURA MUNICIPAL ABEJONES</t>
  </si>
  <si>
    <t>EQUIPAMIENTO DE ESCUELAS PÚBLICAS DE EDUCACIÓN BÁSICA DEL MUNICIPIO DE: SAN FELIPE USILA</t>
  </si>
  <si>
    <t>0000 - COBERTURA MUNICIPAL SAN FELIPE USILA</t>
  </si>
  <si>
    <t>EQUIPAMIENTO DE ESCUELAS PÚBLICAS DE EDUCACIÓN BÁSICA DEL MUNICIPIO DE: SANTO TOMAS TAMAZULAPAN</t>
  </si>
  <si>
    <t>533 - SANTO TOMÁS TAMAZULAPAN</t>
  </si>
  <si>
    <t>0000 - COBERTURA MUNICIPAL SANTO TOMÁS TAMAZULAPAN</t>
  </si>
  <si>
    <t>EQUIPAMIENTO DE ESCUELAS PÚBLICAS DE EDUCACIÓN BÁSICA DEL MUNICIPIO DE: SAN PABLO COATLAN</t>
  </si>
  <si>
    <t>0000 - COBERTURA MUNICIPAL SAN PABLO COATLÁN</t>
  </si>
  <si>
    <t>EQUIPAMIENTO DE ESCUELAS PÚBLICAS DE EDUCACIÓN BÁSICA DEL MUNICIPIO DE: SAN MATEO YOLOXOCHITLAN</t>
  </si>
  <si>
    <t>249 - SAN MATEO YOLOXOCHITLÁN</t>
  </si>
  <si>
    <t>0000 - COBERTURA MUNICIPAL SAN MATEO YOLOXOCHITLÁN</t>
  </si>
  <si>
    <t>EQUIPAMIENTO DE ESCUELAS PÚBLICAS DE EDUCACIÓN BÁSICA DEL MUNICIPIO DE: SAN PEDRO JICAYAN</t>
  </si>
  <si>
    <t>312 - SAN PEDRO JICAYÁN</t>
  </si>
  <si>
    <t>0000 - COBERTURA MUNICIPAL SAN PEDRO JICAYÁN</t>
  </si>
  <si>
    <t>EQUIPAMIENTO DE ESCUELAS PÚBLICAS DE EDUCACIÓN BÁSICA DEL MUNICIPIO DE: SAN FRANCISCO CHAPULAPA</t>
  </si>
  <si>
    <t>0000 - COBERTURA MUNICIPAL SAN FRANCISCO CHAPULAPA</t>
  </si>
  <si>
    <t>EQUIPAMIENTO DE ESCUELAS PÚBLICAS DE EDUCACIÓN BÁSICA DEL MUNICIPIO DE: SAN FRANCISCO SOLA</t>
  </si>
  <si>
    <t>0000 - COBERTURA MUNICIPAL SAN FRANCISCO SOLA</t>
  </si>
  <si>
    <t>EQUIPAMIENTO DE ESCUELAS PÚBLICAS DE EDUCACIÓN BÁSICA DEL MUNICIPIO DE: SAN JUAN BAUTISTA CUICATLAN</t>
  </si>
  <si>
    <t>0000 - COBERTURA MUNICIPAL SAN JUAN BAUTISTA CUICATLÁN</t>
  </si>
  <si>
    <t>EQUIPAMIENTO DE ESCUELAS PÚBLICAS DE EDUCACIÓN BÁSICA DEL MUNICIPIO DE: SAN JUAN COLORADO</t>
  </si>
  <si>
    <t>0000 - COBERTURA MUNICIPAL SAN JUAN COLORADO</t>
  </si>
  <si>
    <t>EQUIPAMIENTO DE ESCUELAS PÚBLICAS DE EDUCACIÓN BÁSICA DEL MUNICIPIO DE: SAN JUAN TEITIPAC</t>
  </si>
  <si>
    <t>0000 - COBERTURA MUNICIPAL SAN JUAN TEITIPAC</t>
  </si>
  <si>
    <t>EQUIPAMIENTO DE ESCUELAS PÚBLICAS DE EDUCACIÓN BÁSICA DEL MUNICIPIO DE: SAN MIGUEL PIEDRAS</t>
  </si>
  <si>
    <t>0000 - COBERTURA MUNICIPAL SAN MIGUEL PIEDRAS</t>
  </si>
  <si>
    <t>EQUIPAMIENTO DE ESCUELAS PÚBLICAS DE EDUCACIÓN BÁSICA DEL MUNICIPIO DE: SAN MIGUEL YOTAO</t>
  </si>
  <si>
    <t>0000 - COBERTURA MUNICIPAL SAN MIGUEL YOTAO</t>
  </si>
  <si>
    <t>EQUIPAMIENTO DE ESCUELAS PÚBLICAS DE EDUCACIÓN BÁSICA DEL MUNICIPIO DE: SAN NICOLAS HIDALGO</t>
  </si>
  <si>
    <t>0000 - COBERTURA MUNICIPAL SAN NICOLÁS HIDALGO</t>
  </si>
  <si>
    <t>EQUIPAMIENTO DE ESCUELAS PÚBLICAS DE EDUCACIÓN BÁSICA DEL MUNICIPIO DE: SAN PEDRO TEOZACOALCO</t>
  </si>
  <si>
    <t>0000 - COBERTURA MUNICIPAL SAN PEDRO TEOZACOALCO</t>
  </si>
  <si>
    <t>EQUIPAMIENTO DE ESCUELAS PÚBLICAS DE EDUCACIÓN BÁSICA DEL MUNICIPIO DE: TEZOATLAN DE SEGURA Y LUNA</t>
  </si>
  <si>
    <t>0000 - COBERTURA MUNICIPAL HEROICA VILLA TEZOATLÁN DE SEGURA Y LUNA, CUNA DE LA INDEPENDENCIA DE OAXACA</t>
  </si>
  <si>
    <t>EQUIPAMIENTO DE ESCUELAS PÚBLICAS DE EDUCACIÓN BÁSICA DEL MUNICIPIO DE: OCOTLAN DE MORELOS</t>
  </si>
  <si>
    <t>0000 - COBERTURA MUNICIPAL OCOTLÁN DE MORELOS</t>
  </si>
  <si>
    <t>EQUIPAMIENTO DE ESCUELAS PÚBLICAS DE EDUCACIÓN BÁSICA DEL MUNICIPIO DE: LA PE</t>
  </si>
  <si>
    <t>0000 - COBERTURA MUNICIPAL LA PE</t>
  </si>
  <si>
    <t>EQUIPAMIENTO DE ESCUELAS PÚBLICAS DE EDUCACIÓN BÁSICA DEL MUNICIPIO DE: SAN JUAN LACHIGALLA</t>
  </si>
  <si>
    <t>0000 - COBERTURA MUNICIPAL SAN JUAN LACHIGALLA</t>
  </si>
  <si>
    <t>EQUIPAMIENTO DE ESCUELAS PÚBLICAS DE EDUCACIÓN BÁSICA DEL MUNICIPIO DE: SAN MIGUEL EJUTLA</t>
  </si>
  <si>
    <t>0000 - COBERTURA MUNICIPAL SAN MIGUEL EJUTLA</t>
  </si>
  <si>
    <t>EQUIPAMIENTO DE ESCUELAS PÚBLICAS DE EDUCACIÓN BÁSICA DEL MUNICIPIO DE: SAN PEDRO APOSTOL</t>
  </si>
  <si>
    <t>301 - SAN PEDRO APÓSTOL</t>
  </si>
  <si>
    <t>0000 - COBERTURA MUNICIPAL SAN PEDRO APÓSTOL</t>
  </si>
  <si>
    <t>EQUIPAMIENTO DE ESCUELAS PÚBLICAS DE EDUCACIÓN BÁSICA DEL MUNICIPIO DE: MARISCALA DE JUAREZ</t>
  </si>
  <si>
    <t>055 - MARISCALA DE JUÁREZ</t>
  </si>
  <si>
    <t>0000 - COBERTURA MUNICIPAL MARISCALA DE JUÁREZ</t>
  </si>
  <si>
    <t>EQUIPAMIENTO DE ESCUELAS PÚBLICAS DE EDUCACIÓN BÁSICA DEL MUNICIPIO DE: SAN FRANCISCO TLAPANCINGO</t>
  </si>
  <si>
    <t>152 - SAN FRANCISCO TLAPANCINGO</t>
  </si>
  <si>
    <t>0000 - COBERTURA MUNICIPAL SAN FRANCISCO TLAPANCINGO</t>
  </si>
  <si>
    <t>EQUIPAMIENTO DE ESCUELAS PÚBLICAS DE EDUCACIÓN BÁSICA DEL MUNICIPIO DE: SAN AGUSTIN AMATENGO</t>
  </si>
  <si>
    <t>0000 - COBERTURA MUNICIPAL SAN AGUSTÍN AMATENGO</t>
  </si>
  <si>
    <t>EQUIPAMIENTO DE ESCUELAS PÚBLICAS DE EDUCACIÓN BÁSICA DEL MUNICIPIO DE: SAN JERONIMO TLACOCHAHUAYA</t>
  </si>
  <si>
    <t>0000 - COBERTURA MUNICIPAL SAN JERÓNIMO TLACOCHAHUAYA</t>
  </si>
  <si>
    <t>EQUIPAMIENTO DE ESCUELAS PÚBLICAS DE EDUCACIÓN BÁSICA DEL MUNICIPIO DE: SAN JERONIMO SOSOLA</t>
  </si>
  <si>
    <t>0000 - COBERTURA MUNICIPAL SAN JERÓNIMO SOSOLA</t>
  </si>
  <si>
    <t>EQUIPAMIENTO DE ESCUELAS PÚBLICAS DE EDUCACIÓN BÁSICA DEL MUNICIPIO DE: SAN JUAN BAUTISTA COIXTLAHUACA</t>
  </si>
  <si>
    <t>0000 - COBERTURA MUNICIPAL SAN JUAN BAUTISTA COIXTLAHUACA</t>
  </si>
  <si>
    <t>EQUIPAMIENTO DE ESCUELAS PÚBLICAS DE EDUCACIÓN BÁSICA DEL MUNICIPIO DE: SANTA MARIA NATIVITAS</t>
  </si>
  <si>
    <t>422 - SANTA MARÍA NATIVITAS</t>
  </si>
  <si>
    <t>0000 - COBERTURA MUNICIPAL SANTA MARÍA NATIVITAS</t>
  </si>
  <si>
    <t>EQUIPAMIENTO DE ESCUELAS PÚBLICAS DE EDUCACIÓN BÁSICA DEL MUNICIPIO DE: SAN ANDRES SOLAGA</t>
  </si>
  <si>
    <t>0000 - COBERTURA MUNICIPAL SAN ANDRÉS SOLAGA</t>
  </si>
  <si>
    <t>EQUIPAMIENTO DE ESCUELAS PÚBLICAS DE EDUCACIÓN BÁSICA DEL MUNICIPIO DE: SAN BALTAZAR YATZACHI EL BAJO</t>
  </si>
  <si>
    <t>0000 - COBERTURA MUNICIPAL SAN BALTAZAR YATZACHI EL BAJO</t>
  </si>
  <si>
    <t>EQUIPAMIENTO DE ESCUELAS PÚBLICAS DE EDUCACIÓN BÁSICA DEL MUNICIPIO DE: SAN BARTOLOME ZOOGOCHO</t>
  </si>
  <si>
    <t>0000 - COBERTURA MUNICIPAL SAN BARTOLOMÉ ZOOGOCHO</t>
  </si>
  <si>
    <t>EQUIPAMIENTO DE ESCUELAS PÚBLICAS DE EDUCACIÓN BÁSICA DEL MUNICIPIO DE: SAN CRISTOBAL LACHIRIOAG</t>
  </si>
  <si>
    <t>0000 - COBERTURA MUNICIPAL SAN CRISTÓBAL LACHIRIOAG</t>
  </si>
  <si>
    <t>EQUIPAMIENTO DE ESCUELAS PÚBLICAS DE EDUCACIÓN BÁSICA DEL MUNICIPIO DE: SAN JUAN TABAA</t>
  </si>
  <si>
    <t>216 - SAN JUAN TABAÁ</t>
  </si>
  <si>
    <t>0000 - COBERTURA MUNICIPAL SAN JUAN TABAÁ</t>
  </si>
  <si>
    <t>EQUIPAMIENTO DE ESCUELAS PÚBLICAS DE EDUCACIÓN BÁSICA DEL MUNICIPIO DE: SAN PEDRO Y SAN PABLO AYUTLA</t>
  </si>
  <si>
    <t>0000 - COBERTURA MUNICIPAL SAN PEDRO Y SAN PABLO AYUTLA</t>
  </si>
  <si>
    <t>EQUIPAMIENTO DE ESCUELAS PÚBLICAS DE EDUCACIÓN BÁSICA DEL MUNICIPIO DE: SANTA MARIA TLAHUITOLTEPEC</t>
  </si>
  <si>
    <t>0000 - COBERTURA MUNICIPAL SANTA MARÍA TLAHUITOLTEPEC</t>
  </si>
  <si>
    <t>EQUIPAMIENTO DE ESCUELAS PÚBLICAS DE EDUCACIÓN BÁSICA DEL MUNICIPIO DE: SANTIAGO LALOPA</t>
  </si>
  <si>
    <t>471 - SANTIAGO LALOPA</t>
  </si>
  <si>
    <t>0000 - COBERTURA MUNICIPAL SANTIAGO LALOPA</t>
  </si>
  <si>
    <t>EQUIPAMIENTO DE ESCUELAS PÚBLICAS DE EDUCACIÓN BÁSICA DEL MUNICIPIO DE: SAN SEBASTIAN IXCAPA</t>
  </si>
  <si>
    <t>EQUIPAMIENTO DE ESCUELAS PÚBLICAS DE EDUCACIÓN BÁSICA DEL MUNICIPIO DE: TLACOTEPEC PLUMAS</t>
  </si>
  <si>
    <t>552 - TLACOTEPEC PLUMAS</t>
  </si>
  <si>
    <t>0003 - ORGANAL</t>
  </si>
  <si>
    <t>EQUIPAMIENTO DE ESCUELAS PÚBLICAS DE EDUCACIÓN BÁSICA DEL MUNICIPIO DE: SAN BARTOLOME AYAUTLA</t>
  </si>
  <si>
    <t>0000 - COBERTURA MUNICIPAL SAN BARTOLOMÉ AYAUTLA</t>
  </si>
  <si>
    <t>EQUIPAMIENTO DE ESCUELAS PÚBLICAS DE EDUCACIÓN BÁSICA DEL MUNICIPIO DE: SANTA CATARINA QUIANE</t>
  </si>
  <si>
    <t>369 - SANTA CATARINA QUIANÉ</t>
  </si>
  <si>
    <t>0000 - COBERTURA MUNICIPAL SANTA CATARINA QUIANÉ</t>
  </si>
  <si>
    <t>EQUIPAMIENTO DE ESCUELAS PÚBLICAS DE EDUCACIÓN BÁSICA DEL MUNICIPIO DE: SAN PEDRO COMITANCILLO</t>
  </si>
  <si>
    <t>0000 - COBERTURA MUNICIPAL SAN PEDRO COMITANCILLO</t>
  </si>
  <si>
    <t>EQUIPAMIENTO DE ESCUELAS PÚBLICAS DE EDUCACIÓN BÁSICA DEL MUNICIPIO DE: SAN JUAN DEL ESTADO</t>
  </si>
  <si>
    <t>0000 - COBERTURA MUNICIPAL SAN JUAN DEL ESTADO</t>
  </si>
  <si>
    <t>EQUIPAMIENTO DE ESCUELAS PÚBLICAS DE EDUCACIÓN BÁSICA DEL MUNICIPIO DE: SAN JUAN BAUTISTA LO DE SOTO</t>
  </si>
  <si>
    <t>0000 - COBERTURA MUNICIPAL SAN JUAN BAUTISTA LO DE SOTO</t>
  </si>
  <si>
    <t>EQUIPAMIENTO DE ESCUELAS PÚBLICAS DE EDUCACIÓN BÁSICA DEL MUNICIPIO DE: AYOQUEZCO DE ALDAMA</t>
  </si>
  <si>
    <t>398 - AYOQUEZCO DE ALDAMA</t>
  </si>
  <si>
    <t>0001 - AYOQUEZCO DE ALDAMA</t>
  </si>
  <si>
    <t>EQUIPAMIENTO DE ESCUELAS PÚBLICAS DE EDUCACIÓN BÁSICA DEL MUNICIPIO DE: SANTA ANA DEL VALLE</t>
  </si>
  <si>
    <t>356 - SANTA ANA DEL VALLE</t>
  </si>
  <si>
    <t>0000 - COBERTURA MUNICIPAL SANTA ANA DEL VALLE</t>
  </si>
  <si>
    <t>EQUIPAMIENTO DE ESCUELAS PÚBLICAS DE EDUCACIÓN BÁSICA DEL MUNICIPIO DE: SAN JACINTO TLACOTEPEC</t>
  </si>
  <si>
    <t>0000 - COBERTURA MUNICIPAL SAN JACINTO TLACOTEPEC</t>
  </si>
  <si>
    <t>EQUIPAMIENTO DE ESCUELAS PÚBLICAS DE EDUCACIÓN BÁSICA DEL MUNICIPIO DE: SAN FRANCISCO DEL MAR</t>
  </si>
  <si>
    <t>0000 - COBERTURA MUNICIPAL SAN FRANCISCO DEL MAR</t>
  </si>
  <si>
    <t>EQUIPAMIENTO DE ESCUELAS PÚBLICAS DE EDUCACIÓN BÁSICA DEL MUNICIPIO DE: SAN ANDRES PAXTLAN</t>
  </si>
  <si>
    <t>0000 - COBERTURA MUNICIPAL SAN ANDRÉS PAXTLÁN</t>
  </si>
  <si>
    <t>EQUIPAMIENTO DE ESCUELAS PÚBLICAS DE EDUCACIÓN BÁSICA DEL MUNICIPIO DE: NEJAPA DE MADERO</t>
  </si>
  <si>
    <t>0000 - COBERTURA MUNICIPAL NEJAPA DE MADERO</t>
  </si>
  <si>
    <t>EQUIPAMIENTO DE ESCUELAS PÚBLICAS DE EDUCACIÓN BÁSICA DEL MUNICIPIO DE: ELOXOCHITLAN DE FLORES MAGON</t>
  </si>
  <si>
    <t>0000 - COBERTURA MUNICIPAL ELOXOCHITLÁN DE FLORES MAGÓN</t>
  </si>
  <si>
    <t>EQUIPAMIENTO DE ESCUELAS PÚBLICAS DE EDUCACIÓN BÁSICA DEL MUNICIPIO DE: SAN JUAN COATZOSPAM</t>
  </si>
  <si>
    <t>0000 - COBERTURA MUNICIPAL SAN JUAN COATZÓSPAM</t>
  </si>
  <si>
    <t>EQUIPAMIENTO DE ESCUELAS PÚBLICAS DE EDUCACIÓN BÁSICA DEL MUNICIPIO DE: CHIQUIHUITLAN DE BENITO JUAREZ</t>
  </si>
  <si>
    <t>0000 - COBERTURA MUNICIPAL CHIQUIHUITLÁN DE BENITO JUÁREZ</t>
  </si>
  <si>
    <t>EQUIPAMIENTO DE ESCUELAS PÚBLICAS DE EDUCACIÓN BÁSICA DEL MUNICIPIO DE: SAN JUAN JUQUILA VIJANOS</t>
  </si>
  <si>
    <t>0000 - COBERTURA MUNICIPAL SAN JUAN JUQUILA VIJANOS</t>
  </si>
  <si>
    <t>EQUIPAMIENTO DE ESCUELAS PÚBLICAS DE EDUCACIÓN BÁSICA DEL MUNICIPIO DE: SAN JUAN YAEE</t>
  </si>
  <si>
    <t>0000 - COBERTURA MUNICIPAL SAN JUAN YAEÉ</t>
  </si>
  <si>
    <t>EQUIPAMIENTO DE ESCUELAS PÚBLICAS DE EDUCACIÓN BÁSICA DEL MUNICIPIO DE: SAN ANTONIO TEPETLAPA</t>
  </si>
  <si>
    <t>0000 - COBERTURA MUNICIPAL SAN ANTONIO TEPETLAPA</t>
  </si>
  <si>
    <t>EQUIPAMIENTO DE ESCUELAS PÚBLICAS DE EDUCACIÓN BÁSICA DEL MUNICIPIO DE: SANTA MARIA TEXCATITLAN</t>
  </si>
  <si>
    <t>436 - SANTA MARÍA TEXCATITLÁN</t>
  </si>
  <si>
    <t>0000 - COBERTURA MUNICIPAL SANTA MARÍA TEXCATITLÁN</t>
  </si>
  <si>
    <t>EQUIPAMIENTO DE ESCUELAS PÚBLICAS DE EDUCACIÓN BÁSICA DEL MUNICIPIO DE: SANTA MARIA TONAMECA</t>
  </si>
  <si>
    <t>439 - SANTA MARÍA TONAMECA</t>
  </si>
  <si>
    <t>0000 - COBERTURA MUNICIPAL SANTA MARÍA TONAMECA</t>
  </si>
  <si>
    <t>EQUIPAMIENTO DE ESCUELAS PÚBLICAS DE EDUCACIÓN BÁSICA DEL MUNICIPIO DE: SANTA MARIA TOTOLAPILLA</t>
  </si>
  <si>
    <t>440 - SANTA MARÍA TOTOLAPILLA</t>
  </si>
  <si>
    <t>0000 - COBERTURA MUNICIPAL SANTA MARÍA TOTOLAPILLA</t>
  </si>
  <si>
    <t>EQUIPAMIENTO DE ESCUELAS PÚBLICAS DE EDUCACIÓN BÁSICA DEL MUNICIPIO DE: SAN FRANCISCO CHINDUA</t>
  </si>
  <si>
    <t>140 - SAN FRANCISCO CHINDÚA</t>
  </si>
  <si>
    <t>0000 - COBERTURA MUNICIPAL SAN FRANCISCO CHINDÚA</t>
  </si>
  <si>
    <t>EQUIPAMIENTO DE ESCUELAS PÚBLICAS DE EDUCACIÓN BÁSICA DEL MUNICIPIO DE: SAN JUAN DIUXI</t>
  </si>
  <si>
    <t>0000 - COBERTURA MUNICIPAL SAN JUAN DIUXI</t>
  </si>
  <si>
    <t>EQUIPAMIENTO DE ESCUELAS PÚBLICAS DE EDUCACIÓN BÁSICA DEL MUNICIPIO DE: SAN JUAN SAYULTEPEC</t>
  </si>
  <si>
    <t>215 - SAN JUAN SAYULTEPEC</t>
  </si>
  <si>
    <t>0000 - COBERTURA MUNICIPAL SAN JUAN SAYULTEPEC</t>
  </si>
  <si>
    <t>EQUIPAMIENTO DE ESCUELAS PÚBLICAS DE EDUCACIÓN BÁSICA DEL MUNICIPIO DE: SAN JUAN YUCUITA</t>
  </si>
  <si>
    <t>224 - SAN JUAN YUCUITA</t>
  </si>
  <si>
    <t>0000 - COBERTURA MUNICIPAL SAN JUAN YUCUITA</t>
  </si>
  <si>
    <t>EQUIPAMIENTO DE ESCUELAS PÚBLICAS DE EDUCACIÓN BÁSICA DEL MUNICIPIO DE: SANTA CATARINA ZAPOQUILA</t>
  </si>
  <si>
    <t>373 - SANTA CATARINA ZAPOQUILA</t>
  </si>
  <si>
    <t>0000 - COBERTURA MUNICIPAL SANTA CATARINA ZAPOQUILA</t>
  </si>
  <si>
    <t>EQUIPAMIENTO DE ESCUELAS PÚBLICAS DE EDUCACIÓN BÁSICA DEL MUNICIPIO DE: SANTIAGO CHAZUMBA</t>
  </si>
  <si>
    <t>459 - VILLA DE SANTIAGO CHAZUMBA</t>
  </si>
  <si>
    <t>0000 - COBERTURA MUNICIPAL SANTIAGO CHAZUMBA</t>
  </si>
  <si>
    <t>EQUIPAMIENTO DE ESCUELAS PÚBLICAS DE EDUCACIÓN BÁSICA DEL MUNICIPIO DE: SANTIAGO IHUITLAN PLUMAS</t>
  </si>
  <si>
    <t>464 - SANTIAGO IHUITLÁN PLUMAS</t>
  </si>
  <si>
    <t>0000 - COBERTURA MUNICIPAL SANTIAGO IHUITLÁN PLUMAS</t>
  </si>
  <si>
    <t>EQUIPAMIENTO DE ESCUELAS PÚBLICAS DE EDUCACIÓN BÁSICA DEL MUNICIPIO DE: SAN PEDRO IXCATLAN</t>
  </si>
  <si>
    <t>0000 - COBERTURA MUNICIPAL SAN PEDRO IXCATLÁN</t>
  </si>
  <si>
    <t>EQUIPAMIENTO DE ESCUELAS PÚBLICAS DE EDUCACIÓN BÁSICA DEL MUNICIPIO DE: SANTA CATARINA CUIXTLA</t>
  </si>
  <si>
    <t>0000 - COBERTURA MUNICIPAL SANTA CATARINA CUIXTLA</t>
  </si>
  <si>
    <t>EQUIPAMIENTO DE ESCUELAS PÚBLICAS DE EDUCACIÓN BÁSICA DEL MUNICIPIO DE: MAGDALENA OCOTLAN</t>
  </si>
  <si>
    <t>0000 - COBERTURA MUNICIPAL MAGDALENA OCOTLÁN</t>
  </si>
  <si>
    <t>EQUIPAMIENTO DE ESCUELAS PÚBLICAS DE EDUCACIÓN BÁSICA DEL MUNICIPIO DE: SAN MARTIN LACHILA</t>
  </si>
  <si>
    <t>0000 - COBERTURA MUNICIPAL SAN MARTÍN LACHILÁ</t>
  </si>
  <si>
    <t>EQUIPAMIENTO DE ESCUELAS PÚBLICAS DE EDUCACIÓN BÁSICA DEL MUNICIPIO DE: SAN PEDRO MARTIR</t>
  </si>
  <si>
    <t>315 - SAN PEDRO MÁRTIR</t>
  </si>
  <si>
    <t>0000 - COBERTURA MUNICIPAL SAN PEDRO MÁRTIR</t>
  </si>
  <si>
    <t>EQUIPAMIENTO DE ESCUELAS PÚBLICAS DE EDUCACIÓN BÁSICA DEL MUNICIPIO DE: SANTA ANA ZEGACHE</t>
  </si>
  <si>
    <t>0000 - COBERTURA MUNICIPAL SANTA ANA ZEGACHE</t>
  </si>
  <si>
    <t>EQUIPAMIENTO DE ESCUELAS PÚBLICAS DE EDUCACIÓN BÁSICA DEL MUNICIPIO DE: SANTIAGO APOSTOL</t>
  </si>
  <si>
    <t>452 - SANTIAGO APÓSTOL</t>
  </si>
  <si>
    <t>0000 - COBERTURA MUNICIPAL SANTIAGO APÓSTOL</t>
  </si>
  <si>
    <t>EQUIPAMIENTO DE ESCUELAS PÚBLICAS DE EDUCACIÓN BÁSICA DEL MUNICIPIO DE: SAN AGUSTIN CHAYUCO</t>
  </si>
  <si>
    <t>082 - SAN AGUSTÍN CHAYUCO</t>
  </si>
  <si>
    <t>0000 - COBERTURA MUNICIPAL SAN AGUSTÍN CHAYUCO</t>
  </si>
  <si>
    <t>EQUIPAMIENTO DE ESCUELAS PÚBLICAS DE EDUCACIÓN BÁSICA DEL MUNICIPIO DE: SANTIAGO LACHIGUIRI</t>
  </si>
  <si>
    <t>470 - SANTIAGO LACHIGUIRI</t>
  </si>
  <si>
    <t>0000 - COBERTURA MUNICIPAL SANTIAGO LACHIGUIRI</t>
  </si>
  <si>
    <t>EQUIPAMIENTO DE ESCUELAS PÚBLICAS DE EDUCACIÓN BÁSICA DEL MUNICIPIO DE: SAN JUAN TAMAZOLA</t>
  </si>
  <si>
    <t>0000 - COBERTURA MUNICIPAL SAN JUAN TAMAZOLA</t>
  </si>
  <si>
    <t>EQUIPAMIENTO DE ESCUELAS PÚBLICAS DE EDUCACIÓN BÁSICA DEL MUNICIPIO DE: SANTA MARIA TATALTEPEC</t>
  </si>
  <si>
    <t>430 - SANTA MARÍA TATALTEPEC</t>
  </si>
  <si>
    <t>0000 - COBERTURA MUNICIPAL SANTA MARÍA TATALTEPEC</t>
  </si>
  <si>
    <t>EQUIPAMIENTO DE ESCUELAS PÚBLICAS DE EDUCACIÓN BÁSICA DEL MUNICIPIO DE: COSOLTEPEC</t>
  </si>
  <si>
    <t>022 - COSOLTEPEC</t>
  </si>
  <si>
    <t>0003 - JOLUXTLA</t>
  </si>
  <si>
    <t>EQUIPAMIENTO DE ESCUELAS PÚBLICAS DE EDUCACIÓN BÁSICA DEL MUNICIPIO DE: SAN PEDRO Y SAN PABLO TEQUIXTEPEC</t>
  </si>
  <si>
    <t>340 - SAN PEDRO Y SAN PABLO TEQUIXTEPEC</t>
  </si>
  <si>
    <t>0000 - COBERTURA MUNICIPAL SAN PEDRO Y SAN PABLO TEQUIXTEPEC</t>
  </si>
  <si>
    <t>EQUIPAMIENTO DE ESCUELAS PÚBLICAS DE EDUCACIÓN BÁSICA DEL MUNICIPIO DE: SAN FRANCISCO NUXAÑO</t>
  </si>
  <si>
    <t>147 - SAN FRANCISCO NUXAÑO</t>
  </si>
  <si>
    <t>0000 - COBERTURA MUNICIPAL SAN FRANCISCO NUXAÑO</t>
  </si>
  <si>
    <t>EQUIPAMIENTO DE ESCUELAS PÚBLICAS DE EDUCACIÓN BÁSICA DEL MUNICIPIO DE: MAGDALENA YODOCONO DE PORFIRIO DIAZ</t>
  </si>
  <si>
    <t>562 - MAGDALENA YODOCONO DE PORFIRIO DÍAZ</t>
  </si>
  <si>
    <t>0000 - COBERTURA MUNICIPAL MAGDALENA YODOCONO DE PORFIRIO DÍAZ</t>
  </si>
  <si>
    <t>EQUIPAMIENTO DE ESCUELAS PÚBLICAS DE EDUCACIÓN BÁSICA DEL MUNICIPIO DE: SANTA MARIA YOLOTEPEC</t>
  </si>
  <si>
    <t>444 - SANTA MARÍA YOLOTEPEC</t>
  </si>
  <si>
    <t>0000 - COBERTURA MUNICIPAL SANTA MARÍA YOLOTEPEC</t>
  </si>
  <si>
    <t>EQUIPAMIENTO DE ESCUELAS PÚBLICAS DE EDUCACIÓN BÁSICA DEL MUNICIPIO DE: SAN JUAN CHICOMEZUCHIL</t>
  </si>
  <si>
    <t>191 - SAN JUAN CHICOMEZÚCHIL</t>
  </si>
  <si>
    <t>0000 - COBERTURA MUNICIPAL SAN JUAN CHICOMEZÚCHIL</t>
  </si>
  <si>
    <t>EQUIPAMIENTO DE ESCUELAS PÚBLICAS DE EDUCACIÓN BÁSICA DEL MUNICIPIO DE: SAN JERONIMO COATLAN</t>
  </si>
  <si>
    <t>159 - SAN JERÓNIMO COATLÁN</t>
  </si>
  <si>
    <t>0000 - COBERTURA MUNICIPAL SAN JERÓNIMO COATLÁN</t>
  </si>
  <si>
    <t>EQUIPAMIENTO DE ESCUELAS PÚBLICAS DE EDUCACIÓN BÁSICA DEL MUNICIPIO DE: SANTIAGO MATATLÁN</t>
  </si>
  <si>
    <t>0000 - COBERTURA MUNICIPAL SANTIAGO MATATLÁN</t>
  </si>
  <si>
    <t>521 - CORPORACIÓN OAXAQUEÑA DE RADIO Y TELEVISIÓN</t>
  </si>
  <si>
    <t>521001 - CORPORACIÓN OAXAQUEÑA DE RADIO Y TELEVISIÓN</t>
  </si>
  <si>
    <t>PRODUCCIÓN Y TRANSMISIÓN DEL FESTIVAL INTERNACIONAL CERVANTINO 2024 POR LA CORPORACIÓN OAXAQUEÑA DE RADIO Y TELEVISIÓN.</t>
  </si>
  <si>
    <t>ELABORACIÓN DEL PROGRAMA DE MANEJO DE LA ZONA DE RESERVA ECOLÓGICA Y ÁREA NATURAL PROTEGIDA "CRESTÓN, CRUZ BLANCA Y CERRO DEL FORTÍN".</t>
  </si>
  <si>
    <t>CONSTRUCCIÓN DE LABORATORIO EN IEBO NÚM. 114 CON CLAVE ESCOLAR: 20ETH0114R, EN LA LOCALIDAD DE NUEVO ZOQUIÁPAM, MUNICIPIO DE NUEVO ZOQUIÁPAM</t>
  </si>
  <si>
    <t>REPARACIONES GENERALES EN CECYTE NÚM. 08, CON CLAVE ESCOLAR: 20EMS0008D, EN LA LOCALIDAD SAN PABLO COATLÁN, MUNICIPIO SAN PABLO COATLÁN</t>
  </si>
  <si>
    <t>0001 - SAN PABLO COATLÁN</t>
  </si>
  <si>
    <t>EQUIPAMIENTO PARA IEBO NÚM. 142 CON CLAVE ESCOLAR: 20ETH0142N, EN LA LOCALIDAD SAN PEDRO TEUTILA, MUNICIPIO SAN PEDRO TEUTILA</t>
  </si>
  <si>
    <t>EQUIPAMIENTO PARA IEBO NÚM. 82 CON CLAVE ESCOLAR: 20ETH0082P, EN LA LOCALIDAD YUTANDUCHI DE GUERRERO, MUNICIPIO YUTANDUCHI DE GUERRERO</t>
  </si>
  <si>
    <t>CONSTRUCCIÓN DE PAVIMENTO A BASE DE CONCRETO HIDRÁULICO EN LA CALLE 10 DE NOVIEMBRE 2DA. ETAPA, EN LA LOCALIDAD DE SAN JUAN FRONTERA, MUNICIPIO DE VILLA DE SANTIAGO CHAZUMBA</t>
  </si>
  <si>
    <t>0032 - SAN JUAN FRONTERA</t>
  </si>
  <si>
    <t>AMPLIACIÓN DE LA RED DE DISTRIBUCIÓN DE ENERGÍA ELÉCTRICA EN CALLE SIN NOMBRE, LOCALIDAD DE CACALOTE, MUNICIPIO DE SANTIAGO MINAS</t>
  </si>
  <si>
    <t>0002 - CACALOTE</t>
  </si>
  <si>
    <t>EQUIPAMIENTO DE SISTEMA DE CAPTACIÓN DE AGUA PLUVIAL PARA EL MEJORAMIENTO DE LA VIVIENDA, EN LA LOCALIDAD SANTO DOMINGO TEHUANTEPEC, MUNICIPIO SANTO DOMINGO TEHUANTEPEC.</t>
  </si>
  <si>
    <t>CONSTRUCCIÓN DE SISTEMA DE CAPTACIÓN DE AGUA PLUVIAL PARA EL MEJORAMIENTO DE LA VIVIENDA, EN LA LOCALIDAD SANTO DOMINGO TEHUANTEPEC, MUNICIPIO SANTO DOMINGO TEHUANTEPEC.</t>
  </si>
  <si>
    <t>CONSTRUCCIÓN DE CUARTO DORMITORIO PARA EL MEJORAMIENTO DE LA VIVIENDA, EN LA LOCALIDAD SANTA MARÍA YUCUNICOCO, MUNICIPIO SANTIAGO JUXTLAHUACA.</t>
  </si>
  <si>
    <t>0036 - SANTA MARÍA YUCUNICOCO</t>
  </si>
  <si>
    <t>CONSTRUCCIÓN DE PISO FIRME PARA EL MEJORAMIENTO DE LA VIVIENDA, EN LA LOCALIDAD SANTIAGO APÓSTOL, MUNICIPIO SANTIAGO APÓSTOL.</t>
  </si>
  <si>
    <t>0001 - SANTIAGO APÓSTOL</t>
  </si>
  <si>
    <t>CONSTRUCCIÓN DE CUARTO DORMITORIO PARA EL MEJORAMIENTO DE LA VIVIENDA, EN LA LOCALIDAD CERRO DE AIRE, MUNICIPIO SANTOS REYES NOPALA.</t>
  </si>
  <si>
    <t>0008 - CERRO DE AIRE</t>
  </si>
  <si>
    <t>CONSTRUCCIÓN DE CISTERNA PARA EL MEJORAMIENTO DE LA VIVIENDA, EN LA LOCALIDAD SANTO DOMINGO TEHUANTEPEC, MUNICIPIO SANTO DOMINGO TEHUANTEPEC.</t>
  </si>
  <si>
    <t>CONSTRUCCIÓN DE CISTERNA PARA EL MEJORAMIENTO DE LA VIVIENDA, EN LA LOCALIDAD RINCÓN TAGOLABA (RINCONCITO), MUNICIPIO SANTO DOMINGO TEHUANTEPEC.</t>
  </si>
  <si>
    <t>0086 - RINCÓN TAGOLABA (RINCONCITO)</t>
  </si>
  <si>
    <t>CONSTRUCCIÓN DE PISO FIRME PARA EL MEJORAMIENTO DE LA VIVIENDA, EN LA LOCALIDAD SANTA CRUZ TIHUIXTE, MUNICIPIO SANTIAGO TETEPEC.</t>
  </si>
  <si>
    <t>0015 - SANTA CRUZ TIHUIXTE</t>
  </si>
  <si>
    <t>CONSTRUCCIÓN DE PISO FIRME PARA EL MEJORAMIENTO DE LA VIVIENDA, EN LA LOCALIDAD LA CUMBRE, MUNICIPIO SANTIAGO TETEPEC.</t>
  </si>
  <si>
    <t>0003 - LA CUMBRE</t>
  </si>
  <si>
    <t>REHABILITACIÓN DE LA CARRETERA CON CONCRETO ASFÁLTICO TEZOATLÁN DE SEGURA Y LUNA - SAN JUAN DIQUIYÚ, TRAMO DEL KM 0+000 AL KM 10+960, SUBTRAMO DEL KM 0+000 AL KM 7+180, EN EL MUNICIPIO DE HEROICA VILLA TEZOATLÁN DE SEGURA Y LUNA, CUNA DE LA INDEPENDENCIA DE OAXACA</t>
  </si>
  <si>
    <t>0011 - SAN JUAN DIQUIYÚ</t>
  </si>
  <si>
    <t>CONSTRUCCIÓN DE LA CARRETERA CON CONCRETO HIDRÁULICO A LLANO GRANDE, TRAMO DEL KM 0+000 AL KM 3+300, SUBTRAMO DEL KM 0+000 AL KM 0+800, EN EL MUNICIPIO DE SANTIAGO TAPEXTLA</t>
  </si>
  <si>
    <t>CONSTRUCCIÓN DE LA CARRETERA CON CONCRETO HIDRÁULICO SAN JOSÉ DEL PACIFICO - SAN MARCIAL OZOLOTEPEC, TRAMO DEL KM 0+000 AL KM 9+700, SUBTRAMO DEL KM 0+000 AL KM 0+700, EN EL MUNICIPIO DE SANTA MARÍA OZOLOTEPEC</t>
  </si>
  <si>
    <t>0001 - SANTA MARÍA OZOLOTEPEC</t>
  </si>
  <si>
    <t>CONSTRUCCIÓN DE PISO FIRME PARA EL MEJORAMIENTO DE LA VIVIENDA, EN LA LOCALIDAD SAN JUAN TEOTALCINGO, MUNICIPIO SANTIAGO CHOÁPAM.</t>
  </si>
  <si>
    <t>0005 - SAN JUAN TEOTALCINGO</t>
  </si>
  <si>
    <t>CONSTRUCCIÓN DE PISO FIRME PARA EL MEJORAMIENTO DE LA VIVIENDA, EN LA LOCALIDAD SANTIAGO MINAS, MUNICIPIO SANTIAGO MINAS.</t>
  </si>
  <si>
    <t>0001 - SANTIAGO MINAS</t>
  </si>
  <si>
    <t>CONSTRUCCIÓN DE SISTEMA DE CAPTACIÓN DE AGUA PLUVIAL PARA EL MEJORAMIENTO DE LA VIVIENDA, EN LA LOCALIDAD SANTO DOMINGO ZANATEPEC, MUNICIPIO SANTO DOMINGO ZANATEPEC.</t>
  </si>
  <si>
    <t>EQUIPAMIENTO DE SISTEMA DE CAPTACIÓN DE AGUA PLUVIAL PARA EL MEJORAMIENTO DE LA VIVIENDA, EN LA LOCALIDAD SANTO DOMINGO ZANATEPEC, MUNICIPIO SANTO DOMINGO ZANATEPEC.</t>
  </si>
  <si>
    <t>CONSTRUCCIÓN DE MUROS DE CONTENCIÓN EN LA CALLE HERMINIO FIGUEROA DE LA LOCALIDAD DE SAN ANDRÉS HIDALGO, MUNICIPIO DE HUAUTLA DE JIMÉNEZ</t>
  </si>
  <si>
    <t>041 - HUAUTLA DE JIMÉNEZ</t>
  </si>
  <si>
    <t>0013 - SAN ANDRÉS HIDALGO</t>
  </si>
  <si>
    <t>CONSTRUCCIÓN DE CANCHA DE FÚTBOL EN EL MÓDULO DEPORTIVO DE LA LOCALIDAD DE SAN ANDRÉS HIDALGO, MUNICIPIO DE HUAUTLA DE JIMÉNEZ</t>
  </si>
  <si>
    <t>PAQUETE DE GALLINAS DE DOBLE PROPÓSITO DEL PROGRAMA AUTOSUFICIENCIA ALIMENTARIA</t>
  </si>
  <si>
    <t>CONSERVACIÓN DE LA CARRETERA ESTATAL CON CONCRETO ASFÁLTICO TLACOLULA - SAN ILDEFONSO VILLA ALTA, TRAMO DEL KM 0+000 AL KM 139+000, SUBTRAMO DEL KM 33+000 AL KM 95+000, EN LOS MUNICIPIOS DE SANTA MARÍA YAVESÍA, SANTIAGO LAXOPA, SAN FRANCISCO CAJONOS, SANTO DOMINGO XAGACÍA, SAN PABLO YAGANIZA, SAN MATEO CAJONOS, VILLA HIDALGO YALÁLAG</t>
  </si>
  <si>
    <t>038 - VILLA HIDALGO</t>
  </si>
  <si>
    <t>0001 - VILLA HIDALGO</t>
  </si>
  <si>
    <t>REHABILITACIÓN DE LA CARRETERA CON CONCRETO HIDRÁULICO TLACOLULA - SAN ILDEFONSO VILLA ALTA, TRAMO DEL KM 0+000 AL KM 133+800, SUBTRAMO DEL KM 125+500 AL KM 125+680, EN EL MUNICIPIO DE SAN ILDEFONSO VILLA ALTA</t>
  </si>
  <si>
    <t>0002 - SAN FRANCISCO YATEE</t>
  </si>
  <si>
    <t>REHABILITACIÓN DE LA CARRETERA T.C. (OAXACA - PUERTO ÁNGEL) - PUERTO ESCONDIDO CON CONCRETO ASFÁLTICO, TRAMO DEL KM 209+845 AL KM 209+995, EN EL MUNICIPIO DE SAN GABRIEL MIXTEPEC</t>
  </si>
  <si>
    <t>COMBATE DE INCENDIO FORESTAL EN EL MUNICIPIO DE SAN MIGUEL CHIMALAPA</t>
  </si>
  <si>
    <t>0001 - SAN MIGUEL CHIMALAPA</t>
  </si>
  <si>
    <t>REHABILITACIÓN DEL SISTEMA ELECTRICO EN MEDIA Y BAJA TENSIÓN DEL EDIFICIO DE AUDITORIA SUPERIOR DE FISCALIZACIÓN DEL ESTADO DE OAXACA EN LA LOCALIDAD DE OAXACA DE JUÁREZ, MUNICIPIO DE OAXACA DE JUÁREZ</t>
  </si>
  <si>
    <t>CONVENIO DE COLABORACIÓN PARA PROMOVER MECANISMOS LOCALES DE PAGO POR SERVICIOS AMBIENTALES A TRAVÉS DE FONDOS CONCURRENTES DEL PROGRAMA DESARROLLO FORESTAL SUSTENTABLE PARA EL BIENESTAR 2024</t>
  </si>
  <si>
    <t>INSTALACIÓN DE 20,000 M2 DE INVERNADERO PARA LA PRODUCCIÓN DE HORTALIZAS EN SAN PABLO GUILÁ</t>
  </si>
  <si>
    <t>INSTALACIÓN DE 1,200 M2 DE INVERNADERO PARA PRODUCCIÓN DE TOMATE EN SAN PABLO GÜILÁ</t>
  </si>
  <si>
    <t>INSTALACIÓN DE 1,260 M2 DE INVERNADERO PARA PRODUCCIÓN DE TOMATE EN EL VERGEL, HEROICA CIUDAD DE EJUTLA DE CRESPO</t>
  </si>
  <si>
    <t>INSTALACIÓN DE CASA SOMBRA DE 2,500 M2  PARA LA PRODUCCIÓN DE TOMATE Y CHILE DE AGUA EN LA PE</t>
  </si>
  <si>
    <t>INSTALACIÓN DE 2,000 M2 INVERNADERO PARA PRODUCCIÓN DE TOMATE EN NUEVO ZOQUIÁPAM</t>
  </si>
  <si>
    <t>INSTALACIÓN DE 1,000 M2 DE INVERNADERO PARA LA PRODUCCIÓN DE TOMATE, CON RESERVORIO PARA CAPTACIÓN DE AGUA PLUVIAL EN LA CIÉNEGA, SAN JUAN BAUTISTA COIXTLAHUACA</t>
  </si>
  <si>
    <t>0002 - LA CIÉNEGA</t>
  </si>
  <si>
    <t>INSTALACION DE 1,000 M2 DE INVERNADERO PARA PRODUCCIÓN DE TOMATE Y RESERVORIO PARA CAPTACIÓN DE AGUA PLUVIAL EN SAN PABLO GUILÁ</t>
  </si>
  <si>
    <t>INSTALACIÓN DE 1,000 M2 DE INVERNADERO PARA PRODUCCIÓN DE TOMATE EN SAN PABLO GUILÁ</t>
  </si>
  <si>
    <t>INSTALACIÓN DE 1,200 M2 DE INVERNADERO, CON RESERVORIO PARA CAPTACIÓN DE AGUA PLUVIAL PARA LA PRODUCCIÓN DE TOMATE EN SAN BERNARDO MIAHUATLÁN, SANTA CRUZ XITLA</t>
  </si>
  <si>
    <t>0002 - SAN BERNARDO MIAHUATLÁN</t>
  </si>
  <si>
    <t>INSTALACIÓN DE 1,300 M2 DE INVERNADERO PARA PRODUCCIÓN DE TOMATE EN SAN PABLO GUILÁ</t>
  </si>
  <si>
    <t>INSTALACIÓN DE 640 M2 DE INVERNADERO PARA PRODUCCIÓN DE TOMATE EN SAN BALTAZAR CHICHICÁPAM</t>
  </si>
  <si>
    <t>112 - SAN BALTAZAR CHICHICÁPAM</t>
  </si>
  <si>
    <t>0001 - SAN BALTAZAR CHICHICÁPAM</t>
  </si>
  <si>
    <t>INSTALACIÓN DE 750 M2 DE INVERNADERO PARA LA PRODUCCIÓN DE TOMATE EN PARAJE FALDA DEL MORAL, SAN JOSÉ MONTE VERDE, MUNICIPIO DE SANTA MARÍA NATIVITAS</t>
  </si>
  <si>
    <t>0002 - SAN JOSÉ MONTE VERDE</t>
  </si>
  <si>
    <t>REHABILITACIÓN DE 2,400 M2 DE INVERNADERO PARA PRODUCCIÓN DE TOMATE EN LA CIÉNEGA DE ZIMATLÁN</t>
  </si>
  <si>
    <t>013 - CIÉNEGA DE ZIMATLÁN</t>
  </si>
  <si>
    <t>0001 - CIÉNEGA DE ZIMATLÁN</t>
  </si>
  <si>
    <t>REHABILITACIÓN DE INVERNADERO DE 1,296 M2 EN LA ESTANCIA, SAN JUAN BAUTISTA COIXTLAHUACA</t>
  </si>
  <si>
    <t>0003 - ESTANCIA</t>
  </si>
  <si>
    <t>REHABILITACIÓN DE 2,000 M2 DE INVERNADERO PARA PRODUCCIÓN DE TOMATE EN EL PORTILLO MATAGALLINA, SAN PEDRO Y SAN PABLO AYUTLA</t>
  </si>
  <si>
    <t>REHABILITACIÓN DE 4,000 M2 DE INVERNADERO PARA PRODUCCIÓN DE TOMATE EN SAN PABLO HUIXTEPEC</t>
  </si>
  <si>
    <t>295 - SAN PABLO HUIXTEPEC</t>
  </si>
  <si>
    <t>0001 - SAN PABLO HUIXTEPEC</t>
  </si>
  <si>
    <t>REHABILITACIÓN DE 6,000 M2 DE INVERNADERO PARA PRODUCCIÓN DE TOMATE EN SAN PABLO HUIXTEPEC</t>
  </si>
  <si>
    <t>REHABILITACIÓN DE INVERNADERO DE 3,767 M2  PARA PRODUCCIÓN DE TOMATE EN LA TRINIDAD VISTA HERMOSA</t>
  </si>
  <si>
    <t>556 - LA TRINIDAD VISTA HERMOSA</t>
  </si>
  <si>
    <t>0001 - LA TRINIDAD VISTA HERMOSA</t>
  </si>
  <si>
    <t>102 - SECRETARÍA DE GOBIERNO</t>
  </si>
  <si>
    <t>102001 - OFICINA DEL SECRETARIO DE GOBIERNO</t>
  </si>
  <si>
    <t>PA’ LAS OAXAQUEÑAS</t>
  </si>
  <si>
    <t>PAZ TERRITORIAL</t>
  </si>
  <si>
    <t>VIVIENDO LA PAZ</t>
  </si>
  <si>
    <t>HABLEMOS, NO BLOQUEEMOS</t>
  </si>
  <si>
    <t>FÁBRICA DE NEGOCIOS, MAS CERCA DE TI, SUR SURESTE.</t>
  </si>
  <si>
    <t>CONSTRUCCION DE TECHADO EN EL ÁREA DE IMPARTICIÓN DE EDUCACIÓN FÍSICA DE LA ESCUELA PRIMARIA JAIME TORRES BODET CLAVE 20DPR2741R, EN LA LOCALIDAD DE CAZADERO, MUNICIPIO DE SANTO DOMINGO INGENIO</t>
  </si>
  <si>
    <t>505 - SANTO DOMINGO INGENIO</t>
  </si>
  <si>
    <t>0003 - CAZADERO</t>
  </si>
  <si>
    <t>548 - UNIVERSIDAD DEL MAR</t>
  </si>
  <si>
    <t>548001 - UNIVERSIDAD DEL MAR</t>
  </si>
  <si>
    <t>CONSTRUCCIÓN DEL CENTRO DE ACTIVIDADES CULTURALES, CAMPUS PUERTO ESCONDIDO EN LA UNIVERSIDAD DEL MAR</t>
  </si>
  <si>
    <t>REHABILITACION DE HOSPITAL INTEGRAL (COMUNITARIO), EN LA LOCALIDAD DE TAMAZULAPAM DEL ESPIRITU SANTO</t>
  </si>
  <si>
    <t>REHABILITACION DE CENTRO DE SALUD RURAL DE 01 NÚCLEO BÁSICO, EN LA LOCALIDAD DE VILLA NUEVA</t>
  </si>
  <si>
    <t>0016 - VILLA NUEVA</t>
  </si>
  <si>
    <t>REHABILITACION DE CENTRO DE SALUD RURAL DE 01 NÚCLEO BÁSICO, EN LA LOCALIDAD DE RANCHO NUEVO</t>
  </si>
  <si>
    <t>474 - SANTIAGO LLANO GRANDE</t>
  </si>
  <si>
    <t>0002 - RANCHO NUEVO</t>
  </si>
  <si>
    <t>REHABILITACION DE CENTRO DE SALUD RURAL DE 01 NÚCLEO BÁSICO, EN LA LOCALIDAD DE SANTO DOMINGO ARMENTA</t>
  </si>
  <si>
    <t>0001 - SANTO DOMINGO ARMENTA</t>
  </si>
  <si>
    <t xml:space="preserve">-96.7157940912962 </t>
  </si>
  <si>
    <t>REPARACIONES GENERALES EN JARDÍN DE NIÑOS "EL PROGRESO" CON CLAVE ESCOLAR: 20DCC1810K, EN LA LOCALIDAD DE SAN ALEJO EL PROGRESO, MUNICIPIO SAN FRANCISCO CHAPULAPA.</t>
  </si>
  <si>
    <t>REPARACIONES GENERALES EN ESCUELA PRIMARIA "LEYES DE REFORMA" CON CLAVE ESCOLAR: 20DPB1834Z, EN LA LOCALIDAD LA REFORMA, MUNICIPIO SAN FRANCISCO CHAPULAPA.</t>
  </si>
  <si>
    <t>0010 - LA REFORMA</t>
  </si>
  <si>
    <t>CONSTRUCCIÓN DE PLAZA CÍVICA EN ESCUELA TELESECUNDARIA CON CLAVE ESCOLAR: 20DTV1612P, EN LA LOCALIDAD SAN JUAN CUITITÓ, MUNICIPIO HEROICA VILLA TEZOATLÁN DE SEGURA Y LUNA, CUNA DE LA INDEPENDENCIA DE OAXACA</t>
  </si>
  <si>
    <t>0010 - SAN JUAN CUITITÓ</t>
  </si>
  <si>
    <t>REPARACIONES GENERALES EN JARDÍN DE NIÑOS "JUAN ESCUTIA" CON CLAVE ESCOLAR: 20DJN0113X, EN LA LOCALIDAD SAN FELIPE TEJALÁPAM, MUNICIPIO SAN FELIPE TEJALÁPAM.</t>
  </si>
  <si>
    <t>EQUIPAMIENTO PARA EL GIMNASIO DEL CENTRO DE RENDIMIENTO DEPORTIVO INCLUSIVO</t>
  </si>
  <si>
    <t>EQUIPAMIENTO PARA LA ESCUELA DE TERAPIA FÍSICA DEL CREE</t>
  </si>
  <si>
    <t>CONSTRUCCIÓN DE TECHADO EN EL ÁREA DE IMPARTICIÓN DE EDUCACIÓN FÍSICA DE LA ESCUELA PRIMARIA GUSTAVO B. MENDOZA CLAVE 20DPR0069Q EN LA LOCALIDAD DE LA CIENEGA DE ZIMATLÁN, EN EL MUNICIPIO DE LA CIÉNEGA DE ZIMATLÁN</t>
  </si>
  <si>
    <t>MANTENIMIENTO AL SISTEMA HIDRÁULICO EN CIUDAD UNIVERSITARIA</t>
  </si>
  <si>
    <t>CONSTRUCCIÓN DE MÓDULO DE SANITARIOS EN ESCUELA PRIMARIA "ABRHAM CASTELLANOS" CON CLAVE ESCOLAR: 20DPR0504B, EN LA LOCALIDAD DE SAN CRISTOBAL SUCHIXTLAHUACA, MUNICIPIO SAN CRISTOBAL SUCHIXTLAHUACA.</t>
  </si>
  <si>
    <t>129 - SAN CRISTÓBAL SUCHIXTLAHUACA</t>
  </si>
  <si>
    <t>0001 - SAN CRISTÓBAL SUCHIXTLAHUACA</t>
  </si>
  <si>
    <t>CONSTRUCCIÓN DE PLAZA CÍVICA EN ESCUELA TELESECUNDARIA CON CLAVE ESCOLAR: 20DTV1649C, EN LA LOCALIDAD DE SAN ISIDRO DEL PARRAL, MUNICIPIO SANTIAGO TETEPEC.</t>
  </si>
  <si>
    <t>0010 - SAN ISIDRO DEL PARRAL</t>
  </si>
  <si>
    <t>TERMINACIÓN DE OBRA DE LAS AULAS PARA LA FACULTAD DE MEDICINA, VETERINARIA Y ZOOTECNIA (2A ETAPA)</t>
  </si>
  <si>
    <t>REPARACIONES GENERALES EN EL JARDÍN DE NIÑOS "MARIANO MATAMOROS" CON CLAVE ESCOLAR: 20DJN0570K, EN LA LOCALIDAD DE SAN JUAN BAUTISTA LO DE SOTO, MUNICIPIO SAN JUAN BAUTISTA LO DE SOTO.</t>
  </si>
  <si>
    <t>CONSTRUCCIÓN DE LABORATORIO-TALLER EN ESCUELA TELESECUNDARIA CON CLAVE ESCOLAR: 20DTV1426U, EN LA LOCALIDAD GUADALUPE SIETE CERROS, MUNICIPIO SAN FRANCISCO CHAPULAPA</t>
  </si>
  <si>
    <t>EQUIPAMIENTO DEL LABORATORIO DE INGENIERÍA CIVIL, EN LAS ÁREAS DE TOPOGRAFÍA, MECÁNICA DE SUELOS Y HIDRÁULICA EN EL INSTITUTO TECNOLÓGICO DE TLAXIACO</t>
  </si>
  <si>
    <t>114 - SECRETARÍA DE FINANZAS</t>
  </si>
  <si>
    <t>114010 - DIRECCIÓN GENERAL DE TECNOLOGÍAS E INNOVACIÓN DIGITAL</t>
  </si>
  <si>
    <t>MODERNIZACIÓN DE INFRAESTRUCTURA TECNOLÓGICA PARA LOS SERVICIOS DEL CENTRO DE DATOS DEL GOBIERNO DEL ESTADO DE OAXACA</t>
  </si>
  <si>
    <t>AMPLIACIÓN DE COMEDOR PÚBLICO EN LA LOCALIDAD DE GUELATAO DE JUÁREZ, MUNICIPIO DE GUELATAO DE JUÁREZ</t>
  </si>
  <si>
    <t>REHABILITACIÓN DE PAVIMENTO A BASE DE CONCRETO HIDRÁULICO EN LA CALLE INDEPENDENCIA EN LA LOCALIDAD DE CONCEPCIÓN PÁPALO, MUNICIPIO DE CONCEPCIÓN PÁPALO</t>
  </si>
  <si>
    <t>0001 - CONCEPCIÓN PÁPALO</t>
  </si>
  <si>
    <t>CONSTRUCCIÓN DE TECHADO EN ESPACIO PÚBLICO MULTIDEPORTIVO Y BIENES PÚBLICOS EN LA LOCALIDAD DE SANTIAGO MITLATONGO, MUNICIPIO DE ASUNCIÓN NOCHIXTLÁN</t>
  </si>
  <si>
    <t>0014 - SANTIAGO MITLATONGO</t>
  </si>
  <si>
    <t>CONSTRUCCIÓN DE PISO FIRME PARA EL MEJORAMIENTO DE LA VIVIENDA, EN LA LOCALIDAD LA COMPAÑÍA, MUNICIPIO LA COMPAÑÍA.</t>
  </si>
  <si>
    <t>CONSTRUCCIÓN DE PISO FIRME PARA EL MEJORAMIENTO DE LA VIVIENDA, EN LA LOCALIDAD SANTIAGO MITLATONGO, MUNICIPIO ASUNCIÓN NOCHIXTLÁN.</t>
  </si>
  <si>
    <t>CONSTRUCCIÓN DE TECHO FIRME PARA EL MEJORAMIENTO DE LA VIVIENDA, EN LA LOCALIDAD GUADALUPE NUEVO TENOCHTITLÁN, MUNICIPIO PUTLA VILLA DE GUERRERO.</t>
  </si>
  <si>
    <t>0019 - GUADALUPE NUEVO TENOCHTITLÁN</t>
  </si>
  <si>
    <t>CONSTRUCCIÓN DE TECHO FIRME PARA EL MEJORAMIENTO DE LA VIVIENDA, EN LA LOCALIDAD SANTIAGO AMATE COLORADO, MUNICIPIO PUTLA VILLA DE GUERRERO.</t>
  </si>
  <si>
    <t>0003 - SANTIAGO AMATE COLORADO</t>
  </si>
  <si>
    <t> -97.91385515499623</t>
  </si>
  <si>
    <t> -97.9122263481132</t>
  </si>
  <si>
    <t>REHABILITACIÓN DE SISTEMA DE AGUA POTABLE EN EL TRAMO CARRETERA INTERNACIONAL 190- ESQUINA CON AV. CUAUHTÉMOC EN LA LOCALIDAD OAXACA DE JUÁREZ, MUNICIPIO OAXACA DE JUÁREZ</t>
  </si>
  <si>
    <t>CONSTRUCCIÓN DE AULAS EN JARDÍN DE NIÑOS "DOMINGO RÍOS ORDAZ" CON CLAVE ESCOLAR: 20DJN0284Q, EN LA LOCALIDAD LA PE, MUNICIPIO LA PE.</t>
  </si>
  <si>
    <t>CONSTRUCCION DE POZO PROFUNDO DE AGUA POTABLE "PARQUE PRIMAVERA" EN LA LOCALIDAD DE OAXACA DE JUAREZ, MUNICIPIO DE OAXACA DE JUAREZ.</t>
  </si>
  <si>
    <t>EQUIPAMIENTO A LABORATORIOS DE INGENIERÍA ELECTROMECÁNICA, INGENIERÍA CIVIL, LABORATORIO DE ELÉCTRICA Y ELECTRÓNICA, INGENIERÍA QUÍMICA Y BIOQUÍMICA (ALIMENTOS, OPERACIONES UNITARIAS, BÁSICO DE BIOQUÍMICA, TECNOLOGÍA DE LOS ALIMENTOS, CIENCIAS DE LOS A EN INSTITUTO TECNOLÓGICO DE TUXTEPEC</t>
  </si>
  <si>
    <t>CAMPAÑA DE PROMOCIÓN TURÍSTICA INTERNACIONAL 2024</t>
  </si>
  <si>
    <t xml:space="preserve">-96.720205 </t>
  </si>
  <si>
    <t>CAMPAÑA DE PROMOCIÓN TURÍSTICA NACIONAL 2024</t>
  </si>
  <si>
    <t>549 - UNIVERSIDAD DEL PAPALOAPAN</t>
  </si>
  <si>
    <t>549001 - UNIVERSIDAD DEL PAPALOAPAN</t>
  </si>
  <si>
    <t>1ERA. ETAPA “SISTEMA DE ENERGÍA SOLAR. SUMINISTRO E INSTALACIÓN DE PANELES FOTOVOLTAICOS CAMPUS LOMA BONITA”</t>
  </si>
  <si>
    <t>TERMINACIÓN DEL ESTACIONAMIENTO PARA BICICLETAS, MOTOCICLETAS Y AUTOMÓVILES PARA ALUMNOS Y PERSONAL DE LA UNIVERSIDAD, EQUIPADO CON CUBIERTA DE PANELES SOLARES Y COLOCACIÓN DE 96 PANELES SOLARES EN LA AZOTEA DEL CENTRO DE ODONTOLOGÍA.</t>
  </si>
  <si>
    <t>CONSTRUCCIÓN DE PISO FIRME PARA EL MEJORAMIENTO DE LA VIVIENDA, EN LA LOCALIDAD LLANO LACHIZÓN, MUNICIPIO SAN ILDEFONSO SOLA.</t>
  </si>
  <si>
    <t>0012 - LLANO LACHIZÓN</t>
  </si>
  <si>
    <t>CONSTRUCCIÓN DE PISO FIRME PARA EL MEJORAMIENTO DE LA VIVIENDA, EN LA LOCALIDAD YOCUÁ, MUNICIPIO SAN ILDEFONSO SOLA.</t>
  </si>
  <si>
    <t>0004 - YOCUÁ</t>
  </si>
  <si>
    <t>CONSTRUCCIÓN DE PISO FIRME PARA EL MEJORAMIENTO DE LA VIVIENDA, EN LA LOCALIDAD EL NOGAL, MUNICIPIO SAN ILDEFONSO SOLA.</t>
  </si>
  <si>
    <t>0006 - EL NOGAL</t>
  </si>
  <si>
    <t>CONSTRUCCIÓN DE PISO FIRME PARA EL MEJORAMIENTO DE LA VIVIENDA, EN LA LOCALIDAD BARRIO ZANIZA, MUNICIPIO SAN ILDEFONSO SOLA.</t>
  </si>
  <si>
    <t>0005 - BARRIO ZANIZA</t>
  </si>
  <si>
    <t>CONSTRUCCIÓN DE PISO FIRME PARA EL MEJORAMIENTO DE LA VIVIENDA, EN LA LOCALIDAD SAN ILDEFONSO SOLA, MUNICIPIO SAN ILDEFONSO SOLA.</t>
  </si>
  <si>
    <t>0001 - SAN ILDEFONSO SOLA</t>
  </si>
  <si>
    <t>CONSTRUCCIÓN DE SANITARIO CON BIODIGESTOR PARA EL MEJORAMIENTO DE LA VIVIENDA, EN LA LOCALIDAD SAN FELIPE TEJALÁPAM, MUNICIPIO SAN FELIPE TEJALÁPAM.</t>
  </si>
  <si>
    <t>CONSTRUCCIÓN DE PISO FIRME PARA EL MEJORAMIENTO DE LA VIVIENDA, EN LA LOCALIDAD SAN FELIPE TEJALÁPAM, MUNICIPIO SAN FELIPE TEJALÁPAM.</t>
  </si>
  <si>
    <t>CONSTRUCCIÓN DE TECHO FIRME PARA EL MEJORAMIENTO DE LA VIVIENDA, EN LA LOCALIDAD SAN MARCOS MALPICA, MUNICIPIO PUTLA VILLA DE GUERRERO.</t>
  </si>
  <si>
    <t>0104 - SAN MARCOS MALPICA</t>
  </si>
  <si>
    <t>CONSTRUCCIÓN DE TECHO FIRME PARA EL MEJORAMIENTO DE LA VIVIENDA, EN LA LOCALIDAD SAN MIGUEL REYES, MUNICIPIO PUTLA VILLA DE GUERRERO.</t>
  </si>
  <si>
    <t>0028 - SAN MIGUEL REYES</t>
  </si>
  <si>
    <t>CONSTRUCCIÓN DE AULA EN JARDÍN DE NIÑOS "FRANCISCO GABILONDO SOLER" CON CLAVE ESCOLAR: 20DJN1299Z, EN LA LOCALIDAD SAN AGUSTÍN AMATENGO, MUNICIPIO SAN AGUSTÍN AMATENGO</t>
  </si>
  <si>
    <t>CONSTRUCCIÓN DE TECHADO EN ÁREA DE IMPARTICIÓN DE EDUCACIÓN FÍSICA EN ESCUELA TELESECUNDARIA CON CLAVE ESCOLAR: 20DTV1429R, EN LA LOCALIDAD DE SANTA CRUZ TEOTILÁLPAM, MUNICIPIO SAN ANDRÉS TEOTILÁLPAM.</t>
  </si>
  <si>
    <t>0010 - SANTA CRUZ TEOTILÁLPAM</t>
  </si>
  <si>
    <t>CONTRUCCIÓN TECHADO EN EL ÁREA DE IMPARTICIÓN DE EDUCACIÓN FÍSICA DEL COBAO NUM. 34 CON CLAVE ESCOLAR:20ECB0034V, EN LA LOCALIDAD DE SAN ANTONINO CASTILLO VELASCO, MUNICIPIO SAN ANTONINO CASTILLO VELASCO.</t>
  </si>
  <si>
    <t>CONSTRUCCIÓN DE TECHADO EN ÁREA DE IMPARTICIÓN DE EDUCACIÓN FÍSICA EN ESCUELA PRIMARIA "EMILIANO ZAPATA" CON CLAVE ESCOLAR: 20DPB1545H, EN LA LOCALIDAD DE SAN BARTOLOMÉ AYAUTLA, MUNICIPIO SAN BARTOLOMÉ AYAUTLA.</t>
  </si>
  <si>
    <t>CAPACITACIÓN BÁSICA Y ESPECIALIZADA PARA PRESTADORES DE SERVICIOS TURÍSTICOS EN EL ESTADO DE OAXACA.</t>
  </si>
  <si>
    <t>CONSTRUCCIÓN DE PISO FIRME PARA EL MEJORAMIENTO DE LA VIVIENDA, EN LA LOCALIDAD LA OCOTERA, MUNICIPIO SAN JOSÉ DEL PEÑASCO.</t>
  </si>
  <si>
    <t>0007 - LA OCOTERA</t>
  </si>
  <si>
    <t>CONSTRUCCIÓN DE PISO FIRME PARA EL MEJORAMIENTO DE LA VIVIENDA, EN LA LOCALIDAD SAN ILDEFONSO VIEJO, MUNICIPIO SAN ILDEFONSO SOLA.</t>
  </si>
  <si>
    <t>0003 - SAN ILDEFONSO VIEJO</t>
  </si>
  <si>
    <t>CONSTRUCCIÓN DE PISO FIRME PARA EL MEJORAMIENTO DE LA VIVIENDA, EN LA LOCALIDAD SAN JUAN SAYULTEPEC, MUNICIPIO SAN JUAN SAYULTEPEC.</t>
  </si>
  <si>
    <t>0001 - SAN JUAN SAYULTEPEC</t>
  </si>
  <si>
    <t>CONSTRUCCIÓN DE AULAS EN ESCUELA PRIMARIA "21 DE MARZO" CON CLAVE ESCOLAR: 20DPR2061L, EN LA LOCALIDAD EL CARRIZAL, MUNICIPIO DE SAN LORENZO TEXMELÚCAN.</t>
  </si>
  <si>
    <t>0004 - EL CARRIZAL</t>
  </si>
  <si>
    <t>CONSTRUCCIÓN DE AULAS EN TEBCEO NUM. 72 CON CLAVE ESCOLAR: 20ETK0072W, EN LA LOCALIDAD DE SAN JUAN LACHIGALLA, MUNICIPIO SAN JUAN LACHIGALLA.</t>
  </si>
  <si>
    <t>CONSTRUCCIÓN DE TECHADO EN ÁREA DE IMPARTICIÓN DE EDUCACIÓN FÍSICA EN IEBO NÚM. 180 CON CLAVE ESCOLAR: 20ETH0180Q, EN LA LOCALIDAD DE SAN JACINTO TLACOTEPEC, MUNCIPIO SAN JACINTO TLACOTEPEC.</t>
  </si>
  <si>
    <t>0001 - SAN JACINTO TLACOTEPEC</t>
  </si>
  <si>
    <t>REHABILITACIÓN DE POZO PROFUNDO DE AGUA POTABLE "11 GRANADA 2" LOCALIDAD DE SAN JACINTO AMILPAS, MUNICIPIO DE SAN JACINTO AMILPAS.</t>
  </si>
  <si>
    <t>CONSTRUCCIÓN DE AULA EN TELESECUNDARIA CON CLAVE: 20DTV0197K, EN LA LOCALIDAD DE SAN SEBASTIÁN NICANANDUTA, MUNICIPIO SAN SEBASTIÁN NICANANDUTA.</t>
  </si>
  <si>
    <t>0001 - SAN SEBASTIÁN NICANANDUTA</t>
  </si>
  <si>
    <t>REPARACIONES GENERALES EN ESCUELA TELESECUNDARIA CON CLAVE ESCOLAR: 20DTV0580G, EN LA LOCALIDAD DE SAN ANDRÉS TEOTILÁLPAM, MUNICIPIO SAN ANDRÉS TEOTILÁLPAM.</t>
  </si>
  <si>
    <t>REPARACIONES GENERALES EN ESCUELA PRIMARIA "AMADO NERVO" CON CLAVE ESCOLAR: 20DPB1765T, EN LA LOCALIDAD DE SAN PEDRO YANERI, MUNICIPIO SAN PEDRO YANERI.</t>
  </si>
  <si>
    <t>0001 - SAN PEDRO YANERI</t>
  </si>
  <si>
    <t>CONSTRUCCIÓN DE LABORATORIO EN ESCUELA SECUNDARIA TÉCNICA NÚM. 269 CON CLAVE ESCOLAR: 20DST0286Q, EN LA LOCALIDAD DIECINUEVE DE ABRIL, MUNICIPIO DE SANTO TOMÁS OCOTEPEC.</t>
  </si>
  <si>
    <t>REPARACIONES GENERALES EN PRIMARIA "MORELOS" CON CLAVE ESCOLAR: 20DPR0877R, EN LA LOCALIDAD SAN MIGUEL PIEDRAS, MUNICIPIO SAN MIGUEL PIEDRAS</t>
  </si>
  <si>
    <t>CONSTRUCCION DE AULAS EN ESCUELA DE EDUCACION SECUNDARIA COMUNITARIA INDIGENA CON CLAVE ESCOLAR: 20ESC0005Z, EN LA LOCALIDAD DE SAN ANDRÉS SOLAGA, MUNICIPIO DE SAN ANDRÉS SOLAGA.</t>
  </si>
  <si>
    <t>REPARACIONES GENERALES EN ESCUELA PRIMARIA "BENITO JUÁREZ" CON CLAVE ESCOLAR: 20DPB1892P, EN  LA LOCALIDAD DE SANTA ANA YANERI, MUNICIPIO DE SANTA ANA YANERI.</t>
  </si>
  <si>
    <t>359 - SANTA ANA YARENI</t>
  </si>
  <si>
    <t>0001 - SANTA ANA YARENI</t>
  </si>
  <si>
    <t>CONSTRUCCIÓN DE SANITARIOS EN JARDÍN DE NIÑOS "JOSÉ DE LOS REYES MARTÍNEZ" CON CLAVE ESCOLAR: 20DJN1068H, EN LA LOCALIDAD DE LLANO GRANDE, MUNICIPIO DE SANTIAGO TAPEXTLA.</t>
  </si>
  <si>
    <t>EQUIPAMIENTO PARA JARDÍN DE NIÑOS "MARÍA ENRIQUETA CAMARILLO DE PEREYRA" CON CLAVE ESCOLAR: 20DJN0602M, EN LA LOCALIDAD DE SANTA CATARINA QUIANÉ, MUNICIPIO DE SANTA CATARINA QUIANÉ.</t>
  </si>
  <si>
    <t>0001 - SANTA CATARINA QUIANÉ</t>
  </si>
  <si>
    <t>EQUIPAMIENTO DE LABORATORIOS, TALLERES Y EDIFICIOS COMPLEMENTARIOS DE LA UNIVERSIDAD DE LA CAÑADA.</t>
  </si>
  <si>
    <t>CONSTRUCCIÓN DE MURO DE CONTENCIÓN EN LA LOCALIDAD DE SAN MELCHOR BETAZA, MUNICIPIO DE SAN MELCHOR BETAZA</t>
  </si>
  <si>
    <t>REHABILITACIÓN DE CARRETERA A BASE DE CONCRETO HIDRÁULICO (ANTIGUO AL AEROPUERTO - AL TEQUIO) DEL KM 1+040.00 AL KM 1+985.00 EN LA LOCALIDAD DE SANTA CRUZ XOXOCOTLÁN, MUNICIPIO DE SANTA CRUZ XOXOCOTLÁN</t>
  </si>
  <si>
    <t xml:space="preserve"> -96.724385</t>
  </si>
  <si>
    <t>CONSTRUCCIÓN DE CUARTO DORMITORIO PARA EL MEJORAMIENTO DE LA VIVIENDA, EN LA LOCALIDAD SANTA CATARINA JUQUILA, MUNICIPIO SANTA CATARINA JUQUILA.</t>
  </si>
  <si>
    <t>CONSTRUCCIÓN DE CUARTO DORMITORIO PARA EL MEJORAMIENTO DE LA VIVIENDA, EN LA LOCALIDAD JUNTA DE LOS RÍOS, MUNICIPIO SANTA CATARINA JUQUILA.</t>
  </si>
  <si>
    <t>0011 - JUNTA DE LOS RÍOS</t>
  </si>
  <si>
    <t>CONSTRUCCIÓN DE PISO FIRME PARA EL MEJORAMIENTO DE LA VIVIENDA, EN LA LOCALIDAD TLACOTEPEC PLUMAS, MUNICIPIO TLACOTEPEC PLUMAS.</t>
  </si>
  <si>
    <t>0001 - TLACOTEPEC PLUMAS</t>
  </si>
  <si>
    <t>CONSTRUCCIÓN DE PISO FIRME PARA EL MEJORAMIENTO DE LA VIVIENDA, EN LA LOCALIDAD SAN SEBASTIÁN NICANANDUTA, MUNICIPIO SAN SEBASTIÁN NICANANDUTA.</t>
  </si>
  <si>
    <t>CONSTRUCCIÓN DE PISO FIRME PARA EL MEJORAMIENTO DE LA VIVIENDA, EN LA LOCALIDAD SANTA CRUZ ZENZONTEPEC, MUNICIPIO SANTA CRUZ ZENZONTEPEC.</t>
  </si>
  <si>
    <t>0001 - SANTA CRUZ ZENZONTEPEC</t>
  </si>
  <si>
    <t>CONSTRUCCIÓN DE PISO FIRME PARA EL MEJORAMIENTO DE LA VIVIENDA, EN LA LOCALIDAD EL JICARAL, MUNICIPIO SANTA CRUZ ZENZONTEPEC.</t>
  </si>
  <si>
    <t>0108 - EL JICARAL</t>
  </si>
  <si>
    <t>CONSTRUCCIÓN DE PISO FIRME PARA EL MEJORAMIENTO DE LA VIVIENDA, EN LA LOCALIDAD RÍO CIRUELO, MUNICIPIO SANTA CRUZ ZENZONTEPEC.</t>
  </si>
  <si>
    <t>0078 - RÍO CIRUELO</t>
  </si>
  <si>
    <t>CONSTRUCCIÓN DE PISO FIRME PARA EL MEJORAMIENTO DE LA VIVIENDA, EN LA LOCALIDAD EL CARRIZAL, MUNICIPIO SANTA CRUZ ZENZONTEPEC.</t>
  </si>
  <si>
    <t>0005 - EL CARRIZAL</t>
  </si>
  <si>
    <t>CONSTRUCCIÓN DE PISO FIRME PARA EL MEJORAMIENTO DE LA VIVIENDA, EN LA LOCALIDAD UNIÓN DEL PROGRESO, MUNICIPIO SANTA CRUZ ZENZONTEPEC.</t>
  </si>
  <si>
    <t>0121 - UNIÓN DEL PROGRESO</t>
  </si>
  <si>
    <t>CONSTRUCCIÓN DE PISO FIRME PARA EL MEJORAMIENTO DE LA VIVIENDA, EN LA LOCALIDAD LA PALMA, MUNICIPIO SANTA CRUZ ZENZONTEPEC.</t>
  </si>
  <si>
    <t>0022 - LA PALMA</t>
  </si>
  <si>
    <t>CONSTRUCCIÓN DE PISO FIRME PARA EL MEJORAMIENTO DE LA VIVIENDA, EN LA LOCALIDAD QUINICUENA, MUNICIPIO SANTA CRUZ ZENZONTEPEC.</t>
  </si>
  <si>
    <t>0017 - QUINICUENA</t>
  </si>
  <si>
    <t>CONSTRUCCIÓN DE PISO FIRME PARA EL MEJORAMIENTO DE LA VIVIENDA, EN LA LOCALIDAD SANTA MARÍA SIEMPREVIVA, MUNICIPIO SANTA CRUZ ZENZONTEPEC.</t>
  </si>
  <si>
    <t>0073 - SANTA MARÍA SIEMPREVIVA</t>
  </si>
  <si>
    <t>CONSTRUCCIÓN DE PISO FIRME PARA EL MEJORAMIENTO DE LA VIVIENDA, EN LA LOCALIDAD LA SOLEDAD COFRADÍA, MUNICIPIO SANTA CRUZ ZENZONTEPEC.</t>
  </si>
  <si>
    <t>0006 - LA SOLEDAD COFRADÍA</t>
  </si>
  <si>
    <t>CONSTRUCCIÓN DE PISO FIRME PARA EL MEJORAMIENTO DE LA VIVIENDA, EN LA LOCALIDAD RANCHO VIEJO, MUNICIPIO SANTA CRUZ ZENZONTEPEC.</t>
  </si>
  <si>
    <t>CONSTRUCCIÓN DE PISO FIRME PARA EL MEJORAMIENTO DE LA VIVIENDA, EN LA LOCALIDAD SAN PEDRO DEL RÍO, MUNICIPIO SANTA CRUZ ZENZONTEPEC.</t>
  </si>
  <si>
    <t>0020 - SAN PEDRO DEL RÍO</t>
  </si>
  <si>
    <t>CONSTRUCCIÓN DE PISO FIRME PARA EL MEJORAMIENTO DE LA VIVIENDA, EN LA LOCALIDAD SAN JOSÉ, MUNICIPIO SANTA CRUZ ZENZONTEPEC.</t>
  </si>
  <si>
    <t>0019 - SAN JOSÉ</t>
  </si>
  <si>
    <t>CONSTRUCCIÓN DE PISO FIRME PARA EL MEJORAMIENTO DE LA VIVIENDA, EN LA LOCALIDAD EL CUCHARAL, MUNICIPIO SANTA CRUZ ZENZONTEPEC.</t>
  </si>
  <si>
    <t>0008 - EL CUCHARAL</t>
  </si>
  <si>
    <t>CONSTRUCCIÓN DE PISO FIRME PARA EL MEJORAMIENTO DE LA VIVIENDA, EN LA LOCALIDAD PIEDRA GRANDE, MUNICIPIO SANTA CRUZ ZENZONTEPEC.</t>
  </si>
  <si>
    <t>0013 - PIEDRA GRANDE</t>
  </si>
  <si>
    <t>CONSTRUCCIÓN DE SANITARIO CON BIODIGESTOR PARA EL MEJORAMIENTO DE LA VIVIENDA, EN LA LOCALIDAD LATUVI, MUNICIPIO SANTA CATARINA LACHATAO.</t>
  </si>
  <si>
    <t>365 - SANTA CATARINA LACHATAO</t>
  </si>
  <si>
    <t>0003 - LATUVI</t>
  </si>
  <si>
    <t>CONSTRUCCIÓN DE PISO FIRME PARA EL MEJORAMIENTO DE LA VIVIENDA, EN LA LOCALIDAD SANTA MARÍA SOLA, MUNICIPIO SANTA MARÍA SOLA.</t>
  </si>
  <si>
    <t> -97.02014830307589</t>
  </si>
  <si>
    <t> -97.02031057729852</t>
  </si>
  <si>
    <t> -97.01402067491361</t>
  </si>
  <si>
    <t>CONSTRUCCIÓN DE PISO FIRME PARA EL MEJORAMIENTO DE LA VIVIENDA, EN LA LOCALIDAD SAN PEDRO TIDAÁ, MUNICIPIO SAN PEDRO TIDAÁ.</t>
  </si>
  <si>
    <t>CONSTRUCCIÓN DE PISO FIRME PARA EL MEJORAMIENTO DE LA VIVIENDA, EN LA LOCALIDAD SAN PABLO ETLA, MUNICIPIO SAN PABLO ETLA.</t>
  </si>
  <si>
    <t>CONSTRUCCIÓN DE PISO FIRME PARA EL MEJORAMIENTO DE LA VIVIENDA, EN LA LOCALIDAD LA CHARCA, MUNICIPIO SANTA MARÍA OZOLOTEPEC.</t>
  </si>
  <si>
    <t>0061 - LA CHARCA</t>
  </si>
  <si>
    <t>CONSTRUCCIÓN DE PISO FIRME PARA EL MEJORAMIENTO DE LA VIVIENDA, EN LA LOCALIDAD LA CHILA, MUNICIPIO SANTA MARÍA OZOLOTEPEC.</t>
  </si>
  <si>
    <t>0032 - LA CHILA</t>
  </si>
  <si>
    <t>CONSTRUCCIÓN DE PISO FIRME PARA EL MEJORAMIENTO DE LA VIVIENDA, EN LA LOCALIDAD SANTA MARÍA OZOLOTEPEC, MUNICIPIO SANTA MARÍA OZOLOTEPEC.</t>
  </si>
  <si>
    <t>CONSTRUCCIÓN DE PISO FIRME PARA EL MEJORAMIENTO DE LA VIVIENDA, EN LA LOCALIDAD SAN GREGORIO OZOLOTEPEC, MUNICIPIO SANTA MARÍA OZOLOTEPEC.</t>
  </si>
  <si>
    <t>0004 - SAN GREGORIO OZOLOTEPEC</t>
  </si>
  <si>
    <t>CONSTRUCCIÓN DE CUARTO DORMITORIO PARA EL MEJORAMIENTO DE LA VIVIENDA, EN LA LOCALIDAD PARAJE EUCALIPTOS (EL PORTILLO), MUNICIPIO SANTA CRUZ XOXOCOTLÁN.</t>
  </si>
  <si>
    <t>0089 - PARAJE EUCALIPTOS (EL PORTILLO)</t>
  </si>
  <si>
    <t>CONSTRUCCIÓN DE TECHO FIRME PARA EL MEJORAMIENTO DE LA VIVIENDA, EN LA LOCALIDAD SAN MIGUEL TLACOTEPEC, MUNICIPIO SAN MIGUEL TLACOTEPEC.</t>
  </si>
  <si>
    <t>286 - SAN MIGUEL TLACOTEPEC</t>
  </si>
  <si>
    <t>0001 - SAN MIGUEL TLACOTEPEC</t>
  </si>
  <si>
    <t>CONSTRUCCIÓN DE PISO FIRME PARA EL MEJORAMIENTO DE LA VIVIENDA, EN LA LOCALIDAD SAN PEDRO Y SAN PABLO TEQUIXTEPEC, MUNICIPIO SAN PEDRO Y SAN PABLO TEQUIXTEPEC.</t>
  </si>
  <si>
    <t>0001 - SAN PEDRO Y SAN PABLO TEQUIXTEPEC</t>
  </si>
  <si>
    <t>CONSTRUCCIÓN DE PISO FIRME PARA EL MEJORAMIENTO DE LA VIVIENDA, EN LA LOCALIDAD SANTA CRUZ XITLA, MUNICIPIO SANTA CRUZ XITLA.</t>
  </si>
  <si>
    <t>CONSTRUCCIÓN DE PISO FIRME PARA EL MEJORAMIENTO DE LA VIVIENDA, EN LA LOCALIDAD SAN PEDRO JALTEPETONGO, MUNICIPIO SAN PEDRO JALTEPETONGO.</t>
  </si>
  <si>
    <t>311 - SAN PEDRO JALTEPETONGO</t>
  </si>
  <si>
    <t>0001 - SAN PEDRO JALTEPETONGO</t>
  </si>
  <si>
    <t>CONSTRUCCIÓN DE PISO FIRME PARA EL MEJORAMIENTO DE LA VIVIENDA, EN LA LOCALIDAD SAN RAMÓN, MUNICIPIO SANTA MARÍA ZANIZA.</t>
  </si>
  <si>
    <t>0002 - SAN RAMÓN</t>
  </si>
  <si>
    <t>CONSTRUCCIÓN DE COMEDOR ESCOLAR EN ESCUELA PRIMARIA "FRANCISCO ZARCO" CON CLAVE ESCOLAR: 20DPR0807W, EN LA LOCALIDAD DE SAN LUCAS QUIAVINÍ, MUNICIPIO SAN LUCAS QUIAVINÍ.</t>
  </si>
  <si>
    <t>CONSTRUCCIÓN DE TECHADO EN ÁREA DE IMPARTICIÓN DE EDUCACIÓN FÍSICA EN TELESECUNDARIA CON CLAVE ESCOLAR: 20DTV1008I, EN LA LOCALIDAD SAN MELCHOR BETAZA, MUNICIPIO SAN MELCHOR BETAZA.</t>
  </si>
  <si>
    <t>CONSTRUCCIÓN DE AULA EN ESCUELA PRIMARIA "JUSTO SIERRA" CON CLAVE ESCOLAR: 20DPR1148J, EN LA LOCALIDAD DE SANTA MARÍA GUELACÉ, MUNICIPIO DE SANTA MARÍA GUELACÉ.</t>
  </si>
  <si>
    <t>REPARACIONES GENERALES EN JARDÍN DE NIÑOS "MELCHOR OCAMPO" CON CLAVE ESCOLAR: 20DJN0556R, EN LA LOCALIDAD DE SAN JERÓNIMO TLACOCHAHUAYA, MUNICIPIO DE SAN JERÓNIMO TLACOCHAHUAYA.</t>
  </si>
  <si>
    <t>CONSTRUCCIÓN DE SANITARIOS EN ESCUELA SECUNDARIA TÉCNICA NÚM. 143 CON CLAVE ESCOLAR: 20DST0159U, EN LA LOCALIDAD DE SAN JERÓNIMO TLACOCHAHUAYA, MUNICIPIO DE SAN JERÓNIMO TLACOCHAHUAYA.</t>
  </si>
  <si>
    <t>EQUIPAMIENTO LABORATORIO DE INGENIERÍA FERROVIARÍA (INSTITUTO TECNOLOGICO DE SALINA CRUZ)</t>
  </si>
  <si>
    <t>CONSTRUCCIÓN DE SANITARIOS EN ESCUELA PRIMARIA "FELIPE CARRILLO PUERTO" CON CLAVE ESCOLAR: 20DPR1499N, EN LA LOCALIDAD DE SAN JERÓNIMO TLACOCHAHUAYA, MUNICIPIO DE SAN JERÓNIMO TLACOCHAHUAYA.</t>
  </si>
  <si>
    <t>CONSTRUCCIÓN DE AULA EN ESCUELA TELESECUNDARIA CON CLAVE ESCOLAR: 20DTV0718B, EN LA LOCALIDAD DE SANTA MARÍA ZANIZA, MUNICIPIO SANTA MARÍA ZANIZA.</t>
  </si>
  <si>
    <t>CONSTRUCCIÓN DE SANITARIOS  EN ESCUELA PRIMARIA "JESUS GONZALEZ ORTEGA" CON CLAVE ESCOLAR: 20DPB0205C, EN LA LOCALIDAD DE SAN ISIDRO, MUNICIPIO SAN JUAN COATZÓSPAM.</t>
  </si>
  <si>
    <t>CONSTRUCCIÓN DE UN ANEXO EN ESCUELA PRIMARIA "MARCOS PÉREZ" CON CLAVE ESCOLAR: 20DPR1474E, EN LA LOCALIDAD DE TEOCOCUILCO DE MARCOS PÉREZ, MUNICIPIO DE TEOCOCUILCO DE MARCOS PÉREZ.</t>
  </si>
  <si>
    <t>0001 - TEOCOCUILCO DE MARCOS PÉREZ</t>
  </si>
  <si>
    <t>CONSTRUCCIÓN DE AULA PARA PRIMARIA "REVOLUCIÓN" CON CLAVE ESCOLAR: 20DPR0893I, EN LA LOCALIDAD SAN MIGUEL TEQUIXTEPEC, MUNICIPIO SAN MIGUEL TEQUIXTEPEC</t>
  </si>
  <si>
    <t>283 - SAN MIGUEL TEQUIXTEPEC</t>
  </si>
  <si>
    <t>0001 - SAN MIGUEL TEQUIXTEPEC</t>
  </si>
  <si>
    <t>REPARACIONES GENERALES EN JARDÍN DE NIÑOS "AQUILES SERDÁN" CON CLAVE  ESCOLAR: 20DCC0078S, EN LA LOCALIDAD DE SAN JUAN TABAÁ, MUNICIPIO DE SAN JUAN TABAÁ.</t>
  </si>
  <si>
    <t>0001 - SAN JUAN TABAÁ</t>
  </si>
  <si>
    <t>REPARACIONES GENERALES EN JARDIN DE NIÑOS "MARÍA ENRIQUETA CAMARILLO DE PEREYRA" CON CLAVE ESCOLAR: 20DJN0586L, EN LA LOCALIDAD DE SAN PEDRO Y SAN PABLO AYUTLA, MUNICIPIO DE SAN PEDRO Y SAN PABLO AYUTLA.</t>
  </si>
  <si>
    <t>0001 - SAN PEDRO Y SAN PABLO AYUTLA</t>
  </si>
  <si>
    <t>REPARACIONES GENERALES EN LA ESCUELA PRIMARIA "IGNACIO ALLENDE" CON CLAVE ESCOLAR: 20DPR2955S, EN LA LOCALIDAD DE LA AURORA, MUNICIPIO SAN FELIPE TEJALAPAM.</t>
  </si>
  <si>
    <t>0013 - LA AURORA</t>
  </si>
  <si>
    <t>REPARACIONES GENERALES EN ESCUELA PRIMARIA "LÁZARO CÁRDENAS DEL RIO" CON CLAVE ESCOLAR: 20DPR3230X, EN LA LOCALIDAD DE MAGDALENA PEÑASCO, MUNICIPIO MAGDALENA PEÑASCO.</t>
  </si>
  <si>
    <t>REPARACIONES GENERALES EN ESCUELA PRIMARIA "REVOLUCIÓN" CON CLAVE ESCOLAR: 20DPB0141I, EN LA LOCALIDAD DE SAN CRISTÓBAL LACHIRIOAG, MUNICIPIO SAN CRISTÓBAL LACHIRIOAG.</t>
  </si>
  <si>
    <t>REPARACIONES GENERALES EN ESCUELA PRIMARIA "PROGRESO" CON CLAVE ESCOLAR: 20DPR0697G, EN LA LOCALIDAD DE SAN JUAN CHILATECA, MUNICIPIO SAN JUAN CHILATECA.</t>
  </si>
  <si>
    <t>REPARACIONES GENERALES EN ESCUELA PRIMARIA "UNIÓN Y PROGRESO" CON CLAVE ESCOLAR: 20DPR1029W, EN LA LOCALIDAD DE SAN SEBASTIÁN TEITIPAC, MUNICIPIO SAN SEBASTIÁN TEITIPAC,.</t>
  </si>
  <si>
    <t>REPARACIONES GENERALES EN ESCUELA PRIMARIA "JUAN ALDAMA" CON CLAVE ESCOLAR: 20DPR3527G, EN LA LOCALIDAD DE AYOQUEZCO DE ALDAMA, MUNICIPIO AYOQUEZCO DE ALDAMA.</t>
  </si>
  <si>
    <t>REPARACIONES GENERALES EN ESCUELA SECUNDARIA TÉCNICA NÚM. 163 CON CLAVE ESCOLAR: 20DST0178I, EN LA LOCALIDAD DE SAN AGUSTÍN TLACOTEPEC, MUNICIPIO SAN AGUSTÍN TLACOTEPEC.</t>
  </si>
  <si>
    <t>REPARACIONES GENERALES EN ESCUELA TELESECUNDARIA CON CLAVE ESCOLAR: 20DTV0050R, EN LA LOCALIDAD DE SAN JUAN TABAÁ, MUNICIPIO DE SAN JUAN TABAÁ.</t>
  </si>
  <si>
    <t>EQUIPAMIENTO DE ESCUELAS PÚBLICAS DE EDUCACIÓN BÁSICA DEL MUNICIPIO DE: SAN LUCAS ZOQUIAPAM</t>
  </si>
  <si>
    <t>0000 - COBERTURA MUNICIPAL SAN LUCAS ZOQUIÁPAM</t>
  </si>
  <si>
    <t>EQUIPAMIENTO DE ESCUELAS PÚBLICAS DE EDUCACIÓN BÁSICA DEL MUNICIPIO DE: MAZATLAN VILLA DE FLORES</t>
  </si>
  <si>
    <t>0000 - COBERTURA MUNICIPAL MAZATLÁN VILLA DE FLORES</t>
  </si>
  <si>
    <t>EQUIPAMIENTO DE ESCUELAS PÚBLICAS DE EDUCACIÓN BÁSICA DEL MUNICIPIO DE: SAN AGUSTIN LOXICHA</t>
  </si>
  <si>
    <t>0000 - COBERTURA MUNICIPAL SAN AGUSTÍN LOXICHA</t>
  </si>
  <si>
    <t>EQUIPAMIENTO DE ESCUELAS PÚBLICAS DE EDUCACIÓN BÁSICA DEL MUNICIPIO DE: SANTOS REYES NOPALA</t>
  </si>
  <si>
    <t>0000 - COBERTURA MUNICIPAL SANTOS REYES NOPALA</t>
  </si>
  <si>
    <t>EQUIPAMIENTO DE ESCUELAS PÚBLICAS DE EDUCACIÓN BÁSICA DEL MUNICIPIO DE: SAN PEDRO HUILOTEPEC</t>
  </si>
  <si>
    <t>0000 - COBERTURA MUNICIPAL SAN PEDRO HUILOTEPEC</t>
  </si>
  <si>
    <t>EQUIPAMIENTO DE ESCUELAS PÚBLICAS DE EDUCACIÓN BÁSICA DEL MUNICIPIO DE: NUEVO ZOQUIAPAM</t>
  </si>
  <si>
    <t>0000 - COBERTURA MUNICIPAL NUEVO ZOQUIÁPAM</t>
  </si>
  <si>
    <t>EQUIPAMIENTO DE ESCUELAS PÚBLICAS DE EDUCACIÓN BÁSICA DEL MUNICIPIO DE: SAN MELCHOR BETAZA</t>
  </si>
  <si>
    <t>0000 - COBERTURA MUNICIPAL SAN MELCHOR BETAZA</t>
  </si>
  <si>
    <t>EQUIPAMIENTO DE ESCUELAS PÚBLICAS DE EDUCACIÓN BÁSICA DEL MUNICIPIO DE: SAN MIGUEL ALOAPAM</t>
  </si>
  <si>
    <t>0000 - COBERTURA MUNICIPAL SAN MIGUEL ALOÁPAM</t>
  </si>
  <si>
    <t>EQUIPAMIENTO DE ESCUELAS PÚBLICAS DE EDUCACIÓN BÁSICA DEL MUNICIPIO DE: SANTA ANA YARENI</t>
  </si>
  <si>
    <t>0000 - COBERTURA MUNICIPAL SANTA ANA YARENI</t>
  </si>
  <si>
    <t>EQUIPAMIENTO DE ESCUELAS PÚBLICAS DE EDUCACIÓN BÁSICA DEL MUNICIPIO DE: SAN MATEO RIO HONDO</t>
  </si>
  <si>
    <t>0000 - COBERTURA MUNICIPAL SAN MATEO RÍO HONDO</t>
  </si>
  <si>
    <t>EQUIPAMIENTO DE ESCUELAS PÚBLICAS DE EDUCACIÓN BÁSICA DEL MUNICIPIO DE: MONJAS</t>
  </si>
  <si>
    <t>061 - MONJAS</t>
  </si>
  <si>
    <t>0001 - MONJAS</t>
  </si>
  <si>
    <t>EQUIPAMIENTO DE ESCUELAS PÚBLICAS DE EDUCACIÓN BÁSICA DEL MUNICIPIO DE: SAN FRANCISCO LACHIGOLO</t>
  </si>
  <si>
    <t>145 - SAN FRANCISCO LACHIGOLÓ</t>
  </si>
  <si>
    <t>0000 - COBERTURA MUNICIPAL SAN FRANCISCO LACHIGOLÓ</t>
  </si>
  <si>
    <t>EQUIPAMIENTO DE ESCUELAS PÚBLICAS DE EDUCACIÓN BÁSICA DEL MUNICIPIO DE: SAN ANDRES HUAYAPAM</t>
  </si>
  <si>
    <t>091 - SAN ANDRÉS HUAYÁPAM</t>
  </si>
  <si>
    <t>0000 - COBERTURA MUNICIPAL SAN ANDRÉS HUAYÁPAM</t>
  </si>
  <si>
    <t>EQUIPAMIENTO DE ESCUELAS PÚBLICAS DE EDUCACIÓN BÁSICA DEL MUNICIPIO DE: SAN ANTONIO DE LA CAL</t>
  </si>
  <si>
    <t>0000 - COBERTURA MUNICIPAL SAN ANTONIO DE LA CAL</t>
  </si>
  <si>
    <t>EQUIPAMIENTO DE ESCUELAS PÚBLICAS DE EDUCACIÓN BÁSICA DEL MUNICIPIO DE: SAN SEBASTIAN TUTLA</t>
  </si>
  <si>
    <t>350 - SAN SEBASTIÁN TUTLA</t>
  </si>
  <si>
    <t>0000 - COBERTURA MUNICIPAL SAN SEBASTIÁN TUTLA</t>
  </si>
  <si>
    <t>EQUIPAMIENTO DE ESCUELAS PÚBLICAS DE EDUCACIÓN BÁSICA DEL MUNICIPIO DE: SANTA MARIA CORTIJO</t>
  </si>
  <si>
    <t>0000 - COBERTURA MUNICIPAL SANTA MARÍA CORTIJO</t>
  </si>
  <si>
    <t>EQUIPAMIENTO DE ESCUELAS PÚBLICAS DE EDUCACIÓN BÁSICA DEL MUNICIPIO DE: SAN AGUSTIN ATENANGO</t>
  </si>
  <si>
    <t>0000 - COBERTURA MUNICIPAL SAN AGUSTÍN ATENANGO</t>
  </si>
  <si>
    <t>EQUIPAMIENTO DE ESCUELAS PÚBLICAS DE EDUCACIÓN BÁSICA DEL MUNICIPIO DE: SAN MIGUEL TLACAMAMA</t>
  </si>
  <si>
    <t>0000 - COBERTURA MUNICIPAL SAN MIGUEL TLACAMAMA</t>
  </si>
  <si>
    <t>EQUIPAMIENTO DE ESCUELAS PÚBLICAS DE EDUCACIÓN BÁSICA DEL MUNICIPIO DE: SANTIAGO TETEPEC</t>
  </si>
  <si>
    <t>0000 - COBERTURA MUNICIPAL SANTIAGO TETEPEC</t>
  </si>
  <si>
    <t>EQUIPAMIENTO DE ESCUELAS PÚBLICAS DE EDUCACIÓN BÁSICA DEL MUNICIPIO DE: SAN JUAN LACHAO</t>
  </si>
  <si>
    <t>0000 - COBERTURA MUNICIPAL SAN JUAN LACHAO</t>
  </si>
  <si>
    <t>EQUIPAMIENTO DE ESCUELAS PÚBLICAS DE EDUCACIÓN BÁSICA DEL MUNICIPIO DE: SANTA MARIA TEMAXCALTEPEC</t>
  </si>
  <si>
    <t>0000 - COBERTURA MUNICIPAL SANTA MARÍA TEMAXCALTEPEC</t>
  </si>
  <si>
    <t>EQUIPAMIENTO DE ESCUELAS PÚBLICAS DE EDUCACIÓN BÁSICA DEL MUNICIPIO DE: SAN JUAN EVANGELISTA ANALCO</t>
  </si>
  <si>
    <t>0000 - COBERTURA MUNICIPAL SAN JUAN EVANGELISTA ANALCO</t>
  </si>
  <si>
    <t>EQUIPAMIENTO DE ESCUELAS PÚBLICAS DE EDUCACIÓN BÁSICA DEL MUNICIPIO DE: SAN ANTONINO CASTILLO VELASCO</t>
  </si>
  <si>
    <t>0000 - COBERTURA MUNICIPAL SAN ANTONINO CASTILLO VELASCO</t>
  </si>
  <si>
    <t>EQUIPAMIENTO DE ESCUELAS PÚBLICAS DE EDUCACIÓN BÁSICA DEL MUNICIPIO DE: SAN JUAN CHILATECA</t>
  </si>
  <si>
    <t>0000 - COBERTURA MUNICIPAL SAN JUAN CHILATECA</t>
  </si>
  <si>
    <t>EQUIPAMIENTO DE ESCUELAS PÚBLICAS DE EDUCACIÓN BÁSICA DEL MUNICIPIO DE: SAN MARTIN TILCAJETE</t>
  </si>
  <si>
    <t>EQUIPAMIENTO DE ESCUELAS PÚBLICAS DE EDUCACIÓN BÁSICA DEL MUNICIPIO DE: MAGDALENA PEÑASCO</t>
  </si>
  <si>
    <t>0000 - COBERTURA MUNICIPAL MAGDALENA PEÑASCO</t>
  </si>
  <si>
    <t>EQUIPAMIENTO DE ESCUELAS PÚBLICAS DE EDUCACIÓN BÁSICA DEL MUNICIPIO DE: SAN MATEO PEÑASCO</t>
  </si>
  <si>
    <t>0000 - COBERTURA MUNICIPAL SAN MATEO PEÑASCO</t>
  </si>
  <si>
    <t>EQUIPAMIENTO DE ESCUELAS PÚBLICAS DE EDUCACIÓN BÁSICA DEL MUNICIPIO DE: SAN BARTOLOME YUCUAÑE</t>
  </si>
  <si>
    <t>0000 - COBERTURA MUNICIPAL SAN BARTOLOMÉ YUCUAÑE</t>
  </si>
  <si>
    <t>EQUIPAMIENTO DE ESCUELAS PÚBLICAS DE EDUCACIÓN BÁSICA DEL MUNICIPIO DE: SAN JUAN ACHIUTLA</t>
  </si>
  <si>
    <t>172 - SAN JUAN ACHIUTLA</t>
  </si>
  <si>
    <t>0000 - COBERTURA MUNICIPAL SAN JUAN ACHIUTLA</t>
  </si>
  <si>
    <t>EQUIPAMIENTO DE ESCUELAS PÚBLICAS DE EDUCACIÓN BÁSICA DEL MUNICIPIO DE: SAN MIGUEL ACHIUTLA</t>
  </si>
  <si>
    <t>EQUIPAMIENTO DE ESCUELAS PÚBLICAS DE EDUCACIÓN BÁSICA DEL MUNICIPIO DE: SANTA CRUZ TAYATA</t>
  </si>
  <si>
    <t>383 - SANTA CRUZ TAYATA</t>
  </si>
  <si>
    <t>0000 - COBERTURA MUNICIPAL SANTA CRUZ TAYATA</t>
  </si>
  <si>
    <t>EQUIPAMIENTO DE ESCUELAS PÚBLICAS DE EDUCACIÓN BÁSICA DEL MUNICIPIO DE: SAN BARTOLOME QUIALANA</t>
  </si>
  <si>
    <t>0000 - COBERTURA MUNICIPAL SAN BARTOLOMÉ QUIALANA</t>
  </si>
  <si>
    <t>EQUIPAMIENTO DE ESCUELAS PÚBLICAS DE EDUCACIÓN BÁSICA DEL MUNICIPIO DE: SANTO DOMINGO TONALA</t>
  </si>
  <si>
    <t>0007 - YETLA DE JUÁREZ</t>
  </si>
  <si>
    <t>EQUIPAMIENTO DE ESCUELAS PÚBLICAS DE EDUCACIÓN BÁSICA DEL MUNICIPIO DE: SAN LUCAS QUIAVINI</t>
  </si>
  <si>
    <t>0000 - COBERTURA MUNICIPAL SAN LUCAS QUIAVINÍ</t>
  </si>
  <si>
    <t>EQUIPAMIENTO DE ESCUELAS PÚBLICAS DE EDUCACIÓN BÁSICA DEL MUNICIPIO DE: SAN MIGUEL DEL RIO</t>
  </si>
  <si>
    <t>0000 - COBERTURA MUNICIPAL SAN MIGUEL DEL RÍO</t>
  </si>
  <si>
    <t>EQUIPAMIENTO DE ESCUELAS PÚBLICAS DE EDUCACIÓN BÁSICA DEL MUNICIPIO DE: SAN MIGUEL TEQUIXTEPEC</t>
  </si>
  <si>
    <t>0000 - COBERTURA MUNICIPAL SAN MIGUEL TEQUIXTEPEC</t>
  </si>
  <si>
    <t>EQUIPAMIENTO DE ESCUELAS PÚBLICAS DE EDUCACIÓN BÁSICA DEL MUNICIPIO DE: SAN PEDRO NOPALA</t>
  </si>
  <si>
    <t>0000 - COBERTURA MUNICIPAL SAN PEDRO NOPALA</t>
  </si>
  <si>
    <t>EQUIPAMIENTO DE ESCUELAS PÚBLICAS DE EDUCACIÓN BÁSICA DEL MUNICIPIO DE: SAN CRISTOBAL SUCHIXTLAHUACA</t>
  </si>
  <si>
    <t>EQUIPAMIENTO DE ESCUELAS PÚBLICAS DE EDUCACIÓN BÁSICA DEL MUNICIPIO DE: SANTIAGO ZOOCHILA</t>
  </si>
  <si>
    <t>0000 - COBERTURA MUNICIPAL SANTIAGO ZOOCHILA</t>
  </si>
  <si>
    <t>ADQUISICIÓN DE EQUIPAMIENTO PARA LA  "CONCLUSIÓN DE OBRA Y EQUIPAMIENTO DEL CENTRO DE SALUD CON SERVICIOS AMPLIADOS (CESSA) EN EL MUNICIPIO DE SAN PABLO YAGANIZA EN EL ESTADO DE OAXACA"</t>
  </si>
  <si>
    <t>299 - SAN PABLO YAGANIZA</t>
  </si>
  <si>
    <t>0001 - SAN PABLO YAGANIZA</t>
  </si>
  <si>
    <t>ADQUISICIÓN DE EQUIPAMIENTO PARA LA "CONCLUSIÓN DE OBRA Y EQUIPAMIENTO DEL HOSPITAL DE LA COMUNIDAD DEL MUNICIPIO DE SAN FELIPE JALAPA DE DÍAZ EN EL ESTADO DE OAXACA"</t>
  </si>
  <si>
    <t>CONSTRUCCIÓN DE SANITARIOS EN EL JARDÍN DE NIÑOS "FRANCISCO GABILONDO SOLER" CON CLAVE ESCOLAR: 20DJN2377T, EN LA LOCALIDAD EL PAREDÓN, MUNICIPIO SAN FELIPE TEJALAPAM.</t>
  </si>
  <si>
    <t>0012 - EL PAREDÓN</t>
  </si>
  <si>
    <t>REPARACIONES GENERALES EN JARDÍN DE NIÑOS "OCTAVIO PAZ" CON CLAVE ESCOLAR: 20DJN0202Q, EN LA LOCALIDAD EL PALMAR, MUNICIPIO SANTA MARÍA TLALIXTAC.</t>
  </si>
  <si>
    <t>0005 - EL PALMAR</t>
  </si>
  <si>
    <t>CONTRUCCIÓN DE CANCHA DEPORTIVA EN ESCUELA PRIMARIA "BENITO JUÁREZ GARCÍA" CON CLAVE ESCOLAR: 20DPB0359F, EN LA LOCALIDAD DE SAN ANTONIO EL PROGRESO, MUNICIPIO SAN PEDRO TEOZACOALCO.</t>
  </si>
  <si>
    <t>0006 - SAN ANTONIO EL PROGRESO</t>
  </si>
  <si>
    <t>REPARACIONES GENERALES EN ESCUELA TELESECUNDARIA CON CLAVE ESCOLAR: 20DTV1244L, EN LA LOCALIDAD SANTA CRUZ TIHUIXTE, MUNICIPIO DE SANTIAGO TETEPEC.</t>
  </si>
  <si>
    <t>REPARACIONES GENERALES EN TELESECUNDARIA CON CLAVE ESCOLAR: 20DTV0120W, EN LA LOCALIDAD DE SAN MIGUEL ALOÁPAM, MUNICIPIO SAN MIGUEL ALOÁPAM.</t>
  </si>
  <si>
    <t>0001 - SAN MIGUEL ALOÁPAM</t>
  </si>
  <si>
    <t>REPARACIONES GENERALES EN ESCUELA PRIMARIA "MELCHOR OCAMPO" CON CLAVE ESCOLAR: 20DPB0491N, EN LA LOCALIDAD EMILIO PORTES GIL, MUNICIPIO SANTO TOMÁS OCOTEPEC.</t>
  </si>
  <si>
    <t>CONSTRUCCIÓN DE CANCHA DEPORTIVA EN TELESECUNDARIA CON CLAVE ESCOLAR: 20DTV0788X, EN LA LOCALIDAD SAN MIGUEL PIEDRAS, MUNICIPIO SAN MIGUEL PIEDRAS</t>
  </si>
  <si>
    <t>REPARACIONES GENERALES EN JARDÍN DE NIÑOS "JUAN RUIZ DE ALARCÓN" CON CLAVE ESCOLAR: 20DJN0606I, EN LA LOCALIDAD DE SANTA MARÍA CORTIJO, MUNICIPIO SANTA MARÍA CORTIJO.</t>
  </si>
  <si>
    <t>REPARACIONES GENERALES EN JARDÍN DE NIÑOS "LÁZARO CÁRDENAS" CON CLAVE ESCOLAR: 20DCC0742X, EN LA LOCALIDAD DE YUCUQUIMI DE OCAMPO, MUNICIPIO HEROICA VILLA DE TEZOATLÁN DE SEGURA Y LUNA, CUNA DE LA INDEPENDENCIA EN OAXACA.</t>
  </si>
  <si>
    <t>0018 - YUCUQUIMI DE OCAMPO</t>
  </si>
  <si>
    <t>REPARACIONES GENERALES EN ESCUELA PRIMARIA "TADEUSZ KOSCIUSZKO" CON CLAVE ESCOLAR: 20DPR2752X, EN LA LOCALIDAD DE SANTA MARÍA JALTIANGUIS, MUNICIPIO SANTA MARÍA JALTIANGUIS.</t>
  </si>
  <si>
    <t>REPARACIONES GENERALES EN ESCUELA PRIMARIA "VALENTÍN GÓMEZ FARÍAS" CON CLAVE ESCOLAR: 20DPR1697N, EN LA LOCALIDAD DE SAN MARCOS MONTE DE LEÓN, MUNICIPIO VILLA DE CHIALAPA DE DÍAZ.</t>
  </si>
  <si>
    <t>0004 - SAN MARCOS MONTE DE LEÓN</t>
  </si>
  <si>
    <t>EQUIPAMIENTO TECNOLÓGICO PARA LAS PROCURADURÍAS DE PROTECCIÓN DE LOS DERECHOS DE NIÑAS, NIÑOS Y ADOLESCENTES DEL ESTADO DE OAXACA</t>
  </si>
  <si>
    <t>PRESENCIA DE OAXACA EN EL MARCO DEL EVENTO FESTIVAL INTERNACIONAL CERVANTINO 2024</t>
  </si>
  <si>
    <t>PROMOCIÓN TURÍSTICA DE LA FESTIVIDAD TRADICIONAL DE SAN LUCAS OJITLÁN 2024</t>
  </si>
  <si>
    <t>MANTENIMIENTO PREVENTIVO Y CORRECTIVO A LA CANCHA DE FUTBOL RÁPIDO DE LA UNIDAD DEPORTIVA DEL INSTITUTO TECNOLÓGICO DE OAXACA</t>
  </si>
  <si>
    <t>EVENTO TURÍSTICO 2º FESTIVAL CULTURAL DEL HONGO EN SAN JOSÉ DEL PACÍFICO 2024.</t>
  </si>
  <si>
    <t>0009 - SAN JOSÉ DEL PACÍFICO</t>
  </si>
  <si>
    <t>FORTALECIMIENTO DE LAS INSTITUCIONES DE SEGURIDAD PÚBLICA Y PROCURACIÓN DE JUSTICIA, FASP 2024.</t>
  </si>
  <si>
    <t>126 - INSTITUTO DE PLANEACIÓN PARA EL BIENESTAR</t>
  </si>
  <si>
    <t>126001 - OFICINA DEL DIRECTOR GENERAL DEL INSTITUTO DE PLANEACIÓN PARA EL BIENESTAR</t>
  </si>
  <si>
    <t>ELABORACIÓN DE UN ATLAS DE GESTIÓN INTEGRAL DE RIESGOS PARA EL MUNICIPIO DE AYOTZINTEPEC Y SU IMPLEMENTACIÓN EN LA PLATAFORMA DIGITAL OFICIAL DE INFORMACIÓN GEOGRÁFICA ESPACIAL.</t>
  </si>
  <si>
    <t>ELABORACIÓN DE UN ATLAS DE GESTIÓN INTEGRAL DE RIESGOS PARA EL MUNICIPIO DE CIÉNEGA DE ZIMATLÁN Y SU IMPLEMENTACIÓN EN LA PLATAFORMA DIGITAL OFICIAL DE INFORMACIÓN GEOGRÁFICA ESPACIAL.</t>
  </si>
  <si>
    <t>ELABORACIÓN DE UN ATLAS DE GESTIÓN INTEGRAL DE RIESGOS PARA EL MUNICIPIO DE TAMAZULÁPAM DEL ESPÍRITU SANTO Y SU IMPLEMENTACIÓN EN LA PLATAFORMA DIGITAL OFICIAL DE INFORMACIÓN GEOGRÁFICA ESPACIAL.</t>
  </si>
  <si>
    <t>ELABORACIÓN DE UN ATLAS DE GESTIÓN INTEGRAL DE RIESGOS PARA EL MUNICIPIO DE GUELATAO DE JUÁREZ Y SU IMPLEMENTACIÓN EN LA PLATAFORMA DIGITAL OFICIAL DE INFORMACIÓN GEOGRÁFICA ESPACIAL.</t>
  </si>
  <si>
    <t>ELABORACIÓN DE UN ATLAS DE GESTIÓN INTEGRAL DE RIESGOS PARA EL MUNICIPIO DE GUEVEA DE HUMBOLDT Y SU IMPLEMENTACIÓN EN LA PLATAFORMA DIGITAL OFICIAL DE INFORMACIÓN GEOGRÁFICA ESPACIAL.</t>
  </si>
  <si>
    <t>036 - GUEVEA DE HUMBOLDT</t>
  </si>
  <si>
    <t>0001 - GUEVEA DE HUMBOLDT</t>
  </si>
  <si>
    <t>ELABORACIÓN DE UN ATLAS DE GESTIÓN INTEGRAL DE RIESGOS PARA EL MUNICIPIO DE VILLA HIDALGO Y SU IMPLEMENTACIÓN EN LA PLATAFORMA DIGITAL OFICIAL DE INFORMACIÓN GEOGRÁFICA ESPACIAL.</t>
  </si>
  <si>
    <t>ELABORACIÓN DE UN ATLAS DE GESTIÓN INTEGRAL DE RIESGOS PARA EL MUNICIPIO DE HUAUTEPEC Y SU IMPLEMENTACIÓN EN LA PLATAFORMA DIGITAL OFICIAL DE INFORMACIÓN GEOGRÁFICA ESPACIAL.</t>
  </si>
  <si>
    <t>040 - HUAUTEPEC</t>
  </si>
  <si>
    <t>0001 - HUAUTEPEC</t>
  </si>
  <si>
    <t>ELABORACIÓN DE UN ATLAS DE GESTIÓN INTEGRAL DE RIESGOS PARA EL MUNICIPIO DE IXTLÁN DE JUÁREZ Y SU IMPLEMENTACIÓN EN LA PLATAFORMA DIGITAL OFICIAL DE INFORMACIÓN GEOGRÁFICA ESPACIAL.</t>
  </si>
  <si>
    <t>ELABORACIÓN DE UN ATLAS DE GESTIÓN INTEGRAL DE RIESGOS PARA EL MUNICIPIO DE MAGDALENA TEQUISISTLÁN Y SU IMPLEMENTACIÓN EN LA PLATAFORMA DIGITAL OFICIAL DE INFORMACIÓN GEOGRÁFICA ESPACIAL.</t>
  </si>
  <si>
    <t>ELABORACIÓN DE UN ATLAS DE GESTIÓN INTEGRAL DE RIESGOS PARA EL MUNICIPIO DE MAGDALENA TLACOTEPEC Y SU IMPLEMENTACIÓN EN LA PLATAFORMA DIGITAL OFICIAL DE INFORMACIÓN GEOGRÁFICA ESPACIAL.</t>
  </si>
  <si>
    <t>053 - MAGDALENA TLACOTEPEC</t>
  </si>
  <si>
    <t>0001 - MAGDALENA TLACOTEPEC</t>
  </si>
  <si>
    <t>ELABORACIÓN DE UN ATLAS DE GESTIÓN INTEGRAL DE RIESGOS PARA EL MUNICIPIO DE MIXISTLÁN DE LA REFORMA Y SU IMPLEMENTACIÓN EN LA PLATAFORMA DIGITAL OFICIAL DE INFORMACIÓN GEOGRÁFICA ESPACIAL.</t>
  </si>
  <si>
    <t>060 - MIXISTLÁN DE LA REFORMA</t>
  </si>
  <si>
    <t>0001 - MIXISTLÁN DE LA REFORMA</t>
  </si>
  <si>
    <t>ELABORACIÓN DE UN ATLAS DE GESTIÓN INTEGRAL DE RIESGOS PARA EL MUNICIPIO DE NEJAPA DE MADERO Y SU IMPLEMENTACIÓN EN LA PLATAFORMA DIGITAL OFICIAL DE INFORMACIÓN GEOGRÁFICA ESPACIAL.</t>
  </si>
  <si>
    <t>ELABORACIÓN DE UN ATLAS DE GESTIÓN INTEGRAL DE RIESGOS PARA EL MUNICIPIO DE SAN ANDRÉS SOLAGA Y SU IMPLEMENTACIÓN EN LA PLATAFORMA DIGITAL OFICIAL DE INFORMACIÓN GEOGRÁFICA ESPACIAL.</t>
  </si>
  <si>
    <t>ELABORACIÓN DE UN ATLAS DE GESTIÓN INTEGRAL DE RIESGOS PARA EL MUNICIPIO DE SAN ANDRÉS YAÁ Y SU IMPLEMENTACIÓN EN LA PLATAFORMA DIGITAL OFICIAL DE INFORMACIÓN GEOGRÁFICA ESPACIAL.</t>
  </si>
  <si>
    <t>100 - SAN ANDRÉS YAÁ</t>
  </si>
  <si>
    <t>0001 - SAN ANDRÉS YAÁ</t>
  </si>
  <si>
    <t>ELABORACIÓN DE UN ATLAS DE GESTIÓN INTEGRAL DE RIESGOS PARA EL MUNICIPIO DE SAN BALTAZAR YATZACHI EL BAJO Y SU IMPLEMENTACIÓN EN LA PLATAFORMA DIGITAL OFICIAL DE INFORMACIÓN GEOGRÁFICA ESPACIAL.</t>
  </si>
  <si>
    <t>0001 - SAN BALTAZAR YATZACHI EL BAJO</t>
  </si>
  <si>
    <t>ELABORACIÓN DE UN ATLAS DE GESTIÓN INTEGRAL DE RIESGOS PARA EL MUNICIPIO DE SAN BARTOLO COYOTEPEC Y SU IMPLEMENTACIÓN EN LA PLATAFORMA DIGITAL OFICIAL DE INFORMACIÓN GEOGRÁFICA ESPACIAL.</t>
  </si>
  <si>
    <t>ELABORACIÓN DE UN ATLAS DE GESTIÓN INTEGRAL DE RIESGOS PARA EL MUNICIPIO DE SAN CARLOS YAUTEPEC Y SU IMPLEMENTACIÓN EN LA PLATAFORMA DIGITAL OFICIAL DE INFORMACIÓN GEOGRÁFICA ESPACIAL.</t>
  </si>
  <si>
    <t>125 - SAN CARLOS YAUTEPEC</t>
  </si>
  <si>
    <t>0001 - SAN CARLOS YAUTEPEC</t>
  </si>
  <si>
    <t>ELABORACIÓN DE UN ATLAS DE GESTIÓN INTEGRAL DE RIESGOS PARA EL MUNICIPIO DE SAN CRISTÓBAL LACHIRIOAG Y SU IMPLEMENTACIÓN EN LA PLATAFORMA DIGITAL OFICIAL DE INFORMACIÓN GEOGRÁFICA ESPACIAL.</t>
  </si>
  <si>
    <t>ELABORACIÓN DE UN ATLAS DE GESTIÓN INTEGRAL DE RIESGOS PARA EL MUNICIPIO DE SAN DIONISIO DEL MAR Y SU IMPLEMENTACIÓN EN LA PLATAFORMA DIGITAL OFICIAL DE INFORMACIÓN GEOGRÁFICA ESPACIAL.</t>
  </si>
  <si>
    <t>130 - SAN DIONISIO DEL MAR</t>
  </si>
  <si>
    <t>0001 - SAN DIONISIO DEL MAR</t>
  </si>
  <si>
    <t>ELABORACIÓN DE UN ATLAS DE GESTIÓN INTEGRAL DE RIESGOS PARA EL MUNICIPIO DE SAN FRANCISCO CAJONOS Y SU IMPLEMENTACIÓN EN LA PLATAFORMA DIGITAL OFICIAL DE INFORMACIÓN GEOGRÁFICA ESPACIAL.</t>
  </si>
  <si>
    <t>138 - SAN FRANCISCO CAJONOS</t>
  </si>
  <si>
    <t>0001 - SAN FRANCISCO CAJONOS</t>
  </si>
  <si>
    <t>ELABORACIÓN DE UN ATLAS DE GESTIÓN INTEGRAL DE RIESGOS PARA EL MUNICIPIO DE SAN FRANCISCO DEL MAR Y SU IMPLEMENTACIÓN EN LA PLATAFORMA DIGITAL OFICIAL DE INFORMACIÓN GEOGRÁFICA ESPACIAL.</t>
  </si>
  <si>
    <t>0001 - SAN FRANCISCO DEL MAR PUEBLO VIEJO</t>
  </si>
  <si>
    <t>ELABORACIÓN DE UN ATLAS DE GESTIÓN INTEGRAL DE RIESGOS PARA EL MUNICIPIO DE SAN FRANCISCO IXHUATÁN Y SU IMPLEMENTACIÓN EN LA PLATAFORMA DIGITAL OFICIAL DE INFORMACIÓN GEOGRÁFICA ESPACIAL.</t>
  </si>
  <si>
    <t>ELABORACIÓN DE UN ATLAS DE GESTIÓN INTEGRAL DE RIESGOS PARA EL MUNICIPIO DE SAN ILDEFONSO VILLA ALTA Y SU IMPLEMENTACIÓN EN LA PLATAFORMA DIGITAL OFICIAL DE INFORMACIÓN GEOGRÁFICA ESPACIAL.</t>
  </si>
  <si>
    <t>0001 - SAN ILDEFONSO VILLA ALTA</t>
  </si>
  <si>
    <t>ELABORACIÓN DE UN ATLAS DE GESTIÓN INTEGRAL DE RIESGOS PARA EL MUNICIPIO DE SAN JOSÉ CHILTEPEC Y SU IMPLEMENTACIÓN EN LA PLATAFORMA DIGITAL OFICIAL DE INFORMACIÓN GEOGRÁFICA ESPACIAL.</t>
  </si>
  <si>
    <t>ELABORACIÓN DE UN ATLAS DE GESTIÓN INTEGRAL DE RIESGOS PARA EL MUNICIPIO DE CUILÁPAM DE GUERRERO Y SU IMPLEMENTACIÓN EN LA PLATAFORMA DIGITAL OFICIAL DE INFORMACIÓN GEOGRÁFICA ESPACIAL.</t>
  </si>
  <si>
    <t>ELABORACIÓN DE UN ATLAS DE GESTIÓN INTEGRAL DE RIESGOS PARA EL MUNICIPIO DE SAN JUAN JUQUILA VIJANOS Y SU IMPLEMENTACIÓN EN LA PLATAFORMA DIGITAL OFICIAL DE INFORMACIÓN GEOGRÁFICA ESPACIAL.</t>
  </si>
  <si>
    <t>ELABORACIÓN DE UN ATLAS DE GESTIÓN INTEGRAL DE RIESGOS PARA EL MUNICIPIO DE HEROICA CIUDAD DE EJUTLA DE CRESPO Y SU IMPLEMENTACIÓN EN LA PLATAFORMA DIGITAL OFICIAL DE INFORMACIÓN GEOGRÁFICA ESPACIAL.</t>
  </si>
  <si>
    <t>ELABORACIÓN DE UN ATLAS DE GESTIÓN INTEGRAL DE RIESGOS PARA EL MUNICIPIO DE SAN LORENZO CACAOTEPEC Y SU IMPLEMENTACIÓN EN LA PLATAFORMA DIGITAL OFICIAL DE INFORMACIÓN GEOGRÁFICA ESPACIAL.</t>
  </si>
  <si>
    <t>ELABORACIÓN DE UN ATLAS DE GESTIÓN INTEGRAL DE RIESGOS PARA EL MUNICIPIO DE OCOTLÁN DE MORELOS Y SU IMPLEMENTACIÓN EN LA PLATAFORMA DIGITAL OFICIAL DE INFORMACIÓN GEOGRÁFICA ESPACIAL.</t>
  </si>
  <si>
    <t>ELABORACIÓN DE UN ATLAS DE GESTIÓN INTEGRAL DE RIESGOS PARA EL MUNICIPIO DE SAN MATEO CAJONOS Y SU IMPLEMENTACIÓN EN LA PLATAFORMA DIGITAL OFICIAL DE INFORMACIÓN GEOGRÁFICA ESPACIAL.</t>
  </si>
  <si>
    <t>246 - SAN MATEO CAJONOS</t>
  </si>
  <si>
    <t>0001 - SAN MATEO CAJONOS</t>
  </si>
  <si>
    <t>ELABORACIÓN DE UN ATLAS DE GESTIÓN INTEGRAL DE RIESGOS PARA EL MUNICIPIO DE SAN MIGUEL CHIMALAPA Y SU IMPLEMENTACIÓN EN LA PLATAFORMA DIGITAL OFICIAL DE INFORMACIÓN GEOGRÁFICA ESPACIAL.</t>
  </si>
  <si>
    <t>ELABORACIÓN DE UN ATLAS DE GESTIÓN INTEGRAL DE RIESGOS PARA EL MUNICIPIO DE PUTLA VILLA DE GUERRERO Y SU IMPLEMENTACIÓN EN LA PLATAFORMA DIGITAL OFICIAL DE INFORMACIÓN GEOGRÁFICA ESPACIAL.</t>
  </si>
  <si>
    <t>ELABORACIÓN DE UN ATLAS DE GESTIÓN INTEGRAL DE RIESGOS PARA EL MUNICIPIO DE SAN MIGUEL DEL PUERTO Y SU IMPLEMENTACIÓN EN LA PLATAFORMA DIGITAL OFICIAL DE INFORMACIÓN GEOGRÁFICA ESPACIAL.</t>
  </si>
  <si>
    <t>0001 - SAN MIGUEL DEL PUERTO</t>
  </si>
  <si>
    <t>ELABORACIÓN DE UN ATLAS DE GESTIÓN INTEGRAL DE RIESGOS PARA EL MUNICIPIO DE SAN JUAN BAUTISTA TUXTEPEC Y SU IMPLEMENTACIÓN EN LA PLATAFORMA DIGITAL OFICIAL DE INFORMACIÓN GEOGRÁFICA ESPACIAL.</t>
  </si>
  <si>
    <t>ELABORACIÓN DE UN ATLAS DE GESTIÓN INTEGRAL DE RIESGOS PARA EL MUNICIPIO DE VILLA SOLA DE VEGA Y SU IMPLEMENTACIÓN EN LA PLATAFORMA DIGITAL OFICIAL DE INFORMACIÓN GEOGRÁFICA ESPACIAL.</t>
  </si>
  <si>
    <t>ELABORACIÓN DE UN ATLAS DE GESTIÓN INTEGRAL DE RIESGOS PARA EL MUNICIPIO DE SAN PEDRO MIXTEPEC -DTO. 22- Y SU IMPLEMENTACIÓN EN LA PLATAFORMA DIGITAL OFICIAL DE INFORMACIÓN GEOGRÁFICA ESPACIAL.</t>
  </si>
  <si>
    <t>0001 - SAN PEDRO MIXTEPEC DISTRITO 22</t>
  </si>
  <si>
    <t>ELABORACIÓN DE UN ATLAS DE GESTIÓN INTEGRAL DE RIESGOS PARA EL MUNICIPIO DE VILLA TALEA DE CASTRO Y SU IMPLEMENTACIÓN EN LA PLATAFORMA DIGITAL OFICIAL DE INFORMACIÓN GEOGRÁFICA ESPACIAL.</t>
  </si>
  <si>
    <t>ELABORACIÓN DE UN ATLAS DE GESTIÓN INTEGRAL DE RIESGOS PARA EL MUNICIPIO DE SAN PEDRO TOTOLÁPAM Y SU IMPLEMENTACIÓN EN LA PLATAFORMA DIGITAL OFICIAL DE INFORMACIÓN GEOGRÁFICA ESPACIAL.</t>
  </si>
  <si>
    <t>ELABORACIÓN DE UN ATLAS DE GESTIÓN INTEGRAL DE RIESGOS PARA EL MUNICIPIO DE HEROICA CIUDAD DE TLAXIACO Y SU IMPLEMENTACIÓN EN LA PLATAFORMA DIGITAL OFICIAL DE INFORMACIÓN GEOGRÁFICA ESPACIAL.</t>
  </si>
  <si>
    <t>ELABORACIÓN DE UN ATLAS DE GESTIÓN INTEGRAL DE RIESGOS PARA EL MUNICIPIO DE SAN PEDRO Y SAN PABLO AYUTLA Y SU IMPLEMENTACIÓN EN LA PLATAFORMA DIGITAL OFICIAL DE INFORMACIÓN GEOGRÁFICA ESPACIAL.</t>
  </si>
  <si>
    <t>ELABORACIÓN DE UN ATLAS DE GESTIÓN INTEGRAL DE RIESGOS PARA EL MUNICIPIO DE SANTA MARÍA TONAMECA Y SU IMPLEMENTACIÓN EN LA PLATAFORMA DIGITAL OFICIAL DE INFORMACIÓN GEOGRÁFICA ESPACIAL.</t>
  </si>
  <si>
    <t>0001 - SANTA MARÍA TONAMECA</t>
  </si>
  <si>
    <t>ELABORACIÓN DE UN ATLAS DE GESTIÓN INTEGRAL DE RIESGOS PARA EL MUNICIPIO DE SANTA CATARINA LACHATAO Y SU IMPLEMENTACIÓN EN LA PLATAFORMA DIGITAL OFICIAL DE INFORMACIÓN GEOGRÁFICA ESPACIAL.</t>
  </si>
  <si>
    <t>0001 - SANTA CATARINA LACHATAO</t>
  </si>
  <si>
    <t>ELABORACIÓN DE UN ATLAS DE GESTIÓN INTEGRAL DE RIESGOS PARA EL MUNICIPIO DE ZIMATLÁN DE ÁLVAREZ Y SU IMPLEMENTACIÓN EN LA PLATAFORMA DIGITAL OFICIAL DE INFORMACIÓN GEOGRÁFICA ESPACIAL.</t>
  </si>
  <si>
    <t>570 - ZIMATLÁN DE ÁLVAREZ</t>
  </si>
  <si>
    <t>0001 - ZIMATLÁN DE ÁLVAREZ</t>
  </si>
  <si>
    <t>ELABORACIÓN DE UN ATLAS DE GESTIÓN INTEGRAL DE RIESGOS PARA EL MUNICIPIO DE SANTA CRUZ MIXTEPEC Y SU IMPLEMENTACIÓN EN LA PLATAFORMA DIGITAL OFICIAL DE INFORMACIÓN GEOGRÁFICA ESPACIAL.</t>
  </si>
  <si>
    <t>378 - SANTA CRUZ MIXTEPEC</t>
  </si>
  <si>
    <t>0001 - SANTA CRUZ MIXTEPEC</t>
  </si>
  <si>
    <t>ELABORACIÓN DE UN ATLAS DE GESTIÓN INTEGRAL DE RIESGOS PARA EL MUNICIPIO DE SAN VICENTE LACHIXÍO Y SU IMPLEMENTACIÓN EN LA PLATAFORMA DIGITAL OFICIAL DE INFORMACIÓN GEOGRÁFICA ESPACIAL.</t>
  </si>
  <si>
    <t>ELABORACIÓN DE UN ATLAS DE GESTIÓN INTEGRAL DE RIESGOS PARA EL MUNICIPIO DE SANTA CRUZ ZENZONTEPEC Y SU IMPLEMENTACIÓN EN LA PLATAFORMA DIGITAL OFICIAL DE INFORMACIÓN GEOGRÁFICA ESPACIAL.</t>
  </si>
  <si>
    <t>ELABORACIÓN DE UN ATLAS DE GESTIÓN INTEGRAL DE RIESGOS PARA EL MUNICIPIO DE SANTO DOMINGO ARMENTA Y SU IMPLEMENTACIÓN EN LA PLATAFORMA DIGITAL OFICIAL DE INFORMACIÓN GEOGRÁFICA ESPACIAL.</t>
  </si>
  <si>
    <t>ELABORACIÓN DE UN ATLAS DE GESTIÓN INTEGRAL DE RIESGOS PARA EL MUNICIPIO DE SANTA MARÍA LA ASUNCIÓN Y SU IMPLEMENTACIÓN EN LA PLATAFORMA DIGITAL OFICIAL DE INFORMACIÓN GEOGRÁFICA ESPACIAL.</t>
  </si>
  <si>
    <t>396 - SANTA MARÍA LA ASUNCIÓN</t>
  </si>
  <si>
    <t>0001 - SANTA MARÍA LA ASUNCIÓN</t>
  </si>
  <si>
    <t>ELABORACIÓN DE UN ATLAS DE GESTIÓN INTEGRAL DE RIESGOS PARA EL MUNICIPIO DE SANTO DOMINGO ALBARRADAS Y SU IMPLEMENTACIÓN EN LA PLATAFORMA DIGITAL OFICIAL DE INFORMACIÓN GEOGRÁFICA ESPACIAL.</t>
  </si>
  <si>
    <t>506 - SANTO DOMINGO ALBARRADAS</t>
  </si>
  <si>
    <t>0001 - SANTO DOMINGO ALBARRADAS</t>
  </si>
  <si>
    <t>ELABORACIÓN DE UN ATLAS DE GESTIÓN INTEGRAL DE RIESGOS PARA EL MUNICIPIO DE SANTA MARÍA ECATEPEC Y SU IMPLEMENTACIÓN EN LA PLATAFORMA DIGITAL OFICIAL DE INFORMACIÓN GEOGRÁFICA ESPACIAL.</t>
  </si>
  <si>
    <t>410 - SANTA MARÍA ECATEPEC</t>
  </si>
  <si>
    <t>0001 - SANTA MARÍA ECATEPEC</t>
  </si>
  <si>
    <t>ELABORACIÓN DE UN ATLAS DE GESTIÓN INTEGRAL DE RIESGOS PARA EL MUNICIPIO DE SANTO DOMINGO INGENIO Y SU IMPLEMENTACIÓN EN LA PLATAFORMA DIGITAL OFICIAL DE INFORMACIÓN GEOGRÁFICA ESPACIAL.</t>
  </si>
  <si>
    <t>0001 - SANTO DOMINGO INGENIO</t>
  </si>
  <si>
    <t>ELABORACIÓN DE UN ATLAS DE GESTIÓN INTEGRAL DE RIESGOS PARA EL MUNICIPIO DE SANTIAGO TAPEXTLA Y SU IMPLEMENTACIÓN EN LA PLATAFORMA DIGITAL OFICIAL DE INFORMACIÓN GEOGRÁFICA ESPACIAL.</t>
  </si>
  <si>
    <t>ELABORACIÓN DE UN ATLAS DE GESTIÓN INTEGRAL DE RIESGOS PARA EL MUNICIPIO DE SANTA MARÍA GUELACÉ Y SU IMPLEMENTACIÓN EN LA PLATAFORMA DIGITAL OFICIAL DE INFORMACIÓN GEOGRÁFICA ESPACIAL.</t>
  </si>
  <si>
    <t>ELABORACIÓN DE UN ATLAS DE GESTIÓN INTEGRAL DE RIESGOS PARA EL MUNICIPIO DE SANTIAGO JAMILTEPEC Y SU IMPLEMENTACIÓN EN LA PLATAFORMA DIGITAL OFICIAL DE INFORMACIÓN GEOGRÁFICA ESPACIAL.</t>
  </si>
  <si>
    <t>0001 - SANTIAGO JAMILTEPEC</t>
  </si>
  <si>
    <t>ELABORACIÓN DE UN ATLAS DE GESTIÓN INTEGRAL DE RIESGOS PARA EL MUNICIPIO DE SANTA MARÍA GUIENAGATI Y SU IMPLEMENTACIÓN EN LA PLATAFORMA DIGITAL OFICIAL DE INFORMACIÓN GEOGRÁFICA ESPACIAL.</t>
  </si>
  <si>
    <t>0001 - SANTA MARÍA GUIENAGATI</t>
  </si>
  <si>
    <t>ELABORACIÓN DE UN ATLAS DE GESTIÓN INTEGRAL DE RIESGOS PARA EL MUNICIPIO DE SANTIAGO IXTAYUTLA Y SU IMPLEMENTACIÓN EN LA PLATAFORMA DIGITAL OFICIAL DE INFORMACIÓN GEOGRÁFICA ESPACIAL.</t>
  </si>
  <si>
    <t>ELABORACIÓN DE UN ATLAS DE GESTIÓN INTEGRAL DE RIESGOS PARA EL MUNICIPIO DE SANTA MARÍA HUAZOLOTITLÁN Y SU IMPLEMENTACIÓN EN LA PLATAFORMA DIGITAL OFICIAL DE INFORMACIÓN GEOGRÁFICA ESPACIAL.</t>
  </si>
  <si>
    <t>ELABORACIÓN DE UN ATLAS DE GESTIÓN INTEGRAL DE RIESGOS PARA EL MUNICIPIO DE SANTIAGO AMOLTEPEC Y SU IMPLEMENTACIÓN EN LA PLATAFORMA DIGITAL OFICIAL DE INFORMACIÓN GEOGRÁFICA ESPACIAL.</t>
  </si>
  <si>
    <t>0001 - SANTIAGO AMOLTEPEC</t>
  </si>
  <si>
    <t>ELABORACIÓN DE UN ATLAS DE GESTIÓN INTEGRAL DE RIESGOS PARA EL MUNICIPIO DE SANTA MARÍA ZANIZA Y SU IMPLEMENTACIÓN EN LA PLATAFORMA DIGITAL OFICIAL DE INFORMACIÓN GEOGRÁFICA ESPACIAL.</t>
  </si>
  <si>
    <t>ELABORACIÓN DE UN ATLAS DE GESTIÓN INTEGRAL DE RIESGOS PARA EL MUNICIPIO DE SANTA MARÍA JACATEPEC Y SU IMPLEMENTACIÓN EN LA PLATAFORMA DIGITAL OFICIAL DE INFORMACIÓN GEOGRÁFICA ESPACIAL.</t>
  </si>
  <si>
    <t>0001 - SANTA MARÍA JACATEPEC</t>
  </si>
  <si>
    <t>EQUIPAMIENTO PARA LA ELABORACIÓN DE UN ATLAS DE GESTIÓN INTEGRAL DE RIESGOS Y UN PLAN DE ORDENAMIENTO TERRITORIAL EN EL MUNICIPIO DE AYOTZINTEPEC.</t>
  </si>
  <si>
    <t>EQUIPAMIENTO PARA LA ELABORACIÓN DE UN ATLAS DE GESTIÓN INTEGRAL DE RIESGOS Y UN PLAN DE ORDENAMIENTO TERRITORIAL EN EL MUNICIPIO DE CIÉNEGA DE ZIMATLÁN.</t>
  </si>
  <si>
    <t>EQUIPAMIENTO PARA LA ELABORACIÓN DE UN ATLAS DE GESTIÓN INTEGRAL DE RIESGOS Y UN PLAN DE ORDENAMIENTO TERRITORIAL EN EL MUNICIPIO DE TAMAZULÁPAM DEL ESPÍRITU SANTO.</t>
  </si>
  <si>
    <t>EQUIPAMIENTO PARA LA ELABORACIÓN DE UN ATLAS DE GESTIÓN INTEGRAL DE RIESGOS Y UN PLAN DE ORDENAMIENTO TERRITORIAL EN EL MUNICIPIO DE GUELATAO DE JUÁREZ.</t>
  </si>
  <si>
    <t>EQUIPAMIENTO PARA LA ELABORACIÓN DE UN ATLAS DE GESTIÓN INTEGRAL DE RIESGOS Y UN PLAN DE ORDENAMIENTO TERRITORIAL EN EL MUNICIPIO DE GUEVEA DE HUMBOLDT.</t>
  </si>
  <si>
    <t>EQUIPAMIENTO PARA LA ELABORACIÓN DE UN ATLAS DE GESTIÓN INTEGRAL DE RIESGOS Y UN PLAN DE ORDENAMIENTO TERRITORIAL EN EL MUNICIPIO DE VILLA HIDALGO.</t>
  </si>
  <si>
    <t>EQUIPAMIENTO PARA LA ELABORACIÓN DE UN ATLAS DE GESTIÓN INTEGRAL DE RIESGOS Y UN PLAN DE ORDENAMIENTO TERRITORIAL EN EL MUNICIPIO DE HUAUTEPEC.</t>
  </si>
  <si>
    <t>EQUIPAMIENTO PARA LA ELABORACIÓN DE UN ATLAS DE GESTIÓN INTEGRAL DE RIESGOS Y UN PLAN DE ORDENAMIENTO TERRITORIAL EN EL MUNICIPIO DE IXTLÁN DE JUÁREZ.</t>
  </si>
  <si>
    <t>EQUIPAMIENTO PARA LA ELABORACIÓN DE UN ATLAS DE GESTIÓN INTEGRAL DE RIESGOS Y UN PLAN DE ORDENAMIENTO TERRITORIAL EN EL MUNICIPIO DE MAGDALENA TEQUISISTLÁN.</t>
  </si>
  <si>
    <t>EQUIPAMIENTO PARA LA ELABORACIÓN DE UN ATLAS DE GESTIÓN INTEGRAL DE RIESGOS Y UN PLAN DE ORDENAMIENTO TERRITORIAL EN EL MUNICIPIO DE MAGDALENA TLACOTEPEC.</t>
  </si>
  <si>
    <t>EQUIPAMIENTO PARA LA ELABORACIÓN DE UN ATLAS DE GESTIÓN INTEGRAL DE RIESGOS Y UN PLAN DE ORDENAMIENTO TERRITORIAL EN EL MUNICIPIO DE MIXISTLÁN DE LA REFORMA.</t>
  </si>
  <si>
    <t>EQUIPAMIENTO PARA LA ELABORACIÓN DE UN ATLAS DE GESTIÓN INTEGRAL DE RIESGOS Y UN PLAN DE ORDENAMIENTO TERRITORIAL EN EL MUNICIPIO DE NEJAPA DE MADERO.</t>
  </si>
  <si>
    <t>EQUIPAMIENTO PARA LA ELABORACIÓN DE UN ATLAS DE GESTIÓN INTEGRAL DE RIESGOS Y UN PLAN DE ORDENAMIENTO TERRITORIAL EN EL MUNICIPIO DE SAN ANDRÉS SOLAGA.</t>
  </si>
  <si>
    <t>EQUIPAMIENTO PARA LA ELABORACIÓN DE UN ATLAS DE GESTIÓN INTEGRAL DE RIESGOS Y UN PLAN DE ORDENAMIENTO TERRITORIAL EN EL MUNICIPIO DE SAN ANDRÉS YAÁ.</t>
  </si>
  <si>
    <t>EQUIPAMIENTO PARA LA ELABORACIÓN DE UN ATLAS DE GESTIÓN INTEGRAL DE RIESGOS Y UN PLAN DE ORDENAMIENTO TERRITORIAL EN EL MUNICIPIO DE SAN BALTAZAR YATZACHI EL BAJO.</t>
  </si>
  <si>
    <t>EQUIPAMIENTO PARA LA ELABORACIÓN DE UN ATLAS DE GESTIÓN INTEGRAL DE RIESGOS Y UN PLAN DE ORDENAMIENTO TERRITORIAL EN EL MUNICIPIO DE SAN JUAN BAUTISTA TUXTEPEC.</t>
  </si>
  <si>
    <t>EQUIPAMIENTO PARA LA ELABORACIÓN DE UN ATLAS DE GESTIÓN INTEGRAL DE RIESGOS Y UN PLAN DE ORDENAMIENTO TERRITORIAL EN EL MUNICIPIO DE SAN BARTOLO COYOTEPEC.</t>
  </si>
  <si>
    <t>EQUIPAMIENTO PARA LA ELABORACIÓN DE UN ATLAS DE GESTIÓN INTEGRAL DE RIESGOS Y UN PLAN DE ORDENAMIENTO TERRITORIAL EN EL MUNICIPIO DE SAN CARLOS YAUTEPEC.</t>
  </si>
  <si>
    <t>EQUIPAMIENTO PARA LA ELABORACIÓN DE UN ATLAS DE GESTIÓN INTEGRAL DE RIESGOS Y UN PLAN DE ORDENAMIENTO TERRITORIAL EN EL MUNICIPIO DE SAN CRISTÓBAL LACHIRIOAG.</t>
  </si>
  <si>
    <t>EQUIPAMIENTO PARA LA ELABORACIÓN DE UN ATLAS DE GESTIÓN INTEGRAL DE RIESGOS Y UN PLAN DE ORDENAMIENTO TERRITORIAL EN EL MUNICIPIO DE SAN DIONISIO DEL MAR.</t>
  </si>
  <si>
    <t>EQUIPAMIENTO PARA LA ELABORACIÓN DE UN ATLAS DE GESTIÓN INTEGRAL DE RIESGOS Y UN PLAN DE ORDENAMIENTO TERRITORIAL EN EL MUNICIPIO DE SAN FRANCISCO CAJONOS.</t>
  </si>
  <si>
    <t>EQUIPAMIENTO PARA LA ELABORACIÓN DE UN ATLAS DE GESTIÓN INTEGRAL DE RIESGOS Y UN PLAN DE ORDENAMIENTO TERRITORIAL EN EL MUNICIPIO DE SAN FRANCISCO IXHUATÁN.</t>
  </si>
  <si>
    <t>EQUIPAMIENTO PARA LA ELABORACIÓN DE UN ATLAS DE GESTIÓN INTEGRAL DE RIESGOS Y UN PLAN DE ORDENAMIENTO TERRITORIAL EN EL MUNICIPIO DE SAN ILDEFONSO VILLA ALTA.</t>
  </si>
  <si>
    <t>EQUIPAMIENTO PARA LA ELABORACIÓN DE UN ATLAS DE GESTIÓN INTEGRAL DE RIESGOS Y UN PLAN DE ORDENAMIENTO TERRITORIAL EN EL MUNICIPIO DE SAN JOSÉ CHILTEPEC.</t>
  </si>
  <si>
    <t>EQUIPAMIENTO PARA LA ELABORACIÓN DE UN ATLAS DE GESTIÓN INTEGRAL DE RIESGOS Y UN PLAN DE ORDENAMIENTO TERRITORIAL EN EL MUNICIPIO DE SAN JUAN JUQUILA VIJANOS.</t>
  </si>
  <si>
    <t>EQUIPAMIENTO PARA LA ELABORACIÓN DE UN ATLAS DE GESTIÓN INTEGRAL DE RIESGOS Y UN PLAN DE ORDENAMIENTO TERRITORIAL EN EL MUNICIPIO DE SAN LORENZO CACAOTEPEC.</t>
  </si>
  <si>
    <t>EQUIPAMIENTO PARA LA ELABORACIÓN DE UN ATLAS DE GESTIÓN INTEGRAL DE RIESGOS Y UN PLAN DE ORDENAMIENTO TERRITORIAL EN EL MUNICIPIO DE SAN MATEO CAJONOS.</t>
  </si>
  <si>
    <t>EQUIPAMIENTO PARA LA ELABORACIÓN DE UN ATLAS DE GESTIÓN INTEGRAL DE RIESGOS Y UN PLAN DE ORDENAMIENTO TERRITORIAL EN EL MUNICIPIO DE SAN MIGUEL CHIMALAPA.</t>
  </si>
  <si>
    <t>EQUIPAMIENTO PARA LA ELABORACIÓN DE UN ATLAS DE GESTIÓN INTEGRAL DE RIESGOS Y UN PLAN DE ORDENAMIENTO TERRITORIAL EN EL MUNICIPIO DE SAN MIGUEL DEL PUERTO.</t>
  </si>
  <si>
    <t>EQUIPAMIENTO PARA LA ELABORACIÓN DE UN ATLAS DE GESTIÓN INTEGRAL DE RIESGOS Y UN PLAN DE ORDENAMIENTO TERRITORIAL EN EL MUNICIPIO DE VILLA SOLA DE VEGA.</t>
  </si>
  <si>
    <t>EQUIPAMIENTO PARA LA ELABORACIÓN DE UN ATLAS DE GESTIÓN INTEGRAL DE RIESGOS Y UN PLAN DE ORDENAMIENTO TERRITORIAL EN EL MUNICIPIO DE CUILÁPAM DE GUERRERO.</t>
  </si>
  <si>
    <t>EQUIPAMIENTO PARA LA ELABORACIÓN DE UN ATLAS DE GESTIÓN INTEGRAL DE RIESGOS Y UN PLAN DE ORDENAMIENTO TERRITORIAL EN EL MUNICIPIO DE HEROICA CIUDAD DE EJUTLA DE CRESPO.</t>
  </si>
  <si>
    <t>EQUIPAMIENTO PARA LA ELABORACIÓN DE UN ATLAS DE GESTIÓN INTEGRAL DE RIESGOS Y UN PLAN DE ORDENAMIENTO TERRITORIAL EN EL MUNICIPIO DE OCOTLÁN DE MORELOS.</t>
  </si>
  <si>
    <t>EQUIPAMIENTO PARA LA ELABORACIÓN DE UN ATLAS DE GESTIÓN INTEGRAL DE RIESGOS Y UN PLAN DE ORDENAMIENTO TERRITORIAL EN EL MUNICIPIO DE PUTLA VILLA DE GUERRERO.</t>
  </si>
  <si>
    <t>EQUIPAMIENTO PARA LA ELABORACIÓN DE UN ATLAS DE GESTIÓN INTEGRAL DE RIESGOS Y UN PLAN DE ORDENAMIENTO TERRITORIAL EN EL MUNICIPIO DE VILLA TALEA DE CASTRO.</t>
  </si>
  <si>
    <t>EQUIPAMIENTO PARA LA ELABORACIÓN DE UN ATLAS DE GESTIÓN INTEGRAL DE RIESGOS Y UN PLAN DE ORDENAMIENTO TERRITORIAL EN EL MUNICIPIO DE SAN PEDRO TOTOLÁPAM.</t>
  </si>
  <si>
    <t>EQUIPAMIENTO PARA LA ELABORACIÓN DE UN ATLAS DE GESTIÓN INTEGRAL DE RIESGOS Y UN PLAN DE ORDENAMIENTO TERRITORIAL EN EL MUNICIPIO DE SAN PEDRO Y SAN PABLO AYUTLA.</t>
  </si>
  <si>
    <t>EQUIPAMIENTO PARA LA ELABORACIÓN DE UN ATLAS DE GESTIÓN INTEGRAL DE RIESGOS Y UN PLAN DE ORDENAMIENTO TERRITORIAL EN EL MUNICIPIO DE SANTA CATARINA LACHATAO.</t>
  </si>
  <si>
    <t>EQUIPAMIENTO PARA LA ELABORACIÓN DE UN ATLAS DE GESTIÓN INTEGRAL DE RIESGOS Y UN PLAN DE ORDENAMIENTO TERRITORIAL EN EL MUNICIPIO DE SANTA CRUZ MIXTEPEC.</t>
  </si>
  <si>
    <t>EQUIPAMIENTO PARA LA ELABORACIÓN DE UN ATLAS DE GESTIÓN INTEGRAL DE RIESGOS Y UN PLAN DE ORDENAMIENTO TERRITORIAL EN EL MUNICIPIO DE SANTA CRUZ ZENZONTEPEC.</t>
  </si>
  <si>
    <t>EQUIPAMIENTO PARA LA ELABORACIÓN DE UN ATLAS DE GESTIÓN INTEGRAL DE RIESGOS Y UN PLAN DE ORDENAMIENTO TERRITORIAL EN EL MUNICIPIO DE SANTA MARÍA LA ASUNCIÓN.</t>
  </si>
  <si>
    <t>EQUIPAMIENTO PARA LA ELABORACIÓN DE UN ATLAS DE GESTIÓN INTEGRAL DE RIESGOS Y UN PLAN DE ORDENAMIENTO TERRITORIAL EN EL MUNICIPIO DE SANTA MARÍA ECATEPEC.</t>
  </si>
  <si>
    <t>EQUIPAMIENTO PARA LA ELABORACIÓN DE UN ATLAS DE GESTIÓN INTEGRAL DE RIESGOS Y UN PLAN DE ORDENAMIENTO TERRITORIAL EN EL MUNICIPIO DE SANTA MARÍA GUELACÉ.</t>
  </si>
  <si>
    <t>EQUIPAMIENTO PARA LA ELABORACIÓN DE UN ATLAS DE GESTIÓN INTEGRAL DE RIESGOS Y UN PLAN DE ORDENAMIENTO TERRITORIAL EN EL MUNICIPIO DE SANTA MARÍA GUIENAGATI.</t>
  </si>
  <si>
    <t>EQUIPAMIENTO PARA LA ELABORACIÓN DE UN ATLAS DE GESTIÓN INTEGRAL DE RIESGOS Y UN PLAN DE ORDENAMIENTO TERRITORIAL EN EL MUNICIPIO DE SANTA MARÍA HUAZOLOTITLÁN.</t>
  </si>
  <si>
    <t>EQUIPAMIENTO PARA LA ELABORACIÓN DE UN ATLAS DE GESTIÓN INTEGRAL DE RIESGOS Y UN PLAN DE ORDENAMIENTO TERRITORIAL EN EL MUNICIPIO DE SANTA MARÍA JACATEPEC.</t>
  </si>
  <si>
    <t>EQUIPAMIENTO PARA LA ELABORACIÓN DE UN ATLAS DE GESTIÓN INTEGRAL DE RIESGOS Y UN PLAN DE ORDENAMIENTO TERRITORIAL EN EL MUNICIPIO DE HEROICA CIUDAD DE TLAXIACO.</t>
  </si>
  <si>
    <t>EQUIPAMIENTO PARA LA ELABORACIÓN DE UN ATLAS DE GESTIÓN INTEGRAL DE RIESGOS Y UN PLAN DE ORDENAMIENTO TERRITORIAL EN EL MUNICIPIO DE SAN PEDRO MIXTEPEC -DTO. 22 -.</t>
  </si>
  <si>
    <t>EQUIPAMIENTO PARA LA ELABORACIÓN DE UN ATLAS DE GESTIÓN INTEGRAL DE RIESGOS Y UN PLAN DE ORDENAMIENTO TERRITORIAL EN EL MUNICIPIO DE SANTA MARÍA ZANIZA.</t>
  </si>
  <si>
    <t>EQUIPAMIENTO PARA LA ELABORACIÓN DE UN ATLAS DE GESTIÓN INTEGRAL DE RIESGOS Y UN PLAN DE ORDENAMIENTO TERRITORIAL EN EL MUNICIPIO DE SANTA MARÍA TONAMECA.</t>
  </si>
  <si>
    <t>EQUIPAMIENTO PARA LA ELABORACIÓN DE UN ATLAS DE GESTIÓN INTEGRAL DE RIESGOS Y UN PLAN DE ORDENAMIENTO TERRITORIAL EN EL MUNICIPIO DE SANTIAGO AMOLTEPEC.</t>
  </si>
  <si>
    <t>EQUIPAMIENTO PARA LA ELABORACIÓN DE UN ATLAS DE GESTIÓN INTEGRAL DE RIESGOS Y UN PLAN DE ORDENAMIENTO TERRITORIAL EN EL MUNICIPIO DE ZIMATLÁN DE ÁLVAREZ.</t>
  </si>
  <si>
    <t>EQUIPAMIENTO PARA LA ELABORACIÓN DE UN ATLAS DE GESTIÓN INTEGRAL DE RIESGOS Y UN PLAN DE ORDENAMIENTO TERRITORIAL EN EL MUNICIPIO DE SANTIAGO IXTAYUTLA.</t>
  </si>
  <si>
    <t>EQUIPAMIENTO PARA LA ELABORACIÓN DE UN ATLAS DE GESTIÓN INTEGRAL DE RIESGOS Y UN PLAN DE ORDENAMIENTO TERRITORIAL EN EL MUNICIPIO DE SANTIAGO JAMILTEPEC.</t>
  </si>
  <si>
    <t>EQUIPAMIENTO PARA LA ELABORACIÓN DE UN ATLAS DE GESTIÓN INTEGRAL DE RIESGOS Y UN  PLAN DE ORDENAMIENTO TERRITORIAL EN EL  MUNICIPIO DE SANTIAGO TAPEXTLA.</t>
  </si>
  <si>
    <t>EQUIPAMIENTO PARA LA ELABORACIÓN DE UN ATLAS DE GESTIÓN INTEGRAL DE RIESGOS Y UN PLAN DE ORDENAMIENTO TERRITORIAL EN EL MUNICIPIO DE SANTO DOMINGO INGENIO.</t>
  </si>
  <si>
    <t>EQUIPAMIENTO PARA LA ELABORACIÓN DE UN ATLAS DE GESTIÓN INTEGRAL DE RIESGOS Y UN PLAN DE ORDENAMIENTO TERRITORIAL EN EL MUNICIPIO DE SANTO DOMINGO ALBARRADAS.</t>
  </si>
  <si>
    <t>EQUIPAMIENTO PARA LA ELABORACIÓN DE UN ATLAS DE GESTIÓN INTEGRAL DE RIESGOS Y UN PLAN DE ORDENAMIENTO TERRITORIAL EN EL MUNICIPIO DE SANTO DOMINGO ARMENTA.</t>
  </si>
  <si>
    <t>EQUIPAMIENTO PARA LA ELABORACIÓN DE UN ATLAS DE GESTIÓN INTEGRAL DE RIESGOS Y UN PLAN DE ORDENAMIENTO TERRITORIAL EN EL MUNICIPIO DE SAN VICENTE LACHIXÍO.</t>
  </si>
  <si>
    <t>EQUIPAMIENTO PARA LA ELABORACIÓN DE UN ATLAS DE GESTIÓN INTEGRAL DE RIESGOS Y UN PLAN DE ORDENAMIENTO TERRITORIAL EN EL  MUNICIPIO DE SAN FRANCISCO DEL MAR.</t>
  </si>
  <si>
    <t>ELABORACIÓN DE UN PLAN DE ORDENAMIENTO TERRITORIAL PARA EL MUNICIPIO DE AYOTZINTEPEC Y SU IMPLEMENTACIÓN EN LA PLATAFORMA DIGITAL OFICIAL DE INFORMACIÓN GEOGRÁFICA ESPACIAL.</t>
  </si>
  <si>
    <t>ELABORACIÓN DE UN PLAN DE ORDENAMIENTO TERRITORIAL PARA EL MUNICIPIO DE CIÉNEGA DE ZIMATLÁN Y SU IMPLEMENTACIÓN EN LA PLATAFORMA DIGITAL OFICIAL DE INFORMACIÓN GEOGRÁFICA ESPACIAL.</t>
  </si>
  <si>
    <t>ELABORACIÓN DE UN PLAN DE ORDENAMIENTO TERRITORIAL PARA EL MUNICIPIO DE TAMAZULÁPAM DEL ESPÍRITU SANTO Y SU IMPLEMENTACIÓN EN LA PLATAFORMA DIGITAL OFICIAL DE INFORMACIÓN GEOGRÁFICA ESPACIAL.</t>
  </si>
  <si>
    <t>ELABORACIÓN DE UN PLAN DE ORDENAMIENTO TERRITORIAL PARA EL MUNICIPIO DE GUELATAO DE JUÁREZ Y SU IMPLEMENTACIÓN EN LA PLATAFORMA DIGITAL OFICIAL DE INFORMACIÓN GEOGRÁFICA ESPACIAL.</t>
  </si>
  <si>
    <t>ELABORACIÓN DE UN PLAN DE ORDENAMIENTO TERRITORIAL PARA EL MUNICIPIO DE GUEVEA DE HUMBOLDT Y SU IMPLEMENTACIÓN EN LA PLATAFORMA DIGITAL OFICIAL DE INFORMACIÓN GEOGRÁFICA ESPACIAL.</t>
  </si>
  <si>
    <t>ELABORACIÓN DE UN PLAN DE ORDENAMIENTO TERRITORIAL PARA EL MUNICIPIO DE HUAUTEPEC Y SU IMPLEMENTACIÓN EN LA PLATAFORMA DIGITAL OFICIAL DE INFORMACIÓN GEOGRÁFICA ESPACIAL.</t>
  </si>
  <si>
    <t>ELABORACIÓN DE UN PLAN DE ORDENAMIENTO TERRITORIAL PARA EL MUNICIPIO DE IXTLÁN DE JUÁREZ Y SU IMPLEMENTACIÓN EN LA PLATAFORMA DIGITAL OFICIAL DE INFORMACIÓN GEOGRÁFICA ESPACIAL.</t>
  </si>
  <si>
    <t>ELABORACIÓN DE UN PLAN DE ORDENAMIENTO TERRITORIAL PARA EL MUNICIPIO DE MAGDALENA TEQUISISTLÁN Y SU IMPLEMENTACIÓN EN LA PLATAFORMA DIGITAL OFICIAL DE INFORMACIÓN GEOGRÁFICA ESPACIAL.</t>
  </si>
  <si>
    <t>ELABORACIÓN DE UN PLAN DE ORDENAMIENTO TERRITORIAL PARA EL MUNICIPIO DE MAGDALENA TLACOTEPEC Y SU IMPLEMENTACIÓN EN LA PLATAFORMA DIGITAL OFICIAL DE INFORMACIÓN GEOGRÁFICA ESPACIAL.</t>
  </si>
  <si>
    <t>ELABORACIÓN DE UN PLAN DE ORDENAMIENTO TERRITORIAL PARA EL MUNICIPIO DE MIXISTLÁN DE LA REFORMA Y SU IMPLEMENTACIÓN EN LA PLATAFORMA DIGITAL OFICIAL DE INFORMACIÓN GEOGRÁFICA ESPACIAL.</t>
  </si>
  <si>
    <t>ELABORACIÓN DE UN PLAN DE ORDENAMIENTO TERRITORIAL PARA EL MUNICIPIO DE NEJAPA DE MADERO Y SU IMPLEMENTACIÓN EN LA PLATAFORMA DIGITAL OFICIAL DE INFORMACIÓN GEOGRÁFICA ESPACIAL.</t>
  </si>
  <si>
    <t>ELABORACIÓN DE UN PLAN DE ORDENAMIENTO TERRITORIAL PARA EL MUNICIPIO DE SAN ANDRÉS SOLAGA Y SU IMPLEMENTACIÓN EN LA PLATAFORMA DIGITAL OFICIAL DE INFORMACIÓN GEOGRÁFICA ESPACIAL.</t>
  </si>
  <si>
    <t>ELABORACIÓN DE UN PLAN DE ORDENAMIENTO TERRITORIAL PARA EL MUNICIPIO DE SAN ANDRÉS YAÁ Y SU IMPLEMENTACIÓN EN LA PLATAFORMA DIGITAL OFICIAL DE INFORMACIÓN GEOGRÁFICA ESPACIAL.</t>
  </si>
  <si>
    <t>ELABORACIÓN DE UN PLAN DE ORDENAMIENTO TERRITORIAL PARA EL MUNICIPIO DE SAN BALTAZAR YATZACHI EL BAJO Y SU IMPLEMENTACIÓN EN LA PLATAFORMA DIGITAL OFICIAL DE INFORMACIÓN GEOGRÁFICA ESPACIAL.</t>
  </si>
  <si>
    <t>ELABORACIÓN DE UN PLAN DE ORDENAMIENTO TERRITORIAL PARA EL MUNICIPIO DE SAN BARTOLO COYOTEPEC Y SU IMPLEMENTACIÓN EN LA PLATAFORMA DIGITAL OFICIAL DE INFORMACIÓN GEOGRÁFICA ESPACIAL.</t>
  </si>
  <si>
    <t>ELABORACIÓN DE UN PLAN DE ORDENAMIENTO TERRITORIAL PARA EL MUNICIPIO DE SAN CARLOS YAUTEPEC Y SU IMPLEMENTACIÓN EN LA PLATAFORMA DIGITAL OFICIAL DE INFORMACIÓN GEOGRÁFICA ESPACIAL.</t>
  </si>
  <si>
    <t>ELABORACIÓN DE UN PLAN DE ORDENAMIENTO TERRITORIAL PARA EL MUNICIPIO DE SAN CRISTÓBAL LACHIRIOAG Y SU IMPLEMENTACIÓN EN LA PLATAFORMA DIGITAL OFICIAL DE INFORMACIÓN GEOGRÁFICA ESPACIAL.</t>
  </si>
  <si>
    <t>ELABORACIÓN DE UN PLAN DE ORDENAMIENTO TERRITORIAL PARA EL MUNICIPIO DE SAN DIONISIO DEL MAR Y SU IMPLEMENTACIÓN EN LA PLATAFORMA DIGITAL OFICIAL DE INFORMACIÓN GEOGRÁFICA ESPACIAL.</t>
  </si>
  <si>
    <t>ELABORACIÓN DE UN PLAN DE ORDENAMIENTO TERRITORIAL PARA EL MUNICIPIO DE SAN FRANCISCO CAJONOS Y SU IMPLEMENTACIÓN EN LA PLATAFORMA DIGITAL OFICIAL DE INFORMACIÓN GEOGRÁFICA ESPACIAL.</t>
  </si>
  <si>
    <t>ELABORACIÓN DE UN PLAN DE ORDENAMIENTO TERRITORIAL PARA EL MUNICIPIO DE SAN FRANCISCO DEL MAR Y SU IMPLEMENTACIÓN EN LA PLATAFORMA DIGITAL OFICIAL DE INFORMACIÓN GEOGRÁFICA ESPACIAL.</t>
  </si>
  <si>
    <t>ELABORACIÓN DE UN PLAN DE ORDENAMIENTO TERRITORIAL PARA EL MUNICIPIO DE SAN FRANCISCO IXHUATÁN Y SU IMPLEMENTACIÓN EN LA PLATAFORMA DIGITAL OFICIAL DE INFORMACIÓN GEOGRÁFICA ESPACIAL.</t>
  </si>
  <si>
    <t>ELABORACIÓN DE UN PLAN DE ORDENAMIENTO TERRITORIAL PARA EL MUNICIPIO DE SAN ILDEFONSO VILLA ALTA Y SU IMPLEMENTACIÓN EN LA PLATAFORMA DIGITAL OFICIAL DE INFORMACIÓN GEOGRÁFICA ESPACIAL.</t>
  </si>
  <si>
    <t>ELABORACIÓN DE UN PLAN DE ORDENAMIENTO TERRITORIAL PARA EL MUNICIPIO DE SAN JOSÉ CHILTEPEC Y SU IMPLEMENTACIÓN EN LA PLATAFORMA DIGITAL OFICIAL DE INFORMACIÓN GEOGRÁFICA ESPACIAL.</t>
  </si>
  <si>
    <t>ELABORACIÓN DE UN PLAN DE ORDENAMIENTO TERRITORIAL PARA EL MUNICIPIO DE SAN JUAN JUQUILA VIJANOS Y SU IMPLEMENTACIÓN EN LA PLATAFORMA DIGITAL OFICIAL DE INFORMACIÓN GEOGRÁFICA ESPACIAL.</t>
  </si>
  <si>
    <t>ELABORACIÓN DE UN PLAN DE ORDENAMIENTO TERRITORIAL PARA EL MUNICIPIO DE SAN LORENZO CACAOTEPEC Y SU IMPLEMENTACIÓN EN LA PLATAFORMA DIGITAL OFICIAL DE INFORMACIÓN GEOGRÁFICA ESPACIAL.</t>
  </si>
  <si>
    <t>ELABORACIÓN DE UN PLAN DE ORDENAMIENTO TERRITORIAL PARA EL MUNICIPIO DE SAN MATEO CAJONOS Y SU IMPLEMENTACIÓN EN LA PLATAFORMA DIGITAL OFICIAL DE INFORMACIÓN GEOGRÁFICA ESPACIAL.</t>
  </si>
  <si>
    <t>ELABORACIÓN DE UN PLAN DE ORDENAMIENTO TERRITORIAL PARA EL MUNICIPIO DE SAN MIGUEL CHIMALAPA Y SU IMPLEMENTACIÓN EN LA PLATAFORMA DIGITAL OFICIAL DE INFORMACIÓN GEOGRÁFICA ESPACIAL.</t>
  </si>
  <si>
    <t>ELABORACIÓN DE UN PLAN DE ORDENAMIENTO TERRITORIAL PARA EL MUNICIPIO DE SAN MIGUEL DEL PUERTO Y SU IMPLEMENTACIÓN EN LA PLATAFORMA DIGITAL OFICIAL DE INFORMACIÓN GEOGRÁFICA ESPACIAL.</t>
  </si>
  <si>
    <t>ELABORACIÓN DE UN PLAN DE ORDENAMIENTO TERRITORIAL PARA EL MUNICIPIO DE SAN PEDRO TOTOLÁPAM Y SU IMPLEMENTACIÓN EN LA PLATAFORMA DIGITAL OFICIAL DE INFORMACIÓN GEOGRÁFICA ESPACIAL.</t>
  </si>
  <si>
    <t>ELABORACIÓN DE UN PLAN DE ORDENAMIENTO TERRITORIAL PARA EL MUNICIPIO DE SAN PEDRO Y SAN PABLO AYUTLA Y SU IMPLEMENTACIÓN EN LA PLATAFORMA DIGITAL OFICIAL DE INFORMACIÓN GEOGRÁFICA ESPACIAL.</t>
  </si>
  <si>
    <t>ELABORACIÓN DE UN PLAN DE ORDENAMIENTO TERRITORIAL PARA EL MUNICIPIO DE SAN VICENTE LACHIXÍO Y SU IMPLEMENTACIÓN EN LA PLATAFORMA DIGITAL OFICIAL DE INFORMACIÓN GEOGRÁFICA ESPACIAL.</t>
  </si>
  <si>
    <t>ELABORACIÓN DE UN PLAN DE ORDENAMIENTO TERRITORIAL PARA EL MUNICIPIO DE SANTA CATARINA LACHATAO Y SU IMPLEMENTACIÓN EN LA PLATAFORMA DIGITAL OFICIAL DE INFORMACIÓN GEOGRÁFICA ESPACIAL.</t>
  </si>
  <si>
    <t>ELABORACIÓN DE UN PLAN DE ORDENAMIENTO TERRITORIAL PARA EL MUNICIPIO DE SANTA CRUZ MIXTEPEC Y SU IMPLEMENTACIÓN EN LA PLATAFORMA DIGITAL OFICIAL DE INFORMACIÓN GEOGRÁFICA ESPACIAL.</t>
  </si>
  <si>
    <t>ELABORACIÓN DE UN PLAN DE ORDENAMIENTO TERRITORIAL PARA EL MUNICIPIO DE SANTA CRUZ ZENZONTEPEC Y SU IMPLEMENTACIÓN EN LA PLATAFORMA DIGITAL OFICIAL DE INFORMACIÓN GEOGRÁFICA ESPACIAL.</t>
  </si>
  <si>
    <t>ELABORACIÓN DE UN PLAN DE ORDENAMIENTO TERRITORIAL PARA EL MUNICIPIO DE SANTA MARÍA ECATEPEC Y SU IMPLEMENTACIÓN EN LA PLATAFORMA DIGITAL OFICIAL DE INFORMACIÓN GEOGRÁFICA ESPACIAL.</t>
  </si>
  <si>
    <t>ELABORACIÓN DE UN PLAN DE ORDENAMIENTO TERRITORIAL PARA EL MUNICIPIO DE SANTA MARÍA GUELACÉ Y SU IMPLEMENTACIÓN EN LA PLATAFORMA DIGITAL OFICIAL DE INFORMACIÓN GEOGRÁFICA ESPACIAL.</t>
  </si>
  <si>
    <t>ELABORACIÓN DE UN PLAN DE ORDENAMIENTO TERRITORIAL PARA EL MUNICIPIO DE SANTA MARÍA GUIENAGATI Y SU IMPLEMENTACIÓN EN LA PLATAFORMA DIGITAL OFICIAL DE INFORMACIÓN GEOGRÁFICA ESPACIAL.</t>
  </si>
  <si>
    <t>ELABORACIÓN DE UN PLAN DE ORDENAMIENTO TERRITORIAL PARA EL MUNICIPIO DE SANTA MARÍA HUAZOLOTITLÁN Y SU IMPLEMENTACIÓN EN LA PLATAFORMA DIGITAL OFICIAL DE INFORMACIÓN GEOGRÁFICA ESPACIAL.</t>
  </si>
  <si>
    <t>ELABORACIÓN DE UN PLAN DE ORDENAMIENTO TERRITORIAL PARA EL MUNICIPIO DE SANTA MARÍA JACATEPEC Y SU IMPLEMENTACIÓN EN LA PLATAFORMA DIGITAL OFICIAL DE INFORMACIÓN GEOGRÁFICA ESPACIAL.</t>
  </si>
  <si>
    <t>ELABORACIÓN DE UN PLAN DE ORDENAMIENTO TERRITORIAL PARA EL MUNICIPIO DE SANTA MARÍA LA ASUNCIÓN Y SU IMPLEMENTACIÓN EN LA PLATAFORMA DIGITAL OFICIAL DE INFORMACIÓN GEOGRÁFICA ESPACIAL.</t>
  </si>
  <si>
    <t>ELABORACIÓN DE UN PLAN DE ORDENAMIENTO TERRITORIAL PARA EL MUNICIPIO DE SANTA MARÍA ZANIZA Y SU IMPLEMENTACIÓN EN LA PLATAFORMA DIGITAL OFICIAL DE INFORMACIÓN GEOGRÁFICA ESPACIAL.</t>
  </si>
  <si>
    <t>ELABORACIÓN DE UN PLAN DE ORDENAMIENTO TERRITORIAL PARA EL MUNICIPIO DE SANTIAGO AMOLTEPEC Y SU IMPLEMENTACIÓN EN LA PLATAFORMA DIGITAL OFICIAL DE INFORMACIÓN GEOGRÁFICA ESPACIAL.</t>
  </si>
  <si>
    <t>ELABORACIÓN DE UN PLAN DE ORDENAMIENTO TERRITORIAL PARA EL MUNICIPIO DE SANTIAGO IXTAYUTLA Y SU IMPLEMENTACIÓN EN LA PLATAFORMA DIGITAL OFICIAL DE INFORMACIÓN GEOGRÁFICA ESPACIAL.</t>
  </si>
  <si>
    <t>ELABORACIÓN DE UN PLAN DE ORDENAMIENTO TERRITORIAL PARA EL MUNICIPIO DE SANTIAGO JAMILTEPEC Y SU IMPLEMENTACIÓN EN LA PLATAFORMA DIGITAL OFICIAL DE INFORMACIÓN GEOGRÁFICA ESPACIAL.</t>
  </si>
  <si>
    <t>ELABORACIÓN DE UN PLAN DE ORDENAMIENTO TERRITORIAL PARA EL MUNICIPIO DE SANTIAGO TAPEXTLA Y SU IMPLEMENTACIÓN EN LA PLATAFORMA DIGITAL OFICIAL DE INFORMACIÓN GEOGRÁFICA ESPACIAL.</t>
  </si>
  <si>
    <t>ELABORACIÓN DE UN PLAN DE ORDENAMIENTO TERRITORIAL PARA EL MUNICIPIO DE SANTO DOMINGO ALBARRADAS Y SU IMPLEMENTACIÓN EN LA PLATAFORMA DIGITAL OFICIAL DE INFORMACIÓN GEOGRÁFICA ESPACIAL.</t>
  </si>
  <si>
    <t>ELABORACIÓN DE UN PLAN DE ORDENAMIENTO TERRITORIAL PARA EL MUNICIPIO DE SANTO DOMINGO ARMENTA Y SU IMPLEMENTACIÓN EN LA PLATAFORMA DIGITAL OFICIAL DE INFORMACIÓN GEOGRÁFICA ESPACIAL.</t>
  </si>
  <si>
    <t>ELABORACIÓN DE UN PLAN DE ORDENAMIENTO TERRITORIAL PARA EL MUNICIPIO DE SANTO DOMINGO INGENIO Y SU IMPLEMENTACIÓN EN LA PLATAFORMA DIGITAL OFICIAL DE INFORMACIÓN GEOGRÁFICA ESPACIAL.</t>
  </si>
  <si>
    <t>ELABORACIÓN DE UN PLAN DE ORDENAMIENTO TERRITORIAL PARA EL MUNICIPIO DE VILLA HIDALGO Y SU IMPLEMENTACIÓN EN LA PLATAFORMA DIGITAL OFICIAL DE INFORMACIÓN GEOGRÁFICA ESPACIAL.</t>
  </si>
  <si>
    <t>ELABORACIÓN DE UN PLAN DE ORDENAMIENTO TERRITORIAL PARA EL MUNICIPIO DE VILLA SOLA DE VEGA Y SU IMPLEMENTACIÓN EN LA PLATAFORMA DIGITAL OFICIAL DE INFORMACIÓN GEOGRÁFICA ESPACIAL.</t>
  </si>
  <si>
    <t>ELABORACIÓN DE UN PLAN DE ORDENAMIENTO TERRITORIAL PARA EL MUNICIPIO DE VILLA TALEA DE CASTRO Y SU IMPLEMENTACIÓN EN LA PLATAFORMA DIGITAL OFICIAL DE INFORMACIÓN GEOGRÁFICA ESPACIAL.</t>
  </si>
  <si>
    <t>ELABORACIÓN DE UN PLAN DE ORDENAMIENTO TERRITORIAL PARA EL MUNICIPIO DE CUILÁPAM DE GUERRERO Y SU IMPLEMENTACIÓN EN LA PLATAFORMA DIGITAL OFICIAL DE INFORMACIÓN GEOGRÁFICA ESPACIAL.</t>
  </si>
  <si>
    <t>ELABORACIÓN DE UN PLAN DE ORDENAMIENTO TERRITORIAL PARA EL MUNICIPIO DE HEROICA CIUDAD DE EJUTLA DE CRESPO Y SU IMPLEMENTACIÓN EN LA PLATAFORMA DIGITAL OFICIAL DE INFORMACIÓN GEOGRÁFICA ESPACIAL.</t>
  </si>
  <si>
    <t>ELABORACIÓN DE UN PLAN DE ORDENAMIENTO TERRITORIAL PARA EL MUNICIPIO DE HEROICA CIUDAD DE TLAXIACO Y SU IMPLEMENTACIÓN EN LA PLATAFORMA DIGITAL OFICIAL DE INFORMACIÓN GEOGRÁFICA ESPACIAL.</t>
  </si>
  <si>
    <t>ELABORACIÓN DE UN PLAN DE ORDENAMIENTO TERRITORIAL PARA EL MUNICIPIO DE OCOTLÁN DE MORELOS Y SU IMPLEMENTACIÓN EN LA PLATAFORMA DIGITAL OFICIAL DE INFORMACIÓN GEOGRÁFICA ESPACIAL.</t>
  </si>
  <si>
    <t>ELABORACIÓN DE UN PLAN DE ORDENAMIENTO TERRITORIAL PARA EL MUNICIPIO DE PUTLA VILLA DE GUERRERO Y SU IMPLEMENTACIÓN EN LA PLATAFORMA DIGITAL OFICIAL DE INFORMACIÓN GEOGRÁFICA ESPACIAL.</t>
  </si>
  <si>
    <t>ELABORACIÓN DE UN PLAN DE ORDENAMIENTO TERRITORIAL PARA EL MUNICIPIO DE SAN PEDRO MIXTEPEC 22 Y SU IMPLEMENTACIÓN EN LA PLATAFORMA DIGITAL OFICIAL DE INFORMACIÓN GEOGRÁFICA ESPACIAL.</t>
  </si>
  <si>
    <t>ELABORACIÓN DE UN PLAN DE ORDENAMIENTO TERRITORIAL PARA EL MUNICIPIO DE SANTA MARÍA TONAMECA Y SU IMPLEMENTACIÓN EN LA PLATAFORMA DIGITAL OFICIAL DE INFORMACIÓN GEOGRÁFICA ESPACIAL.</t>
  </si>
  <si>
    <t>ELABORACIÓN DE UN PLAN DE ORDENAMIENTO TERRITORIAL PARA EL MUNICIPIO DE ZIMATLÁN DE ÁLVAREZ Y SU IMPLEMENTACIÓN EN LA PLATAFORMA DIGITAL OFICIAL DE INFORMACIÓN GEOGRÁFICA ESPACIAL.</t>
  </si>
  <si>
    <t>ELABORACIÓN DE UN PLAN DE ORDENAMIENTO TERRITORIAL PARA EL MUNICIPIO DE SAN JUAN BAUTISTA TUXTEPEC Y SU IMPLEMENTACIÓN EN LA PLATAFORMA DIGITAL OFICIAL DE INFORMACIÓN GEOGRÁFICA ESPACIAL.</t>
  </si>
  <si>
    <t>EQUIPAMIENTO TECNOLÓGICO DE INSTANCIAS PARA EL USO DE LA PLATAFORMA DIGITAL OFICIAL DE INFORMACIÓN GEOGRÁFICA EN MATERIA DE GESTIÓN INTEGRAL DE RIESGOS Y ORDENAMIENTO TERRITORIAL DEL ESTADO DE OAXACA.</t>
  </si>
  <si>
    <t>REHABILITACIÓN DE ESPACIO PÚBLICO MULTIDEPORTIVO EN LA LOCALIDAD DE GUELATAO DE JUÁREZ, MUNICIPIO DE GUELATAO DE JUÁREZ</t>
  </si>
  <si>
    <t>CONSTRUCCIÓN DE ALUMBRADO PÚBLICO SOLAR SUSTENTABLE EN VARIAS CALLES DE LA LOCALIDAD MIGUEL HIDALGO, MUNICIPIO DE SANTO TOMÁS OCOTEPEC</t>
  </si>
  <si>
    <t>AMPLIACIÓN DE LA RED DE DISTRIBUCIÓN DE ENERGÍA ELÉCTRICA EN AVENIDA NACIONAL DE LA LOCALIDAD DE TIERRA AZUL, MUNICIPIO DE SANTA MARÍA YUCUHITI</t>
  </si>
  <si>
    <t>0042 - TIERRA AZUL</t>
  </si>
  <si>
    <t>CONSTRUCCIÓN DE AULA EN ESCUELA PRIMARIA "BENITO JUÁREZ" CON CLAVE ESCOLAR: 20DPB0559D, EN LA LOCALIDAD DE SANTO TOMÁS OCOTEPEC, MUNICIPIO DE SANTO TOMÁS OCOTEPEC.</t>
  </si>
  <si>
    <t>0001 - SANTO TOMÁS OCOTEPEC</t>
  </si>
  <si>
    <t>AMPLIACIÓN DE ALUMBRADO PÚBLICO SOLAR SUSTENTABLE EN VARIAS CALLES DE LA LOCALIDAD DE NUNUMA, MUNICIPIO DE SANTO TOMÁS OCOTEPEC</t>
  </si>
  <si>
    <t>CONSTRUCCIÓN DE TECHADO EN ÁREA DE IMPARTICIÓN DE EDUCACIÓN FÍSICA EN ESCUELA PRIMARIA "MIGUEL HIDALGO" CON CLAVE ESCOLAR: 20DPR1823U, EN LA LOCALIDAD DE ELOXOCHITLÁN DE FLORES MAGÓN, MUNICIPIO ELOXOCHITLÁN DE FLORES MAGÓN.</t>
  </si>
  <si>
    <t>0001 - ELOXOCHITLÁN DE FLORES MAGÓN</t>
  </si>
  <si>
    <t>CONSTRUCCIÓN DE TECHADO EN ESPACIO PÚBLICO MULTIDEPORTIVO Y BIENES PÚBLICOS EN LA LOCALIDAD DE SAN JERÓNIMO SOSOLA, MUNICIPIO DE SAN JERÓNIMO SOSOLA</t>
  </si>
  <si>
    <t>0001 - SAN JERÓNIMO SOSOLA</t>
  </si>
  <si>
    <t>CONSTRUCCIÓN DE AULA EN ESCUELA TELESECUNDARIA CON CLAVE ESCOLAR: 20DTV0271B, EN LA LOCALIDAD EL PORTILLO MATAGALLINA, MUNICIPIO SAN PEDRO Y SAN PABLO AYUTLA.</t>
  </si>
  <si>
    <t>CONSTRUCCIÓN DE PAVIMENTO CON CONCRETO HIDRÁULICO EN LA CALLE INSURGENTES Y CALLE SIN NOMBRE, EN LA LOCALIDAD DE SANTA MARÍA NATIVITAS, MUNICIPIO DE SANTA MARÍA NATIVITAS</t>
  </si>
  <si>
    <t>0001 - SANTA MARÍA NATIVITAS</t>
  </si>
  <si>
    <t>CONSTRUCCIÓN DE TECHADO EN ÁREA DE IMPARTICIÓN DE EDUCACIÓN FÍSICA EN ESCUELA PRIMARIA "ENRIQUE C. REBSAMEN" CON CLAVE ESCOLAR: 20DPB0018I, EN LA LOCALIDAD DE TECOMALTIANGUISCO, MUNICIPIO CONCEPCIÓN PÁPALO.</t>
  </si>
  <si>
    <t>0006 - TECOMALTIANGUISCO</t>
  </si>
  <si>
    <t>CONSTRUCCIÓN DE AULA EN ESCUELA PRIMARIA "VICENTE GUERRERO" CON CLAVE ESCOLAR: 20DPB1663W, EN LA LOCALIDAD DE SAN CRISTÓBAL AMATLÁN, MUNICIPIO SAN CRISTÓBAL AMATLÁN.</t>
  </si>
  <si>
    <t>CONSTRUCCIÓN DE PISO FIRME PARA EL MEJORAMIENTO DE LA VIVIENDA, EN LA LOCALIDAD SANTO TOMÁS TAMAZULAPAN, MUNICIPIO SANTO TOMÁS TAMAZULAPAN.</t>
  </si>
  <si>
    <t>0001 - SANTO TOMÁS TAMAZULAPAN</t>
  </si>
  <si>
    <t>CONSTRUCCIÓN DE AULA EN ESCUELA TELESECUNDARIA CON CLAVE ESCOLAR: 20DTV0674V, EN LA LOCALIDAD DE SAN BARTOLOMÉ AYAUTLA, MUNICIPIO SAN BARTOLOMÉ AYAUTLA.</t>
  </si>
  <si>
    <t>CONSTRUCCIÓN DE CUARTO DORMITORIO PARA EL MEJORAMIENTO DE LA VIVIENDA, EN LA LOCALIDAD COLONIA SANTA CECILIA ITAYUYU, MUNICIPIO SANTIAGO JUXTLAHUACA.</t>
  </si>
  <si>
    <t>0118 - COLONIA SANTA CECILIA ITAYUYU</t>
  </si>
  <si>
    <t>CONSTRUCCIÓN DE UN AULA EN ESCUELA PRIMARIA "NARCISO MENDOZA" CON CLAVE ESCOLAR: 20DPB1815K, EN LA LOCALIDAD DE SAN CRISTÓBAL AMATLÁN, MUNICIPIO SAN CRISTÓBAL AMATLÁN.</t>
  </si>
  <si>
    <t>CONSTRUCCIÓN DE AULA EN ESCUELA PRIMARIA "EMILIANO ZAPATA" CON CLAVE ESCOLAR: 20DPR2707K, EN LA LOCALIDAD DE BARRIO ZANIZA, MUNICIPIO SAN ILDEFONSO SOLA.</t>
  </si>
  <si>
    <t>CONSTRUCCIÓN DE CUARTO DORMITORIO PARA EL MEJORAMIENTO DE LA VIVIENDA, EN LA LOCALIDAD ZIMATLÁN DE ÁLVAREZ, MUNICIPIO ZIMATLÁN DE ÁLVAREZ.</t>
  </si>
  <si>
    <t>CONSTRUCCIÓN DE CUARTO DORMITORIO PARA EL MEJORAMIENTO DE LA VIVIENDA, EN LA LOCALIDAD SANTA MARÍA VIGALLO, MUNICIPIO ZIMATLÁN DE ÁLVAREZ.</t>
  </si>
  <si>
    <t>0008 - SANTA MARÍA VIGALLO</t>
  </si>
  <si>
    <t>CONSTRUCCIÓN DE TECHADO EN ÁREA DE IMPARTICIÓN DE EDUCACIÓN FÍSICA EN IEBO NÚM. 47 CON CLAVE ESCOLAR: 20ETH0048I, EN LA LOCALIDAD DE SAN LORENZO, MUNICIPIO SAN JUAN LALANA.</t>
  </si>
  <si>
    <t>0019 - SAN LORENZO</t>
  </si>
  <si>
    <t>CONSTRUCCIÓN DE AULAS EN TEBCEO NÚM.63 CON CLAVE ESCOLAR: 20ETK0063O, EN LA LOCALIDAD DE SAN FRANCISCO YOVEGO, MUNICIPIO DE SANTIAGO CAMOTLÁN.</t>
  </si>
  <si>
    <t>CONSTRUCCION DE TECHADO EN ÁREA DE IMPARTICIÓN DE EDUCACIÓN FÍSICA EN ESCUELA SECUNDARIA GENERAL "MACEDONIO ALCALÁ" CON CLAVE ESCOLAR: 20DES0071Y, EN LALOCALIDAD DE SANTIAGO IHUITLÁN PLUMAS, MUNICIPIO SANTIAGO IHUITLÁN PLUMAS.</t>
  </si>
  <si>
    <t>0001 - SANTIAGO IHUITLÁN PLUMAS</t>
  </si>
  <si>
    <t>CONSTRUCCIÓN DE AULA EN JARDÍN DE NIÑOS "AGUSTÍN MELGAR" CON CLAVE ESCOLAR: 20DCC2191Z, EN LA LOCALIDAD DE RANCHO SAN FELIPE, MUNICIPIO SANTIAGO MATATLÁN.</t>
  </si>
  <si>
    <t>0004 - RANCHO SAN FELIPE</t>
  </si>
  <si>
    <t>CONSTRUCCIÓN DE AULA EN ESCUELA SECUNDARIA TÉCNICA NÚM. 155 CON CLAVE ESCOLAR: 20DST0170Q, EN LA LOCALIDAD DE SAN FRANCISCO TLAPANCINGO, MUNICIPIO SAN FRANCISCO TLAPANCINGO.</t>
  </si>
  <si>
    <t>0001 - SAN FRANCISCO TLAPANCINGO</t>
  </si>
  <si>
    <t>CONSTRUCCIÓN DE AULA EN PRIMARIA "5 DE FEBRERO" CON CLAVE ESCOLAR: 20DPR2285T, EN LA LOCALIDAD SAN MIGUEL YOTAO, MUNICIPIO SAN MIGUEL YOTAO</t>
  </si>
  <si>
    <t>0001 - SAN MIGUEL YOTAO</t>
  </si>
  <si>
    <t>CONSTRUCCIÓN DE AULA EN CAM NÚM. 61 CON CLAVE ESCOLAR: 20DML0061G, EN LA LOCALIDAD DE SAN JUAN TEITIPAC, MUNICIPIO SAN JUAN TEITIPAC.</t>
  </si>
  <si>
    <t>CONSTRUCCIÓN DE COMEDOR ESCOLAR EN JARDÍN DE NIÑOS "JUANA DE ASBAJE" CON CLAVE ESCOLAR: 20DCC0610F, EN LA LOCALIDAD SAN ANDRÉS YUTATÍO, MUNICIPIO HEROICA VILLA TEZOATLÁN DE SEGURA Y LUNA, CUNA DE LA INDEPENDENCIA DE OAXACA</t>
  </si>
  <si>
    <t>0008 - SAN ANDRÉS YUTATÍO</t>
  </si>
  <si>
    <t>CONSTRUCCIÓN DE UN AULA EN TEBCEO NÚM. 23 CON CLAVE ESCOLAR: 20ETK0023N, EN LA LOCALIDAD DE SANTO DOMINGO DEL RÍO, MUNICIPIO SAN PEDRO TEUTILA.</t>
  </si>
  <si>
    <t>CONSTRUCCIÓN DE AULA EN ESCUELA PRIMARIA "CONGREGACIÓN" CON CLAVE ESCOLAR: 20DPR1350W, EN LA LOCALIDAD DE EL ROSARIO, MUNICIPIO DE SANTIAGO TETEPEC.</t>
  </si>
  <si>
    <t>0009 - EL ROSARIO</t>
  </si>
  <si>
    <t>CONSTRUCCIÓN DE AULA EN PRIMARIA "MARGARITA MAZA DE JUÁREZ" CON CLAVE ESCOLAR: 20DPR2090G, EN LA LOCALIDAD CHIDOCO, MUNICIPIO SAN MIGUEL PIEDRAS</t>
  </si>
  <si>
    <t>CONSTRUCCIÓN DE COMEDOR ESCOLAR EN ESCUELA PRIMARIA "VICENTE GUERRERO" CON CLAVE ESCOLAR: 20DPR1446I, EN LA LOCALIDAD DE SANTA CECILIA JALIEZA, MUNICIPIO DE SANTO TOMÁS JALIEZA.</t>
  </si>
  <si>
    <t>CONSTRUCCIÓN DE CENTRO DE SALUD URBANO DE 01 NÚCLEO BÁSICO EN LA LOCALIDAD DE SAN JERÓNIMO TLACOCHAHUAYA</t>
  </si>
  <si>
    <t>CONSTRUCCIÓN DE AULA EN TEBCEO NÚM. 78 CON CLAVE ESCOLAR: 20ETK0078Q, EN LA LOCALIDAD DE YUCUQUIMI DE OCAMPO, MUNICIPIO HEROICA VILLA TEZOATLÁN DE SEGURA Y LUNA, CUNA DE LA INDEPENDENCIA DE OAXACA</t>
  </si>
  <si>
    <t>CONSTRUCCIÓN DE AULA EN ESCUELA PRIMARIA "AMADO NERVO" CON CLAVE ESCOLAR: 20DPR3053J, EN LA LOCALIDAD DE SANTIAGO TAMAZOLA, MUNICIPIO DE SANTIAGO TAMAZOLA.</t>
  </si>
  <si>
    <t>CONSTRUCCIÓN DE AULA EN TEBCEO NÚM. 9 CON CLAVE ESCOLAR: 20ETK0009U, EN LA LOCALIDAD DE SANTO DOMINGO JALIEZA, MUNICIPIO DE SANTO TOMÁS JALIEZA.</t>
  </si>
  <si>
    <t>0004 - SANTO DOMINGO JALIEZA</t>
  </si>
  <si>
    <t>CONSTRUCCIÓN DE AULA EN ESCUELA TELESECUNDARIA CON CLAVE ESCOLAR: 20DTV0363S, EN LA LOCALIDAD DE SANTO DOMINGO JALIEZA, MUNICIPIO DE SANTO TOMÁS JALIEZA.</t>
  </si>
  <si>
    <t>REHABILITACIÓN DE LA CARRETERA CON CONCRETO ASFÁLTICO DE SANTA CRUZ XITLA - MIAHUATLÁN DE PORFIRIO DÍAZ, TRAMO DEL KM 0+000 AL KM 6+650, SUBTRAMO DEL KM 1+870 AL KM 6+650, EN LOS MUNICIPIOS DE SANTA CRUZ XITLA Y MIAHUATLÁN DE PORFIRIO DIAZ</t>
  </si>
  <si>
    <t xml:space="preserve">-96.660994 </t>
  </si>
  <si>
    <t>CONSTRUCCIÓN DE LA CARRETERA CON CONCRETO HIDRÁULICO A EL OCOTILLO, PLAN DE AIRE, TRAMO DEL KM 0+000 AL KM 7+400, SUBTRAMO DEL KM 0+000 AL KM 0+800, EN EL MUNICIPIO DE TATALTEPEC DE VALDÉS</t>
  </si>
  <si>
    <t>0001 - TATALTEPEC DE VALDÉS</t>
  </si>
  <si>
    <t>REHABILITACIÓN DE LA CARRETERA CON CONCRETO ASFÁLTICO A SANTA CRUZ RÍO VENADO, TRAMO DEL KM 0+000 AL KM 8+300, SUBTRAMO DEL KM 4+000 AL KM 8+300, EN LOS MUNICIPIOS DE CONSTANCIA DEL ROSARIO Y SANTIAGO JUXTLAHUACA</t>
  </si>
  <si>
    <t>020 - CONSTANCIA DEL ROSARIO</t>
  </si>
  <si>
    <t>0001 - CONSTANCIA DEL ROSARIO</t>
  </si>
  <si>
    <t>CONSTRUCCIÓN DE LA CARRETERA PRINCIPAL CON CONCRETO HIDRÁULICO DE SANTA CATARINA YAHUÍO - SANTIAGO LAXOPA, TRAMO DEL KM 0+000 AL KM 2+600, SUBTRAMO DEL KM 0+000 AL KM 0+700, EN EL MUNICIPIO DE SANTIAGO LAXOPA</t>
  </si>
  <si>
    <t>473 - SANTIAGO LAXOPA</t>
  </si>
  <si>
    <t>0003 - SANTA CATARINA YAHUÍO</t>
  </si>
  <si>
    <t>REHABILITACIÓN CON CONCRETO ASFÁLTICO DE LA CARRETERA SIN NOMBRE DE LA LUZ LLANO DE NOPAL - SAN JOSÉ YOSOCAÑU, TRAMO DEL KM 0+000 AL KM 19+100, SUBTRAMO DEL KM 13+180 AL KM 14+180, EN LOS MUNICIPIOS DE SANTIAGO JUXTLAHUACA Y CONSTANCIA DEL ROSARIO</t>
  </si>
  <si>
    <t>0007 - CERRO DEL PÁJARO</t>
  </si>
  <si>
    <t>CONSTRUCCIÓN DE LA CARRETERA SIN NOMBRE CON CONCRETO HIDRÁULICO YUTANICANI - RANCHO VIEJO, TRAMO DEL KM 0+000 AL KM 9+300, SUBTRAMO DEL KM 0+000 AL KM 0+700, EN EL MUNICIPIO DE SANTA MARÍA HUAZOLOTITLÁN</t>
  </si>
  <si>
    <t>0011 - YUTANICANI</t>
  </si>
  <si>
    <t>EQUIPAMIENTO PARA LABORATORIOS DEL TECNOLÓGICO DEL VALLE DE OAXACA</t>
  </si>
  <si>
    <t>CONSTRUCCIÓN DE CUARTO PARA COCINA PARA EL MEJORAMIENTO DE LA VIVIENDA, EN LA LOCALIDAD SANTA ANA NË'ÄM, MUNICIPIO SANTA MARÍA TLAHUITOLTEPEC.</t>
  </si>
  <si>
    <t>0011 - SANTA ANA NË'ÄM</t>
  </si>
  <si>
    <t>EQUIPAMIENTO PARA FOMENTO PRODUCTIVO Y DEL SISTEMA DE RIEGO (POSTA)</t>
  </si>
  <si>
    <t>EQUIPAMIENTO PARA IEBO NÚM. 15 CON CLAVE ESCOLAR: 20ETH0015R, EN LA LOCALIDAD DE SAN FRANCISCO DEL MAR, MUNICIPIO DE SAN FRANCISCO DEL MAR</t>
  </si>
  <si>
    <t>EQUIPAMIENTO PARA IEBO NÚM. 86 CON CLAVE ESCOLAR: 20ETH0086L, EN LA LOCALIDAD DE SANTA MARÍA XADANI, MUNICIPIO DE SANTA MARÍA XADANI</t>
  </si>
  <si>
    <t>441 - SANTA MARÍA XADANI</t>
  </si>
  <si>
    <t>0001 - SANTA MARÍA XADANI</t>
  </si>
  <si>
    <t>EQUIPAMIENTO PARA IEBO NÚM. 102 CON CLAVE ESCOLAR: 20ETH0009G, EN LA LOCALIDAD DE SANTA MARÍA MIXTEQUILLA, MUNICIPIO DE SANTA MARÍA MIXTEQUILLA</t>
  </si>
  <si>
    <t>421 - SANTA MARÍA MIXTEQUILLA</t>
  </si>
  <si>
    <t>0001 - SANTA MARÍA MIXTEQUILLA</t>
  </si>
  <si>
    <t>EQUIPAMIENTO PARA IEBO NÚM. 132 CON CLAVE ESCOLAR: 20ETH0132G, EN LA LOCALIDAD DE SAN CRISTÓBAL AMATLÁN, MUNICIPIO DE SAN CRISTÓBAL AMATLÁN</t>
  </si>
  <si>
    <t>EQUIPAMIENTO PARA IEBO NÚM. 224 CON CLAVE ESCOLAR: 20ETH0226V, EN LA LOCALIDAD DE LA IHUALEJA, MUNICIPIO DE MAZATLÁN VILLA DE FLORES</t>
  </si>
  <si>
    <t>EQUIPAMIENTO PARA IEBO NÚM. 225 CON CLAVE ESCOLAR: 20ETH0227U, EN LA LOCALIDAD DE SAN FELIPE TEJALÁPAM, MUNICIPIO DE SAN FELIPE TEJALÁPAM</t>
  </si>
  <si>
    <t>EQUIPAMIENTO PARA IEBO NÚM. 07 CON CLAVE ESCOLAR: 20ETH0007I, EN LA LOCALIDAD DE SANTO DOMINGO TEOJOMULCO, MUNICIPIO DE SANTO DOMINGO TEOJOMULCO</t>
  </si>
  <si>
    <t>EQUIPAMIENTO PARA IEBO NÚM. 55 CON CLAVE ESCOLAR: 20ETH0056R, EN LA LOCALIDAD DE TEMBLADERAS DEL CASTILLO, MUNICIPIO DE ACATLÁN DE PÉREZ FIGUEROA</t>
  </si>
  <si>
    <t>002 - ACATLÁN DE PÉREZ FIGUEROA</t>
  </si>
  <si>
    <t>0033 - TEMBLADERA DEL CASTILLO</t>
  </si>
  <si>
    <t>EQUIPAMIENTO PARA IEBO NÚM. 234 CON CLAVE ESCOLAR: 20ETH0236B, EN LA LOCALIDAD DE SAN JOSÉ RÍO VERDE (LA BOQUILLA), MUNICIPIO DE SANTIAGO JAMILTEPEC</t>
  </si>
  <si>
    <t>0019 - SAN JOSÉ RÍO VERDE (LA BOQUILLA)</t>
  </si>
  <si>
    <t>EQUIPAMIENTO PARA IEBO NÚM. 03 CON CLAVE ESCOLAR: 20ETH0003M, EN LA LOCALIDAD DE SAN PEDRO IXTLAHUACA, MUNICIPIO DE SAN PEDRO IXTLAHUACA</t>
  </si>
  <si>
    <t>EQUIPAMIENTO PARA IEBO NÚM. 01 CON CLAVE ESCOLAR: 20ETH0001O, EN LA LOCALIDAD DE COSOLAPA, MUNICIPIO DE COSOLAPA</t>
  </si>
  <si>
    <t>EQUIPAMIENTO PARA IEBO NÚM. 137 CON CLAVE ESCOLAR: 20ETH0137B, EN LA LOCALIDAD DE SANTA MARÍA JACATEPEC, MUNICIPIO DE SANTA MARÍA JACATEPEC</t>
  </si>
  <si>
    <t>EQUIPAMIENTO PARA IEBO NÚM. 66 CON CLAVE ESCOLAR: 20ETH0067X, EN LA LOCALIDAD DE PASO NUEVO LA HAMACA, MUNICIPIO DE SAN JUAN BAUTISTA VALLE NACIONAL</t>
  </si>
  <si>
    <t>0021 - PASO NUEVO LA HAMACA</t>
  </si>
  <si>
    <t>EQUIPAMIENTO PARA IEBO NÚM. 164 CON CLAVE ESCOLAR: 20ETH0164Z, EN LA LOCALIDAD DE LA SOLEDAD SALINAS, MUNICIPIO DE SAN PEDRO QUIATONI</t>
  </si>
  <si>
    <t>0039 - LA SOLEDAD SALINAS</t>
  </si>
  <si>
    <t>EQUIPAMIENTO PARA IEBO NÚM. 149 CON CLAVE ESCOLAR: 20ETH0149G, EN LA LOCALIDAD DE SALINAS DEL MARQUÉS, MUNICIPIO DE SALINA CRUZ</t>
  </si>
  <si>
    <t>0003 - SALINAS DEL MARQUÉS</t>
  </si>
  <si>
    <t>EQUIPAMIENTO PARA IEBO NÚM. 121 CON CLAVE ESCOLAR: 20ETH0121A, EN LA LOCALIDAD DE SAN MIGUEL TILQUIÁPAM, MUNICIPIO DE SAN MIGUEL TILQUIÁPAM</t>
  </si>
  <si>
    <t>284 - SAN MIGUEL TILQUIÁPAM</t>
  </si>
  <si>
    <t>0001 - SAN MIGUEL TILQUIÁPAM</t>
  </si>
  <si>
    <t>EQUIPAMIENTO PARA IEBO NÚM. 25 CON CLAVE ESCOLAR: 20ETH0025Y, EN LA LOCALIDAD DE SAN BERNARDO MIXTEPEC, MUNICIPIO DE SAN BERNARDO MIXTEPEC</t>
  </si>
  <si>
    <t>123 - SAN BERNARDO MIXTEPEC</t>
  </si>
  <si>
    <t>0001 - SAN BERNARDO MIXTEPEC</t>
  </si>
  <si>
    <t>EQUIPAMIENTO PARA IEBO NÚM. 108 CON CLAVE ESCOLAR: 20ETH0108G, EN LA LOCALIDAD DE CHIQUIHUITLÁN DE BENITO JUÁREZ, MUNICIPIO DE CHIQUIHUITLÁN DE BENITO JUÁREZ</t>
  </si>
  <si>
    <t>EQUIPAMIENTO PARA IEBO NÚM. 119 CON CLAVE ESCOLAR: 20ETH0119M, EN LA LOCALIDAD DE SAN JUAN TEITIPAC, MUNICIPIO DE SAN JUAN TEITIPAC</t>
  </si>
  <si>
    <t>EQUIPAMIENTO PARA IEBO NÚM. 153 CON CLAVE ESCOLAR: 20ETH0153T, EN LA LOCALIDAD DE SAN JOSÉ ESTANCIA GRANDE, MUNICIPIO DE SAN JOSÉ ESTANCIA GRANDE</t>
  </si>
  <si>
    <t>0001 - SAN JOSÉ ESTANCIA GRANDE</t>
  </si>
  <si>
    <t>EQUIPAMIENTO PARA IEBO NÚM. 13 CON CLAVE ESCOLAR: 20ETH0013T, EN LA LOCALIDAD DE LAS MARGARITAS, MUNICIPIO DE SAN MIGUEL SOYALTEPEC</t>
  </si>
  <si>
    <t>EQUIPAMIENTO PARA IEBO NÚM. 154 CON CLAVE ESCOLAR: 20ETH0154S, EN LA LOCALIDAD DE SANTO DOMINGO ARMENTA, MUNICIPIO DE SANTO DOMINGO ARMENTA</t>
  </si>
  <si>
    <t>EQUIPAMIENTO PARA IEBO NÚM. 217 CON CLAVE ESCOLAR: 20ETH0217N, EN LA LOCALIDAD DE ARROYO CHICAL, MUNICIPIO DE SAN MIGUEL SOYALTEPEC</t>
  </si>
  <si>
    <t>REPARACIONES GENERALES EN ESCUELA SECUNDARIA TÉCNICA NÚM. 77 CON CLAVE ESCOLAR: 20DST0072P, EN LA LOCALIDAD HEROICA VILLA TEZOATLÁN DE SEGURA Y LUNA, CUNA DE LA INDEPENDENCIA DE OAXACA, MUNICIPIO HEROICA VILLA TEZOATLÁN DE SEGURA Y LUNA, CUNA DE LA INDEPENDENCIA DE OAXACA</t>
  </si>
  <si>
    <t>CONSTRUCCIÓN DE AULA EN ESCUELA SECUNDARIA TÉCNICA NÚM. 105 CON CLAVE ESCOLAR: 20DST0118U, EN LA LOCALIDAD DE AYOQUEZCO DE ALDAMA, MUNICIPIO DE AYOQUEZCO DE ALDAMA.</t>
  </si>
  <si>
    <t>REHABILITACION DE CENTRO DE SALUD RURAL DE 01 NÚCLEO BÁSICO, EN LA LOCALIDAD DE EL FORTIN ALTO</t>
  </si>
  <si>
    <t>0002 - EL FORTÍN ALTO</t>
  </si>
  <si>
    <t>REHABILITACION DE CENTRO DE SALUD RURAL DE 01 NÚCLEO BÁSICO, EN LA LOCALIDAD DE SAN LORENZO</t>
  </si>
  <si>
    <t>CONSTRUCCIÓN DE RELLENO SANITARIO PARA LA DISPOSICIÓN FINAL DE RESIDUOS SÓLIDOS EN LA LOCALIDAD RIO TANGOLUNDA (LA JABALINA) EN EL MUNICIPIO DE SANTA MARÍA HUATULCO, OAXACA</t>
  </si>
  <si>
    <t>0119 - RÍO TANGOLUNDA (LA JABALINA)</t>
  </si>
  <si>
    <t>CLAUSURA Y SANEAMIENTO DEL SITIO DE DISPOSICIÓN FINAL DE RESIDUOS SÓLIDOS FONATUR HUATULCO, EN LA LOCALIDAD SECTOR H TRES, EN EL MUNICIPIO DE SANTA MARÍA HUATULCO, OAXACA</t>
  </si>
  <si>
    <t>0135 - SECTOR H TRES</t>
  </si>
  <si>
    <t>PROGRAMA DE SALUD Y BIENESTAR COMUNITARIO (ESTRATEGIA ANUAL DE INVERSIÓN COMUNITARIA)</t>
  </si>
  <si>
    <t xml:space="preserve">124 - COORDINACIÓN DE COMUNICACIÓN SOCIAL </t>
  </si>
  <si>
    <t>124001 - COORDINACIÓN  DE COMUNICACIÓN SOCIAL</t>
  </si>
  <si>
    <t>PRESENCIA DE OAXACA, EN LA EDICIÓN 52 DEL FESTIVAL INTERNACIONAL CERVANTINO.</t>
  </si>
  <si>
    <t xml:space="preserve">110 - SECRETARÍA DE LAS CULTURAS Y ARTES </t>
  </si>
  <si>
    <t xml:space="preserve">110001 - OFICINA DEL SECRETARIO DE LAS CULTURAS Y ARTES </t>
  </si>
  <si>
    <t>OAXACA, EN LA EDICIÓN 52 DEL FESTIVAL INTERNACIONAL CERVANTINO</t>
  </si>
  <si>
    <t>MANTENIMIENTO INTEGRAL A LAS INSTALACIONES DEL CENTRO DE RECREACIÓN Y ACONDICIONAMIENTO DEPORTIVO (CRAD) DE LA CIUDAD DE OAXACA DE JUÁREZ.</t>
  </si>
  <si>
    <t>INCENTIVO ECONÓMICO PARA EL FORTALECIMIENTO DE LA PRODUCCIÓN PESQUERA RIVEREÑA Y DE AGUAS INTERIORES. SAN FRANCISCO DEL MAR</t>
  </si>
  <si>
    <t>DEP - DESARROLLO PESQUERO</t>
  </si>
  <si>
    <t>EQUIPAMIENTO PARA LA EXTRACCIÓN DE ACEITE DE AJONJOLÍ EN SAN JOSÉ</t>
  </si>
  <si>
    <t>0012 - SAN JOSÉ</t>
  </si>
  <si>
    <t>EQUIPAMIENTO PARA BENEFICIO DE CAFÉ EN LA FINCA SAN RAFAEL, PLUMA HIDALGO</t>
  </si>
  <si>
    <t>EQUIPAMIENTO PARA BENEFICIO DE CAFÉ EN PLUMA HIDALGO</t>
  </si>
  <si>
    <t>EQUIPAMIENTO PARA BENEFICIO DE CAFÉ EN SAN PEDRO POCHUTLA</t>
  </si>
  <si>
    <t>EQUIPAMIENTO PARA EL PROCESAMIENTO DE CAÑA DE AZÚCAR EN SAN JUAN TAGUI</t>
  </si>
  <si>
    <t>0003 - SAN JUAN TAGUI</t>
  </si>
  <si>
    <t>EQUIPAMIENTO PARA BENEFICIO DE CAFÉ EN IXTLÁN DE JUÁREZ</t>
  </si>
  <si>
    <t>EQUIPAMIENTO PARA EL PROCESAMIENTO DE ALIMENTO PARA AVES EN ZAACHILA SEGUNDO</t>
  </si>
  <si>
    <t>0026 - ZAACHILA SEGUNDO</t>
  </si>
  <si>
    <t>EQUIPAMIENTO PARA EL PROCESAMIENTO DE CARNE DE CAPRINO EN SAN MATEO TLAPILTEPEC</t>
  </si>
  <si>
    <t>256 - SAN MATEO TLAPILTEPEC</t>
  </si>
  <si>
    <t>0001 - SAN MATEO TLAPILTEPEC</t>
  </si>
  <si>
    <t>FASE I. FORTALECIMIENTO DEL SISTEMA AGROALIMENTARIO ENFOCADO A LA PRODUCCIÓN DE MAÍZ PARA LA SEGURIDAD ALIMENTARIA Y EL ABASTO SUSTENTABLE DE GRANOS EN EL ESTADO DE OAXACA</t>
  </si>
  <si>
    <t>TERMINACIÓN DE LA CONSTRUCCIÓN Y EQUIPAMIENTO DE LA EMPACADORA DE MANGO EN SANTO DOMINGO ZANATEPEC</t>
  </si>
  <si>
    <t>ADQUISICIÓN DE EQUIPAMIENTO PARA EL "CENTRO DE SALUD URBANO DE 05 NÚCLEOS BÁSICOS (CS5NB) DE SAN PABLO VILLA DE MITLA"</t>
  </si>
  <si>
    <t>MANTENIMIENTO INTEGRAL DEL "POLIDEPORTIVO VENUSTIANO CARRANZA" DE LA CIUDAD DE OAXACA DE JUÁREZ.</t>
  </si>
  <si>
    <t>REHABILITACIÓN DEL PASEO JUÁREZ (EL LLANO) EN EL CENTRO HISTÓRICO DE OAXACA, MUNICIPIO DE OAXACA DE JUÁREZ.</t>
  </si>
  <si>
    <t>INTERVENCIÓN DE CALLES PARA PREFERENCIA PEATONAL EN EL CENTRO HISTÓRICO DE OAXACA, MUNICIPIO DE OAXACA DE JUÁREZ</t>
  </si>
  <si>
    <t>REHABILITACIÓN DE LA PLAZA DE LA CONSTITUCIÓN (ZÓCALO), EN LA LOCALIDAD DE OAXACA DE JUÁREZ, MUNICIPIO DE OAXACA DE JUÁREZ</t>
  </si>
  <si>
    <t>EQUIPAMIENTO DE MOBILIARIO TECNOLÓGICO PARA TALLERES Y LABORATORIOS Y ESPACIOS ACADÉMICOS DEL INSTITUTO TECNOLÓGICO DE OAXACA</t>
  </si>
  <si>
    <t>EQUIPAMIENTO PARA LABORATORIO DE SUELOS Y EQUIPAMIENTO PARA LABORATORIO EN INSTITUTO TECNOLÓGICO DE COMITANCILLO</t>
  </si>
  <si>
    <t>EQUIPAMIENTO ESPECIALIZADO PARA TALLERES Y LABORATORIOS Y ESPACIOS ACADÉMICOS DEL INSTITUTO TECNOLÓGICO DE OAXACA</t>
  </si>
  <si>
    <t>EQUIPAMIENTO DEL PROYECTO NAVES INDUSTRIALES DE PRODUCCIÓN ACUÍCOLA, NAVES DE CULTIVO DE CAMARÓN, NAVES DE PRODUCCIÓN DE POSTLARVA DE CAMARÓN Y OPERACIÓN DE CULTIVOS</t>
  </si>
  <si>
    <t>EVENTO TURÍSTICO DEPORTIVO CARRERA PANAMERICANA 2024 EN OAXACA</t>
  </si>
  <si>
    <t>MANTENIMIENTO INTEGRAL A EDIFICIO DESTINADO AL SERVICIO PÚBLICO, A CARGO DE LA SECRETARÍA DE ADMINISTRACIÓN.</t>
  </si>
  <si>
    <t>IMPLEMENTACIÓN DEL PROGRAMA "ALFABETIZACIÓN PARA EL BIENESTAR" CON EL CUAL SE PRETENDE UNA REDUCCIÓN DEL REZAGO EDUCATIVO EN EL ESTADO</t>
  </si>
  <si>
    <t>EVENTO DE FOMENTO TURÍSTICO FESTIVAL DEL MOLE DE CADERAS DE LA HEROICA CIUDAD DE HUAJUAPAN DE LEÓN 2024</t>
  </si>
  <si>
    <t>547 - UNIVERSIDAD DEL ISTMO</t>
  </si>
  <si>
    <t>547001 - UNIVERSIDAD DEL ISTMO</t>
  </si>
  <si>
    <t>MANTENIMIENTO A LA RED DE ENERGÍA ELÉCTRICA EN EDIFICIOS DE LA UNIVERSIDAD DEL ISTMO CAMPUS IXTEPEC. (PRIMERA ETAPA)</t>
  </si>
  <si>
    <t>MANTENIMIENTO A LA RED DE ENERGÍA ELÉCTRICA EN EDIFICIOS DE LA UNIVERSIDAD DEL ISTMO CAMPUS JUCHITÁN. (PRIMERA ETAPA)</t>
  </si>
  <si>
    <t>CONSTRUCCIÓN DE SANITARIOS EN ESCUELA PRIMARIA "ABRAHAM CASTELLANOS" CON CLAVE ESCOLAR: 20DPR0504B, EN LA LOCALIDAD DE SAN CRISTÓBAL SUCHIXTLAHUACA,  MUNICIPIO DE SAN CRISTÓBAL SUCHIXTLAHUACA</t>
  </si>
  <si>
    <t>REPARACIONES GENERALES EN JARDÍN DE NIÑOS "CARMEN SERDÁN" CON CLAVE ESCOLAR: 20DJN0403N, EN LA LOCALIDAD DE SAN SEBASTIÁN ABASOLO, MUNICIPIO DE SAN SEBASTIÁN ABASOLO.</t>
  </si>
  <si>
    <t>0001 - SAN SEBASTIÁN ABASOLO</t>
  </si>
  <si>
    <t>ELABORACIÓN DEL PROYECTO EJECUTIVO PARA LA AMPLIACIÓN DE LA PLANTA DE TRATAMIENTO DE AGUAS RESIDUALES EN LA LOCALIDAD DE SAN JERÓNIMO TLACOCHAHUAYA</t>
  </si>
  <si>
    <t>ELABORACIÓN DEL PROYECTO EJECUTIVO DEL SISTEMA DE DRENAJE SANITARIO EN LA LOCALIDAD DE SAN PEDRO IXTLAHUACA</t>
  </si>
  <si>
    <t>ELABORACIÓN DEL PROYECTO EJECUTIVO PARA LA PLANTA DE TRATAMIENTO DE AGUAS RESIDUALES EN LA LOCALIDAD DE MAGDALENA TEITIPAC</t>
  </si>
  <si>
    <t>EQUIPAMIENTO PARA TELEBACHILLERATO COMUNITARIO NÚM. 001 CON CLAVE ESCOLAR: 20ETK0001B  EN LA LOCALIDAD DE MONJAS MUNICIPIO DE  MONJAS</t>
  </si>
  <si>
    <t>EQUIPAMIENTO PARA TELEBACHILLERATO COMUNITARIO NÚM. 002 CON CLAVE ESCOLAR: 20ETK0002A  EN LA LOCALIDAD DE GUADALUPE VICTORIA MUNICIPIO DE  SAN CARLOS YAUTEPEC</t>
  </si>
  <si>
    <t>0006 - GUADALUPE VICTORIA</t>
  </si>
  <si>
    <t>EQUIPAMIENTO PARA TELEBACHILLERATO COMUNITARIO NÚM. 003 CON CLAVE ESCOLAR: 20ETK0003Z  EN LA LOCALIDAD DE SAN JUAN BAUTISTA JAYACATLÁN MUNICIPIO DE  SAN JUAN BAUTISTA JAYACATLÁN</t>
  </si>
  <si>
    <t>179 - SAN JUAN BAUTISTA JAYACATLÁN</t>
  </si>
  <si>
    <t>0001 - SAN JUAN BAUTISTA JAYACATLÁN</t>
  </si>
  <si>
    <t>EQUIPAMIENTO PARA TELEBACHILLERATO COMUNITARIO NÚM. 004 CON CLAVE ESCOLAR: 20ETK0004Z  EN LA LOCALIDAD DE SAN JUAN TEPEUXILA MUNICIPIO DE  SAN JUAN TEPEUXILA</t>
  </si>
  <si>
    <t>220 - SAN JUAN TEPEUXILA</t>
  </si>
  <si>
    <t>0001 - SAN JUAN TEPEUXILA</t>
  </si>
  <si>
    <t>EQUIPAMIENTO PARA TELEBACHILLERATO COMUNITARIO NÚM. 005 CON CLAVE ESCOLAR: 20ETK0005Y  EN LA LOCALIDAD DE SAN ANTONIO CUAJIMOLOYAS MUNICIPIO DE  SAN MIGUEL AMATLÁN</t>
  </si>
  <si>
    <t>262 - SAN MIGUEL AMATLÁN</t>
  </si>
  <si>
    <t>0002 - CUAJIMOLOYAS</t>
  </si>
  <si>
    <t>EQUIPAMIENTO PARA TELEBACHILLERATO COMUNITARIO NÚM. 006 CON CLAVE ESCOLAR: 20ETK0006X  EN LA LOCALIDAD DE SAN PEDRO YOLOX MUNICIPIO DE  SAN PEDRO YOLOX</t>
  </si>
  <si>
    <t>336 - SAN PEDRO YÓLOX</t>
  </si>
  <si>
    <t>0001 - SAN PEDRO YÓLOX</t>
  </si>
  <si>
    <t>EQUIPAMIENTO PARA TELEBACHILLERATO COMUNITARIO NÚM. 007 CON CLAVE ESCOLAR: 20ETK0007W  EN LA LOCALIDAD DE SANTO DOMINGO OZOLOTEPEC MUNICIPIO DE  SANTO DOMINGO OZOLOTEPEC</t>
  </si>
  <si>
    <t>512 - SANTO DOMINGO OZOLOTEPEC</t>
  </si>
  <si>
    <t>0001 - SANTO DOMINGO OZOLOTEPEC</t>
  </si>
  <si>
    <t>EQUIPAMIENTO PARA TELEBACHILLERATO COMUNITARIO NÚM. 008 CON CLAVE ESCOLAR: 20ETK0008V  EN LA LOCALIDAD DE LAS HUERTAS MUNICIPIO DE  SANTO DOMINGO TEOJOMULCO</t>
  </si>
  <si>
    <t>0005 - LAS HUERTAS</t>
  </si>
  <si>
    <t>EQUIPAMIENTO PARA TELEBACHILLERATO COMUNITARIO NÚM. 009 CON CLAVE ESCOLAR: 20ETK0009U  EN LA LOCALIDAD DE SANTO DOMINGO JALIEZA MUNICIPIO DE  SANTO TOMÁS JALIEZA</t>
  </si>
  <si>
    <t>EQUIPAMIENTO PARA TELEBACHILLERATO COMUNITARIO NÚM. 010 CON CLAVE ESCOLAR: 20ETK0010J  EN LA LOCALIDAD DE SAN JUAN DEL RÍO MUNICIPIO DE  SAN JUAN DEL RÍO</t>
  </si>
  <si>
    <t>194 - SAN JUAN DEL RÍO</t>
  </si>
  <si>
    <t>0001 - SAN JUAN DEL RÍO</t>
  </si>
  <si>
    <t>EQUIPAMIENTO PARA TELEBACHILLERATO COMUNITARIO NÚM. 011 CON CLAVE ESCOLAR: 20ETK0011I  EN LA LOCALIDAD DE LOS HORCONES MUNICIPIO DE  CANDELARIA LOXICHA</t>
  </si>
  <si>
    <t>0011 - LOS HORCONES</t>
  </si>
  <si>
    <t>EQUIPAMIENTO PARA TELEBACHILLERATO COMUNITARIO NÚM. 012 CON CLAVE ESCOLAR: 20ETK0012H  EN LA LOCALIDAD DE LA TOMA MUNICIPIO DE  MAZATLÁN VILLA DE FLORES</t>
  </si>
  <si>
    <t>0018 - LA TOMA</t>
  </si>
  <si>
    <t>EQUIPAMIENTO PARA TELEBACHILLERATO COMUNITARIO NÚM. 013 CON CLAVE ESCOLAR: 20ETK0013G  EN LA LOCALIDAD DE MIXISTLÁN DE LA REFORMA MUNICIPIO DE  MIXISTLÁN DE LA REFORMA</t>
  </si>
  <si>
    <t>EQUIPAMIENTO PARA TELEBACHILLERATO COMUNITARIO NÚM. 014 CON CLAVE ESCOLAR: 20ETK0014F  EN LA LOCALIDAD DE PASO ANCHO MUNICIPIO DE  SAN BARTOLOMÉ LOXICHA</t>
  </si>
  <si>
    <t>117 - SAN BARTOLOMÉ LOXICHA</t>
  </si>
  <si>
    <t>0002 - PASO ANCHO</t>
  </si>
  <si>
    <t>EQUIPAMIENTO PARA TELEBACHILLERATO COMUNITARIO NÚM. 015 CON CLAVE ESCOLAR: 20ETK0015E  EN LA LOCALIDAD DE AGUA COLORADA MUNICIPIO DE  SAN JOSÉ TENANGO</t>
  </si>
  <si>
    <t>0003 - AGUA COLORADA</t>
  </si>
  <si>
    <t>EQUIPAMIENTO PARA TELEBACHILLERATO COMUNITARIO NÚM. 016 CON CLAVE ESCOLAR: 20ETK0016D  EN LA LOCALIDAD DE EL ZACATAL MUNICIPIO DE  SAN JUAN GUICHICOVI</t>
  </si>
  <si>
    <t>0023 - EL ZACATAL</t>
  </si>
  <si>
    <t>EQUIPAMIENTO PARA TELEBACHILLERATO COMUNITARIO NÚM. 017 CON CLAVE ESCOLAR: 20ETK0017C  EN LA LOCALIDAD DE PLAN DE SAN LUIS MUNICIPIO DE  SAN JUAN GUICHICOVI</t>
  </si>
  <si>
    <t>0117 - PLAN DE SAN LUIS</t>
  </si>
  <si>
    <t>EQUIPAMIENTO PARA TELEBACHILLERATO COMUNITARIO NÚM. 018 CON CLAVE ESCOLAR: 20ETK0018B  EN LA LOCALIDAD DE SAN JUAN YAEÉ MUNICIPIO DE  SAN JUAN YAEÉ</t>
  </si>
  <si>
    <t>EQUIPAMIENTO PARA TELEBACHILLERATO COMUNITARIO NÚM. 019 CON CLAVE ESCOLAR: 20ETK0019A  EN LA LOCALIDAD DE SAN LORENZO VISTA HERMOSA MUNICIPIO DE  SAN MIGUEL AMATITLÁN</t>
  </si>
  <si>
    <t>EQUIPAMIENTO PARA TELEBACHILLERATO COMUNITARIO NÚM. 020 CON CLAVE ESCOLAR: 20ETK0020Q  EN LA LOCALIDAD DE LAS CONCHAS MUNICIPIO DE  SAN MIGUEL CHIMALAPA</t>
  </si>
  <si>
    <t>0004 - LAS CONCHAS</t>
  </si>
  <si>
    <t>EQUIPAMIENTO PARA TELEBACHILLERATO COMUNITARIO NÚM. 021 CON CLAVE ESCOLAR: 20ETK0021P  EN LA LOCALIDAD DE SAN PEDRO MARTIR QUIECHAPA MUNICIPIO DE  SAN PEDRO MÁRTIR QUIECHAPA</t>
  </si>
  <si>
    <t>316 - SAN PEDRO MÁRTIR QUIECHAPA</t>
  </si>
  <si>
    <t>0001 - SAN PEDRO MÁRTIR QUIECHAPA</t>
  </si>
  <si>
    <t>EQUIPAMIENTO PARA TELEBACHILLERATO COMUNITARIO NÚM. 022 CON CLAVE ESCOLAR: 20ETK0022O  EN LA LOCALIDAD DE LOS CORAZONES MUNICIPIO DE  SAN PEDRO TAPANATEPEC</t>
  </si>
  <si>
    <t>0004 - LOS CORAZONES</t>
  </si>
  <si>
    <t>EQUIPAMIENTO PARA TELEBACHILLERATO COMUNITARIO NÚM. 023 CON CLAVE ESCOLAR: 20ETK0023N  EN LA LOCALIDAD DE SANTO DOMINGO DEL RÍO MUNICIPIO DE  SAN PEDRO TEUTILA</t>
  </si>
  <si>
    <t>EQUIPAMIENTO PARA TELEBACHILLERATO COMUNITARIO NÚM. 024 CON CLAVE ESCOLAR: 20ETK0024M  EN LA LOCALIDAD DE SAN JOSÉ CIENEGUILLA MUNICIPIO DE  SAN SEBASTIAN COATLÁN</t>
  </si>
  <si>
    <t>EQUIPAMIENTO PARA TELEBACHILLERATO COMUNITARIO NÚM. 025 CON CLAVE ESCOLAR: 20ETK0025L  EN LA LOCALIDAD DE SANTA INÉS DEL MONTE MUNICIPIO DE  SANTA INÉS DEL MONTE</t>
  </si>
  <si>
    <t>388 - SANTA INÉS DEL MONTE</t>
  </si>
  <si>
    <t>0001 - SANTA INÉS DEL MONTE</t>
  </si>
  <si>
    <t>EQUIPAMIENTO PARA TELEBACHILLERATO COMUNITARIO NÚM. 026 CON CLAVE ESCOLAR: 20ETK0026K  EN LA LOCALIDAD DE SANTA MARÍA ZAPOTITLÁN MUNICIPIO DE  SANTA MARÍA ECATEPEC</t>
  </si>
  <si>
    <t>0006 - SANTA MARÍA ZAPOTITLÁN</t>
  </si>
  <si>
    <t>EQUIPAMIENTO PARA TELEBACHILLERATO COMUNITARIO NÚM. 027 CON CLAVE ESCOLAR: 20ETK0027J  EN LA LOCALIDAD DE CERRO CONCHA MUNICIPIO DE  SANTA MARÍA JACATEPEC</t>
  </si>
  <si>
    <t>0004 - CERRO CONCHA</t>
  </si>
  <si>
    <t>EQUIPAMIENTO PARA TELEBACHILLERATO COMUNITARIO NÚM. 028 CON CLAVE ESCOLAR: 20ETK0028I  EN LA LOCALIDAD DE VILLA NUEVA MUNICIPIO DE  SANTA MARÍA TEOPOXCO</t>
  </si>
  <si>
    <t>434 - SANTA MARÍA TEOPOXCO</t>
  </si>
  <si>
    <t>0002 - VILLA NUEVA</t>
  </si>
  <si>
    <t>EQUIPAMIENTO PARA TELEBACHILLERATO COMUNITARIO NÚM. 029 CON CLAVE ESCOLAR: 20ETK0029H  EN LA LOCALIDAD DE SANTA MARIA YOLOTEPEC MUNICIPIO DE  SANTA MARIA YOLOTEPEC</t>
  </si>
  <si>
    <t>0001 - SANTA MARÍA YOLOTEPEC</t>
  </si>
  <si>
    <t>EQUIPAMIENTO PARA TELEBACHILLERATO COMUNITARIO NÚM. 030 CON CLAVE ESCOLAR: 20ETK0030X  EN LA LOCALIDAD DE SANTA CRUZ TIHUIXTE MUNICIPIO DE  SANTIAGO TETEPEC</t>
  </si>
  <si>
    <t>EQUIPAMIENTO PARA TELEBACHILLERATO COMUNITARIO NÚM. 031 CON CLAVE ESCOLAR: 20ETK0031W  EN LA LOCALIDAD DE SAN FELIPE LACHILLÓ MUNICIPIO DE  SANTIAGO XANICA</t>
  </si>
  <si>
    <t>495 - SANTIAGO XANICA</t>
  </si>
  <si>
    <t>0003 - SAN FELIPE LACHILLÓ</t>
  </si>
  <si>
    <t>EQUIPAMIENTO PARA TELEBACHILLERATO COMUNITARIO NÚM. 032 CON CLAVE ESCOLAR: 20ETK0032V  EN LA LOCALIDAD DE PIEDRA DE AMOLAR MUNICIPIO DE  SAN MIGUEL SOYALTEPEC</t>
  </si>
  <si>
    <t>0033 - PIEDRA DE AMOLAR</t>
  </si>
  <si>
    <t>EQUIPAMIENTO PARA TELEBACHILLERATO COMUNITARIO NÚM. 033 CON CLAVE ESCOLAR: 20ETK0033U  EN LA LOCALIDAD DE LA JOYA DE SANTA MARÍA JACATEPEC MUNICIPIO DE  SANTA MARÍA JACATEPEC</t>
  </si>
  <si>
    <t>0010 - LA JOYA DE SANTA MARÍA JACATEPEC</t>
  </si>
  <si>
    <t>EQUIPAMIENTO PARA TELEBACHILLERATO COMUNITARIO NÚM. 034 CON CLAVE ESCOLAR: 20ETK0034T  EN LA LOCALIDAD DE SAN LUIS DEL RÍO MUNICIPIO DE  TLACOLULA DE MATAMOROS</t>
  </si>
  <si>
    <t>0004 - SAN LUIS DEL RÍO</t>
  </si>
  <si>
    <t>EQUIPAMIENTO PARA TELEBACHILLERATO COMUNITARIO NÚM. 035 CON CLAVE ESCOLAR: 20ETK0035S  EN LA LOCALIDAD DE SITIO DEL PALMAR MUNICIPIO DE  SAN LUIS AMATLÁN</t>
  </si>
  <si>
    <t>0021 - SITIO DEL PALMAR</t>
  </si>
  <si>
    <t>EQUIPAMIENTO PARA TELEBACHILLERATO COMUNITARIO NÚM. 036 CON CLAVE ESCOLAR: 20ETK0036R  EN LA LOCALIDAD DE LAS FLORES MUNICIPIO DE  SANTA MARÍA TLAHUITOLTEPEC</t>
  </si>
  <si>
    <t>0002 - FLORES</t>
  </si>
  <si>
    <t>EQUIPAMIENTO PARA TELEBACHILLERATO COMUNITARIO NÚM. 037 CON CLAVE ESCOLAR: 20ETK0037Q  EN LA LOCALIDAD DE SANTA CRUZ BAMBA Y GARRAPATERO MUNICIPIO DE  SANTO DOMINGO TEHUANTEPEC</t>
  </si>
  <si>
    <t>EQUIPAMIENTO PARA TELEBACHILLERATO COMUNITARIO NÚM. 038 CON CLAVE ESCOLAR: 20ETK0038P  EN LA LOCALIDAD DE MANCUERNAS MUNICIPIO DE  SANTIAGO PINOTEPA NACIONAL</t>
  </si>
  <si>
    <t>EQUIPAMIENTO PARA TELEBACHILLERATO COMUNITARIO NÚM. 039 CON CLAVE ESCOLAR: 20ETK0039O  EN LA LOCALIDAD DE LA VICTORIA MUNICIPIO DE  MATÍAS ROMERO DE AVENDAÑO</t>
  </si>
  <si>
    <t>0030 - LA VICTORIA</t>
  </si>
  <si>
    <t>EQUIPAMIENTO PARA TELEBACHILLERATO COMUNITARIO NÚM. 040 CON CLAVE ESCOLAR: 20ETK0040D  EN LA LOCALIDAD DE LAS CUEVAS MUNICIPIO DE  SANTIAGO AMOLTEPEC</t>
  </si>
  <si>
    <t>0007 - LAS CUEVAS</t>
  </si>
  <si>
    <t>EQUIPAMIENTO PARA TELEBACHILLERATO COMUNITARIO NÚM. 041 CON CLAVE ESCOLAR: 20ETK0041C  EN LA LOCALIDAD DE SANTA MARÍA CANDELARIA MUNICIPIO DE  SAN CARLOS YAUTEPEC</t>
  </si>
  <si>
    <t>0026 - SANTA MARÍA CANDELARIA</t>
  </si>
  <si>
    <t>EQUIPAMIENTO PARA TELEBACHILLERATO COMUNITARIO NÚM. 042 CON CLAVE ESCOLAR: 20ETK0042B  EN LA LOCALIDAD DE SAN FRANCISCO YOSOCUTA MUNICIPIO DE  HUAJUÁPAN DE LEÓN</t>
  </si>
  <si>
    <t>EQUIPAMIENTO PARA TELEBACHILLERATO COMUNITARIO NÚM. 043 CON CLAVE ESCOLAR: 20ETK0043A  EN LA LOCALIDAD DE SAN JOSÉ DEL PEÑASCO MUNICIPIO DE SAN JOSÉ PEÑASCO</t>
  </si>
  <si>
    <t>0001 - SAN JOSÉ DEL PEÑASCO</t>
  </si>
  <si>
    <t>EQUIPAMIENTO PARA TELEBACHILLERATO COMUNITARIO NÚM. 044 CON CLAVE ESCOLAR: 20ETK0044Z  EN LA LOCALIDAD DE SANTA ANA RAYÓN MUNICIPIO DE  SANTIAGO TAMAZOLA</t>
  </si>
  <si>
    <t>0005 - SANTA ANA RAYÓN</t>
  </si>
  <si>
    <t>EQUIPAMIENTO PARA TELEBACHILLERATO COMUNITARIO NÚM. 045 CON CLAVE ESCOLAR: 20ETK0045Z  EN LA LOCALIDAD DE EL JICARAL MUNICIPIO DE  COICOYÁN DE LAS FLORES</t>
  </si>
  <si>
    <t>016 - COICOYÁN DE LAS FLORES</t>
  </si>
  <si>
    <t>0003 - EL JICARAL</t>
  </si>
  <si>
    <t>EQUIPAMIENTO PARA TELEBACHILLERATO COMUNITARIO NÚM. 046 CON CLAVE ESCOLAR: 20ETK0046Y  EN LA LOCALIDAD DE SAN JUAN ZAUTLA MUNICIPIO DE  SAN PEDRO SOCHIAPAM</t>
  </si>
  <si>
    <t>326 - SAN PEDRO SOCHIÁPAM</t>
  </si>
  <si>
    <t>0005 - SAN JUAN ZAUTLA</t>
  </si>
  <si>
    <t>EQUIPAMIENTO PARA TELEBACHILLERATO COMUNITARIO NÚM. 047 CON CLAVE ESCOLAR: 20ETK0047X  EN LA LOCALIDAD DE AGUA DE LA ROSA MUNICIPIO DE  HUAUTLA DE JIMÉNEZ</t>
  </si>
  <si>
    <t>0004 - AGUA DE LA ROSA</t>
  </si>
  <si>
    <t>EQUIPAMIENTO PARA TELEBACHILLERATO COMUNITARIO NÚM. 048 CON CLAVE ESCOLAR: 20ETK0048W  EN LA LOCALIDAD DE SANTA MARÍA TEXCATITLÁN MUNICIPIO DE  SANTA MARÍA TEXCATITLÁN</t>
  </si>
  <si>
    <t>0001 - SANTA MARÍA TEXCATITLÁN</t>
  </si>
  <si>
    <t>EQUIPAMIENTO PARA TELEBACHILLERATO COMUNITARIO NÚM. 049 CON CLAVE ESCOLAR: 20ETK0049V  EN LA LOCALIDAD DE CERRO GORDO MUNICIPIO DE  SANTA MARÍA TONAMECA</t>
  </si>
  <si>
    <t>0006 - CERRO GORDO</t>
  </si>
  <si>
    <t>EQUIPAMIENTO PARA TELEBACHILLERATO COMUNITARIO NÚM. 050 CON CLAVE ESCOLAR: 20ETK0050K  EN LA LOCALIDAD DE RANCHO NUEVO MUNICIPIO DE  SANTIAGO LLANO GRANDE</t>
  </si>
  <si>
    <t>EQUIPAMIENTO PARA TELEBACHILLERATO COMUNITARIO NÚM. 051 CON CLAVE ESCOLAR: 20ETK0051J  EN LA LOCALIDAD DE COLONIA EL JORDÁN MUNICIPIO DE SANTO DOMINGO TEHUANTEPEC</t>
  </si>
  <si>
    <t>0008 - COLONIA JORDÁN</t>
  </si>
  <si>
    <t>EQUIPAMIENTO PARA TELEBACHILLERATO COMUNITARIO NÚM. 052 CON CLAVE ESCOLAR: 20ETK0052I  EN LA LOCALIDAD DE GUIVISÍA MUNICIPIO DE  SANTA MARÍA PETAPA</t>
  </si>
  <si>
    <t>0003 - GUIVISÍA</t>
  </si>
  <si>
    <t>EQUIPAMIENTO PARA TELEBACHILLERATO COMUNITARIO NÚM. 053 CON CLAVE ESCOLAR: 20ETK0053H  EN LA LOCALIDAD DE SANTA MARÍA NATIVITAS COATLÁN MUNICIPIO DE  SANTO DOMINGO TEHUANTEPEC</t>
  </si>
  <si>
    <t>0114 - SANTA MARÍA NATIVITAS COATLÁN</t>
  </si>
  <si>
    <t>EQUIPAMIENTO PARA TELEBACHILLERATO COMUNITARIO NÚM. 055 CON CLAVE ESCOLAR: 20ETK0055F  EN LA LOCALIDAD DE LACHIGUXÉ MUNICIPIO DE  SANTA MARÍA GUIENAGATI</t>
  </si>
  <si>
    <t>0003 - LACHIGUXÉ</t>
  </si>
  <si>
    <t>EQUIPAMIENTO PARA TELEBACHILLERATO COMUNITARIO NÚM. 056 CON CLAVE ESCOLAR: 20ETK0056E  EN LA LOCALIDAD DE SAN ANDRÉS SABINILLO MUNICIPIO DE  SANTO DOMINGO TONALÁ</t>
  </si>
  <si>
    <t>0003 - SAN ANDRÉS SABINILLO</t>
  </si>
  <si>
    <t>EQUIPAMIENTO PARA TELEBACHILLERATO COMUNITARIO NÚM. 057 CON CLAVE ESCOLAR: 20ETK0057D  EN LA LOCALIDAD DE SANTO DOMINGO YOLOTEPEC MUNICIPIO DE  SAN MIGUEL AMATITLÁN</t>
  </si>
  <si>
    <t>0008 - SANTO DOMINGO YOLOTEPEC</t>
  </si>
  <si>
    <t>EQUIPAMIENTO PARA TELEBACHILLERATO COMUNITARIO NÚM. 058 CON CLAVE ESCOLAR: 20ETK0058C  EN LA LOCALIDAD DE SAN SIMÓN ZAHUATLÁN MUNICIPIO DE  SAN SIMÓN ZAHUATLÁN</t>
  </si>
  <si>
    <t>352 - SAN SIMÓN ZAHUATLÁN</t>
  </si>
  <si>
    <t>0001 - SAN SIMÓN ZAHUATLÁN</t>
  </si>
  <si>
    <t>EQUIPAMIENTO PARA TELEBACHILLERATO COMUNITARIO NÚM. 059 CON CLAVE ESCOLAR: 20ETK0059B  EN LA LOCALIDAD DE MACÍN GRANDE MUNICIPIO DE  SAN LUCAS OJITLÁN</t>
  </si>
  <si>
    <t>0033 - MACÍN GRANDE</t>
  </si>
  <si>
    <t>EQUIPAMIENTO PARA TELEBACHILLERATO COMUNITARIO NÚM. 060 CON CLAVE ESCOLAR: 20ETK0060R  EN LA LOCALIDAD DE SAN JUAN PETLAPA MUNICIPIO DE  SAN JUAN PETLAPA</t>
  </si>
  <si>
    <t>212 - SAN JUAN PETLAPA</t>
  </si>
  <si>
    <t>0001 - SAN JUAN PETLAPA</t>
  </si>
  <si>
    <t>EQUIPAMIENTO PARA TELEBACHILLERATO COMUNITARIO NÚM. 061 CON CLAVE ESCOLAR: 20ETK0061Q  EN LA LOCALIDAD DE ISLA DE MÁLZAGA MUNICIPIO DE  SAN MIGUEL SOYALTEPEC</t>
  </si>
  <si>
    <t>0018 - ISLA DE MÁLZAGA</t>
  </si>
  <si>
    <t>EQUIPAMIENTO PARA TELEBACHILLERATO COMUNITARIO NÚM. 062 CON CLAVE ESCOLAR: 20ETK0062P  EN LA LOCALIDAD DE SANTA CRUZ YAGAVILA MUNICIPIO DE  IXTLÁN DE JUÁREZ</t>
  </si>
  <si>
    <t>0007 - SANTA CRUZ YAGAVILA</t>
  </si>
  <si>
    <t>EQUIPAMIENTO PARA TELEBACHILLERATO COMUNITARIO NÚM. 063 CON CLAVE ESCOLAR: 20ETK0063O  EN LA LOCALIDAD DE SAN FRANCISCO YOVEGO MUNICIPIO DE  SANTIAGO CAMOTLÁN</t>
  </si>
  <si>
    <t>EQUIPAMIENTO PARA TELEBACHILLERATO COMUNITARIO NÚM. 064 CON CLAVE ESCOLAR: 20ETK0064N  EN LA LOCALIDAD DE CHUXNABÁN MUNICIPIO DE  SAN MIGUEL QUETZALTEPEC</t>
  </si>
  <si>
    <t>275 - SAN MIGUEL QUETZALTEPEC</t>
  </si>
  <si>
    <t>0002 - CHUXNABÁN</t>
  </si>
  <si>
    <t>EQUIPAMIENTO PARA TELEBACHILLERATO COMUNITARIO NÚM. 065 CON CLAVE ESCOLAR: 20ETK0065M  EN LA LOCALIDAD DE ASUNCIÓN TLACOLULITA MUNICIPIO DE  ASUNCIÓN TLACOLULITA</t>
  </si>
  <si>
    <t>008 - ASUNCIÓN TLACOLULITA</t>
  </si>
  <si>
    <t>0001 - ASUNCIÓN TLACOLULITA</t>
  </si>
  <si>
    <t>EQUIPAMIENTO PARA TELEBACHILLERATO COMUNITARIO NÚM. 066 CON CLAVE ESCOLAR: 20ETK0066L  EN LA LOCALIDAD DE BRAMADEROS MUNICIPIO DE  MIAHUATLÁN DE PORFIRIO DÍAZ</t>
  </si>
  <si>
    <t>0004 - BRAMADEROS</t>
  </si>
  <si>
    <t>EQUIPAMIENTO PARA TELEBACHILLERATO COMUNITARIO NÚM. 067 CON CLAVE ESCOLAR: 20ETK0067K  EN LA LOCALIDAD DE SAN FRANCISCO COATLÁN MUNICIPIO DE  SAN PABLO COATLÁN</t>
  </si>
  <si>
    <t>0003 - SAN FRANCISCO COATLÁN</t>
  </si>
  <si>
    <t>EQUIPAMIENTO PARA TELEBACHILLERATO COMUNITARIO NÚM. 068 CON CLAVE ESCOLAR: 20ETK0068J  EN LA LOCALIDAD DE SAN ANTONIO LALANA MUNICIPIO DE  SAN PABLO COATLÁN</t>
  </si>
  <si>
    <t>0002 - SAN ANTONIO LALANA</t>
  </si>
  <si>
    <t>EQUIPAMIENTO PARA TELEBACHILLERATO COMUNITARIO NÚM. 069 CON CLAVE ESCOLAR: 20ETK0069I  EN LA LOCALIDAD DE SANTO TOMÁS QUIERÍ MUNICIPIO DE  SAN CARLOS YAUTEPEC</t>
  </si>
  <si>
    <t>0032 - SANTO TOMÁS QUIERÍ</t>
  </si>
  <si>
    <t>EQUIPAMIENTO PARA TELEBACHILLERATO COMUNITARIO NÚM. 070 CON CLAVE ESCOLAR: 20ETK0070Y  EN LA LOCALIDAD DE SAN JERÓNIMO TAVICHE MUNICIPIO DE  SAN JERÓNIMO TAVICHE</t>
  </si>
  <si>
    <t>162 - SAN JERÓNIMO TAVICHE</t>
  </si>
  <si>
    <t>0001 - SAN JERÓNIMO TAVICHE</t>
  </si>
  <si>
    <t>EQUIPAMIENTO PARA TELEBACHILLERATO COMUNITARIO NÚM. 071 CON CLAVE ESCOLAR: 20ETK0071X  EN LA LOCALIDAD DE SANTA CATALINA MIXTEPEC MUNICIPIO DE  MAGDALENA MIXTEPEC</t>
  </si>
  <si>
    <t>EQUIPAMIENTO PARA TELEBACHILLERATO COMUNITARIO NÚM. 072 CON CLAVE ESCOLAR: 20ETK0072W  EN LA LOCALIDAD DE SAN JUAN LACHIGALLA MUNICIPIO DE  SAN JUAN LACHIGALLA</t>
  </si>
  <si>
    <t>EQUIPAMIENTO PARA TELEBACHILLERATO COMUNITARIO NÚM. 074 CON CLAVE ESCOLAR: 20ETK0074U  EN LA LOCALIDAD DE SANTIAGO IXCUINTEPEC MUNICIPIO DE  SANTIAGO IXCUINTEPEC</t>
  </si>
  <si>
    <t>465 - SANTIAGO IXCUINTEPEC</t>
  </si>
  <si>
    <t>0001 - SANTIAGO IXCUINTEPEC</t>
  </si>
  <si>
    <t>EQUIPAMIENTO PARA TELEBACHILLERATO COMUNITARIO NÚM. 075 CON CLAVE ESCOLAR: 20ETK0075T  EN LA LOCALIDAD DE CHAPULTEPEC MUNICIPIO DE  CHALCATONGO DE HIDALGO</t>
  </si>
  <si>
    <t>0005 - CHAPULTEPEC</t>
  </si>
  <si>
    <t>EQUIPAMIENTO PARA TELEBACHILLERATO COMUNITARIO NÚM. 076 CON CLAVE ESCOLAR: 20ETK0076S  EN LA LOCALIDAD DE COICOYÁN DE LAS FLORES MUNICIPIO DE  COICOYÁN DE LAS FLORES</t>
  </si>
  <si>
    <t>0001 - COICOYÁN DE LAS FLORES</t>
  </si>
  <si>
    <t>EQUIPAMIENTO PARA TELEBACHILLERATO COMUNITARIO NÚM. 077 CON CLAVE ESCOLAR: 20ETK0077R  EN LA LOCALIDAD DE XADANI MUNICIPIO DE  GUEVEA DE HUMBOLDT</t>
  </si>
  <si>
    <t>0020 - XADANI</t>
  </si>
  <si>
    <t>EQUIPAMIENTO PARA TELEBACHILLERATO COMUNITARIO NÚM. 078 CON CLAVE ESCOLAR: 20ETK0078Q  EN LA LOCALIDAD DE YUCUQUIMI DE OCAMPO MUNICIPIO DE  HERÓICA VILLA DE TEZOATLAN DE SEGURA Y LUNA</t>
  </si>
  <si>
    <t>EQUIPAMIENTO PARA TELEBACHILLERATO COMUNITARIO NÚM. 079 CON CLAVE ESCOLAR: 20ETK0079P  EN LA LOCALIDAD DE PALO DE MARCA MUNICIPIO DE  HUAUTLA DE JIMÉNEZ</t>
  </si>
  <si>
    <t>0024 - PALO DE MARCA</t>
  </si>
  <si>
    <t>EQUIPAMIENTO PARA TELEBACHILLERATO COMUNITARIO NÚM. 080 CON CLAVE ESCOLAR: 20ETK0080E  EN LA LOCALIDAD DE RÍO SANTIAGO MUNICIPIO DE  HUAUTLA DE JIMÉNEZ</t>
  </si>
  <si>
    <t>0011 - RÍO SANTIAGO</t>
  </si>
  <si>
    <t>EQUIPAMIENTO PARA TELEBACHILLERATO COMUNITARIO NÚM. 081 CON CLAVE ESCOLAR: 20ETK0081D  EN LA LOCALIDAD DE SANTA CATARINA BUENA VISTA MUNICIPIO DE  HUAUTLA DE JIMÉNEZ</t>
  </si>
  <si>
    <t>0124 - SANTA CATARINA BUENAVISTA</t>
  </si>
  <si>
    <t>EQUIPAMIENTO PARA TELEBACHILLERATO COMUNITARIO NÚM. 082 CON CLAVE ESCOLAR: 20ETK0082C  EN LA LOCALIDAD DE LLANO VERÍA MUNICIPIO DE  SANTA MARÍA JALAPA DEL MARQUÉS</t>
  </si>
  <si>
    <t>0005 - LLANO VERÍA</t>
  </si>
  <si>
    <t>EQUIPAMIENTO PARA TELEBACHILLERATO COMUNITARIO NÚM. 083 CON CLAVE ESCOLAR: 20ETK0083B  EN LA LOCALIDAD DE POCHOTEPEC MUNICIPIO DE  MAZATLÁN VILLA DE FLORES</t>
  </si>
  <si>
    <t>0012 - POCHOTEPEC</t>
  </si>
  <si>
    <t>EQUIPAMIENTO PARA TELEBACHILLERATO COMUNITARIO NÚM. 084 CON CLAVE ESCOLAR: 20ETK0084A  EN LA LOCALIDAD DE SAN AGUSTÍN ETLA MUNICIPIO DE  SAN AGUSTÍN ETLA</t>
  </si>
  <si>
    <t>084 - SAN AGUSTÍN ETLA</t>
  </si>
  <si>
    <t>0001 - SAN AGUSTÍN ETLA</t>
  </si>
  <si>
    <t>EQUIPAMIENTO PARA TELEBACHILLERATO COMUNITARIO NÚM. 085 CON CLAVE ESCOLAR: 20ETK0085Z  EN LA LOCALIDAD DE SANTIAGO LACHIVÍA MUNICIPIO DE  SAN CARLOS YAUTEPEC</t>
  </si>
  <si>
    <t>0028 - SANTIAGO LACHIVÍA</t>
  </si>
  <si>
    <t>EQUIPAMIENTO PARA TELEBACHILLERATO COMUNITARIO NÚM. 086 CON CLAVE ESCOLAR: 20ETK0086Z  EN LA LOCALIDAD DE SANTIAGO QUIAVICUZAS MUNICIPIO DE  SAN CARLOS YAUTEPEC</t>
  </si>
  <si>
    <t>0029 - SANTIAGO QUIAVICUZAS</t>
  </si>
  <si>
    <t>EQUIPAMIENTO PARA TELEBACHILLERATO COMUNITARIO NÚM. 087 CON CLAVE ESCOLAR: 20ETK0087Y  EN LA LOCALIDAD DE LA SORPRESA MUNICIPIO DE  SAN FELIPE JALAPA DE DÍAZ</t>
  </si>
  <si>
    <t>0012 - LA SORPRESA</t>
  </si>
  <si>
    <t>EQUIPAMIENTO PARA TELEBACHILLERATO COMUNITARIO NÚM. 088 CON CLAVE ESCOLAR: 20ETK0088X  EN LA LOCALIDAD DE SAN JUAN LACHAO PUEBLO VIEJO MUNICIPIO DE  SAN JUAN LACHAO</t>
  </si>
  <si>
    <t>EQUIPAMIENTO PARA TELEBACHILLERATO COMUNITARIO NÚM. 089 CON CLAVE ESCOLAR: 20ETK0089W  EN LA LOCALIDAD DE SAN JUAN MONTE FLOR MUNICIPIO DE  SAN JUAN TAMAZOLA</t>
  </si>
  <si>
    <t>0005 - SAN JUAN MONTE FLOR</t>
  </si>
  <si>
    <t>EQUIPAMIENTO PARA TELEBACHILLERATO COMUNITARIO NÚM. 090 CON CLAVE ESCOLAR: 20ETK0090L  EN LA LOCALIDAD DE YUTANDAYOO MUNICIPIO DE  SAN PEDRO JICAYÁN</t>
  </si>
  <si>
    <t>0006 - YUTANDAYOO</t>
  </si>
  <si>
    <t>EQUIPAMIENTO PARA TELEBACHILLERATO COMUNITARIO NÚM. 091 CON CLAVE ESCOLAR: 20ETK0091K  EN LA LOCALIDAD DE SAN MIGUEL FIGUEROA MUNICIPIO DE  SAN PEDRO POCHUTLA</t>
  </si>
  <si>
    <t>0030 - SAN MIGUEL FIGUEROA</t>
  </si>
  <si>
    <t>EQUIPAMIENTO PARA TELEBACHILLERATO COMUNITARIO NÚM. 092 CON CLAVE ESCOLAR: 20ETK0092J  EN LA LOCALIDAD DE SANTA MARÍA CAMOTLÁN MUNICIPIO DE  SANTA MARÍA CAMOTLÁN</t>
  </si>
  <si>
    <t>400 - SANTA MARÍA CAMOTLÁN</t>
  </si>
  <si>
    <t>0001 - SANTA MARÍA CAMOTLÁN</t>
  </si>
  <si>
    <t>EQUIPAMIENTO PARA TELEBACHILLERATO COMUNITARIO NÚM. 093 CON CLAVE ESCOLAR: 20ETK0093I  EN LA LOCALIDAD DE SAN FRANCISCO MUNICIPIO DE  SANTA MARÍA CHILCHOTLA</t>
  </si>
  <si>
    <t>406 - SANTA MARÍA CHILCHOTLA</t>
  </si>
  <si>
    <t>0063 - SAN FRANCISCO</t>
  </si>
  <si>
    <t>EQUIPAMIENTO PARA TELEBACHILLERATO COMUNITARIO NÚM. 094 CON CLAVE ESCOLAR: 20ETK0094H  EN LA LOCALIDAD DE EL MAMEY MUNICIPIO DE  SANTIAGO AMOLTEPEC</t>
  </si>
  <si>
    <t>0012 - EL MAMEY</t>
  </si>
  <si>
    <t>EQUIPAMIENTO PARA TELEBACHILLERATO COMUNITARIO NÚM. 095 CON CLAVE ESCOLAR: 20ETK0095G  EN LA LOCALIDAD DE ESTANCIA DE MORELOS MUNICIPIO DE  SANTIAGO ATITLÁN</t>
  </si>
  <si>
    <t>0002 - ESTANCIA DE MORELOS</t>
  </si>
  <si>
    <t>EQUIPAMIENTO PARA TELEBACHILLERATO COMUNITARIO NÚM. 096 CON CLAVE ESCOLAR: 20ETK0096F  EN LA LOCALIDAD DE VILLA NUEVA MUNICIPIO DE  SANTIAGO IXTAYUTLA</t>
  </si>
  <si>
    <t>EQUIPAMIENTO PARA TELEBACHILLERATO COMUNITARIO NÚM. 097 CON CLAVE ESCOLAR: 20ETK0097E  EN LA LOCALIDAD DE SAN SEBASTIAN DEL MONTE MUNICIPIO DE  SANTO DOMINGO TONALÁ</t>
  </si>
  <si>
    <t>0005 - SAN SEBASTIÁN DEL MONTE</t>
  </si>
  <si>
    <t>EQUIPAMIENTO PARA TELEBACHILLERATO COMUNITARIO NÚM. 098 CON CLAVE ESCOLAR: 20ETK0098D  EN LA LOCALIDAD DE SAN MIGUEL DEL VALLE MUNICIPIO DE  VILLA DÍAZ ORDÁZ</t>
  </si>
  <si>
    <t>560 - VILLA DÍAZ ORDAZ</t>
  </si>
  <si>
    <t>0003 - SAN MIGUEL DEL VALLE</t>
  </si>
  <si>
    <t>EQUIPAMIENTO PARA TELEBACHILLERATO COMUNITARIO NÚM. 100 CON CLAVE ESCOLAR: 20ETK0100B  EN LA LOCALIDAD DE YOGANA MUNICIPIO DE  YOGANA</t>
  </si>
  <si>
    <t>563 - YOGANA</t>
  </si>
  <si>
    <t>0001 - YOGANA</t>
  </si>
  <si>
    <t>EQUIPAMIENTO PARA TELEBACHILLERATO COMUNITARIO NÚM. 101 CON CLAVE ESCOLAR: 20ETK0101A EN LA LOCALIDAD DE LA LUZ MUNICIPIO DE VILLA DE TUTUTEPEC</t>
  </si>
  <si>
    <t>EQUIPAMIENTO PARA TELEBACHILLERATO COMUNITARIO NÚM. 102 CON CLAVE ESCOLAR: 20ETK0102Z  EN LA LOCALIDAD DE EL VERGEL MUNICIPIO DE  HEROICA CIUDAD DE EJUTLA DE CRESPO</t>
  </si>
  <si>
    <t>ADQUISICIÓN DE EQUIPAMIENTO PARA  EL “HOSPITAL DE LA COMUNIDAD DE IXTLÁN DE JUÁREZ DEL ESTADO DE OAXACA"</t>
  </si>
  <si>
    <t>FORTALECIMIENTO DEL MARCO NORMATIVO DE CENTROS DE ASISTENCIA SOCIAL DEL SISTEMA DIF OAXACA</t>
  </si>
  <si>
    <t>FORTALECIMIENTO DEL PLAN INTERNO DE PROTECCIÓN CIVIL DE LOS CENTROS DE ASISTENCIA SOCIAL DEL SISTEMA DIF OAXACA</t>
  </si>
  <si>
    <t xml:space="preserve">	-96.727602</t>
  </si>
  <si>
    <t>CONSTRUCCIÓN DE CANCHA DEPORTIVA EN ESCUELA SECUNDARIA GENERAL "MACEDONIO ALCALÁ" CON CLAVE ESCOLAR: 20DES0071Y, EN LA LOCALIDAD DE SANTIAGO IHUITLÁN PLUMAS, MUNICIPIO SANTIAGO IHUITLÁN PLUMAS.</t>
  </si>
  <si>
    <t>EQUIPAMIENTO PARA ESCUELA PRIMARIA "VICTORIANO GONZÁLEZ" CON CLAVE ESCOLAR: 20DPR1618K, EN LA LOCALIDAD DE SAN ALEJO EL PROGRESO, MUNICIPIO SAN FRANCISCO CHAPULAPA.</t>
  </si>
  <si>
    <t>CONSTRUCCIÓN DE LABORATORIO EN ESCUELA SECUNDARIA TÉCNICA NÚM. 130 CON CLAVE ESCOLAR: 20DST0189O, EN LA LOCALIDAD SAN MARTÍN TILCAJETE, MUNICIPIO SAN MARTÍN TILCAJETE</t>
  </si>
  <si>
    <t>REHABILITACIÓN DE HOSPITAL INTEGRAL (COMUNITARIO) EN LA LOCALIDAD DE SANTA MARÍA HUATULCO</t>
  </si>
  <si>
    <t>REHABILITACION DE CENTRO DE SALUD RURAL DE 01 NÚCLEO BÁSICO EN LA LOCALIDAD DE PLAN ALEMÁN</t>
  </si>
  <si>
    <t>0012 - PLAN ALEMÁN</t>
  </si>
  <si>
    <t>EQUIPAMIENTO PARA IEBO NÚM. 06 CON CLAVE ESCOLAR: 20ETH0006J, EN LA LOCALIDAD DE SANTOS REYES NOPALA, MUNICIPIO DE SANTOS REYES NOPALA</t>
  </si>
  <si>
    <t>MANTENIMIENTO INTEGRAL DE LOS SERVICIOS DE AGUA POTABLE, SANEAMIENTO, RESIDUOS SÓLIDOS, RELLENO SANITARIO E INFRAESTRUCTURA URBANA DEL CIP HUATULCO, PRIMERA ETAPA.</t>
  </si>
  <si>
    <t>0000 - COBERTURA MUNICIPAL SANTA MARÍA HUATULCO</t>
  </si>
  <si>
    <t>MANTENIMIENTO INTEGRAL DE LOS SERVICIOS DE AGUA POTABLE, SANEAMIENTO, RESIDUOS SÓLIDOS, RELLENO SANITARIO E INFRAESTRUCTURA URBANA DEL CIP HUATULCO, SEGUNDA ETAPA.</t>
  </si>
  <si>
    <t>Notas:</t>
  </si>
  <si>
    <t>El presente reporte solamente incluye aquellas actividades que tengan presupuesto asignado</t>
  </si>
  <si>
    <t>La información que se presenta corresponde a los registros en el Sistema de Inversión (SI) realizados por las Unidades responsables</t>
  </si>
  <si>
    <t>La validez, veracidad y exactitud de la información es responsabilidad de cada unidad responsable.</t>
  </si>
  <si>
    <t>Area responsable de integrar la información</t>
  </si>
  <si>
    <t>Subsecretaria de Planeación e Inversión Pública/Dirección de Seguimiento a la Inversión/Coordinación de Análisis y Evaluación</t>
  </si>
  <si>
    <t>Fuente de Información:</t>
  </si>
  <si>
    <t>Sistema Estatal de  Finanzas Publicas de Oaxaca - Modulo de Planeación y Programación de la Inversión Pública</t>
  </si>
  <si>
    <t>3 - ISTMO</t>
  </si>
  <si>
    <t>4 - MIXTECA</t>
  </si>
  <si>
    <t>5 - CUENCA DEL PAPALOAPAN</t>
  </si>
  <si>
    <t>6 - SIERRA DE JUÁREZ</t>
  </si>
  <si>
    <t>7 - SIERRA SUR</t>
  </si>
  <si>
    <t>8 - VALLES CENTRALES</t>
  </si>
  <si>
    <t>9 - COBERTURA ESTATAL</t>
  </si>
  <si>
    <t>TOTAL</t>
  </si>
  <si>
    <t>OBRAS AUTORIZADAS</t>
  </si>
  <si>
    <t>1 - SIERRA DE FLORES MAGÓN</t>
  </si>
  <si>
    <t>2 - COSTA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</si>
</sst>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rgb="FF000000"/>
      <name val="Calibri"/>
    </font>
    <font>
      <b/>
      <sz val="11"/>
      <color rgb="FF000000"/>
      <name val="Calibri"/>
      <family val="2"/>
    </font>
    <font>
      <b/>
      <sz val="11"/>
      <color rgb="FFFFFFFF"/>
      <name val="Calibri"/>
      <family val="2"/>
    </font>
    <font>
      <i/>
      <sz val="11"/>
      <color rgb="FF000000"/>
      <name val="Calibri"/>
      <family val="2"/>
    </font>
  </fonts>
  <fills count="5">
    <fill>
      <patternFill patternType="none"/>
    </fill>
    <fill>
      <patternFill patternType="gray125"/>
    </fill>
    <fill>
      <patternFill patternType="solid">
        <fgColor rgb="FF90CC54"/>
        <bgColor rgb="FF000000"/>
      </patternFill>
    </fill>
    <fill>
      <patternFill patternType="solid">
        <fgColor rgb="FFFFFFFF"/>
        <bgColor rgb="FF000000"/>
      </patternFill>
    </fill>
    <fill>
      <patternFill patternType="solid">
        <fgColor rgb="FFD3D3D3"/>
        <bgColor rgb="FF000000"/>
      </patternFill>
    </fill>
  </fills>
  <borders count="2">
    <border>
      <left/>
      <right/>
      <top/>
      <bottom/>
      <diagonal/>
    </border>
    <border>
      <left/>
      <right/>
      <top style="thin">
        <color rgb="FF000000"/>
      </top>
      <bottom style="thin">
        <color rgb="FF000000"/>
      </bottom>
      <diagonal/>
    </border>
  </borders>
  <cellStyleXfs count="1">
    <xf numFmtId="0" fontId="0" fillId="0" borderId="0"/>
  </cellStyleXfs>
  <cellXfs count="12">
    <xf numFmtId="0" fontId="0" fillId="0" borderId="0" xfId="0"/>
    <xf numFmtId="0" fontId="2" fillId="2" borderId="0" xfId="0" applyFont="1" applyFill="1" applyAlignment="1">
      <alignment horizontal="center" vertical="center" wrapText="1"/>
    </xf>
    <xf numFmtId="0" fontId="0" fillId="0" borderId="0" xfId="0" applyAlignment="1">
      <alignment wrapText="1"/>
    </xf>
    <xf numFmtId="0" fontId="0" fillId="3" borderId="1" xfId="0" applyFill="1" applyBorder="1"/>
    <xf numFmtId="0" fontId="0" fillId="4" borderId="1" xfId="0" applyFill="1" applyBorder="1"/>
    <xf numFmtId="0" fontId="0" fillId="3" borderId="1" xfId="0" applyFill="1" applyBorder="1" applyAlignment="1">
      <alignment wrapText="1"/>
    </xf>
    <xf numFmtId="0" fontId="0" fillId="4" borderId="1" xfId="0" applyFill="1" applyBorder="1" applyAlignment="1">
      <alignment wrapText="1"/>
    </xf>
    <xf numFmtId="0" fontId="1" fillId="0" borderId="0" xfId="0" applyFont="1" applyAlignment="1">
      <alignment horizontal="center" vertical="center" wrapText="1"/>
    </xf>
    <xf numFmtId="0" fontId="1" fillId="0" borderId="0" xfId="0" applyFont="1"/>
    <xf numFmtId="0" fontId="0" fillId="0" borderId="0" xfId="0"/>
    <xf numFmtId="0" fontId="3" fillId="0" borderId="0" xfId="0" applyFont="1" applyAlignment="1">
      <alignment wrapText="1"/>
    </xf>
    <xf numFmtId="0" fontId="0" fillId="0" borderId="0" xfId="0" applyAlignment="1">
      <alignment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355850" cy="666750"/>
    <xdr:pic>
      <xdr:nvPicPr>
        <xdr:cNvPr id="2" name="Imagen 1"/>
        <xdr:cNvPicPr>
          <a:picLocks noChangeAspect="1"/>
        </xdr:cNvPicPr>
      </xdr:nvPicPr>
      <xdr:blipFill>
        <a:blip xmlns:r="http://schemas.openxmlformats.org/officeDocument/2006/relationships" r:embed="rId1"/>
        <a:stretch>
          <a:fillRect/>
        </a:stretch>
      </xdr:blipFill>
      <xdr:spPr>
        <a:xfrm>
          <a:off x="1" y="0"/>
          <a:ext cx="2355850" cy="666750"/>
        </a:xfrm>
        <a:prstGeom prst="rect">
          <a:avLst/>
        </a:prstGeom>
      </xdr:spPr>
    </xdr:pic>
    <xdr:clientData/>
  </xdr:oneCellAnchor>
  <xdr:oneCellAnchor>
    <xdr:from>
      <xdr:col>11</xdr:col>
      <xdr:colOff>0</xdr:colOff>
      <xdr:row>0</xdr:row>
      <xdr:rowOff>0</xdr:rowOff>
    </xdr:from>
    <xdr:ext cx="2990850" cy="714375"/>
    <xdr:pic>
      <xdr:nvPicPr>
        <xdr:cNvPr id="3" name="Imagen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4</xdr:col>
      <xdr:colOff>0</xdr:colOff>
      <xdr:row>1</xdr:row>
      <xdr:rowOff>0</xdr:rowOff>
    </xdr:from>
    <xdr:ext cx="7200900" cy="4810125"/>
    <xdr:pic>
      <xdr:nvPicPr>
        <xdr:cNvPr id="4" name="Imagen 3"/>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95250</xdr:rowOff>
    </xdr:from>
    <xdr:ext cx="285750" cy="285750"/>
    <xdr:pic>
      <xdr:nvPicPr>
        <xdr:cNvPr id="5" name="Imagen 4"/>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95250</xdr:colOff>
      <xdr:row>3</xdr:row>
      <xdr:rowOff>95250</xdr:rowOff>
    </xdr:from>
    <xdr:ext cx="285750" cy="285750"/>
    <xdr:pic>
      <xdr:nvPicPr>
        <xdr:cNvPr id="6" name="Imagen 5"/>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0</xdr:col>
      <xdr:colOff>95250</xdr:colOff>
      <xdr:row>4</xdr:row>
      <xdr:rowOff>95250</xdr:rowOff>
    </xdr:from>
    <xdr:ext cx="285750" cy="285750"/>
    <xdr:pic>
      <xdr:nvPicPr>
        <xdr:cNvPr id="7" name="Imagen 6"/>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0</xdr:col>
      <xdr:colOff>95250</xdr:colOff>
      <xdr:row>5</xdr:row>
      <xdr:rowOff>95250</xdr:rowOff>
    </xdr:from>
    <xdr:ext cx="285750" cy="285750"/>
    <xdr:pic>
      <xdr:nvPicPr>
        <xdr:cNvPr id="8" name="Imagen 7"/>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0</xdr:col>
      <xdr:colOff>95250</xdr:colOff>
      <xdr:row>6</xdr:row>
      <xdr:rowOff>95250</xdr:rowOff>
    </xdr:from>
    <xdr:ext cx="285750" cy="285750"/>
    <xdr:pic>
      <xdr:nvPicPr>
        <xdr:cNvPr id="9" name="Imagen 8"/>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0</xdr:col>
      <xdr:colOff>95250</xdr:colOff>
      <xdr:row>7</xdr:row>
      <xdr:rowOff>95250</xdr:rowOff>
    </xdr:from>
    <xdr:ext cx="285750" cy="285750"/>
    <xdr:pic>
      <xdr:nvPicPr>
        <xdr:cNvPr id="10" name="Imagen 9"/>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0</xdr:col>
      <xdr:colOff>95250</xdr:colOff>
      <xdr:row>8</xdr:row>
      <xdr:rowOff>95250</xdr:rowOff>
    </xdr:from>
    <xdr:ext cx="285750" cy="285750"/>
    <xdr:pic>
      <xdr:nvPicPr>
        <xdr:cNvPr id="11" name="Imagen 10"/>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0</xdr:col>
      <xdr:colOff>95250</xdr:colOff>
      <xdr:row>9</xdr:row>
      <xdr:rowOff>95250</xdr:rowOff>
    </xdr:from>
    <xdr:ext cx="285750" cy="285750"/>
    <xdr:pic>
      <xdr:nvPicPr>
        <xdr:cNvPr id="12" name="Imagen 11"/>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0</xdr:col>
      <xdr:colOff>95250</xdr:colOff>
      <xdr:row>10</xdr:row>
      <xdr:rowOff>95250</xdr:rowOff>
    </xdr:from>
    <xdr:ext cx="428625" cy="285750"/>
    <xdr:pic>
      <xdr:nvPicPr>
        <xdr:cNvPr id="13" name="Imagen 12"/>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0</xdr:col>
      <xdr:colOff>95250</xdr:colOff>
      <xdr:row>11</xdr:row>
      <xdr:rowOff>95250</xdr:rowOff>
    </xdr:from>
    <xdr:ext cx="428625" cy="285750"/>
    <xdr:pic>
      <xdr:nvPicPr>
        <xdr:cNvPr id="14" name="Imagen 13"/>
        <xdr:cNvPicPr>
          <a:picLocks noChangeAspect="1"/>
        </xdr:cNvPicPr>
      </xdr:nvPicPr>
      <xdr:blipFill>
        <a:blip xmlns:r="http://schemas.openxmlformats.org/officeDocument/2006/relationships" r:embed="rId13"/>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2794000" cy="857250"/>
    <xdr:pic>
      <xdr:nvPicPr>
        <xdr:cNvPr id="2" name="Imagen 1"/>
        <xdr:cNvPicPr>
          <a:picLocks noChangeAspect="1"/>
        </xdr:cNvPicPr>
      </xdr:nvPicPr>
      <xdr:blipFill>
        <a:blip xmlns:r="http://schemas.openxmlformats.org/officeDocument/2006/relationships" r:embed="rId1"/>
        <a:stretch>
          <a:fillRect/>
        </a:stretch>
      </xdr:blipFill>
      <xdr:spPr>
        <a:xfrm>
          <a:off x="1" y="0"/>
          <a:ext cx="2794000" cy="857250"/>
        </a:xfrm>
        <a:prstGeom prst="rect">
          <a:avLst/>
        </a:prstGeom>
      </xdr:spPr>
    </xdr:pic>
    <xdr:clientData/>
  </xdr:oneCellAnchor>
  <xdr:oneCellAnchor>
    <xdr:from>
      <xdr:col>8</xdr:col>
      <xdr:colOff>762000</xdr:colOff>
      <xdr:row>0</xdr:row>
      <xdr:rowOff>0</xdr:rowOff>
    </xdr:from>
    <xdr:ext cx="3914775" cy="933450"/>
    <xdr:pic>
      <xdr:nvPicPr>
        <xdr:cNvPr id="3" name="Imagen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182" Type="http://schemas.openxmlformats.org/officeDocument/2006/relationships/hyperlink" Target="https://maps.google.com/?q=16.551339,-97.499438999999995" TargetMode="External"/><Relationship Id="rId4233" Type="http://schemas.openxmlformats.org/officeDocument/2006/relationships/hyperlink" Target="https://maps.google.com/?q=17.990044,-96.739127" TargetMode="External"/><Relationship Id="rId8854" Type="http://schemas.openxmlformats.org/officeDocument/2006/relationships/hyperlink" Target="https://maps.google.com/?q=17.219128,-96.243823000000006" TargetMode="External"/><Relationship Id="rId9905" Type="http://schemas.openxmlformats.org/officeDocument/2006/relationships/hyperlink" Target="https://maps.google.com/?q=16.5535330187913,-96.725047097791006" TargetMode="External"/><Relationship Id="rId7456" Type="http://schemas.openxmlformats.org/officeDocument/2006/relationships/hyperlink" Target="https://maps.google.com/?q=16.3256232378188,-96.675667731771298" TargetMode="External"/><Relationship Id="rId8507" Type="http://schemas.openxmlformats.org/officeDocument/2006/relationships/hyperlink" Target="https://maps.google.com/?q=17.1483382426925,-97.539218159760097" TargetMode="External"/><Relationship Id="rId10784" Type="http://schemas.openxmlformats.org/officeDocument/2006/relationships/hyperlink" Target="https://maps.google.com/?q=16.4599239831967,-94.999308495395795" TargetMode="External"/><Relationship Id="rId11835" Type="http://schemas.openxmlformats.org/officeDocument/2006/relationships/hyperlink" Target="https://maps.google.com/?q=17.015061836705996,-97.2828923852501" TargetMode="External"/><Relationship Id="rId6058" Type="http://schemas.openxmlformats.org/officeDocument/2006/relationships/hyperlink" Target="https://maps.google.com/?q=18.158682773659578,-96.576509123458422" TargetMode="External"/><Relationship Id="rId7109" Type="http://schemas.openxmlformats.org/officeDocument/2006/relationships/hyperlink" Target="https://maps.google.com/?q=17.3497438433331,-97.636457374051602" TargetMode="External"/><Relationship Id="rId10437" Type="http://schemas.openxmlformats.org/officeDocument/2006/relationships/hyperlink" Target="https://maps.google.com/?q=17.041823,-96.778481999999997" TargetMode="External"/><Relationship Id="rId987" Type="http://schemas.openxmlformats.org/officeDocument/2006/relationships/hyperlink" Target="https://maps.google.com/?q=15.691778421816023,-96.520016155161187" TargetMode="External"/><Relationship Id="rId2668" Type="http://schemas.openxmlformats.org/officeDocument/2006/relationships/hyperlink" Target="https://maps.google.com/?q=17.27517,-97.693155000000004" TargetMode="External"/><Relationship Id="rId3719" Type="http://schemas.openxmlformats.org/officeDocument/2006/relationships/hyperlink" Target="https://maps.google.com/?q=15.758202916816476,-96.142717643207391" TargetMode="External"/><Relationship Id="rId4090" Type="http://schemas.openxmlformats.org/officeDocument/2006/relationships/hyperlink" Target="https://maps.google.com/?q=17.05611569,-96.745782180000006" TargetMode="External"/><Relationship Id="rId5141" Type="http://schemas.openxmlformats.org/officeDocument/2006/relationships/hyperlink" Target="https://maps.google.com/?q=17.254568,-96.150013000000001" TargetMode="External"/><Relationship Id="rId9762" Type="http://schemas.openxmlformats.org/officeDocument/2006/relationships/hyperlink" Target="https://maps.google.com/?q=17.2814961088712,-96.796024030281501" TargetMode="External"/><Relationship Id="rId11692" Type="http://schemas.openxmlformats.org/officeDocument/2006/relationships/hyperlink" Target="https://maps.google.com/?q=17.18022227,-97.70943398" TargetMode="External"/><Relationship Id="rId12743" Type="http://schemas.openxmlformats.org/officeDocument/2006/relationships/hyperlink" Target="https://maps.google.com/?q=17.450032510899,-97.285285693292707" TargetMode="External"/><Relationship Id="rId1751" Type="http://schemas.openxmlformats.org/officeDocument/2006/relationships/hyperlink" Target="https://maps.google.com/?q=18.06088893,-96.84808305" TargetMode="External"/><Relationship Id="rId2802" Type="http://schemas.openxmlformats.org/officeDocument/2006/relationships/hyperlink" Target="https://maps.google.com/?q=16.9849329266322,-97.720116052744004" TargetMode="External"/><Relationship Id="rId8364" Type="http://schemas.openxmlformats.org/officeDocument/2006/relationships/hyperlink" Target="https://maps.google.com/?q=16.8444738570625,-97.197226770305207" TargetMode="External"/><Relationship Id="rId9415" Type="http://schemas.openxmlformats.org/officeDocument/2006/relationships/hyperlink" Target="https://maps.google.com/?q=16.7759372895689,-95.191014265537206" TargetMode="External"/><Relationship Id="rId10294" Type="http://schemas.openxmlformats.org/officeDocument/2006/relationships/hyperlink" Target="https://maps.google.com/?q=0,-97.266724269999997" TargetMode="External"/><Relationship Id="rId11345" Type="http://schemas.openxmlformats.org/officeDocument/2006/relationships/hyperlink" Target="https://maps.google.com/?q=16.362601500717,-94.188374203704797" TargetMode="External"/><Relationship Id="rId1404" Type="http://schemas.openxmlformats.org/officeDocument/2006/relationships/hyperlink" Target="https://maps.google.com/?q=17.063778,-96.729971000000006" TargetMode="External"/><Relationship Id="rId8017" Type="http://schemas.openxmlformats.org/officeDocument/2006/relationships/hyperlink" Target="https://maps.google.com/?q=18.1646483418802,-96.878833067008401" TargetMode="External"/><Relationship Id="rId3576" Type="http://schemas.openxmlformats.org/officeDocument/2006/relationships/hyperlink" Target="https://maps.google.com/?q=15.775830070390418,-96.137126843612066" TargetMode="External"/><Relationship Id="rId4627" Type="http://schemas.openxmlformats.org/officeDocument/2006/relationships/hyperlink" Target="https://maps.google.com/?q=17.03603556,-96.712064909999995" TargetMode="External"/><Relationship Id="rId4974" Type="http://schemas.openxmlformats.org/officeDocument/2006/relationships/hyperlink" Target="https://maps.google.com/?q=17.344673762035107,-96.17059224663537" TargetMode="External"/><Relationship Id="rId497" Type="http://schemas.openxmlformats.org/officeDocument/2006/relationships/hyperlink" Target="https://maps.google.com/?q=16.054576,-97.408924999999996" TargetMode="External"/><Relationship Id="rId2178" Type="http://schemas.openxmlformats.org/officeDocument/2006/relationships/hyperlink" Target="https://maps.google.com/?q=16.996119615238,-97.231632582951093" TargetMode="External"/><Relationship Id="rId3229" Type="http://schemas.openxmlformats.org/officeDocument/2006/relationships/hyperlink" Target="https://maps.google.com/?q=17.9340662787666,-96.210707093254101" TargetMode="External"/><Relationship Id="rId7100" Type="http://schemas.openxmlformats.org/officeDocument/2006/relationships/hyperlink" Target="https://maps.google.com/?q=16.351594,-98.058621000000002" TargetMode="External"/><Relationship Id="rId6799" Type="http://schemas.openxmlformats.org/officeDocument/2006/relationships/hyperlink" Target="https://maps.google.com/?q=16.6495852698223,-97.039910492406605" TargetMode="External"/><Relationship Id="rId13651" Type="http://schemas.openxmlformats.org/officeDocument/2006/relationships/hyperlink" Target="https://maps.google.com/?q=16.341,-98.447520" TargetMode="External"/><Relationship Id="rId3710" Type="http://schemas.openxmlformats.org/officeDocument/2006/relationships/hyperlink" Target="https://maps.google.com/?q=15.757946207305155,-96.14036190839893" TargetMode="External"/><Relationship Id="rId9272" Type="http://schemas.openxmlformats.org/officeDocument/2006/relationships/hyperlink" Target="https://maps.google.com/?q=17.3785044340966,-96.301416872363703" TargetMode="External"/><Relationship Id="rId12253" Type="http://schemas.openxmlformats.org/officeDocument/2006/relationships/hyperlink" Target="https://maps.google.com/?q=16.4259640007981,-97.2270892688217" TargetMode="External"/><Relationship Id="rId13304" Type="http://schemas.openxmlformats.org/officeDocument/2006/relationships/hyperlink" Target="https://maps.google.com/?q=16.1333230876581,-96.329970376686902" TargetMode="External"/><Relationship Id="rId631" Type="http://schemas.openxmlformats.org/officeDocument/2006/relationships/hyperlink" Target="https://maps.google.com/?q=16.054514,-97.394467000000006" TargetMode="External"/><Relationship Id="rId1261" Type="http://schemas.openxmlformats.org/officeDocument/2006/relationships/hyperlink" Target="https://maps.google.com/?q=17.058588,-96.743084999999994" TargetMode="External"/><Relationship Id="rId2312" Type="http://schemas.openxmlformats.org/officeDocument/2006/relationships/hyperlink" Target="https://maps.google.com/?q=18.1060397975619,-96.868328358793093" TargetMode="External"/><Relationship Id="rId5882" Type="http://schemas.openxmlformats.org/officeDocument/2006/relationships/hyperlink" Target="https://maps.google.com/?q=18.145025538241427,-96.56677343474945" TargetMode="External"/><Relationship Id="rId6933" Type="http://schemas.openxmlformats.org/officeDocument/2006/relationships/hyperlink" Target="https://maps.google.com/?q=16.3171244,-95.237034300000005" TargetMode="External"/><Relationship Id="rId4484" Type="http://schemas.openxmlformats.org/officeDocument/2006/relationships/hyperlink" Target="https://maps.google.com/?q=17.1712240690641,-97.306534815973293" TargetMode="External"/><Relationship Id="rId5535" Type="http://schemas.openxmlformats.org/officeDocument/2006/relationships/hyperlink" Target="https://maps.google.com/?q=17.2882199663281,&#160;-97.37043143684" TargetMode="External"/><Relationship Id="rId14078" Type="http://schemas.openxmlformats.org/officeDocument/2006/relationships/hyperlink" Target="https://maps.google.com/?q=16.210965016757854,-94.06890780557062" TargetMode="External"/><Relationship Id="rId3086" Type="http://schemas.openxmlformats.org/officeDocument/2006/relationships/hyperlink" Target="https://maps.google.com/?q=16.9664650616258,-96.9419159847578" TargetMode="External"/><Relationship Id="rId4137" Type="http://schemas.openxmlformats.org/officeDocument/2006/relationships/hyperlink" Target="https://maps.google.com/?q=17.668944,&#160;-95.879792" TargetMode="External"/><Relationship Id="rId8758" Type="http://schemas.openxmlformats.org/officeDocument/2006/relationships/hyperlink" Target="https://maps.google.com/?q=17.203006,-96.253692000000001" TargetMode="External"/><Relationship Id="rId9809" Type="http://schemas.openxmlformats.org/officeDocument/2006/relationships/hyperlink" Target="https://maps.google.com/?q=16.6430068330721,-96.750974551164106" TargetMode="External"/><Relationship Id="rId10688" Type="http://schemas.openxmlformats.org/officeDocument/2006/relationships/hyperlink" Target="https://maps.google.com/?q=17.010083160829947,-96.5814149951611" TargetMode="External"/><Relationship Id="rId11739" Type="http://schemas.openxmlformats.org/officeDocument/2006/relationships/hyperlink" Target="https://maps.google.com/?q=17.18913175,-97.713133350000007" TargetMode="External"/><Relationship Id="rId13161" Type="http://schemas.openxmlformats.org/officeDocument/2006/relationships/hyperlink" Target="https://maps.google.com/?q=16.5669259828343,-97.015327055225299" TargetMode="External"/><Relationship Id="rId141" Type="http://schemas.openxmlformats.org/officeDocument/2006/relationships/hyperlink" Target="https://maps.google.com/?q=17.097933,-97.491698999999997" TargetMode="External"/><Relationship Id="rId3220" Type="http://schemas.openxmlformats.org/officeDocument/2006/relationships/hyperlink" Target="https://maps.google.com/?q=17.8037613025103,-96.005028492642396" TargetMode="External"/><Relationship Id="rId6790" Type="http://schemas.openxmlformats.org/officeDocument/2006/relationships/hyperlink" Target="https://maps.google.com/?q=16.6435821187063,-97.036709035076399" TargetMode="External"/><Relationship Id="rId7841" Type="http://schemas.openxmlformats.org/officeDocument/2006/relationships/hyperlink" Target="https://maps.google.com/?q=15.966619,-96.020574999999994" TargetMode="External"/><Relationship Id="rId10822" Type="http://schemas.openxmlformats.org/officeDocument/2006/relationships/hyperlink" Target="https://maps.google.com/?q=16.4045681040553,-94.457690169311405" TargetMode="External"/><Relationship Id="rId7" Type="http://schemas.openxmlformats.org/officeDocument/2006/relationships/hyperlink" Target="https://maps.google.com/?q=17.222456,-97.122985" TargetMode="External"/><Relationship Id="rId5392" Type="http://schemas.openxmlformats.org/officeDocument/2006/relationships/hyperlink" Target="https://maps.google.com/?q=16.0923178731902,-97.688033913029201" TargetMode="External"/><Relationship Id="rId6443" Type="http://schemas.openxmlformats.org/officeDocument/2006/relationships/hyperlink" Target="https://maps.google.com/?q=17.34704298,-97.558843370000005" TargetMode="External"/><Relationship Id="rId5045" Type="http://schemas.openxmlformats.org/officeDocument/2006/relationships/hyperlink" Target="https://maps.google.com/?q=17.251563,-96.155867000000001" TargetMode="External"/><Relationship Id="rId9666" Type="http://schemas.openxmlformats.org/officeDocument/2006/relationships/hyperlink" Target="https://maps.google.com/?q=16.4631938743622,-96.646810344505994" TargetMode="External"/><Relationship Id="rId11596" Type="http://schemas.openxmlformats.org/officeDocument/2006/relationships/hyperlink" Target="https://maps.google.com/?q=16.8352492862673,-96.727526906745894" TargetMode="External"/><Relationship Id="rId12994" Type="http://schemas.openxmlformats.org/officeDocument/2006/relationships/hyperlink" Target="https://maps.google.com/?q=16.502356,-97.555161999999996" TargetMode="External"/><Relationship Id="rId1655" Type="http://schemas.openxmlformats.org/officeDocument/2006/relationships/hyperlink" Target="https://maps.google.com/?q=16.8939191897539,-96.939105687518307" TargetMode="External"/><Relationship Id="rId2706" Type="http://schemas.openxmlformats.org/officeDocument/2006/relationships/hyperlink" Target="https://maps.google.com/?q=15.914706,-96.419169999999994" TargetMode="External"/><Relationship Id="rId8268" Type="http://schemas.openxmlformats.org/officeDocument/2006/relationships/hyperlink" Target="https://maps.google.com/?q=17.027283,-96.759825000000006" TargetMode="External"/><Relationship Id="rId9319" Type="http://schemas.openxmlformats.org/officeDocument/2006/relationships/hyperlink" Target="https://maps.google.com/?q=16.815958319885,-95.140077931506795" TargetMode="External"/><Relationship Id="rId10198" Type="http://schemas.openxmlformats.org/officeDocument/2006/relationships/hyperlink" Target="https://maps.google.com/?q=17.22134339933634,-97.32857194693695" TargetMode="External"/><Relationship Id="rId11249" Type="http://schemas.openxmlformats.org/officeDocument/2006/relationships/hyperlink" Target="https://maps.google.com/?q=17.8635897860554,-96.307480762268099" TargetMode="External"/><Relationship Id="rId12647" Type="http://schemas.openxmlformats.org/officeDocument/2006/relationships/hyperlink" Target="https://maps.google.com/?q=17.119257,-96.855312999999995" TargetMode="External"/><Relationship Id="rId1308" Type="http://schemas.openxmlformats.org/officeDocument/2006/relationships/hyperlink" Target="https://maps.google.com/?q=17.081197,-96.727012" TargetMode="External"/><Relationship Id="rId4878" Type="http://schemas.openxmlformats.org/officeDocument/2006/relationships/hyperlink" Target="https://maps.google.com/?q=16.7933935382742,-96.393391380000494" TargetMode="External"/><Relationship Id="rId5929" Type="http://schemas.openxmlformats.org/officeDocument/2006/relationships/hyperlink" Target="https://maps.google.com/?q=18.152909186849573,-96.570683036566535" TargetMode="External"/><Relationship Id="rId9800" Type="http://schemas.openxmlformats.org/officeDocument/2006/relationships/hyperlink" Target="https://maps.google.com/?q=16.6420100824674,-96.752462509999702" TargetMode="External"/><Relationship Id="rId11730" Type="http://schemas.openxmlformats.org/officeDocument/2006/relationships/hyperlink" Target="https://maps.google.com/?q=17.18702637,-97.71118937" TargetMode="External"/><Relationship Id="rId14" Type="http://schemas.openxmlformats.org/officeDocument/2006/relationships/hyperlink" Target="https://maps.google.com/?q=17.222665,-97.122191999999998" TargetMode="External"/><Relationship Id="rId7004" Type="http://schemas.openxmlformats.org/officeDocument/2006/relationships/hyperlink" Target="https://maps.google.com/?q=17.0385587422241,-97.304166012620797" TargetMode="External"/><Relationship Id="rId7351" Type="http://schemas.openxmlformats.org/officeDocument/2006/relationships/hyperlink" Target="https://maps.google.com/?q=16.56431,-97.656721000000005" TargetMode="External"/><Relationship Id="rId8402" Type="http://schemas.openxmlformats.org/officeDocument/2006/relationships/hyperlink" Target="https://maps.google.com/?q=16.0900169425483,-96.243766495700797" TargetMode="External"/><Relationship Id="rId10332" Type="http://schemas.openxmlformats.org/officeDocument/2006/relationships/hyperlink" Target="https://maps.google.com/?q=17.4311745301376,-96.658319085116602" TargetMode="External"/><Relationship Id="rId3961" Type="http://schemas.openxmlformats.org/officeDocument/2006/relationships/hyperlink" Target="https://maps.google.com/?q=17.061462,-96.754750999999999" TargetMode="External"/><Relationship Id="rId13555" Type="http://schemas.openxmlformats.org/officeDocument/2006/relationships/hyperlink" Target="https://maps.google.com/?q=17.360573209739368,-97.5701948444233" TargetMode="External"/><Relationship Id="rId882" Type="http://schemas.openxmlformats.org/officeDocument/2006/relationships/hyperlink" Target="https://maps.google.com/?q=17.093496,-97.492895000000004" TargetMode="External"/><Relationship Id="rId2563" Type="http://schemas.openxmlformats.org/officeDocument/2006/relationships/hyperlink" Target="https://maps.google.com/?q=16.0096546336708,-97.2023444862362" TargetMode="External"/><Relationship Id="rId3614" Type="http://schemas.openxmlformats.org/officeDocument/2006/relationships/hyperlink" Target="https://maps.google.com/?q=15.776913948745813,-96.13713960337185" TargetMode="External"/><Relationship Id="rId9176" Type="http://schemas.openxmlformats.org/officeDocument/2006/relationships/hyperlink" Target="https://maps.google.com/?q=17.3734444347538,-96.299261558006293" TargetMode="External"/><Relationship Id="rId12157" Type="http://schemas.openxmlformats.org/officeDocument/2006/relationships/hyperlink" Target="https://maps.google.com/?q=16.131153,-96.368165" TargetMode="External"/><Relationship Id="rId13208" Type="http://schemas.openxmlformats.org/officeDocument/2006/relationships/hyperlink" Target="https://maps.google.com/?q=17.3405340140772,-97.384451703041094" TargetMode="External"/><Relationship Id="rId535" Type="http://schemas.openxmlformats.org/officeDocument/2006/relationships/hyperlink" Target="https://maps.google.com/?q=16.05269,-97.403136000000003" TargetMode="External"/><Relationship Id="rId1165" Type="http://schemas.openxmlformats.org/officeDocument/2006/relationships/hyperlink" Target="https://maps.google.com/?q=16.761732,-97.990459" TargetMode="External"/><Relationship Id="rId2216" Type="http://schemas.openxmlformats.org/officeDocument/2006/relationships/hyperlink" Target="https://maps.google.com/?q=16.9936450057484,-97.249266255139005" TargetMode="External"/><Relationship Id="rId5786" Type="http://schemas.openxmlformats.org/officeDocument/2006/relationships/hyperlink" Target="https://maps.google.com/?q=17.3033962728723,-97.488442860118894" TargetMode="External"/><Relationship Id="rId6837" Type="http://schemas.openxmlformats.org/officeDocument/2006/relationships/hyperlink" Target="https://maps.google.com/?q=17.007214461404,-96.978254918402598" TargetMode="External"/><Relationship Id="rId4388" Type="http://schemas.openxmlformats.org/officeDocument/2006/relationships/hyperlink" Target="https://maps.google.com/?q=15.99896707,-96.690763970000006" TargetMode="External"/><Relationship Id="rId5439" Type="http://schemas.openxmlformats.org/officeDocument/2006/relationships/hyperlink" Target="https://maps.google.com/?q=16.0063241876171,-97.446717392583807" TargetMode="External"/><Relationship Id="rId9310" Type="http://schemas.openxmlformats.org/officeDocument/2006/relationships/hyperlink" Target="https://maps.google.com/?q=16.8152034689833,-95.134702784640197" TargetMode="External"/><Relationship Id="rId11240" Type="http://schemas.openxmlformats.org/officeDocument/2006/relationships/hyperlink" Target="https://maps.google.com/?q=17.8614249207788,-96.305734644105399" TargetMode="External"/><Relationship Id="rId5920" Type="http://schemas.openxmlformats.org/officeDocument/2006/relationships/hyperlink" Target="https://maps.google.com/?q=18.149406038837927,-96.568051172897995" TargetMode="External"/><Relationship Id="rId3471" Type="http://schemas.openxmlformats.org/officeDocument/2006/relationships/hyperlink" Target="https://maps.google.com/?q=17.9151401314505,-97.998115771827997" TargetMode="External"/><Relationship Id="rId4522" Type="http://schemas.openxmlformats.org/officeDocument/2006/relationships/hyperlink" Target="https://maps.google.com/?q=17.1813228151348,-97.304302694270106" TargetMode="External"/><Relationship Id="rId13065" Type="http://schemas.openxmlformats.org/officeDocument/2006/relationships/hyperlink" Target="https://maps.google.com/?q=16.5629881,-97.540610099999995" TargetMode="External"/><Relationship Id="rId14116" Type="http://schemas.openxmlformats.org/officeDocument/2006/relationships/hyperlink" Target="https://maps.google.com/?q=18.31080727,-96.57366265" TargetMode="External"/><Relationship Id="rId392" Type="http://schemas.openxmlformats.org/officeDocument/2006/relationships/hyperlink" Target="https://maps.google.com/?q=16.063259,-97.380872999999994" TargetMode="External"/><Relationship Id="rId2073" Type="http://schemas.openxmlformats.org/officeDocument/2006/relationships/hyperlink" Target="https://maps.google.com/?q=15.772122981557064,-96.235217634351784" TargetMode="External"/><Relationship Id="rId3124" Type="http://schemas.openxmlformats.org/officeDocument/2006/relationships/hyperlink" Target="https://maps.google.com/?q=16.583477,-97.441176999999996" TargetMode="External"/><Relationship Id="rId6694" Type="http://schemas.openxmlformats.org/officeDocument/2006/relationships/hyperlink" Target="https://maps.google.com/?q=16.9388501,-96.966689500000001" TargetMode="External"/><Relationship Id="rId7745" Type="http://schemas.openxmlformats.org/officeDocument/2006/relationships/hyperlink" Target="https://maps.google.com/?q=16.6338634035322,-96.798659535955593" TargetMode="External"/><Relationship Id="rId5296" Type="http://schemas.openxmlformats.org/officeDocument/2006/relationships/hyperlink" Target="https://maps.google.com/?q=15.716936956198,-96.471958367395999" TargetMode="External"/><Relationship Id="rId6347" Type="http://schemas.openxmlformats.org/officeDocument/2006/relationships/hyperlink" Target="https://maps.google.com/?q=18.063011,-96.400265000000005" TargetMode="External"/><Relationship Id="rId10726" Type="http://schemas.openxmlformats.org/officeDocument/2006/relationships/hyperlink" Target="https://maps.google.com/?q=17.0784475941075,-96.71122686043876" TargetMode="External"/><Relationship Id="rId12898" Type="http://schemas.openxmlformats.org/officeDocument/2006/relationships/hyperlink" Target="https://maps.google.com/?q=16.508881,-97.517188000000004" TargetMode="External"/><Relationship Id="rId13949" Type="http://schemas.openxmlformats.org/officeDocument/2006/relationships/hyperlink" Target="https://maps.google.com/?q=17.224021,-96.297552" TargetMode="External"/><Relationship Id="rId2957" Type="http://schemas.openxmlformats.org/officeDocument/2006/relationships/hyperlink" Target="https://maps.google.com/?q=17.08255804,-96.693637730000006" TargetMode="External"/><Relationship Id="rId929" Type="http://schemas.openxmlformats.org/officeDocument/2006/relationships/hyperlink" Target="https://maps.google.com/?q=15.709945259575418,-96.528705123609853" TargetMode="External"/><Relationship Id="rId1559" Type="http://schemas.openxmlformats.org/officeDocument/2006/relationships/hyperlink" Target="https://maps.google.com/?q=16.9554631163821,-97.449562802791306" TargetMode="External"/><Relationship Id="rId4032" Type="http://schemas.openxmlformats.org/officeDocument/2006/relationships/hyperlink" Target="https://maps.google.com/?q=17.02036688529484,-96.718112242423189" TargetMode="External"/><Relationship Id="rId5430" Type="http://schemas.openxmlformats.org/officeDocument/2006/relationships/hyperlink" Target="https://maps.google.com/?q=16.0054547701448,-97.446018301164003" TargetMode="External"/><Relationship Id="rId11981" Type="http://schemas.openxmlformats.org/officeDocument/2006/relationships/hyperlink" Target="https://maps.google.com/?q=16.8003577703608,-96.721345222208697" TargetMode="External"/><Relationship Id="rId8653" Type="http://schemas.openxmlformats.org/officeDocument/2006/relationships/hyperlink" Target="https://maps.google.com/?q=17.0323442187793,-97.804013362322394" TargetMode="External"/><Relationship Id="rId9704" Type="http://schemas.openxmlformats.org/officeDocument/2006/relationships/hyperlink" Target="https://maps.google.com/?q=16.4260733259592,-95.018853347440597" TargetMode="External"/><Relationship Id="rId10583" Type="http://schemas.openxmlformats.org/officeDocument/2006/relationships/hyperlink" Target="https://maps.google.com/?q=17.1030540968884,-97.771534493590295" TargetMode="External"/><Relationship Id="rId11634" Type="http://schemas.openxmlformats.org/officeDocument/2006/relationships/hyperlink" Target="https://maps.google.com/?q=16.8418174653268,-96.728440177909803" TargetMode="External"/><Relationship Id="rId7255" Type="http://schemas.openxmlformats.org/officeDocument/2006/relationships/hyperlink" Target="https://maps.google.com/?q=16.0977562343599,-97.923048513373601" TargetMode="External"/><Relationship Id="rId8306" Type="http://schemas.openxmlformats.org/officeDocument/2006/relationships/hyperlink" Target="https://maps.google.com/?q=16.538555,-98.030964999999995" TargetMode="External"/><Relationship Id="rId10236" Type="http://schemas.openxmlformats.org/officeDocument/2006/relationships/hyperlink" Target="https://maps.google.com/?q=17.197246470282767,-97.40270385440819" TargetMode="External"/><Relationship Id="rId3865" Type="http://schemas.openxmlformats.org/officeDocument/2006/relationships/hyperlink" Target="https://maps.google.com/?q=17.1028187581457,-95.937086667493602" TargetMode="External"/><Relationship Id="rId4916" Type="http://schemas.openxmlformats.org/officeDocument/2006/relationships/hyperlink" Target="https://maps.google.com/?q=18.031926,-96.674699000000004" TargetMode="External"/><Relationship Id="rId13459" Type="http://schemas.openxmlformats.org/officeDocument/2006/relationships/hyperlink" Target="https://maps.google.com/?q=17.6865500108547,-97.033689728835995" TargetMode="External"/><Relationship Id="rId786" Type="http://schemas.openxmlformats.org/officeDocument/2006/relationships/hyperlink" Target="https://maps.google.com/?q=15.690423240113693,-96.517193883549851" TargetMode="External"/><Relationship Id="rId2467" Type="http://schemas.openxmlformats.org/officeDocument/2006/relationships/hyperlink" Target="https://maps.google.com/?q=17.05171983,-96.624600990000005" TargetMode="External"/><Relationship Id="rId3518" Type="http://schemas.openxmlformats.org/officeDocument/2006/relationships/hyperlink" Target="https://maps.google.com/?q=15.762282,-96.150056" TargetMode="External"/><Relationship Id="rId439" Type="http://schemas.openxmlformats.org/officeDocument/2006/relationships/hyperlink" Target="https://maps.google.com/?q=16.053419,-97.410045999999994" TargetMode="External"/><Relationship Id="rId1069" Type="http://schemas.openxmlformats.org/officeDocument/2006/relationships/hyperlink" Target="https://maps.google.com/?q=17.090118,-97.492348000000007" TargetMode="External"/><Relationship Id="rId13940" Type="http://schemas.openxmlformats.org/officeDocument/2006/relationships/hyperlink" Target="https://maps.google.com/?q=16.328347,-96.619444" TargetMode="External"/><Relationship Id="rId8163" Type="http://schemas.openxmlformats.org/officeDocument/2006/relationships/hyperlink" Target="https://maps.google.com/?q=17.357888740204,-96.302135482778596" TargetMode="External"/><Relationship Id="rId9214" Type="http://schemas.openxmlformats.org/officeDocument/2006/relationships/hyperlink" Target="https://maps.google.com/?q=17.3750789980325,-96.303676951746098" TargetMode="External"/><Relationship Id="rId9561" Type="http://schemas.openxmlformats.org/officeDocument/2006/relationships/hyperlink" Target="https://maps.google.com/?q=17.358493,-96.293395000000004" TargetMode="External"/><Relationship Id="rId11491" Type="http://schemas.openxmlformats.org/officeDocument/2006/relationships/hyperlink" Target="https://maps.google.com/?q=16.3083462429237,-96.643956158787901" TargetMode="External"/><Relationship Id="rId12542" Type="http://schemas.openxmlformats.org/officeDocument/2006/relationships/hyperlink" Target="https://maps.google.com/?q=16.9701212677004,&#160;-97.9122263481132" TargetMode="External"/><Relationship Id="rId920" Type="http://schemas.openxmlformats.org/officeDocument/2006/relationships/hyperlink" Target="https://maps.google.com/?q=17.222485,-97.122366999999997" TargetMode="External"/><Relationship Id="rId1550" Type="http://schemas.openxmlformats.org/officeDocument/2006/relationships/hyperlink" Target="https://maps.google.com/?q=16.489545796835433,-97.84190170150238" TargetMode="External"/><Relationship Id="rId2601" Type="http://schemas.openxmlformats.org/officeDocument/2006/relationships/hyperlink" Target="https://maps.google.com/?q=18.251805,-96.287968000000006" TargetMode="External"/><Relationship Id="rId10093" Type="http://schemas.openxmlformats.org/officeDocument/2006/relationships/hyperlink" Target="https://maps.google.com/?q=17.0190158002968,-96.129542808895494" TargetMode="External"/><Relationship Id="rId11144" Type="http://schemas.openxmlformats.org/officeDocument/2006/relationships/hyperlink" Target="https://maps.google.com/?q=16.837172,-96.012034999999997" TargetMode="External"/><Relationship Id="rId1203" Type="http://schemas.openxmlformats.org/officeDocument/2006/relationships/hyperlink" Target="https://maps.google.com/?q=16.095229,-97.689780" TargetMode="External"/><Relationship Id="rId4773" Type="http://schemas.openxmlformats.org/officeDocument/2006/relationships/hyperlink" Target="https://maps.google.com/?q=17.9571757673068,-96.661624702639699" TargetMode="External"/><Relationship Id="rId5824" Type="http://schemas.openxmlformats.org/officeDocument/2006/relationships/hyperlink" Target="https://maps.google.com/?q=17.1192388623966,-96.803879216017705" TargetMode="External"/><Relationship Id="rId3375" Type="http://schemas.openxmlformats.org/officeDocument/2006/relationships/hyperlink" Target="https://maps.google.com/?q=17.0697727713104,%20-97.79048711045071" TargetMode="External"/><Relationship Id="rId4426" Type="http://schemas.openxmlformats.org/officeDocument/2006/relationships/hyperlink" Target="https://maps.google.com/?q=17.2655268815131,-97.532509735212997" TargetMode="External"/><Relationship Id="rId7996" Type="http://schemas.openxmlformats.org/officeDocument/2006/relationships/hyperlink" Target="https://maps.google.com/?q=18.1635713461787,-96.873125735636904" TargetMode="External"/><Relationship Id="rId296" Type="http://schemas.openxmlformats.org/officeDocument/2006/relationships/hyperlink" Target="https://maps.google.com/?q=16.88644,-97.678719999999998" TargetMode="External"/><Relationship Id="rId3028" Type="http://schemas.openxmlformats.org/officeDocument/2006/relationships/hyperlink" Target="https://maps.google.com/?q=16.9394225,-97.0057683" TargetMode="External"/><Relationship Id="rId6598" Type="http://schemas.openxmlformats.org/officeDocument/2006/relationships/hyperlink" Target="https://maps.google.com/?q=17.105134,-96.063542" TargetMode="External"/><Relationship Id="rId7649" Type="http://schemas.openxmlformats.org/officeDocument/2006/relationships/hyperlink" Target="https://maps.google.com/?q=17.2318200972455,-95.054003925981206" TargetMode="External"/><Relationship Id="rId10977" Type="http://schemas.openxmlformats.org/officeDocument/2006/relationships/hyperlink" Target="https://maps.google.com/?q=16.2213731148242,-95.215374121104205" TargetMode="External"/><Relationship Id="rId9071" Type="http://schemas.openxmlformats.org/officeDocument/2006/relationships/hyperlink" Target="https://maps.google.com/?q=16.05932,-95.492890000000003" TargetMode="External"/><Relationship Id="rId12052" Type="http://schemas.openxmlformats.org/officeDocument/2006/relationships/hyperlink" Target="https://maps.google.com/?q=16.10775,-97.204500999999993" TargetMode="External"/><Relationship Id="rId13450" Type="http://schemas.openxmlformats.org/officeDocument/2006/relationships/hyperlink" Target="https://maps.google.com/?q=17.685732662933,-97.034225176582197" TargetMode="External"/><Relationship Id="rId430" Type="http://schemas.openxmlformats.org/officeDocument/2006/relationships/hyperlink" Target="https://maps.google.com/?q=16.052524,-97.413661000000005" TargetMode="External"/><Relationship Id="rId1060" Type="http://schemas.openxmlformats.org/officeDocument/2006/relationships/hyperlink" Target="https://maps.google.com/?q=15.903601,-96.450344999999999" TargetMode="External"/><Relationship Id="rId2111" Type="http://schemas.openxmlformats.org/officeDocument/2006/relationships/hyperlink" Target="https://maps.google.com/?q=15.770066,-96.151393" TargetMode="External"/><Relationship Id="rId13103" Type="http://schemas.openxmlformats.org/officeDocument/2006/relationships/hyperlink" Target="https://maps.google.com/?q=16.5655519,-97.534100300000006" TargetMode="External"/><Relationship Id="rId5681" Type="http://schemas.openxmlformats.org/officeDocument/2006/relationships/hyperlink" Target="https://maps.google.com/?q=16.433777,-97.899511000000004" TargetMode="External"/><Relationship Id="rId6732" Type="http://schemas.openxmlformats.org/officeDocument/2006/relationships/hyperlink" Target="https://maps.google.com/?q=0,-96.652899968699998" TargetMode="External"/><Relationship Id="rId4283" Type="http://schemas.openxmlformats.org/officeDocument/2006/relationships/hyperlink" Target="https://maps.google.com/?q=16.06076881,-96.610136429999997" TargetMode="External"/><Relationship Id="rId5334" Type="http://schemas.openxmlformats.org/officeDocument/2006/relationships/hyperlink" Target="https://maps.google.com/?q=15.8113139322388,-96.359492111098106" TargetMode="External"/><Relationship Id="rId9955" Type="http://schemas.openxmlformats.org/officeDocument/2006/relationships/hyperlink" Target="https://maps.google.com/?q=17.406371609564093,-96.5375664007092" TargetMode="External"/><Relationship Id="rId11885" Type="http://schemas.openxmlformats.org/officeDocument/2006/relationships/hyperlink" Target="https://maps.google.com/?q=17.842335318450537,-97.42657580489349" TargetMode="External"/><Relationship Id="rId1944" Type="http://schemas.openxmlformats.org/officeDocument/2006/relationships/hyperlink" Target="https://maps.google.com/?q=15.777484141978206,-96.137234185764868" TargetMode="External"/><Relationship Id="rId8557" Type="http://schemas.openxmlformats.org/officeDocument/2006/relationships/hyperlink" Target="https://maps.google.com/?q=16.9257427760231,-96.610519635581994" TargetMode="External"/><Relationship Id="rId9608" Type="http://schemas.openxmlformats.org/officeDocument/2006/relationships/hyperlink" Target="https://maps.google.com/?q=17.9976146318605,-96.750324248402706" TargetMode="External"/><Relationship Id="rId10487" Type="http://schemas.openxmlformats.org/officeDocument/2006/relationships/hyperlink" Target="https://maps.google.com/?q=17.8446979964868,-96.748358199430399" TargetMode="External"/><Relationship Id="rId11538" Type="http://schemas.openxmlformats.org/officeDocument/2006/relationships/hyperlink" Target="https://maps.google.com/?q=16.8264712302911,-96.706839023313506" TargetMode="External"/><Relationship Id="rId12936" Type="http://schemas.openxmlformats.org/officeDocument/2006/relationships/hyperlink" Target="https://maps.google.com/?q=16.543506,-97.547241" TargetMode="External"/><Relationship Id="rId7159" Type="http://schemas.openxmlformats.org/officeDocument/2006/relationships/hyperlink" Target="https://maps.google.com/?q=16.2008124868378,-97.928449330000603" TargetMode="External"/><Relationship Id="rId14011" Type="http://schemas.openxmlformats.org/officeDocument/2006/relationships/hyperlink" Target="https://maps.google.com/?q=16.33953,-94.51497474" TargetMode="External"/><Relationship Id="rId3769" Type="http://schemas.openxmlformats.org/officeDocument/2006/relationships/hyperlink" Target="https://maps.google.com/?q=15.763238,-96.143756999999994" TargetMode="External"/><Relationship Id="rId5191" Type="http://schemas.openxmlformats.org/officeDocument/2006/relationships/hyperlink" Target="https://maps.google.com/?q=17.31637,-95.966819999999998" TargetMode="External"/><Relationship Id="rId6242" Type="http://schemas.openxmlformats.org/officeDocument/2006/relationships/hyperlink" Target="https://maps.google.com/?q=16.2399952,-96.401255419999998" TargetMode="External"/><Relationship Id="rId7640" Type="http://schemas.openxmlformats.org/officeDocument/2006/relationships/hyperlink" Target="https://maps.google.com/?q=17.2314355856731,-95.050758160380596" TargetMode="External"/><Relationship Id="rId10621" Type="http://schemas.openxmlformats.org/officeDocument/2006/relationships/hyperlink" Target="https://maps.google.com/?q=17.1146782737243,-97.780594501085304" TargetMode="External"/><Relationship Id="rId12793" Type="http://schemas.openxmlformats.org/officeDocument/2006/relationships/hyperlink" Target="https://maps.google.com/?q=16.23536,-97.292007999999996" TargetMode="External"/><Relationship Id="rId13844" Type="http://schemas.openxmlformats.org/officeDocument/2006/relationships/hyperlink" Target="https://maps.google.com/?q=17.091963,-97.784368999999998" TargetMode="External"/><Relationship Id="rId2852" Type="http://schemas.openxmlformats.org/officeDocument/2006/relationships/hyperlink" Target="https://maps.google.com/?q=16.9643180680731,-97.729450844245406" TargetMode="External"/><Relationship Id="rId3903" Type="http://schemas.openxmlformats.org/officeDocument/2006/relationships/hyperlink" Target="https://maps.google.com/?q=17.773565,-96.31399" TargetMode="External"/><Relationship Id="rId9465" Type="http://schemas.openxmlformats.org/officeDocument/2006/relationships/hyperlink" Target="https://maps.google.com/?q=15.835977,-96.670471000000006" TargetMode="External"/><Relationship Id="rId11395" Type="http://schemas.openxmlformats.org/officeDocument/2006/relationships/hyperlink" Target="https://maps.google.com/?q=17.19289,-97.891448999999994" TargetMode="External"/><Relationship Id="rId12446" Type="http://schemas.openxmlformats.org/officeDocument/2006/relationships/hyperlink" Target="https://maps.google.com/?q=17.2208625977868,-97.271358460730298" TargetMode="External"/><Relationship Id="rId824" Type="http://schemas.openxmlformats.org/officeDocument/2006/relationships/hyperlink" Target="https://maps.google.com/?q=15.698205099177237,-96.525129235711319" TargetMode="External"/><Relationship Id="rId1454" Type="http://schemas.openxmlformats.org/officeDocument/2006/relationships/hyperlink" Target="https://maps.google.com/?q=17.005213197575458,-95.02868469848633" TargetMode="External"/><Relationship Id="rId2505" Type="http://schemas.openxmlformats.org/officeDocument/2006/relationships/hyperlink" Target="https://maps.google.com/?q=17.05211891,-96.624199759999996" TargetMode="External"/><Relationship Id="rId8067" Type="http://schemas.openxmlformats.org/officeDocument/2006/relationships/hyperlink" Target="https://maps.google.com/?q=16.4977806684504,-97.373123241594897" TargetMode="External"/><Relationship Id="rId9118" Type="http://schemas.openxmlformats.org/officeDocument/2006/relationships/hyperlink" Target="https://maps.google.com/?q=17.041064,-96.727536000000001" TargetMode="External"/><Relationship Id="rId11048" Type="http://schemas.openxmlformats.org/officeDocument/2006/relationships/hyperlink" Target="https://maps.google.com/?q=16.9972574804715,-96.126426886429101" TargetMode="External"/><Relationship Id="rId1107" Type="http://schemas.openxmlformats.org/officeDocument/2006/relationships/hyperlink" Target="https://maps.google.com/?q=15.876536,-96.458200000000005" TargetMode="External"/><Relationship Id="rId4677" Type="http://schemas.openxmlformats.org/officeDocument/2006/relationships/hyperlink" Target="https://maps.google.com/?q=17.1594443416902,-95.91383627976226" TargetMode="External"/><Relationship Id="rId5728" Type="http://schemas.openxmlformats.org/officeDocument/2006/relationships/hyperlink" Target="https://maps.google.com/?q=16.3865903248,-96.363416865299996" TargetMode="External"/><Relationship Id="rId3279" Type="http://schemas.openxmlformats.org/officeDocument/2006/relationships/hyperlink" Target="https://maps.google.com/?q=17.0617987194471,-96.818681326389196" TargetMode="External"/><Relationship Id="rId7150" Type="http://schemas.openxmlformats.org/officeDocument/2006/relationships/hyperlink" Target="https://maps.google.com/?q=17.3664556218618,-97.665327406655507" TargetMode="External"/><Relationship Id="rId8201" Type="http://schemas.openxmlformats.org/officeDocument/2006/relationships/hyperlink" Target="https://maps.google.com/?q=16.67635,-96.30865" TargetMode="External"/><Relationship Id="rId10131" Type="http://schemas.openxmlformats.org/officeDocument/2006/relationships/hyperlink" Target="https://maps.google.com/?q=17.0910219417621,-97.494677030998901" TargetMode="External"/><Relationship Id="rId3760" Type="http://schemas.openxmlformats.org/officeDocument/2006/relationships/hyperlink" Target="https://maps.google.com/?q=15.762321,-96.144124000000005" TargetMode="External"/><Relationship Id="rId4811" Type="http://schemas.openxmlformats.org/officeDocument/2006/relationships/hyperlink" Target="https://maps.google.com/?q=16.9046941261509,-96.502043414264506" TargetMode="External"/><Relationship Id="rId13354" Type="http://schemas.openxmlformats.org/officeDocument/2006/relationships/hyperlink" Target="https://maps.google.com/?q=16.3196847753923,-96.675681454613695" TargetMode="External"/><Relationship Id="rId681" Type="http://schemas.openxmlformats.org/officeDocument/2006/relationships/hyperlink" Target="https://maps.google.com/?q=16.060734,-97.385193000000001" TargetMode="External"/><Relationship Id="rId2362" Type="http://schemas.openxmlformats.org/officeDocument/2006/relationships/hyperlink" Target="https://maps.google.com/?q=17.0980709839342,-97.853289244041903" TargetMode="External"/><Relationship Id="rId3413" Type="http://schemas.openxmlformats.org/officeDocument/2006/relationships/hyperlink" Target="https://maps.google.com/?q=17.818305,-96.242227999999997" TargetMode="External"/><Relationship Id="rId6983" Type="http://schemas.openxmlformats.org/officeDocument/2006/relationships/hyperlink" Target="https://maps.google.com/?q=17.097155,-97.495678999999996" TargetMode="External"/><Relationship Id="rId13007" Type="http://schemas.openxmlformats.org/officeDocument/2006/relationships/hyperlink" Target="https://maps.google.com/?q=16.5038995,-97.558021999999994" TargetMode="External"/><Relationship Id="rId334" Type="http://schemas.openxmlformats.org/officeDocument/2006/relationships/hyperlink" Target="https://maps.google.com/?q=16.05357,-97.399941999999996" TargetMode="External"/><Relationship Id="rId2015" Type="http://schemas.openxmlformats.org/officeDocument/2006/relationships/hyperlink" Target="https://maps.google.com/?q=15.75794113021631,-96.141350472086131" TargetMode="External"/><Relationship Id="rId5585" Type="http://schemas.openxmlformats.org/officeDocument/2006/relationships/hyperlink" Target="https://maps.google.com/?q=17.446414682153,-96.185146546686497" TargetMode="External"/><Relationship Id="rId6636" Type="http://schemas.openxmlformats.org/officeDocument/2006/relationships/hyperlink" Target="https://maps.google.com/?q=16.530153,-98.030606" TargetMode="External"/><Relationship Id="rId4187" Type="http://schemas.openxmlformats.org/officeDocument/2006/relationships/hyperlink" Target="https://maps.google.com/?q=16.391967,&#160;-98.112182" TargetMode="External"/><Relationship Id="rId5238" Type="http://schemas.openxmlformats.org/officeDocument/2006/relationships/hyperlink" Target="https://maps.google.com/?q=16.656584,-96.728999" TargetMode="External"/><Relationship Id="rId9859" Type="http://schemas.openxmlformats.org/officeDocument/2006/relationships/hyperlink" Target="https://maps.google.com/?q=16.6350457221791,-96.851067691392601" TargetMode="External"/><Relationship Id="rId11789" Type="http://schemas.openxmlformats.org/officeDocument/2006/relationships/hyperlink" Target="https://maps.google.com/?q=17.885754,-96.750578" TargetMode="External"/><Relationship Id="rId1848" Type="http://schemas.openxmlformats.org/officeDocument/2006/relationships/hyperlink" Target="https://maps.google.com/?q=18.0382773291479,-96.898823335040206" TargetMode="External"/><Relationship Id="rId3270" Type="http://schemas.openxmlformats.org/officeDocument/2006/relationships/hyperlink" Target="https://maps.google.com/?q=17.0605671955877,-96.821171165253801" TargetMode="External"/><Relationship Id="rId4321" Type="http://schemas.openxmlformats.org/officeDocument/2006/relationships/hyperlink" Target="https://maps.google.com/?q=16.0323677599097,-96.641371478916298" TargetMode="External"/><Relationship Id="rId191" Type="http://schemas.openxmlformats.org/officeDocument/2006/relationships/hyperlink" Target="https://maps.google.com/?q=17.091356,-97.491883000000001" TargetMode="External"/><Relationship Id="rId7891" Type="http://schemas.openxmlformats.org/officeDocument/2006/relationships/hyperlink" Target="https://maps.google.com/?q=16.3185103856541,-96.413756247550197" TargetMode="External"/><Relationship Id="rId8942" Type="http://schemas.openxmlformats.org/officeDocument/2006/relationships/hyperlink" Target="https://maps.google.com/?q=17.381221175,-96.161194950999999" TargetMode="External"/><Relationship Id="rId10872" Type="http://schemas.openxmlformats.org/officeDocument/2006/relationships/hyperlink" Target="https://maps.google.com/?q=16.3464780531982,-94.482430390212997" TargetMode="External"/><Relationship Id="rId11923" Type="http://schemas.openxmlformats.org/officeDocument/2006/relationships/hyperlink" Target="https://maps.google.com/?q=16.406626,-97.226506000000001" TargetMode="External"/><Relationship Id="rId5095" Type="http://schemas.openxmlformats.org/officeDocument/2006/relationships/hyperlink" Target="https://maps.google.com/?q=17.253214,-96.155136999999996" TargetMode="External"/><Relationship Id="rId6493" Type="http://schemas.openxmlformats.org/officeDocument/2006/relationships/hyperlink" Target="https://maps.google.com/?q=17.2034492927021,-97.596360509999997" TargetMode="External"/><Relationship Id="rId7544" Type="http://schemas.openxmlformats.org/officeDocument/2006/relationships/hyperlink" Target="https://maps.google.com/?q=17.9796926406729,-96.702358435463097" TargetMode="External"/><Relationship Id="rId10525" Type="http://schemas.openxmlformats.org/officeDocument/2006/relationships/hyperlink" Target="https://maps.google.com/?q=17.0959830886731,-97.774778242848299" TargetMode="External"/><Relationship Id="rId6146" Type="http://schemas.openxmlformats.org/officeDocument/2006/relationships/hyperlink" Target="https://maps.google.com/?q=16.95523967,-96.617576400000004" TargetMode="External"/><Relationship Id="rId12697" Type="http://schemas.openxmlformats.org/officeDocument/2006/relationships/hyperlink" Target="https://maps.google.com/?q=16.2835353853625,-96.503537092248294" TargetMode="External"/><Relationship Id="rId13748" Type="http://schemas.openxmlformats.org/officeDocument/2006/relationships/hyperlink" Target="https://maps.google.com/?q=16.666425,-96.30197" TargetMode="External"/><Relationship Id="rId2756" Type="http://schemas.openxmlformats.org/officeDocument/2006/relationships/hyperlink" Target="https://maps.google.com/?q=17.9945757847186,-96.4869129155819" TargetMode="External"/><Relationship Id="rId3807" Type="http://schemas.openxmlformats.org/officeDocument/2006/relationships/hyperlink" Target="https://maps.google.com/?q=15.772587563635048,-96.234819614409062" TargetMode="External"/><Relationship Id="rId9369" Type="http://schemas.openxmlformats.org/officeDocument/2006/relationships/hyperlink" Target="https://maps.google.com/?q=16.8191377275818,-95.141885814418501" TargetMode="External"/><Relationship Id="rId11299" Type="http://schemas.openxmlformats.org/officeDocument/2006/relationships/hyperlink" Target="https://maps.google.com/?q=17.8676234217126,-96.310406681417206" TargetMode="External"/><Relationship Id="rId728" Type="http://schemas.openxmlformats.org/officeDocument/2006/relationships/hyperlink" Target="https://maps.google.com/?q=15.711468526727549,-96.529851687185769" TargetMode="External"/><Relationship Id="rId1358" Type="http://schemas.openxmlformats.org/officeDocument/2006/relationships/hyperlink" Target="https://maps.google.com/?q=17.02079444,-96.71796345" TargetMode="External"/><Relationship Id="rId2409" Type="http://schemas.openxmlformats.org/officeDocument/2006/relationships/hyperlink" Target="https://maps.google.com/?q=17.05036767,-96.624607850000004" TargetMode="External"/><Relationship Id="rId5979" Type="http://schemas.openxmlformats.org/officeDocument/2006/relationships/hyperlink" Target="https://maps.google.com/?q=18.15453121632691,-96.575983951588483" TargetMode="External"/><Relationship Id="rId64" Type="http://schemas.openxmlformats.org/officeDocument/2006/relationships/hyperlink" Target="https://maps.google.com/?q=15.850179,-96.462907000000001" TargetMode="External"/><Relationship Id="rId8452" Type="http://schemas.openxmlformats.org/officeDocument/2006/relationships/hyperlink" Target="https://maps.google.com/?q=17.1499282626928,-97.535742927791603" TargetMode="External"/><Relationship Id="rId9503" Type="http://schemas.openxmlformats.org/officeDocument/2006/relationships/hyperlink" Target="https://maps.google.com/?q=17.001407,-96.716925" TargetMode="External"/><Relationship Id="rId9850" Type="http://schemas.openxmlformats.org/officeDocument/2006/relationships/hyperlink" Target="https://maps.google.com/?q=16.6341325926427,-96.850425157791094" TargetMode="External"/><Relationship Id="rId11780" Type="http://schemas.openxmlformats.org/officeDocument/2006/relationships/hyperlink" Target="https://maps.google.com/?q=16.230112295310857,-97.27476703208542" TargetMode="External"/><Relationship Id="rId12831" Type="http://schemas.openxmlformats.org/officeDocument/2006/relationships/hyperlink" Target="https://maps.google.com/?q=17.514876,-97.682978000000006" TargetMode="External"/><Relationship Id="rId7054" Type="http://schemas.openxmlformats.org/officeDocument/2006/relationships/hyperlink" Target="https://maps.google.com/?q=16.1466967292101,-96.348048241731803" TargetMode="External"/><Relationship Id="rId8105" Type="http://schemas.openxmlformats.org/officeDocument/2006/relationships/hyperlink" Target="https://maps.google.com/?q=17.3549863093303,-96.305589536475907" TargetMode="External"/><Relationship Id="rId10382" Type="http://schemas.openxmlformats.org/officeDocument/2006/relationships/hyperlink" Target="https://maps.google.com/?q=16.5048640784022,-97.163123338045907" TargetMode="External"/><Relationship Id="rId11433" Type="http://schemas.openxmlformats.org/officeDocument/2006/relationships/hyperlink" Target="https://maps.google.com/?q=16.199623,-96.606952000000007" TargetMode="External"/><Relationship Id="rId10035" Type="http://schemas.openxmlformats.org/officeDocument/2006/relationships/hyperlink" Target="https://maps.google.com/?q=16.9064573929744,-96.327449923030898" TargetMode="External"/><Relationship Id="rId3664" Type="http://schemas.openxmlformats.org/officeDocument/2006/relationships/hyperlink" Target="https://maps.google.com/?q=15.784899978078608,-96.13597352761829" TargetMode="External"/><Relationship Id="rId4715" Type="http://schemas.openxmlformats.org/officeDocument/2006/relationships/hyperlink" Target="https://maps.google.com/?q=17.081197,-96.727012" TargetMode="External"/><Relationship Id="rId13258" Type="http://schemas.openxmlformats.org/officeDocument/2006/relationships/hyperlink" Target="https://maps.google.com/?q=17.1537818060767,-96.744354794346506" TargetMode="External"/><Relationship Id="rId585" Type="http://schemas.openxmlformats.org/officeDocument/2006/relationships/hyperlink" Target="https://maps.google.com/?q=16.054402,-97.398934999999994" TargetMode="External"/><Relationship Id="rId2266" Type="http://schemas.openxmlformats.org/officeDocument/2006/relationships/hyperlink" Target="https://maps.google.com/?q=18.0954199723345,-96.927819084751903" TargetMode="External"/><Relationship Id="rId3317" Type="http://schemas.openxmlformats.org/officeDocument/2006/relationships/hyperlink" Target="https://maps.google.com/?q=17.0647498481521,-96.817380393848296" TargetMode="External"/><Relationship Id="rId6887" Type="http://schemas.openxmlformats.org/officeDocument/2006/relationships/hyperlink" Target="https://maps.google.com/?q=16.9728429330048,-97.087054268682493" TargetMode="External"/><Relationship Id="rId7938" Type="http://schemas.openxmlformats.org/officeDocument/2006/relationships/hyperlink" Target="https://maps.google.com/?q=16.3249508602666,-96.411790167983895" TargetMode="External"/><Relationship Id="rId238" Type="http://schemas.openxmlformats.org/officeDocument/2006/relationships/hyperlink" Target="https://maps.google.com/?q=16.88415,-97.675799999999995" TargetMode="External"/><Relationship Id="rId5489" Type="http://schemas.openxmlformats.org/officeDocument/2006/relationships/hyperlink" Target="https://maps.google.com/?q=16.325025,-96.494771" TargetMode="External"/><Relationship Id="rId9360" Type="http://schemas.openxmlformats.org/officeDocument/2006/relationships/hyperlink" Target="https://maps.google.com/?q=16.8183923084437,-95.141016704662206" TargetMode="External"/><Relationship Id="rId10919" Type="http://schemas.openxmlformats.org/officeDocument/2006/relationships/hyperlink" Target="https://maps.google.com/?q=16.190868305859,-95.186906146745898" TargetMode="External"/><Relationship Id="rId11290" Type="http://schemas.openxmlformats.org/officeDocument/2006/relationships/hyperlink" Target="https://maps.google.com/?q=17.8669329976202,-96.3090048001783" TargetMode="External"/><Relationship Id="rId12341" Type="http://schemas.openxmlformats.org/officeDocument/2006/relationships/hyperlink" Target="https://maps.google.com/?q=17.050817,-96.111935" TargetMode="External"/><Relationship Id="rId2400" Type="http://schemas.openxmlformats.org/officeDocument/2006/relationships/hyperlink" Target="https://maps.google.com/?q=16.6043633949343,-97.2161664739385" TargetMode="External"/><Relationship Id="rId9013" Type="http://schemas.openxmlformats.org/officeDocument/2006/relationships/hyperlink" Target="https://maps.google.com/?q=17.382961274,-96.162040179000002" TargetMode="External"/><Relationship Id="rId1002" Type="http://schemas.openxmlformats.org/officeDocument/2006/relationships/hyperlink" Target="https://maps.google.com/?q=15.694291339582124,-96.522622596904341" TargetMode="External"/><Relationship Id="rId5970" Type="http://schemas.openxmlformats.org/officeDocument/2006/relationships/hyperlink" Target="https://maps.google.com/?q=18.154389821004436,-96.57557209745157" TargetMode="External"/><Relationship Id="rId3174" Type="http://schemas.openxmlformats.org/officeDocument/2006/relationships/hyperlink" Target="https://maps.google.com/?q=16.549662,-97.501124000000004" TargetMode="External"/><Relationship Id="rId4572" Type="http://schemas.openxmlformats.org/officeDocument/2006/relationships/hyperlink" Target="https://maps.google.com/?q=16.553407,-96.818708000000001" TargetMode="External"/><Relationship Id="rId5623" Type="http://schemas.openxmlformats.org/officeDocument/2006/relationships/hyperlink" Target="https://maps.google.com/?q=17.5520755634335,-96.223418769287903" TargetMode="External"/><Relationship Id="rId14166" Type="http://schemas.openxmlformats.org/officeDocument/2006/relationships/hyperlink" Target="https://maps.google.com/?q=16.111787149847515,-97.14465034492996" TargetMode="External"/><Relationship Id="rId4225" Type="http://schemas.openxmlformats.org/officeDocument/2006/relationships/hyperlink" Target="https://maps.google.com/?q=16.43374,-95.018046" TargetMode="External"/><Relationship Id="rId7795" Type="http://schemas.openxmlformats.org/officeDocument/2006/relationships/hyperlink" Target="https://maps.google.com/?q=17.8448933152114,-96.747277221306007" TargetMode="External"/><Relationship Id="rId8846" Type="http://schemas.openxmlformats.org/officeDocument/2006/relationships/hyperlink" Target="https://maps.google.com/?q=17.218647,-96.242744000000002" TargetMode="External"/><Relationship Id="rId10776" Type="http://schemas.openxmlformats.org/officeDocument/2006/relationships/hyperlink" Target="https://maps.google.com/?q=16.906698,-96.562142" TargetMode="External"/><Relationship Id="rId11827" Type="http://schemas.openxmlformats.org/officeDocument/2006/relationships/hyperlink" Target="https://maps.google.com/?q=17.898922603206245,-96.71243008846474" TargetMode="External"/><Relationship Id="rId6397" Type="http://schemas.openxmlformats.org/officeDocument/2006/relationships/hyperlink" Target="https://maps.google.com/?q=17.2720844001025,-97.533116313189495" TargetMode="External"/><Relationship Id="rId7448" Type="http://schemas.openxmlformats.org/officeDocument/2006/relationships/hyperlink" Target="https://maps.google.com/?q=16.3218505666138,-96.673964222678805" TargetMode="External"/><Relationship Id="rId10429" Type="http://schemas.openxmlformats.org/officeDocument/2006/relationships/hyperlink" Target="https://maps.google.com/?q=17.0398128,-96.7787498" TargetMode="External"/><Relationship Id="rId13999" Type="http://schemas.openxmlformats.org/officeDocument/2006/relationships/hyperlink" Target="https://maps.google.com/?q=16.279058,-97.820240999999996" TargetMode="External"/><Relationship Id="rId979" Type="http://schemas.openxmlformats.org/officeDocument/2006/relationships/hyperlink" Target="https://maps.google.com/?q=15.689260549087015,-96.515063880214356" TargetMode="External"/><Relationship Id="rId5480" Type="http://schemas.openxmlformats.org/officeDocument/2006/relationships/hyperlink" Target="https://maps.google.com/?q=16.32858,-96.489272" TargetMode="External"/><Relationship Id="rId6531" Type="http://schemas.openxmlformats.org/officeDocument/2006/relationships/hyperlink" Target="https://maps.google.com/?q=17.2589736308072,-97.573842592184405" TargetMode="External"/><Relationship Id="rId10910" Type="http://schemas.openxmlformats.org/officeDocument/2006/relationships/hyperlink" Target="https://maps.google.com/?q=16.1891895025335,-95.183467355581996" TargetMode="External"/><Relationship Id="rId4082" Type="http://schemas.openxmlformats.org/officeDocument/2006/relationships/hyperlink" Target="https://maps.google.com/?q=17.0558127189,-96.7456976" TargetMode="External"/><Relationship Id="rId5133" Type="http://schemas.openxmlformats.org/officeDocument/2006/relationships/hyperlink" Target="https://maps.google.com/?q=17.254299,-96.155844000000002" TargetMode="External"/><Relationship Id="rId9754" Type="http://schemas.openxmlformats.org/officeDocument/2006/relationships/hyperlink" Target="https://maps.google.com/?q=17.2776214988703,-96.805654570135999" TargetMode="External"/><Relationship Id="rId11684" Type="http://schemas.openxmlformats.org/officeDocument/2006/relationships/hyperlink" Target="https://maps.google.com/?q=17.17827075,-97.707931220000006" TargetMode="External"/><Relationship Id="rId12735" Type="http://schemas.openxmlformats.org/officeDocument/2006/relationships/hyperlink" Target="https://maps.google.com/?q=16.5945672102045,-96.9574344839872" TargetMode="External"/><Relationship Id="rId1743" Type="http://schemas.openxmlformats.org/officeDocument/2006/relationships/hyperlink" Target="https://maps.google.com/?q=18.0643423797329,-96.835658749469602" TargetMode="External"/><Relationship Id="rId8009" Type="http://schemas.openxmlformats.org/officeDocument/2006/relationships/hyperlink" Target="https://maps.google.com/?q=18.1640284422199,-96.878719456671902" TargetMode="External"/><Relationship Id="rId8356" Type="http://schemas.openxmlformats.org/officeDocument/2006/relationships/hyperlink" Target="https://maps.google.com/?q=16.8440932321866,-97.197052950356095" TargetMode="External"/><Relationship Id="rId9407" Type="http://schemas.openxmlformats.org/officeDocument/2006/relationships/hyperlink" Target="https://maps.google.com/?q=16.7756476906909,-95.192668885581995" TargetMode="External"/><Relationship Id="rId10286" Type="http://schemas.openxmlformats.org/officeDocument/2006/relationships/hyperlink" Target="https://maps.google.com/?q=16.2463343287139,-95.143539870729796" TargetMode="External"/><Relationship Id="rId11337" Type="http://schemas.openxmlformats.org/officeDocument/2006/relationships/hyperlink" Target="https://maps.google.com/?q=16.64903778,-97.528709649999996" TargetMode="External"/><Relationship Id="rId4966" Type="http://schemas.openxmlformats.org/officeDocument/2006/relationships/hyperlink" Target="https://maps.google.com/?q=17.9675114087446,-96.745623004025205" TargetMode="External"/><Relationship Id="rId3568" Type="http://schemas.openxmlformats.org/officeDocument/2006/relationships/hyperlink" Target="https://maps.google.com/?q=15.77546773921483,-96.136357858222851" TargetMode="External"/><Relationship Id="rId4619" Type="http://schemas.openxmlformats.org/officeDocument/2006/relationships/hyperlink" Target="https://maps.google.com/?q=16.5480292019812,-96.709945627300598" TargetMode="External"/><Relationship Id="rId10420" Type="http://schemas.openxmlformats.org/officeDocument/2006/relationships/hyperlink" Target="https://maps.google.com/?q=17.0593744,-96.796599299999997" TargetMode="External"/><Relationship Id="rId489" Type="http://schemas.openxmlformats.org/officeDocument/2006/relationships/hyperlink" Target="https://maps.google.com/?q=16.055024,-97.408378999999996" TargetMode="External"/><Relationship Id="rId6041" Type="http://schemas.openxmlformats.org/officeDocument/2006/relationships/hyperlink" Target="https://maps.google.com/?q=18.156813330650117,-96.57320081244076" TargetMode="External"/><Relationship Id="rId13990" Type="http://schemas.openxmlformats.org/officeDocument/2006/relationships/hyperlink" Target="https://maps.google.com/?q=17.643507016197812,-97.81146089674624" TargetMode="External"/><Relationship Id="rId9264" Type="http://schemas.openxmlformats.org/officeDocument/2006/relationships/hyperlink" Target="https://maps.google.com/?q=17.3779113043734,-96.3024925651345" TargetMode="External"/><Relationship Id="rId12592" Type="http://schemas.openxmlformats.org/officeDocument/2006/relationships/hyperlink" Target="https://maps.google.com/?q=16.5218070843023,-96.980684022168603" TargetMode="External"/><Relationship Id="rId13643" Type="http://schemas.openxmlformats.org/officeDocument/2006/relationships/hyperlink" Target="https://maps.google.com/?q=16.79243,-96.882431" TargetMode="External"/><Relationship Id="rId970" Type="http://schemas.openxmlformats.org/officeDocument/2006/relationships/hyperlink" Target="https://maps.google.com/?q=15.688516923380316,-96.514191642246573" TargetMode="External"/><Relationship Id="rId1253" Type="http://schemas.openxmlformats.org/officeDocument/2006/relationships/hyperlink" Target="https://maps.google.com/?q=17.056332918,-96.7461488" TargetMode="External"/><Relationship Id="rId2651" Type="http://schemas.openxmlformats.org/officeDocument/2006/relationships/hyperlink" Target="https://maps.google.com/?q=17.6222526505881,-97.232484487102496" TargetMode="External"/><Relationship Id="rId3702" Type="http://schemas.openxmlformats.org/officeDocument/2006/relationships/hyperlink" Target="https://maps.google.com/?q=15.757732126429561,-96.139189908786435" TargetMode="External"/><Relationship Id="rId11194" Type="http://schemas.openxmlformats.org/officeDocument/2006/relationships/hyperlink" Target="https://maps.google.com/?q=16.845786,-96.009574000000001" TargetMode="External"/><Relationship Id="rId12245" Type="http://schemas.openxmlformats.org/officeDocument/2006/relationships/hyperlink" Target="https://maps.google.com/?q=16.42266215,-97.233603279999997" TargetMode="External"/><Relationship Id="rId623" Type="http://schemas.openxmlformats.org/officeDocument/2006/relationships/hyperlink" Target="https://maps.google.com/?q=16.054752,-97.397278" TargetMode="External"/><Relationship Id="rId2304" Type="http://schemas.openxmlformats.org/officeDocument/2006/relationships/hyperlink" Target="https://maps.google.com/?q=18.1051742375085,-96.873080416839997" TargetMode="External"/><Relationship Id="rId5874" Type="http://schemas.openxmlformats.org/officeDocument/2006/relationships/hyperlink" Target="https://maps.google.com/?q=18.143809277540004,-96.562018495632401" TargetMode="External"/><Relationship Id="rId6925" Type="http://schemas.openxmlformats.org/officeDocument/2006/relationships/hyperlink" Target="https://maps.google.com/?q=16.312443,-95.254861000000005" TargetMode="External"/><Relationship Id="rId4476" Type="http://schemas.openxmlformats.org/officeDocument/2006/relationships/hyperlink" Target="https://maps.google.com/?q=17.1694748552386,-97.309204124189307" TargetMode="External"/><Relationship Id="rId5527" Type="http://schemas.openxmlformats.org/officeDocument/2006/relationships/hyperlink" Target="https://maps.google.com/?q=17.2836674715144,-97.373755280177406" TargetMode="External"/><Relationship Id="rId3078" Type="http://schemas.openxmlformats.org/officeDocument/2006/relationships/hyperlink" Target="https://maps.google.com/?q=16.9644799623128,-96.941489261296397" TargetMode="External"/><Relationship Id="rId4129" Type="http://schemas.openxmlformats.org/officeDocument/2006/relationships/hyperlink" Target="https://maps.google.com/?q=16.599669,-95.984734" TargetMode="External"/><Relationship Id="rId7699" Type="http://schemas.openxmlformats.org/officeDocument/2006/relationships/hyperlink" Target="https://maps.google.com/?q=16.6267693961067,-96.796192756136406" TargetMode="External"/><Relationship Id="rId8000" Type="http://schemas.openxmlformats.org/officeDocument/2006/relationships/hyperlink" Target="https://maps.google.com/?q=18.1637585395304,-96.8788029766866" TargetMode="External"/><Relationship Id="rId4610" Type="http://schemas.openxmlformats.org/officeDocument/2006/relationships/hyperlink" Target="https://maps.google.com/?q=16.558564,-96.817871999999994" TargetMode="External"/><Relationship Id="rId13153" Type="http://schemas.openxmlformats.org/officeDocument/2006/relationships/hyperlink" Target="https://maps.google.com/?q=16.5623241698642,-97.008993460926206" TargetMode="External"/><Relationship Id="rId480" Type="http://schemas.openxmlformats.org/officeDocument/2006/relationships/hyperlink" Target="https://maps.google.com/?q=16.053534,-97.409709000000007" TargetMode="External"/><Relationship Id="rId2161" Type="http://schemas.openxmlformats.org/officeDocument/2006/relationships/hyperlink" Target="https://maps.google.com/?q=15.758656366648419,-96.148371854774567" TargetMode="External"/><Relationship Id="rId3212" Type="http://schemas.openxmlformats.org/officeDocument/2006/relationships/hyperlink" Target="https://maps.google.com/?q=17.800432364351,-96.003519055225397" TargetMode="External"/><Relationship Id="rId133" Type="http://schemas.openxmlformats.org/officeDocument/2006/relationships/hyperlink" Target="https://maps.google.com/?q=17.09193,-97.498749000000004" TargetMode="External"/><Relationship Id="rId5384" Type="http://schemas.openxmlformats.org/officeDocument/2006/relationships/hyperlink" Target="https://maps.google.com/?q=15.9766592099514,-97.242447557042993" TargetMode="External"/><Relationship Id="rId6782" Type="http://schemas.openxmlformats.org/officeDocument/2006/relationships/hyperlink" Target="https://maps.google.com/?q=16.6375318708615,-97.039156120249999" TargetMode="External"/><Relationship Id="rId7833" Type="http://schemas.openxmlformats.org/officeDocument/2006/relationships/hyperlink" Target="https://maps.google.com/?q=16.8513136229464,-95.094080836613301" TargetMode="External"/><Relationship Id="rId10814" Type="http://schemas.openxmlformats.org/officeDocument/2006/relationships/hyperlink" Target="https://maps.google.com/?q=16.3997200931505,-94.457862481618207" TargetMode="External"/><Relationship Id="rId5037" Type="http://schemas.openxmlformats.org/officeDocument/2006/relationships/hyperlink" Target="https://maps.google.com/?q=17.251502,-96.154740000000004" TargetMode="External"/><Relationship Id="rId6435" Type="http://schemas.openxmlformats.org/officeDocument/2006/relationships/hyperlink" Target="https://maps.google.com/?q=17.343975,-97.561698120000003" TargetMode="External"/><Relationship Id="rId12986" Type="http://schemas.openxmlformats.org/officeDocument/2006/relationships/hyperlink" Target="https://maps.google.com/?q=16.5013411,-97.557932899999997" TargetMode="External"/><Relationship Id="rId1994" Type="http://schemas.openxmlformats.org/officeDocument/2006/relationships/hyperlink" Target="https://maps.google.com/?q=15.756305915024228,-96.14750012493063" TargetMode="External"/><Relationship Id="rId9658" Type="http://schemas.openxmlformats.org/officeDocument/2006/relationships/hyperlink" Target="https://maps.google.com/?q=16.3176056004893,-96.585317809856306" TargetMode="External"/><Relationship Id="rId11588" Type="http://schemas.openxmlformats.org/officeDocument/2006/relationships/hyperlink" Target="https://maps.google.com/?q=16.8338946281083,-96.719323752149506" TargetMode="External"/><Relationship Id="rId12639" Type="http://schemas.openxmlformats.org/officeDocument/2006/relationships/hyperlink" Target="https://maps.google.com/?q=17.118437,-96.854007999999993" TargetMode="External"/><Relationship Id="rId1647" Type="http://schemas.openxmlformats.org/officeDocument/2006/relationships/hyperlink" Target="https://maps.google.com/?q=16.8933776666008,-96.935259399792102" TargetMode="External"/><Relationship Id="rId14061" Type="http://schemas.openxmlformats.org/officeDocument/2006/relationships/hyperlink" Target="https://maps.google.com/?q=17.113691547268623,-96.45909455628778" TargetMode="External"/><Relationship Id="rId4120" Type="http://schemas.openxmlformats.org/officeDocument/2006/relationships/hyperlink" Target="https://maps.google.com/?q=17.058657,-96.743072990000002" TargetMode="External"/><Relationship Id="rId7690" Type="http://schemas.openxmlformats.org/officeDocument/2006/relationships/hyperlink" Target="https://maps.google.com/?q=17.2058616281399,-97.521990621105104" TargetMode="External"/><Relationship Id="rId8741" Type="http://schemas.openxmlformats.org/officeDocument/2006/relationships/hyperlink" Target="https://maps.google.com/?q=18.0608969081713,-96.125335631010699" TargetMode="External"/><Relationship Id="rId6292" Type="http://schemas.openxmlformats.org/officeDocument/2006/relationships/hyperlink" Target="https://maps.google.com/?q=18.05526374,-96.390347349999999" TargetMode="External"/><Relationship Id="rId7343" Type="http://schemas.openxmlformats.org/officeDocument/2006/relationships/hyperlink" Target="https://maps.google.com/?q=16.549456,-97.682069999999996" TargetMode="External"/><Relationship Id="rId10671" Type="http://schemas.openxmlformats.org/officeDocument/2006/relationships/hyperlink" Target="https://maps.google.com/?q=15.7034485071998,-96.264162939981702" TargetMode="External"/><Relationship Id="rId11722" Type="http://schemas.openxmlformats.org/officeDocument/2006/relationships/hyperlink" Target="https://maps.google.com/?q=17.18553033,-97.710734709999997" TargetMode="External"/><Relationship Id="rId10324" Type="http://schemas.openxmlformats.org/officeDocument/2006/relationships/hyperlink" Target="https://maps.google.com/?q=16.22834633,-97.268201009999999" TargetMode="External"/><Relationship Id="rId13894" Type="http://schemas.openxmlformats.org/officeDocument/2006/relationships/hyperlink" Target="https://maps.google.com/?q=17.3276332412326,-98.022759930565002" TargetMode="External"/><Relationship Id="rId3953" Type="http://schemas.openxmlformats.org/officeDocument/2006/relationships/hyperlink" Target="https://maps.google.com/?q=17.06115,-96.755579999999995" TargetMode="External"/><Relationship Id="rId9168" Type="http://schemas.openxmlformats.org/officeDocument/2006/relationships/hyperlink" Target="https://maps.google.com/?q=17.0040561408185,-96.964718083005906" TargetMode="External"/><Relationship Id="rId12496" Type="http://schemas.openxmlformats.org/officeDocument/2006/relationships/hyperlink" Target="https://maps.google.com/?q=17.2232856244209,-97.274191256032395" TargetMode="External"/><Relationship Id="rId13547" Type="http://schemas.openxmlformats.org/officeDocument/2006/relationships/hyperlink" Target="https://maps.google.com/?q=16.794544,-96.685011" TargetMode="External"/><Relationship Id="rId874" Type="http://schemas.openxmlformats.org/officeDocument/2006/relationships/hyperlink" Target="https://maps.google.com/?q=17.09539,-97.497460000000004" TargetMode="External"/><Relationship Id="rId2555" Type="http://schemas.openxmlformats.org/officeDocument/2006/relationships/hyperlink" Target="https://maps.google.com/?q=17.909666,-98.012039999999999" TargetMode="External"/><Relationship Id="rId3606" Type="http://schemas.openxmlformats.org/officeDocument/2006/relationships/hyperlink" Target="https://maps.google.com/?q=15.776692581271526,-96.136788314782621" TargetMode="External"/><Relationship Id="rId11098" Type="http://schemas.openxmlformats.org/officeDocument/2006/relationships/hyperlink" Target="https://maps.google.com/?q=17.254811,-96.152453" TargetMode="External"/><Relationship Id="rId12149" Type="http://schemas.openxmlformats.org/officeDocument/2006/relationships/hyperlink" Target="https://maps.google.com/?q=17.577755,-97.841290" TargetMode="External"/><Relationship Id="rId527" Type="http://schemas.openxmlformats.org/officeDocument/2006/relationships/hyperlink" Target="https://maps.google.com/?q=16.055035,-97.407435000000007" TargetMode="External"/><Relationship Id="rId1157" Type="http://schemas.openxmlformats.org/officeDocument/2006/relationships/hyperlink" Target="https://maps.google.com/?q=17.266858,-96.56169" TargetMode="External"/><Relationship Id="rId2208" Type="http://schemas.openxmlformats.org/officeDocument/2006/relationships/hyperlink" Target="https://maps.google.com/?q=16.9859821181885,-97.232913162406405" TargetMode="External"/><Relationship Id="rId5778" Type="http://schemas.openxmlformats.org/officeDocument/2006/relationships/hyperlink" Target="https://maps.google.com/?q=17.00028,-97.232213999999999" TargetMode="External"/><Relationship Id="rId6829" Type="http://schemas.openxmlformats.org/officeDocument/2006/relationships/hyperlink" Target="https://maps.google.com/?q=16.06318,-97.171583999999996" TargetMode="External"/><Relationship Id="rId12630" Type="http://schemas.openxmlformats.org/officeDocument/2006/relationships/hyperlink" Target="https://maps.google.com/?q=17.114339,-96.845214999999996" TargetMode="External"/><Relationship Id="rId8251" Type="http://schemas.openxmlformats.org/officeDocument/2006/relationships/hyperlink" Target="https://maps.google.com/?q=16.427526,-97.644754000000006" TargetMode="External"/><Relationship Id="rId9302" Type="http://schemas.openxmlformats.org/officeDocument/2006/relationships/hyperlink" Target="https://maps.google.com/?q=16.8143664539254,-95.138082367999502" TargetMode="External"/><Relationship Id="rId10181" Type="http://schemas.openxmlformats.org/officeDocument/2006/relationships/hyperlink" Target="https://maps.google.com/?q=17.240362726705808,-97.39341419722845" TargetMode="External"/><Relationship Id="rId11232" Type="http://schemas.openxmlformats.org/officeDocument/2006/relationships/hyperlink" Target="https://maps.google.com/?q=17.1186093676173,-97.496962772209002" TargetMode="External"/><Relationship Id="rId3463" Type="http://schemas.openxmlformats.org/officeDocument/2006/relationships/hyperlink" Target="https://maps.google.com/?q=16.4052269438803,-96.962627890876803" TargetMode="External"/><Relationship Id="rId4861" Type="http://schemas.openxmlformats.org/officeDocument/2006/relationships/hyperlink" Target="https://maps.google.com/?q=16.7902958544711,-96.384640492042195" TargetMode="External"/><Relationship Id="rId5912" Type="http://schemas.openxmlformats.org/officeDocument/2006/relationships/hyperlink" Target="https://maps.google.com/?q=18.146554246386735,-96.565904661345414" TargetMode="External"/><Relationship Id="rId13057" Type="http://schemas.openxmlformats.org/officeDocument/2006/relationships/hyperlink" Target="https://maps.google.com/?q=16.5627246,-97.539390699999998" TargetMode="External"/><Relationship Id="rId384" Type="http://schemas.openxmlformats.org/officeDocument/2006/relationships/hyperlink" Target="https://maps.google.com/?q=16.88398,-97.676609999999997" TargetMode="External"/><Relationship Id="rId2065" Type="http://schemas.openxmlformats.org/officeDocument/2006/relationships/hyperlink" Target="https://maps.google.com/?q=15.770856428990134,-96.234339445015877" TargetMode="External"/><Relationship Id="rId3116" Type="http://schemas.openxmlformats.org/officeDocument/2006/relationships/hyperlink" Target="https://maps.google.com/?q=16.581696,-97.440575999999993" TargetMode="External"/><Relationship Id="rId4514" Type="http://schemas.openxmlformats.org/officeDocument/2006/relationships/hyperlink" Target="https://maps.google.com/?q=17.1802742640954,-97.305172195532606" TargetMode="External"/><Relationship Id="rId14108" Type="http://schemas.openxmlformats.org/officeDocument/2006/relationships/hyperlink" Target="https://maps.google.com/?q=16.95482204,-94.96020325" TargetMode="External"/><Relationship Id="rId6686" Type="http://schemas.openxmlformats.org/officeDocument/2006/relationships/hyperlink" Target="https://maps.google.com/?q=16.9379079538509,-96.970012796581898" TargetMode="External"/><Relationship Id="rId7737" Type="http://schemas.openxmlformats.org/officeDocument/2006/relationships/hyperlink" Target="https://maps.google.com/?q=16.6310998930432,-96.793986313951706" TargetMode="External"/><Relationship Id="rId10718" Type="http://schemas.openxmlformats.org/officeDocument/2006/relationships/hyperlink" Target="https://maps.google.com/?q=17.458341,-97.225285" TargetMode="External"/><Relationship Id="rId5288" Type="http://schemas.openxmlformats.org/officeDocument/2006/relationships/hyperlink" Target="https://maps.google.com/?q=15.8309175952761,-96.459857808196105" TargetMode="External"/><Relationship Id="rId6339" Type="http://schemas.openxmlformats.org/officeDocument/2006/relationships/hyperlink" Target="https://maps.google.com/?q=18.060714,-96.400886" TargetMode="External"/><Relationship Id="rId12140" Type="http://schemas.openxmlformats.org/officeDocument/2006/relationships/hyperlink" Target="https://maps.google.com/?q=16.2860454763365,-97.672563277212802" TargetMode="External"/><Relationship Id="rId1898" Type="http://schemas.openxmlformats.org/officeDocument/2006/relationships/hyperlink" Target="https://maps.google.com/?q=15.776517341937673,-96.136510988940586" TargetMode="External"/><Relationship Id="rId2949" Type="http://schemas.openxmlformats.org/officeDocument/2006/relationships/hyperlink" Target="https://maps.google.com/?q=17.08382712,-96.675432119999996" TargetMode="External"/><Relationship Id="rId6820" Type="http://schemas.openxmlformats.org/officeDocument/2006/relationships/hyperlink" Target="https://maps.google.com/?q=16.0623046429235,-97.172235291094694" TargetMode="External"/><Relationship Id="rId4371" Type="http://schemas.openxmlformats.org/officeDocument/2006/relationships/hyperlink" Target="https://maps.google.com/?q=15.9655103,-96.63167851" TargetMode="External"/><Relationship Id="rId5422" Type="http://schemas.openxmlformats.org/officeDocument/2006/relationships/hyperlink" Target="https://maps.google.com/?q=16.1004189117634,-97.700885819105494" TargetMode="External"/><Relationship Id="rId4024" Type="http://schemas.openxmlformats.org/officeDocument/2006/relationships/hyperlink" Target="https://maps.google.com/?q=17.0197253004008,-96.718037502299168" TargetMode="External"/><Relationship Id="rId7594" Type="http://schemas.openxmlformats.org/officeDocument/2006/relationships/hyperlink" Target="https://maps.google.com/?q=17.0943589241128,-95.854815875582005" TargetMode="External"/><Relationship Id="rId8992" Type="http://schemas.openxmlformats.org/officeDocument/2006/relationships/hyperlink" Target="https://maps.google.com/?q=17.382025019,-96.164611776000001" TargetMode="External"/><Relationship Id="rId11973" Type="http://schemas.openxmlformats.org/officeDocument/2006/relationships/hyperlink" Target="https://maps.google.com/?q=16.7997941049007,-96.721537849014794" TargetMode="External"/><Relationship Id="rId6196" Type="http://schemas.openxmlformats.org/officeDocument/2006/relationships/hyperlink" Target="https://maps.google.com/?q=16.092962,-97.081225000000003" TargetMode="External"/><Relationship Id="rId7247" Type="http://schemas.openxmlformats.org/officeDocument/2006/relationships/hyperlink" Target="https://maps.google.com/?q=16.0970337386404,-97.923623481996501" TargetMode="External"/><Relationship Id="rId8645" Type="http://schemas.openxmlformats.org/officeDocument/2006/relationships/hyperlink" Target="https://maps.google.com/?q=16.2741551671619,-94.531976633800198" TargetMode="External"/><Relationship Id="rId10575" Type="http://schemas.openxmlformats.org/officeDocument/2006/relationships/hyperlink" Target="https://maps.google.com/?q=17.096365990188,-97.768974759594002" TargetMode="External"/><Relationship Id="rId11626" Type="http://schemas.openxmlformats.org/officeDocument/2006/relationships/hyperlink" Target="https://maps.google.com/?q=16.8386372404785,-96.721929682208994" TargetMode="External"/><Relationship Id="rId10228" Type="http://schemas.openxmlformats.org/officeDocument/2006/relationships/hyperlink" Target="https://maps.google.com/?q=17.18890020120464,-97.40383391098398" TargetMode="External"/><Relationship Id="rId13798" Type="http://schemas.openxmlformats.org/officeDocument/2006/relationships/hyperlink" Target="https://maps.google.com/?q=17.130631,-97.748589999999993" TargetMode="External"/><Relationship Id="rId3857" Type="http://schemas.openxmlformats.org/officeDocument/2006/relationships/hyperlink" Target="https://maps.google.com/?q=17.0920652646271,-95.921045177909804" TargetMode="External"/><Relationship Id="rId4908" Type="http://schemas.openxmlformats.org/officeDocument/2006/relationships/hyperlink" Target="https://maps.google.com/?q=18.0313111213535,-96.668003289582302" TargetMode="External"/><Relationship Id="rId778" Type="http://schemas.openxmlformats.org/officeDocument/2006/relationships/hyperlink" Target="https://maps.google.com/?q=15.68957317504993,-96.515984871954757" TargetMode="External"/><Relationship Id="rId2459" Type="http://schemas.openxmlformats.org/officeDocument/2006/relationships/hyperlink" Target="https://maps.google.com/?q=17.05162642,-96.624422629999998" TargetMode="External"/><Relationship Id="rId6330" Type="http://schemas.openxmlformats.org/officeDocument/2006/relationships/hyperlink" Target="https://maps.google.com/?q=18.059925,-96.401219999999995" TargetMode="External"/><Relationship Id="rId9553" Type="http://schemas.openxmlformats.org/officeDocument/2006/relationships/hyperlink" Target="https://maps.google.com/?q=17.357788,-96.294062999999994" TargetMode="External"/><Relationship Id="rId12881" Type="http://schemas.openxmlformats.org/officeDocument/2006/relationships/hyperlink" Target="https://maps.google.com/?q=16.515756,-97.470297000000002" TargetMode="External"/><Relationship Id="rId13932" Type="http://schemas.openxmlformats.org/officeDocument/2006/relationships/hyperlink" Target="https://maps.google.com/?q=16.326085959851525,-97.76815169835186" TargetMode="External"/><Relationship Id="rId1542" Type="http://schemas.openxmlformats.org/officeDocument/2006/relationships/hyperlink" Target="https://maps.google.com/?q=17.062461,-96.757001000000002" TargetMode="External"/><Relationship Id="rId2940" Type="http://schemas.openxmlformats.org/officeDocument/2006/relationships/hyperlink" Target="https://maps.google.com/?q=17.08072832,-96.667778429999998" TargetMode="External"/><Relationship Id="rId8155" Type="http://schemas.openxmlformats.org/officeDocument/2006/relationships/hyperlink" Target="https://maps.google.com/?q=17.3566593228251,-96.301772083372995" TargetMode="External"/><Relationship Id="rId9206" Type="http://schemas.openxmlformats.org/officeDocument/2006/relationships/hyperlink" Target="https://maps.google.com/?q=17.3747080416699,-96.303135204813699" TargetMode="External"/><Relationship Id="rId10085" Type="http://schemas.openxmlformats.org/officeDocument/2006/relationships/hyperlink" Target="https://maps.google.com/?q=16.9949403395014,-96.104492906745904" TargetMode="External"/><Relationship Id="rId11136" Type="http://schemas.openxmlformats.org/officeDocument/2006/relationships/hyperlink" Target="https://maps.google.com/?q=16.835227,-96.008698999999993" TargetMode="External"/><Relationship Id="rId11483" Type="http://schemas.openxmlformats.org/officeDocument/2006/relationships/hyperlink" Target="https://maps.google.com/?q=16.3034853990573,-96.649217782168705" TargetMode="External"/><Relationship Id="rId12534" Type="http://schemas.openxmlformats.org/officeDocument/2006/relationships/hyperlink" Target="https://maps.google.com/?q=0,&#160;-97.91385515499623" TargetMode="External"/><Relationship Id="rId912" Type="http://schemas.openxmlformats.org/officeDocument/2006/relationships/hyperlink" Target="https://maps.google.com/?q=16.88408,-97.676919999999996" TargetMode="External"/><Relationship Id="rId4765" Type="http://schemas.openxmlformats.org/officeDocument/2006/relationships/hyperlink" Target="https://maps.google.com/?q=17.9566083169734,-96.655372143516004" TargetMode="External"/><Relationship Id="rId5816" Type="http://schemas.openxmlformats.org/officeDocument/2006/relationships/hyperlink" Target="https://maps.google.com/?q=16.0171930442581,-97.431052495512702" TargetMode="External"/><Relationship Id="rId288" Type="http://schemas.openxmlformats.org/officeDocument/2006/relationships/hyperlink" Target="https://maps.google.com/?q=16.88498,-97.679010000000005" TargetMode="External"/><Relationship Id="rId3367" Type="http://schemas.openxmlformats.org/officeDocument/2006/relationships/hyperlink" Target="https://maps.google.com/?q=17.0672597059082,-97.78807032036003" TargetMode="External"/><Relationship Id="rId4418" Type="http://schemas.openxmlformats.org/officeDocument/2006/relationships/hyperlink" Target="https://maps.google.com/?q=16.00710912,-96.67724054" TargetMode="External"/><Relationship Id="rId7988" Type="http://schemas.openxmlformats.org/officeDocument/2006/relationships/hyperlink" Target="https://maps.google.com/?q=18.1632169228264,-96.871963046627101" TargetMode="External"/><Relationship Id="rId10969" Type="http://schemas.openxmlformats.org/officeDocument/2006/relationships/hyperlink" Target="https://maps.google.com/?q=16.2144711404607,-95.222946395581801" TargetMode="External"/><Relationship Id="rId12391" Type="http://schemas.openxmlformats.org/officeDocument/2006/relationships/hyperlink" Target="https://maps.google.com/?q=16.5541088743456,-96.819368950314498" TargetMode="External"/><Relationship Id="rId13442" Type="http://schemas.openxmlformats.org/officeDocument/2006/relationships/hyperlink" Target="https://maps.google.com/?q=17.6845498927574,-97.037852373016307" TargetMode="External"/><Relationship Id="rId2450" Type="http://schemas.openxmlformats.org/officeDocument/2006/relationships/hyperlink" Target="https://maps.google.com/?q=17.05143954,-96.624709800000005" TargetMode="External"/><Relationship Id="rId3501" Type="http://schemas.openxmlformats.org/officeDocument/2006/relationships/hyperlink" Target="https://maps.google.com/?q=15.770372011231588,-96.15338407824197" TargetMode="External"/><Relationship Id="rId9063" Type="http://schemas.openxmlformats.org/officeDocument/2006/relationships/hyperlink" Target="https://maps.google.com/?q=16.056299,-95.459244999999996" TargetMode="External"/><Relationship Id="rId12044" Type="http://schemas.openxmlformats.org/officeDocument/2006/relationships/hyperlink" Target="https://maps.google.com/?q=16.8076592645867,-96.719903382446702" TargetMode="External"/><Relationship Id="rId422" Type="http://schemas.openxmlformats.org/officeDocument/2006/relationships/hyperlink" Target="https://maps.google.com/?q=16.053029,-97.412347999999994" TargetMode="External"/><Relationship Id="rId1052" Type="http://schemas.openxmlformats.org/officeDocument/2006/relationships/hyperlink" Target="https://maps.google.com/?q=15.707398536969054,-96.525046040735702" TargetMode="External"/><Relationship Id="rId2103" Type="http://schemas.openxmlformats.org/officeDocument/2006/relationships/hyperlink" Target="https://maps.google.com/?q=15.765045,-96.150735" TargetMode="External"/><Relationship Id="rId5673" Type="http://schemas.openxmlformats.org/officeDocument/2006/relationships/hyperlink" Target="https://maps.google.com/?q=16.432395,-97.898263" TargetMode="External"/><Relationship Id="rId4275" Type="http://schemas.openxmlformats.org/officeDocument/2006/relationships/hyperlink" Target="https://maps.google.com/?q=16.05869622,-96.604967639999998" TargetMode="External"/><Relationship Id="rId5326" Type="http://schemas.openxmlformats.org/officeDocument/2006/relationships/hyperlink" Target="https://maps.google.com/?q=15.8075329948564,-96.3561968861992" TargetMode="External"/><Relationship Id="rId6724" Type="http://schemas.openxmlformats.org/officeDocument/2006/relationships/hyperlink" Target="https://maps.google.com/?q=17.035802360749,-96.984336163194399" TargetMode="External"/><Relationship Id="rId8896" Type="http://schemas.openxmlformats.org/officeDocument/2006/relationships/hyperlink" Target="https://maps.google.com/?q=17.37995888,-96.163266444000001" TargetMode="External"/><Relationship Id="rId9947" Type="http://schemas.openxmlformats.org/officeDocument/2006/relationships/hyperlink" Target="https://maps.google.com/?q=16.708477,-96.712033000000005" TargetMode="External"/><Relationship Id="rId11877" Type="http://schemas.openxmlformats.org/officeDocument/2006/relationships/hyperlink" Target="https://maps.google.com/?q=15.790802484406353,-96.5926810491085" TargetMode="External"/><Relationship Id="rId12928" Type="http://schemas.openxmlformats.org/officeDocument/2006/relationships/hyperlink" Target="https://maps.google.com/?q=16.558334,-97.410910000000001" TargetMode="External"/><Relationship Id="rId1936" Type="http://schemas.openxmlformats.org/officeDocument/2006/relationships/hyperlink" Target="https://maps.google.com/?q=15.777374317715358,-96.137123812666275" TargetMode="External"/><Relationship Id="rId7498" Type="http://schemas.openxmlformats.org/officeDocument/2006/relationships/hyperlink" Target="https://maps.google.com/?q=17.34323836,-97.373415170000001" TargetMode="External"/><Relationship Id="rId8549" Type="http://schemas.openxmlformats.org/officeDocument/2006/relationships/hyperlink" Target="https://maps.google.com/?q=16.9222054937336,-96.605567822090094" TargetMode="External"/><Relationship Id="rId10479" Type="http://schemas.openxmlformats.org/officeDocument/2006/relationships/hyperlink" Target="https://maps.google.com/?q=17.8432043860001,-96.747891495062007" TargetMode="External"/><Relationship Id="rId14003" Type="http://schemas.openxmlformats.org/officeDocument/2006/relationships/hyperlink" Target="https://maps.google.com/?q=17.027131,-96.077044000000001" TargetMode="External"/><Relationship Id="rId3011" Type="http://schemas.openxmlformats.org/officeDocument/2006/relationships/hyperlink" Target="https://maps.google.com/?q=16.93838,-97.012636000000001" TargetMode="External"/><Relationship Id="rId6581" Type="http://schemas.openxmlformats.org/officeDocument/2006/relationships/hyperlink" Target="https://maps.google.com/?q=17.766627,-96.883009" TargetMode="External"/><Relationship Id="rId7632" Type="http://schemas.openxmlformats.org/officeDocument/2006/relationships/hyperlink" Target="https://maps.google.com/?q=17.2308311233568,-95.054262698505497" TargetMode="External"/><Relationship Id="rId10960" Type="http://schemas.openxmlformats.org/officeDocument/2006/relationships/hyperlink" Target="https://maps.google.com/?q=16.2076442314013,-95.223534335923901" TargetMode="External"/><Relationship Id="rId5183" Type="http://schemas.openxmlformats.org/officeDocument/2006/relationships/hyperlink" Target="https://maps.google.com/?q=17.315187,-95.965654000000001" TargetMode="External"/><Relationship Id="rId6234" Type="http://schemas.openxmlformats.org/officeDocument/2006/relationships/hyperlink" Target="https://maps.google.com/?q=17.0101875500436,-97.268996284377806" TargetMode="External"/><Relationship Id="rId10613" Type="http://schemas.openxmlformats.org/officeDocument/2006/relationships/hyperlink" Target="https://maps.google.com/?q=17.1331389212571,-97.7537684907102" TargetMode="External"/><Relationship Id="rId9457" Type="http://schemas.openxmlformats.org/officeDocument/2006/relationships/hyperlink" Target="https://maps.google.com/?q=15.8296364584749,-96.666282580356594" TargetMode="External"/><Relationship Id="rId12785" Type="http://schemas.openxmlformats.org/officeDocument/2006/relationships/hyperlink" Target="https://maps.google.com/?q=17.020119,-96.728499" TargetMode="External"/><Relationship Id="rId13836" Type="http://schemas.openxmlformats.org/officeDocument/2006/relationships/hyperlink" Target="https://maps.google.com/?q=17.091076,-97.783941999999996" TargetMode="External"/><Relationship Id="rId1793" Type="http://schemas.openxmlformats.org/officeDocument/2006/relationships/hyperlink" Target="https://maps.google.com/?q=18.0672022797625,-96.899621529114" TargetMode="External"/><Relationship Id="rId2844" Type="http://schemas.openxmlformats.org/officeDocument/2006/relationships/hyperlink" Target="https://maps.google.com/?q=16.9616186367726,-97.729894673610701" TargetMode="External"/><Relationship Id="rId8059" Type="http://schemas.openxmlformats.org/officeDocument/2006/relationships/hyperlink" Target="https://maps.google.com/?q=16.4967452438741,-97.379124283858602" TargetMode="External"/><Relationship Id="rId11387" Type="http://schemas.openxmlformats.org/officeDocument/2006/relationships/hyperlink" Target="https://maps.google.com/?q=17.3452726772967,-97.56058352149591" TargetMode="External"/><Relationship Id="rId12438" Type="http://schemas.openxmlformats.org/officeDocument/2006/relationships/hyperlink" Target="https://maps.google.com/?q=17.2205944274305,-97.270611331001305" TargetMode="External"/><Relationship Id="rId816" Type="http://schemas.openxmlformats.org/officeDocument/2006/relationships/hyperlink" Target="https://maps.google.com/?q=15.697353753587917,-96.52419958670373" TargetMode="External"/><Relationship Id="rId1446" Type="http://schemas.openxmlformats.org/officeDocument/2006/relationships/hyperlink" Target="https://maps.google.com/?q=17.04888,-96.71223" TargetMode="External"/><Relationship Id="rId4669" Type="http://schemas.openxmlformats.org/officeDocument/2006/relationships/hyperlink" Target="https://maps.google.com/?q=17.31565952332221,-96.48309711666313" TargetMode="External"/><Relationship Id="rId8540" Type="http://schemas.openxmlformats.org/officeDocument/2006/relationships/hyperlink" Target="https://maps.google.com/?q=16.9172872460263,-96.611783055225303" TargetMode="External"/><Relationship Id="rId10470" Type="http://schemas.openxmlformats.org/officeDocument/2006/relationships/hyperlink" Target="https://maps.google.com/?q=16.6653764120506,-97.253172455363796" TargetMode="External"/><Relationship Id="rId11521" Type="http://schemas.openxmlformats.org/officeDocument/2006/relationships/hyperlink" Target="https://maps.google.com/?q=16.6137234097805,-96.857890306009594" TargetMode="External"/><Relationship Id="rId6091" Type="http://schemas.openxmlformats.org/officeDocument/2006/relationships/hyperlink" Target="https://maps.google.com/?q=17.974165,-96.707161999999997" TargetMode="External"/><Relationship Id="rId7142" Type="http://schemas.openxmlformats.org/officeDocument/2006/relationships/hyperlink" Target="https://maps.google.com/?q=17.3617527751685,-97.667552931367496" TargetMode="External"/><Relationship Id="rId10123" Type="http://schemas.openxmlformats.org/officeDocument/2006/relationships/hyperlink" Target="https://maps.google.com/?q=17.1200273775647,-97.5131217289549" TargetMode="External"/><Relationship Id="rId13693" Type="http://schemas.openxmlformats.org/officeDocument/2006/relationships/hyperlink" Target="https://maps.google.com/?q=17.02621,-97.92815" TargetMode="External"/><Relationship Id="rId3752" Type="http://schemas.openxmlformats.org/officeDocument/2006/relationships/hyperlink" Target="https://maps.google.com/?q=15.76177,-96.142741999999998" TargetMode="External"/><Relationship Id="rId12295" Type="http://schemas.openxmlformats.org/officeDocument/2006/relationships/hyperlink" Target="https://maps.google.com/?q=16.4850152837879,-94.348757603670094" TargetMode="External"/><Relationship Id="rId13346" Type="http://schemas.openxmlformats.org/officeDocument/2006/relationships/hyperlink" Target="https://maps.google.com/?q=16.3159869996681,-96.6682296994999" TargetMode="External"/><Relationship Id="rId673" Type="http://schemas.openxmlformats.org/officeDocument/2006/relationships/hyperlink" Target="https://maps.google.com/?q=16.061629,-97.383989" TargetMode="External"/><Relationship Id="rId2354" Type="http://schemas.openxmlformats.org/officeDocument/2006/relationships/hyperlink" Target="https://maps.google.com/?q=17.061011,-97.700502" TargetMode="External"/><Relationship Id="rId3405" Type="http://schemas.openxmlformats.org/officeDocument/2006/relationships/hyperlink" Target="https://maps.google.com/?q=18.0070027816171,-96.644187428503997" TargetMode="External"/><Relationship Id="rId4803" Type="http://schemas.openxmlformats.org/officeDocument/2006/relationships/hyperlink" Target="https://maps.google.com/?q=16.8984925606789,-96.504722843313502" TargetMode="External"/><Relationship Id="rId326" Type="http://schemas.openxmlformats.org/officeDocument/2006/relationships/hyperlink" Target="https://maps.google.com/?q=16.054745,-97.396428" TargetMode="External"/><Relationship Id="rId2007" Type="http://schemas.openxmlformats.org/officeDocument/2006/relationships/hyperlink" Target="https://maps.google.com/?q=15.757720156153484,-96.138966267435947" TargetMode="External"/><Relationship Id="rId6975" Type="http://schemas.openxmlformats.org/officeDocument/2006/relationships/hyperlink" Target="https://maps.google.com/?q=17.01939716,-96.524382680000002" TargetMode="External"/><Relationship Id="rId4179" Type="http://schemas.openxmlformats.org/officeDocument/2006/relationships/hyperlink" Target="https://maps.google.com/?q=15.78672,-96.142782" TargetMode="External"/><Relationship Id="rId5577" Type="http://schemas.openxmlformats.org/officeDocument/2006/relationships/hyperlink" Target="https://maps.google.com/?q=17.444103862742,-96.182410248895806" TargetMode="External"/><Relationship Id="rId6628" Type="http://schemas.openxmlformats.org/officeDocument/2006/relationships/hyperlink" Target="https://maps.google.com/?q=17.884363,-96.751089" TargetMode="External"/><Relationship Id="rId8050" Type="http://schemas.openxmlformats.org/officeDocument/2006/relationships/hyperlink" Target="https://maps.google.com/?q=16.4961125804811,-97.3788641095842" TargetMode="External"/><Relationship Id="rId9101" Type="http://schemas.openxmlformats.org/officeDocument/2006/relationships/hyperlink" Target="https://maps.google.com/?q=16.960402519601836,-96.58502987267228" TargetMode="External"/><Relationship Id="rId11031" Type="http://schemas.openxmlformats.org/officeDocument/2006/relationships/hyperlink" Target="https://maps.google.com/?q=17.122748,-96.809272%20" TargetMode="External"/><Relationship Id="rId4660" Type="http://schemas.openxmlformats.org/officeDocument/2006/relationships/hyperlink" Target="https://maps.google.com/?q=17.073059,-96.743347" TargetMode="External"/><Relationship Id="rId5711" Type="http://schemas.openxmlformats.org/officeDocument/2006/relationships/hyperlink" Target="https://maps.google.com/?q=17.43143662,-96.28279551" TargetMode="External"/><Relationship Id="rId3262" Type="http://schemas.openxmlformats.org/officeDocument/2006/relationships/hyperlink" Target="https://maps.google.com/?q=17.0598827398522,-96.819119232607704" TargetMode="External"/><Relationship Id="rId4313" Type="http://schemas.openxmlformats.org/officeDocument/2006/relationships/hyperlink" Target="https://maps.google.com/?q=16.0273053471943,-96.647355364178395" TargetMode="External"/><Relationship Id="rId7883" Type="http://schemas.openxmlformats.org/officeDocument/2006/relationships/hyperlink" Target="https://maps.google.com/?q=16.3180420743744,-96.403682241733605" TargetMode="External"/><Relationship Id="rId183" Type="http://schemas.openxmlformats.org/officeDocument/2006/relationships/hyperlink" Target="https://maps.google.com/?q=17.097922,-97.492137999999997" TargetMode="External"/><Relationship Id="rId6485" Type="http://schemas.openxmlformats.org/officeDocument/2006/relationships/hyperlink" Target="https://maps.google.com/?q=17.1997002612405,-97.590744538895507" TargetMode="External"/><Relationship Id="rId7536" Type="http://schemas.openxmlformats.org/officeDocument/2006/relationships/hyperlink" Target="https://maps.google.com/?q=17.9764487345229,-96.705306172546301" TargetMode="External"/><Relationship Id="rId8934" Type="http://schemas.openxmlformats.org/officeDocument/2006/relationships/hyperlink" Target="https://maps.google.com/?q=17.381143973,-96.162827328999995" TargetMode="External"/><Relationship Id="rId10864" Type="http://schemas.openxmlformats.org/officeDocument/2006/relationships/hyperlink" Target="https://maps.google.com/?q=16.3533577916892,-94.477813449073693" TargetMode="External"/><Relationship Id="rId11915" Type="http://schemas.openxmlformats.org/officeDocument/2006/relationships/hyperlink" Target="https://maps.google.com/?q=17.045101570767066,-97.30202035394298" TargetMode="External"/><Relationship Id="rId5087" Type="http://schemas.openxmlformats.org/officeDocument/2006/relationships/hyperlink" Target="https://maps.google.com/?q=17.252971,-96.155186999999998" TargetMode="External"/><Relationship Id="rId6138" Type="http://schemas.openxmlformats.org/officeDocument/2006/relationships/hyperlink" Target="https://maps.google.com/?q=16.95312737,-96.621513359999994" TargetMode="External"/><Relationship Id="rId10517" Type="http://schemas.openxmlformats.org/officeDocument/2006/relationships/hyperlink" Target="https://maps.google.com/?q=17.8474134635286,-96.745376548731599" TargetMode="External"/><Relationship Id="rId12689" Type="http://schemas.openxmlformats.org/officeDocument/2006/relationships/hyperlink" Target="https://maps.google.com/?q=16.2830241423735,-96.503525949564207" TargetMode="External"/><Relationship Id="rId1697" Type="http://schemas.openxmlformats.org/officeDocument/2006/relationships/hyperlink" Target="https://maps.google.com/?q=18.072143452961,-96.899257635582103" TargetMode="External"/><Relationship Id="rId2748" Type="http://schemas.openxmlformats.org/officeDocument/2006/relationships/hyperlink" Target="https://maps.google.com/?q=17.991627,-96.489311999999998" TargetMode="External"/><Relationship Id="rId4170" Type="http://schemas.openxmlformats.org/officeDocument/2006/relationships/hyperlink" Target="https://maps.google.com/?q=16.318744,-97.798141000000001" TargetMode="External"/><Relationship Id="rId5221" Type="http://schemas.openxmlformats.org/officeDocument/2006/relationships/hyperlink" Target="https://maps.google.com/?q=17.2799221484791,-97.366643945581998" TargetMode="External"/><Relationship Id="rId8791" Type="http://schemas.openxmlformats.org/officeDocument/2006/relationships/hyperlink" Target="https://maps.google.com/?q=17.213011,-96.249482999999998" TargetMode="External"/><Relationship Id="rId9842" Type="http://schemas.openxmlformats.org/officeDocument/2006/relationships/hyperlink" Target="https://maps.google.com/?q=16.633384622607,-96.851483919999893" TargetMode="External"/><Relationship Id="rId56" Type="http://schemas.openxmlformats.org/officeDocument/2006/relationships/hyperlink" Target="https://maps.google.com/?q=15.907454,-96.448935000000006" TargetMode="External"/><Relationship Id="rId1831" Type="http://schemas.openxmlformats.org/officeDocument/2006/relationships/hyperlink" Target="https://maps.google.com/?q=18.0363160774827,-96.895247950422899" TargetMode="External"/><Relationship Id="rId7393" Type="http://schemas.openxmlformats.org/officeDocument/2006/relationships/hyperlink" Target="https://maps.google.com/?q=17.103913,-97.002426" TargetMode="External"/><Relationship Id="rId8444" Type="http://schemas.openxmlformats.org/officeDocument/2006/relationships/hyperlink" Target="https://maps.google.com/?q=16.7730288976599,-96.661187373016304" TargetMode="External"/><Relationship Id="rId10374" Type="http://schemas.openxmlformats.org/officeDocument/2006/relationships/hyperlink" Target="https://maps.google.com/?q=17.4369641499188,-96.653751145347996" TargetMode="External"/><Relationship Id="rId11425" Type="http://schemas.openxmlformats.org/officeDocument/2006/relationships/hyperlink" Target="https://maps.google.com/?q=17.3818759614573,-98.187697808875399" TargetMode="External"/><Relationship Id="rId11772" Type="http://schemas.openxmlformats.org/officeDocument/2006/relationships/hyperlink" Target="https://maps.google.com/?q=17.672021111608714,-97.96422943747328" TargetMode="External"/><Relationship Id="rId12823" Type="http://schemas.openxmlformats.org/officeDocument/2006/relationships/hyperlink" Target="https://maps.google.com/?q=17.8551745786581,-97.437843224536905" TargetMode="External"/><Relationship Id="rId7046" Type="http://schemas.openxmlformats.org/officeDocument/2006/relationships/hyperlink" Target="https://maps.google.com/?q=17.0351342465527,-97.294428425795303" TargetMode="External"/><Relationship Id="rId10027" Type="http://schemas.openxmlformats.org/officeDocument/2006/relationships/hyperlink" Target="https://maps.google.com/?q=17.003128044951,-96.066981315522597" TargetMode="External"/><Relationship Id="rId12199" Type="http://schemas.openxmlformats.org/officeDocument/2006/relationships/hyperlink" Target="https://maps.google.com/?q=17.4177424602754,-95.947254461008598" TargetMode="External"/><Relationship Id="rId13597" Type="http://schemas.openxmlformats.org/officeDocument/2006/relationships/hyperlink" Target="https://maps.google.com/?q=17.081623,-96.746664" TargetMode="External"/><Relationship Id="rId577" Type="http://schemas.openxmlformats.org/officeDocument/2006/relationships/hyperlink" Target="https://maps.google.com/?q=16.054648,-97.397980000000004" TargetMode="External"/><Relationship Id="rId2258" Type="http://schemas.openxmlformats.org/officeDocument/2006/relationships/hyperlink" Target="https://maps.google.com/?q=18.0936512163611,-96.931278351639307" TargetMode="External"/><Relationship Id="rId3656" Type="http://schemas.openxmlformats.org/officeDocument/2006/relationships/hyperlink" Target="https://maps.google.com/?q=15.780167534771891,-96.138698053350339" TargetMode="External"/><Relationship Id="rId4707" Type="http://schemas.openxmlformats.org/officeDocument/2006/relationships/hyperlink" Target="https://maps.google.com/?q=17.020794443824677,-96.717963454893138" TargetMode="External"/><Relationship Id="rId3309" Type="http://schemas.openxmlformats.org/officeDocument/2006/relationships/hyperlink" Target="https://maps.google.com/?q=17.0638871558887,-96.819886947255995" TargetMode="External"/><Relationship Id="rId6879" Type="http://schemas.openxmlformats.org/officeDocument/2006/relationships/hyperlink" Target="https://maps.google.com/?q=16.9714402896423,-97.085233918402693" TargetMode="External"/><Relationship Id="rId12680" Type="http://schemas.openxmlformats.org/officeDocument/2006/relationships/hyperlink" Target="https://maps.google.com/?q=16.511529040286323,-96.78918642585217" TargetMode="External"/><Relationship Id="rId13731" Type="http://schemas.openxmlformats.org/officeDocument/2006/relationships/hyperlink" Target="https://maps.google.com/?q=17.271015,-96.236877" TargetMode="External"/><Relationship Id="rId9352" Type="http://schemas.openxmlformats.org/officeDocument/2006/relationships/hyperlink" Target="https://maps.google.com/?q=16.8181201551567,-95.137202603442503" TargetMode="External"/><Relationship Id="rId11282" Type="http://schemas.openxmlformats.org/officeDocument/2006/relationships/hyperlink" Target="https://maps.google.com/?q=17.8661229454985,-96.308227709361105" TargetMode="External"/><Relationship Id="rId12333" Type="http://schemas.openxmlformats.org/officeDocument/2006/relationships/hyperlink" Target="https://maps.google.com/?q=16.80299,-96.42527" TargetMode="External"/><Relationship Id="rId711" Type="http://schemas.openxmlformats.org/officeDocument/2006/relationships/hyperlink" Target="https://maps.google.com/?q=16.062679,-97.383121000000003" TargetMode="External"/><Relationship Id="rId1341" Type="http://schemas.openxmlformats.org/officeDocument/2006/relationships/hyperlink" Target="https://maps.google.com/?q=17.0189468,-96.718225" TargetMode="External"/><Relationship Id="rId5962" Type="http://schemas.openxmlformats.org/officeDocument/2006/relationships/hyperlink" Target="https://maps.google.com/?q=18.15423314056829,-96.572024424867152" TargetMode="External"/><Relationship Id="rId9005" Type="http://schemas.openxmlformats.org/officeDocument/2006/relationships/hyperlink" Target="https://maps.google.com/?q=17.382426692,-96.166227761000002" TargetMode="External"/><Relationship Id="rId4564" Type="http://schemas.openxmlformats.org/officeDocument/2006/relationships/hyperlink" Target="https://maps.google.com/?q=17.1860768832758,-97.303301249581494" TargetMode="External"/><Relationship Id="rId5615" Type="http://schemas.openxmlformats.org/officeDocument/2006/relationships/hyperlink" Target="https://maps.google.com/?q=17.5508193905962,-96.223855672283094" TargetMode="External"/><Relationship Id="rId14158" Type="http://schemas.openxmlformats.org/officeDocument/2006/relationships/hyperlink" Target="https://maps.google.com/?q=17.049216,-96.727602" TargetMode="External"/><Relationship Id="rId3166" Type="http://schemas.openxmlformats.org/officeDocument/2006/relationships/hyperlink" Target="https://maps.google.com/?q=16.545391,-97.495981999999998" TargetMode="External"/><Relationship Id="rId4217" Type="http://schemas.openxmlformats.org/officeDocument/2006/relationships/hyperlink" Target="https://maps.google.com/?q=17.501442,-98.142583999999999" TargetMode="External"/><Relationship Id="rId6389" Type="http://schemas.openxmlformats.org/officeDocument/2006/relationships/hyperlink" Target="https://maps.google.com/?q=16.4622892564639,-94.999271603843695" TargetMode="External"/><Relationship Id="rId7787" Type="http://schemas.openxmlformats.org/officeDocument/2006/relationships/hyperlink" Target="https://maps.google.com/?q=17.8445163264649,-96.747799358895506" TargetMode="External"/><Relationship Id="rId8838" Type="http://schemas.openxmlformats.org/officeDocument/2006/relationships/hyperlink" Target="https://maps.google.com/?q=17.217115,-96.243962999999994" TargetMode="External"/><Relationship Id="rId10768" Type="http://schemas.openxmlformats.org/officeDocument/2006/relationships/hyperlink" Target="https://maps.google.com/?q=17.45941,-97.222054999999997" TargetMode="External"/><Relationship Id="rId11819" Type="http://schemas.openxmlformats.org/officeDocument/2006/relationships/hyperlink" Target="https://maps.google.com/?q=17.40133495230291,-96.37788295435334" TargetMode="External"/><Relationship Id="rId12190" Type="http://schemas.openxmlformats.org/officeDocument/2006/relationships/hyperlink" Target="https://maps.google.com/?q=17.4172761951801,-95.945606362931898" TargetMode="External"/><Relationship Id="rId13241" Type="http://schemas.openxmlformats.org/officeDocument/2006/relationships/hyperlink" Target="https://maps.google.com/?q=17.1429987430141,-96.756954337909903" TargetMode="External"/><Relationship Id="rId2999" Type="http://schemas.openxmlformats.org/officeDocument/2006/relationships/hyperlink" Target="https://maps.google.com/?q=16.935219,-97.008375999999998" TargetMode="External"/><Relationship Id="rId3300" Type="http://schemas.openxmlformats.org/officeDocument/2006/relationships/hyperlink" Target="https://maps.google.com/?q=17.0631196943112,-96.810970539269405" TargetMode="External"/><Relationship Id="rId6870" Type="http://schemas.openxmlformats.org/officeDocument/2006/relationships/hyperlink" Target="https://maps.google.com/?q=16.9699725383045,-97.0828490874257" TargetMode="External"/><Relationship Id="rId7921" Type="http://schemas.openxmlformats.org/officeDocument/2006/relationships/hyperlink" Target="https://maps.google.com/?q=16.3203455514148,-96.403043436840093" TargetMode="External"/><Relationship Id="rId221" Type="http://schemas.openxmlformats.org/officeDocument/2006/relationships/hyperlink" Target="https://maps.google.com/?q=17.090116,-97.500977000000006" TargetMode="External"/><Relationship Id="rId5472" Type="http://schemas.openxmlformats.org/officeDocument/2006/relationships/hyperlink" Target="https://maps.google.com/?q=16.012934483194,-97.431217034417998" TargetMode="External"/><Relationship Id="rId6523" Type="http://schemas.openxmlformats.org/officeDocument/2006/relationships/hyperlink" Target="https://maps.google.com/?q=17.2565464422871,-97.572324065100503" TargetMode="External"/><Relationship Id="rId10902" Type="http://schemas.openxmlformats.org/officeDocument/2006/relationships/hyperlink" Target="https://maps.google.com/?q=16.1875610533073,-95.209247553031005" TargetMode="External"/><Relationship Id="rId4074" Type="http://schemas.openxmlformats.org/officeDocument/2006/relationships/hyperlink" Target="https://maps.google.com/?q=17.085681,-96.731653" TargetMode="External"/><Relationship Id="rId5125" Type="http://schemas.openxmlformats.org/officeDocument/2006/relationships/hyperlink" Target="https://maps.google.com/?q=17.254006,-96.156205" TargetMode="External"/><Relationship Id="rId8695" Type="http://schemas.openxmlformats.org/officeDocument/2006/relationships/hyperlink" Target="https://maps.google.com/?q=16.1450406139272,-96.607141154596306" TargetMode="External"/><Relationship Id="rId9746" Type="http://schemas.openxmlformats.org/officeDocument/2006/relationships/hyperlink" Target="https://maps.google.com/?q=17.2749503823125,-96.8052144753443" TargetMode="External"/><Relationship Id="rId7297" Type="http://schemas.openxmlformats.org/officeDocument/2006/relationships/hyperlink" Target="https://maps.google.com/?q=17.6073822183349,-96.139927167984197" TargetMode="External"/><Relationship Id="rId8348" Type="http://schemas.openxmlformats.org/officeDocument/2006/relationships/hyperlink" Target="https://maps.google.com/?q=16.8435381773297,-97.1976503822615" TargetMode="External"/><Relationship Id="rId10278" Type="http://schemas.openxmlformats.org/officeDocument/2006/relationships/hyperlink" Target="https://maps.google.com/?q=16.245641,-95.142720999999995" TargetMode="External"/><Relationship Id="rId11676" Type="http://schemas.openxmlformats.org/officeDocument/2006/relationships/hyperlink" Target="https://maps.google.com/?q=17.17717784,-97.710006199999995" TargetMode="External"/><Relationship Id="rId12727" Type="http://schemas.openxmlformats.org/officeDocument/2006/relationships/hyperlink" Target="https://maps.google.com/?q=16.2867542,-96.504655999999997" TargetMode="External"/><Relationship Id="rId1735" Type="http://schemas.openxmlformats.org/officeDocument/2006/relationships/hyperlink" Target="https://maps.google.com/?q=18.0638156033697,-96.840251923350394" TargetMode="External"/><Relationship Id="rId11329" Type="http://schemas.openxmlformats.org/officeDocument/2006/relationships/hyperlink" Target="https://maps.google.com/?q=17.001156,-96.760914999999997" TargetMode="External"/><Relationship Id="rId4958" Type="http://schemas.openxmlformats.org/officeDocument/2006/relationships/hyperlink" Target="https://maps.google.com/?q=17.26814673,-97.588677849999996" TargetMode="External"/><Relationship Id="rId11810" Type="http://schemas.openxmlformats.org/officeDocument/2006/relationships/hyperlink" Target="https://maps.google.com/?q=16.615920387106478,-98.15278431415558" TargetMode="External"/><Relationship Id="rId6380" Type="http://schemas.openxmlformats.org/officeDocument/2006/relationships/hyperlink" Target="https://maps.google.com/?q=16.579398,-96.874773000000005" TargetMode="External"/><Relationship Id="rId7431" Type="http://schemas.openxmlformats.org/officeDocument/2006/relationships/hyperlink" Target="https://maps.google.com/?q=17.2107744884119,-97.5842456391985" TargetMode="External"/><Relationship Id="rId10412" Type="http://schemas.openxmlformats.org/officeDocument/2006/relationships/hyperlink" Target="https://maps.google.com/?q=17.0436491,-96.781079199999994" TargetMode="External"/><Relationship Id="rId13982" Type="http://schemas.openxmlformats.org/officeDocument/2006/relationships/hyperlink" Target="https://maps.google.com/?q=16.77879588,-96.58486068" TargetMode="External"/><Relationship Id="rId2990" Type="http://schemas.openxmlformats.org/officeDocument/2006/relationships/hyperlink" Target="https://maps.google.com/?q=17.951868,-96.739036999999996" TargetMode="External"/><Relationship Id="rId6033" Type="http://schemas.openxmlformats.org/officeDocument/2006/relationships/hyperlink" Target="https://maps.google.com/?q=18.156461455174085,-96.57675234358689" TargetMode="External"/><Relationship Id="rId12584" Type="http://schemas.openxmlformats.org/officeDocument/2006/relationships/hyperlink" Target="https://maps.google.com/?q=16.6269021076366,-96.954799481164102" TargetMode="External"/><Relationship Id="rId13635" Type="http://schemas.openxmlformats.org/officeDocument/2006/relationships/hyperlink" Target="https://maps.google.com/?q=15.982669,-97.083816" TargetMode="External"/><Relationship Id="rId962" Type="http://schemas.openxmlformats.org/officeDocument/2006/relationships/hyperlink" Target="https://maps.google.com/?q=15.684655146195983,-96.511561915081558" TargetMode="External"/><Relationship Id="rId1592" Type="http://schemas.openxmlformats.org/officeDocument/2006/relationships/hyperlink" Target="https://maps.google.com/?q=17.670475,-96.124295000000004" TargetMode="External"/><Relationship Id="rId2643" Type="http://schemas.openxmlformats.org/officeDocument/2006/relationships/hyperlink" Target="https://maps.google.com/?q=18.087366,-96.161809000000005" TargetMode="External"/><Relationship Id="rId9256" Type="http://schemas.openxmlformats.org/officeDocument/2006/relationships/hyperlink" Target="https://maps.google.com/?q=17.3775440536848,-96.298436175587796" TargetMode="External"/><Relationship Id="rId11186" Type="http://schemas.openxmlformats.org/officeDocument/2006/relationships/hyperlink" Target="https://maps.google.com/?q=16.845039,-96.010307999999995" TargetMode="External"/><Relationship Id="rId12237" Type="http://schemas.openxmlformats.org/officeDocument/2006/relationships/hyperlink" Target="https://maps.google.com/?q=16.4194529817853,-97.221669173334405" TargetMode="External"/><Relationship Id="rId615" Type="http://schemas.openxmlformats.org/officeDocument/2006/relationships/hyperlink" Target="https://maps.google.com/?q=16.05472,-97.396662000000006" TargetMode="External"/><Relationship Id="rId1245" Type="http://schemas.openxmlformats.org/officeDocument/2006/relationships/hyperlink" Target="https://maps.google.com/?q=17.0561157,-96.745782180000006" TargetMode="External"/><Relationship Id="rId4468" Type="http://schemas.openxmlformats.org/officeDocument/2006/relationships/hyperlink" Target="https://maps.google.com/?q=17.1661407786797,-97.310119419643598" TargetMode="External"/><Relationship Id="rId5866" Type="http://schemas.openxmlformats.org/officeDocument/2006/relationships/hyperlink" Target="https://maps.google.com/?q=15.9765348201584,-97.245232563160101" TargetMode="External"/><Relationship Id="rId6917" Type="http://schemas.openxmlformats.org/officeDocument/2006/relationships/hyperlink" Target="https://maps.google.com/?q=16.30649761,-95.263471559999999" TargetMode="External"/><Relationship Id="rId5519" Type="http://schemas.openxmlformats.org/officeDocument/2006/relationships/hyperlink" Target="https://maps.google.com/?q=17.2798553093874,&#160;-97.36939324375379" TargetMode="External"/><Relationship Id="rId11320" Type="http://schemas.openxmlformats.org/officeDocument/2006/relationships/hyperlink" Target="https://maps.google.com/?q=17.8698239576924,-96.309486675448596" TargetMode="External"/><Relationship Id="rId13492" Type="http://schemas.openxmlformats.org/officeDocument/2006/relationships/hyperlink" Target="https://maps.google.com/?q=17.6903147829112,-97.043434364418005" TargetMode="External"/><Relationship Id="rId3551" Type="http://schemas.openxmlformats.org/officeDocument/2006/relationships/hyperlink" Target="https://maps.google.com/?q=15.76005860389238,-96.148557427511619" TargetMode="External"/><Relationship Id="rId4602" Type="http://schemas.openxmlformats.org/officeDocument/2006/relationships/hyperlink" Target="https://maps.google.com/?q=16.557647,-96.821262000000004" TargetMode="External"/><Relationship Id="rId12094" Type="http://schemas.openxmlformats.org/officeDocument/2006/relationships/hyperlink" Target="https://maps.google.com/?q=16.24705451,-95.328523070000003" TargetMode="External"/><Relationship Id="rId13145" Type="http://schemas.openxmlformats.org/officeDocument/2006/relationships/hyperlink" Target="https://maps.google.com/?q=17.1909082214985,-96.516823304403104" TargetMode="External"/><Relationship Id="rId472" Type="http://schemas.openxmlformats.org/officeDocument/2006/relationships/hyperlink" Target="https://maps.google.com/?q=16.053732,-97.409566999999996" TargetMode="External"/><Relationship Id="rId2153" Type="http://schemas.openxmlformats.org/officeDocument/2006/relationships/hyperlink" Target="https://maps.google.com/?q=15.7652,-96.141930000000002" TargetMode="External"/><Relationship Id="rId3204" Type="http://schemas.openxmlformats.org/officeDocument/2006/relationships/hyperlink" Target="https://maps.google.com/?q=16.4908896059321,-96.944529107107201" TargetMode="External"/><Relationship Id="rId6774" Type="http://schemas.openxmlformats.org/officeDocument/2006/relationships/hyperlink" Target="https://maps.google.com/?q=16.6310304189295,-97.041899326457397" TargetMode="External"/><Relationship Id="rId7825" Type="http://schemas.openxmlformats.org/officeDocument/2006/relationships/hyperlink" Target="https://maps.google.com/?q=17.011707,-96.889353999999997" TargetMode="External"/><Relationship Id="rId125" Type="http://schemas.openxmlformats.org/officeDocument/2006/relationships/hyperlink" Target="https://maps.google.com/?q=17.094127,-97.495258000000007" TargetMode="External"/><Relationship Id="rId5376" Type="http://schemas.openxmlformats.org/officeDocument/2006/relationships/hyperlink" Target="https://maps.google.com/?q=15.9740200439437,-97.240902660570995" TargetMode="External"/><Relationship Id="rId6427" Type="http://schemas.openxmlformats.org/officeDocument/2006/relationships/hyperlink" Target="https://maps.google.com/?q=17.183543,-97.710268" TargetMode="External"/><Relationship Id="rId10806" Type="http://schemas.openxmlformats.org/officeDocument/2006/relationships/hyperlink" Target="https://maps.google.com/?q=16.37319257016,-96.376731326712104" TargetMode="External"/><Relationship Id="rId5029" Type="http://schemas.openxmlformats.org/officeDocument/2006/relationships/hyperlink" Target="https://maps.google.com/?q=17.251027,-96.153090000000006" TargetMode="External"/><Relationship Id="rId8599" Type="http://schemas.openxmlformats.org/officeDocument/2006/relationships/hyperlink" Target="https://maps.google.com/?q=17.8839537791279,-96.727297725232106" TargetMode="External"/><Relationship Id="rId9997" Type="http://schemas.openxmlformats.org/officeDocument/2006/relationships/hyperlink" Target="https://maps.google.com/?q=17.1204509910106,-97.515233088895499" TargetMode="External"/><Relationship Id="rId12978" Type="http://schemas.openxmlformats.org/officeDocument/2006/relationships/hyperlink" Target="https://maps.google.com/?q=16.512109,-97.452899000000002" TargetMode="External"/><Relationship Id="rId1986" Type="http://schemas.openxmlformats.org/officeDocument/2006/relationships/hyperlink" Target="https://maps.google.com/?q=15.775533,-96.146868" TargetMode="External"/><Relationship Id="rId1639" Type="http://schemas.openxmlformats.org/officeDocument/2006/relationships/hyperlink" Target="https://maps.google.com/?q=16.89227,-96.939723000000001" TargetMode="External"/><Relationship Id="rId3061" Type="http://schemas.openxmlformats.org/officeDocument/2006/relationships/hyperlink" Target="https://maps.google.com/?q=16.9637580426959,-96.939900336835507" TargetMode="External"/><Relationship Id="rId5510" Type="http://schemas.openxmlformats.org/officeDocument/2006/relationships/hyperlink" Target="https://maps.google.com/?q=16.348731,-96.487205000000003" TargetMode="External"/><Relationship Id="rId14053" Type="http://schemas.openxmlformats.org/officeDocument/2006/relationships/hyperlink" Target="https://maps.google.com/?q=16.997427139445698,-96.58686677502428" TargetMode="External"/><Relationship Id="rId4112" Type="http://schemas.openxmlformats.org/officeDocument/2006/relationships/hyperlink" Target="https://maps.google.com/?q=17.0585929,-96.743018000000006" TargetMode="External"/><Relationship Id="rId7682" Type="http://schemas.openxmlformats.org/officeDocument/2006/relationships/hyperlink" Target="https://maps.google.com/?q=17.2019923949304,-97.522069931164594" TargetMode="External"/><Relationship Id="rId8733" Type="http://schemas.openxmlformats.org/officeDocument/2006/relationships/hyperlink" Target="https://maps.google.com/?q=17.0623548489098,-96.819437976686501" TargetMode="External"/><Relationship Id="rId10663" Type="http://schemas.openxmlformats.org/officeDocument/2006/relationships/hyperlink" Target="https://maps.google.com/?q=16.1201163441037,-95.423447800173804" TargetMode="External"/><Relationship Id="rId11714" Type="http://schemas.openxmlformats.org/officeDocument/2006/relationships/hyperlink" Target="https://maps.google.com/?q=17.18321847,-97.707864180000001" TargetMode="External"/><Relationship Id="rId6284" Type="http://schemas.openxmlformats.org/officeDocument/2006/relationships/hyperlink" Target="https://maps.google.com/?q=18.0515165948038,-96.396926343584198" TargetMode="External"/><Relationship Id="rId7335" Type="http://schemas.openxmlformats.org/officeDocument/2006/relationships/hyperlink" Target="https://maps.google.com/?q=16.5851054319785,-97.658951046626996" TargetMode="External"/><Relationship Id="rId10316" Type="http://schemas.openxmlformats.org/officeDocument/2006/relationships/hyperlink" Target="https://maps.google.com/?q=16.227419,-97.268030999999993" TargetMode="External"/><Relationship Id="rId2894" Type="http://schemas.openxmlformats.org/officeDocument/2006/relationships/hyperlink" Target="https://maps.google.com/?q=17.535233,-95.944761" TargetMode="External"/><Relationship Id="rId12488" Type="http://schemas.openxmlformats.org/officeDocument/2006/relationships/hyperlink" Target="https://maps.google.com/?q=17.2225354328078,-97.272974998115302" TargetMode="External"/><Relationship Id="rId13886" Type="http://schemas.openxmlformats.org/officeDocument/2006/relationships/hyperlink" Target="https://maps.google.com/?q=16.277079,-96.583907999999994" TargetMode="External"/><Relationship Id="rId866" Type="http://schemas.openxmlformats.org/officeDocument/2006/relationships/hyperlink" Target="https://maps.google.com/?q=17.093445,-97.497759000000002" TargetMode="External"/><Relationship Id="rId1496" Type="http://schemas.openxmlformats.org/officeDocument/2006/relationships/hyperlink" Target="https://maps.google.com/?q=17.059207,-96.749972" TargetMode="External"/><Relationship Id="rId2547" Type="http://schemas.openxmlformats.org/officeDocument/2006/relationships/hyperlink" Target="https://maps.google.com/?q=17.755366,-96.199216000000007" TargetMode="External"/><Relationship Id="rId3945" Type="http://schemas.openxmlformats.org/officeDocument/2006/relationships/hyperlink" Target="https://maps.google.com/?q=17.061036,-96.755902000000006" TargetMode="External"/><Relationship Id="rId13539" Type="http://schemas.openxmlformats.org/officeDocument/2006/relationships/hyperlink" Target="https://maps.google.com/?q=17.042337640276127,-96.6928071129322" TargetMode="External"/><Relationship Id="rId519" Type="http://schemas.openxmlformats.org/officeDocument/2006/relationships/hyperlink" Target="https://maps.google.com/?q=16.054372,-97.406460999999993" TargetMode="External"/><Relationship Id="rId1149" Type="http://schemas.openxmlformats.org/officeDocument/2006/relationships/hyperlink" Target="https://maps.google.com/?q=16.928961,-97.144302999999994" TargetMode="External"/><Relationship Id="rId5020" Type="http://schemas.openxmlformats.org/officeDocument/2006/relationships/hyperlink" Target="https://maps.google.com/?q=17.250571,-96.152151000000003" TargetMode="External"/><Relationship Id="rId7192" Type="http://schemas.openxmlformats.org/officeDocument/2006/relationships/hyperlink" Target="https://maps.google.com/?q=16.172924760122,-97.962902647329301" TargetMode="External"/><Relationship Id="rId8590" Type="http://schemas.openxmlformats.org/officeDocument/2006/relationships/hyperlink" Target="https://maps.google.com/?q=17.881369744167,-96.726045369120598" TargetMode="External"/><Relationship Id="rId9641" Type="http://schemas.openxmlformats.org/officeDocument/2006/relationships/hyperlink" Target="https://maps.google.com/?q=16.4734036031102,-96.685825108895699" TargetMode="External"/><Relationship Id="rId11571" Type="http://schemas.openxmlformats.org/officeDocument/2006/relationships/hyperlink" Target="https://maps.google.com/?q=16.848423264537,-96.746677867423699" TargetMode="External"/><Relationship Id="rId12622" Type="http://schemas.openxmlformats.org/officeDocument/2006/relationships/hyperlink" Target="https://maps.google.com/?q=17.112514,-96.854084" TargetMode="External"/><Relationship Id="rId1630" Type="http://schemas.openxmlformats.org/officeDocument/2006/relationships/hyperlink" Target="https://maps.google.com/?q=15.928749,-96.42671" TargetMode="External"/><Relationship Id="rId8243" Type="http://schemas.openxmlformats.org/officeDocument/2006/relationships/hyperlink" Target="https://maps.google.com/?q=16.425225,-97.643523999999999" TargetMode="External"/><Relationship Id="rId10173" Type="http://schemas.openxmlformats.org/officeDocument/2006/relationships/hyperlink" Target="https://maps.google.com/?q=17.2675171029546,-97.719259319142196" TargetMode="External"/><Relationship Id="rId11224" Type="http://schemas.openxmlformats.org/officeDocument/2006/relationships/hyperlink" Target="https://maps.google.com/?q=17.433,-96.656729" TargetMode="External"/><Relationship Id="rId4853" Type="http://schemas.openxmlformats.org/officeDocument/2006/relationships/hyperlink" Target="https://maps.google.com/?q=17.33993356846538,-96.16661554619614" TargetMode="External"/><Relationship Id="rId5904" Type="http://schemas.openxmlformats.org/officeDocument/2006/relationships/hyperlink" Target="https://maps.google.com/?q=18.14579800473383,-96.565519206345954" TargetMode="External"/><Relationship Id="rId13396" Type="http://schemas.openxmlformats.org/officeDocument/2006/relationships/hyperlink" Target="https://maps.google.com/?q=16.3265417627517,-96.675780705522499" TargetMode="External"/><Relationship Id="rId3455" Type="http://schemas.openxmlformats.org/officeDocument/2006/relationships/hyperlink" Target="https://maps.google.com/?q=16.4599923574411,-96.931017602108497" TargetMode="External"/><Relationship Id="rId4506" Type="http://schemas.openxmlformats.org/officeDocument/2006/relationships/hyperlink" Target="https://maps.google.com/?q=17.1792172178072,-97.304661234715098" TargetMode="External"/><Relationship Id="rId13049" Type="http://schemas.openxmlformats.org/officeDocument/2006/relationships/hyperlink" Target="https://maps.google.com/?q=16.5622584,-97.533723499999994" TargetMode="External"/><Relationship Id="rId376" Type="http://schemas.openxmlformats.org/officeDocument/2006/relationships/hyperlink" Target="https://maps.google.com/?q=16.052933,-97.412751" TargetMode="External"/><Relationship Id="rId2057" Type="http://schemas.openxmlformats.org/officeDocument/2006/relationships/hyperlink" Target="https://maps.google.com/?q=15.763383029702696,-96.253970142308873" TargetMode="External"/><Relationship Id="rId3108" Type="http://schemas.openxmlformats.org/officeDocument/2006/relationships/hyperlink" Target="https://maps.google.com/?q=15.9961367739998,-96.466628877803601" TargetMode="External"/><Relationship Id="rId6678" Type="http://schemas.openxmlformats.org/officeDocument/2006/relationships/hyperlink" Target="https://maps.google.com/?q=16.937256,-96.972436999999999" TargetMode="External"/><Relationship Id="rId7729" Type="http://schemas.openxmlformats.org/officeDocument/2006/relationships/hyperlink" Target="https://maps.google.com/?q=16.6303585999741,-96.801154202452693" TargetMode="External"/><Relationship Id="rId9151" Type="http://schemas.openxmlformats.org/officeDocument/2006/relationships/hyperlink" Target="https://maps.google.com/?q=16.9995292612718,-96.967144868569093" TargetMode="External"/><Relationship Id="rId13530" Type="http://schemas.openxmlformats.org/officeDocument/2006/relationships/hyperlink" Target="https://maps.google.com/?q=17.291033625779686,-96.62040674603271" TargetMode="External"/><Relationship Id="rId1140" Type="http://schemas.openxmlformats.org/officeDocument/2006/relationships/hyperlink" Target="https://maps.google.com/?q=17.0784475941075,-96.71122686043876" TargetMode="External"/><Relationship Id="rId11081" Type="http://schemas.openxmlformats.org/officeDocument/2006/relationships/hyperlink" Target="https://maps.google.com/?q=17.29034963,-97.370378740000007" TargetMode="External"/><Relationship Id="rId12132" Type="http://schemas.openxmlformats.org/officeDocument/2006/relationships/hyperlink" Target="https://maps.google.com/?q=16.2845530025493,-97.672868440475497" TargetMode="External"/><Relationship Id="rId510" Type="http://schemas.openxmlformats.org/officeDocument/2006/relationships/hyperlink" Target="https://maps.google.com/?q=16.053909,-97.405452999999994" TargetMode="External"/><Relationship Id="rId5761" Type="http://schemas.openxmlformats.org/officeDocument/2006/relationships/hyperlink" Target="https://maps.google.com/?q=16.995501,-97.232857999999993" TargetMode="External"/><Relationship Id="rId6812" Type="http://schemas.openxmlformats.org/officeDocument/2006/relationships/hyperlink" Target="https://maps.google.com/?q=15.9910837666898,-97.188935127647298" TargetMode="External"/><Relationship Id="rId4363" Type="http://schemas.openxmlformats.org/officeDocument/2006/relationships/hyperlink" Target="https://maps.google.com/?q=15.96085721,-96.640889369999996" TargetMode="External"/><Relationship Id="rId5414" Type="http://schemas.openxmlformats.org/officeDocument/2006/relationships/hyperlink" Target="https://maps.google.com/?q=16.0985542322275,-97.701738349702794" TargetMode="External"/><Relationship Id="rId8984" Type="http://schemas.openxmlformats.org/officeDocument/2006/relationships/hyperlink" Target="https://maps.google.com/?q=17.381899083,-96.162390325000004" TargetMode="External"/><Relationship Id="rId4016" Type="http://schemas.openxmlformats.org/officeDocument/2006/relationships/hyperlink" Target="https://maps.google.com/?q=17.018891150417932,-96.718331767274464" TargetMode="External"/><Relationship Id="rId7586" Type="http://schemas.openxmlformats.org/officeDocument/2006/relationships/hyperlink" Target="https://maps.google.com/?q=17.0935320108208,-95.855736797790996" TargetMode="External"/><Relationship Id="rId8637" Type="http://schemas.openxmlformats.org/officeDocument/2006/relationships/hyperlink" Target="https://maps.google.com/?q=17.9006922684622,-96.715711502387506" TargetMode="External"/><Relationship Id="rId10567" Type="http://schemas.openxmlformats.org/officeDocument/2006/relationships/hyperlink" Target="https://maps.google.com/?q=17.1318091407136,-97.781426533204495" TargetMode="External"/><Relationship Id="rId11965" Type="http://schemas.openxmlformats.org/officeDocument/2006/relationships/hyperlink" Target="https://maps.google.com/?q=16.7988787903806,-96.713984727790802" TargetMode="External"/><Relationship Id="rId6188" Type="http://schemas.openxmlformats.org/officeDocument/2006/relationships/hyperlink" Target="https://maps.google.com/?q=16.09054,-97.080001999999993" TargetMode="External"/><Relationship Id="rId7239" Type="http://schemas.openxmlformats.org/officeDocument/2006/relationships/hyperlink" Target="https://maps.google.com/?q=16.0964982120043,-97.924554653512004" TargetMode="External"/><Relationship Id="rId11618" Type="http://schemas.openxmlformats.org/officeDocument/2006/relationships/hyperlink" Target="https://maps.google.com/?q=16.8374415384445,-96.722995131282801" TargetMode="External"/><Relationship Id="rId13040" Type="http://schemas.openxmlformats.org/officeDocument/2006/relationships/hyperlink" Target="https://maps.google.com/?q=16.5619259,-97.538934299999994" TargetMode="External"/><Relationship Id="rId2798" Type="http://schemas.openxmlformats.org/officeDocument/2006/relationships/hyperlink" Target="https://maps.google.com/?q=16.981032561857,-97.714918656982206" TargetMode="External"/><Relationship Id="rId3849" Type="http://schemas.openxmlformats.org/officeDocument/2006/relationships/hyperlink" Target="https://maps.google.com/?q=17.1034895562589,-95.947188224536902" TargetMode="External"/><Relationship Id="rId5271" Type="http://schemas.openxmlformats.org/officeDocument/2006/relationships/hyperlink" Target="https://maps.google.com/?q=15.723680166091,-96.389112091797401" TargetMode="External"/><Relationship Id="rId7720" Type="http://schemas.openxmlformats.org/officeDocument/2006/relationships/hyperlink" Target="https://maps.google.com/?q=16.6293564501728,-96.795614113222896" TargetMode="External"/><Relationship Id="rId10701" Type="http://schemas.openxmlformats.org/officeDocument/2006/relationships/hyperlink" Target="https://maps.google.com/?q=16.433347,-95.021687" TargetMode="External"/><Relationship Id="rId6322" Type="http://schemas.openxmlformats.org/officeDocument/2006/relationships/hyperlink" Target="https://maps.google.com/?q=18.059054,-96.405271999999997" TargetMode="External"/><Relationship Id="rId9892" Type="http://schemas.openxmlformats.org/officeDocument/2006/relationships/hyperlink" Target="https://maps.google.com/?q=16.6388371030024,-96.849076522209003" TargetMode="External"/><Relationship Id="rId12873" Type="http://schemas.openxmlformats.org/officeDocument/2006/relationships/hyperlink" Target="https://maps.google.com/?q=17.51964391,-97.681352410000002" TargetMode="External"/><Relationship Id="rId13924" Type="http://schemas.openxmlformats.org/officeDocument/2006/relationships/hyperlink" Target="https://maps.google.com/?q=17.55754064752406,-96.22377461267139" TargetMode="External"/><Relationship Id="rId1881" Type="http://schemas.openxmlformats.org/officeDocument/2006/relationships/hyperlink" Target="https://maps.google.com/?q=15.775757844620973,-96.1357569080281" TargetMode="External"/><Relationship Id="rId2932" Type="http://schemas.openxmlformats.org/officeDocument/2006/relationships/hyperlink" Target="https://maps.google.com/?q=17.07836422,-96.673013030000007" TargetMode="External"/><Relationship Id="rId8494" Type="http://schemas.openxmlformats.org/officeDocument/2006/relationships/hyperlink" Target="https://maps.google.com/?q=17.1570045384181,-97.530630911104396" TargetMode="External"/><Relationship Id="rId9545" Type="http://schemas.openxmlformats.org/officeDocument/2006/relationships/hyperlink" Target="https://maps.google.com/?q=17.274131,-96.802413" TargetMode="External"/><Relationship Id="rId11475" Type="http://schemas.openxmlformats.org/officeDocument/2006/relationships/hyperlink" Target="https://maps.google.com/?q=16.2996909949617,-96.641593606503605" TargetMode="External"/><Relationship Id="rId12526" Type="http://schemas.openxmlformats.org/officeDocument/2006/relationships/hyperlink" Target="https://maps.google.com/?q=17.226593448636,-97.272900580068097" TargetMode="External"/><Relationship Id="rId904" Type="http://schemas.openxmlformats.org/officeDocument/2006/relationships/hyperlink" Target="https://maps.google.com/?q=16.88311,-97.676550000000006" TargetMode="External"/><Relationship Id="rId1534" Type="http://schemas.openxmlformats.org/officeDocument/2006/relationships/hyperlink" Target="https://maps.google.com/?q=17.062102,-96.753140999999999" TargetMode="External"/><Relationship Id="rId7096" Type="http://schemas.openxmlformats.org/officeDocument/2006/relationships/hyperlink" Target="https://maps.google.com/?q=16.347635,-98.072725000000005" TargetMode="External"/><Relationship Id="rId8147" Type="http://schemas.openxmlformats.org/officeDocument/2006/relationships/hyperlink" Target="https://maps.google.com/?q=17.3563380367916,-96.303130615973203" TargetMode="External"/><Relationship Id="rId10077" Type="http://schemas.openxmlformats.org/officeDocument/2006/relationships/hyperlink" Target="https://maps.google.com/?q=16.9908475692931,-96.105780767850405" TargetMode="External"/><Relationship Id="rId11128" Type="http://schemas.openxmlformats.org/officeDocument/2006/relationships/hyperlink" Target="https://maps.google.com/?q=16.834617,-96.008961999999997" TargetMode="External"/><Relationship Id="rId4757" Type="http://schemas.openxmlformats.org/officeDocument/2006/relationships/hyperlink" Target="https://maps.google.com/?q=17.9554049623582,-96.658459018836098" TargetMode="External"/><Relationship Id="rId3359" Type="http://schemas.openxmlformats.org/officeDocument/2006/relationships/hyperlink" Target="https://maps.google.com/?q=17.057857,-96.824805999999995" TargetMode="External"/><Relationship Id="rId5808" Type="http://schemas.openxmlformats.org/officeDocument/2006/relationships/hyperlink" Target="https://maps.google.com/?q=16.0052931757264,-97.446673932540804" TargetMode="External"/><Relationship Id="rId7230" Type="http://schemas.openxmlformats.org/officeDocument/2006/relationships/hyperlink" Target="https://maps.google.com/?q=16.2296380821324,-97.944312253965606" TargetMode="External"/><Relationship Id="rId10211" Type="http://schemas.openxmlformats.org/officeDocument/2006/relationships/hyperlink" Target="https://maps.google.com/?q=17.19118329078849,-97.33064608052175" TargetMode="External"/><Relationship Id="rId13781" Type="http://schemas.openxmlformats.org/officeDocument/2006/relationships/hyperlink" Target="https://maps.google.com/?q=17.311952,-96.491679" TargetMode="External"/><Relationship Id="rId3840" Type="http://schemas.openxmlformats.org/officeDocument/2006/relationships/hyperlink" Target="https://maps.google.com/?q=17.1123110708952,-95.943826555591698" TargetMode="External"/><Relationship Id="rId9055" Type="http://schemas.openxmlformats.org/officeDocument/2006/relationships/hyperlink" Target="https://maps.google.com/?q=16.055055,-95.476089000000002" TargetMode="External"/><Relationship Id="rId12383" Type="http://schemas.openxmlformats.org/officeDocument/2006/relationships/hyperlink" Target="https://maps.google.com/?q=16.5530965709778,-96.818821609210104" TargetMode="External"/><Relationship Id="rId13434" Type="http://schemas.openxmlformats.org/officeDocument/2006/relationships/hyperlink" Target="https://maps.google.com/?q=17.6828994493427,-97.033371271163901" TargetMode="External"/><Relationship Id="rId761" Type="http://schemas.openxmlformats.org/officeDocument/2006/relationships/hyperlink" Target="https://maps.google.com/?q=15.685574869469747,-96.511749400848686" TargetMode="External"/><Relationship Id="rId1391" Type="http://schemas.openxmlformats.org/officeDocument/2006/relationships/hyperlink" Target="https://maps.google.com/?q=17.806621,-97.776161999999999" TargetMode="External"/><Relationship Id="rId2442" Type="http://schemas.openxmlformats.org/officeDocument/2006/relationships/hyperlink" Target="https://maps.google.com/?q=17.051385967556218,-96.623836693138742" TargetMode="External"/><Relationship Id="rId12036" Type="http://schemas.openxmlformats.org/officeDocument/2006/relationships/hyperlink" Target="https://maps.google.com/?q=16.8061569202775,-96.723183889549205" TargetMode="External"/><Relationship Id="rId414" Type="http://schemas.openxmlformats.org/officeDocument/2006/relationships/hyperlink" Target="https://maps.google.com/?q=16.052967,-97.411302000000006" TargetMode="External"/><Relationship Id="rId1044" Type="http://schemas.openxmlformats.org/officeDocument/2006/relationships/hyperlink" Target="https://maps.google.com/?q=15.706871023827977,-96.524303542330586" TargetMode="External"/><Relationship Id="rId5665" Type="http://schemas.openxmlformats.org/officeDocument/2006/relationships/hyperlink" Target="https://maps.google.com/?q=16.43761,-97.854812999999993" TargetMode="External"/><Relationship Id="rId6716" Type="http://schemas.openxmlformats.org/officeDocument/2006/relationships/hyperlink" Target="https://maps.google.com/?q=17.0313137116067,-96.984386419192603" TargetMode="External"/><Relationship Id="rId4267" Type="http://schemas.openxmlformats.org/officeDocument/2006/relationships/hyperlink" Target="https://maps.google.com/?q=16.0155334399966,-96.646964127791094" TargetMode="External"/><Relationship Id="rId5318" Type="http://schemas.openxmlformats.org/officeDocument/2006/relationships/hyperlink" Target="https://maps.google.com/?q=15.8068012223431,-96.357076851281406" TargetMode="External"/><Relationship Id="rId8888" Type="http://schemas.openxmlformats.org/officeDocument/2006/relationships/hyperlink" Target="https://maps.google.com/?q=17.379690687,-96.161595860999995" TargetMode="External"/><Relationship Id="rId9939" Type="http://schemas.openxmlformats.org/officeDocument/2006/relationships/hyperlink" Target="https://maps.google.com/?q=16.706822,&#160;-96.707729" TargetMode="External"/><Relationship Id="rId11869" Type="http://schemas.openxmlformats.org/officeDocument/2006/relationships/hyperlink" Target="https://maps.google.com/?q=16.61009679489614,-95.98197679514122" TargetMode="External"/><Relationship Id="rId1928" Type="http://schemas.openxmlformats.org/officeDocument/2006/relationships/hyperlink" Target="https://maps.google.com/?q=15.777030469591661,-96.137072683462648" TargetMode="External"/><Relationship Id="rId3350" Type="http://schemas.openxmlformats.org/officeDocument/2006/relationships/hyperlink" Target="https://maps.google.com/?q=17.1569003610885,-97.8404798845865" TargetMode="External"/><Relationship Id="rId13291" Type="http://schemas.openxmlformats.org/officeDocument/2006/relationships/hyperlink" Target="https://maps.google.com/?q=16.1309339576111,-96.328710316686895" TargetMode="External"/><Relationship Id="rId271" Type="http://schemas.openxmlformats.org/officeDocument/2006/relationships/hyperlink" Target="https://maps.google.com/?q=16.88351,-97.675939999999997" TargetMode="External"/><Relationship Id="rId3003" Type="http://schemas.openxmlformats.org/officeDocument/2006/relationships/hyperlink" Target="https://maps.google.com/?q=16.935856,-97.010136000000003" TargetMode="External"/><Relationship Id="rId4401" Type="http://schemas.openxmlformats.org/officeDocument/2006/relationships/hyperlink" Target="https://maps.google.com/?q=16.00200815,-96.677475810000004" TargetMode="External"/><Relationship Id="rId7971" Type="http://schemas.openxmlformats.org/officeDocument/2006/relationships/hyperlink" Target="https://maps.google.com/?q=18.1620880783586,-96.874570366456197" TargetMode="External"/><Relationship Id="rId10952" Type="http://schemas.openxmlformats.org/officeDocument/2006/relationships/hyperlink" Target="https://maps.google.com/?q=16.2065568570437,-95.217531709590602" TargetMode="External"/><Relationship Id="rId6573" Type="http://schemas.openxmlformats.org/officeDocument/2006/relationships/hyperlink" Target="https://maps.google.com/?q=17.763271,-96.880126" TargetMode="External"/><Relationship Id="rId7624" Type="http://schemas.openxmlformats.org/officeDocument/2006/relationships/hyperlink" Target="https://maps.google.com/?q=17.2304126617373,-95.048624772568004" TargetMode="External"/><Relationship Id="rId10605" Type="http://schemas.openxmlformats.org/officeDocument/2006/relationships/hyperlink" Target="https://maps.google.com/?q=17.1289163753844,-97.7478176011887" TargetMode="External"/><Relationship Id="rId5175" Type="http://schemas.openxmlformats.org/officeDocument/2006/relationships/hyperlink" Target="https://maps.google.com/?q=17.314194,-95.965017000000003" TargetMode="External"/><Relationship Id="rId6226" Type="http://schemas.openxmlformats.org/officeDocument/2006/relationships/hyperlink" Target="https://maps.google.com/?q=16.097319,-97.082353999999995" TargetMode="External"/><Relationship Id="rId9796" Type="http://schemas.openxmlformats.org/officeDocument/2006/relationships/hyperlink" Target="https://maps.google.com/?q=16.6413763291725,-96.751721234655804" TargetMode="External"/><Relationship Id="rId12777" Type="http://schemas.openxmlformats.org/officeDocument/2006/relationships/hyperlink" Target="https://maps.google.com/?q=17.26952259650003,-96.23962111698238" TargetMode="External"/><Relationship Id="rId1785" Type="http://schemas.openxmlformats.org/officeDocument/2006/relationships/hyperlink" Target="https://maps.google.com/?q=18.0627706029835,-96.896366882208895" TargetMode="External"/><Relationship Id="rId2836" Type="http://schemas.openxmlformats.org/officeDocument/2006/relationships/hyperlink" Target="https://maps.google.com/?q=16.9948181490621,-97.7149006849789" TargetMode="External"/><Relationship Id="rId8398" Type="http://schemas.openxmlformats.org/officeDocument/2006/relationships/hyperlink" Target="https://maps.google.com/?q=16.0898977539384,-96.244304900629004" TargetMode="External"/><Relationship Id="rId9449" Type="http://schemas.openxmlformats.org/officeDocument/2006/relationships/hyperlink" Target="https://maps.google.com/?q=15.8349324027218,-96.637538270528793" TargetMode="External"/><Relationship Id="rId11379" Type="http://schemas.openxmlformats.org/officeDocument/2006/relationships/hyperlink" Target="https://maps.google.com/?q=16.3806940451859,-94.194109874833998" TargetMode="External"/><Relationship Id="rId13828" Type="http://schemas.openxmlformats.org/officeDocument/2006/relationships/hyperlink" Target="https://maps.google.com/?q=17.090556,-97.784493100000006" TargetMode="External"/><Relationship Id="rId808" Type="http://schemas.openxmlformats.org/officeDocument/2006/relationships/hyperlink" Target="https://maps.google.com/?q=15.696281322003365,-96.523571232949692" TargetMode="External"/><Relationship Id="rId1438" Type="http://schemas.openxmlformats.org/officeDocument/2006/relationships/hyperlink" Target="https://maps.google.com/?q=17.083,-96.71833" TargetMode="External"/><Relationship Id="rId7481" Type="http://schemas.openxmlformats.org/officeDocument/2006/relationships/hyperlink" Target="https://maps.google.com/?q=16.9884774029999,-95.016154727790905" TargetMode="External"/><Relationship Id="rId9930" Type="http://schemas.openxmlformats.org/officeDocument/2006/relationships/hyperlink" Target="https://maps.google.com/?q=16.712781,-96.710993000000002" TargetMode="External"/><Relationship Id="rId11860" Type="http://schemas.openxmlformats.org/officeDocument/2006/relationships/hyperlink" Target="https://maps.google.com/?q=16.880579099744924,-96.74057148462106" TargetMode="External"/><Relationship Id="rId12911" Type="http://schemas.openxmlformats.org/officeDocument/2006/relationships/hyperlink" Target="https://maps.google.com/?q=16.4815876,-97.476889" TargetMode="External"/><Relationship Id="rId6083" Type="http://schemas.openxmlformats.org/officeDocument/2006/relationships/hyperlink" Target="https://maps.google.com/?q=16.6546811908495,-97.336778933174003" TargetMode="External"/><Relationship Id="rId7134" Type="http://schemas.openxmlformats.org/officeDocument/2006/relationships/hyperlink" Target="https://maps.google.com/?q=17.342801995379,-97.667294136558098" TargetMode="External"/><Relationship Id="rId8532" Type="http://schemas.openxmlformats.org/officeDocument/2006/relationships/hyperlink" Target="https://maps.google.com/?q=16.9362077343417,-96.608206414680495" TargetMode="External"/><Relationship Id="rId10462" Type="http://schemas.openxmlformats.org/officeDocument/2006/relationships/hyperlink" Target="https://maps.google.com/?q=17.0401705,-96.782340199999993" TargetMode="External"/><Relationship Id="rId11513" Type="http://schemas.openxmlformats.org/officeDocument/2006/relationships/hyperlink" Target="https://maps.google.com/?q=16.6114588157028,-96.8502710718533" TargetMode="External"/><Relationship Id="rId10115" Type="http://schemas.openxmlformats.org/officeDocument/2006/relationships/hyperlink" Target="https://maps.google.com/?q=17.0260916233687,-96.131491678954902" TargetMode="External"/><Relationship Id="rId13685" Type="http://schemas.openxmlformats.org/officeDocument/2006/relationships/hyperlink" Target="https://maps.google.com/?q=17.129372,-96.801908" TargetMode="External"/><Relationship Id="rId2693" Type="http://schemas.openxmlformats.org/officeDocument/2006/relationships/hyperlink" Target="https://maps.google.com/?q=16.5684534930777,-97.009413309512794" TargetMode="External"/><Relationship Id="rId3744" Type="http://schemas.openxmlformats.org/officeDocument/2006/relationships/hyperlink" Target="https://maps.google.com/?q=15.761869384466616,-96.144773903916047" TargetMode="External"/><Relationship Id="rId12287" Type="http://schemas.openxmlformats.org/officeDocument/2006/relationships/hyperlink" Target="https://maps.google.com/?q=16.4769257568511,-94.356560530962696" TargetMode="External"/><Relationship Id="rId13338" Type="http://schemas.openxmlformats.org/officeDocument/2006/relationships/hyperlink" Target="https://maps.google.com/?q=18.0629532,-97.716796059999993" TargetMode="External"/><Relationship Id="rId665" Type="http://schemas.openxmlformats.org/officeDocument/2006/relationships/hyperlink" Target="https://maps.google.com/?q=16.055584,-97.392645000000002" TargetMode="External"/><Relationship Id="rId1295" Type="http://schemas.openxmlformats.org/officeDocument/2006/relationships/hyperlink" Target="https://maps.google.com/?q=17.080164,-96.726157" TargetMode="External"/><Relationship Id="rId2346" Type="http://schemas.openxmlformats.org/officeDocument/2006/relationships/hyperlink" Target="https://maps.google.com/?q=17.1003,-97.666540999999995" TargetMode="External"/><Relationship Id="rId6967" Type="http://schemas.openxmlformats.org/officeDocument/2006/relationships/hyperlink" Target="https://maps.google.com/?q=17.01282897,-96.523997719999997" TargetMode="External"/><Relationship Id="rId318" Type="http://schemas.openxmlformats.org/officeDocument/2006/relationships/hyperlink" Target="https://maps.google.com/?q=16.054565,-97.394046000000003" TargetMode="External"/><Relationship Id="rId5569" Type="http://schemas.openxmlformats.org/officeDocument/2006/relationships/hyperlink" Target="https://maps.google.com/?q=17.602309585941,-96.121373875438394" TargetMode="External"/><Relationship Id="rId9440" Type="http://schemas.openxmlformats.org/officeDocument/2006/relationships/hyperlink" Target="https://maps.google.com/?q=15.8325037783805,-96.657562163194598" TargetMode="External"/><Relationship Id="rId8042" Type="http://schemas.openxmlformats.org/officeDocument/2006/relationships/hyperlink" Target="https://maps.google.com/?q=16.4936810294267,-97.376725295681098" TargetMode="External"/><Relationship Id="rId11370" Type="http://schemas.openxmlformats.org/officeDocument/2006/relationships/hyperlink" Target="https://maps.google.com/?q=16.3654245792671,-94.191550734952997" TargetMode="External"/><Relationship Id="rId12421" Type="http://schemas.openxmlformats.org/officeDocument/2006/relationships/hyperlink" Target="https://maps.google.com/?q=16.5587708556284,-96.816599495488404" TargetMode="External"/><Relationship Id="rId11023" Type="http://schemas.openxmlformats.org/officeDocument/2006/relationships/hyperlink" Target="https://maps.google.com/?q=17.159376,-97.187764000000001" TargetMode="External"/><Relationship Id="rId4652" Type="http://schemas.openxmlformats.org/officeDocument/2006/relationships/hyperlink" Target="https://maps.google.com/?q=17.071883,-96.742366000000004" TargetMode="External"/><Relationship Id="rId5703" Type="http://schemas.openxmlformats.org/officeDocument/2006/relationships/hyperlink" Target="https://maps.google.com/?q=17.4294741671463,-96.283800468182207" TargetMode="External"/><Relationship Id="rId13195" Type="http://schemas.openxmlformats.org/officeDocument/2006/relationships/hyperlink" Target="https://maps.google.com/?q=16.5784922335266,-97.012089980781795" TargetMode="External"/><Relationship Id="rId175" Type="http://schemas.openxmlformats.org/officeDocument/2006/relationships/hyperlink" Target="https://maps.google.com/?q=17.091043,-97.499135999999993" TargetMode="External"/><Relationship Id="rId3254" Type="http://schemas.openxmlformats.org/officeDocument/2006/relationships/hyperlink" Target="https://maps.google.com/?q=17.0579522126327,-96.823097546116898" TargetMode="External"/><Relationship Id="rId4305" Type="http://schemas.openxmlformats.org/officeDocument/2006/relationships/hyperlink" Target="https://maps.google.com/?q=16.0113179357329,-96.577403045957595" TargetMode="External"/><Relationship Id="rId7875" Type="http://schemas.openxmlformats.org/officeDocument/2006/relationships/hyperlink" Target="https://maps.google.com/?q=16.3170624665379,-96.406043558131003" TargetMode="External"/><Relationship Id="rId8926" Type="http://schemas.openxmlformats.org/officeDocument/2006/relationships/hyperlink" Target="https://maps.google.com/?q=17.380809712,-96.162816871999993" TargetMode="External"/><Relationship Id="rId10856" Type="http://schemas.openxmlformats.org/officeDocument/2006/relationships/hyperlink" Target="https://maps.google.com/?q=16.3475384505175,-94.482510856483501" TargetMode="External"/><Relationship Id="rId6477" Type="http://schemas.openxmlformats.org/officeDocument/2006/relationships/hyperlink" Target="https://maps.google.com/?q=17.23724996728,-97.554484412271194" TargetMode="External"/><Relationship Id="rId7528" Type="http://schemas.openxmlformats.org/officeDocument/2006/relationships/hyperlink" Target="https://maps.google.com/?q=17.9754910708542,-96.703229542630496" TargetMode="External"/><Relationship Id="rId10509" Type="http://schemas.openxmlformats.org/officeDocument/2006/relationships/hyperlink" Target="https://maps.google.com/?q=17.8463712223591,-96.744380660588106" TargetMode="External"/><Relationship Id="rId11907" Type="http://schemas.openxmlformats.org/officeDocument/2006/relationships/hyperlink" Target="https://maps.google.com/?q=17.08765,-96.72612" TargetMode="External"/><Relationship Id="rId5079" Type="http://schemas.openxmlformats.org/officeDocument/2006/relationships/hyperlink" Target="https://maps.google.com/?q=17.252821,-96.156045000000006" TargetMode="External"/><Relationship Id="rId1689" Type="http://schemas.openxmlformats.org/officeDocument/2006/relationships/hyperlink" Target="https://maps.google.com/?q=18.007329138049,-96.895612577156697" TargetMode="External"/><Relationship Id="rId5560" Type="http://schemas.openxmlformats.org/officeDocument/2006/relationships/hyperlink" Target="https://maps.google.com/?q=18.173413,-96.283568000000002" TargetMode="External"/><Relationship Id="rId4162" Type="http://schemas.openxmlformats.org/officeDocument/2006/relationships/hyperlink" Target="https://maps.google.com/?q=15.776375,-96.439605" TargetMode="External"/><Relationship Id="rId5213" Type="http://schemas.openxmlformats.org/officeDocument/2006/relationships/hyperlink" Target="https://maps.google.com/?q=17.2768950556879,-97.363328390000007" TargetMode="External"/><Relationship Id="rId6611" Type="http://schemas.openxmlformats.org/officeDocument/2006/relationships/hyperlink" Target="https://maps.google.com/?q=16.156504,-97.160438" TargetMode="External"/><Relationship Id="rId8783" Type="http://schemas.openxmlformats.org/officeDocument/2006/relationships/hyperlink" Target="https://maps.google.com/?q=17.210478,-96.251741999999993" TargetMode="External"/><Relationship Id="rId9834" Type="http://schemas.openxmlformats.org/officeDocument/2006/relationships/hyperlink" Target="https://maps.google.com/?q=16.6327777125724,-96.851108774417995" TargetMode="External"/><Relationship Id="rId11764" Type="http://schemas.openxmlformats.org/officeDocument/2006/relationships/hyperlink" Target="https://maps.google.com/?q=16.655970864501622,-96.72925646263505" TargetMode="External"/><Relationship Id="rId12815" Type="http://schemas.openxmlformats.org/officeDocument/2006/relationships/hyperlink" Target="https://maps.google.com/?q=17.8491728375766,-97.445183481375693" TargetMode="External"/><Relationship Id="rId48" Type="http://schemas.openxmlformats.org/officeDocument/2006/relationships/hyperlink" Target="https://maps.google.com/?q=15.910201,-96.449759" TargetMode="External"/><Relationship Id="rId1823" Type="http://schemas.openxmlformats.org/officeDocument/2006/relationships/hyperlink" Target="https://maps.google.com/?q=18.0354579322492,-96.896144938566394" TargetMode="External"/><Relationship Id="rId7385" Type="http://schemas.openxmlformats.org/officeDocument/2006/relationships/hyperlink" Target="https://maps.google.com/?q=17.0435774019042,-97.297597856278401" TargetMode="External"/><Relationship Id="rId8436" Type="http://schemas.openxmlformats.org/officeDocument/2006/relationships/hyperlink" Target="https://maps.google.com/?q=17.0603697994045,-96.821571096508194" TargetMode="External"/><Relationship Id="rId10366" Type="http://schemas.openxmlformats.org/officeDocument/2006/relationships/hyperlink" Target="https://maps.google.com/?q=17.4363683991806,-96.656230026775802" TargetMode="External"/><Relationship Id="rId11417" Type="http://schemas.openxmlformats.org/officeDocument/2006/relationships/hyperlink" Target="https://maps.google.com/?q=17.3795940174994,-98.189634254140501" TargetMode="External"/><Relationship Id="rId3995" Type="http://schemas.openxmlformats.org/officeDocument/2006/relationships/hyperlink" Target="https://maps.google.com/?q=17.05386,-96.735390" TargetMode="External"/><Relationship Id="rId7038" Type="http://schemas.openxmlformats.org/officeDocument/2006/relationships/hyperlink" Target="https://maps.google.com/?q=17.045109430633,-97.298576708296494" TargetMode="External"/><Relationship Id="rId10019" Type="http://schemas.openxmlformats.org/officeDocument/2006/relationships/hyperlink" Target="https://maps.google.com/?q=16.9952331513986,-96.072382926627" TargetMode="External"/><Relationship Id="rId13589" Type="http://schemas.openxmlformats.org/officeDocument/2006/relationships/hyperlink" Target="https://maps.google.com/?q=17.331248,-96.487900999999994" TargetMode="External"/><Relationship Id="rId2597" Type="http://schemas.openxmlformats.org/officeDocument/2006/relationships/hyperlink" Target="https://maps.google.com/?q=18.248638,-96.290429000000003" TargetMode="External"/><Relationship Id="rId3648" Type="http://schemas.openxmlformats.org/officeDocument/2006/relationships/hyperlink" Target="https://maps.google.com/?q=15.778863708574523,-96.137755740960131" TargetMode="External"/><Relationship Id="rId569" Type="http://schemas.openxmlformats.org/officeDocument/2006/relationships/hyperlink" Target="https://maps.google.com/?q=16.052225,-97.402579000000003" TargetMode="External"/><Relationship Id="rId1199" Type="http://schemas.openxmlformats.org/officeDocument/2006/relationships/hyperlink" Target="https://maps.google.com/?q=16.973876,-96.473547" TargetMode="External"/><Relationship Id="rId5070" Type="http://schemas.openxmlformats.org/officeDocument/2006/relationships/hyperlink" Target="https://maps.google.com/?q=17.25252,-96.152017999999998" TargetMode="External"/><Relationship Id="rId6121" Type="http://schemas.openxmlformats.org/officeDocument/2006/relationships/hyperlink" Target="https://maps.google.com/?q=16.94903076,-96.615478920000001" TargetMode="External"/><Relationship Id="rId9691" Type="http://schemas.openxmlformats.org/officeDocument/2006/relationships/hyperlink" Target="https://maps.google.com/?q=18.076207976776,-96.128469363436096" TargetMode="External"/><Relationship Id="rId10500" Type="http://schemas.openxmlformats.org/officeDocument/2006/relationships/hyperlink" Target="https://maps.google.com/?q=17.8459720235603,-96.747271904779694" TargetMode="External"/><Relationship Id="rId8293" Type="http://schemas.openxmlformats.org/officeDocument/2006/relationships/hyperlink" Target="https://maps.google.com/?q=17.6300387304,-97.034346571100002" TargetMode="External"/><Relationship Id="rId9344" Type="http://schemas.openxmlformats.org/officeDocument/2006/relationships/hyperlink" Target="https://maps.google.com/?q=16.8174885526266,-95.142207605464904" TargetMode="External"/><Relationship Id="rId12672" Type="http://schemas.openxmlformats.org/officeDocument/2006/relationships/hyperlink" Target="https://maps.google.com/?q=16.9211619808884,-97.893671855888698" TargetMode="External"/><Relationship Id="rId13723" Type="http://schemas.openxmlformats.org/officeDocument/2006/relationships/hyperlink" Target="https://maps.google.com/?q=17.318033,-96.49369" TargetMode="External"/><Relationship Id="rId1680" Type="http://schemas.openxmlformats.org/officeDocument/2006/relationships/hyperlink" Target="https://maps.google.com/?q=18.0053020800229,-96.893743905990604" TargetMode="External"/><Relationship Id="rId2731" Type="http://schemas.openxmlformats.org/officeDocument/2006/relationships/hyperlink" Target="https://maps.google.com/?q=18.029956739842,-96.245093055225198" TargetMode="External"/><Relationship Id="rId11274" Type="http://schemas.openxmlformats.org/officeDocument/2006/relationships/hyperlink" Target="https://maps.google.com/?q=17.8658357689613,-96.309151518504194" TargetMode="External"/><Relationship Id="rId12325" Type="http://schemas.openxmlformats.org/officeDocument/2006/relationships/hyperlink" Target="https://maps.google.com/?q=17.0665848,-96.717107" TargetMode="External"/><Relationship Id="rId703" Type="http://schemas.openxmlformats.org/officeDocument/2006/relationships/hyperlink" Target="https://maps.google.com/?q=16.063052,-97.382220000000004" TargetMode="External"/><Relationship Id="rId1333" Type="http://schemas.openxmlformats.org/officeDocument/2006/relationships/hyperlink" Target="https://maps.google.com/?q=17.0180847,-96.71867719" TargetMode="External"/><Relationship Id="rId5954" Type="http://schemas.openxmlformats.org/officeDocument/2006/relationships/hyperlink" Target="https://maps.google.com/?q=18.153960104700204,-96.572431986705297" TargetMode="External"/><Relationship Id="rId4556" Type="http://schemas.openxmlformats.org/officeDocument/2006/relationships/hyperlink" Target="https://maps.google.com/?q=17.185386909243,-97.303919347845806" TargetMode="External"/><Relationship Id="rId5607" Type="http://schemas.openxmlformats.org/officeDocument/2006/relationships/hyperlink" Target="https://maps.google.com/?q=17.5478689509297,-96.223253152114907" TargetMode="External"/><Relationship Id="rId13099" Type="http://schemas.openxmlformats.org/officeDocument/2006/relationships/hyperlink" Target="https://maps.google.com/?q=16.5652688,-97.5318118" TargetMode="External"/><Relationship Id="rId3158" Type="http://schemas.openxmlformats.org/officeDocument/2006/relationships/hyperlink" Target="https://maps.google.com/?q=16.544278,-97.496939999999995" TargetMode="External"/><Relationship Id="rId4209" Type="http://schemas.openxmlformats.org/officeDocument/2006/relationships/hyperlink" Target="https://maps.google.com/?q=16.95558,-96.479206000000005" TargetMode="External"/><Relationship Id="rId7779" Type="http://schemas.openxmlformats.org/officeDocument/2006/relationships/hyperlink" Target="https://maps.google.com/?q=16.1829967618375,-96.3857947055225" TargetMode="External"/><Relationship Id="rId10010" Type="http://schemas.openxmlformats.org/officeDocument/2006/relationships/hyperlink" Target="https://maps.google.com/?q=17.0091318678715,-96.076595110290796" TargetMode="External"/><Relationship Id="rId12182" Type="http://schemas.openxmlformats.org/officeDocument/2006/relationships/hyperlink" Target="https://maps.google.com/?q=17.4168051479857,-95.9458051668704" TargetMode="External"/><Relationship Id="rId13580" Type="http://schemas.openxmlformats.org/officeDocument/2006/relationships/hyperlink" Target="https://maps.google.com/?q=16.433347,-95.021687" TargetMode="External"/><Relationship Id="rId560" Type="http://schemas.openxmlformats.org/officeDocument/2006/relationships/hyperlink" Target="https://maps.google.com/?q=16.052379,-97.401427999999996" TargetMode="External"/><Relationship Id="rId1190" Type="http://schemas.openxmlformats.org/officeDocument/2006/relationships/hyperlink" Target="https://maps.google.com/?q=16.991966,-96.782112" TargetMode="External"/><Relationship Id="rId2241" Type="http://schemas.openxmlformats.org/officeDocument/2006/relationships/hyperlink" Target="https://maps.google.com/?q=16.512972,-96.973343" TargetMode="External"/><Relationship Id="rId13233" Type="http://schemas.openxmlformats.org/officeDocument/2006/relationships/hyperlink" Target="https://maps.google.com/?q=17.1394229917479,-96.750988485139899" TargetMode="External"/><Relationship Id="rId213" Type="http://schemas.openxmlformats.org/officeDocument/2006/relationships/hyperlink" Target="https://maps.google.com/?q=17.09193,-97.498749000000004" TargetMode="External"/><Relationship Id="rId6862" Type="http://schemas.openxmlformats.org/officeDocument/2006/relationships/hyperlink" Target="https://maps.google.com/?q=16.9686835564139,-97.082427749992206" TargetMode="External"/><Relationship Id="rId7913" Type="http://schemas.openxmlformats.org/officeDocument/2006/relationships/hyperlink" Target="https://maps.google.com/?q=16.3198576277348,-96.408948253492298" TargetMode="External"/><Relationship Id="rId4066" Type="http://schemas.openxmlformats.org/officeDocument/2006/relationships/hyperlink" Target="https://maps.google.com/?q=17.081197,-96.727012" TargetMode="External"/><Relationship Id="rId5464" Type="http://schemas.openxmlformats.org/officeDocument/2006/relationships/hyperlink" Target="https://maps.google.com/?q=16.0101608787891,-97.430940593873103" TargetMode="External"/><Relationship Id="rId6515" Type="http://schemas.openxmlformats.org/officeDocument/2006/relationships/hyperlink" Target="https://maps.google.com/?q=17.2494688082065,-97.565760718741998" TargetMode="External"/><Relationship Id="rId5117" Type="http://schemas.openxmlformats.org/officeDocument/2006/relationships/hyperlink" Target="https://maps.google.com/?q=17.253882,-96.153209000000004" TargetMode="External"/><Relationship Id="rId8687" Type="http://schemas.openxmlformats.org/officeDocument/2006/relationships/hyperlink" Target="https://maps.google.com/?q=16.1859455628034,-96.616797860118794" TargetMode="External"/><Relationship Id="rId9738" Type="http://schemas.openxmlformats.org/officeDocument/2006/relationships/hyperlink" Target="https://maps.google.com/?q=17.2725484402138,-96.806175801104501" TargetMode="External"/><Relationship Id="rId11668" Type="http://schemas.openxmlformats.org/officeDocument/2006/relationships/hyperlink" Target="https://maps.google.com/?q=17.17431872,-97.706566460000005" TargetMode="External"/><Relationship Id="rId12719" Type="http://schemas.openxmlformats.org/officeDocument/2006/relationships/hyperlink" Target="https://maps.google.com/?q=16.2859410719405,-96.504606366726193" TargetMode="External"/><Relationship Id="rId1727" Type="http://schemas.openxmlformats.org/officeDocument/2006/relationships/hyperlink" Target="https://maps.google.com/?q=18.0635214384303,-96.833481245113902" TargetMode="External"/><Relationship Id="rId7289" Type="http://schemas.openxmlformats.org/officeDocument/2006/relationships/hyperlink" Target="https://maps.google.com/?q=16.3057760082303,-97.909342877791303" TargetMode="External"/><Relationship Id="rId13090" Type="http://schemas.openxmlformats.org/officeDocument/2006/relationships/hyperlink" Target="https://maps.google.com/?q=16.564591,-97.537138400000003" TargetMode="External"/><Relationship Id="rId14141" Type="http://schemas.openxmlformats.org/officeDocument/2006/relationships/hyperlink" Target="https://maps.google.com/?q=18.10399769,-96.46864972" TargetMode="External"/><Relationship Id="rId3899" Type="http://schemas.openxmlformats.org/officeDocument/2006/relationships/hyperlink" Target="https://maps.google.com/?q=16.906769544952642,-96.55796874718665" TargetMode="External"/><Relationship Id="rId4200" Type="http://schemas.openxmlformats.org/officeDocument/2006/relationships/hyperlink" Target="https://maps.google.com/?q=16.237076,-97.292351999999994" TargetMode="External"/><Relationship Id="rId7770" Type="http://schemas.openxmlformats.org/officeDocument/2006/relationships/hyperlink" Target="https://maps.google.com/?q=16.1018322563677,-96.193696737608704" TargetMode="External"/><Relationship Id="rId6372" Type="http://schemas.openxmlformats.org/officeDocument/2006/relationships/hyperlink" Target="https://maps.google.com/?q=16.428,-97.9767" TargetMode="External"/><Relationship Id="rId7423" Type="http://schemas.openxmlformats.org/officeDocument/2006/relationships/hyperlink" Target="https://maps.google.com/?q=17.037446,-97.051337000000004" TargetMode="External"/><Relationship Id="rId8821" Type="http://schemas.openxmlformats.org/officeDocument/2006/relationships/hyperlink" Target="https://maps.google.com/?q=17.216055,-96.248947000000001" TargetMode="External"/><Relationship Id="rId10751" Type="http://schemas.openxmlformats.org/officeDocument/2006/relationships/hyperlink" Target="https://maps.google.com/?q=16.5531046335997,-94.940944662944304" TargetMode="External"/><Relationship Id="rId11802" Type="http://schemas.openxmlformats.org/officeDocument/2006/relationships/hyperlink" Target="https://maps.google.com/?q=17.18973993678845,-97.27679647850417" TargetMode="External"/><Relationship Id="rId6025" Type="http://schemas.openxmlformats.org/officeDocument/2006/relationships/hyperlink" Target="https://maps.google.com/?q=18.156137645992704,-96.576135151590933" TargetMode="External"/><Relationship Id="rId10404" Type="http://schemas.openxmlformats.org/officeDocument/2006/relationships/hyperlink" Target="https://maps.google.com/?q=17.9792113398533,-96.703343930739706" TargetMode="External"/><Relationship Id="rId13974" Type="http://schemas.openxmlformats.org/officeDocument/2006/relationships/hyperlink" Target="https://maps.google.com/?q=18.39741108,-96.50076786" TargetMode="External"/><Relationship Id="rId2982" Type="http://schemas.openxmlformats.org/officeDocument/2006/relationships/hyperlink" Target="https://maps.google.com/?q=17.91095896006,-97.995647216627106" TargetMode="External"/><Relationship Id="rId8197" Type="http://schemas.openxmlformats.org/officeDocument/2006/relationships/hyperlink" Target="https://maps.google.com/?q=16.670723,-96.309154300000003" TargetMode="External"/><Relationship Id="rId9595" Type="http://schemas.openxmlformats.org/officeDocument/2006/relationships/hyperlink" Target="https://maps.google.com/?q=17.9938134418126,-96.7453376539098" TargetMode="External"/><Relationship Id="rId12576" Type="http://schemas.openxmlformats.org/officeDocument/2006/relationships/hyperlink" Target="https://maps.google.com/?q=16.6237537566238,-96.952736862432701" TargetMode="External"/><Relationship Id="rId13627" Type="http://schemas.openxmlformats.org/officeDocument/2006/relationships/hyperlink" Target="https://maps.google.com/?q=17.129372,-96.801908" TargetMode="External"/><Relationship Id="rId954" Type="http://schemas.openxmlformats.org/officeDocument/2006/relationships/hyperlink" Target="https://maps.google.com/?q=15.683990484661729,-96.511509012396857" TargetMode="External"/><Relationship Id="rId1584" Type="http://schemas.openxmlformats.org/officeDocument/2006/relationships/hyperlink" Target="https://maps.google.com/?q=16.566528,-96.7001171" TargetMode="External"/><Relationship Id="rId2635" Type="http://schemas.openxmlformats.org/officeDocument/2006/relationships/hyperlink" Target="https://maps.google.com/?q=18.083452,-96.164742000000004" TargetMode="External"/><Relationship Id="rId9248" Type="http://schemas.openxmlformats.org/officeDocument/2006/relationships/hyperlink" Target="https://maps.google.com/?q=17.377167209959,-96.301063626855196" TargetMode="External"/><Relationship Id="rId11178" Type="http://schemas.openxmlformats.org/officeDocument/2006/relationships/hyperlink" Target="https://maps.google.com/?q=16.84418,-96.010245999999995" TargetMode="External"/><Relationship Id="rId12229" Type="http://schemas.openxmlformats.org/officeDocument/2006/relationships/hyperlink" Target="https://maps.google.com/?q=16.41590949,-97.219595479999995" TargetMode="External"/><Relationship Id="rId607" Type="http://schemas.openxmlformats.org/officeDocument/2006/relationships/hyperlink" Target="https://maps.google.com/?q=16.054878,-97.396080999999995" TargetMode="External"/><Relationship Id="rId1237" Type="http://schemas.openxmlformats.org/officeDocument/2006/relationships/hyperlink" Target="https://maps.google.com/?q=17.055812719,-96.7456976" TargetMode="External"/><Relationship Id="rId5858" Type="http://schemas.openxmlformats.org/officeDocument/2006/relationships/hyperlink" Target="https://maps.google.com/?q=15.9713253516153,-97.245353193670098" TargetMode="External"/><Relationship Id="rId6909" Type="http://schemas.openxmlformats.org/officeDocument/2006/relationships/hyperlink" Target="https://maps.google.com/?q=17.1649417174051,-94.788158523977202" TargetMode="External"/><Relationship Id="rId7280" Type="http://schemas.openxmlformats.org/officeDocument/2006/relationships/hyperlink" Target="https://maps.google.com/?q=16.3041498938648,-97.918576700000699" TargetMode="External"/><Relationship Id="rId8331" Type="http://schemas.openxmlformats.org/officeDocument/2006/relationships/hyperlink" Target="https://maps.google.com/?q=17.2036164022517,-97.5966334332259" TargetMode="External"/><Relationship Id="rId10261" Type="http://schemas.openxmlformats.org/officeDocument/2006/relationships/hyperlink" Target="https://maps.google.com/?q=16.244543,-95.151437999999999" TargetMode="External"/><Relationship Id="rId12710" Type="http://schemas.openxmlformats.org/officeDocument/2006/relationships/hyperlink" Target="https://maps.google.com/?q=16.2845254390535,-96.503881930059407" TargetMode="External"/><Relationship Id="rId11312" Type="http://schemas.openxmlformats.org/officeDocument/2006/relationships/hyperlink" Target="https://maps.google.com/?q=17.8686381756393,-96.310051282327905" TargetMode="External"/><Relationship Id="rId2492" Type="http://schemas.openxmlformats.org/officeDocument/2006/relationships/hyperlink" Target="https://maps.google.com/?q=17.05204723,-96.624141320000007" TargetMode="External"/><Relationship Id="rId3890" Type="http://schemas.openxmlformats.org/officeDocument/2006/relationships/hyperlink" Target="https://maps.google.com/?q=17.0920491206991,-96.0668951202031" TargetMode="External"/><Relationship Id="rId4941" Type="http://schemas.openxmlformats.org/officeDocument/2006/relationships/hyperlink" Target="https://maps.google.com/?q=18.034264,-96.669479999999993" TargetMode="External"/><Relationship Id="rId13484" Type="http://schemas.openxmlformats.org/officeDocument/2006/relationships/hyperlink" Target="https://maps.google.com/?q=17.6894768035425,-97.032848187772004" TargetMode="External"/><Relationship Id="rId464" Type="http://schemas.openxmlformats.org/officeDocument/2006/relationships/hyperlink" Target="https://maps.google.com/?q=16.053892,-97.409295" TargetMode="External"/><Relationship Id="rId1094" Type="http://schemas.openxmlformats.org/officeDocument/2006/relationships/hyperlink" Target="https://maps.google.com/?q=16.88311,-97.676550000000006" TargetMode="External"/><Relationship Id="rId2145" Type="http://schemas.openxmlformats.org/officeDocument/2006/relationships/hyperlink" Target="https://maps.google.com/?q=15.764282,-96.144171" TargetMode="External"/><Relationship Id="rId3543" Type="http://schemas.openxmlformats.org/officeDocument/2006/relationships/hyperlink" Target="https://maps.google.com/?q=15.757528882396326,-96.146410613626955" TargetMode="External"/><Relationship Id="rId12086" Type="http://schemas.openxmlformats.org/officeDocument/2006/relationships/hyperlink" Target="https://maps.google.com/?q=16.24615724,-95.325365450000007" TargetMode="External"/><Relationship Id="rId13137" Type="http://schemas.openxmlformats.org/officeDocument/2006/relationships/hyperlink" Target="https://maps.google.com/?q=17.1868982229902,-96.513790868717194" TargetMode="External"/><Relationship Id="rId117" Type="http://schemas.openxmlformats.org/officeDocument/2006/relationships/hyperlink" Target="https://maps.google.com/?q=17.094916,-97.496458000000004" TargetMode="External"/><Relationship Id="rId6766" Type="http://schemas.openxmlformats.org/officeDocument/2006/relationships/hyperlink" Target="https://maps.google.com/?q=16.7096584542766,-97.017584959662699" TargetMode="External"/><Relationship Id="rId7817" Type="http://schemas.openxmlformats.org/officeDocument/2006/relationships/hyperlink" Target="https://maps.google.com/?q=17.8464833213148,-96.744795217577405" TargetMode="External"/><Relationship Id="rId5368" Type="http://schemas.openxmlformats.org/officeDocument/2006/relationships/hyperlink" Target="https://maps.google.com/?q=15.9715242560345,-97.245472233135104" TargetMode="External"/><Relationship Id="rId6419" Type="http://schemas.openxmlformats.org/officeDocument/2006/relationships/hyperlink" Target="https://maps.google.com/?q=17.2463776734063,-97.584905128691602" TargetMode="External"/><Relationship Id="rId9989" Type="http://schemas.openxmlformats.org/officeDocument/2006/relationships/hyperlink" Target="https://maps.google.com/?q=16.0291407264771,-95.423194693289005" TargetMode="External"/><Relationship Id="rId12220" Type="http://schemas.openxmlformats.org/officeDocument/2006/relationships/hyperlink" Target="https://maps.google.com/?q=17.4188438550212,-95.949199721236099" TargetMode="External"/><Relationship Id="rId1978" Type="http://schemas.openxmlformats.org/officeDocument/2006/relationships/hyperlink" Target="https://maps.google.com/?q=15.774686,-96.146301" TargetMode="External"/><Relationship Id="rId4451" Type="http://schemas.openxmlformats.org/officeDocument/2006/relationships/hyperlink" Target="https://maps.google.com/?q=17.608508,-98.010454999999993" TargetMode="External"/><Relationship Id="rId5502" Type="http://schemas.openxmlformats.org/officeDocument/2006/relationships/hyperlink" Target="https://maps.google.com/?q=16.340489,-96.491601000000003" TargetMode="External"/><Relationship Id="rId6900" Type="http://schemas.openxmlformats.org/officeDocument/2006/relationships/hyperlink" Target="https://maps.google.com/?q=16.9748357441138,-97.086879097639795" TargetMode="External"/><Relationship Id="rId14045" Type="http://schemas.openxmlformats.org/officeDocument/2006/relationships/hyperlink" Target="https://maps.google.com/?q=17.06496657,-96.69244776" TargetMode="External"/><Relationship Id="rId3053" Type="http://schemas.openxmlformats.org/officeDocument/2006/relationships/hyperlink" Target="https://maps.google.com/?q=16.963606,-96.941669700000006" TargetMode="External"/><Relationship Id="rId4104" Type="http://schemas.openxmlformats.org/officeDocument/2006/relationships/hyperlink" Target="https://maps.google.com/?q=17.058568,-96.743064000000004" TargetMode="External"/><Relationship Id="rId6276" Type="http://schemas.openxmlformats.org/officeDocument/2006/relationships/hyperlink" Target="https://maps.google.com/?q=16.4121743125583,-96.726083809507799" TargetMode="External"/><Relationship Id="rId7674" Type="http://schemas.openxmlformats.org/officeDocument/2006/relationships/hyperlink" Target="https://maps.google.com/?q=17.1994380615692,-97.514282652209403" TargetMode="External"/><Relationship Id="rId8725" Type="http://schemas.openxmlformats.org/officeDocument/2006/relationships/hyperlink" Target="https://maps.google.com/?q=17.0576428195536,-96.8218066084453" TargetMode="External"/><Relationship Id="rId10655" Type="http://schemas.openxmlformats.org/officeDocument/2006/relationships/hyperlink" Target="https://maps.google.com/?q=17.1235207960635,-97.7829608077909" TargetMode="External"/><Relationship Id="rId11706" Type="http://schemas.openxmlformats.org/officeDocument/2006/relationships/hyperlink" Target="https://maps.google.com/?q=17.18245336,-97.709505730000004" TargetMode="External"/><Relationship Id="rId7327" Type="http://schemas.openxmlformats.org/officeDocument/2006/relationships/hyperlink" Target="https://maps.google.com/?q=16.7297778,-96.473061180000002" TargetMode="External"/><Relationship Id="rId10308" Type="http://schemas.openxmlformats.org/officeDocument/2006/relationships/hyperlink" Target="https://maps.google.com/?q=16.224071,-97.268198999999996" TargetMode="External"/><Relationship Id="rId13878" Type="http://schemas.openxmlformats.org/officeDocument/2006/relationships/hyperlink" Target="https://maps.google.com/?q=16.2731770662335,-96.583425568122905" TargetMode="External"/><Relationship Id="rId2886" Type="http://schemas.openxmlformats.org/officeDocument/2006/relationships/hyperlink" Target="https://maps.google.com/?q=18.229468,-96.278487999999996" TargetMode="External"/><Relationship Id="rId3937" Type="http://schemas.openxmlformats.org/officeDocument/2006/relationships/hyperlink" Target="https://maps.google.com/?q=17.059171,-96.750380000000007" TargetMode="External"/><Relationship Id="rId9499" Type="http://schemas.openxmlformats.org/officeDocument/2006/relationships/hyperlink" Target="https://maps.google.com/?q=17.315448399580774,-96.48465416557946" TargetMode="External"/><Relationship Id="rId858" Type="http://schemas.openxmlformats.org/officeDocument/2006/relationships/hyperlink" Target="https://maps.google.com/?q=15.709338903379006,-96.527277372634217" TargetMode="External"/><Relationship Id="rId1488" Type="http://schemas.openxmlformats.org/officeDocument/2006/relationships/hyperlink" Target="https://maps.google.com/?q=17.058954,-96.752435000000006" TargetMode="External"/><Relationship Id="rId2539" Type="http://schemas.openxmlformats.org/officeDocument/2006/relationships/hyperlink" Target="https://maps.google.com/?q=17.94217,-97.972707999999997" TargetMode="External"/><Relationship Id="rId6410" Type="http://schemas.openxmlformats.org/officeDocument/2006/relationships/hyperlink" Target="https://maps.google.com/?q=17.2107181819029,-97.584330034241901" TargetMode="External"/><Relationship Id="rId9980" Type="http://schemas.openxmlformats.org/officeDocument/2006/relationships/hyperlink" Target="https://maps.google.com/?q=16.104863340442,-95.381121406100206" TargetMode="External"/><Relationship Id="rId5012" Type="http://schemas.openxmlformats.org/officeDocument/2006/relationships/hyperlink" Target="https://maps.google.com/?q=17.04882179980103,-96.72775831329831" TargetMode="External"/><Relationship Id="rId8582" Type="http://schemas.openxmlformats.org/officeDocument/2006/relationships/hyperlink" Target="https://maps.google.com/?q=16.933035134505,-96.6014983030759" TargetMode="External"/><Relationship Id="rId9633" Type="http://schemas.openxmlformats.org/officeDocument/2006/relationships/hyperlink" Target="https://maps.google.com/?q=17.1539932340531,-96.753858389827897" TargetMode="External"/><Relationship Id="rId12961" Type="http://schemas.openxmlformats.org/officeDocument/2006/relationships/hyperlink" Target="https://maps.google.com/?q=16.509344,-97.479893000000004" TargetMode="External"/><Relationship Id="rId7184" Type="http://schemas.openxmlformats.org/officeDocument/2006/relationships/hyperlink" Target="https://maps.google.com/?q=16.2216526179642,-97.921191610000804" TargetMode="External"/><Relationship Id="rId8235" Type="http://schemas.openxmlformats.org/officeDocument/2006/relationships/hyperlink" Target="https://maps.google.com/?q=16.4238849539646,-97.640878965594098" TargetMode="External"/><Relationship Id="rId11563" Type="http://schemas.openxmlformats.org/officeDocument/2006/relationships/hyperlink" Target="https://maps.google.com/?q=16.846602825164,-96.748406000000003" TargetMode="External"/><Relationship Id="rId12614" Type="http://schemas.openxmlformats.org/officeDocument/2006/relationships/hyperlink" Target="https://maps.google.com/?q=17.1180885591056,-96.847134705522507" TargetMode="External"/><Relationship Id="rId1622" Type="http://schemas.openxmlformats.org/officeDocument/2006/relationships/hyperlink" Target="https://maps.google.com/?q=17.760793,-96.080838" TargetMode="External"/><Relationship Id="rId10165" Type="http://schemas.openxmlformats.org/officeDocument/2006/relationships/hyperlink" Target="https://maps.google.com/?q=17.1094980278872,-97.496366968294296" TargetMode="External"/><Relationship Id="rId11216" Type="http://schemas.openxmlformats.org/officeDocument/2006/relationships/hyperlink" Target="https://maps.google.com/?q=17.317545,-96.555313%20" TargetMode="External"/><Relationship Id="rId3794" Type="http://schemas.openxmlformats.org/officeDocument/2006/relationships/hyperlink" Target="https://maps.google.com/?q=15.770199317985966,-96.252330165745121" TargetMode="External"/><Relationship Id="rId4845" Type="http://schemas.openxmlformats.org/officeDocument/2006/relationships/hyperlink" Target="https://maps.google.com/?q=17.3381447194038,-96.165131064111804" TargetMode="External"/><Relationship Id="rId13388" Type="http://schemas.openxmlformats.org/officeDocument/2006/relationships/hyperlink" Target="https://maps.google.com/?q=16.3245493915306,-96.674996979167602" TargetMode="External"/><Relationship Id="rId2396" Type="http://schemas.openxmlformats.org/officeDocument/2006/relationships/hyperlink" Target="https://maps.google.com/?q=16.6000880379132,-97.219522069940595" TargetMode="External"/><Relationship Id="rId3447" Type="http://schemas.openxmlformats.org/officeDocument/2006/relationships/hyperlink" Target="https://maps.google.com/?q=16.4568321756633,-96.930182872352702" TargetMode="External"/><Relationship Id="rId368" Type="http://schemas.openxmlformats.org/officeDocument/2006/relationships/hyperlink" Target="https://maps.google.com/?q=16.053403,-97.410289000000006" TargetMode="External"/><Relationship Id="rId2049" Type="http://schemas.openxmlformats.org/officeDocument/2006/relationships/hyperlink" Target="https://maps.google.com/?q=15.761573080098627,-96.143528419977102" TargetMode="External"/><Relationship Id="rId9490" Type="http://schemas.openxmlformats.org/officeDocument/2006/relationships/hyperlink" Target="https://maps.google.com/?q=16.33063,-95.23139" TargetMode="External"/><Relationship Id="rId12471" Type="http://schemas.openxmlformats.org/officeDocument/2006/relationships/hyperlink" Target="https://maps.google.com/?q=17.2218891894957,-97.270951104910793" TargetMode="External"/><Relationship Id="rId2530" Type="http://schemas.openxmlformats.org/officeDocument/2006/relationships/hyperlink" Target="https://maps.google.com/?q=17.05245677,-96.623545559999997" TargetMode="External"/><Relationship Id="rId8092" Type="http://schemas.openxmlformats.org/officeDocument/2006/relationships/hyperlink" Target="https://maps.google.com/?q=17.3546470948954,-96.3039473485983" TargetMode="External"/><Relationship Id="rId9143" Type="http://schemas.openxmlformats.org/officeDocument/2006/relationships/hyperlink" Target="https://maps.google.com/?q=16.9732501034524,-97.087416930059405" TargetMode="External"/><Relationship Id="rId11073" Type="http://schemas.openxmlformats.org/officeDocument/2006/relationships/hyperlink" Target="https://maps.google.com/?q=17.28767146,-97.373841740000003" TargetMode="External"/><Relationship Id="rId12124" Type="http://schemas.openxmlformats.org/officeDocument/2006/relationships/hyperlink" Target="https://maps.google.com/?q=16.3203617138788,-97.664334224537001" TargetMode="External"/><Relationship Id="rId13522" Type="http://schemas.openxmlformats.org/officeDocument/2006/relationships/hyperlink" Target="https://maps.google.com/?q=16.693839444739055,-96.8462486643124" TargetMode="External"/><Relationship Id="rId502" Type="http://schemas.openxmlformats.org/officeDocument/2006/relationships/hyperlink" Target="https://maps.google.com/?q=16.054298,-97.409160999999997" TargetMode="External"/><Relationship Id="rId1132" Type="http://schemas.openxmlformats.org/officeDocument/2006/relationships/hyperlink" Target="https://maps.google.com/?q=17.094081,-97.496217999999999" TargetMode="External"/><Relationship Id="rId4355" Type="http://schemas.openxmlformats.org/officeDocument/2006/relationships/hyperlink" Target="https://maps.google.com/?q=15.95921849,-96.638020060000002" TargetMode="External"/><Relationship Id="rId5753" Type="http://schemas.openxmlformats.org/officeDocument/2006/relationships/hyperlink" Target="https://maps.google.com/?q=18.049658,-96.765454000000005" TargetMode="External"/><Relationship Id="rId6804" Type="http://schemas.openxmlformats.org/officeDocument/2006/relationships/hyperlink" Target="https://maps.google.com/?q=16.3627115260658,-97.046117797554999" TargetMode="External"/><Relationship Id="rId4008" Type="http://schemas.openxmlformats.org/officeDocument/2006/relationships/hyperlink" Target="https://maps.google.com/?q=17.018052318891478,-96.718519935406704" TargetMode="External"/><Relationship Id="rId5406" Type="http://schemas.openxmlformats.org/officeDocument/2006/relationships/hyperlink" Target="https://maps.google.com/?q=16.0960749039477,-97.702793233135097" TargetMode="External"/><Relationship Id="rId8976" Type="http://schemas.openxmlformats.org/officeDocument/2006/relationships/hyperlink" Target="https://maps.google.com/?q=17.381724006,-96.160435970999998" TargetMode="External"/><Relationship Id="rId11957" Type="http://schemas.openxmlformats.org/officeDocument/2006/relationships/hyperlink" Target="https://maps.google.com/?q=16.7974014381666,-96.721768707277107" TargetMode="External"/><Relationship Id="rId7578" Type="http://schemas.openxmlformats.org/officeDocument/2006/relationships/hyperlink" Target="https://maps.google.com/?q=17.0927011345518,-95.854219317791603" TargetMode="External"/><Relationship Id="rId8629" Type="http://schemas.openxmlformats.org/officeDocument/2006/relationships/hyperlink" Target="https://maps.google.com/?q=17.8996339163472,-96.713818674542296" TargetMode="External"/><Relationship Id="rId10559" Type="http://schemas.openxmlformats.org/officeDocument/2006/relationships/hyperlink" Target="https://maps.google.com/?q=17.0947173376424,-97.790883070617696" TargetMode="External"/><Relationship Id="rId13032" Type="http://schemas.openxmlformats.org/officeDocument/2006/relationships/hyperlink" Target="https://maps.google.com/?q=16.5611576,-97.541139999999999" TargetMode="External"/><Relationship Id="rId2040" Type="http://schemas.openxmlformats.org/officeDocument/2006/relationships/hyperlink" Target="https://maps.google.com/?q=15.759927514819415,-96.14269350299692" TargetMode="External"/><Relationship Id="rId6661" Type="http://schemas.openxmlformats.org/officeDocument/2006/relationships/hyperlink" Target="https://maps.google.com/?q=18.218438,-96.337237999999999" TargetMode="External"/><Relationship Id="rId7712" Type="http://schemas.openxmlformats.org/officeDocument/2006/relationships/hyperlink" Target="https://maps.google.com/?q=16.6285792349161,-96.792250028663005" TargetMode="External"/><Relationship Id="rId5263" Type="http://schemas.openxmlformats.org/officeDocument/2006/relationships/hyperlink" Target="https://maps.google.com/?q=15.7214366689163,-96.395654212099004" TargetMode="External"/><Relationship Id="rId6314" Type="http://schemas.openxmlformats.org/officeDocument/2006/relationships/hyperlink" Target="https://maps.google.com/?q=18.0582096612355,-96.394274682207396" TargetMode="External"/><Relationship Id="rId8486" Type="http://schemas.openxmlformats.org/officeDocument/2006/relationships/hyperlink" Target="https://maps.google.com/?q=17.1544886283655,-97.529654725522406" TargetMode="External"/><Relationship Id="rId9884" Type="http://schemas.openxmlformats.org/officeDocument/2006/relationships/hyperlink" Target="https://maps.google.com/?q=16.6374397978073,-96.850505460228803" TargetMode="External"/><Relationship Id="rId12865" Type="http://schemas.openxmlformats.org/officeDocument/2006/relationships/hyperlink" Target="https://maps.google.com/?q=17.518506,-97.680047999999999" TargetMode="External"/><Relationship Id="rId13916" Type="http://schemas.openxmlformats.org/officeDocument/2006/relationships/hyperlink" Target="https://maps.google.com/?q=16.8562710096125,-96.813602541597305" TargetMode="External"/><Relationship Id="rId98" Type="http://schemas.openxmlformats.org/officeDocument/2006/relationships/hyperlink" Target="https://maps.google.com/?q=17.095454,-97.498896000000002" TargetMode="External"/><Relationship Id="rId1873" Type="http://schemas.openxmlformats.org/officeDocument/2006/relationships/hyperlink" Target="https://maps.google.com/?q=15.775457236434793,-96.136246091642832" TargetMode="External"/><Relationship Id="rId2924" Type="http://schemas.openxmlformats.org/officeDocument/2006/relationships/hyperlink" Target="https://maps.google.com/?q=17.07636109,-96.665406039999993" TargetMode="External"/><Relationship Id="rId7088" Type="http://schemas.openxmlformats.org/officeDocument/2006/relationships/hyperlink" Target="https://maps.google.com/?q=16.3275760591427,-98.0558331507875" TargetMode="External"/><Relationship Id="rId8139" Type="http://schemas.openxmlformats.org/officeDocument/2006/relationships/hyperlink" Target="https://maps.google.com/?q=17.3558183319368,-96.302454700123704" TargetMode="External"/><Relationship Id="rId9537" Type="http://schemas.openxmlformats.org/officeDocument/2006/relationships/hyperlink" Target="https://maps.google.com/?q=17.271038,-96.797241" TargetMode="External"/><Relationship Id="rId11467" Type="http://schemas.openxmlformats.org/officeDocument/2006/relationships/hyperlink" Target="https://maps.google.com/?q=16.0106509,-97.430218400000001" TargetMode="External"/><Relationship Id="rId12518" Type="http://schemas.openxmlformats.org/officeDocument/2006/relationships/hyperlink" Target="https://maps.google.com/?q=17.2259966120161,-97.273622512897404" TargetMode="External"/><Relationship Id="rId1526" Type="http://schemas.openxmlformats.org/officeDocument/2006/relationships/hyperlink" Target="https://maps.google.com/?q=17.061861,-96.753832000000003" TargetMode="External"/><Relationship Id="rId10069" Type="http://schemas.openxmlformats.org/officeDocument/2006/relationships/hyperlink" Target="https://maps.google.com/?q=16.9891567971827,-96.109104725974802" TargetMode="External"/><Relationship Id="rId3698" Type="http://schemas.openxmlformats.org/officeDocument/2006/relationships/hyperlink" Target="https://maps.google.com/?q=15.757711617054328,-96.139003688620619" TargetMode="External"/><Relationship Id="rId4749" Type="http://schemas.openxmlformats.org/officeDocument/2006/relationships/hyperlink" Target="https://maps.google.com/?q=17.9530321241855,-96.656859275754101" TargetMode="External"/><Relationship Id="rId8620" Type="http://schemas.openxmlformats.org/officeDocument/2006/relationships/hyperlink" Target="https://maps.google.com/?q=17.8973522570578,-96.711840622615199" TargetMode="External"/><Relationship Id="rId10550" Type="http://schemas.openxmlformats.org/officeDocument/2006/relationships/hyperlink" Target="https://maps.google.com/?q=17.090511674684,-97.7917187000496" TargetMode="External"/><Relationship Id="rId6171" Type="http://schemas.openxmlformats.org/officeDocument/2006/relationships/hyperlink" Target="https://maps.google.com/?q=16.1428512226534,-96.416442542153504" TargetMode="External"/><Relationship Id="rId7222" Type="http://schemas.openxmlformats.org/officeDocument/2006/relationships/hyperlink" Target="https://maps.google.com/?q=16.2288208862161,-97.944199845893806" TargetMode="External"/><Relationship Id="rId10203" Type="http://schemas.openxmlformats.org/officeDocument/2006/relationships/hyperlink" Target="https://maps.google.com/?q=17.18200894,-97.38191212" TargetMode="External"/><Relationship Id="rId11601" Type="http://schemas.openxmlformats.org/officeDocument/2006/relationships/hyperlink" Target="https://maps.google.com/?q=16.8359620905266,-96.727856093254104" TargetMode="External"/><Relationship Id="rId2781" Type="http://schemas.openxmlformats.org/officeDocument/2006/relationships/hyperlink" Target="https://maps.google.com/?q=16.9918704794778,-97.702460857060402" TargetMode="External"/><Relationship Id="rId9394" Type="http://schemas.openxmlformats.org/officeDocument/2006/relationships/hyperlink" Target="https://maps.google.com/?q=16.8211152855397,-95.139937083213894" TargetMode="External"/><Relationship Id="rId13773" Type="http://schemas.openxmlformats.org/officeDocument/2006/relationships/hyperlink" Target="https://maps.google.com/?q=17.26753,-97.68053" TargetMode="External"/><Relationship Id="rId753" Type="http://schemas.openxmlformats.org/officeDocument/2006/relationships/hyperlink" Target="https://maps.google.com/?q=15.68298378093964,-96.510389304727198" TargetMode="External"/><Relationship Id="rId1383" Type="http://schemas.openxmlformats.org/officeDocument/2006/relationships/hyperlink" Target="https://maps.google.com/?q=17.027131,-96.077044000000001" TargetMode="External"/><Relationship Id="rId2434" Type="http://schemas.openxmlformats.org/officeDocument/2006/relationships/hyperlink" Target="https://maps.google.com/?q=17.05122385,-96.624726800000005" TargetMode="External"/><Relationship Id="rId3832" Type="http://schemas.openxmlformats.org/officeDocument/2006/relationships/hyperlink" Target="https://maps.google.com/?q=17.611022306341848,-98.01550479265975" TargetMode="External"/><Relationship Id="rId9047" Type="http://schemas.openxmlformats.org/officeDocument/2006/relationships/hyperlink" Target="https://maps.google.com/?q=16.054482,-95.480340999999996" TargetMode="External"/><Relationship Id="rId12028" Type="http://schemas.openxmlformats.org/officeDocument/2006/relationships/hyperlink" Target="https://maps.google.com/?q=16.805488786893,-96.714460338895293" TargetMode="External"/><Relationship Id="rId12375" Type="http://schemas.openxmlformats.org/officeDocument/2006/relationships/hyperlink" Target="https://maps.google.com/?q=17.84166,-96.881252" TargetMode="External"/><Relationship Id="rId13426" Type="http://schemas.openxmlformats.org/officeDocument/2006/relationships/hyperlink" Target="https://maps.google.com/?q=17.6802908924374,-97.037182224536906" TargetMode="External"/><Relationship Id="rId406" Type="http://schemas.openxmlformats.org/officeDocument/2006/relationships/hyperlink" Target="https://maps.google.com/?q=16.050431,-97.415443999999994" TargetMode="External"/><Relationship Id="rId1036" Type="http://schemas.openxmlformats.org/officeDocument/2006/relationships/hyperlink" Target="https://maps.google.com/?q=15.705694656895757,-96.524229396989057" TargetMode="External"/><Relationship Id="rId5657" Type="http://schemas.openxmlformats.org/officeDocument/2006/relationships/hyperlink" Target="https://maps.google.com/?q=16.436034,-97.854258999999999" TargetMode="External"/><Relationship Id="rId6708" Type="http://schemas.openxmlformats.org/officeDocument/2006/relationships/hyperlink" Target="https://maps.google.com/?q=17.0272757335182,-96.984598309973293" TargetMode="External"/><Relationship Id="rId4259" Type="http://schemas.openxmlformats.org/officeDocument/2006/relationships/hyperlink" Target="https://maps.google.com/?q=16.01443486,-96.634295390000005" TargetMode="External"/><Relationship Id="rId8130" Type="http://schemas.openxmlformats.org/officeDocument/2006/relationships/hyperlink" Target="https://maps.google.com/?q=17.3554714425618,-96.302670618954906" TargetMode="External"/><Relationship Id="rId10060" Type="http://schemas.openxmlformats.org/officeDocument/2006/relationships/hyperlink" Target="https://maps.google.com/?q=16.931062950483,-96.3603888440019" TargetMode="External"/><Relationship Id="rId11111" Type="http://schemas.openxmlformats.org/officeDocument/2006/relationships/hyperlink" Target="https://maps.google.com/?q=16.03622,-96.862818000000004" TargetMode="External"/><Relationship Id="rId4740" Type="http://schemas.openxmlformats.org/officeDocument/2006/relationships/hyperlink" Target="https://maps.google.com/?q=17.9495380378582,-96.656117101411198" TargetMode="External"/><Relationship Id="rId13283" Type="http://schemas.openxmlformats.org/officeDocument/2006/relationships/hyperlink" Target="https://maps.google.com/?q=16.1295372642102,-96.330369037791399" TargetMode="External"/><Relationship Id="rId2291" Type="http://schemas.openxmlformats.org/officeDocument/2006/relationships/hyperlink" Target="https://maps.google.com/?q=18.0992515371085,-96.926272498533393" TargetMode="External"/><Relationship Id="rId3342" Type="http://schemas.openxmlformats.org/officeDocument/2006/relationships/hyperlink" Target="https://maps.google.com/?q=17.1400967597029,-97.812456457672099" TargetMode="External"/><Relationship Id="rId263" Type="http://schemas.openxmlformats.org/officeDocument/2006/relationships/hyperlink" Target="https://maps.google.com/?q=16.88988,-97.682410000000004" TargetMode="External"/><Relationship Id="rId6565" Type="http://schemas.openxmlformats.org/officeDocument/2006/relationships/hyperlink" Target="https://maps.google.com/?q=17.762449,-96.879263" TargetMode="External"/><Relationship Id="rId7963" Type="http://schemas.openxmlformats.org/officeDocument/2006/relationships/hyperlink" Target="https://maps.google.com/?q=15.9488461387116,-96.552928654477498" TargetMode="External"/><Relationship Id="rId10944" Type="http://schemas.openxmlformats.org/officeDocument/2006/relationships/hyperlink" Target="https://maps.google.com/?q=16.2054637159917,-95.218307338147" TargetMode="External"/><Relationship Id="rId5167" Type="http://schemas.openxmlformats.org/officeDocument/2006/relationships/hyperlink" Target="https://maps.google.com/?q=17.254988,-96.154112999999995" TargetMode="External"/><Relationship Id="rId6218" Type="http://schemas.openxmlformats.org/officeDocument/2006/relationships/hyperlink" Target="https://maps.google.com/?q=16.096387,-97.08511" TargetMode="External"/><Relationship Id="rId7616" Type="http://schemas.openxmlformats.org/officeDocument/2006/relationships/hyperlink" Target="https://maps.google.com/?q=17.2301467385572,-95.055810333107303" TargetMode="External"/><Relationship Id="rId9788" Type="http://schemas.openxmlformats.org/officeDocument/2006/relationships/hyperlink" Target="https://maps.google.com/?q=16.6404569326082,-96.753044785582006" TargetMode="External"/><Relationship Id="rId12769" Type="http://schemas.openxmlformats.org/officeDocument/2006/relationships/hyperlink" Target="https://maps.google.com/?q=16.56989997762603,-96.55659199105433" TargetMode="External"/><Relationship Id="rId1777" Type="http://schemas.openxmlformats.org/officeDocument/2006/relationships/hyperlink" Target="https://maps.google.com/?q=18.06336424,-96.848344639999993" TargetMode="External"/><Relationship Id="rId2828" Type="http://schemas.openxmlformats.org/officeDocument/2006/relationships/hyperlink" Target="https://maps.google.com/?q=16.992152384752,-97.715510310346801" TargetMode="External"/><Relationship Id="rId4250" Type="http://schemas.openxmlformats.org/officeDocument/2006/relationships/hyperlink" Target="https://maps.google.com/?q=15.93030323,-96.636419810000007" TargetMode="External"/><Relationship Id="rId5301" Type="http://schemas.openxmlformats.org/officeDocument/2006/relationships/hyperlink" Target="https://maps.google.com/?q=15.7176470136847,-96.470514020482497" TargetMode="External"/><Relationship Id="rId8871" Type="http://schemas.openxmlformats.org/officeDocument/2006/relationships/hyperlink" Target="https://maps.google.com/?q=17.222481,-96.242587999999998" TargetMode="External"/><Relationship Id="rId9922" Type="http://schemas.openxmlformats.org/officeDocument/2006/relationships/hyperlink" Target="https://maps.google.com/?q=16.7083930672794,-96.707891894512102" TargetMode="External"/><Relationship Id="rId7473" Type="http://schemas.openxmlformats.org/officeDocument/2006/relationships/hyperlink" Target="https://maps.google.com/?q=16.9869031726659,-95.011780145581994" TargetMode="External"/><Relationship Id="rId8524" Type="http://schemas.openxmlformats.org/officeDocument/2006/relationships/hyperlink" Target="https://maps.google.com/?q=16.9231152668924,-96.6051725889549" TargetMode="External"/><Relationship Id="rId11852" Type="http://schemas.openxmlformats.org/officeDocument/2006/relationships/hyperlink" Target="https://maps.google.com/?q=17.342904103774167,-96.17087591534424" TargetMode="External"/><Relationship Id="rId12903" Type="http://schemas.openxmlformats.org/officeDocument/2006/relationships/hyperlink" Target="https://maps.google.com/?q=16.478658,-97.477245999999994" TargetMode="External"/><Relationship Id="rId1911" Type="http://schemas.openxmlformats.org/officeDocument/2006/relationships/hyperlink" Target="https://maps.google.com/?q=15.776646329973321,-96.136705028214465" TargetMode="External"/><Relationship Id="rId6075" Type="http://schemas.openxmlformats.org/officeDocument/2006/relationships/hyperlink" Target="https://maps.google.com/?q=18.16274834151947,-96.578001086202377" TargetMode="External"/><Relationship Id="rId7126" Type="http://schemas.openxmlformats.org/officeDocument/2006/relationships/hyperlink" Target="https://maps.google.com/?q=17.3571586713122,-97.658794409828602" TargetMode="External"/><Relationship Id="rId10454" Type="http://schemas.openxmlformats.org/officeDocument/2006/relationships/hyperlink" Target="https://maps.google.com/?q=17.0388401,-96.780954899999998" TargetMode="External"/><Relationship Id="rId11505" Type="http://schemas.openxmlformats.org/officeDocument/2006/relationships/hyperlink" Target="https://maps.google.com/?q=16.6105181685607,-96.848783913136998" TargetMode="External"/><Relationship Id="rId9298" Type="http://schemas.openxmlformats.org/officeDocument/2006/relationships/hyperlink" Target="https://maps.google.com/?q=16.8136783528895,-95.140501720531205" TargetMode="External"/><Relationship Id="rId10107" Type="http://schemas.openxmlformats.org/officeDocument/2006/relationships/hyperlink" Target="https://maps.google.com/?q=17.022812967975,-96.133102221163895" TargetMode="External"/><Relationship Id="rId13677" Type="http://schemas.openxmlformats.org/officeDocument/2006/relationships/hyperlink" Target="https://maps.google.com/?q=16.500622,-96.106727" TargetMode="External"/><Relationship Id="rId1287" Type="http://schemas.openxmlformats.org/officeDocument/2006/relationships/hyperlink" Target="https://maps.google.com/?q=17.080124,-96.725838" TargetMode="External"/><Relationship Id="rId2685" Type="http://schemas.openxmlformats.org/officeDocument/2006/relationships/hyperlink" Target="https://maps.google.com/?q=17.941524,-96.102502000000001" TargetMode="External"/><Relationship Id="rId3736" Type="http://schemas.openxmlformats.org/officeDocument/2006/relationships/hyperlink" Target="https://maps.google.com/?q=15.76031852973088,-96.141522339402442" TargetMode="External"/><Relationship Id="rId12279" Type="http://schemas.openxmlformats.org/officeDocument/2006/relationships/hyperlink" Target="https://maps.google.com/?q=16.4866340025827,-94.359224542327794" TargetMode="External"/><Relationship Id="rId657" Type="http://schemas.openxmlformats.org/officeDocument/2006/relationships/hyperlink" Target="https://maps.google.com/?q=16.056773,-97.390822999999997" TargetMode="External"/><Relationship Id="rId2338" Type="http://schemas.openxmlformats.org/officeDocument/2006/relationships/hyperlink" Target="https://maps.google.com/?q=17.069168,-97.676575" TargetMode="External"/><Relationship Id="rId6959" Type="http://schemas.openxmlformats.org/officeDocument/2006/relationships/hyperlink" Target="https://maps.google.com/?q=16.3316782,-95.241765099999995" TargetMode="External"/><Relationship Id="rId12760" Type="http://schemas.openxmlformats.org/officeDocument/2006/relationships/hyperlink" Target="https://maps.google.com/?q=17.4557688827441,-97.288558451045105" TargetMode="External"/><Relationship Id="rId8381" Type="http://schemas.openxmlformats.org/officeDocument/2006/relationships/hyperlink" Target="https://maps.google.com/?q=16.8462236933852,-97.201234945885901" TargetMode="External"/><Relationship Id="rId9432" Type="http://schemas.openxmlformats.org/officeDocument/2006/relationships/hyperlink" Target="https://maps.google.com/?q=16.7766505644332,-95.192928258297698" TargetMode="External"/><Relationship Id="rId11362" Type="http://schemas.openxmlformats.org/officeDocument/2006/relationships/hyperlink" Target="https://maps.google.com/?q=16.3597121009684,-94.188485943620606" TargetMode="External"/><Relationship Id="rId12413" Type="http://schemas.openxmlformats.org/officeDocument/2006/relationships/hyperlink" Target="https://maps.google.com/?q=16.5575995766682,-96.821285145998004" TargetMode="External"/><Relationship Id="rId13811" Type="http://schemas.openxmlformats.org/officeDocument/2006/relationships/hyperlink" Target="https://maps.google.com/?q=16.997397,-97.798494000000005" TargetMode="External"/><Relationship Id="rId1421" Type="http://schemas.openxmlformats.org/officeDocument/2006/relationships/hyperlink" Target="https://maps.google.com/?q=17.070529,-96.732887" TargetMode="External"/><Relationship Id="rId4991" Type="http://schemas.openxmlformats.org/officeDocument/2006/relationships/hyperlink" Target="https://maps.google.com/?q=17.04951,-96.71196" TargetMode="External"/><Relationship Id="rId8034" Type="http://schemas.openxmlformats.org/officeDocument/2006/relationships/hyperlink" Target="https://maps.google.com/?q=16.4901690370991,-97.384433195106496" TargetMode="External"/><Relationship Id="rId11015" Type="http://schemas.openxmlformats.org/officeDocument/2006/relationships/hyperlink" Target="https://maps.google.com/?q=17.157312,-97.192079000000007" TargetMode="External"/><Relationship Id="rId3593" Type="http://schemas.openxmlformats.org/officeDocument/2006/relationships/hyperlink" Target="https://maps.google.com/?q=15.776544675260858,-96.136529257511427" TargetMode="External"/><Relationship Id="rId4644" Type="http://schemas.openxmlformats.org/officeDocument/2006/relationships/hyperlink" Target="https://maps.google.com/?q=17.081949,-96.74441700" TargetMode="External"/><Relationship Id="rId13187" Type="http://schemas.openxmlformats.org/officeDocument/2006/relationships/hyperlink" Target="https://maps.google.com/?q=16.5723457738196,-97.012876361996106" TargetMode="External"/><Relationship Id="rId2195" Type="http://schemas.openxmlformats.org/officeDocument/2006/relationships/hyperlink" Target="https://maps.google.com/?q=16.9669414372013,-97.225515294477503" TargetMode="External"/><Relationship Id="rId3246" Type="http://schemas.openxmlformats.org/officeDocument/2006/relationships/hyperlink" Target="https://maps.google.com/?q=17.9532242835354,-96.205268549492502" TargetMode="External"/><Relationship Id="rId167" Type="http://schemas.openxmlformats.org/officeDocument/2006/relationships/hyperlink" Target="https://maps.google.com/?q=17.091969,-97.501902999999999" TargetMode="External"/><Relationship Id="rId7867" Type="http://schemas.openxmlformats.org/officeDocument/2006/relationships/hyperlink" Target="https://maps.google.com/?q=16.3163909929144,-96.410477758266396" TargetMode="External"/><Relationship Id="rId8918" Type="http://schemas.openxmlformats.org/officeDocument/2006/relationships/hyperlink" Target="https://maps.google.com/?q=17.380462554,-96.161264208000006" TargetMode="External"/><Relationship Id="rId10848" Type="http://schemas.openxmlformats.org/officeDocument/2006/relationships/hyperlink" Target="https://maps.google.com/?q=16.3440121770253,-94.482736795600303" TargetMode="External"/><Relationship Id="rId6469" Type="http://schemas.openxmlformats.org/officeDocument/2006/relationships/hyperlink" Target="https://maps.google.com/?q=17.2491650227082,-97.582241111056604" TargetMode="External"/><Relationship Id="rId12270" Type="http://schemas.openxmlformats.org/officeDocument/2006/relationships/hyperlink" Target="https://maps.google.com/?q=16.4800144372869,-94.352296717756204" TargetMode="External"/><Relationship Id="rId13321" Type="http://schemas.openxmlformats.org/officeDocument/2006/relationships/hyperlink" Target="https://maps.google.com/?q=17.4494080180034,-98.006704271163898" TargetMode="External"/><Relationship Id="rId6950" Type="http://schemas.openxmlformats.org/officeDocument/2006/relationships/hyperlink" Target="https://maps.google.com/?q=16.326167,-95.239307999999994" TargetMode="External"/><Relationship Id="rId301" Type="http://schemas.openxmlformats.org/officeDocument/2006/relationships/hyperlink" Target="https://maps.google.com/?q=16.063052,-97.382220000000004" TargetMode="External"/><Relationship Id="rId5552" Type="http://schemas.openxmlformats.org/officeDocument/2006/relationships/hyperlink" Target="https://maps.google.com/?q=18.254572,-96.286063999999996" TargetMode="External"/><Relationship Id="rId6603" Type="http://schemas.openxmlformats.org/officeDocument/2006/relationships/hyperlink" Target="https://maps.google.com/?q=17.088279,-96.068026" TargetMode="External"/><Relationship Id="rId14095" Type="http://schemas.openxmlformats.org/officeDocument/2006/relationships/hyperlink" Target="https://maps.google.com/?q=17.356472,-95.200333" TargetMode="External"/><Relationship Id="rId4154" Type="http://schemas.openxmlformats.org/officeDocument/2006/relationships/hyperlink" Target="https://maps.google.com/?q=16.4231390784587,-98.171856655329606" TargetMode="External"/><Relationship Id="rId5205" Type="http://schemas.openxmlformats.org/officeDocument/2006/relationships/hyperlink" Target="https://maps.google.com/?q=17.317609,-95.973410000000001" TargetMode="External"/><Relationship Id="rId8775" Type="http://schemas.openxmlformats.org/officeDocument/2006/relationships/hyperlink" Target="https://maps.google.com/?q=17.207687,-96.25179" TargetMode="External"/><Relationship Id="rId7377" Type="http://schemas.openxmlformats.org/officeDocument/2006/relationships/hyperlink" Target="https://maps.google.com/?q=17.0403812229426,-97.295226451840406" TargetMode="External"/><Relationship Id="rId8428" Type="http://schemas.openxmlformats.org/officeDocument/2006/relationships/hyperlink" Target="https://maps.google.com/?q=16.2013103768099,-96.828727393994996" TargetMode="External"/><Relationship Id="rId9826" Type="http://schemas.openxmlformats.org/officeDocument/2006/relationships/hyperlink" Target="https://maps.google.com/?q=16.6324397926069,-96.850583235582107" TargetMode="External"/><Relationship Id="rId11756" Type="http://schemas.openxmlformats.org/officeDocument/2006/relationships/hyperlink" Target="https://maps.google.com/?q=16.528209559423637,-96.69100320006943" TargetMode="External"/><Relationship Id="rId12807" Type="http://schemas.openxmlformats.org/officeDocument/2006/relationships/hyperlink" Target="https://maps.google.com/?q=17.8472504714817,-97.433064999999999" TargetMode="External"/><Relationship Id="rId1815" Type="http://schemas.openxmlformats.org/officeDocument/2006/relationships/hyperlink" Target="https://maps.google.com/?q=18.0348957491188,-96.896184000876005" TargetMode="External"/><Relationship Id="rId10358" Type="http://schemas.openxmlformats.org/officeDocument/2006/relationships/hyperlink" Target="https://maps.google.com/?q=17.4341913860478,-96.656000091926799" TargetMode="External"/><Relationship Id="rId11409" Type="http://schemas.openxmlformats.org/officeDocument/2006/relationships/hyperlink" Target="https://maps.google.com/?q=17.3739447695466,-98.1836647227192" TargetMode="External"/><Relationship Id="rId3987" Type="http://schemas.openxmlformats.org/officeDocument/2006/relationships/hyperlink" Target="https://maps.google.com/?q=17.062461,-96.757001000000002" TargetMode="External"/><Relationship Id="rId2589" Type="http://schemas.openxmlformats.org/officeDocument/2006/relationships/hyperlink" Target="https://maps.google.com/?q=16.6052716985732,-97.214448798776601" TargetMode="External"/><Relationship Id="rId6460" Type="http://schemas.openxmlformats.org/officeDocument/2006/relationships/hyperlink" Target="https://maps.google.com/?q=16.377934,-97.282522999999998" TargetMode="External"/><Relationship Id="rId7511" Type="http://schemas.openxmlformats.org/officeDocument/2006/relationships/hyperlink" Target="https://maps.google.com/?q=17.34522151,-97.370918450000005" TargetMode="External"/><Relationship Id="rId5062" Type="http://schemas.openxmlformats.org/officeDocument/2006/relationships/hyperlink" Target="https://maps.google.com/?q=17.252087,-96.155849000000003" TargetMode="External"/><Relationship Id="rId6113" Type="http://schemas.openxmlformats.org/officeDocument/2006/relationships/hyperlink" Target="https://maps.google.com/?q=17.976887,-96.706208000000004" TargetMode="External"/><Relationship Id="rId9683" Type="http://schemas.openxmlformats.org/officeDocument/2006/relationships/hyperlink" Target="https://maps.google.com/?q=16.3187430150481,-96.586319780817703" TargetMode="External"/><Relationship Id="rId1672" Type="http://schemas.openxmlformats.org/officeDocument/2006/relationships/hyperlink" Target="https://maps.google.com/?q=18.0037862996582,-96.893774448945393" TargetMode="External"/><Relationship Id="rId2723" Type="http://schemas.openxmlformats.org/officeDocument/2006/relationships/hyperlink" Target="https://maps.google.com/?q=15.928125470068,-96.418590515473497" TargetMode="External"/><Relationship Id="rId8285" Type="http://schemas.openxmlformats.org/officeDocument/2006/relationships/hyperlink" Target="https://maps.google.com/?q=17.6254032341,-97.033696556099997" TargetMode="External"/><Relationship Id="rId9336" Type="http://schemas.openxmlformats.org/officeDocument/2006/relationships/hyperlink" Target="https://maps.google.com/?q=16.8170418081028,-95.134236080271506" TargetMode="External"/><Relationship Id="rId11266" Type="http://schemas.openxmlformats.org/officeDocument/2006/relationships/hyperlink" Target="https://maps.google.com/?q=17.8654920363773,-96.309628826686506" TargetMode="External"/><Relationship Id="rId12317" Type="http://schemas.openxmlformats.org/officeDocument/2006/relationships/hyperlink" Target="https://maps.google.com/?q=17.306315,-96.163876" TargetMode="External"/><Relationship Id="rId12664" Type="http://schemas.openxmlformats.org/officeDocument/2006/relationships/hyperlink" Target="https://maps.google.com/?q=16.9201689030438,-97.890482709369707" TargetMode="External"/><Relationship Id="rId13715" Type="http://schemas.openxmlformats.org/officeDocument/2006/relationships/hyperlink" Target="https://maps.google.com/?q=16.588496,-94.768595" TargetMode="External"/><Relationship Id="rId1325" Type="http://schemas.openxmlformats.org/officeDocument/2006/relationships/hyperlink" Target="https://maps.google.com/?q=17.01772643,-96.71859304" TargetMode="External"/><Relationship Id="rId3497" Type="http://schemas.openxmlformats.org/officeDocument/2006/relationships/hyperlink" Target="https://maps.google.com/?q=16.50376,-95.05588" TargetMode="External"/><Relationship Id="rId4895" Type="http://schemas.openxmlformats.org/officeDocument/2006/relationships/hyperlink" Target="https://maps.google.com/?q=18.028248,-96.664038000000005" TargetMode="External"/><Relationship Id="rId5946" Type="http://schemas.openxmlformats.org/officeDocument/2006/relationships/hyperlink" Target="https://maps.google.com/?q=18.153785968469776,-96.57405606557893" TargetMode="External"/><Relationship Id="rId31" Type="http://schemas.openxmlformats.org/officeDocument/2006/relationships/hyperlink" Target="https://maps.google.com/?q=17.222326,-97.116876000000005" TargetMode="External"/><Relationship Id="rId2099" Type="http://schemas.openxmlformats.org/officeDocument/2006/relationships/hyperlink" Target="https://maps.google.com/?q=15.763924,-96.150648" TargetMode="External"/><Relationship Id="rId4548" Type="http://schemas.openxmlformats.org/officeDocument/2006/relationships/hyperlink" Target="https://maps.google.com/?q=17.1849861595845,-97.303441495700795" TargetMode="External"/><Relationship Id="rId7021" Type="http://schemas.openxmlformats.org/officeDocument/2006/relationships/hyperlink" Target="https://maps.google.com/?q=17.0416696721253,-97.296308131279503" TargetMode="External"/><Relationship Id="rId11400" Type="http://schemas.openxmlformats.org/officeDocument/2006/relationships/hyperlink" Target="https://maps.google.com/?q=17.2018100759532,-97.757183779514094" TargetMode="External"/><Relationship Id="rId10002" Type="http://schemas.openxmlformats.org/officeDocument/2006/relationships/hyperlink" Target="https://maps.google.com/?q=17.0919572939254,-97.493256963806402" TargetMode="External"/><Relationship Id="rId13572" Type="http://schemas.openxmlformats.org/officeDocument/2006/relationships/hyperlink" Target="https://maps.google.com/?q=16.99791392259051,-97.23149268020116" TargetMode="External"/><Relationship Id="rId2580" Type="http://schemas.openxmlformats.org/officeDocument/2006/relationships/hyperlink" Target="https://maps.google.com/?q=18.217832,-96.336509000000007" TargetMode="External"/><Relationship Id="rId3631" Type="http://schemas.openxmlformats.org/officeDocument/2006/relationships/hyperlink" Target="https://maps.google.com/?q=15.777410803034341,-96.137151279140767" TargetMode="External"/><Relationship Id="rId9193" Type="http://schemas.openxmlformats.org/officeDocument/2006/relationships/hyperlink" Target="https://maps.google.com/?q=17.3743587780699,-96.301347368971307" TargetMode="External"/><Relationship Id="rId12174" Type="http://schemas.openxmlformats.org/officeDocument/2006/relationships/hyperlink" Target="https://maps.google.com/?q=17.4163246675238,-95.9477054451594" TargetMode="External"/><Relationship Id="rId13225" Type="http://schemas.openxmlformats.org/officeDocument/2006/relationships/hyperlink" Target="https://maps.google.com/?q=17.3496142930792,-97.365294082922304" TargetMode="External"/><Relationship Id="rId552" Type="http://schemas.openxmlformats.org/officeDocument/2006/relationships/hyperlink" Target="https://maps.google.com/?q=16.053514,-97.404672000000005" TargetMode="External"/><Relationship Id="rId1182" Type="http://schemas.openxmlformats.org/officeDocument/2006/relationships/hyperlink" Target="https://maps.google.com/?q=16.456075,-94.829593" TargetMode="External"/><Relationship Id="rId2233" Type="http://schemas.openxmlformats.org/officeDocument/2006/relationships/hyperlink" Target="https://maps.google.com/?q=17.409833,-97.093063000000001" TargetMode="External"/><Relationship Id="rId6854" Type="http://schemas.openxmlformats.org/officeDocument/2006/relationships/hyperlink" Target="https://maps.google.com/?q=17.009747,-96.979690000000005" TargetMode="External"/><Relationship Id="rId205" Type="http://schemas.openxmlformats.org/officeDocument/2006/relationships/hyperlink" Target="https://maps.google.com/?q=17.097171,-97.493083999999996" TargetMode="External"/><Relationship Id="rId5456" Type="http://schemas.openxmlformats.org/officeDocument/2006/relationships/hyperlink" Target="https://maps.google.com/?q=16.0085634349805,-97.426108224106201" TargetMode="External"/><Relationship Id="rId6507" Type="http://schemas.openxmlformats.org/officeDocument/2006/relationships/hyperlink" Target="https://maps.google.com/?q=17.2209687664662,-97.572344191478507" TargetMode="External"/><Relationship Id="rId7905" Type="http://schemas.openxmlformats.org/officeDocument/2006/relationships/hyperlink" Target="https://maps.google.com/?q=16.3193681756173,-96.408744533958199" TargetMode="External"/><Relationship Id="rId4058" Type="http://schemas.openxmlformats.org/officeDocument/2006/relationships/hyperlink" Target="https://maps.google.com/?q=17.0802,-96.726955000000004" TargetMode="External"/><Relationship Id="rId5109" Type="http://schemas.openxmlformats.org/officeDocument/2006/relationships/hyperlink" Target="https://maps.google.com/?q=17.253656,-96.155073999999999" TargetMode="External"/><Relationship Id="rId8679" Type="http://schemas.openxmlformats.org/officeDocument/2006/relationships/hyperlink" Target="https://maps.google.com/?q=16.1841977822652,-96.623993428241604" TargetMode="External"/><Relationship Id="rId1719" Type="http://schemas.openxmlformats.org/officeDocument/2006/relationships/hyperlink" Target="https://maps.google.com/?q=18.0564704992555,-96.831492579635693" TargetMode="External"/><Relationship Id="rId13082" Type="http://schemas.openxmlformats.org/officeDocument/2006/relationships/hyperlink" Target="https://maps.google.com/?q=16.5642648,-97.529747900000004" TargetMode="External"/><Relationship Id="rId14133" Type="http://schemas.openxmlformats.org/officeDocument/2006/relationships/hyperlink" Target="https://maps.google.com/?q=18.097943,-96.862527" TargetMode="External"/><Relationship Id="rId2090" Type="http://schemas.openxmlformats.org/officeDocument/2006/relationships/hyperlink" Target="https://maps.google.com/?q=15.760836,-96.150663" TargetMode="External"/><Relationship Id="rId3141" Type="http://schemas.openxmlformats.org/officeDocument/2006/relationships/hyperlink" Target="https://maps.google.com/?q=16.586713,-97.442177000000001" TargetMode="External"/><Relationship Id="rId7762" Type="http://schemas.openxmlformats.org/officeDocument/2006/relationships/hyperlink" Target="https://maps.google.com/?q=16.0715730441695,&#160;-96.2988783" TargetMode="External"/><Relationship Id="rId8813" Type="http://schemas.openxmlformats.org/officeDocument/2006/relationships/hyperlink" Target="https://maps.google.com/?q=17.215845,-96.246951999999993" TargetMode="External"/><Relationship Id="rId6364" Type="http://schemas.openxmlformats.org/officeDocument/2006/relationships/hyperlink" Target="https://maps.google.com/?q=17.08364,-96.71805" TargetMode="External"/><Relationship Id="rId7415" Type="http://schemas.openxmlformats.org/officeDocument/2006/relationships/hyperlink" Target="https://maps.google.com/?q=17.035954,-97.051407999999995" TargetMode="External"/><Relationship Id="rId10743" Type="http://schemas.openxmlformats.org/officeDocument/2006/relationships/hyperlink" Target="https://maps.google.com/?q=17.881115,-96.872630" TargetMode="External"/><Relationship Id="rId6017" Type="http://schemas.openxmlformats.org/officeDocument/2006/relationships/hyperlink" Target="https://maps.google.com/?q=18.15574194105084,-96.575790102500818" TargetMode="External"/><Relationship Id="rId9587" Type="http://schemas.openxmlformats.org/officeDocument/2006/relationships/hyperlink" Target="https://maps.google.com/?q=17.9921255007234,-96.744658856508195" TargetMode="External"/><Relationship Id="rId13966" Type="http://schemas.openxmlformats.org/officeDocument/2006/relationships/hyperlink" Target="https://maps.google.com/?q=17.020617716393335,-96.76788622040004" TargetMode="External"/><Relationship Id="rId1576" Type="http://schemas.openxmlformats.org/officeDocument/2006/relationships/hyperlink" Target="https://maps.google.com/?q=16.5644095,-96.702659999999995" TargetMode="External"/><Relationship Id="rId2974" Type="http://schemas.openxmlformats.org/officeDocument/2006/relationships/hyperlink" Target="https://maps.google.com/?q=16.4681859935433,-97.037575447467503" TargetMode="External"/><Relationship Id="rId8189" Type="http://schemas.openxmlformats.org/officeDocument/2006/relationships/hyperlink" Target="https://maps.google.com/?q=16.667163,-96.307506000000004" TargetMode="External"/><Relationship Id="rId12568" Type="http://schemas.openxmlformats.org/officeDocument/2006/relationships/hyperlink" Target="https://maps.google.com/?q=16.5510431973849,-96.980196313956796" TargetMode="External"/><Relationship Id="rId13619" Type="http://schemas.openxmlformats.org/officeDocument/2006/relationships/hyperlink" Target="https://maps.google.com/?q=17.17233,-96.251267" TargetMode="External"/><Relationship Id="rId946" Type="http://schemas.openxmlformats.org/officeDocument/2006/relationships/hyperlink" Target="https://maps.google.com/?q=15.683478854552325,-96.511350333292015" TargetMode="External"/><Relationship Id="rId1229" Type="http://schemas.openxmlformats.org/officeDocument/2006/relationships/hyperlink" Target="https://maps.google.com/?q=17.05386,-96.73539000" TargetMode="External"/><Relationship Id="rId2627" Type="http://schemas.openxmlformats.org/officeDocument/2006/relationships/hyperlink" Target="https://maps.google.com/?q=18.081195,-96.164696000000006" TargetMode="External"/><Relationship Id="rId5100" Type="http://schemas.openxmlformats.org/officeDocument/2006/relationships/hyperlink" Target="https://maps.google.com/?q=17.253403,-96.155086999999995" TargetMode="External"/><Relationship Id="rId4799" Type="http://schemas.openxmlformats.org/officeDocument/2006/relationships/hyperlink" Target="https://maps.google.com/?q=16.8958327126507,-96.505565544477506" TargetMode="External"/><Relationship Id="rId8670" Type="http://schemas.openxmlformats.org/officeDocument/2006/relationships/hyperlink" Target="https://maps.google.com/?q=16.2784630881335,-96.301863744952897" TargetMode="External"/><Relationship Id="rId9721" Type="http://schemas.openxmlformats.org/officeDocument/2006/relationships/hyperlink" Target="https://maps.google.com/?q=16.4414839077118,-95.033815272715998" TargetMode="External"/><Relationship Id="rId11651" Type="http://schemas.openxmlformats.org/officeDocument/2006/relationships/hyperlink" Target="https://maps.google.com/?q=17.17364712,-97.710755500000005" TargetMode="External"/><Relationship Id="rId12702" Type="http://schemas.openxmlformats.org/officeDocument/2006/relationships/hyperlink" Target="https://maps.google.com/?q=16.2837609609232,-96.505602474704304" TargetMode="External"/><Relationship Id="rId1710" Type="http://schemas.openxmlformats.org/officeDocument/2006/relationships/hyperlink" Target="https://maps.google.com/?q=18.0747292965736,-96.896413563244494" TargetMode="External"/><Relationship Id="rId7272" Type="http://schemas.openxmlformats.org/officeDocument/2006/relationships/hyperlink" Target="https://maps.google.com/?q=16.3015985456845,-97.910890287791503" TargetMode="External"/><Relationship Id="rId8323" Type="http://schemas.openxmlformats.org/officeDocument/2006/relationships/hyperlink" Target="https://maps.google.com/?q=16.541615,-98.034035000000003" TargetMode="External"/><Relationship Id="rId10253" Type="http://schemas.openxmlformats.org/officeDocument/2006/relationships/hyperlink" Target="https://maps.google.com/?q=16.2414162610951,-95.153077090555996" TargetMode="External"/><Relationship Id="rId11304" Type="http://schemas.openxmlformats.org/officeDocument/2006/relationships/hyperlink" Target="https://maps.google.com/?q=17.8680582007276,-96.308826863313897" TargetMode="External"/><Relationship Id="rId3882" Type="http://schemas.openxmlformats.org/officeDocument/2006/relationships/hyperlink" Target="https://maps.google.com/?q=17.1067370978093,-95.935394695287002" TargetMode="External"/><Relationship Id="rId4933" Type="http://schemas.openxmlformats.org/officeDocument/2006/relationships/hyperlink" Target="https://maps.google.com/?q=18.0333267348887,-96.673985203703097" TargetMode="External"/><Relationship Id="rId13476" Type="http://schemas.openxmlformats.org/officeDocument/2006/relationships/hyperlink" Target="https://maps.google.com/?q=17.6882871149569,-97.038909813491799" TargetMode="External"/><Relationship Id="rId2484" Type="http://schemas.openxmlformats.org/officeDocument/2006/relationships/hyperlink" Target="https://maps.google.com/?q=17.05191664,-96.624499060000005" TargetMode="External"/><Relationship Id="rId3535" Type="http://schemas.openxmlformats.org/officeDocument/2006/relationships/hyperlink" Target="https://maps.google.com/?q=15.768921,-96.151567" TargetMode="External"/><Relationship Id="rId9097" Type="http://schemas.openxmlformats.org/officeDocument/2006/relationships/hyperlink" Target="https://maps.google.com/?q=17.146547022175096,-96.04348471404407" TargetMode="External"/><Relationship Id="rId12078" Type="http://schemas.openxmlformats.org/officeDocument/2006/relationships/hyperlink" Target="https://maps.google.com/?q=16.24496781,-95.323908209999999" TargetMode="External"/><Relationship Id="rId13129" Type="http://schemas.openxmlformats.org/officeDocument/2006/relationships/hyperlink" Target="https://maps.google.com/?q=17.1848599967719,-96.514525833169898" TargetMode="External"/><Relationship Id="rId456" Type="http://schemas.openxmlformats.org/officeDocument/2006/relationships/hyperlink" Target="https://maps.google.com/?q=16.052963,-97.410798" TargetMode="External"/><Relationship Id="rId1086" Type="http://schemas.openxmlformats.org/officeDocument/2006/relationships/hyperlink" Target="https://maps.google.com/?q=17.094537,-97.498720000000006" TargetMode="External"/><Relationship Id="rId2137" Type="http://schemas.openxmlformats.org/officeDocument/2006/relationships/hyperlink" Target="https://maps.google.com/?q=15.763464,-96.144508999999999" TargetMode="External"/><Relationship Id="rId109" Type="http://schemas.openxmlformats.org/officeDocument/2006/relationships/hyperlink" Target="https://maps.google.com/?q=17.096421,-97.496446000000006" TargetMode="External"/><Relationship Id="rId6758" Type="http://schemas.openxmlformats.org/officeDocument/2006/relationships/hyperlink" Target="https://maps.google.com/?q=16.7063239278334,-97.019483963645001" TargetMode="External"/><Relationship Id="rId7809" Type="http://schemas.openxmlformats.org/officeDocument/2006/relationships/hyperlink" Target="https://maps.google.com/?q=17.8461631606139,-96.743425231342201" TargetMode="External"/><Relationship Id="rId8180" Type="http://schemas.openxmlformats.org/officeDocument/2006/relationships/hyperlink" Target="https://maps.google.com/?q=16.665169,-96.296412000000004" TargetMode="External"/><Relationship Id="rId9231" Type="http://schemas.openxmlformats.org/officeDocument/2006/relationships/hyperlink" Target="https://maps.google.com/?q=17.3761038548047,-96.3026150741701" TargetMode="External"/><Relationship Id="rId13610" Type="http://schemas.openxmlformats.org/officeDocument/2006/relationships/hyperlink" Target="https://maps.google.com/?q=17.146399,-96.112122" TargetMode="External"/><Relationship Id="rId11161" Type="http://schemas.openxmlformats.org/officeDocument/2006/relationships/hyperlink" Target="https://maps.google.com/?q=16.841702,-96.006862999999996" TargetMode="External"/><Relationship Id="rId12212" Type="http://schemas.openxmlformats.org/officeDocument/2006/relationships/hyperlink" Target="https://maps.google.com/?q=17.4184730328468,-95.950139361774205" TargetMode="External"/><Relationship Id="rId1220" Type="http://schemas.openxmlformats.org/officeDocument/2006/relationships/hyperlink" Target="https://maps.google.com/?q=18.111112,-96.623361" TargetMode="External"/><Relationship Id="rId4790" Type="http://schemas.openxmlformats.org/officeDocument/2006/relationships/hyperlink" Target="https://maps.google.com/?q=17.9582124045379,-96.659965542164002" TargetMode="External"/><Relationship Id="rId5841" Type="http://schemas.openxmlformats.org/officeDocument/2006/relationships/hyperlink" Target="https://maps.google.com/?q=16.0031296067428,-97.433756000000102" TargetMode="External"/><Relationship Id="rId3392" Type="http://schemas.openxmlformats.org/officeDocument/2006/relationships/hyperlink" Target="https://maps.google.com/?q=18.0048621194312,-96.641590766503398" TargetMode="External"/><Relationship Id="rId4443" Type="http://schemas.openxmlformats.org/officeDocument/2006/relationships/hyperlink" Target="https://maps.google.com/?q=16.6469194328162,&#160;-96.77114090674593" TargetMode="External"/><Relationship Id="rId14037" Type="http://schemas.openxmlformats.org/officeDocument/2006/relationships/hyperlink" Target="https://maps.google.com/?q=17.06097,-96.72478" TargetMode="External"/><Relationship Id="rId3045" Type="http://schemas.openxmlformats.org/officeDocument/2006/relationships/hyperlink" Target="https://maps.google.com/?q=16.9635014920438,-96.940301327084001" TargetMode="External"/><Relationship Id="rId7666" Type="http://schemas.openxmlformats.org/officeDocument/2006/relationships/hyperlink" Target="https://maps.google.com/?q=17.2330503999685,-95.055639091310397" TargetMode="External"/><Relationship Id="rId8717" Type="http://schemas.openxmlformats.org/officeDocument/2006/relationships/hyperlink" Target="https://maps.google.com/?q=17.0564140767784,-96.821210887702506" TargetMode="External"/><Relationship Id="rId10994" Type="http://schemas.openxmlformats.org/officeDocument/2006/relationships/hyperlink" Target="https://maps.google.com/?q=17.1618439189056,-97.590041503159497" TargetMode="External"/><Relationship Id="rId6268" Type="http://schemas.openxmlformats.org/officeDocument/2006/relationships/hyperlink" Target="https://maps.google.com/?q=16.4046578137548,-96.718520742395597" TargetMode="External"/><Relationship Id="rId7319" Type="http://schemas.openxmlformats.org/officeDocument/2006/relationships/hyperlink" Target="https://maps.google.com/?q=16.72799148,-96.472951280000004" TargetMode="External"/><Relationship Id="rId10647" Type="http://schemas.openxmlformats.org/officeDocument/2006/relationships/hyperlink" Target="https://maps.google.com/?q=17.1214128393465,-97.781763121104504" TargetMode="External"/><Relationship Id="rId13120" Type="http://schemas.openxmlformats.org/officeDocument/2006/relationships/hyperlink" Target="https://maps.google.com/?q=16.5677752,-97.535632800000002" TargetMode="External"/><Relationship Id="rId100" Type="http://schemas.openxmlformats.org/officeDocument/2006/relationships/hyperlink" Target="https://maps.google.com/?q=17.097171,-97.493083999999996" TargetMode="External"/><Relationship Id="rId2878" Type="http://schemas.openxmlformats.org/officeDocument/2006/relationships/hyperlink" Target="https://maps.google.com/?q=18.227728,-96.280317999999994" TargetMode="External"/><Relationship Id="rId3929" Type="http://schemas.openxmlformats.org/officeDocument/2006/relationships/hyperlink" Target="https://maps.google.com/?q=17.058951,-96.751512000000005" TargetMode="External"/><Relationship Id="rId7800" Type="http://schemas.openxmlformats.org/officeDocument/2006/relationships/hyperlink" Target="https://maps.google.com/?q=17.8457477622079,-96.7440393129596" TargetMode="External"/><Relationship Id="rId5351" Type="http://schemas.openxmlformats.org/officeDocument/2006/relationships/hyperlink" Target="https://maps.google.com/?q=16.5236191549481,-97.165762252986397" TargetMode="External"/><Relationship Id="rId6402" Type="http://schemas.openxmlformats.org/officeDocument/2006/relationships/hyperlink" Target="https://maps.google.com/?q=17.256759700958,-97.572004223729607" TargetMode="External"/><Relationship Id="rId9972" Type="http://schemas.openxmlformats.org/officeDocument/2006/relationships/hyperlink" Target="https://maps.google.com/?q=16.643829,-95.926312" TargetMode="External"/><Relationship Id="rId1961" Type="http://schemas.openxmlformats.org/officeDocument/2006/relationships/hyperlink" Target="https://maps.google.com/?q=15.779820618236311,-96.138413804886682" TargetMode="External"/><Relationship Id="rId5004" Type="http://schemas.openxmlformats.org/officeDocument/2006/relationships/hyperlink" Target="https://maps.google.com/?q=17.063778,-96.729971000000006" TargetMode="External"/><Relationship Id="rId8574" Type="http://schemas.openxmlformats.org/officeDocument/2006/relationships/hyperlink" Target="https://maps.google.com/?q=16.9301786642721,-96.600672930059503" TargetMode="External"/><Relationship Id="rId9625" Type="http://schemas.openxmlformats.org/officeDocument/2006/relationships/hyperlink" Target="https://maps.google.com/?q=17.9991698379076,-96.749605078445697" TargetMode="External"/><Relationship Id="rId11555" Type="http://schemas.openxmlformats.org/officeDocument/2006/relationships/hyperlink" Target="https://maps.google.com/?q=16.8313869256287,-96.706839881132098" TargetMode="External"/><Relationship Id="rId12606" Type="http://schemas.openxmlformats.org/officeDocument/2006/relationships/hyperlink" Target="https://maps.google.com/?q=17.113181,-96.854400999999996" TargetMode="External"/><Relationship Id="rId12953" Type="http://schemas.openxmlformats.org/officeDocument/2006/relationships/hyperlink" Target="https://maps.google.com/?q=16.551315,-97.495947000000001" TargetMode="External"/><Relationship Id="rId1614" Type="http://schemas.openxmlformats.org/officeDocument/2006/relationships/hyperlink" Target="https://maps.google.com/?q=17.761842,-96.078052" TargetMode="External"/><Relationship Id="rId7176" Type="http://schemas.openxmlformats.org/officeDocument/2006/relationships/hyperlink" Target="https://maps.google.com/?q=16.2207142079762,-97.919477397791795" TargetMode="External"/><Relationship Id="rId8227" Type="http://schemas.openxmlformats.org/officeDocument/2006/relationships/hyperlink" Target="https://maps.google.com/?q=16.422592,-97.638865999999993" TargetMode="External"/><Relationship Id="rId10157" Type="http://schemas.openxmlformats.org/officeDocument/2006/relationships/hyperlink" Target="https://maps.google.com/?q=17.1035262373031,-97.490794825522499" TargetMode="External"/><Relationship Id="rId11208" Type="http://schemas.openxmlformats.org/officeDocument/2006/relationships/hyperlink" Target="https://maps.google.com/?q=16.998822,-97.798145000000005" TargetMode="External"/><Relationship Id="rId3786" Type="http://schemas.openxmlformats.org/officeDocument/2006/relationships/hyperlink" Target="https://maps.google.com/?q=15.765023,-96.141503" TargetMode="External"/><Relationship Id="rId2388" Type="http://schemas.openxmlformats.org/officeDocument/2006/relationships/hyperlink" Target="https://maps.google.com/?q=16.589951,-97.226136999999994" TargetMode="External"/><Relationship Id="rId3439" Type="http://schemas.openxmlformats.org/officeDocument/2006/relationships/hyperlink" Target="https://maps.google.com/?q=17.0674070413113,-96.972194487581802" TargetMode="External"/><Relationship Id="rId4837" Type="http://schemas.openxmlformats.org/officeDocument/2006/relationships/hyperlink" Target="https://maps.google.com/?q=17.3362179625801,-96.1658467387781" TargetMode="External"/><Relationship Id="rId7310" Type="http://schemas.openxmlformats.org/officeDocument/2006/relationships/hyperlink" Target="https://maps.google.com/?q=16.72632803,-96.473766600000005" TargetMode="External"/><Relationship Id="rId13861" Type="http://schemas.openxmlformats.org/officeDocument/2006/relationships/hyperlink" Target="https://maps.google.com/?q=16.2610416609761,-96.588789766547706" TargetMode="External"/><Relationship Id="rId3920" Type="http://schemas.openxmlformats.org/officeDocument/2006/relationships/hyperlink" Target="https://maps.google.com/?q=16.22831111947234,-95.31497835814874" TargetMode="External"/><Relationship Id="rId8084" Type="http://schemas.openxmlformats.org/officeDocument/2006/relationships/hyperlink" Target="https://maps.google.com/?q=17.354333472589,-96.303125253313496" TargetMode="External"/><Relationship Id="rId9482" Type="http://schemas.openxmlformats.org/officeDocument/2006/relationships/hyperlink" Target="https://maps.google.com/?q=17.331248,-96.487900999999994" TargetMode="External"/><Relationship Id="rId12463" Type="http://schemas.openxmlformats.org/officeDocument/2006/relationships/hyperlink" Target="https://maps.google.com/?q=17.2215333760486,-97.270860154596207" TargetMode="External"/><Relationship Id="rId13514" Type="http://schemas.openxmlformats.org/officeDocument/2006/relationships/hyperlink" Target="https://maps.google.com/?q=17.80280129721704,-97.3411877637131" TargetMode="External"/><Relationship Id="rId841" Type="http://schemas.openxmlformats.org/officeDocument/2006/relationships/hyperlink" Target="https://maps.google.com/?q=15.70536173405438,-96.524185076215247" TargetMode="External"/><Relationship Id="rId1471" Type="http://schemas.openxmlformats.org/officeDocument/2006/relationships/hyperlink" Target="https://maps.google.com/?q=16.287709920062706,-95.24315168133805" TargetMode="External"/><Relationship Id="rId2522" Type="http://schemas.openxmlformats.org/officeDocument/2006/relationships/hyperlink" Target="https://maps.google.com/?q=17.05222715,-96.624525840000004" TargetMode="External"/><Relationship Id="rId9135" Type="http://schemas.openxmlformats.org/officeDocument/2006/relationships/hyperlink" Target="https://maps.google.com/?q=17.042405,-96.729096999999996" TargetMode="External"/><Relationship Id="rId11065" Type="http://schemas.openxmlformats.org/officeDocument/2006/relationships/hyperlink" Target="https://maps.google.com/?q=17.28065771,-97.374214170000002" TargetMode="External"/><Relationship Id="rId12116" Type="http://schemas.openxmlformats.org/officeDocument/2006/relationships/hyperlink" Target="https://maps.google.com/?q=16.3193359402972,-97.664731188224096" TargetMode="External"/><Relationship Id="rId1124" Type="http://schemas.openxmlformats.org/officeDocument/2006/relationships/hyperlink" Target="https://maps.google.com/?q=17.094055,-97.492358999999993" TargetMode="External"/><Relationship Id="rId4694" Type="http://schemas.openxmlformats.org/officeDocument/2006/relationships/hyperlink" Target="https://maps.google.com/?q=17.06218,-96.753029999999995" TargetMode="External"/><Relationship Id="rId5745" Type="http://schemas.openxmlformats.org/officeDocument/2006/relationships/hyperlink" Target="https://maps.google.com/?q=18.04839,-96.766064" TargetMode="External"/><Relationship Id="rId3296" Type="http://schemas.openxmlformats.org/officeDocument/2006/relationships/hyperlink" Target="https://maps.google.com/?q=17.0629626955419,-96.815727326389293" TargetMode="External"/><Relationship Id="rId4347" Type="http://schemas.openxmlformats.org/officeDocument/2006/relationships/hyperlink" Target="https://maps.google.com/?q=15.95675247,-96.644022500000005" TargetMode="External"/><Relationship Id="rId8968" Type="http://schemas.openxmlformats.org/officeDocument/2006/relationships/hyperlink" Target="https://maps.google.com/?q=17.381584558,-96.161824516999999" TargetMode="External"/><Relationship Id="rId10898" Type="http://schemas.openxmlformats.org/officeDocument/2006/relationships/hyperlink" Target="https://maps.google.com/?q=16.1866146107669,-95.187375391163897" TargetMode="External"/><Relationship Id="rId11949" Type="http://schemas.openxmlformats.org/officeDocument/2006/relationships/hyperlink" Target="https://maps.google.com/?q=16.7942949984578,-96.716692902268093" TargetMode="External"/><Relationship Id="rId13371" Type="http://schemas.openxmlformats.org/officeDocument/2006/relationships/hyperlink" Target="https://maps.google.com/?q=16.3227490025555,-96.673983813491901" TargetMode="External"/><Relationship Id="rId3430" Type="http://schemas.openxmlformats.org/officeDocument/2006/relationships/hyperlink" Target="https://maps.google.com/?q=17.0668751578965,-96.961773608910406" TargetMode="External"/><Relationship Id="rId13024" Type="http://schemas.openxmlformats.org/officeDocument/2006/relationships/hyperlink" Target="https://maps.google.com/?q=16.5062035,-97.554268199999996" TargetMode="External"/><Relationship Id="rId351" Type="http://schemas.openxmlformats.org/officeDocument/2006/relationships/hyperlink" Target="https://maps.google.com/?q=16.054372,-97.406460999999993" TargetMode="External"/><Relationship Id="rId2032" Type="http://schemas.openxmlformats.org/officeDocument/2006/relationships/hyperlink" Target="https://maps.google.com/?q=15.758813595395859,-96.139706302542962" TargetMode="External"/><Relationship Id="rId6653" Type="http://schemas.openxmlformats.org/officeDocument/2006/relationships/hyperlink" Target="https://maps.google.com/?q=17.755778,-96.194618000000006" TargetMode="External"/><Relationship Id="rId7704" Type="http://schemas.openxmlformats.org/officeDocument/2006/relationships/hyperlink" Target="https://maps.google.com/?q=16.6281301813107,-96.797832930119597" TargetMode="External"/><Relationship Id="rId5255" Type="http://schemas.openxmlformats.org/officeDocument/2006/relationships/hyperlink" Target="https://maps.google.com/?q=15.8841277278079,-96.332993475362599" TargetMode="External"/><Relationship Id="rId6306" Type="http://schemas.openxmlformats.org/officeDocument/2006/relationships/hyperlink" Target="https://maps.google.com/?q=18.057463,-96.399349000000001" TargetMode="External"/><Relationship Id="rId9876" Type="http://schemas.openxmlformats.org/officeDocument/2006/relationships/hyperlink" Target="https://maps.google.com/?q=16.6363391047133,-96.851094440328595" TargetMode="External"/><Relationship Id="rId1865" Type="http://schemas.openxmlformats.org/officeDocument/2006/relationships/hyperlink" Target="https://maps.google.com/?q=15.775051875860163,-96.150073217165726" TargetMode="External"/><Relationship Id="rId8478" Type="http://schemas.openxmlformats.org/officeDocument/2006/relationships/hyperlink" Target="https://maps.google.com/?q=17.1514546383161,-97.532116216932707" TargetMode="External"/><Relationship Id="rId9529" Type="http://schemas.openxmlformats.org/officeDocument/2006/relationships/hyperlink" Target="https://maps.google.com/?q=17.270485,-96.793750" TargetMode="External"/><Relationship Id="rId12857" Type="http://schemas.openxmlformats.org/officeDocument/2006/relationships/hyperlink" Target="https://maps.google.com/?q=17.517982,-97.685884000000001" TargetMode="External"/><Relationship Id="rId13908" Type="http://schemas.openxmlformats.org/officeDocument/2006/relationships/hyperlink" Target="https://maps.google.com/?q=16.8549661991246,-96.815377686864693" TargetMode="External"/><Relationship Id="rId1518" Type="http://schemas.openxmlformats.org/officeDocument/2006/relationships/hyperlink" Target="https://maps.google.com/?q=17.061462,-96.754750999999999" TargetMode="External"/><Relationship Id="rId2916" Type="http://schemas.openxmlformats.org/officeDocument/2006/relationships/hyperlink" Target="https://maps.google.com/?q=17.06984558,-96.687642190000005" TargetMode="External"/><Relationship Id="rId11459" Type="http://schemas.openxmlformats.org/officeDocument/2006/relationships/hyperlink" Target="https://maps.google.com/?q=16.002289152221,-97.423128859559199" TargetMode="External"/><Relationship Id="rId11940" Type="http://schemas.openxmlformats.org/officeDocument/2006/relationships/hyperlink" Target="https://maps.google.com/?q=17.2379725012092,-97.917086431518797" TargetMode="External"/><Relationship Id="rId6163" Type="http://schemas.openxmlformats.org/officeDocument/2006/relationships/hyperlink" Target="https://maps.google.com/?q=16.1420344852116,-96.417622714120796" TargetMode="External"/><Relationship Id="rId7561" Type="http://schemas.openxmlformats.org/officeDocument/2006/relationships/hyperlink" Target="https://maps.google.com/?q=17.3275444030997,-95.267085428606194" TargetMode="External"/><Relationship Id="rId8612" Type="http://schemas.openxmlformats.org/officeDocument/2006/relationships/hyperlink" Target="https://maps.google.com/?q=17.8902295276625,-96.726716724418097" TargetMode="External"/><Relationship Id="rId10542" Type="http://schemas.openxmlformats.org/officeDocument/2006/relationships/hyperlink" Target="https://maps.google.com/?q=17.1185632413347,-97.7830166879899" TargetMode="External"/><Relationship Id="rId7214" Type="http://schemas.openxmlformats.org/officeDocument/2006/relationships/hyperlink" Target="https://maps.google.com/?q=16.2276690822032,-97.941510402445104" TargetMode="External"/><Relationship Id="rId13765" Type="http://schemas.openxmlformats.org/officeDocument/2006/relationships/hyperlink" Target="https://maps.google.com/?q=17.06735,-96.20038" TargetMode="External"/><Relationship Id="rId2773" Type="http://schemas.openxmlformats.org/officeDocument/2006/relationships/hyperlink" Target="https://maps.google.com/?q=18.021411254084,-96.617586343090494" TargetMode="External"/><Relationship Id="rId3824" Type="http://schemas.openxmlformats.org/officeDocument/2006/relationships/hyperlink" Target="https://maps.google.com/?q=16.963027,-96.1914673" TargetMode="External"/><Relationship Id="rId9386" Type="http://schemas.openxmlformats.org/officeDocument/2006/relationships/hyperlink" Target="https://maps.google.com/?q=16.8205581335919,-95.142230485155906" TargetMode="External"/><Relationship Id="rId12367" Type="http://schemas.openxmlformats.org/officeDocument/2006/relationships/hyperlink" Target="https://maps.google.com/?q=17.72650740161207,-97.36672655045295" TargetMode="External"/><Relationship Id="rId13418" Type="http://schemas.openxmlformats.org/officeDocument/2006/relationships/hyperlink" Target="https://maps.google.com/?q=16.3341443756805,-96.6727107901783" TargetMode="External"/><Relationship Id="rId745" Type="http://schemas.openxmlformats.org/officeDocument/2006/relationships/hyperlink" Target="https://maps.google.com/?q=15.682470110709314,-96.510059430414273" TargetMode="External"/><Relationship Id="rId1375" Type="http://schemas.openxmlformats.org/officeDocument/2006/relationships/hyperlink" Target="https://maps.google.com/?q=16.237076,-97.292351999999994" TargetMode="External"/><Relationship Id="rId2426" Type="http://schemas.openxmlformats.org/officeDocument/2006/relationships/hyperlink" Target="https://maps.google.com/?q=17.05117707,-96.624712369999997" TargetMode="External"/><Relationship Id="rId5996" Type="http://schemas.openxmlformats.org/officeDocument/2006/relationships/hyperlink" Target="https://maps.google.com/?q=18.15509066241367,-96.576872908561754" TargetMode="External"/><Relationship Id="rId9039" Type="http://schemas.openxmlformats.org/officeDocument/2006/relationships/hyperlink" Target="https://maps.google.com/?q=16.054325,-95.483896999999999" TargetMode="External"/><Relationship Id="rId81" Type="http://schemas.openxmlformats.org/officeDocument/2006/relationships/hyperlink" Target="https://maps.google.com/?q=15.907728,-96.449153999999993" TargetMode="External"/><Relationship Id="rId1028" Type="http://schemas.openxmlformats.org/officeDocument/2006/relationships/hyperlink" Target="https://maps.google.com/?q=15.700659984924933,-96.524244459515899" TargetMode="External"/><Relationship Id="rId4598" Type="http://schemas.openxmlformats.org/officeDocument/2006/relationships/hyperlink" Target="https://maps.google.com/?q=16.557375,-96.816162000000006" TargetMode="External"/><Relationship Id="rId5649" Type="http://schemas.openxmlformats.org/officeDocument/2006/relationships/hyperlink" Target="https://maps.google.com/?q=17.5635142241758,-96.180065050000493" TargetMode="External"/><Relationship Id="rId9520" Type="http://schemas.openxmlformats.org/officeDocument/2006/relationships/hyperlink" Target="https://maps.google.com/?q=18.067515243804852,-96.2708531320567" TargetMode="External"/><Relationship Id="rId7071" Type="http://schemas.openxmlformats.org/officeDocument/2006/relationships/hyperlink" Target="https://maps.google.com/?q=16.5731999072296,-97.034180537910103" TargetMode="External"/><Relationship Id="rId8122" Type="http://schemas.openxmlformats.org/officeDocument/2006/relationships/hyperlink" Target="https://maps.google.com/?q=17.355324614054,-96.305485695474701" TargetMode="External"/><Relationship Id="rId11450" Type="http://schemas.openxmlformats.org/officeDocument/2006/relationships/hyperlink" Target="https://maps.google.com/?q=15.984561,-97.548762999999994" TargetMode="External"/><Relationship Id="rId12501" Type="http://schemas.openxmlformats.org/officeDocument/2006/relationships/hyperlink" Target="https://maps.google.com/?q=17.2234758478982,-97.274149681791101" TargetMode="External"/><Relationship Id="rId10052" Type="http://schemas.openxmlformats.org/officeDocument/2006/relationships/hyperlink" Target="https://maps.google.com/?q=16.9269224970574,-96.368715073575899" TargetMode="External"/><Relationship Id="rId11103" Type="http://schemas.openxmlformats.org/officeDocument/2006/relationships/hyperlink" Target="https://maps.google.com/?q=17.254985262075927,-96.15354206994057" TargetMode="External"/><Relationship Id="rId3681" Type="http://schemas.openxmlformats.org/officeDocument/2006/relationships/hyperlink" Target="https://maps.google.com/?q=15.775697,-96.142128" TargetMode="External"/><Relationship Id="rId4732" Type="http://schemas.openxmlformats.org/officeDocument/2006/relationships/hyperlink" Target="https://maps.google.com/?q=16.433632811340548,-95.01323704173355" TargetMode="External"/><Relationship Id="rId13275" Type="http://schemas.openxmlformats.org/officeDocument/2006/relationships/hyperlink" Target="https://maps.google.com/?q=16.1332036062305,-96.372287131630301" TargetMode="External"/><Relationship Id="rId2283" Type="http://schemas.openxmlformats.org/officeDocument/2006/relationships/hyperlink" Target="https://maps.google.com/?q=18.0984975205955,-96.927489308930205" TargetMode="External"/><Relationship Id="rId3334" Type="http://schemas.openxmlformats.org/officeDocument/2006/relationships/hyperlink" Target="https://maps.google.com/?q=17.0671495415019,-96.814762396329897" TargetMode="External"/><Relationship Id="rId7955" Type="http://schemas.openxmlformats.org/officeDocument/2006/relationships/hyperlink" Target="https://maps.google.com/?q=15.9477442650488,-96.553485831104496" TargetMode="External"/><Relationship Id="rId255" Type="http://schemas.openxmlformats.org/officeDocument/2006/relationships/hyperlink" Target="https://maps.google.com/?q=16.88566,-97.678179999999998" TargetMode="External"/><Relationship Id="rId6557" Type="http://schemas.openxmlformats.org/officeDocument/2006/relationships/hyperlink" Target="https://maps.google.com/?q=17.761499,-96.878346" TargetMode="External"/><Relationship Id="rId7608" Type="http://schemas.openxmlformats.org/officeDocument/2006/relationships/hyperlink" Target="https://maps.google.com/?q=17.2293132772543,-95.056126985612096" TargetMode="External"/><Relationship Id="rId10936" Type="http://schemas.openxmlformats.org/officeDocument/2006/relationships/hyperlink" Target="https://maps.google.com/?q=16.1946540767561,-95.209731160000004" TargetMode="External"/><Relationship Id="rId5159" Type="http://schemas.openxmlformats.org/officeDocument/2006/relationships/hyperlink" Target="https://maps.google.com/?q=17.254882,-96.154330999999999" TargetMode="External"/><Relationship Id="rId9030" Type="http://schemas.openxmlformats.org/officeDocument/2006/relationships/hyperlink" Target="https://maps.google.com/?q=16.053958,-95.486571999999995" TargetMode="External"/><Relationship Id="rId12011" Type="http://schemas.openxmlformats.org/officeDocument/2006/relationships/hyperlink" Target="https://maps.google.com/?q=16.803081556715,-96.712752574750297" TargetMode="External"/><Relationship Id="rId1769" Type="http://schemas.openxmlformats.org/officeDocument/2006/relationships/hyperlink" Target="https://maps.google.com/?q=18.06181518,-96.848086640000005" TargetMode="External"/><Relationship Id="rId3191" Type="http://schemas.openxmlformats.org/officeDocument/2006/relationships/hyperlink" Target="https://maps.google.com/?q=17.035944,-97.051422000000002" TargetMode="External"/><Relationship Id="rId4242" Type="http://schemas.openxmlformats.org/officeDocument/2006/relationships/hyperlink" Target="https://maps.google.com/?q=16.569805,-96.701238000000004" TargetMode="External"/><Relationship Id="rId5640" Type="http://schemas.openxmlformats.org/officeDocument/2006/relationships/hyperlink" Target="https://maps.google.com/?q=17.5630932255836,-96.179206027791196" TargetMode="External"/><Relationship Id="rId8863" Type="http://schemas.openxmlformats.org/officeDocument/2006/relationships/hyperlink" Target="https://maps.google.com/?q=17.220905,-96.243442000000002" TargetMode="External"/><Relationship Id="rId9914" Type="http://schemas.openxmlformats.org/officeDocument/2006/relationships/hyperlink" Target="https://maps.google.com/?q=16.707001,-96.710536000000005" TargetMode="External"/><Relationship Id="rId10793" Type="http://schemas.openxmlformats.org/officeDocument/2006/relationships/hyperlink" Target="https://maps.google.com/?q=16.3700953267769,-96.397712974505495" TargetMode="External"/><Relationship Id="rId11844" Type="http://schemas.openxmlformats.org/officeDocument/2006/relationships/hyperlink" Target="https://maps.google.com/?q=16.511389,-96.789167" TargetMode="External"/><Relationship Id="rId1903" Type="http://schemas.openxmlformats.org/officeDocument/2006/relationships/hyperlink" Target="https://maps.google.com/?q=15.77657360485209,-96.136668744618348" TargetMode="External"/><Relationship Id="rId7465" Type="http://schemas.openxmlformats.org/officeDocument/2006/relationships/hyperlink" Target="https://maps.google.com/?q=17.0720852889618,-96.751142930465605" TargetMode="External"/><Relationship Id="rId8516" Type="http://schemas.openxmlformats.org/officeDocument/2006/relationships/hyperlink" Target="https://maps.google.com/?q=17.1508362159964,-97.5380424313405" TargetMode="External"/><Relationship Id="rId10446" Type="http://schemas.openxmlformats.org/officeDocument/2006/relationships/hyperlink" Target="https://maps.google.com/?q=17.042886,-96.782927999999998" TargetMode="External"/><Relationship Id="rId6067" Type="http://schemas.openxmlformats.org/officeDocument/2006/relationships/hyperlink" Target="https://maps.google.com/?q=18.160697302124667,-96.576584403273273" TargetMode="External"/><Relationship Id="rId7118" Type="http://schemas.openxmlformats.org/officeDocument/2006/relationships/hyperlink" Target="https://maps.google.com/?q=17.3548253552517,-97.635949165948404" TargetMode="External"/><Relationship Id="rId996" Type="http://schemas.openxmlformats.org/officeDocument/2006/relationships/hyperlink" Target="https://maps.google.com/?q=15.692488583610325,-96.521201050025638" TargetMode="External"/><Relationship Id="rId2677" Type="http://schemas.openxmlformats.org/officeDocument/2006/relationships/hyperlink" Target="https://maps.google.com/?q=17.937296,-96.101286000000002" TargetMode="External"/><Relationship Id="rId3728" Type="http://schemas.openxmlformats.org/officeDocument/2006/relationships/hyperlink" Target="https://maps.google.com/?q=15.759178967969467,-96.140708331860182" TargetMode="External"/><Relationship Id="rId13669" Type="http://schemas.openxmlformats.org/officeDocument/2006/relationships/hyperlink" Target="https://maps.google.com/?q=16.50381,-95.203012" TargetMode="External"/><Relationship Id="rId649" Type="http://schemas.openxmlformats.org/officeDocument/2006/relationships/hyperlink" Target="https://maps.google.com/?q=16.058445,-97.389632000000006" TargetMode="External"/><Relationship Id="rId1279" Type="http://schemas.openxmlformats.org/officeDocument/2006/relationships/hyperlink" Target="https://maps.google.com/?q=17.058742,-96.743148000000005" TargetMode="External"/><Relationship Id="rId5150" Type="http://schemas.openxmlformats.org/officeDocument/2006/relationships/hyperlink" Target="https://maps.google.com/?q=17.254708,-96.154765999999995" TargetMode="External"/><Relationship Id="rId6201" Type="http://schemas.openxmlformats.org/officeDocument/2006/relationships/hyperlink" Target="https://maps.google.com/?q=16.094059,-97.076488999999995" TargetMode="External"/><Relationship Id="rId8373" Type="http://schemas.openxmlformats.org/officeDocument/2006/relationships/hyperlink" Target="https://maps.google.com/?q=16.8459358971658,-97.200118340964096" TargetMode="External"/><Relationship Id="rId9771" Type="http://schemas.openxmlformats.org/officeDocument/2006/relationships/hyperlink" Target="https://maps.google.com/?q=17.284927379094,-96.794801686193694" TargetMode="External"/><Relationship Id="rId12752" Type="http://schemas.openxmlformats.org/officeDocument/2006/relationships/hyperlink" Target="https://maps.google.com/?q=17.4529025390958,-97.284987973308105" TargetMode="External"/><Relationship Id="rId13803" Type="http://schemas.openxmlformats.org/officeDocument/2006/relationships/hyperlink" Target="https://maps.google.com/?q=17.131086,-97.748459999999994" TargetMode="External"/><Relationship Id="rId1760" Type="http://schemas.openxmlformats.org/officeDocument/2006/relationships/hyperlink" Target="https://maps.google.com/?q=18.06138109,-96.849598499999999" TargetMode="External"/><Relationship Id="rId2811" Type="http://schemas.openxmlformats.org/officeDocument/2006/relationships/hyperlink" Target="https://maps.google.com/?q=16.9895742193392,-97.711851991401701" TargetMode="External"/><Relationship Id="rId8026" Type="http://schemas.openxmlformats.org/officeDocument/2006/relationships/hyperlink" Target="https://maps.google.com/?q=16.4858833825826,-97.379583352208996" TargetMode="External"/><Relationship Id="rId9424" Type="http://schemas.openxmlformats.org/officeDocument/2006/relationships/hyperlink" Target="https://maps.google.com/?q=16.7761053278429,-95.1903543484149" TargetMode="External"/><Relationship Id="rId11354" Type="http://schemas.openxmlformats.org/officeDocument/2006/relationships/hyperlink" Target="https://maps.google.com/?q=16.3718082198561,-94.199570409217699" TargetMode="External"/><Relationship Id="rId12405" Type="http://schemas.openxmlformats.org/officeDocument/2006/relationships/hyperlink" Target="https://maps.google.com/?q=16.5567774225767,-96.8224625276127" TargetMode="External"/><Relationship Id="rId1413" Type="http://schemas.openxmlformats.org/officeDocument/2006/relationships/hyperlink" Target="https://maps.google.com/?q=17.806621,-97.776161999999999" TargetMode="External"/><Relationship Id="rId4983" Type="http://schemas.openxmlformats.org/officeDocument/2006/relationships/hyperlink" Target="https://maps.google.com/?q=16.129848,-97.608486" TargetMode="External"/><Relationship Id="rId11007" Type="http://schemas.openxmlformats.org/officeDocument/2006/relationships/hyperlink" Target="https://maps.google.com/?q=17.156726,-97.190472" TargetMode="External"/><Relationship Id="rId3585" Type="http://schemas.openxmlformats.org/officeDocument/2006/relationships/hyperlink" Target="https://maps.google.com/?q=15.776370663680698,-96.136345177036077" TargetMode="External"/><Relationship Id="rId4636" Type="http://schemas.openxmlformats.org/officeDocument/2006/relationships/hyperlink" Target="https://maps.google.com/?q=17.053894,-96.735402" TargetMode="External"/><Relationship Id="rId13179" Type="http://schemas.openxmlformats.org/officeDocument/2006/relationships/hyperlink" Target="https://maps.google.com/?q=16.5700423068451,-97.013733154596295" TargetMode="External"/><Relationship Id="rId2187" Type="http://schemas.openxmlformats.org/officeDocument/2006/relationships/hyperlink" Target="https://maps.google.com/?q=16.9996715516625,-97.235962338856794" TargetMode="External"/><Relationship Id="rId3238" Type="http://schemas.openxmlformats.org/officeDocument/2006/relationships/hyperlink" Target="https://maps.google.com/?q=17.9371304765473,-96.203487635668793" TargetMode="External"/><Relationship Id="rId7859" Type="http://schemas.openxmlformats.org/officeDocument/2006/relationships/hyperlink" Target="https://maps.google.com/?q=16.3153715380046,-96.409351903687494" TargetMode="External"/><Relationship Id="rId159" Type="http://schemas.openxmlformats.org/officeDocument/2006/relationships/hyperlink" Target="https://maps.google.com/?q=17.094224,-97.493933999999996" TargetMode="External"/><Relationship Id="rId9281" Type="http://schemas.openxmlformats.org/officeDocument/2006/relationships/hyperlink" Target="https://maps.google.com/?q=16.867315501399,-95.228507249763496" TargetMode="External"/><Relationship Id="rId13660" Type="http://schemas.openxmlformats.org/officeDocument/2006/relationships/hyperlink" Target="https://maps.google.com/?q=17.67668,-96.133302" TargetMode="External"/><Relationship Id="rId1270" Type="http://schemas.openxmlformats.org/officeDocument/2006/relationships/hyperlink" Target="https://maps.google.com/?q=17.058593,-96.743078999999994" TargetMode="External"/><Relationship Id="rId12262" Type="http://schemas.openxmlformats.org/officeDocument/2006/relationships/hyperlink" Target="https://maps.google.com/?q=16.42743571,-97.226377479999996" TargetMode="External"/><Relationship Id="rId13313" Type="http://schemas.openxmlformats.org/officeDocument/2006/relationships/hyperlink" Target="https://maps.google.com/?q=16.135833077342,-96.326055475582294" TargetMode="External"/><Relationship Id="rId640" Type="http://schemas.openxmlformats.org/officeDocument/2006/relationships/hyperlink" Target="https://maps.google.com/?q=16.054392,-97.395160000000004" TargetMode="External"/><Relationship Id="rId2321" Type="http://schemas.openxmlformats.org/officeDocument/2006/relationships/hyperlink" Target="https://maps.google.com/?q=18.1074864210114,-96.872114290237704" TargetMode="External"/><Relationship Id="rId5891" Type="http://schemas.openxmlformats.org/officeDocument/2006/relationships/hyperlink" Target="https://maps.google.com/?q=18.145251581403972,-96.566019154359665" TargetMode="External"/><Relationship Id="rId6942" Type="http://schemas.openxmlformats.org/officeDocument/2006/relationships/hyperlink" Target="https://maps.google.com/?q=16.319747,-95.246378000000007" TargetMode="External"/><Relationship Id="rId4493" Type="http://schemas.openxmlformats.org/officeDocument/2006/relationships/hyperlink" Target="https://maps.google.com/?q=17.1775631045216,-97.304340233135306" TargetMode="External"/><Relationship Id="rId5544" Type="http://schemas.openxmlformats.org/officeDocument/2006/relationships/hyperlink" Target="https://maps.google.com/?q=17.2908071852925,-97.365496355819701" TargetMode="External"/><Relationship Id="rId14087" Type="http://schemas.openxmlformats.org/officeDocument/2006/relationships/hyperlink" Target="https://maps.google.com/?q=16.01037385,-96.15509345" TargetMode="External"/><Relationship Id="rId3095" Type="http://schemas.openxmlformats.org/officeDocument/2006/relationships/hyperlink" Target="https://maps.google.com/?q=17.29862,-97.484142640000002" TargetMode="External"/><Relationship Id="rId4146" Type="http://schemas.openxmlformats.org/officeDocument/2006/relationships/hyperlink" Target="https://maps.google.com/?q=17.182363,-97.855656999999994" TargetMode="External"/><Relationship Id="rId8767" Type="http://schemas.openxmlformats.org/officeDocument/2006/relationships/hyperlink" Target="https://maps.google.com/?q=17.205,-96.255002000000005" TargetMode="External"/><Relationship Id="rId9818" Type="http://schemas.openxmlformats.org/officeDocument/2006/relationships/hyperlink" Target="https://maps.google.com/?q=16.6317544922387,-96.851467534937299" TargetMode="External"/><Relationship Id="rId10697" Type="http://schemas.openxmlformats.org/officeDocument/2006/relationships/hyperlink" Target="https://maps.google.com/?q=16.237076,-97.292351999999994" TargetMode="External"/><Relationship Id="rId1807" Type="http://schemas.openxmlformats.org/officeDocument/2006/relationships/hyperlink" Target="https://maps.google.com/?q=18.0682152527907,-96.900073419999998" TargetMode="External"/><Relationship Id="rId7369" Type="http://schemas.openxmlformats.org/officeDocument/2006/relationships/hyperlink" Target="https://maps.google.com/?q=17.0365586097456,-97.292524493969395" TargetMode="External"/><Relationship Id="rId11748" Type="http://schemas.openxmlformats.org/officeDocument/2006/relationships/hyperlink" Target="https://maps.google.com/?q=17.19198707,-97.713008790000004" TargetMode="External"/><Relationship Id="rId13170" Type="http://schemas.openxmlformats.org/officeDocument/2006/relationships/hyperlink" Target="https://maps.google.com/?q=16.5685385678239,-97.0162496188955" TargetMode="External"/><Relationship Id="rId150" Type="http://schemas.openxmlformats.org/officeDocument/2006/relationships/hyperlink" Target="https://maps.google.com/?q=17.095346,-97.497557" TargetMode="External"/><Relationship Id="rId3979" Type="http://schemas.openxmlformats.org/officeDocument/2006/relationships/hyperlink" Target="https://maps.google.com/?q=17.062102,-96.753140999999999" TargetMode="External"/><Relationship Id="rId6452" Type="http://schemas.openxmlformats.org/officeDocument/2006/relationships/hyperlink" Target="https://maps.google.com/?q=16.143477,-97.357247999999998" TargetMode="External"/><Relationship Id="rId7850" Type="http://schemas.openxmlformats.org/officeDocument/2006/relationships/hyperlink" Target="https://maps.google.com/?q=16.3109463256462,-96.405519841429694" TargetMode="External"/><Relationship Id="rId8901" Type="http://schemas.openxmlformats.org/officeDocument/2006/relationships/hyperlink" Target="https://maps.google.com/?q=17.380001405,-96.162497267999996" TargetMode="External"/><Relationship Id="rId10831" Type="http://schemas.openxmlformats.org/officeDocument/2006/relationships/hyperlink" Target="https://maps.google.com/?q=16.3922059299376,-94.459057720237695" TargetMode="External"/><Relationship Id="rId5054" Type="http://schemas.openxmlformats.org/officeDocument/2006/relationships/hyperlink" Target="https://maps.google.com/?q=17.251929,-96.156784000000002" TargetMode="External"/><Relationship Id="rId6105" Type="http://schemas.openxmlformats.org/officeDocument/2006/relationships/hyperlink" Target="https://maps.google.com/?q=17.972108,-96.708124999999995" TargetMode="External"/><Relationship Id="rId7503" Type="http://schemas.openxmlformats.org/officeDocument/2006/relationships/hyperlink" Target="https://maps.google.com/?q=17.34389401,-97.369834350000005" TargetMode="External"/><Relationship Id="rId9675" Type="http://schemas.openxmlformats.org/officeDocument/2006/relationships/hyperlink" Target="https://maps.google.com/?q=16.4662953001947,-96.644287978276907" TargetMode="External"/><Relationship Id="rId12656" Type="http://schemas.openxmlformats.org/officeDocument/2006/relationships/hyperlink" Target="https://maps.google.com/?q=17.000097299874,-97.9019622887309" TargetMode="External"/><Relationship Id="rId13707" Type="http://schemas.openxmlformats.org/officeDocument/2006/relationships/hyperlink" Target="https://maps.google.com/?q=15.982669,-97.083816" TargetMode="External"/><Relationship Id="rId1664" Type="http://schemas.openxmlformats.org/officeDocument/2006/relationships/hyperlink" Target="https://maps.google.com/?q=16.650196,-96.775102000000004" TargetMode="External"/><Relationship Id="rId2715" Type="http://schemas.openxmlformats.org/officeDocument/2006/relationships/hyperlink" Target="https://maps.google.com/?q=15.9360571237889,-96.411892056663305" TargetMode="External"/><Relationship Id="rId8277" Type="http://schemas.openxmlformats.org/officeDocument/2006/relationships/hyperlink" Target="https://maps.google.com/?q=17.6228163796082,-97.033169241733503" TargetMode="External"/><Relationship Id="rId9328" Type="http://schemas.openxmlformats.org/officeDocument/2006/relationships/hyperlink" Target="https://maps.google.com/?q=16.8165026322756,-95.142019850833805" TargetMode="External"/><Relationship Id="rId11258" Type="http://schemas.openxmlformats.org/officeDocument/2006/relationships/hyperlink" Target="https://maps.google.com/?q=17.8651368378667,-96.308237145304403" TargetMode="External"/><Relationship Id="rId12309" Type="http://schemas.openxmlformats.org/officeDocument/2006/relationships/hyperlink" Target="https://maps.google.com/?q=17.154843,-96.240662" TargetMode="External"/><Relationship Id="rId1317" Type="http://schemas.openxmlformats.org/officeDocument/2006/relationships/hyperlink" Target="https://maps.google.com/?q=17.085681,-96.731653" TargetMode="External"/><Relationship Id="rId4887" Type="http://schemas.openxmlformats.org/officeDocument/2006/relationships/hyperlink" Target="https://maps.google.com/?q=16.7992017881182,-96.396216661164004" TargetMode="External"/><Relationship Id="rId5938" Type="http://schemas.openxmlformats.org/officeDocument/2006/relationships/hyperlink" Target="https://maps.google.com/?q=18.153611030371557,-96.572597229033121" TargetMode="External"/><Relationship Id="rId23" Type="http://schemas.openxmlformats.org/officeDocument/2006/relationships/hyperlink" Target="https://maps.google.com/?q=17.22209,-97.122777999999997" TargetMode="External"/><Relationship Id="rId3489" Type="http://schemas.openxmlformats.org/officeDocument/2006/relationships/hyperlink" Target="https://maps.google.com/?q=16.49607,-96.550099000000003" TargetMode="External"/><Relationship Id="rId7360" Type="http://schemas.openxmlformats.org/officeDocument/2006/relationships/hyperlink" Target="https://maps.google.com/?q=16.566875,-97.653892999999997" TargetMode="External"/><Relationship Id="rId8411" Type="http://schemas.openxmlformats.org/officeDocument/2006/relationships/hyperlink" Target="https://maps.google.com/?q=16.0904491368156,-96.2432923877316" TargetMode="External"/><Relationship Id="rId7013" Type="http://schemas.openxmlformats.org/officeDocument/2006/relationships/hyperlink" Target="https://maps.google.com/?q=17.0401476409409,-97.306739524814802" TargetMode="External"/><Relationship Id="rId10341" Type="http://schemas.openxmlformats.org/officeDocument/2006/relationships/hyperlink" Target="https://maps.google.com/?q=17.4331747110711,-96.658084433204493" TargetMode="External"/><Relationship Id="rId3970" Type="http://schemas.openxmlformats.org/officeDocument/2006/relationships/hyperlink" Target="https://maps.google.com/?q=17.061861,-96.753832000000003" TargetMode="External"/><Relationship Id="rId9185" Type="http://schemas.openxmlformats.org/officeDocument/2006/relationships/hyperlink" Target="https://maps.google.com/?q=17.3740335954539,-96.302186458016394" TargetMode="External"/><Relationship Id="rId13564" Type="http://schemas.openxmlformats.org/officeDocument/2006/relationships/hyperlink" Target="https://maps.google.com/?q=17.1465413,-96.2306318" TargetMode="External"/><Relationship Id="rId891" Type="http://schemas.openxmlformats.org/officeDocument/2006/relationships/hyperlink" Target="https://maps.google.com/?q=16.88291,-97.6751" TargetMode="External"/><Relationship Id="rId2572" Type="http://schemas.openxmlformats.org/officeDocument/2006/relationships/hyperlink" Target="https://maps.google.com/?q=17.776579,-96.304698000000002" TargetMode="External"/><Relationship Id="rId3623" Type="http://schemas.openxmlformats.org/officeDocument/2006/relationships/hyperlink" Target="https://maps.google.com/?q=15.777102703587039,-96.137071669145215" TargetMode="External"/><Relationship Id="rId12166" Type="http://schemas.openxmlformats.org/officeDocument/2006/relationships/hyperlink" Target="https://maps.google.com/?q=17.4156920430021,-95.950185588438202" TargetMode="External"/><Relationship Id="rId13217" Type="http://schemas.openxmlformats.org/officeDocument/2006/relationships/hyperlink" Target="https://maps.google.com/?q=17.3433662470402,-97.371482177707705" TargetMode="External"/><Relationship Id="rId544" Type="http://schemas.openxmlformats.org/officeDocument/2006/relationships/hyperlink" Target="https://maps.google.com/?q=16.052602,-97.403557000000006" TargetMode="External"/><Relationship Id="rId1174" Type="http://schemas.openxmlformats.org/officeDocument/2006/relationships/hyperlink" Target="https://maps.google.com/?q=17.046372,-96.627399" TargetMode="External"/><Relationship Id="rId2225" Type="http://schemas.openxmlformats.org/officeDocument/2006/relationships/hyperlink" Target="https://maps.google.com/?q=17.4076681638,-97.089604152000007" TargetMode="External"/><Relationship Id="rId5795" Type="http://schemas.openxmlformats.org/officeDocument/2006/relationships/hyperlink" Target="https://maps.google.com/?q=17.3066022706164,-97.494594991401698" TargetMode="External"/><Relationship Id="rId6846" Type="http://schemas.openxmlformats.org/officeDocument/2006/relationships/hyperlink" Target="https://maps.google.com/?q=17.0084967050569,-96.976861046626496" TargetMode="External"/><Relationship Id="rId4397" Type="http://schemas.openxmlformats.org/officeDocument/2006/relationships/hyperlink" Target="https://maps.google.com/?q=16.00132244,-96.679781730000002" TargetMode="External"/><Relationship Id="rId5448" Type="http://schemas.openxmlformats.org/officeDocument/2006/relationships/hyperlink" Target="https://maps.google.com/?q=16.0075023357172,-97.430472181163907" TargetMode="External"/><Relationship Id="rId12300" Type="http://schemas.openxmlformats.org/officeDocument/2006/relationships/hyperlink" Target="https://maps.google.com/?q=16.4866751534996,-94.359412296958894" TargetMode="External"/><Relationship Id="rId11999" Type="http://schemas.openxmlformats.org/officeDocument/2006/relationships/hyperlink" Target="https://maps.google.com/?q=16.8018256011667,-96.705066634417705" TargetMode="External"/><Relationship Id="rId3480" Type="http://schemas.openxmlformats.org/officeDocument/2006/relationships/hyperlink" Target="https://maps.google.com/?q=16.7471204621904,-97.265148272284307" TargetMode="External"/><Relationship Id="rId4531" Type="http://schemas.openxmlformats.org/officeDocument/2006/relationships/hyperlink" Target="https://maps.google.com/?q=17.1824445763569,-97.304285620289605" TargetMode="External"/><Relationship Id="rId13074" Type="http://schemas.openxmlformats.org/officeDocument/2006/relationships/hyperlink" Target="https://maps.google.com/?q=16.5637868,-97.535301000000004" TargetMode="External"/><Relationship Id="rId2082" Type="http://schemas.openxmlformats.org/officeDocument/2006/relationships/hyperlink" Target="https://maps.google.com/?q=15.773617465887744,-96.240532296257911" TargetMode="External"/><Relationship Id="rId3133" Type="http://schemas.openxmlformats.org/officeDocument/2006/relationships/hyperlink" Target="https://maps.google.com/?q=16.584795,-97.443033" TargetMode="External"/><Relationship Id="rId14125" Type="http://schemas.openxmlformats.org/officeDocument/2006/relationships/hyperlink" Target="https://maps.google.com/?q=16.718719749576643,-96.59332727291438" TargetMode="External"/><Relationship Id="rId7754" Type="http://schemas.openxmlformats.org/officeDocument/2006/relationships/hyperlink" Target="https://maps.google.com/?q=16.069937,-96.305616000000001" TargetMode="External"/><Relationship Id="rId8805" Type="http://schemas.openxmlformats.org/officeDocument/2006/relationships/hyperlink" Target="https://maps.google.com/?q=17.21479,-96.249268999999998" TargetMode="External"/><Relationship Id="rId10735" Type="http://schemas.openxmlformats.org/officeDocument/2006/relationships/hyperlink" Target="https://maps.google.com/?q=17.077684,-96.7399520" TargetMode="External"/><Relationship Id="rId6356" Type="http://schemas.openxmlformats.org/officeDocument/2006/relationships/hyperlink" Target="https://maps.google.com/?q=18.0664249901309,-96.403915909225603" TargetMode="External"/><Relationship Id="rId7407" Type="http://schemas.openxmlformats.org/officeDocument/2006/relationships/hyperlink" Target="https://maps.google.com/?q=17.079929,-96.998255999999998" TargetMode="External"/><Relationship Id="rId2966" Type="http://schemas.openxmlformats.org/officeDocument/2006/relationships/hyperlink" Target="https://maps.google.com/?q=16.5119335730103,-96.980910349702896" TargetMode="External"/><Relationship Id="rId6009" Type="http://schemas.openxmlformats.org/officeDocument/2006/relationships/hyperlink" Target="https://maps.google.com/?q=18.155295766038204,-96.576205720525721" TargetMode="External"/><Relationship Id="rId9579" Type="http://schemas.openxmlformats.org/officeDocument/2006/relationships/hyperlink" Target="https://maps.google.com/?q=17.9988611733685,-96.761134553897307" TargetMode="External"/><Relationship Id="rId13958" Type="http://schemas.openxmlformats.org/officeDocument/2006/relationships/hyperlink" Target="https://maps.google.com/?q=17.020867889899318,-96.76783208936267" TargetMode="External"/><Relationship Id="rId938" Type="http://schemas.openxmlformats.org/officeDocument/2006/relationships/hyperlink" Target="https://maps.google.com/?q=15.682231849360354,-96.508414886450836" TargetMode="External"/><Relationship Id="rId1568" Type="http://schemas.openxmlformats.org/officeDocument/2006/relationships/hyperlink" Target="https://maps.google.com/?q=16.548734,-96.723229000000003" TargetMode="External"/><Relationship Id="rId2619" Type="http://schemas.openxmlformats.org/officeDocument/2006/relationships/hyperlink" Target="https://maps.google.com/?q=18.079792,-96.169201000000001" TargetMode="External"/><Relationship Id="rId4041" Type="http://schemas.openxmlformats.org/officeDocument/2006/relationships/hyperlink" Target="https://maps.google.com/?q=17.080124,-96.725837999999996" TargetMode="External"/><Relationship Id="rId8662" Type="http://schemas.openxmlformats.org/officeDocument/2006/relationships/hyperlink" Target="https://maps.google.com/?q=16.2756103230452,-96.300304711010497" TargetMode="External"/><Relationship Id="rId11990" Type="http://schemas.openxmlformats.org/officeDocument/2006/relationships/hyperlink" Target="https://maps.google.com/?q=16.8009594961414,-96.721500317790799" TargetMode="External"/><Relationship Id="rId7264" Type="http://schemas.openxmlformats.org/officeDocument/2006/relationships/hyperlink" Target="https://maps.google.com/?q=16.2988364837243,-97.913556135581999" TargetMode="External"/><Relationship Id="rId8315" Type="http://schemas.openxmlformats.org/officeDocument/2006/relationships/hyperlink" Target="https://maps.google.com/?q=16.539223,-98.033625999999998" TargetMode="External"/><Relationship Id="rId9713" Type="http://schemas.openxmlformats.org/officeDocument/2006/relationships/hyperlink" Target="https://maps.google.com/?q=16.4378476002334,-95.034661509660296" TargetMode="External"/><Relationship Id="rId10592" Type="http://schemas.openxmlformats.org/officeDocument/2006/relationships/hyperlink" Target="https://maps.google.com/?q=17.0797940852587,-97.765397597552806" TargetMode="External"/><Relationship Id="rId11643" Type="http://schemas.openxmlformats.org/officeDocument/2006/relationships/hyperlink" Target="https://maps.google.com/?q=16.21306814,-94.975183790000003" TargetMode="External"/><Relationship Id="rId1702" Type="http://schemas.openxmlformats.org/officeDocument/2006/relationships/hyperlink" Target="https://maps.google.com/?q=18.0729603298149,-96.898032276385507" TargetMode="External"/><Relationship Id="rId10245" Type="http://schemas.openxmlformats.org/officeDocument/2006/relationships/hyperlink" Target="https://maps.google.com/?q=17.290917207323574,-97.30322367625146" TargetMode="External"/><Relationship Id="rId3874" Type="http://schemas.openxmlformats.org/officeDocument/2006/relationships/hyperlink" Target="https://maps.google.com/?q=17.1051705865361,-95.931208129416305" TargetMode="External"/><Relationship Id="rId4925" Type="http://schemas.openxmlformats.org/officeDocument/2006/relationships/hyperlink" Target="https://maps.google.com/?q=18.03265,-96.667210999999995" TargetMode="External"/><Relationship Id="rId9089" Type="http://schemas.openxmlformats.org/officeDocument/2006/relationships/hyperlink" Target="https://maps.google.com/?q=16.064708,-95.501115999999996" TargetMode="External"/><Relationship Id="rId13468" Type="http://schemas.openxmlformats.org/officeDocument/2006/relationships/hyperlink" Target="https://maps.google.com/?q=17.6874299269393,-97.034318038313998" TargetMode="External"/><Relationship Id="rId795" Type="http://schemas.openxmlformats.org/officeDocument/2006/relationships/hyperlink" Target="https://maps.google.com/?q=15.69119980997855,-96.518161573597922" TargetMode="External"/><Relationship Id="rId2476" Type="http://schemas.openxmlformats.org/officeDocument/2006/relationships/hyperlink" Target="https://maps.google.com/?q=17.05187379,-96.624233939999996" TargetMode="External"/><Relationship Id="rId3527" Type="http://schemas.openxmlformats.org/officeDocument/2006/relationships/hyperlink" Target="https://maps.google.com/?q=15.764177,-96.150691" TargetMode="External"/><Relationship Id="rId448" Type="http://schemas.openxmlformats.org/officeDocument/2006/relationships/hyperlink" Target="https://maps.google.com/?q=16.053052,-97.410488000000001" TargetMode="External"/><Relationship Id="rId1078" Type="http://schemas.openxmlformats.org/officeDocument/2006/relationships/hyperlink" Target="https://maps.google.com/?q=17.092124,-97.499320999999995" TargetMode="External"/><Relationship Id="rId2129" Type="http://schemas.openxmlformats.org/officeDocument/2006/relationships/hyperlink" Target="https://maps.google.com/?q=15.762817,-96.142662000000001" TargetMode="External"/><Relationship Id="rId5699" Type="http://schemas.openxmlformats.org/officeDocument/2006/relationships/hyperlink" Target="https://maps.google.com/?q=17.9468481405787,-97.966508440475806" TargetMode="External"/><Relationship Id="rId6000" Type="http://schemas.openxmlformats.org/officeDocument/2006/relationships/hyperlink" Target="https://maps.google.com/?q=18.155183447035327,-96.574475895160177" TargetMode="External"/><Relationship Id="rId9570" Type="http://schemas.openxmlformats.org/officeDocument/2006/relationships/hyperlink" Target="https://maps.google.com/?q=17.183994,-97.533952" TargetMode="External"/><Relationship Id="rId8172" Type="http://schemas.openxmlformats.org/officeDocument/2006/relationships/hyperlink" Target="https://maps.google.com/?q=17.9580741782142,-96.159336715582398" TargetMode="External"/><Relationship Id="rId9223" Type="http://schemas.openxmlformats.org/officeDocument/2006/relationships/hyperlink" Target="https://maps.google.com/?q=17.375582328042,-96.302204342229402" TargetMode="External"/><Relationship Id="rId11153" Type="http://schemas.openxmlformats.org/officeDocument/2006/relationships/hyperlink" Target="https://maps.google.com/?q=16.840811,-96.006435999999994" TargetMode="External"/><Relationship Id="rId12551" Type="http://schemas.openxmlformats.org/officeDocument/2006/relationships/hyperlink" Target="https://maps.google.com/?q=17.082858,-96.743616000000003" TargetMode="External"/><Relationship Id="rId13602" Type="http://schemas.openxmlformats.org/officeDocument/2006/relationships/hyperlink" Target="https://maps.google.com/?q=17.05514,-96.065353" TargetMode="External"/><Relationship Id="rId1212" Type="http://schemas.openxmlformats.org/officeDocument/2006/relationships/hyperlink" Target="https://maps.google.com/?q=17.005213197575458,-95.02868469848633" TargetMode="External"/><Relationship Id="rId2610" Type="http://schemas.openxmlformats.org/officeDocument/2006/relationships/hyperlink" Target="https://maps.google.com/?q=18.228965,-96.278872000000007" TargetMode="External"/><Relationship Id="rId12204" Type="http://schemas.openxmlformats.org/officeDocument/2006/relationships/hyperlink" Target="https://maps.google.com/?q=17.4179728125965,-95.951933407102104" TargetMode="External"/><Relationship Id="rId4782" Type="http://schemas.openxmlformats.org/officeDocument/2006/relationships/hyperlink" Target="https://maps.google.com/?q=17.9578911337928,-96.660223702352397" TargetMode="External"/><Relationship Id="rId5833" Type="http://schemas.openxmlformats.org/officeDocument/2006/relationships/hyperlink" Target="https://maps.google.com/?q=16.1260401126464,-97.605637932540901" TargetMode="External"/><Relationship Id="rId3037" Type="http://schemas.openxmlformats.org/officeDocument/2006/relationships/hyperlink" Target="https://maps.google.com/?q=16.940195,-97.009338999999997" TargetMode="External"/><Relationship Id="rId3384" Type="http://schemas.openxmlformats.org/officeDocument/2006/relationships/hyperlink" Target="https://maps.google.com/?q=16.3866144,-96.841235299999994" TargetMode="External"/><Relationship Id="rId4435" Type="http://schemas.openxmlformats.org/officeDocument/2006/relationships/hyperlink" Target="https://maps.google.com/?q=17.2718322851485,-97.532398653899904" TargetMode="External"/><Relationship Id="rId10986" Type="http://schemas.openxmlformats.org/officeDocument/2006/relationships/hyperlink" Target="https://maps.google.com/?q=16.2259024995821,-95.214154741044993" TargetMode="External"/><Relationship Id="rId14029" Type="http://schemas.openxmlformats.org/officeDocument/2006/relationships/hyperlink" Target="https://maps.google.com/?q=17.0583986992442,-96.726315452285505" TargetMode="External"/><Relationship Id="rId7658" Type="http://schemas.openxmlformats.org/officeDocument/2006/relationships/hyperlink" Target="https://maps.google.com/?q=17.2323431808749,-95.058386065096997" TargetMode="External"/><Relationship Id="rId8709" Type="http://schemas.openxmlformats.org/officeDocument/2006/relationships/hyperlink" Target="https://maps.google.com/?q=17.055815658433,-96.820580166662396" TargetMode="External"/><Relationship Id="rId10639" Type="http://schemas.openxmlformats.org/officeDocument/2006/relationships/hyperlink" Target="https://maps.google.com/?q=17.1198496331054,-97.785321839999995" TargetMode="External"/><Relationship Id="rId9080" Type="http://schemas.openxmlformats.org/officeDocument/2006/relationships/hyperlink" Target="https://maps.google.com/?q=16.062172,-95.498632999999998" TargetMode="External"/><Relationship Id="rId12061" Type="http://schemas.openxmlformats.org/officeDocument/2006/relationships/hyperlink" Target="https://maps.google.com/?q=16.31225484,-95.233505370000003" TargetMode="External"/><Relationship Id="rId13112" Type="http://schemas.openxmlformats.org/officeDocument/2006/relationships/hyperlink" Target="https://maps.google.com/?q=16.565997,-97.535301099999998" TargetMode="External"/><Relationship Id="rId2120" Type="http://schemas.openxmlformats.org/officeDocument/2006/relationships/hyperlink" Target="https://maps.google.com/?q=15.761864,-96.142312000000004" TargetMode="External"/><Relationship Id="rId5690" Type="http://schemas.openxmlformats.org/officeDocument/2006/relationships/hyperlink" Target="https://maps.google.com/?q=16.435082,-97.902479" TargetMode="External"/><Relationship Id="rId6741" Type="http://schemas.openxmlformats.org/officeDocument/2006/relationships/hyperlink" Target="https://maps.google.com/?q=15.849508511,-96.6467455863" TargetMode="External"/><Relationship Id="rId4292" Type="http://schemas.openxmlformats.org/officeDocument/2006/relationships/hyperlink" Target="https://maps.google.com/?q=16.01329979,-96.661675549999998" TargetMode="External"/><Relationship Id="rId5343" Type="http://schemas.openxmlformats.org/officeDocument/2006/relationships/hyperlink" Target="https://maps.google.com/?q=17.9150008985029,-97.997273042991495" TargetMode="External"/><Relationship Id="rId9964" Type="http://schemas.openxmlformats.org/officeDocument/2006/relationships/hyperlink" Target="https://maps.google.com/?q=17.018502,-96.125155" TargetMode="External"/><Relationship Id="rId11894" Type="http://schemas.openxmlformats.org/officeDocument/2006/relationships/hyperlink" Target="https://maps.google.com/?q=16.78275360434145,-95.53420320982168" TargetMode="External"/><Relationship Id="rId12945" Type="http://schemas.openxmlformats.org/officeDocument/2006/relationships/hyperlink" Target="https://maps.google.com/?q=16.542345,-97.501592000000002" TargetMode="External"/><Relationship Id="rId1953" Type="http://schemas.openxmlformats.org/officeDocument/2006/relationships/hyperlink" Target="https://maps.google.com/?q=15.778600755404083,-96.137675495951797" TargetMode="External"/><Relationship Id="rId7168" Type="http://schemas.openxmlformats.org/officeDocument/2006/relationships/hyperlink" Target="https://maps.google.com/?q=16.2173464425382,-97.958481400000295" TargetMode="External"/><Relationship Id="rId8566" Type="http://schemas.openxmlformats.org/officeDocument/2006/relationships/hyperlink" Target="https://maps.google.com/?q=16.9279443903443,-96.604210828343497" TargetMode="External"/><Relationship Id="rId9617" Type="http://schemas.openxmlformats.org/officeDocument/2006/relationships/hyperlink" Target="https://maps.google.com/?q=17.9981982445877,-96.7465742140392" TargetMode="External"/><Relationship Id="rId10496" Type="http://schemas.openxmlformats.org/officeDocument/2006/relationships/hyperlink" Target="https://maps.google.com/?q=17.8458180077635,-96.742386340688498" TargetMode="External"/><Relationship Id="rId11547" Type="http://schemas.openxmlformats.org/officeDocument/2006/relationships/hyperlink" Target="https://maps.google.com/?q=16.8287259883366,-96.706630550926207" TargetMode="External"/><Relationship Id="rId1606" Type="http://schemas.openxmlformats.org/officeDocument/2006/relationships/hyperlink" Target="https://maps.google.com/?q=17.760519,-96.080978000000002" TargetMode="External"/><Relationship Id="rId8219" Type="http://schemas.openxmlformats.org/officeDocument/2006/relationships/hyperlink" Target="https://maps.google.com/?q=16.373336,-97.677083999999994" TargetMode="External"/><Relationship Id="rId10149" Type="http://schemas.openxmlformats.org/officeDocument/2006/relationships/hyperlink" Target="https://maps.google.com/?q=17.125748319407,-97.497027456626995" TargetMode="External"/><Relationship Id="rId14020" Type="http://schemas.openxmlformats.org/officeDocument/2006/relationships/hyperlink" Target="https://maps.google.com/?q=16.9099807,-96.720373" TargetMode="External"/><Relationship Id="rId3778" Type="http://schemas.openxmlformats.org/officeDocument/2006/relationships/hyperlink" Target="https://maps.google.com/?q=15.764239,-96.144340" TargetMode="External"/><Relationship Id="rId4829" Type="http://schemas.openxmlformats.org/officeDocument/2006/relationships/hyperlink" Target="https://maps.google.com/?q=17.334367726062677,-96.16418794506305" TargetMode="External"/><Relationship Id="rId8700" Type="http://schemas.openxmlformats.org/officeDocument/2006/relationships/hyperlink" Target="https://maps.google.com/?q=16.1494781034068,-96.607637294477399" TargetMode="External"/><Relationship Id="rId699" Type="http://schemas.openxmlformats.org/officeDocument/2006/relationships/hyperlink" Target="https://maps.google.com/?q=16.063372,-97.381553999999994" TargetMode="External"/><Relationship Id="rId6251" Type="http://schemas.openxmlformats.org/officeDocument/2006/relationships/hyperlink" Target="https://maps.google.com/?q=16.38906,-96.704369999999997" TargetMode="External"/><Relationship Id="rId7302" Type="http://schemas.openxmlformats.org/officeDocument/2006/relationships/hyperlink" Target="https://maps.google.com/?q=17.6080839655848,-96.140144058423104" TargetMode="External"/><Relationship Id="rId10630" Type="http://schemas.openxmlformats.org/officeDocument/2006/relationships/hyperlink" Target="https://maps.google.com/?q=17.1182383409545,-97.783141897861498" TargetMode="External"/><Relationship Id="rId9474" Type="http://schemas.openxmlformats.org/officeDocument/2006/relationships/hyperlink" Target="https://maps.google.com/?q=16.433347,-95.021687" TargetMode="External"/><Relationship Id="rId13853" Type="http://schemas.openxmlformats.org/officeDocument/2006/relationships/hyperlink" Target="https://maps.google.com/?q=16.2546020453565,-96.571728757682095" TargetMode="External"/><Relationship Id="rId2861" Type="http://schemas.openxmlformats.org/officeDocument/2006/relationships/hyperlink" Target="https://maps.google.com/?q=16.9661137636834,-97.732422477161805" TargetMode="External"/><Relationship Id="rId3912" Type="http://schemas.openxmlformats.org/officeDocument/2006/relationships/hyperlink" Target="https://maps.google.com/?q=16.47802403966048,-94.35536956951994" TargetMode="External"/><Relationship Id="rId8076" Type="http://schemas.openxmlformats.org/officeDocument/2006/relationships/hyperlink" Target="https://maps.google.com/?q=17.3537152128759,-96.304887462268496" TargetMode="External"/><Relationship Id="rId9127" Type="http://schemas.openxmlformats.org/officeDocument/2006/relationships/hyperlink" Target="https://maps.google.com/?q=17.041575,-96.728836999999999" TargetMode="External"/><Relationship Id="rId12455" Type="http://schemas.openxmlformats.org/officeDocument/2006/relationships/hyperlink" Target="https://maps.google.com/?q=17.2212795978012,-97.270362734664403" TargetMode="External"/><Relationship Id="rId13506" Type="http://schemas.openxmlformats.org/officeDocument/2006/relationships/hyperlink" Target="https://maps.google.com/?q=17.001572790152853,-96.60297889189366" TargetMode="External"/><Relationship Id="rId833" Type="http://schemas.openxmlformats.org/officeDocument/2006/relationships/hyperlink" Target="https://maps.google.com/?q=15.704804452625236,-96.523672660931183" TargetMode="External"/><Relationship Id="rId1116" Type="http://schemas.openxmlformats.org/officeDocument/2006/relationships/hyperlink" Target="https://maps.google.com/?q=17.092172,-97.493604000000005" TargetMode="External"/><Relationship Id="rId1463" Type="http://schemas.openxmlformats.org/officeDocument/2006/relationships/hyperlink" Target="https://maps.google.com/?q=16.1572400506734,-97.12072930919297" TargetMode="External"/><Relationship Id="rId2514" Type="http://schemas.openxmlformats.org/officeDocument/2006/relationships/hyperlink" Target="https://maps.google.com/?q=17.0521706,-96.624471990000004" TargetMode="External"/><Relationship Id="rId11057" Type="http://schemas.openxmlformats.org/officeDocument/2006/relationships/hyperlink" Target="https://maps.google.com/?q=17.27889886,-97.361768530000006" TargetMode="External"/><Relationship Id="rId12108" Type="http://schemas.openxmlformats.org/officeDocument/2006/relationships/hyperlink" Target="https://maps.google.com/?q=16.3180637313053,-97.663635509088607" TargetMode="External"/><Relationship Id="rId4686" Type="http://schemas.openxmlformats.org/officeDocument/2006/relationships/hyperlink" Target="https://maps.google.com/?q=17.061054,-96.756463999999994" TargetMode="External"/><Relationship Id="rId5737" Type="http://schemas.openxmlformats.org/officeDocument/2006/relationships/hyperlink" Target="https://maps.google.com/?q=16.387486,-96.363059000000007" TargetMode="External"/><Relationship Id="rId3288" Type="http://schemas.openxmlformats.org/officeDocument/2006/relationships/hyperlink" Target="https://maps.google.com/?q=17.0624371068683,-96.811790064265693" TargetMode="External"/><Relationship Id="rId4339" Type="http://schemas.openxmlformats.org/officeDocument/2006/relationships/hyperlink" Target="https://maps.google.com/?q=16.0173858289937,-96.618195581684006" TargetMode="External"/><Relationship Id="rId8210" Type="http://schemas.openxmlformats.org/officeDocument/2006/relationships/hyperlink" Target="https://maps.google.com/?q=16.372366,-97.676727999999997" TargetMode="External"/><Relationship Id="rId10140" Type="http://schemas.openxmlformats.org/officeDocument/2006/relationships/hyperlink" Target="https://maps.google.com/?q=17.0977359235149,-97.492059572209001" TargetMode="External"/><Relationship Id="rId13363" Type="http://schemas.openxmlformats.org/officeDocument/2006/relationships/hyperlink" Target="https://maps.google.com/?q=16.3210368266018,-96.673280994750797" TargetMode="External"/><Relationship Id="rId690" Type="http://schemas.openxmlformats.org/officeDocument/2006/relationships/hyperlink" Target="https://maps.google.com/?q=16.059803,-97.387564999999995" TargetMode="External"/><Relationship Id="rId2371" Type="http://schemas.openxmlformats.org/officeDocument/2006/relationships/hyperlink" Target="https://maps.google.com/?q=17.099778375794,-97.852626738415296" TargetMode="External"/><Relationship Id="rId3422" Type="http://schemas.openxmlformats.org/officeDocument/2006/relationships/hyperlink" Target="https://maps.google.com/?q=16.195366,-96.630150999999998" TargetMode="External"/><Relationship Id="rId4820" Type="http://schemas.openxmlformats.org/officeDocument/2006/relationships/hyperlink" Target="https://maps.google.com/?q=16.9084950032152,-96.492729180552899" TargetMode="External"/><Relationship Id="rId13016" Type="http://schemas.openxmlformats.org/officeDocument/2006/relationships/hyperlink" Target="https://maps.google.com/?q=16.5050326,-97.555158030000001" TargetMode="External"/><Relationship Id="rId343" Type="http://schemas.openxmlformats.org/officeDocument/2006/relationships/hyperlink" Target="https://maps.google.com/?q=16.05269,-97.403136000000003" TargetMode="External"/><Relationship Id="rId2024" Type="http://schemas.openxmlformats.org/officeDocument/2006/relationships/hyperlink" Target="https://maps.google.com/?q=15.75814932236936,-96.14551602350798" TargetMode="External"/><Relationship Id="rId6992" Type="http://schemas.openxmlformats.org/officeDocument/2006/relationships/hyperlink" Target="https://maps.google.com/?q=17.0363560686789,-97.298782458711202" TargetMode="External"/><Relationship Id="rId4196" Type="http://schemas.openxmlformats.org/officeDocument/2006/relationships/hyperlink" Target="https://maps.google.com/?q=17.619942,-95.933390000000003" TargetMode="External"/><Relationship Id="rId5247" Type="http://schemas.openxmlformats.org/officeDocument/2006/relationships/hyperlink" Target="https://maps.google.com/?q=15.8514927785858,-96.461664501668906" TargetMode="External"/><Relationship Id="rId5594" Type="http://schemas.openxmlformats.org/officeDocument/2006/relationships/hyperlink" Target="https://maps.google.com/?q=17.4593643927446,-96.2298578088959" TargetMode="External"/><Relationship Id="rId6645" Type="http://schemas.openxmlformats.org/officeDocument/2006/relationships/hyperlink" Target="https://maps.google.com/?q=16.8438375650443,-97.208307787697095" TargetMode="External"/><Relationship Id="rId9868" Type="http://schemas.openxmlformats.org/officeDocument/2006/relationships/hyperlink" Target="https://maps.google.com/?q=16.6357787025216,-96.850540435589494" TargetMode="External"/><Relationship Id="rId11798" Type="http://schemas.openxmlformats.org/officeDocument/2006/relationships/hyperlink" Target="https://maps.google.com/?q=16.997273300938122,-96.58682235085679" TargetMode="External"/><Relationship Id="rId12849" Type="http://schemas.openxmlformats.org/officeDocument/2006/relationships/hyperlink" Target="https://maps.google.com/?q=17.517421,-97.686892999999998" TargetMode="External"/><Relationship Id="rId1857" Type="http://schemas.openxmlformats.org/officeDocument/2006/relationships/hyperlink" Target="https://maps.google.com/?q=15.771040737292195,-96.148590469997757" TargetMode="External"/><Relationship Id="rId2908" Type="http://schemas.openxmlformats.org/officeDocument/2006/relationships/hyperlink" Target="https://maps.google.com/?q=17.763178,-96.074928" TargetMode="External"/><Relationship Id="rId4330" Type="http://schemas.openxmlformats.org/officeDocument/2006/relationships/hyperlink" Target="https://maps.google.com/?q=16.0168341190408,-96.618788349876098" TargetMode="External"/><Relationship Id="rId8951" Type="http://schemas.openxmlformats.org/officeDocument/2006/relationships/hyperlink" Target="https://maps.google.com/?q=17.38135717,-96.161550688999995" TargetMode="External"/><Relationship Id="rId7553" Type="http://schemas.openxmlformats.org/officeDocument/2006/relationships/hyperlink" Target="https://maps.google.com/?q=17.9807656260362,-96.703720718449304" TargetMode="External"/><Relationship Id="rId8604" Type="http://schemas.openxmlformats.org/officeDocument/2006/relationships/hyperlink" Target="https://maps.google.com/?q=17.8851907895249,-96.728124883254097" TargetMode="External"/><Relationship Id="rId10881" Type="http://schemas.openxmlformats.org/officeDocument/2006/relationships/hyperlink" Target="https://maps.google.com/?q=16.3511569476524,-94.479648592180695" TargetMode="External"/><Relationship Id="rId11932" Type="http://schemas.openxmlformats.org/officeDocument/2006/relationships/hyperlink" Target="https://maps.google.com/?q=16.3316888913536,-95.240192609608897" TargetMode="External"/><Relationship Id="rId6155" Type="http://schemas.openxmlformats.org/officeDocument/2006/relationships/hyperlink" Target="https://maps.google.com/?q=16.1416945816159,-96.416973673437397" TargetMode="External"/><Relationship Id="rId7206" Type="http://schemas.openxmlformats.org/officeDocument/2006/relationships/hyperlink" Target="https://maps.google.com/?q=16.2270999361715,-97.9431599571719" TargetMode="External"/><Relationship Id="rId10534" Type="http://schemas.openxmlformats.org/officeDocument/2006/relationships/hyperlink" Target="https://maps.google.com/?q=17.1020598645749,-97.7957775727387" TargetMode="External"/><Relationship Id="rId9378" Type="http://schemas.openxmlformats.org/officeDocument/2006/relationships/hyperlink" Target="https://maps.google.com/?q=16.8200012789079,-95.1424417788959" TargetMode="External"/><Relationship Id="rId13757" Type="http://schemas.openxmlformats.org/officeDocument/2006/relationships/hyperlink" Target="https://maps.google.com/?q=16.302253,-97.912866" TargetMode="External"/><Relationship Id="rId2765" Type="http://schemas.openxmlformats.org/officeDocument/2006/relationships/hyperlink" Target="https://maps.google.com/?q=18.0204965977545,-96.614085991401595" TargetMode="External"/><Relationship Id="rId3816" Type="http://schemas.openxmlformats.org/officeDocument/2006/relationships/hyperlink" Target="https://maps.google.com/?q=15.773979923080974,-96.239202984038627" TargetMode="External"/><Relationship Id="rId12359" Type="http://schemas.openxmlformats.org/officeDocument/2006/relationships/hyperlink" Target="https://maps.google.com/?q=17.884429521676783,-96.7278634238304" TargetMode="External"/><Relationship Id="rId737" Type="http://schemas.openxmlformats.org/officeDocument/2006/relationships/hyperlink" Target="https://maps.google.com/?q=15.68228515048243,-96.509339009339087" TargetMode="External"/><Relationship Id="rId1367" Type="http://schemas.openxmlformats.org/officeDocument/2006/relationships/hyperlink" Target="https://maps.google.com/?q=17.048545,-96.71661" TargetMode="External"/><Relationship Id="rId2418" Type="http://schemas.openxmlformats.org/officeDocument/2006/relationships/hyperlink" Target="https://maps.google.com/?q=17.05112998,-96.624539709999993" TargetMode="External"/><Relationship Id="rId5988" Type="http://schemas.openxmlformats.org/officeDocument/2006/relationships/hyperlink" Target="https://maps.google.com/?q=18.15487968315621,-96.574252401300996" TargetMode="External"/><Relationship Id="rId73" Type="http://schemas.openxmlformats.org/officeDocument/2006/relationships/hyperlink" Target="https://maps.google.com/?q=15.91175,-96.450361000000001" TargetMode="External"/><Relationship Id="rId8461" Type="http://schemas.openxmlformats.org/officeDocument/2006/relationships/hyperlink" Target="https://maps.google.com/?q=17.1518814256147,-97.529901376686894" TargetMode="External"/><Relationship Id="rId9512" Type="http://schemas.openxmlformats.org/officeDocument/2006/relationships/hyperlink" Target="https://maps.google.com/?q=17.43901465532746,-97.24173857602307" TargetMode="External"/><Relationship Id="rId10391" Type="http://schemas.openxmlformats.org/officeDocument/2006/relationships/hyperlink" Target="https://maps.google.com/?q=16.195335,-96.630178999999998" TargetMode="External"/><Relationship Id="rId11442" Type="http://schemas.openxmlformats.org/officeDocument/2006/relationships/hyperlink" Target="https://maps.google.com/?q=16.07566,-97.301839999999999" TargetMode="External"/><Relationship Id="rId12840" Type="http://schemas.openxmlformats.org/officeDocument/2006/relationships/hyperlink" Target="https://maps.google.com/?q=17.51673828,-97.681405420000004" TargetMode="External"/><Relationship Id="rId1501" Type="http://schemas.openxmlformats.org/officeDocument/2006/relationships/hyperlink" Target="https://maps.google.com/?q=17.061036,-96.755902000000006" TargetMode="External"/><Relationship Id="rId7063" Type="http://schemas.openxmlformats.org/officeDocument/2006/relationships/hyperlink" Target="https://maps.google.com/?q=16.570199560921,-97.032051264203801" TargetMode="External"/><Relationship Id="rId8114" Type="http://schemas.openxmlformats.org/officeDocument/2006/relationships/hyperlink" Target="https://maps.google.com/?q=17.3551834316201,-96.304231665344204" TargetMode="External"/><Relationship Id="rId10044" Type="http://schemas.openxmlformats.org/officeDocument/2006/relationships/hyperlink" Target="https://maps.google.com/?q=16.9248568498036,-96.366693358530597" TargetMode="External"/><Relationship Id="rId594" Type="http://schemas.openxmlformats.org/officeDocument/2006/relationships/hyperlink" Target="https://maps.google.com/?q=16.05357,-97.399941999999996" TargetMode="External"/><Relationship Id="rId2275" Type="http://schemas.openxmlformats.org/officeDocument/2006/relationships/hyperlink" Target="https://maps.google.com/?q=18.0981514720854,-96.929442434595003" TargetMode="External"/><Relationship Id="rId3326" Type="http://schemas.openxmlformats.org/officeDocument/2006/relationships/hyperlink" Target="https://maps.google.com/?q=17.0654342847349,-96.811086099370996" TargetMode="External"/><Relationship Id="rId3673" Type="http://schemas.openxmlformats.org/officeDocument/2006/relationships/hyperlink" Target="https://maps.google.com/?q=15.774842,-96.146448" TargetMode="External"/><Relationship Id="rId4724" Type="http://schemas.openxmlformats.org/officeDocument/2006/relationships/hyperlink" Target="https://maps.google.com/?q=17.058568,-96.743064000000004" TargetMode="External"/><Relationship Id="rId13267" Type="http://schemas.openxmlformats.org/officeDocument/2006/relationships/hyperlink" Target="https://maps.google.com/?q=16.1097058452366,-96.319015623923505" TargetMode="External"/><Relationship Id="rId247" Type="http://schemas.openxmlformats.org/officeDocument/2006/relationships/hyperlink" Target="https://maps.google.com/?q=16.88309,-97.677809999999994" TargetMode="External"/><Relationship Id="rId6896" Type="http://schemas.openxmlformats.org/officeDocument/2006/relationships/hyperlink" Target="https://maps.google.com/?q=16.9743088076791,-97.087667364418095" TargetMode="External"/><Relationship Id="rId7947" Type="http://schemas.openxmlformats.org/officeDocument/2006/relationships/hyperlink" Target="https://maps.google.com/?q=16.3261063877301,-96.4038547565914" TargetMode="External"/><Relationship Id="rId10928" Type="http://schemas.openxmlformats.org/officeDocument/2006/relationships/hyperlink" Target="https://maps.google.com/?q=16.1926850706812,-95.214928" TargetMode="External"/><Relationship Id="rId5498" Type="http://schemas.openxmlformats.org/officeDocument/2006/relationships/hyperlink" Target="https://maps.google.com/?q=16.33597,-96.494322999999994" TargetMode="External"/><Relationship Id="rId6549" Type="http://schemas.openxmlformats.org/officeDocument/2006/relationships/hyperlink" Target="https://maps.google.com/?q=17.76023,-96.878776" TargetMode="External"/><Relationship Id="rId12350" Type="http://schemas.openxmlformats.org/officeDocument/2006/relationships/hyperlink" Target="https://maps.google.com/?q=17.064001847645635,-96.7044937276737" TargetMode="External"/><Relationship Id="rId13401" Type="http://schemas.openxmlformats.org/officeDocument/2006/relationships/hyperlink" Target="https://maps.google.com/?q=16.3269789493782,-96.670624682208995" TargetMode="External"/><Relationship Id="rId9022" Type="http://schemas.openxmlformats.org/officeDocument/2006/relationships/hyperlink" Target="https://maps.google.com/?q=16.05342,-95.465610999999996" TargetMode="External"/><Relationship Id="rId12003" Type="http://schemas.openxmlformats.org/officeDocument/2006/relationships/hyperlink" Target="https://maps.google.com/?q=16.8022988927704,-96.705047668788794" TargetMode="External"/><Relationship Id="rId1011" Type="http://schemas.openxmlformats.org/officeDocument/2006/relationships/hyperlink" Target="https://maps.google.com/?q=15.697796994045115,-96.524927283916782" TargetMode="External"/><Relationship Id="rId4581" Type="http://schemas.openxmlformats.org/officeDocument/2006/relationships/hyperlink" Target="https://maps.google.com/?q=16.554532,-96.819874999999996" TargetMode="External"/><Relationship Id="rId5632" Type="http://schemas.openxmlformats.org/officeDocument/2006/relationships/hyperlink" Target="https://maps.google.com/?q=17.5625814913548,-96.179882405582305" TargetMode="External"/><Relationship Id="rId14175" Type="http://schemas.openxmlformats.org/officeDocument/2006/relationships/hyperlink" Target="https://maps.google.com/?q=15.78888683867888,-96.04825980093837" TargetMode="External"/><Relationship Id="rId3183" Type="http://schemas.openxmlformats.org/officeDocument/2006/relationships/hyperlink" Target="https://maps.google.com/?q=16.551673,-97.499279999999999" TargetMode="External"/><Relationship Id="rId4234" Type="http://schemas.openxmlformats.org/officeDocument/2006/relationships/hyperlink" Target="https://maps.google.com/?q=17.991087,-96.742456" TargetMode="External"/><Relationship Id="rId7457" Type="http://schemas.openxmlformats.org/officeDocument/2006/relationships/hyperlink" Target="https://maps.google.com/?q=16.3294546430572,-96.678748977397703" TargetMode="External"/><Relationship Id="rId8855" Type="http://schemas.openxmlformats.org/officeDocument/2006/relationships/hyperlink" Target="https://maps.google.com/?q=17.219477,-96.239985000000004" TargetMode="External"/><Relationship Id="rId9906" Type="http://schemas.openxmlformats.org/officeDocument/2006/relationships/hyperlink" Target="https://maps.google.com/?q=16.553732053275,-96.724952549999998" TargetMode="External"/><Relationship Id="rId10785" Type="http://schemas.openxmlformats.org/officeDocument/2006/relationships/hyperlink" Target="https://maps.google.com/?q=16.4602557618867,-94.999626981304701" TargetMode="External"/><Relationship Id="rId11836" Type="http://schemas.openxmlformats.org/officeDocument/2006/relationships/hyperlink" Target="https://maps.google.com/?q=17.580302997082313,-97.79032588839532" TargetMode="External"/><Relationship Id="rId6059" Type="http://schemas.openxmlformats.org/officeDocument/2006/relationships/hyperlink" Target="https://maps.google.com/?q=18.158910713157468,-96.576585812773629" TargetMode="External"/><Relationship Id="rId8508" Type="http://schemas.openxmlformats.org/officeDocument/2006/relationships/hyperlink" Target="https://maps.google.com/?q=17.1490391197876,-97.540417898104593" TargetMode="External"/><Relationship Id="rId10438" Type="http://schemas.openxmlformats.org/officeDocument/2006/relationships/hyperlink" Target="https://maps.google.com/?q=17.04223,-96.778461899999996" TargetMode="External"/><Relationship Id="rId988" Type="http://schemas.openxmlformats.org/officeDocument/2006/relationships/hyperlink" Target="https://maps.google.com/?q=15.691840675686516,-96.519762652359262" TargetMode="External"/><Relationship Id="rId2669" Type="http://schemas.openxmlformats.org/officeDocument/2006/relationships/hyperlink" Target="https://maps.google.com/?q=17.277264,-97.700918999999999" TargetMode="External"/><Relationship Id="rId6540" Type="http://schemas.openxmlformats.org/officeDocument/2006/relationships/hyperlink" Target="https://maps.google.com/?q=16.465311199747703,-98.32912162674185" TargetMode="External"/><Relationship Id="rId4091" Type="http://schemas.openxmlformats.org/officeDocument/2006/relationships/hyperlink" Target="https://maps.google.com/?q=17.05611569,-96.745782180000006" TargetMode="External"/><Relationship Id="rId5142" Type="http://schemas.openxmlformats.org/officeDocument/2006/relationships/hyperlink" Target="https://maps.google.com/?q=17.254578,-96.150707999999995" TargetMode="External"/><Relationship Id="rId9763" Type="http://schemas.openxmlformats.org/officeDocument/2006/relationships/hyperlink" Target="https://maps.google.com/?q=17.2815261291268,-96.796396717593794" TargetMode="External"/><Relationship Id="rId8365" Type="http://schemas.openxmlformats.org/officeDocument/2006/relationships/hyperlink" Target="https://maps.google.com/?q=16.8451045215365,-97.199327044951701" TargetMode="External"/><Relationship Id="rId9416" Type="http://schemas.openxmlformats.org/officeDocument/2006/relationships/hyperlink" Target="https://maps.google.com/?q=16.7759793949296,-95.191909369513795" TargetMode="External"/><Relationship Id="rId10295" Type="http://schemas.openxmlformats.org/officeDocument/2006/relationships/hyperlink" Target="https://maps.google.com/?q=0,-97.267264490000002" TargetMode="External"/><Relationship Id="rId11693" Type="http://schemas.openxmlformats.org/officeDocument/2006/relationships/hyperlink" Target="https://maps.google.com/?q=17.18102266,-97.709263019999995" TargetMode="External"/><Relationship Id="rId12744" Type="http://schemas.openxmlformats.org/officeDocument/2006/relationships/hyperlink" Target="https://maps.google.com/?q=17.4503794489148,-97.288747204418002" TargetMode="External"/><Relationship Id="rId1405" Type="http://schemas.openxmlformats.org/officeDocument/2006/relationships/hyperlink" Target="https://maps.google.com/?q=17.267449,-97.680485000000004" TargetMode="External"/><Relationship Id="rId1752" Type="http://schemas.openxmlformats.org/officeDocument/2006/relationships/hyperlink" Target="https://maps.google.com/?q=18.06093623,-96.849220310000007" TargetMode="External"/><Relationship Id="rId2803" Type="http://schemas.openxmlformats.org/officeDocument/2006/relationships/hyperlink" Target="https://maps.google.com/?q=16.9851456656184,-97.714258669975194" TargetMode="External"/><Relationship Id="rId8018" Type="http://schemas.openxmlformats.org/officeDocument/2006/relationships/hyperlink" Target="https://maps.google.com/?q=18.1654426146372,-96.875734139881203" TargetMode="External"/><Relationship Id="rId11346" Type="http://schemas.openxmlformats.org/officeDocument/2006/relationships/hyperlink" Target="https://maps.google.com/?q=16.3627656682582,-94.188189559524503" TargetMode="External"/><Relationship Id="rId4975" Type="http://schemas.openxmlformats.org/officeDocument/2006/relationships/hyperlink" Target="https://maps.google.com/?q=16.336419284916,-94.51287233418233" TargetMode="External"/><Relationship Id="rId498" Type="http://schemas.openxmlformats.org/officeDocument/2006/relationships/hyperlink" Target="https://maps.google.com/?q=16.054576,-97.408924999999996" TargetMode="External"/><Relationship Id="rId2179" Type="http://schemas.openxmlformats.org/officeDocument/2006/relationships/hyperlink" Target="https://maps.google.com/?q=16.9964011306197,-97.232177741935899" TargetMode="External"/><Relationship Id="rId3577" Type="http://schemas.openxmlformats.org/officeDocument/2006/relationships/hyperlink" Target="https://maps.google.com/?q=15.775975152214615,-96.13717143757026" TargetMode="External"/><Relationship Id="rId4628" Type="http://schemas.openxmlformats.org/officeDocument/2006/relationships/hyperlink" Target="https://maps.google.com/?q=17.036149,-96.711225999999996" TargetMode="External"/><Relationship Id="rId6050" Type="http://schemas.openxmlformats.org/officeDocument/2006/relationships/hyperlink" Target="https://maps.google.com/?q=18.1573882474593,-96.576532274695111" TargetMode="External"/><Relationship Id="rId7101" Type="http://schemas.openxmlformats.org/officeDocument/2006/relationships/hyperlink" Target="https://maps.google.com/?q=16.351998,&#160;-98.057870" TargetMode="External"/><Relationship Id="rId13652" Type="http://schemas.openxmlformats.org/officeDocument/2006/relationships/hyperlink" Target="https://maps.google.com/?q=17.001259,-96.603601" TargetMode="External"/><Relationship Id="rId2660" Type="http://schemas.openxmlformats.org/officeDocument/2006/relationships/hyperlink" Target="https://maps.google.com/?q=17.6285110365203,-97.229750873372893" TargetMode="External"/><Relationship Id="rId3711" Type="http://schemas.openxmlformats.org/officeDocument/2006/relationships/hyperlink" Target="https://maps.google.com/?q=15.757994013106705,-96.139876317991579" TargetMode="External"/><Relationship Id="rId9273" Type="http://schemas.openxmlformats.org/officeDocument/2006/relationships/hyperlink" Target="https://maps.google.com/?q=17.3785152907313,-96.299511058161997" TargetMode="External"/><Relationship Id="rId12254" Type="http://schemas.openxmlformats.org/officeDocument/2006/relationships/hyperlink" Target="https://maps.google.com/?q=16.4261524931541,-97.227589277397897" TargetMode="External"/><Relationship Id="rId13305" Type="http://schemas.openxmlformats.org/officeDocument/2006/relationships/hyperlink" Target="https://maps.google.com/?q=16.1334977025243,-96.331679641104799" TargetMode="External"/><Relationship Id="rId632" Type="http://schemas.openxmlformats.org/officeDocument/2006/relationships/hyperlink" Target="https://maps.google.com/?q=16.054514,-97.394467000000006" TargetMode="External"/><Relationship Id="rId1262" Type="http://schemas.openxmlformats.org/officeDocument/2006/relationships/hyperlink" Target="https://maps.google.com/?q=17.058588,-96.743084999999994" TargetMode="External"/><Relationship Id="rId2313" Type="http://schemas.openxmlformats.org/officeDocument/2006/relationships/hyperlink" Target="https://maps.google.com/?q=18.1060573242013,-96.868571559970405" TargetMode="External"/><Relationship Id="rId4485" Type="http://schemas.openxmlformats.org/officeDocument/2006/relationships/hyperlink" Target="https://maps.google.com/?q=17.1713146009756,-97.306742084655795" TargetMode="External"/><Relationship Id="rId5536" Type="http://schemas.openxmlformats.org/officeDocument/2006/relationships/hyperlink" Target="https://maps.google.com/?q=17.28854461,-97.378104530000002" TargetMode="External"/><Relationship Id="rId5883" Type="http://schemas.openxmlformats.org/officeDocument/2006/relationships/hyperlink" Target="https://maps.google.com/?q=18.145037455208314,-96.566653101473676" TargetMode="External"/><Relationship Id="rId6934" Type="http://schemas.openxmlformats.org/officeDocument/2006/relationships/hyperlink" Target="https://maps.google.com/?q=16.317357,-95.232968999999997" TargetMode="External"/><Relationship Id="rId14079" Type="http://schemas.openxmlformats.org/officeDocument/2006/relationships/hyperlink" Target="https://maps.google.com/?q=18.03488393,-96.54878645" TargetMode="External"/><Relationship Id="rId3087" Type="http://schemas.openxmlformats.org/officeDocument/2006/relationships/hyperlink" Target="https://maps.google.com/?q=16.9681317216031,-96.9374400093446" TargetMode="External"/><Relationship Id="rId4138" Type="http://schemas.openxmlformats.org/officeDocument/2006/relationships/hyperlink" Target="https://maps.google.com/?q=16.4246625474525,-98.187509373016297" TargetMode="External"/><Relationship Id="rId8759" Type="http://schemas.openxmlformats.org/officeDocument/2006/relationships/hyperlink" Target="https://maps.google.com/?q=17.203314,-96.253597999999997" TargetMode="External"/><Relationship Id="rId10689" Type="http://schemas.openxmlformats.org/officeDocument/2006/relationships/hyperlink" Target="https://maps.google.com/?q=17.663228240038954,-98.22457617237819" TargetMode="External"/><Relationship Id="rId13162" Type="http://schemas.openxmlformats.org/officeDocument/2006/relationships/hyperlink" Target="https://maps.google.com/?q=16.5672526833362,-97.015187549071598" TargetMode="External"/><Relationship Id="rId2170" Type="http://schemas.openxmlformats.org/officeDocument/2006/relationships/hyperlink" Target="https://maps.google.com/?q=15.761508864094752,-96.146205763969874" TargetMode="External"/><Relationship Id="rId3221" Type="http://schemas.openxmlformats.org/officeDocument/2006/relationships/hyperlink" Target="https://maps.google.com/?q=17.8044475283965,-96.005507579202302" TargetMode="External"/><Relationship Id="rId6791" Type="http://schemas.openxmlformats.org/officeDocument/2006/relationships/hyperlink" Target="https://maps.google.com/?q=16.6443467152824,&#160;-97.03941103218749" TargetMode="External"/><Relationship Id="rId7842" Type="http://schemas.openxmlformats.org/officeDocument/2006/relationships/hyperlink" Target="https://maps.google.com/?q=15.967011,-96.021251000000007" TargetMode="External"/><Relationship Id="rId8" Type="http://schemas.openxmlformats.org/officeDocument/2006/relationships/hyperlink" Target="https://maps.google.com/?q=17.222742,-97.120974000000004" TargetMode="External"/><Relationship Id="rId142" Type="http://schemas.openxmlformats.org/officeDocument/2006/relationships/hyperlink" Target="https://maps.google.com/?q=17.097933,-97.491698999999997" TargetMode="External"/><Relationship Id="rId5393" Type="http://schemas.openxmlformats.org/officeDocument/2006/relationships/hyperlink" Target="https://maps.google.com/?q=16.0923843612433,-97.691698704562995" TargetMode="External"/><Relationship Id="rId6444" Type="http://schemas.openxmlformats.org/officeDocument/2006/relationships/hyperlink" Target="https://maps.google.com/?q=17.34737907,-97.557979959999997" TargetMode="External"/><Relationship Id="rId10823" Type="http://schemas.openxmlformats.org/officeDocument/2006/relationships/hyperlink" Target="https://maps.google.com/?q=16.4046527244588,-94.457052437299197" TargetMode="External"/><Relationship Id="rId5046" Type="http://schemas.openxmlformats.org/officeDocument/2006/relationships/hyperlink" Target="https://maps.google.com/?q=17.251656,-96.153011000000006" TargetMode="External"/><Relationship Id="rId9667" Type="http://schemas.openxmlformats.org/officeDocument/2006/relationships/hyperlink" Target="https://maps.google.com/?q=16.4632735146382,-96.646959927633802" TargetMode="External"/><Relationship Id="rId12995" Type="http://schemas.openxmlformats.org/officeDocument/2006/relationships/hyperlink" Target="https://maps.google.com/?q=16.5024068,-97.556161099999997" TargetMode="External"/><Relationship Id="rId8269" Type="http://schemas.openxmlformats.org/officeDocument/2006/relationships/hyperlink" Target="https://maps.google.com/?q=17.027316,-96.759801999999993" TargetMode="External"/><Relationship Id="rId11597" Type="http://schemas.openxmlformats.org/officeDocument/2006/relationships/hyperlink" Target="https://maps.google.com/?q=16.8355433992674,-96.727339967360905" TargetMode="External"/><Relationship Id="rId12648" Type="http://schemas.openxmlformats.org/officeDocument/2006/relationships/hyperlink" Target="https://maps.google.com/?q=17.119339,-96.850685999999996" TargetMode="External"/><Relationship Id="rId1656" Type="http://schemas.openxmlformats.org/officeDocument/2006/relationships/hyperlink" Target="https://maps.google.com/?q=16.8940713024798,-96.936014755208006" TargetMode="External"/><Relationship Id="rId2707" Type="http://schemas.openxmlformats.org/officeDocument/2006/relationships/hyperlink" Target="https://maps.google.com/?q=15.8859538843982,-96.404408921037998" TargetMode="External"/><Relationship Id="rId10199" Type="http://schemas.openxmlformats.org/officeDocument/2006/relationships/hyperlink" Target="https://maps.google.com/?q=17.22155020004943,-97.32816040346252" TargetMode="External"/><Relationship Id="rId14070" Type="http://schemas.openxmlformats.org/officeDocument/2006/relationships/hyperlink" Target="https://maps.google.com/?q=15.958881727052717,-96.81608640286798" TargetMode="External"/><Relationship Id="rId1309" Type="http://schemas.openxmlformats.org/officeDocument/2006/relationships/hyperlink" Target="https://maps.google.com/?q=17.081197,-96.727012" TargetMode="External"/><Relationship Id="rId4879" Type="http://schemas.openxmlformats.org/officeDocument/2006/relationships/hyperlink" Target="https://maps.google.com/?q=16.7935081521908,-96.393091933507705" TargetMode="External"/><Relationship Id="rId8750" Type="http://schemas.openxmlformats.org/officeDocument/2006/relationships/hyperlink" Target="https://maps.google.com/?q=18.0774981824484,-96.127077295047002" TargetMode="External"/><Relationship Id="rId9801" Type="http://schemas.openxmlformats.org/officeDocument/2006/relationships/hyperlink" Target="https://maps.google.com/?q=16.6421077927509,-96.750416417909904" TargetMode="External"/><Relationship Id="rId10680" Type="http://schemas.openxmlformats.org/officeDocument/2006/relationships/hyperlink" Target="https://maps.google.com/?q=17.200606,-96.803498" TargetMode="External"/><Relationship Id="rId11731" Type="http://schemas.openxmlformats.org/officeDocument/2006/relationships/hyperlink" Target="https://maps.google.com/?q=17.18794826,-97.711440120000006" TargetMode="External"/><Relationship Id="rId15" Type="http://schemas.openxmlformats.org/officeDocument/2006/relationships/hyperlink" Target="https://maps.google.com/?q=17.222508,-97.122512" TargetMode="External"/><Relationship Id="rId7352" Type="http://schemas.openxmlformats.org/officeDocument/2006/relationships/hyperlink" Target="https://maps.google.com/?q=16.564957,-97.653229999999994" TargetMode="External"/><Relationship Id="rId8403" Type="http://schemas.openxmlformats.org/officeDocument/2006/relationships/hyperlink" Target="https://maps.google.com/?q=16.0901010546208,-96.243636618385295" TargetMode="External"/><Relationship Id="rId10333" Type="http://schemas.openxmlformats.org/officeDocument/2006/relationships/hyperlink" Target="https://maps.google.com/?q=17.4324727859302,-96.657246106896196" TargetMode="External"/><Relationship Id="rId7005" Type="http://schemas.openxmlformats.org/officeDocument/2006/relationships/hyperlink" Target="https://maps.google.com/?q=17.0388459619904,-97.294753586104804" TargetMode="External"/><Relationship Id="rId883" Type="http://schemas.openxmlformats.org/officeDocument/2006/relationships/hyperlink" Target="https://maps.google.com/?q=17.093496,-97.492895000000004" TargetMode="External"/><Relationship Id="rId2564" Type="http://schemas.openxmlformats.org/officeDocument/2006/relationships/hyperlink" Target="https://maps.google.com/?q=16.0101183634757,-97.202591749602107" TargetMode="External"/><Relationship Id="rId3615" Type="http://schemas.openxmlformats.org/officeDocument/2006/relationships/hyperlink" Target="https://maps.google.com/?q=15.776920645297855,-96.136962310668437" TargetMode="External"/><Relationship Id="rId3962" Type="http://schemas.openxmlformats.org/officeDocument/2006/relationships/hyperlink" Target="https://maps.google.com/?q=17.061462,-96.754750999999999" TargetMode="External"/><Relationship Id="rId9177" Type="http://schemas.openxmlformats.org/officeDocument/2006/relationships/hyperlink" Target="https://maps.google.com/?q=17.3736032049205,-96.3003154644625" TargetMode="External"/><Relationship Id="rId12158" Type="http://schemas.openxmlformats.org/officeDocument/2006/relationships/hyperlink" Target="https://maps.google.com/?q=17.4142194272715,-95.946704328785202" TargetMode="External"/><Relationship Id="rId13556" Type="http://schemas.openxmlformats.org/officeDocument/2006/relationships/hyperlink" Target="https://maps.google.com/?q=16.912174001273087,-96.49583741468048" TargetMode="External"/><Relationship Id="rId536" Type="http://schemas.openxmlformats.org/officeDocument/2006/relationships/hyperlink" Target="https://maps.google.com/?q=16.05269,-97.403136000000003" TargetMode="External"/><Relationship Id="rId1166" Type="http://schemas.openxmlformats.org/officeDocument/2006/relationships/hyperlink" Target="https://maps.google.com/?q=16.250593,-97.150617" TargetMode="External"/><Relationship Id="rId2217" Type="http://schemas.openxmlformats.org/officeDocument/2006/relationships/hyperlink" Target="https://maps.google.com/?q=16.9937018354065,-97.251714827230401" TargetMode="External"/><Relationship Id="rId13209" Type="http://schemas.openxmlformats.org/officeDocument/2006/relationships/hyperlink" Target="https://maps.google.com/?q=17.3406189471926,-97.384696359532199" TargetMode="External"/><Relationship Id="rId4389" Type="http://schemas.openxmlformats.org/officeDocument/2006/relationships/hyperlink" Target="https://maps.google.com/?q=15.99904966,-96.68854872" TargetMode="External"/><Relationship Id="rId5787" Type="http://schemas.openxmlformats.org/officeDocument/2006/relationships/hyperlink" Target="https://maps.google.com/?q=17.3038622729502,-97.485353825759404" TargetMode="External"/><Relationship Id="rId6838" Type="http://schemas.openxmlformats.org/officeDocument/2006/relationships/hyperlink" Target="https://maps.google.com/?q=17.007374,-96.977705999999998" TargetMode="External"/><Relationship Id="rId8260" Type="http://schemas.openxmlformats.org/officeDocument/2006/relationships/hyperlink" Target="https://maps.google.com/?q=17.025127,-96.748188999999996" TargetMode="External"/><Relationship Id="rId9311" Type="http://schemas.openxmlformats.org/officeDocument/2006/relationships/hyperlink" Target="https://maps.google.com/?q=16.8152394143325,-95.137680036647197" TargetMode="External"/><Relationship Id="rId10190" Type="http://schemas.openxmlformats.org/officeDocument/2006/relationships/hyperlink" Target="https://maps.google.com/?q=17.28413251215015,-97.33525639722095" TargetMode="External"/><Relationship Id="rId11241" Type="http://schemas.openxmlformats.org/officeDocument/2006/relationships/hyperlink" Target="https://maps.google.com/?q=17.8619086978258,-96.307128056462602" TargetMode="External"/><Relationship Id="rId1300" Type="http://schemas.openxmlformats.org/officeDocument/2006/relationships/hyperlink" Target="https://maps.google.com/?q=17.0802,-96.726955" TargetMode="External"/><Relationship Id="rId4870" Type="http://schemas.openxmlformats.org/officeDocument/2006/relationships/hyperlink" Target="https://maps.google.com/?q=16.7914163383274,-96.3878682355829" TargetMode="External"/><Relationship Id="rId5921" Type="http://schemas.openxmlformats.org/officeDocument/2006/relationships/hyperlink" Target="https://maps.google.com/?q=18.149656329677477,-96.568295323144781" TargetMode="External"/><Relationship Id="rId3472" Type="http://schemas.openxmlformats.org/officeDocument/2006/relationships/hyperlink" Target="https://maps.google.com/?q=16.7447650327115,-97.260417557142901" TargetMode="External"/><Relationship Id="rId4523" Type="http://schemas.openxmlformats.org/officeDocument/2006/relationships/hyperlink" Target="https://maps.google.com/?q=17.1813245659573,-97.305023667493799" TargetMode="External"/><Relationship Id="rId13066" Type="http://schemas.openxmlformats.org/officeDocument/2006/relationships/hyperlink" Target="https://maps.google.com/?q=16.5630894,-97.540506100000002" TargetMode="External"/><Relationship Id="rId14117" Type="http://schemas.openxmlformats.org/officeDocument/2006/relationships/hyperlink" Target="https://maps.google.com/?q=17.4377667,-96.32313333" TargetMode="External"/><Relationship Id="rId393" Type="http://schemas.openxmlformats.org/officeDocument/2006/relationships/hyperlink" Target="https://maps.google.com/?q=16.063314,-97.380975000000007" TargetMode="External"/><Relationship Id="rId2074" Type="http://schemas.openxmlformats.org/officeDocument/2006/relationships/hyperlink" Target="https://maps.google.com/?q=15.772182356219648,-96.244879326492892" TargetMode="External"/><Relationship Id="rId3125" Type="http://schemas.openxmlformats.org/officeDocument/2006/relationships/hyperlink" Target="https://maps.google.com/?q=16.583685,-97.440714999999997" TargetMode="External"/><Relationship Id="rId6695" Type="http://schemas.openxmlformats.org/officeDocument/2006/relationships/hyperlink" Target="https://maps.google.com/?q=16.9388524743339,-96.967541222231702" TargetMode="External"/><Relationship Id="rId7746" Type="http://schemas.openxmlformats.org/officeDocument/2006/relationships/hyperlink" Target="https://maps.google.com/?q=0,-96.305550400000001" TargetMode="External"/><Relationship Id="rId5297" Type="http://schemas.openxmlformats.org/officeDocument/2006/relationships/hyperlink" Target="https://maps.google.com/?q=15.7172278117088,-96.470657144589694" TargetMode="External"/><Relationship Id="rId6348" Type="http://schemas.openxmlformats.org/officeDocument/2006/relationships/hyperlink" Target="https://maps.google.com/?q=18.0630943001088,-96.401251559522805" TargetMode="External"/><Relationship Id="rId10727" Type="http://schemas.openxmlformats.org/officeDocument/2006/relationships/hyperlink" Target="https://maps.google.com/?q=17.06697328,-96.74384507" TargetMode="External"/><Relationship Id="rId12899" Type="http://schemas.openxmlformats.org/officeDocument/2006/relationships/hyperlink" Target="https://maps.google.com/?q=16.514139,-97.514368000000005" TargetMode="External"/><Relationship Id="rId13200" Type="http://schemas.openxmlformats.org/officeDocument/2006/relationships/hyperlink" Target="https://maps.google.com/?q=17.3355647080085,-97.3730620449208" TargetMode="External"/><Relationship Id="rId2958" Type="http://schemas.openxmlformats.org/officeDocument/2006/relationships/hyperlink" Target="https://maps.google.com/?q=17.08324591,-96.692887150000004" TargetMode="External"/><Relationship Id="rId4380" Type="http://schemas.openxmlformats.org/officeDocument/2006/relationships/hyperlink" Target="https://maps.google.com/?q=15.99751903,-96.680830169999993" TargetMode="External"/><Relationship Id="rId5431" Type="http://schemas.openxmlformats.org/officeDocument/2006/relationships/hyperlink" Target="https://maps.google.com/?q=16.0056216936648,-97.425362570000004" TargetMode="External"/><Relationship Id="rId4033" Type="http://schemas.openxmlformats.org/officeDocument/2006/relationships/hyperlink" Target="https://maps.google.com/?q=17.020794443824677,-96.717963454893138" TargetMode="External"/><Relationship Id="rId8654" Type="http://schemas.openxmlformats.org/officeDocument/2006/relationships/hyperlink" Target="https://maps.google.com/?q=17.0324360062285,-97.808174711454598" TargetMode="External"/><Relationship Id="rId9705" Type="http://schemas.openxmlformats.org/officeDocument/2006/relationships/hyperlink" Target="https://maps.google.com/?q=16.427168363851,-95.034209137055797" TargetMode="External"/><Relationship Id="rId10584" Type="http://schemas.openxmlformats.org/officeDocument/2006/relationships/hyperlink" Target="https://maps.google.com/?q=17.1062643920076,-97.773754835018494" TargetMode="External"/><Relationship Id="rId11982" Type="http://schemas.openxmlformats.org/officeDocument/2006/relationships/hyperlink" Target="https://maps.google.com/?q=16.800512279877,-96.7220828845374" TargetMode="External"/><Relationship Id="rId7256" Type="http://schemas.openxmlformats.org/officeDocument/2006/relationships/hyperlink" Target="https://maps.google.com/?q=16.0978146265961,-97.922788810000696" TargetMode="External"/><Relationship Id="rId8307" Type="http://schemas.openxmlformats.org/officeDocument/2006/relationships/hyperlink" Target="https://maps.google.com/?q=16.538736,-98.034558000000004" TargetMode="External"/><Relationship Id="rId10237" Type="http://schemas.openxmlformats.org/officeDocument/2006/relationships/hyperlink" Target="https://maps.google.com/?q=17.289555,-97.303643" TargetMode="External"/><Relationship Id="rId11635" Type="http://schemas.openxmlformats.org/officeDocument/2006/relationships/hyperlink" Target="https://maps.google.com/?q=16.8420004205468,-96.730662189566502" TargetMode="External"/><Relationship Id="rId3866" Type="http://schemas.openxmlformats.org/officeDocument/2006/relationships/hyperlink" Target="https://maps.google.com/?q=17.1032237326401,-95.937573994823893" TargetMode="External"/><Relationship Id="rId4917" Type="http://schemas.openxmlformats.org/officeDocument/2006/relationships/hyperlink" Target="https://maps.google.com/?q=18.031972,-96.666394999999994" TargetMode="External"/><Relationship Id="rId787" Type="http://schemas.openxmlformats.org/officeDocument/2006/relationships/hyperlink" Target="https://maps.google.com/?q=15.690056993440153,-96.516861730629586" TargetMode="External"/><Relationship Id="rId2468" Type="http://schemas.openxmlformats.org/officeDocument/2006/relationships/hyperlink" Target="https://maps.google.com/?q=17.05173927,-96.624664789999997" TargetMode="External"/><Relationship Id="rId3519" Type="http://schemas.openxmlformats.org/officeDocument/2006/relationships/hyperlink" Target="https://maps.google.com/?q=15.762328,-96.150167" TargetMode="External"/><Relationship Id="rId12890" Type="http://schemas.openxmlformats.org/officeDocument/2006/relationships/hyperlink" Target="https://maps.google.com/?q=16.533314,-97.441702000000006" TargetMode="External"/><Relationship Id="rId13941" Type="http://schemas.openxmlformats.org/officeDocument/2006/relationships/hyperlink" Target="https://maps.google.com/?q=16.330604,-96.641262" TargetMode="External"/><Relationship Id="rId9562" Type="http://schemas.openxmlformats.org/officeDocument/2006/relationships/hyperlink" Target="https://maps.google.com/?q=17.358515,-96.294343999999995" TargetMode="External"/><Relationship Id="rId11492" Type="http://schemas.openxmlformats.org/officeDocument/2006/relationships/hyperlink" Target="https://maps.google.com/?q=16.3085060261353,-96.649207205285904" TargetMode="External"/><Relationship Id="rId12543" Type="http://schemas.openxmlformats.org/officeDocument/2006/relationships/hyperlink" Target="https://maps.google.com/?q=16.9702072102527,-97.913820254348707" TargetMode="External"/><Relationship Id="rId921" Type="http://schemas.openxmlformats.org/officeDocument/2006/relationships/hyperlink" Target="https://maps.google.com/?q=17.221913,-97.117964999999998" TargetMode="External"/><Relationship Id="rId1551" Type="http://schemas.openxmlformats.org/officeDocument/2006/relationships/hyperlink" Target="https://maps.google.com/?q=16.492470824329533,-97.83897160766507" TargetMode="External"/><Relationship Id="rId2602" Type="http://schemas.openxmlformats.org/officeDocument/2006/relationships/hyperlink" Target="https://maps.google.com/?q=18.252247,-96.289569" TargetMode="External"/><Relationship Id="rId8164" Type="http://schemas.openxmlformats.org/officeDocument/2006/relationships/hyperlink" Target="https://maps.google.com/?q=17.3580845926552,-96.302441254418" TargetMode="External"/><Relationship Id="rId9215" Type="http://schemas.openxmlformats.org/officeDocument/2006/relationships/hyperlink" Target="https://maps.google.com/?q=17.375099391545,-96.301474426450099" TargetMode="External"/><Relationship Id="rId10094" Type="http://schemas.openxmlformats.org/officeDocument/2006/relationships/hyperlink" Target="https://maps.google.com/?q=17.0191589055509,-96.129423914970303" TargetMode="External"/><Relationship Id="rId11145" Type="http://schemas.openxmlformats.org/officeDocument/2006/relationships/hyperlink" Target="https://maps.google.com/?q=16.837548,-96.011823000000007" TargetMode="External"/><Relationship Id="rId1204" Type="http://schemas.openxmlformats.org/officeDocument/2006/relationships/hyperlink" Target="https://maps.google.com/?q=16.498676,-98.337695" TargetMode="External"/><Relationship Id="rId4774" Type="http://schemas.openxmlformats.org/officeDocument/2006/relationships/hyperlink" Target="https://maps.google.com/?q=17.9572318301538,-96.660983341104597" TargetMode="External"/><Relationship Id="rId5825" Type="http://schemas.openxmlformats.org/officeDocument/2006/relationships/hyperlink" Target="https://maps.google.com/?q=17.1192954814555,-96.803674014715199" TargetMode="External"/><Relationship Id="rId3376" Type="http://schemas.openxmlformats.org/officeDocument/2006/relationships/hyperlink" Target="https://maps.google.com/?q=17.0709894803408,-97.789769271164" TargetMode="External"/><Relationship Id="rId4427" Type="http://schemas.openxmlformats.org/officeDocument/2006/relationships/hyperlink" Target="https://maps.google.com/?q=17.2667806558239,-97.532937178702198" TargetMode="External"/><Relationship Id="rId297" Type="http://schemas.openxmlformats.org/officeDocument/2006/relationships/hyperlink" Target="https://maps.google.com/?q=16.88988,-97.682410000000004" TargetMode="External"/><Relationship Id="rId3029" Type="http://schemas.openxmlformats.org/officeDocument/2006/relationships/hyperlink" Target="https://maps.google.com/?q=16.939461,-97.005554000000004" TargetMode="External"/><Relationship Id="rId6599" Type="http://schemas.openxmlformats.org/officeDocument/2006/relationships/hyperlink" Target="https://maps.google.com/?q=17.106363,-96.061785" TargetMode="External"/><Relationship Id="rId7997" Type="http://schemas.openxmlformats.org/officeDocument/2006/relationships/hyperlink" Target="https://maps.google.com/?q=18.1636208719759,-96.878058160702395" TargetMode="External"/><Relationship Id="rId10978" Type="http://schemas.openxmlformats.org/officeDocument/2006/relationships/hyperlink" Target="https://maps.google.com/?q=16.221482574825,-95.213188843372905" TargetMode="External"/><Relationship Id="rId9072" Type="http://schemas.openxmlformats.org/officeDocument/2006/relationships/hyperlink" Target="https://maps.google.com/?q=16.059669,-95.493117999999996" TargetMode="External"/><Relationship Id="rId13451" Type="http://schemas.openxmlformats.org/officeDocument/2006/relationships/hyperlink" Target="https://maps.google.com/?q=17.68577045154,-97.040358568122898" TargetMode="External"/><Relationship Id="rId3510" Type="http://schemas.openxmlformats.org/officeDocument/2006/relationships/hyperlink" Target="https://maps.google.com/?q=15.773479149290313,-96.148593682960069" TargetMode="External"/><Relationship Id="rId12053" Type="http://schemas.openxmlformats.org/officeDocument/2006/relationships/hyperlink" Target="https://maps.google.com/?q=16.109502,-97.205516200000005" TargetMode="External"/><Relationship Id="rId13104" Type="http://schemas.openxmlformats.org/officeDocument/2006/relationships/hyperlink" Target="https://maps.google.com/?q=16.565614,-97.537526999999997" TargetMode="External"/><Relationship Id="rId431" Type="http://schemas.openxmlformats.org/officeDocument/2006/relationships/hyperlink" Target="https://maps.google.com/?q=16.052524,-97.413661000000005" TargetMode="External"/><Relationship Id="rId1061" Type="http://schemas.openxmlformats.org/officeDocument/2006/relationships/hyperlink" Target="https://maps.google.com/?q=15.832642,-96.463256999999999" TargetMode="External"/><Relationship Id="rId2112" Type="http://schemas.openxmlformats.org/officeDocument/2006/relationships/hyperlink" Target="https://maps.google.com/?q=15.770188,-96.151036" TargetMode="External"/><Relationship Id="rId5682" Type="http://schemas.openxmlformats.org/officeDocument/2006/relationships/hyperlink" Target="https://maps.google.com/?q=16.433823,-97.901014000000004" TargetMode="External"/><Relationship Id="rId6733" Type="http://schemas.openxmlformats.org/officeDocument/2006/relationships/hyperlink" Target="https://maps.google.com/?q=0,-96.649329874299994" TargetMode="External"/><Relationship Id="rId4284" Type="http://schemas.openxmlformats.org/officeDocument/2006/relationships/hyperlink" Target="https://maps.google.com/?q=16.00862318,-96.657989220000005" TargetMode="External"/><Relationship Id="rId5335" Type="http://schemas.openxmlformats.org/officeDocument/2006/relationships/hyperlink" Target="https://maps.google.com/?q=15.8125987683896,-96.354458836271704" TargetMode="External"/><Relationship Id="rId9956" Type="http://schemas.openxmlformats.org/officeDocument/2006/relationships/hyperlink" Target="https://maps.google.com/?q=17.055143416151942,-96.6537316725096" TargetMode="External"/><Relationship Id="rId8558" Type="http://schemas.openxmlformats.org/officeDocument/2006/relationships/hyperlink" Target="https://maps.google.com/?q=16.926225795415,-96.602662961971305" TargetMode="External"/><Relationship Id="rId9609" Type="http://schemas.openxmlformats.org/officeDocument/2006/relationships/hyperlink" Target="https://maps.google.com/?q=17.9976196377707,-96.7440983241809" TargetMode="External"/><Relationship Id="rId11886" Type="http://schemas.openxmlformats.org/officeDocument/2006/relationships/hyperlink" Target="https://maps.google.com/?q=18.127281754061173,-96.4861401129322" TargetMode="External"/><Relationship Id="rId12937" Type="http://schemas.openxmlformats.org/officeDocument/2006/relationships/hyperlink" Target="https://maps.google.com/?q=16.543791,-97.544517999999997" TargetMode="External"/><Relationship Id="rId1945" Type="http://schemas.openxmlformats.org/officeDocument/2006/relationships/hyperlink" Target="https://maps.google.com/?q=15.777974545181257,-96.137441804363618" TargetMode="External"/><Relationship Id="rId10488" Type="http://schemas.openxmlformats.org/officeDocument/2006/relationships/hyperlink" Target="https://maps.google.com/?q=17.8447684274978,-96.747416678394899" TargetMode="External"/><Relationship Id="rId11539" Type="http://schemas.openxmlformats.org/officeDocument/2006/relationships/hyperlink" Target="https://maps.google.com/?q=16.8266222570791,-96.706735071172403" TargetMode="External"/><Relationship Id="rId3020" Type="http://schemas.openxmlformats.org/officeDocument/2006/relationships/hyperlink" Target="https://maps.google.com/?q=16.939154,-97.012754000000001" TargetMode="External"/><Relationship Id="rId14012" Type="http://schemas.openxmlformats.org/officeDocument/2006/relationships/hyperlink" Target="https://maps.google.com/?q=16.442604,-95.532039" TargetMode="External"/><Relationship Id="rId6590" Type="http://schemas.openxmlformats.org/officeDocument/2006/relationships/hyperlink" Target="https://maps.google.com/?q=17.259576,-97.687746" TargetMode="External"/><Relationship Id="rId7641" Type="http://schemas.openxmlformats.org/officeDocument/2006/relationships/hyperlink" Target="https://maps.google.com/?q=17.2314938444512,-95.049246519976705" TargetMode="External"/><Relationship Id="rId10622" Type="http://schemas.openxmlformats.org/officeDocument/2006/relationships/hyperlink" Target="https://maps.google.com/?q=17.1149326692561,-97.786013771104294" TargetMode="External"/><Relationship Id="rId5192" Type="http://schemas.openxmlformats.org/officeDocument/2006/relationships/hyperlink" Target="https://maps.google.com/?q=17.316429,-95.970175999999995" TargetMode="External"/><Relationship Id="rId6243" Type="http://schemas.openxmlformats.org/officeDocument/2006/relationships/hyperlink" Target="https://maps.google.com/?q=17.004937,-97.510009" TargetMode="External"/><Relationship Id="rId12794" Type="http://schemas.openxmlformats.org/officeDocument/2006/relationships/hyperlink" Target="https://maps.google.com/?q=16.235873,-97.292291000000006" TargetMode="External"/><Relationship Id="rId2853" Type="http://schemas.openxmlformats.org/officeDocument/2006/relationships/hyperlink" Target="https://maps.google.com/?q=16.9645489122471,-97.730695524922595" TargetMode="External"/><Relationship Id="rId3904" Type="http://schemas.openxmlformats.org/officeDocument/2006/relationships/hyperlink" Target="https://maps.google.com/?q=16.01038233677118,-97.43440513243675" TargetMode="External"/><Relationship Id="rId9466" Type="http://schemas.openxmlformats.org/officeDocument/2006/relationships/hyperlink" Target="https://maps.google.com/?q=15.83651,-96.668997000000005" TargetMode="External"/><Relationship Id="rId11396" Type="http://schemas.openxmlformats.org/officeDocument/2006/relationships/hyperlink" Target="https://maps.google.com/?q=17.1933048553502,-97.891419788104699" TargetMode="External"/><Relationship Id="rId12447" Type="http://schemas.openxmlformats.org/officeDocument/2006/relationships/hyperlink" Target="https://maps.google.com/?q=17.2208711976591,-97.271878472812304" TargetMode="External"/><Relationship Id="rId13845" Type="http://schemas.openxmlformats.org/officeDocument/2006/relationships/hyperlink" Target="https://maps.google.com/?q=18.177010219904286,-96.87548621576788" TargetMode="External"/><Relationship Id="rId825" Type="http://schemas.openxmlformats.org/officeDocument/2006/relationships/hyperlink" Target="https://maps.google.com/?q=15.697960908020072,-96.52508140813849" TargetMode="External"/><Relationship Id="rId1455" Type="http://schemas.openxmlformats.org/officeDocument/2006/relationships/hyperlink" Target="https://maps.google.com/?q=18.15988,-96.716806" TargetMode="External"/><Relationship Id="rId2506" Type="http://schemas.openxmlformats.org/officeDocument/2006/relationships/hyperlink" Target="https://maps.google.com/?q=17.05212402,-96.623926150000003" TargetMode="External"/><Relationship Id="rId8068" Type="http://schemas.openxmlformats.org/officeDocument/2006/relationships/hyperlink" Target="https://maps.google.com/?q=16.4978872643676,-97.374578147672096" TargetMode="External"/><Relationship Id="rId9119" Type="http://schemas.openxmlformats.org/officeDocument/2006/relationships/hyperlink" Target="https://maps.google.com/?q=17.041082,-96.727553" TargetMode="External"/><Relationship Id="rId11049" Type="http://schemas.openxmlformats.org/officeDocument/2006/relationships/hyperlink" Target="https://maps.google.com/?q=17.27643484,-97.364618469999996" TargetMode="External"/><Relationship Id="rId1108" Type="http://schemas.openxmlformats.org/officeDocument/2006/relationships/hyperlink" Target="https://maps.google.com/?q=15.805283,-96.458077000000003" TargetMode="External"/><Relationship Id="rId4678" Type="http://schemas.openxmlformats.org/officeDocument/2006/relationships/hyperlink" Target="https://maps.google.com/?q=16.952510775529536,-96.47926041242161" TargetMode="External"/><Relationship Id="rId5729" Type="http://schemas.openxmlformats.org/officeDocument/2006/relationships/hyperlink" Target="https://maps.google.com/?q=16.3873664846,-96.366617518400005" TargetMode="External"/><Relationship Id="rId7151" Type="http://schemas.openxmlformats.org/officeDocument/2006/relationships/hyperlink" Target="https://maps.google.com/?q=17.3665951726022,-97.664743019598703" TargetMode="External"/><Relationship Id="rId8202" Type="http://schemas.openxmlformats.org/officeDocument/2006/relationships/hyperlink" Target="https://maps.google.com/?q=16.676478,-96.308641399999999" TargetMode="External"/><Relationship Id="rId9600" Type="http://schemas.openxmlformats.org/officeDocument/2006/relationships/hyperlink" Target="https://maps.google.com/?q=17.9958582986446,-96.746702965582003" TargetMode="External"/><Relationship Id="rId11530" Type="http://schemas.openxmlformats.org/officeDocument/2006/relationships/hyperlink" Target="https://maps.google.com/?q=16.6155537342792,-96.854620456319097" TargetMode="External"/><Relationship Id="rId10132" Type="http://schemas.openxmlformats.org/officeDocument/2006/relationships/hyperlink" Target="https://maps.google.com/?q=17.0911077392295,-97.498243620118899" TargetMode="External"/><Relationship Id="rId3761" Type="http://schemas.openxmlformats.org/officeDocument/2006/relationships/hyperlink" Target="https://maps.google.com/?q=15.762395,-96.144244" TargetMode="External"/><Relationship Id="rId4812" Type="http://schemas.openxmlformats.org/officeDocument/2006/relationships/hyperlink" Target="https://maps.google.com/?q=16.9048256500355,-96.500599060842305" TargetMode="External"/><Relationship Id="rId13355" Type="http://schemas.openxmlformats.org/officeDocument/2006/relationships/hyperlink" Target="https://maps.google.com/?q=16.320062409479,-96.672923626983604" TargetMode="External"/><Relationship Id="rId682" Type="http://schemas.openxmlformats.org/officeDocument/2006/relationships/hyperlink" Target="https://maps.google.com/?q=16.060734,-97.385193000000001" TargetMode="External"/><Relationship Id="rId2363" Type="http://schemas.openxmlformats.org/officeDocument/2006/relationships/hyperlink" Target="https://maps.google.com/?q=17.0981425932222,-97.853493051507201" TargetMode="External"/><Relationship Id="rId3414" Type="http://schemas.openxmlformats.org/officeDocument/2006/relationships/hyperlink" Target="https://maps.google.com/?q=17.6338867976841,-97.0875510812957" TargetMode="External"/><Relationship Id="rId6984" Type="http://schemas.openxmlformats.org/officeDocument/2006/relationships/hyperlink" Target="https://maps.google.com/?q=17.0973573,-97.492647399999996" TargetMode="External"/><Relationship Id="rId13008" Type="http://schemas.openxmlformats.org/officeDocument/2006/relationships/hyperlink" Target="https://maps.google.com/?q=16.5039578,-97.557001799999995" TargetMode="External"/><Relationship Id="rId335" Type="http://schemas.openxmlformats.org/officeDocument/2006/relationships/hyperlink" Target="https://maps.google.com/?q=16.053302,-97.400412000000003" TargetMode="External"/><Relationship Id="rId2016" Type="http://schemas.openxmlformats.org/officeDocument/2006/relationships/hyperlink" Target="https://maps.google.com/?q=15.75794543626305,-96.139615887541751" TargetMode="External"/><Relationship Id="rId5586" Type="http://schemas.openxmlformats.org/officeDocument/2006/relationships/hyperlink" Target="https://maps.google.com/?q=17.4468017927425,-96.184456658895996" TargetMode="External"/><Relationship Id="rId6637" Type="http://schemas.openxmlformats.org/officeDocument/2006/relationships/hyperlink" Target="https://maps.google.com/?q=16.8423301788038,-97.209311008564995" TargetMode="External"/><Relationship Id="rId4188" Type="http://schemas.openxmlformats.org/officeDocument/2006/relationships/hyperlink" Target="https://maps.google.com/?q=16.392011,-98.111541000000003" TargetMode="External"/><Relationship Id="rId5239" Type="http://schemas.openxmlformats.org/officeDocument/2006/relationships/hyperlink" Target="https://maps.google.com/?q=15.8317975854355,-96.444861054564598" TargetMode="External"/><Relationship Id="rId9110" Type="http://schemas.openxmlformats.org/officeDocument/2006/relationships/hyperlink" Target="https://maps.google.com/?q=17.357372154359297,-96.30255088859484" TargetMode="External"/><Relationship Id="rId11040" Type="http://schemas.openxmlformats.org/officeDocument/2006/relationships/hyperlink" Target="https://maps.google.com/?q=17.448747,-96.172529" TargetMode="External"/><Relationship Id="rId1849" Type="http://schemas.openxmlformats.org/officeDocument/2006/relationships/hyperlink" Target="https://maps.google.com/?q=18.0383906233061,-96.898655765012606" TargetMode="External"/><Relationship Id="rId5720" Type="http://schemas.openxmlformats.org/officeDocument/2006/relationships/hyperlink" Target="https://maps.google.com/?q=16.3825540209,-96.360206717099999" TargetMode="External"/><Relationship Id="rId192" Type="http://schemas.openxmlformats.org/officeDocument/2006/relationships/hyperlink" Target="https://maps.google.com/?q=17.090076,-97.503742000000003" TargetMode="External"/><Relationship Id="rId3271" Type="http://schemas.openxmlformats.org/officeDocument/2006/relationships/hyperlink" Target="https://maps.google.com/?q=17.0606293986266,-96.813372991505503" TargetMode="External"/><Relationship Id="rId4322" Type="http://schemas.openxmlformats.org/officeDocument/2006/relationships/hyperlink" Target="https://maps.google.com/?q=16.0136674734404,-96.612624580000002" TargetMode="External"/><Relationship Id="rId7892" Type="http://schemas.openxmlformats.org/officeDocument/2006/relationships/hyperlink" Target="https://maps.google.com/?q=16.318551346885,-96.413150749668105" TargetMode="External"/><Relationship Id="rId8943" Type="http://schemas.openxmlformats.org/officeDocument/2006/relationships/hyperlink" Target="https://maps.google.com/?q=17.38124355,-96.162374666000005" TargetMode="External"/><Relationship Id="rId10873" Type="http://schemas.openxmlformats.org/officeDocument/2006/relationships/hyperlink" Target="https://maps.google.com/?q=16.3465014452796,-94.482729466270399" TargetMode="External"/><Relationship Id="rId6494" Type="http://schemas.openxmlformats.org/officeDocument/2006/relationships/hyperlink" Target="https://maps.google.com/?q=17.2037926350828,-97.597520254078603" TargetMode="External"/><Relationship Id="rId7545" Type="http://schemas.openxmlformats.org/officeDocument/2006/relationships/hyperlink" Target="https://maps.google.com/?q=17.9799648559289,-96.703349466805307" TargetMode="External"/><Relationship Id="rId10526" Type="http://schemas.openxmlformats.org/officeDocument/2006/relationships/hyperlink" Target="https://maps.google.com/?q=17.0970480132496,-97.774393839286901" TargetMode="External"/><Relationship Id="rId11924" Type="http://schemas.openxmlformats.org/officeDocument/2006/relationships/hyperlink" Target="https://maps.google.com/?q=16.406759,-97.227300999999997" TargetMode="External"/><Relationship Id="rId5096" Type="http://schemas.openxmlformats.org/officeDocument/2006/relationships/hyperlink" Target="https://maps.google.com/?q=17.253234,-96.155220999999997" TargetMode="External"/><Relationship Id="rId6147" Type="http://schemas.openxmlformats.org/officeDocument/2006/relationships/hyperlink" Target="https://maps.google.com/?q=16.95658584,-96.612683529999998" TargetMode="External"/><Relationship Id="rId12698" Type="http://schemas.openxmlformats.org/officeDocument/2006/relationships/hyperlink" Target="https://maps.google.com/?q=16.2835605750331,-96.503706658895496" TargetMode="External"/><Relationship Id="rId13749" Type="http://schemas.openxmlformats.org/officeDocument/2006/relationships/hyperlink" Target="https://maps.google.com/?q=17.027232,-96.077046" TargetMode="External"/><Relationship Id="rId729" Type="http://schemas.openxmlformats.org/officeDocument/2006/relationships/hyperlink" Target="https://maps.google.com/?q=15.71104455684405,-96.529755568765012" TargetMode="External"/><Relationship Id="rId1359" Type="http://schemas.openxmlformats.org/officeDocument/2006/relationships/hyperlink" Target="https://maps.google.com/?q=17.02079444,-96.71796345" TargetMode="External"/><Relationship Id="rId2757" Type="http://schemas.openxmlformats.org/officeDocument/2006/relationships/hyperlink" Target="https://maps.google.com/?q=17.994892,-96.483726000000004" TargetMode="External"/><Relationship Id="rId3808" Type="http://schemas.openxmlformats.org/officeDocument/2006/relationships/hyperlink" Target="https://maps.google.com/?q=15.772809520058567,-96.234518149866986" TargetMode="External"/><Relationship Id="rId5230" Type="http://schemas.openxmlformats.org/officeDocument/2006/relationships/hyperlink" Target="https://maps.google.com/?q=17.2846843032561,-97.372850547791003" TargetMode="External"/><Relationship Id="rId9851" Type="http://schemas.openxmlformats.org/officeDocument/2006/relationships/hyperlink" Target="https://maps.google.com/?q=16.6344458875477,-96.849853735522601" TargetMode="External"/><Relationship Id="rId11781" Type="http://schemas.openxmlformats.org/officeDocument/2006/relationships/hyperlink" Target="https://maps.google.com/?q=17.36536759849476,-96.52876120370483" TargetMode="External"/><Relationship Id="rId12832" Type="http://schemas.openxmlformats.org/officeDocument/2006/relationships/hyperlink" Target="https://maps.google.com/?q=17.515409,-97.682570999999996" TargetMode="External"/><Relationship Id="rId65" Type="http://schemas.openxmlformats.org/officeDocument/2006/relationships/hyperlink" Target="https://maps.google.com/?q=15.805283,-96.458077000000003" TargetMode="External"/><Relationship Id="rId1840" Type="http://schemas.openxmlformats.org/officeDocument/2006/relationships/hyperlink" Target="https://maps.google.com/?q=18.037049386467,-96.899016243317902" TargetMode="External"/><Relationship Id="rId8453" Type="http://schemas.openxmlformats.org/officeDocument/2006/relationships/hyperlink" Target="https://maps.google.com/?q=17.1504557226928,-97.5356340777914" TargetMode="External"/><Relationship Id="rId9504" Type="http://schemas.openxmlformats.org/officeDocument/2006/relationships/hyperlink" Target="https://maps.google.com/?q=17.014469,-96.714291" TargetMode="External"/><Relationship Id="rId10383" Type="http://schemas.openxmlformats.org/officeDocument/2006/relationships/hyperlink" Target="https://maps.google.com/?q=16.5049398637732,-97.161531712620004" TargetMode="External"/><Relationship Id="rId11434" Type="http://schemas.openxmlformats.org/officeDocument/2006/relationships/hyperlink" Target="https://maps.google.com/?q=16.203414,-96.609937000000002" TargetMode="External"/><Relationship Id="rId7055" Type="http://schemas.openxmlformats.org/officeDocument/2006/relationships/hyperlink" Target="https://maps.google.com/?q=16.1468653941109,-96.348187815855695" TargetMode="External"/><Relationship Id="rId8106" Type="http://schemas.openxmlformats.org/officeDocument/2006/relationships/hyperlink" Target="https://maps.google.com/?q=17.3549965422973,-96.303924548895495" TargetMode="External"/><Relationship Id="rId10036" Type="http://schemas.openxmlformats.org/officeDocument/2006/relationships/hyperlink" Target="https://maps.google.com/?q=16.9157118368082,-96.360203780160603" TargetMode="External"/><Relationship Id="rId3665" Type="http://schemas.openxmlformats.org/officeDocument/2006/relationships/hyperlink" Target="https://maps.google.com/?q=15.773401,-96.144668" TargetMode="External"/><Relationship Id="rId4716" Type="http://schemas.openxmlformats.org/officeDocument/2006/relationships/hyperlink" Target="https://maps.google.com/?q=17.082948,-96.727685" TargetMode="External"/><Relationship Id="rId13259" Type="http://schemas.openxmlformats.org/officeDocument/2006/relationships/hyperlink" Target="https://maps.google.com/?q=17.1538099979218,-96.744472140990894" TargetMode="External"/><Relationship Id="rId586" Type="http://schemas.openxmlformats.org/officeDocument/2006/relationships/hyperlink" Target="https://maps.google.com/?q=16.054402,-97.398934999999994" TargetMode="External"/><Relationship Id="rId2267" Type="http://schemas.openxmlformats.org/officeDocument/2006/relationships/hyperlink" Target="https://maps.google.com/?q=18.0954218642452,-96.928430757790693" TargetMode="External"/><Relationship Id="rId3318" Type="http://schemas.openxmlformats.org/officeDocument/2006/relationships/hyperlink" Target="https://maps.google.com/?q=17.0648209510087,-96.808413586473606" TargetMode="External"/><Relationship Id="rId6888" Type="http://schemas.openxmlformats.org/officeDocument/2006/relationships/hyperlink" Target="https://maps.google.com/?q=16.973660076838,-97.086371629465006" TargetMode="External"/><Relationship Id="rId239" Type="http://schemas.openxmlformats.org/officeDocument/2006/relationships/hyperlink" Target="https://maps.google.com/?q=16.88335,-97.676419999999993" TargetMode="External"/><Relationship Id="rId7939" Type="http://schemas.openxmlformats.org/officeDocument/2006/relationships/hyperlink" Target="https://maps.google.com/?q=16.3249559487059,-96.402631036512105" TargetMode="External"/><Relationship Id="rId9361" Type="http://schemas.openxmlformats.org/officeDocument/2006/relationships/hyperlink" Target="https://maps.google.com/?q=16.818407713335,-95.139825803859395" TargetMode="External"/><Relationship Id="rId13740" Type="http://schemas.openxmlformats.org/officeDocument/2006/relationships/hyperlink" Target="https://maps.google.com/?q=16.352335,-94.483882" TargetMode="External"/><Relationship Id="rId9014" Type="http://schemas.openxmlformats.org/officeDocument/2006/relationships/hyperlink" Target="https://maps.google.com/?q=17.38309967,-96.161879014999997" TargetMode="External"/><Relationship Id="rId11291" Type="http://schemas.openxmlformats.org/officeDocument/2006/relationships/hyperlink" Target="https://maps.google.com/?q=17.8669882735386,-96.3086390488955" TargetMode="External"/><Relationship Id="rId12342" Type="http://schemas.openxmlformats.org/officeDocument/2006/relationships/hyperlink" Target="https://maps.google.com/?q=16.8301833,-96.7641509" TargetMode="External"/><Relationship Id="rId720" Type="http://schemas.openxmlformats.org/officeDocument/2006/relationships/hyperlink" Target="https://maps.google.com/?q=16.06207,-97.383854999999997" TargetMode="External"/><Relationship Id="rId1350" Type="http://schemas.openxmlformats.org/officeDocument/2006/relationships/hyperlink" Target="https://maps.google.com/?q=17.02002153,-96.71813893" TargetMode="External"/><Relationship Id="rId2401" Type="http://schemas.openxmlformats.org/officeDocument/2006/relationships/hyperlink" Target="https://maps.google.com/?q=17.04939543842666,-96.624576762378936" TargetMode="External"/><Relationship Id="rId5971" Type="http://schemas.openxmlformats.org/officeDocument/2006/relationships/hyperlink" Target="https://maps.google.com/?q=18.15447057851894,-96.574470431860306" TargetMode="External"/><Relationship Id="rId1003" Type="http://schemas.openxmlformats.org/officeDocument/2006/relationships/hyperlink" Target="https://maps.google.com/?q=15.694060832743101,-96.52242089454046" TargetMode="External"/><Relationship Id="rId4573" Type="http://schemas.openxmlformats.org/officeDocument/2006/relationships/hyperlink" Target="https://maps.google.com/?q=16.553776,-96.819081999999995" TargetMode="External"/><Relationship Id="rId5624" Type="http://schemas.openxmlformats.org/officeDocument/2006/relationships/hyperlink" Target="https://maps.google.com/?q=17.5520799511829,-96.223736536052598" TargetMode="External"/><Relationship Id="rId14167" Type="http://schemas.openxmlformats.org/officeDocument/2006/relationships/hyperlink" Target="https://maps.google.com/?q=15.72328785576612,-96.1644946251233" TargetMode="External"/><Relationship Id="rId3175" Type="http://schemas.openxmlformats.org/officeDocument/2006/relationships/hyperlink" Target="https://maps.google.com/?q=16.549809,-97.500639000000007" TargetMode="External"/><Relationship Id="rId4226" Type="http://schemas.openxmlformats.org/officeDocument/2006/relationships/hyperlink" Target="https://maps.google.com/?q=18.084669930780763,-96.11868272259974" TargetMode="External"/><Relationship Id="rId7796" Type="http://schemas.openxmlformats.org/officeDocument/2006/relationships/hyperlink" Target="https://maps.google.com/?q=17.8449397983535,-96.7460215983984" TargetMode="External"/><Relationship Id="rId8847" Type="http://schemas.openxmlformats.org/officeDocument/2006/relationships/hyperlink" Target="https://maps.google.com/?q=17.218684,-96.240415999999996" TargetMode="External"/><Relationship Id="rId6398" Type="http://schemas.openxmlformats.org/officeDocument/2006/relationships/hyperlink" Target="https://maps.google.com/?q=17.2524099246222,-97.543785255029704" TargetMode="External"/><Relationship Id="rId7449" Type="http://schemas.openxmlformats.org/officeDocument/2006/relationships/hyperlink" Target="https://maps.google.com/?q=16.3222148773147,-96.673594358542701" TargetMode="External"/><Relationship Id="rId10777" Type="http://schemas.openxmlformats.org/officeDocument/2006/relationships/hyperlink" Target="https://maps.google.com/?q=16.906976,-96.562187" TargetMode="External"/><Relationship Id="rId11828" Type="http://schemas.openxmlformats.org/officeDocument/2006/relationships/hyperlink" Target="https://maps.google.com/?q=16.515278,-96.975833" TargetMode="External"/><Relationship Id="rId13250" Type="http://schemas.openxmlformats.org/officeDocument/2006/relationships/hyperlink" Target="https://maps.google.com/?q=17.1488647671384,-96.744237006686504" TargetMode="External"/><Relationship Id="rId230" Type="http://schemas.openxmlformats.org/officeDocument/2006/relationships/hyperlink" Target="https://maps.google.com/?q=16.88238,-97.675309999999996" TargetMode="External"/><Relationship Id="rId7930" Type="http://schemas.openxmlformats.org/officeDocument/2006/relationships/hyperlink" Target="https://maps.google.com/?q=16.3233798077875,-96.402142516706405" TargetMode="External"/><Relationship Id="rId10911" Type="http://schemas.openxmlformats.org/officeDocument/2006/relationships/hyperlink" Target="https://maps.google.com/?q=16.1894308216302,-95.186339163101195" TargetMode="External"/><Relationship Id="rId4083" Type="http://schemas.openxmlformats.org/officeDocument/2006/relationships/hyperlink" Target="https://maps.google.com/?q=17.0558127189,-96.7456976" TargetMode="External"/><Relationship Id="rId5481" Type="http://schemas.openxmlformats.org/officeDocument/2006/relationships/hyperlink" Target="https://maps.google.com/?q=16.3285838685993,-96.488974849285199" TargetMode="External"/><Relationship Id="rId6532" Type="http://schemas.openxmlformats.org/officeDocument/2006/relationships/hyperlink" Target="https://maps.google.com/?q=17.2590620241928,-97.572938473081507" TargetMode="External"/><Relationship Id="rId5134" Type="http://schemas.openxmlformats.org/officeDocument/2006/relationships/hyperlink" Target="https://maps.google.com/?q=17.25435,-96.155608000000001" TargetMode="External"/><Relationship Id="rId9755" Type="http://schemas.openxmlformats.org/officeDocument/2006/relationships/hyperlink" Target="https://maps.google.com/?q=17.2778819268361,-96.793905444477502" TargetMode="External"/><Relationship Id="rId11685" Type="http://schemas.openxmlformats.org/officeDocument/2006/relationships/hyperlink" Target="https://maps.google.com/?q=17.178532,-97.708000620000007" TargetMode="External"/><Relationship Id="rId12736" Type="http://schemas.openxmlformats.org/officeDocument/2006/relationships/hyperlink" Target="https://maps.google.com/?q=16.5953075110786,-96.957724162560694" TargetMode="External"/><Relationship Id="rId1744" Type="http://schemas.openxmlformats.org/officeDocument/2006/relationships/hyperlink" Target="https://maps.google.com/?q=18.06044696,-96.850972240000004" TargetMode="External"/><Relationship Id="rId8357" Type="http://schemas.openxmlformats.org/officeDocument/2006/relationships/hyperlink" Target="https://maps.google.com/?q=16.8441574105162,-97.197173649761694" TargetMode="External"/><Relationship Id="rId9408" Type="http://schemas.openxmlformats.org/officeDocument/2006/relationships/hyperlink" Target="https://maps.google.com/?q=16.7756516042494,-95.1884116146162" TargetMode="External"/><Relationship Id="rId10287" Type="http://schemas.openxmlformats.org/officeDocument/2006/relationships/hyperlink" Target="https://maps.google.com/?q=16.2464340927213,-95.141638889890601" TargetMode="External"/><Relationship Id="rId11338" Type="http://schemas.openxmlformats.org/officeDocument/2006/relationships/hyperlink" Target="https://maps.google.com/?q=16.64914255,-97.529316449999996" TargetMode="External"/><Relationship Id="rId4967" Type="http://schemas.openxmlformats.org/officeDocument/2006/relationships/hyperlink" Target="https://maps.google.com/?q=17.9677567351706,-96.739005888384497" TargetMode="External"/><Relationship Id="rId3569" Type="http://schemas.openxmlformats.org/officeDocument/2006/relationships/hyperlink" Target="https://maps.google.com/?q=15.775495382559859,-96.135713964030813" TargetMode="External"/><Relationship Id="rId7440" Type="http://schemas.openxmlformats.org/officeDocument/2006/relationships/hyperlink" Target="https://maps.google.com/?q=16.3169184721887,-96.673628620865102" TargetMode="External"/><Relationship Id="rId6042" Type="http://schemas.openxmlformats.org/officeDocument/2006/relationships/hyperlink" Target="https://maps.google.com/?q=18.15682540517145,-96.576190662398176" TargetMode="External"/><Relationship Id="rId10421" Type="http://schemas.openxmlformats.org/officeDocument/2006/relationships/hyperlink" Target="https://maps.google.com/?q=17.059589,-96.795788999999999" TargetMode="External"/><Relationship Id="rId13991" Type="http://schemas.openxmlformats.org/officeDocument/2006/relationships/hyperlink" Target="https://maps.google.com/?q=16.686912084412846,-96.85290862486889" TargetMode="External"/><Relationship Id="rId12593" Type="http://schemas.openxmlformats.org/officeDocument/2006/relationships/hyperlink" Target="https://maps.google.com/?q=16.5218190015756,-96.981382927389603" TargetMode="External"/><Relationship Id="rId13644" Type="http://schemas.openxmlformats.org/officeDocument/2006/relationships/hyperlink" Target="https://maps.google.com/?q=16.704364,-97.019527" TargetMode="External"/><Relationship Id="rId971" Type="http://schemas.openxmlformats.org/officeDocument/2006/relationships/hyperlink" Target="https://maps.google.com/?q=15.68850479296265,-96.51393044696006" TargetMode="External"/><Relationship Id="rId2652" Type="http://schemas.openxmlformats.org/officeDocument/2006/relationships/hyperlink" Target="https://maps.google.com/?q=17.6225572536413,-97.230352352402704" TargetMode="External"/><Relationship Id="rId3703" Type="http://schemas.openxmlformats.org/officeDocument/2006/relationships/hyperlink" Target="https://maps.google.com/?q=15.757802351073364,-96.140410550492106" TargetMode="External"/><Relationship Id="rId9265" Type="http://schemas.openxmlformats.org/officeDocument/2006/relationships/hyperlink" Target="https://maps.google.com/?q=17.3779406275247,-96.300227209702797" TargetMode="External"/><Relationship Id="rId11195" Type="http://schemas.openxmlformats.org/officeDocument/2006/relationships/hyperlink" Target="https://maps.google.com/?q=16.84599,-96.010546000000005" TargetMode="External"/><Relationship Id="rId12246" Type="http://schemas.openxmlformats.org/officeDocument/2006/relationships/hyperlink" Target="https://maps.google.com/?q=16.4231766734574,-97.228706535992799" TargetMode="External"/><Relationship Id="rId624" Type="http://schemas.openxmlformats.org/officeDocument/2006/relationships/hyperlink" Target="https://maps.google.com/?q=16.054752,-97.397278" TargetMode="External"/><Relationship Id="rId1254" Type="http://schemas.openxmlformats.org/officeDocument/2006/relationships/hyperlink" Target="https://maps.google.com/?q=17.056332918,-96.7461488" TargetMode="External"/><Relationship Id="rId2305" Type="http://schemas.openxmlformats.org/officeDocument/2006/relationships/hyperlink" Target="https://maps.google.com/?q=18.1053024851724,-96.879774851201503" TargetMode="External"/><Relationship Id="rId5875" Type="http://schemas.openxmlformats.org/officeDocument/2006/relationships/hyperlink" Target="https://maps.google.com/?q=18.143912085003464,-96.562633295171352" TargetMode="External"/><Relationship Id="rId6926" Type="http://schemas.openxmlformats.org/officeDocument/2006/relationships/hyperlink" Target="https://maps.google.com/?q=16.31495398,-95.262884999999997" TargetMode="External"/><Relationship Id="rId4477" Type="http://schemas.openxmlformats.org/officeDocument/2006/relationships/hyperlink" Target="https://maps.google.com/?q=17.1697432840336,-97.308296417161898" TargetMode="External"/><Relationship Id="rId5528" Type="http://schemas.openxmlformats.org/officeDocument/2006/relationships/hyperlink" Target="https://maps.google.com/?q=17.2837028478621,-97.375332037047798" TargetMode="External"/><Relationship Id="rId3079" Type="http://schemas.openxmlformats.org/officeDocument/2006/relationships/hyperlink" Target="https://maps.google.com/?q=16.9648637719944,-96.937517194126499" TargetMode="External"/><Relationship Id="rId8001" Type="http://schemas.openxmlformats.org/officeDocument/2006/relationships/hyperlink" Target="https://maps.google.com/?q=18.1638190663164,-96.878611083491805" TargetMode="External"/><Relationship Id="rId481" Type="http://schemas.openxmlformats.org/officeDocument/2006/relationships/hyperlink" Target="https://maps.google.com/?q=16.055127,-97.407696000000001" TargetMode="External"/><Relationship Id="rId2162" Type="http://schemas.openxmlformats.org/officeDocument/2006/relationships/hyperlink" Target="https://maps.google.com/?q=15.759485314938383,-96.146159452508698" TargetMode="External"/><Relationship Id="rId3560" Type="http://schemas.openxmlformats.org/officeDocument/2006/relationships/hyperlink" Target="https://maps.google.com/?q=15.762097115766958,-96.146300120380317" TargetMode="External"/><Relationship Id="rId4611" Type="http://schemas.openxmlformats.org/officeDocument/2006/relationships/hyperlink" Target="https://maps.google.com/?q=16.558574,-96.818833999999995" TargetMode="External"/><Relationship Id="rId13154" Type="http://schemas.openxmlformats.org/officeDocument/2006/relationships/hyperlink" Target="https://maps.google.com/?q=16.5641581554961,-97.010268673610696" TargetMode="External"/><Relationship Id="rId134" Type="http://schemas.openxmlformats.org/officeDocument/2006/relationships/hyperlink" Target="https://maps.google.com/?q=17.09193,-97.498749000000004" TargetMode="External"/><Relationship Id="rId3213" Type="http://schemas.openxmlformats.org/officeDocument/2006/relationships/hyperlink" Target="https://maps.google.com/?q=17.8005270028019,-96.0034537754631" TargetMode="External"/><Relationship Id="rId6783" Type="http://schemas.openxmlformats.org/officeDocument/2006/relationships/hyperlink" Target="https://maps.google.com/?q=16.6378265047974,-97.0393686853145" TargetMode="External"/><Relationship Id="rId7834" Type="http://schemas.openxmlformats.org/officeDocument/2006/relationships/hyperlink" Target="https://maps.google.com/?q=16.8514427191262,-95.093295341105105" TargetMode="External"/><Relationship Id="rId10815" Type="http://schemas.openxmlformats.org/officeDocument/2006/relationships/hyperlink" Target="https://maps.google.com/?q=16.4006763720111,-94.461873720237705" TargetMode="External"/><Relationship Id="rId5385" Type="http://schemas.openxmlformats.org/officeDocument/2006/relationships/hyperlink" Target="https://maps.google.com/?q=15.9767731411176,-97.242144682209002" TargetMode="External"/><Relationship Id="rId6436" Type="http://schemas.openxmlformats.org/officeDocument/2006/relationships/hyperlink" Target="https://maps.google.com/?q=17.34508103,-97.558734279999996" TargetMode="External"/><Relationship Id="rId1995" Type="http://schemas.openxmlformats.org/officeDocument/2006/relationships/hyperlink" Target="https://maps.google.com/?q=15.756364708611724,-96.146473512575383" TargetMode="External"/><Relationship Id="rId5038" Type="http://schemas.openxmlformats.org/officeDocument/2006/relationships/hyperlink" Target="https://maps.google.com/?q=17.251508,-96.152607000000003" TargetMode="External"/><Relationship Id="rId9659" Type="http://schemas.openxmlformats.org/officeDocument/2006/relationships/hyperlink" Target="https://maps.google.com/?q=16.3177088158449,-96.585051306711307" TargetMode="External"/><Relationship Id="rId11589" Type="http://schemas.openxmlformats.org/officeDocument/2006/relationships/hyperlink" Target="https://maps.google.com/?q=16.8339008319338,-96.723175606835497" TargetMode="External"/><Relationship Id="rId12987" Type="http://schemas.openxmlformats.org/officeDocument/2006/relationships/hyperlink" Target="https://maps.google.com/?q=16.5013814,-97.555182200000004" TargetMode="External"/><Relationship Id="rId1648" Type="http://schemas.openxmlformats.org/officeDocument/2006/relationships/hyperlink" Target="https://maps.google.com/?q=16.8934520940457,-96.937676070113795" TargetMode="External"/><Relationship Id="rId14062" Type="http://schemas.openxmlformats.org/officeDocument/2006/relationships/hyperlink" Target="https://maps.google.com/?q=17.58880075114771,-96.55260476005816" TargetMode="External"/><Relationship Id="rId3070" Type="http://schemas.openxmlformats.org/officeDocument/2006/relationships/hyperlink" Target="https://maps.google.com/?q=16.9639431751512,-96.941748368053496" TargetMode="External"/><Relationship Id="rId4121" Type="http://schemas.openxmlformats.org/officeDocument/2006/relationships/hyperlink" Target="https://maps.google.com/?q=17.0587419,-96.743148000000005" TargetMode="External"/><Relationship Id="rId6293" Type="http://schemas.openxmlformats.org/officeDocument/2006/relationships/hyperlink" Target="https://maps.google.com/?q=18.055399,-96.393370000000004" TargetMode="External"/><Relationship Id="rId7691" Type="http://schemas.openxmlformats.org/officeDocument/2006/relationships/hyperlink" Target="https://maps.google.com/?q=17.2060277905296,-97.521855262209698" TargetMode="External"/><Relationship Id="rId8742" Type="http://schemas.openxmlformats.org/officeDocument/2006/relationships/hyperlink" Target="https://maps.google.com/?q=18.0609030504456,-96.126338544232297" TargetMode="External"/><Relationship Id="rId10672" Type="http://schemas.openxmlformats.org/officeDocument/2006/relationships/hyperlink" Target="https://maps.google.com/?q=15.7035050635356,-96.265446434532095" TargetMode="External"/><Relationship Id="rId11723" Type="http://schemas.openxmlformats.org/officeDocument/2006/relationships/hyperlink" Target="https://maps.google.com/?q=17.18568802,-97.712591790000005" TargetMode="External"/><Relationship Id="rId7344" Type="http://schemas.openxmlformats.org/officeDocument/2006/relationships/hyperlink" Target="https://maps.google.com/?q=16.549852,-97.680763999999996" TargetMode="External"/><Relationship Id="rId10325" Type="http://schemas.openxmlformats.org/officeDocument/2006/relationships/hyperlink" Target="https://maps.google.com/?q=16.22844977,-97.267623349999994" TargetMode="External"/><Relationship Id="rId13895" Type="http://schemas.openxmlformats.org/officeDocument/2006/relationships/hyperlink" Target="https://maps.google.com/?q=17.3287188828326,-98.020973579360898" TargetMode="External"/><Relationship Id="rId3954" Type="http://schemas.openxmlformats.org/officeDocument/2006/relationships/hyperlink" Target="https://maps.google.com/?q=17.06115,-96.755579999999995" TargetMode="External"/><Relationship Id="rId12497" Type="http://schemas.openxmlformats.org/officeDocument/2006/relationships/hyperlink" Target="https://maps.google.com/?q=17.2233804159423,-97.274251605733596" TargetMode="External"/><Relationship Id="rId13548" Type="http://schemas.openxmlformats.org/officeDocument/2006/relationships/hyperlink" Target="https://maps.google.com/?q=16.828776037016205,-96.67193405389786" TargetMode="External"/><Relationship Id="rId875" Type="http://schemas.openxmlformats.org/officeDocument/2006/relationships/hyperlink" Target="https://maps.google.com/?q=17.09539,-97.497460000000004" TargetMode="External"/><Relationship Id="rId2556" Type="http://schemas.openxmlformats.org/officeDocument/2006/relationships/hyperlink" Target="https://maps.google.com/?q=17.9110052259911,-98.012204504298893" TargetMode="External"/><Relationship Id="rId3607" Type="http://schemas.openxmlformats.org/officeDocument/2006/relationships/hyperlink" Target="https://maps.google.com/?q=15.77671199035803,-96.136890630801432" TargetMode="External"/><Relationship Id="rId9169" Type="http://schemas.openxmlformats.org/officeDocument/2006/relationships/hyperlink" Target="https://maps.google.com/?q=17.0042972463129,-96.964273518093094" TargetMode="External"/><Relationship Id="rId11099" Type="http://schemas.openxmlformats.org/officeDocument/2006/relationships/hyperlink" Target="https://maps.google.com/?q=17.254821,-96.151936" TargetMode="External"/><Relationship Id="rId528" Type="http://schemas.openxmlformats.org/officeDocument/2006/relationships/hyperlink" Target="https://maps.google.com/?q=16.055035,-97.407435000000007" TargetMode="External"/><Relationship Id="rId1158" Type="http://schemas.openxmlformats.org/officeDocument/2006/relationships/hyperlink" Target="https://maps.google.com/?q=17.016338,-96.718331" TargetMode="External"/><Relationship Id="rId2209" Type="http://schemas.openxmlformats.org/officeDocument/2006/relationships/hyperlink" Target="https://maps.google.com/?q=16.9861722286614,-97.231866417473398" TargetMode="External"/><Relationship Id="rId5779" Type="http://schemas.openxmlformats.org/officeDocument/2006/relationships/hyperlink" Target="https://maps.google.com/?q=17.0004643812391,-97.231656201221696" TargetMode="External"/><Relationship Id="rId9650" Type="http://schemas.openxmlformats.org/officeDocument/2006/relationships/hyperlink" Target="https://maps.google.com/?q=16.3135087643133,-96.578761772981693" TargetMode="External"/><Relationship Id="rId8252" Type="http://schemas.openxmlformats.org/officeDocument/2006/relationships/hyperlink" Target="https://maps.google.com/?q=16.427595,-97.646983000000006" TargetMode="External"/><Relationship Id="rId9303" Type="http://schemas.openxmlformats.org/officeDocument/2006/relationships/hyperlink" Target="https://maps.google.com/?q=16.814453750147,-95.135196311098994" TargetMode="External"/><Relationship Id="rId11580" Type="http://schemas.openxmlformats.org/officeDocument/2006/relationships/hyperlink" Target="https://maps.google.com/?q=16.850961358815,-96.751300422701803" TargetMode="External"/><Relationship Id="rId12631" Type="http://schemas.openxmlformats.org/officeDocument/2006/relationships/hyperlink" Target="https://maps.google.com/?q=17.116008,-96.847648000000007" TargetMode="External"/><Relationship Id="rId10182" Type="http://schemas.openxmlformats.org/officeDocument/2006/relationships/hyperlink" Target="https://maps.google.com/?q=17.24067413215537,-97.39570478489894" TargetMode="External"/><Relationship Id="rId11233" Type="http://schemas.openxmlformats.org/officeDocument/2006/relationships/hyperlink" Target="https://maps.google.com/?q=17.1205194493341,-97.495226556627102" TargetMode="External"/><Relationship Id="rId4862" Type="http://schemas.openxmlformats.org/officeDocument/2006/relationships/hyperlink" Target="https://maps.google.com/?q=16.7903220286888,-96.387448577735995" TargetMode="External"/><Relationship Id="rId5913" Type="http://schemas.openxmlformats.org/officeDocument/2006/relationships/hyperlink" Target="https://maps.google.com/?q=18.146919453029142,-96.566158172226835" TargetMode="External"/><Relationship Id="rId3464" Type="http://schemas.openxmlformats.org/officeDocument/2006/relationships/hyperlink" Target="https://maps.google.com/?q=16.4058271184228,-96.962226801258296" TargetMode="External"/><Relationship Id="rId4515" Type="http://schemas.openxmlformats.org/officeDocument/2006/relationships/hyperlink" Target="https://maps.google.com/?q=17.1803203896143,-97.305381407835696" TargetMode="External"/><Relationship Id="rId13058" Type="http://schemas.openxmlformats.org/officeDocument/2006/relationships/hyperlink" Target="https://maps.google.com/?q=16.5627561,-97.529949999999999" TargetMode="External"/><Relationship Id="rId14109" Type="http://schemas.openxmlformats.org/officeDocument/2006/relationships/hyperlink" Target="https://maps.google.com/?q=16.85871081,-95.5303994" TargetMode="External"/><Relationship Id="rId385" Type="http://schemas.openxmlformats.org/officeDocument/2006/relationships/hyperlink" Target="https://maps.google.com/?q=16.88479,-97.677760000000006" TargetMode="External"/><Relationship Id="rId2066" Type="http://schemas.openxmlformats.org/officeDocument/2006/relationships/hyperlink" Target="https://maps.google.com/?q=15.771128396407276,-96.234419697304276" TargetMode="External"/><Relationship Id="rId3117" Type="http://schemas.openxmlformats.org/officeDocument/2006/relationships/hyperlink" Target="https://maps.google.com/?q=16.581843,-97.439232000000004" TargetMode="External"/><Relationship Id="rId6687" Type="http://schemas.openxmlformats.org/officeDocument/2006/relationships/hyperlink" Target="https://maps.google.com/?q=16.9380477757648,-96.9781559344408" TargetMode="External"/><Relationship Id="rId7738" Type="http://schemas.openxmlformats.org/officeDocument/2006/relationships/hyperlink" Target="https://maps.google.com/?q=16.6313169612367,-96.798123351626103" TargetMode="External"/><Relationship Id="rId5289" Type="http://schemas.openxmlformats.org/officeDocument/2006/relationships/hyperlink" Target="https://maps.google.com/?q=15.8309189140794,-96.471748818306494" TargetMode="External"/><Relationship Id="rId9160" Type="http://schemas.openxmlformats.org/officeDocument/2006/relationships/hyperlink" Target="https://maps.google.com/?q=17.0026377160454,-96.965726312055196" TargetMode="External"/><Relationship Id="rId10719" Type="http://schemas.openxmlformats.org/officeDocument/2006/relationships/hyperlink" Target="https://maps.google.com/?q=17.501442,-98.142583999999999" TargetMode="External"/><Relationship Id="rId11090" Type="http://schemas.openxmlformats.org/officeDocument/2006/relationships/hyperlink" Target="https://maps.google.com/?q=17.254413,-96.155579" TargetMode="External"/><Relationship Id="rId12141" Type="http://schemas.openxmlformats.org/officeDocument/2006/relationships/hyperlink" Target="https://maps.google.com/?q=16.2861730308961,-97.673783973858505" TargetMode="External"/><Relationship Id="rId2200" Type="http://schemas.openxmlformats.org/officeDocument/2006/relationships/hyperlink" Target="https://maps.google.com/?q=16.9682653838693,-97.225785683886301" TargetMode="External"/><Relationship Id="rId1899" Type="http://schemas.openxmlformats.org/officeDocument/2006/relationships/hyperlink" Target="https://maps.google.com/?q=15.776534540862151,-96.13644546382325" TargetMode="External"/><Relationship Id="rId4372" Type="http://schemas.openxmlformats.org/officeDocument/2006/relationships/hyperlink" Target="https://maps.google.com/?q=15.96597399,-96.633173659999997" TargetMode="External"/><Relationship Id="rId5770" Type="http://schemas.openxmlformats.org/officeDocument/2006/relationships/hyperlink" Target="https://maps.google.com/?q=16.999135,-97.234187000000006" TargetMode="External"/><Relationship Id="rId6821" Type="http://schemas.openxmlformats.org/officeDocument/2006/relationships/hyperlink" Target="https://maps.google.com/?q=16.0623402100978,-97.170649215691299" TargetMode="External"/><Relationship Id="rId4025" Type="http://schemas.openxmlformats.org/officeDocument/2006/relationships/hyperlink" Target="https://maps.google.com/?q=17.020021533143613,-96.718138934852632" TargetMode="External"/><Relationship Id="rId5423" Type="http://schemas.openxmlformats.org/officeDocument/2006/relationships/hyperlink" Target="https://maps.google.com/?q=16.1006232129893,-97.700677031911795" TargetMode="External"/><Relationship Id="rId8993" Type="http://schemas.openxmlformats.org/officeDocument/2006/relationships/hyperlink" Target="https://maps.google.com/?q=17.382101423,-96.164116677999999" TargetMode="External"/><Relationship Id="rId11974" Type="http://schemas.openxmlformats.org/officeDocument/2006/relationships/hyperlink" Target="https://maps.google.com/?q=16.7998240543709,-96.725531522625403" TargetMode="External"/><Relationship Id="rId7595" Type="http://schemas.openxmlformats.org/officeDocument/2006/relationships/hyperlink" Target="https://maps.google.com/?q=17.0944244563971,-95.855309415582497" TargetMode="External"/><Relationship Id="rId8646" Type="http://schemas.openxmlformats.org/officeDocument/2006/relationships/hyperlink" Target="https://maps.google.com/?q=16.2742671946498,-94.532194851469598" TargetMode="External"/><Relationship Id="rId10576" Type="http://schemas.openxmlformats.org/officeDocument/2006/relationships/hyperlink" Target="https://maps.google.com/?q=17.0965191300532,-97.770079314155495" TargetMode="External"/><Relationship Id="rId11627" Type="http://schemas.openxmlformats.org/officeDocument/2006/relationships/hyperlink" Target="https://maps.google.com/?q=16.8387989878603,-96.728218550926201" TargetMode="External"/><Relationship Id="rId6197" Type="http://schemas.openxmlformats.org/officeDocument/2006/relationships/hyperlink" Target="https://maps.google.com/?q=16.09339,-97.083899000000002" TargetMode="External"/><Relationship Id="rId7248" Type="http://schemas.openxmlformats.org/officeDocument/2006/relationships/hyperlink" Target="https://maps.google.com/?q=16.0971229543193,-97.923531263442896" TargetMode="External"/><Relationship Id="rId10229" Type="http://schemas.openxmlformats.org/officeDocument/2006/relationships/hyperlink" Target="https://maps.google.com/?q=17.1889684533014,-97.398831341977001" TargetMode="External"/><Relationship Id="rId13799" Type="http://schemas.openxmlformats.org/officeDocument/2006/relationships/hyperlink" Target="https://maps.google.com/?q=17.130649,-97.749184" TargetMode="External"/><Relationship Id="rId14100" Type="http://schemas.openxmlformats.org/officeDocument/2006/relationships/hyperlink" Target="https://maps.google.com/?q=17.8658371,-98.28569304" TargetMode="External"/><Relationship Id="rId3858" Type="http://schemas.openxmlformats.org/officeDocument/2006/relationships/hyperlink" Target="https://maps.google.com/?q=17.0929403483974,-95.922630804893501" TargetMode="External"/><Relationship Id="rId4909" Type="http://schemas.openxmlformats.org/officeDocument/2006/relationships/hyperlink" Target="https://maps.google.com/?q=18.03159,-96.666118999999995" TargetMode="External"/><Relationship Id="rId779" Type="http://schemas.openxmlformats.org/officeDocument/2006/relationships/hyperlink" Target="https://maps.google.com/?q=15.689765768552878,-96.51562899253129" TargetMode="External"/><Relationship Id="rId5280" Type="http://schemas.openxmlformats.org/officeDocument/2006/relationships/hyperlink" Target="https://maps.google.com/?q=15.828677923245,-96.471448158177395" TargetMode="External"/><Relationship Id="rId6331" Type="http://schemas.openxmlformats.org/officeDocument/2006/relationships/hyperlink" Target="https://maps.google.com/?q=18.05998,-96.402362999999994" TargetMode="External"/><Relationship Id="rId10710" Type="http://schemas.openxmlformats.org/officeDocument/2006/relationships/hyperlink" Target="https://maps.google.com/?q=17.027131,-96.077044000000001" TargetMode="External"/><Relationship Id="rId12882" Type="http://schemas.openxmlformats.org/officeDocument/2006/relationships/hyperlink" Target="https://maps.google.com/?q=16.516003,-97.470766999999995" TargetMode="External"/><Relationship Id="rId13933" Type="http://schemas.openxmlformats.org/officeDocument/2006/relationships/hyperlink" Target="https://maps.google.com/?q=16.96789191236718,-97.2246262956517" TargetMode="External"/><Relationship Id="rId1890" Type="http://schemas.openxmlformats.org/officeDocument/2006/relationships/hyperlink" Target="https://maps.google.com/?q=15.776208439553974,-96.137056247485731" TargetMode="External"/><Relationship Id="rId2941" Type="http://schemas.openxmlformats.org/officeDocument/2006/relationships/hyperlink" Target="https://maps.google.com/?q=17.08100481,-96.668608230000004" TargetMode="External"/><Relationship Id="rId8156" Type="http://schemas.openxmlformats.org/officeDocument/2006/relationships/hyperlink" Target="https://maps.google.com/?q=17.356915,-96.302797999999996" TargetMode="External"/><Relationship Id="rId9207" Type="http://schemas.openxmlformats.org/officeDocument/2006/relationships/hyperlink" Target="https://maps.google.com/?q=17.3748395327435,-96.301709356601094" TargetMode="External"/><Relationship Id="rId9554" Type="http://schemas.openxmlformats.org/officeDocument/2006/relationships/hyperlink" Target="https://maps.google.com/?q=17.357806,-96.295370000000005" TargetMode="External"/><Relationship Id="rId11484" Type="http://schemas.openxmlformats.org/officeDocument/2006/relationships/hyperlink" Target="https://maps.google.com/?q=16.3043816198622,-96.651347622337298" TargetMode="External"/><Relationship Id="rId12535" Type="http://schemas.openxmlformats.org/officeDocument/2006/relationships/hyperlink" Target="https://maps.google.com/?q=16.9679152540175,-97.912613499160997" TargetMode="External"/><Relationship Id="rId913" Type="http://schemas.openxmlformats.org/officeDocument/2006/relationships/hyperlink" Target="https://maps.google.com/?q=16.88453,-97.676749999999998" TargetMode="External"/><Relationship Id="rId1543" Type="http://schemas.openxmlformats.org/officeDocument/2006/relationships/hyperlink" Target="https://maps.google.com/?q=17.062461,-96.757001000000002" TargetMode="External"/><Relationship Id="rId10086" Type="http://schemas.openxmlformats.org/officeDocument/2006/relationships/hyperlink" Target="https://maps.google.com/?q=16.995112336322,-96.112454179447695" TargetMode="External"/><Relationship Id="rId11137" Type="http://schemas.openxmlformats.org/officeDocument/2006/relationships/hyperlink" Target="https://maps.google.com/?q=16.835538,-96.008309999999994" TargetMode="External"/><Relationship Id="rId4766" Type="http://schemas.openxmlformats.org/officeDocument/2006/relationships/hyperlink" Target="https://maps.google.com/?q=17.9566842306199,-96.656615974418003" TargetMode="External"/><Relationship Id="rId5817" Type="http://schemas.openxmlformats.org/officeDocument/2006/relationships/hyperlink" Target="https://maps.google.com/?q=16.0188017614536,-97.431615759405602" TargetMode="External"/><Relationship Id="rId3368" Type="http://schemas.openxmlformats.org/officeDocument/2006/relationships/hyperlink" Target="https://maps.google.com/?q=17.0680577533618,-97.78816134246814" TargetMode="External"/><Relationship Id="rId4419" Type="http://schemas.openxmlformats.org/officeDocument/2006/relationships/hyperlink" Target="https://maps.google.com/?q=16.00731087,-96.683151550000005" TargetMode="External"/><Relationship Id="rId7989" Type="http://schemas.openxmlformats.org/officeDocument/2006/relationships/hyperlink" Target="https://maps.google.com/?q=18.1632314837601,-96.879324595750603" TargetMode="External"/><Relationship Id="rId10220" Type="http://schemas.openxmlformats.org/officeDocument/2006/relationships/hyperlink" Target="https://maps.google.com/?q=17.291112340298806,-97.35505335257851" TargetMode="External"/><Relationship Id="rId289" Type="http://schemas.openxmlformats.org/officeDocument/2006/relationships/hyperlink" Target="https://maps.google.com/?q=16.88566,-97.678179999999998" TargetMode="External"/><Relationship Id="rId12392" Type="http://schemas.openxmlformats.org/officeDocument/2006/relationships/hyperlink" Target="https://maps.google.com/?q=16.5542267129237,-96.818681169311404" TargetMode="External"/><Relationship Id="rId13790" Type="http://schemas.openxmlformats.org/officeDocument/2006/relationships/hyperlink" Target="https://maps.google.com/?q=17.129727,-97.748671999999999" TargetMode="External"/><Relationship Id="rId770" Type="http://schemas.openxmlformats.org/officeDocument/2006/relationships/hyperlink" Target="https://maps.google.com/?q=15.686461507625253,-96.511951527511016" TargetMode="External"/><Relationship Id="rId2451" Type="http://schemas.openxmlformats.org/officeDocument/2006/relationships/hyperlink" Target="https://maps.google.com/?q=17.0514456,-96.624563890000005" TargetMode="External"/><Relationship Id="rId4900" Type="http://schemas.openxmlformats.org/officeDocument/2006/relationships/hyperlink" Target="https://maps.google.com/?q=18.0301872613853,-96.666625271162303" TargetMode="External"/><Relationship Id="rId9064" Type="http://schemas.openxmlformats.org/officeDocument/2006/relationships/hyperlink" Target="https://maps.google.com/?q=16.056326,-95.488732999999996" TargetMode="External"/><Relationship Id="rId12045" Type="http://schemas.openxmlformats.org/officeDocument/2006/relationships/hyperlink" Target="https://maps.google.com/?q=16.807781,-96.717696000000004" TargetMode="External"/><Relationship Id="rId13443" Type="http://schemas.openxmlformats.org/officeDocument/2006/relationships/hyperlink" Target="https://maps.google.com/?q=17.6847615930335,-97.032033811816802" TargetMode="External"/><Relationship Id="rId423" Type="http://schemas.openxmlformats.org/officeDocument/2006/relationships/hyperlink" Target="https://maps.google.com/?q=16.053029,-97.412347999999994" TargetMode="External"/><Relationship Id="rId1053" Type="http://schemas.openxmlformats.org/officeDocument/2006/relationships/hyperlink" Target="https://maps.google.com/?q=15.709789498491835,-96.528063005899128" TargetMode="External"/><Relationship Id="rId2104" Type="http://schemas.openxmlformats.org/officeDocument/2006/relationships/hyperlink" Target="https://maps.google.com/?q=15.765327,-96.149491" TargetMode="External"/><Relationship Id="rId3502" Type="http://schemas.openxmlformats.org/officeDocument/2006/relationships/hyperlink" Target="https://maps.google.com/?q=15.770577366285025,-96.152513888259065" TargetMode="External"/><Relationship Id="rId5674" Type="http://schemas.openxmlformats.org/officeDocument/2006/relationships/hyperlink" Target="https://maps.google.com/?q=16.432552,-97.897970999999998" TargetMode="External"/><Relationship Id="rId6725" Type="http://schemas.openxmlformats.org/officeDocument/2006/relationships/hyperlink" Target="https://maps.google.com/?q=17.0359337430177,-96.984367639997998" TargetMode="External"/><Relationship Id="rId4276" Type="http://schemas.openxmlformats.org/officeDocument/2006/relationships/hyperlink" Target="https://maps.google.com/?q=16.05887149,-96.605662330000001" TargetMode="External"/><Relationship Id="rId5327" Type="http://schemas.openxmlformats.org/officeDocument/2006/relationships/hyperlink" Target="https://maps.google.com/?q=15.8075501354821,-96.359808838124096" TargetMode="External"/><Relationship Id="rId8897" Type="http://schemas.openxmlformats.org/officeDocument/2006/relationships/hyperlink" Target="https://maps.google.com/?q=17.37996156,-96.162063778999993" TargetMode="External"/><Relationship Id="rId9948" Type="http://schemas.openxmlformats.org/officeDocument/2006/relationships/hyperlink" Target="https://maps.google.com/?q=16.709403,-96.710016999999993" TargetMode="External"/><Relationship Id="rId11878" Type="http://schemas.openxmlformats.org/officeDocument/2006/relationships/hyperlink" Target="https://maps.google.com/?q=16.60284097440484,-95.62477067112923" TargetMode="External"/><Relationship Id="rId1937" Type="http://schemas.openxmlformats.org/officeDocument/2006/relationships/hyperlink" Target="https://maps.google.com/?q=15.777382364760527,-96.13704908952937" TargetMode="External"/><Relationship Id="rId7499" Type="http://schemas.openxmlformats.org/officeDocument/2006/relationships/hyperlink" Target="https://maps.google.com/?q=17.34326011,-97.376284560000002" TargetMode="External"/><Relationship Id="rId12929" Type="http://schemas.openxmlformats.org/officeDocument/2006/relationships/hyperlink" Target="https://maps.google.com/?q=16.558818,-97.410709999999995" TargetMode="External"/><Relationship Id="rId4410" Type="http://schemas.openxmlformats.org/officeDocument/2006/relationships/hyperlink" Target="https://maps.google.com/?q=16.00433616,-96.681282940000003" TargetMode="External"/><Relationship Id="rId14004" Type="http://schemas.openxmlformats.org/officeDocument/2006/relationships/hyperlink" Target="https://maps.google.com/?q=17.267449,-97.680485000000004" TargetMode="External"/><Relationship Id="rId280" Type="http://schemas.openxmlformats.org/officeDocument/2006/relationships/hyperlink" Target="https://maps.google.com/?q=16.88358,-97.677269999999993" TargetMode="External"/><Relationship Id="rId3012" Type="http://schemas.openxmlformats.org/officeDocument/2006/relationships/hyperlink" Target="https://maps.google.com/?q=16.9384023,-97.008589999999998" TargetMode="External"/><Relationship Id="rId6582" Type="http://schemas.openxmlformats.org/officeDocument/2006/relationships/hyperlink" Target="https://maps.google.com/?q=17.258555,-97.686502" TargetMode="External"/><Relationship Id="rId7980" Type="http://schemas.openxmlformats.org/officeDocument/2006/relationships/hyperlink" Target="https://maps.google.com/?q=18.162993915381,-96.873106919019705" TargetMode="External"/><Relationship Id="rId10961" Type="http://schemas.openxmlformats.org/officeDocument/2006/relationships/hyperlink" Target="https://maps.google.com/?q=16.2076494425365,-95.223806427791004" TargetMode="External"/><Relationship Id="rId5184" Type="http://schemas.openxmlformats.org/officeDocument/2006/relationships/hyperlink" Target="https://maps.google.com/?q=17.315519,-95.965762999999995" TargetMode="External"/><Relationship Id="rId6235" Type="http://schemas.openxmlformats.org/officeDocument/2006/relationships/hyperlink" Target="https://maps.google.com/?q=17.0109852228403,-97.268709288013596" TargetMode="External"/><Relationship Id="rId7633" Type="http://schemas.openxmlformats.org/officeDocument/2006/relationships/hyperlink" Target="https://maps.google.com/?q=17.2308424090365,-95.050253543992696" TargetMode="External"/><Relationship Id="rId10614" Type="http://schemas.openxmlformats.org/officeDocument/2006/relationships/hyperlink" Target="https://maps.google.com/?q=17.1333589067151,-97.753645452604701" TargetMode="External"/><Relationship Id="rId12786" Type="http://schemas.openxmlformats.org/officeDocument/2006/relationships/hyperlink" Target="https://maps.google.com/?q=16.233513,-97.291972999999999" TargetMode="External"/><Relationship Id="rId13837" Type="http://schemas.openxmlformats.org/officeDocument/2006/relationships/hyperlink" Target="https://maps.google.com/?q=17.091134,-97.784486000000001" TargetMode="External"/><Relationship Id="rId1794" Type="http://schemas.openxmlformats.org/officeDocument/2006/relationships/hyperlink" Target="https://maps.google.com/?q=18.0674664080032,-96.900568066539293" TargetMode="External"/><Relationship Id="rId2845" Type="http://schemas.openxmlformats.org/officeDocument/2006/relationships/hyperlink" Target="https://maps.google.com/?q=16.9617294947302,-97.730004290522103" TargetMode="External"/><Relationship Id="rId9458" Type="http://schemas.openxmlformats.org/officeDocument/2006/relationships/hyperlink" Target="https://maps.google.com/?q=15.8316900292443,-96.667113758599797" TargetMode="External"/><Relationship Id="rId11388" Type="http://schemas.openxmlformats.org/officeDocument/2006/relationships/hyperlink" Target="https://maps.google.com/?q=17.346279837497,-97.55939183680536" TargetMode="External"/><Relationship Id="rId12439" Type="http://schemas.openxmlformats.org/officeDocument/2006/relationships/hyperlink" Target="https://maps.google.com/?q=17.220614280454,-97.270476546347794" TargetMode="External"/><Relationship Id="rId817" Type="http://schemas.openxmlformats.org/officeDocument/2006/relationships/hyperlink" Target="https://maps.google.com/?q=15.697240831238522,-96.523795055873308" TargetMode="External"/><Relationship Id="rId1447" Type="http://schemas.openxmlformats.org/officeDocument/2006/relationships/hyperlink" Target="https://maps.google.com/?q=18.111112,-96.62336100" TargetMode="External"/><Relationship Id="rId7490" Type="http://schemas.openxmlformats.org/officeDocument/2006/relationships/hyperlink" Target="https://maps.google.com/?q=17.34155532,-97.37209335" TargetMode="External"/><Relationship Id="rId8541" Type="http://schemas.openxmlformats.org/officeDocument/2006/relationships/hyperlink" Target="https://maps.google.com/?q=16.9183707474725,-96.611734425760304" TargetMode="External"/><Relationship Id="rId12920" Type="http://schemas.openxmlformats.org/officeDocument/2006/relationships/hyperlink" Target="https://maps.google.com/?q=16.538328,-97.530105000000006" TargetMode="External"/><Relationship Id="rId6092" Type="http://schemas.openxmlformats.org/officeDocument/2006/relationships/hyperlink" Target="https://maps.google.com/?q=17.974618,-96.706181999999998" TargetMode="External"/><Relationship Id="rId7143" Type="http://schemas.openxmlformats.org/officeDocument/2006/relationships/hyperlink" Target="https://maps.google.com/?q=17.3628482956453,-97.665982866381597" TargetMode="External"/><Relationship Id="rId10124" Type="http://schemas.openxmlformats.org/officeDocument/2006/relationships/hyperlink" Target="https://maps.google.com/?q=17.1202208029596,-97.514248156380603" TargetMode="External"/><Relationship Id="rId10471" Type="http://schemas.openxmlformats.org/officeDocument/2006/relationships/hyperlink" Target="https://maps.google.com/?q=16.6660901160812,-97.25564768948" TargetMode="External"/><Relationship Id="rId11522" Type="http://schemas.openxmlformats.org/officeDocument/2006/relationships/hyperlink" Target="https://maps.google.com/?q=16.6138209406442,-96.854335468521498" TargetMode="External"/><Relationship Id="rId13694" Type="http://schemas.openxmlformats.org/officeDocument/2006/relationships/hyperlink" Target="https://maps.google.com/?q=17.35995,-96.25017" TargetMode="External"/><Relationship Id="rId3753" Type="http://schemas.openxmlformats.org/officeDocument/2006/relationships/hyperlink" Target="https://maps.google.com/?q=15.761799,-96.142854" TargetMode="External"/><Relationship Id="rId4804" Type="http://schemas.openxmlformats.org/officeDocument/2006/relationships/hyperlink" Target="https://maps.google.com/?q=16.899105115423,-96.4999624244778" TargetMode="External"/><Relationship Id="rId12296" Type="http://schemas.openxmlformats.org/officeDocument/2006/relationships/hyperlink" Target="https://maps.google.com/?q=16.4854414005361,-94.356274187202999" TargetMode="External"/><Relationship Id="rId13347" Type="http://schemas.openxmlformats.org/officeDocument/2006/relationships/hyperlink" Target="https://maps.google.com/?q=16.3164664996543,-96.669402334987595" TargetMode="External"/><Relationship Id="rId674" Type="http://schemas.openxmlformats.org/officeDocument/2006/relationships/hyperlink" Target="https://maps.google.com/?q=16.061629,-97.383989" TargetMode="External"/><Relationship Id="rId2355" Type="http://schemas.openxmlformats.org/officeDocument/2006/relationships/hyperlink" Target="https://maps.google.com/?q=17.062117,-97.695582000000002" TargetMode="External"/><Relationship Id="rId3406" Type="http://schemas.openxmlformats.org/officeDocument/2006/relationships/hyperlink" Target="https://maps.google.com/?q=18.0076818421641,-96.642938245368995" TargetMode="External"/><Relationship Id="rId6976" Type="http://schemas.openxmlformats.org/officeDocument/2006/relationships/hyperlink" Target="https://maps.google.com/?q=17.09175,-97.494389999999996" TargetMode="External"/><Relationship Id="rId327" Type="http://schemas.openxmlformats.org/officeDocument/2006/relationships/hyperlink" Target="https://maps.google.com/?q=16.05472,-97.396662000000006" TargetMode="External"/><Relationship Id="rId2008" Type="http://schemas.openxmlformats.org/officeDocument/2006/relationships/hyperlink" Target="https://maps.google.com/?q=15.757720719992061,-96.140383717784914" TargetMode="External"/><Relationship Id="rId5578" Type="http://schemas.openxmlformats.org/officeDocument/2006/relationships/hyperlink" Target="https://maps.google.com/?q=17.444130320449,-96.182738446686997" TargetMode="External"/><Relationship Id="rId6629" Type="http://schemas.openxmlformats.org/officeDocument/2006/relationships/hyperlink" Target="https://maps.google.com/?q=17.885916,-96.750127" TargetMode="External"/><Relationship Id="rId12430" Type="http://schemas.openxmlformats.org/officeDocument/2006/relationships/hyperlink" Target="https://maps.google.com/?q=17.2203146710462,-97.271355586061702" TargetMode="External"/><Relationship Id="rId8051" Type="http://schemas.openxmlformats.org/officeDocument/2006/relationships/hyperlink" Target="https://maps.google.com/?q=16.4963120027706,-97.377130309242204" TargetMode="External"/><Relationship Id="rId9102" Type="http://schemas.openxmlformats.org/officeDocument/2006/relationships/hyperlink" Target="https://maps.google.com/?q=16.655391433993557,-95.91293957423932" TargetMode="External"/><Relationship Id="rId11032" Type="http://schemas.openxmlformats.org/officeDocument/2006/relationships/hyperlink" Target="https://maps.google.com/?q=17.123061,-96.816668" TargetMode="External"/><Relationship Id="rId4661" Type="http://schemas.openxmlformats.org/officeDocument/2006/relationships/hyperlink" Target="https://maps.google.com/?q=17.073066,-96.743436000000003" TargetMode="External"/><Relationship Id="rId3263" Type="http://schemas.openxmlformats.org/officeDocument/2006/relationships/hyperlink" Target="https://maps.google.com/?q=17.059904428239,-96.822111852139699" TargetMode="External"/><Relationship Id="rId4314" Type="http://schemas.openxmlformats.org/officeDocument/2006/relationships/hyperlink" Target="https://maps.google.com/?q=16.0274450094324,-96.641833292209" TargetMode="External"/><Relationship Id="rId5712" Type="http://schemas.openxmlformats.org/officeDocument/2006/relationships/hyperlink" Target="https://maps.google.com/?q=17.43157943,-96.283761780000006" TargetMode="External"/><Relationship Id="rId184" Type="http://schemas.openxmlformats.org/officeDocument/2006/relationships/hyperlink" Target="https://maps.google.com/?q=17.094734,-97.497703000000001" TargetMode="External"/><Relationship Id="rId7884" Type="http://schemas.openxmlformats.org/officeDocument/2006/relationships/hyperlink" Target="https://maps.google.com/?q=16.3181690769221,-96.411358346644306" TargetMode="External"/><Relationship Id="rId8935" Type="http://schemas.openxmlformats.org/officeDocument/2006/relationships/hyperlink" Target="https://maps.google.com/?q=17.381148187,-96.163123784000007" TargetMode="External"/><Relationship Id="rId10865" Type="http://schemas.openxmlformats.org/officeDocument/2006/relationships/hyperlink" Target="https://maps.google.com/?q=16.3538155851586,-94.488261165328694" TargetMode="External"/><Relationship Id="rId11916" Type="http://schemas.openxmlformats.org/officeDocument/2006/relationships/hyperlink" Target="https://maps.google.com/?q=18.215227,-97.839996" TargetMode="External"/><Relationship Id="rId5088" Type="http://schemas.openxmlformats.org/officeDocument/2006/relationships/hyperlink" Target="https://maps.google.com/?q=17.25301,-96.152197999999999" TargetMode="External"/><Relationship Id="rId6139" Type="http://schemas.openxmlformats.org/officeDocument/2006/relationships/hyperlink" Target="https://maps.google.com/?q=16.95323,-96.618482459999996" TargetMode="External"/><Relationship Id="rId6486" Type="http://schemas.openxmlformats.org/officeDocument/2006/relationships/hyperlink" Target="https://maps.google.com/?q=17.2006097651849,-97.588979623508095" TargetMode="External"/><Relationship Id="rId7537" Type="http://schemas.openxmlformats.org/officeDocument/2006/relationships/hyperlink" Target="https://maps.google.com/?q=17.976515347327,-96.7052382429478" TargetMode="External"/><Relationship Id="rId10518" Type="http://schemas.openxmlformats.org/officeDocument/2006/relationships/hyperlink" Target="https://maps.google.com/?q=17.8476113767742,-96.746965935131499" TargetMode="External"/><Relationship Id="rId1698" Type="http://schemas.openxmlformats.org/officeDocument/2006/relationships/hyperlink" Target="https://maps.google.com/?q=18.0724028580232,-96.899469790180206" TargetMode="External"/><Relationship Id="rId2749" Type="http://schemas.openxmlformats.org/officeDocument/2006/relationships/hyperlink" Target="https://maps.google.com/?q=17.991715,-96.489292000000006" TargetMode="External"/><Relationship Id="rId6620" Type="http://schemas.openxmlformats.org/officeDocument/2006/relationships/hyperlink" Target="https://maps.google.com/?q=16.732364,-96.672276" TargetMode="External"/><Relationship Id="rId4171" Type="http://schemas.openxmlformats.org/officeDocument/2006/relationships/hyperlink" Target="https://maps.google.com/?q=16.319555,-97.796614000000005" TargetMode="External"/><Relationship Id="rId5222" Type="http://schemas.openxmlformats.org/officeDocument/2006/relationships/hyperlink" Target="https://maps.google.com/?q=17.2799439232882,-97.372513955581994" TargetMode="External"/><Relationship Id="rId8792" Type="http://schemas.openxmlformats.org/officeDocument/2006/relationships/hyperlink" Target="https://maps.google.com/?q=17.21311,-96.250156000000004" TargetMode="External"/><Relationship Id="rId57" Type="http://schemas.openxmlformats.org/officeDocument/2006/relationships/hyperlink" Target="https://maps.google.com/?q=15.907287,-96.448525000000004" TargetMode="External"/><Relationship Id="rId7394" Type="http://schemas.openxmlformats.org/officeDocument/2006/relationships/hyperlink" Target="https://maps.google.com/?q=17.104441,-97.000682999999995" TargetMode="External"/><Relationship Id="rId8445" Type="http://schemas.openxmlformats.org/officeDocument/2006/relationships/hyperlink" Target="https://maps.google.com/?q=16.7731446563247,-96.660752371862301" TargetMode="External"/><Relationship Id="rId9843" Type="http://schemas.openxmlformats.org/officeDocument/2006/relationships/hyperlink" Target="https://maps.google.com/?q=16.6334362128175,-96.852010548954993" TargetMode="External"/><Relationship Id="rId11773" Type="http://schemas.openxmlformats.org/officeDocument/2006/relationships/hyperlink" Target="https://maps.google.com/?q=17.024260358716973,-96.52487700265503" TargetMode="External"/><Relationship Id="rId12824" Type="http://schemas.openxmlformats.org/officeDocument/2006/relationships/hyperlink" Target="https://maps.google.com/?q=17.857193048992,-97.440611457672105" TargetMode="External"/><Relationship Id="rId1832" Type="http://schemas.openxmlformats.org/officeDocument/2006/relationships/hyperlink" Target="https://maps.google.com/?q=18.0363584547099,-96.895595331319896" TargetMode="External"/><Relationship Id="rId7047" Type="http://schemas.openxmlformats.org/officeDocument/2006/relationships/hyperlink" Target="https://maps.google.com/?q=16.146033304214,-96.351095231171797" TargetMode="External"/><Relationship Id="rId10375" Type="http://schemas.openxmlformats.org/officeDocument/2006/relationships/hyperlink" Target="https://maps.google.com/?q=17.4370621760894,-96.653741001176996" TargetMode="External"/><Relationship Id="rId11426" Type="http://schemas.openxmlformats.org/officeDocument/2006/relationships/hyperlink" Target="https://maps.google.com/?q=17.381929715687,-98.187743406428694" TargetMode="External"/><Relationship Id="rId10028" Type="http://schemas.openxmlformats.org/officeDocument/2006/relationships/hyperlink" Target="https://maps.google.com/?q=17.0033231282526,-96.069226108004" TargetMode="External"/><Relationship Id="rId13598" Type="http://schemas.openxmlformats.org/officeDocument/2006/relationships/hyperlink" Target="https://maps.google.com/?q=16.1693419,-96.5004313" TargetMode="External"/><Relationship Id="rId3657" Type="http://schemas.openxmlformats.org/officeDocument/2006/relationships/hyperlink" Target="https://maps.google.com/?q=15.7807116734263,-96.139557773523606" TargetMode="External"/><Relationship Id="rId4708" Type="http://schemas.openxmlformats.org/officeDocument/2006/relationships/hyperlink" Target="https://maps.google.com/?q=17.080069,-96.725791999999998" TargetMode="External"/><Relationship Id="rId578" Type="http://schemas.openxmlformats.org/officeDocument/2006/relationships/hyperlink" Target="https://maps.google.com/?q=16.054648,-97.397980000000004" TargetMode="External"/><Relationship Id="rId2259" Type="http://schemas.openxmlformats.org/officeDocument/2006/relationships/hyperlink" Target="https://maps.google.com/?q=18.0938824770209,-96.931309442680401" TargetMode="External"/><Relationship Id="rId6130" Type="http://schemas.openxmlformats.org/officeDocument/2006/relationships/hyperlink" Target="https://maps.google.com/?q=16.95185547,-96.612483490000002" TargetMode="External"/><Relationship Id="rId12681" Type="http://schemas.openxmlformats.org/officeDocument/2006/relationships/hyperlink" Target="https://maps.google.com/?q=17.965323520733396,-96.69367579403131" TargetMode="External"/><Relationship Id="rId2740" Type="http://schemas.openxmlformats.org/officeDocument/2006/relationships/hyperlink" Target="https://maps.google.com/?q=17.990776,-96.488961000000003" TargetMode="External"/><Relationship Id="rId9353" Type="http://schemas.openxmlformats.org/officeDocument/2006/relationships/hyperlink" Target="https://maps.google.com/?q=16.8181304250992,-95.141327840907906" TargetMode="External"/><Relationship Id="rId11283" Type="http://schemas.openxmlformats.org/officeDocument/2006/relationships/hyperlink" Target="https://maps.google.com/?q=17.8666764357713,-96.308982000588699" TargetMode="External"/><Relationship Id="rId12334" Type="http://schemas.openxmlformats.org/officeDocument/2006/relationships/hyperlink" Target="https://maps.google.com/?q=16.77789,-96.442135" TargetMode="External"/><Relationship Id="rId13732" Type="http://schemas.openxmlformats.org/officeDocument/2006/relationships/hyperlink" Target="https://maps.google.com/?q=17.29276,-96.153721" TargetMode="External"/><Relationship Id="rId712" Type="http://schemas.openxmlformats.org/officeDocument/2006/relationships/hyperlink" Target="https://maps.google.com/?q=16.062679,-97.383121000000003" TargetMode="External"/><Relationship Id="rId1342" Type="http://schemas.openxmlformats.org/officeDocument/2006/relationships/hyperlink" Target="https://maps.google.com/?q=17.0189468,-96.718225" TargetMode="External"/><Relationship Id="rId9006" Type="http://schemas.openxmlformats.org/officeDocument/2006/relationships/hyperlink" Target="https://maps.google.com/?q=17.382428557,-96.166327324999997" TargetMode="External"/><Relationship Id="rId5963" Type="http://schemas.openxmlformats.org/officeDocument/2006/relationships/hyperlink" Target="https://maps.google.com/?q=18.154234090348393,-96.575656440480898" TargetMode="External"/><Relationship Id="rId3167" Type="http://schemas.openxmlformats.org/officeDocument/2006/relationships/hyperlink" Target="https://maps.google.com/?q=16.547494,-97.497378999999995" TargetMode="External"/><Relationship Id="rId4565" Type="http://schemas.openxmlformats.org/officeDocument/2006/relationships/hyperlink" Target="https://maps.google.com/?q=17.1861572194142,-97.303648061342102" TargetMode="External"/><Relationship Id="rId5616" Type="http://schemas.openxmlformats.org/officeDocument/2006/relationships/hyperlink" Target="https://maps.google.com/?q=17.5510548829247,-96.225885690768195" TargetMode="External"/><Relationship Id="rId14159" Type="http://schemas.openxmlformats.org/officeDocument/2006/relationships/hyperlink" Target="https://maps.google.com/?q=16.99264548037001,-96.75452003571242" TargetMode="External"/><Relationship Id="rId4218" Type="http://schemas.openxmlformats.org/officeDocument/2006/relationships/hyperlink" Target="https://maps.google.com/?q=17.511838,-97.488547999999994" TargetMode="External"/><Relationship Id="rId7788" Type="http://schemas.openxmlformats.org/officeDocument/2006/relationships/hyperlink" Target="https://maps.google.com/?q=17.8446261313995,-96.745114042585996" TargetMode="External"/><Relationship Id="rId8839" Type="http://schemas.openxmlformats.org/officeDocument/2006/relationships/hyperlink" Target="https://maps.google.com/?q=17.217377,-96.244107999999997" TargetMode="External"/><Relationship Id="rId10769" Type="http://schemas.openxmlformats.org/officeDocument/2006/relationships/hyperlink" Target="https://maps.google.com/?q=16.900921,-96.559983" TargetMode="External"/><Relationship Id="rId12191" Type="http://schemas.openxmlformats.org/officeDocument/2006/relationships/hyperlink" Target="https://maps.google.com/?q=17.417276300436,-95.944354884098303" TargetMode="External"/><Relationship Id="rId13242" Type="http://schemas.openxmlformats.org/officeDocument/2006/relationships/hyperlink" Target="https://maps.google.com/?q=17.1457152336728,-96.759955487791004" TargetMode="External"/><Relationship Id="rId2250" Type="http://schemas.openxmlformats.org/officeDocument/2006/relationships/hyperlink" Target="https://maps.google.com/?q=17.502753,-96.548051659999999" TargetMode="External"/><Relationship Id="rId3301" Type="http://schemas.openxmlformats.org/officeDocument/2006/relationships/hyperlink" Target="https://maps.google.com/?q=17.0631818178441,-96.813067881605093" TargetMode="External"/><Relationship Id="rId6871" Type="http://schemas.openxmlformats.org/officeDocument/2006/relationships/hyperlink" Target="https://maps.google.com/?q=16.9700301923449,-97.082859393848395" TargetMode="External"/><Relationship Id="rId222" Type="http://schemas.openxmlformats.org/officeDocument/2006/relationships/hyperlink" Target="https://maps.google.com/?q=17.091043,-97.499135999999993" TargetMode="External"/><Relationship Id="rId5473" Type="http://schemas.openxmlformats.org/officeDocument/2006/relationships/hyperlink" Target="https://maps.google.com/?q=16.0138089601788,-97.436656376866495" TargetMode="External"/><Relationship Id="rId6524" Type="http://schemas.openxmlformats.org/officeDocument/2006/relationships/hyperlink" Target="https://maps.google.com/?q=17.2565682917608,-97.568990826703896" TargetMode="External"/><Relationship Id="rId7922" Type="http://schemas.openxmlformats.org/officeDocument/2006/relationships/hyperlink" Target="https://maps.google.com/?q=16.3206415826026,-96.402943020831998" TargetMode="External"/><Relationship Id="rId10903" Type="http://schemas.openxmlformats.org/officeDocument/2006/relationships/hyperlink" Target="https://maps.google.com/?q=16.1881969873591,-95.183809839999995" TargetMode="External"/><Relationship Id="rId4075" Type="http://schemas.openxmlformats.org/officeDocument/2006/relationships/hyperlink" Target="https://maps.google.com/?q=17.085681,-96.731653" TargetMode="External"/><Relationship Id="rId5126" Type="http://schemas.openxmlformats.org/officeDocument/2006/relationships/hyperlink" Target="https://maps.google.com/?q=17.254042085348747,-96.15654054232787" TargetMode="External"/><Relationship Id="rId7298" Type="http://schemas.openxmlformats.org/officeDocument/2006/relationships/hyperlink" Target="https://maps.google.com/?q=17.6074103448403,-96.140082738122999" TargetMode="External"/><Relationship Id="rId8349" Type="http://schemas.openxmlformats.org/officeDocument/2006/relationships/hyperlink" Target="https://maps.google.com/?q=16.8436190422586,-97.1975551638415" TargetMode="External"/><Relationship Id="rId8696" Type="http://schemas.openxmlformats.org/officeDocument/2006/relationships/hyperlink" Target="https://maps.google.com/?q=16.146202,-96.608039000000005" TargetMode="External"/><Relationship Id="rId9747" Type="http://schemas.openxmlformats.org/officeDocument/2006/relationships/hyperlink" Target="https://maps.google.com/?q=17.2751663802108,-96.805266104180404" TargetMode="External"/><Relationship Id="rId11677" Type="http://schemas.openxmlformats.org/officeDocument/2006/relationships/hyperlink" Target="https://maps.google.com/?q=17.17745938,-97.707332570000005" TargetMode="External"/><Relationship Id="rId12728" Type="http://schemas.openxmlformats.org/officeDocument/2006/relationships/hyperlink" Target="https://maps.google.com/?q=16.2868276391252,-96.504421670200699" TargetMode="External"/><Relationship Id="rId1736" Type="http://schemas.openxmlformats.org/officeDocument/2006/relationships/hyperlink" Target="https://maps.google.com/?q=18.0638189528614,-96.833808990000094" TargetMode="External"/><Relationship Id="rId10279" Type="http://schemas.openxmlformats.org/officeDocument/2006/relationships/hyperlink" Target="https://maps.google.com/?q=16.245661,-95.142246" TargetMode="External"/><Relationship Id="rId14150" Type="http://schemas.openxmlformats.org/officeDocument/2006/relationships/hyperlink" Target="https://maps.google.com/?q=16.558364,-97.825061" TargetMode="External"/><Relationship Id="rId4959" Type="http://schemas.openxmlformats.org/officeDocument/2006/relationships/hyperlink" Target="https://maps.google.com/?q=17.27044933,-97.592797719999993" TargetMode="External"/><Relationship Id="rId8830" Type="http://schemas.openxmlformats.org/officeDocument/2006/relationships/hyperlink" Target="https://maps.google.com/?q=17.216398,-96.243926000000002" TargetMode="External"/><Relationship Id="rId6381" Type="http://schemas.openxmlformats.org/officeDocument/2006/relationships/hyperlink" Target="https://maps.google.com/?q=16.5794057121274,-96.8757004146802" TargetMode="External"/><Relationship Id="rId7432" Type="http://schemas.openxmlformats.org/officeDocument/2006/relationships/hyperlink" Target="https://maps.google.com/?q=17.2108629922751,-97.582172733215998" TargetMode="External"/><Relationship Id="rId10413" Type="http://schemas.openxmlformats.org/officeDocument/2006/relationships/hyperlink" Target="https://maps.google.com/?q=17.044293,-96.780345999999994" TargetMode="External"/><Relationship Id="rId10760" Type="http://schemas.openxmlformats.org/officeDocument/2006/relationships/hyperlink" Target="https://maps.google.com/?q=17.455854,-97.223930999999993" TargetMode="External"/><Relationship Id="rId11811" Type="http://schemas.openxmlformats.org/officeDocument/2006/relationships/hyperlink" Target="https://maps.google.com/?q=17.518654004870843,-97.68405892890549" TargetMode="External"/><Relationship Id="rId6034" Type="http://schemas.openxmlformats.org/officeDocument/2006/relationships/hyperlink" Target="https://maps.google.com/?q=18.156462506840004,-96.57619104016068" TargetMode="External"/><Relationship Id="rId13983" Type="http://schemas.openxmlformats.org/officeDocument/2006/relationships/hyperlink" Target="https://maps.google.com/?q=16.81227730298621,-96.89050108152054" TargetMode="External"/><Relationship Id="rId1593" Type="http://schemas.openxmlformats.org/officeDocument/2006/relationships/hyperlink" Target="https://maps.google.com/?q=17.670609,-96.123953" TargetMode="External"/><Relationship Id="rId2991" Type="http://schemas.openxmlformats.org/officeDocument/2006/relationships/hyperlink" Target="https://maps.google.com/?q=17.951898,-96.738884999999996" TargetMode="External"/><Relationship Id="rId9257" Type="http://schemas.openxmlformats.org/officeDocument/2006/relationships/hyperlink" Target="https://maps.google.com/?q=17.3775759040642,-96.301293342614798" TargetMode="External"/><Relationship Id="rId11187" Type="http://schemas.openxmlformats.org/officeDocument/2006/relationships/hyperlink" Target="https://maps.google.com/?q=16.84519,-96.011431000000002" TargetMode="External"/><Relationship Id="rId12585" Type="http://schemas.openxmlformats.org/officeDocument/2006/relationships/hyperlink" Target="https://maps.google.com/?q=16.5186495862909,-96.987450203879" TargetMode="External"/><Relationship Id="rId13636" Type="http://schemas.openxmlformats.org/officeDocument/2006/relationships/hyperlink" Target="https://maps.google.com/?q=17.35995,-96.25017" TargetMode="External"/><Relationship Id="rId963" Type="http://schemas.openxmlformats.org/officeDocument/2006/relationships/hyperlink" Target="https://maps.google.com/?q=15.688068766868176,-96.513036724131737" TargetMode="External"/><Relationship Id="rId1246" Type="http://schemas.openxmlformats.org/officeDocument/2006/relationships/hyperlink" Target="https://maps.google.com/?q=17.0561157,-96.745782180000006" TargetMode="External"/><Relationship Id="rId2644" Type="http://schemas.openxmlformats.org/officeDocument/2006/relationships/hyperlink" Target="https://maps.google.com/?q=18.087785,-96.161462" TargetMode="External"/><Relationship Id="rId12238" Type="http://schemas.openxmlformats.org/officeDocument/2006/relationships/hyperlink" Target="https://maps.google.com/?q=16.4197299446258,-97.2224303812675" TargetMode="External"/><Relationship Id="rId616" Type="http://schemas.openxmlformats.org/officeDocument/2006/relationships/hyperlink" Target="https://maps.google.com/?q=16.05472,-97.396662000000006" TargetMode="External"/><Relationship Id="rId5867" Type="http://schemas.openxmlformats.org/officeDocument/2006/relationships/hyperlink" Target="https://maps.google.com/?q=17.5023366154823,-96.548710490738003" TargetMode="External"/><Relationship Id="rId6918" Type="http://schemas.openxmlformats.org/officeDocument/2006/relationships/hyperlink" Target="https://maps.google.com/?q=16.3066289,-95.263195300000007" TargetMode="External"/><Relationship Id="rId4469" Type="http://schemas.openxmlformats.org/officeDocument/2006/relationships/hyperlink" Target="https://maps.google.com/?q=17.1673498500878,-97.309599900628996" TargetMode="External"/><Relationship Id="rId8340" Type="http://schemas.openxmlformats.org/officeDocument/2006/relationships/hyperlink" Target="https://maps.google.com/?q=16.8429747611244,-97.201388784636805" TargetMode="External"/><Relationship Id="rId10270" Type="http://schemas.openxmlformats.org/officeDocument/2006/relationships/hyperlink" Target="https://maps.google.com/?q=16.245062,-95.142714999999995" TargetMode="External"/><Relationship Id="rId11321" Type="http://schemas.openxmlformats.org/officeDocument/2006/relationships/hyperlink" Target="https://maps.google.com/?q=16.997956,-96.760758999999993" TargetMode="External"/><Relationship Id="rId4950" Type="http://schemas.openxmlformats.org/officeDocument/2006/relationships/hyperlink" Target="https://maps.google.com/?q=15.934402,-96.418847" TargetMode="External"/><Relationship Id="rId13493" Type="http://schemas.openxmlformats.org/officeDocument/2006/relationships/hyperlink" Target="https://maps.google.com/?q=17.6904094722993,-97.039919329044594" TargetMode="External"/><Relationship Id="rId3552" Type="http://schemas.openxmlformats.org/officeDocument/2006/relationships/hyperlink" Target="https://maps.google.com/?q=15.76012568097185,-96.146784636103774" TargetMode="External"/><Relationship Id="rId4603" Type="http://schemas.openxmlformats.org/officeDocument/2006/relationships/hyperlink" Target="https://maps.google.com/?q=16.557684,-96.818535999999995" TargetMode="External"/><Relationship Id="rId12095" Type="http://schemas.openxmlformats.org/officeDocument/2006/relationships/hyperlink" Target="https://maps.google.com/?q=16.2470699,-95.328853910000007" TargetMode="External"/><Relationship Id="rId13146" Type="http://schemas.openxmlformats.org/officeDocument/2006/relationships/hyperlink" Target="https://maps.google.com/?q=0,-97.013182402446702" TargetMode="External"/><Relationship Id="rId473" Type="http://schemas.openxmlformats.org/officeDocument/2006/relationships/hyperlink" Target="https://maps.google.com/?q=16.053678,-97.409670000000006" TargetMode="External"/><Relationship Id="rId2154" Type="http://schemas.openxmlformats.org/officeDocument/2006/relationships/hyperlink" Target="https://maps.google.com/?q=15.757354296880038,-96.147560080299925" TargetMode="External"/><Relationship Id="rId3205" Type="http://schemas.openxmlformats.org/officeDocument/2006/relationships/hyperlink" Target="https://maps.google.com/?q=17.04803,-96.71643" TargetMode="External"/><Relationship Id="rId126" Type="http://schemas.openxmlformats.org/officeDocument/2006/relationships/hyperlink" Target="https://maps.google.com/?q=17.094127,-97.495258000000007" TargetMode="External"/><Relationship Id="rId5377" Type="http://schemas.openxmlformats.org/officeDocument/2006/relationships/hyperlink" Target="https://maps.google.com/?q=15.974515142164,-97.2413613183124" TargetMode="External"/><Relationship Id="rId6428" Type="http://schemas.openxmlformats.org/officeDocument/2006/relationships/hyperlink" Target="https://maps.google.com/?q=17.34108175,-97.558412099999998" TargetMode="External"/><Relationship Id="rId6775" Type="http://schemas.openxmlformats.org/officeDocument/2006/relationships/hyperlink" Target="https://maps.google.com/?q=16.6323418392732,-97.039063217036698" TargetMode="External"/><Relationship Id="rId7826" Type="http://schemas.openxmlformats.org/officeDocument/2006/relationships/hyperlink" Target="https://maps.google.com/?q=17.011744,&#160;-96.890762" TargetMode="External"/><Relationship Id="rId10807" Type="http://schemas.openxmlformats.org/officeDocument/2006/relationships/hyperlink" Target="https://maps.google.com/?q=16.3888702451127,-94.458831101852397" TargetMode="External"/><Relationship Id="rId9998" Type="http://schemas.openxmlformats.org/officeDocument/2006/relationships/hyperlink" Target="https://maps.google.com/?q=17.1206336941373,-97.514346121045094" TargetMode="External"/><Relationship Id="rId12979" Type="http://schemas.openxmlformats.org/officeDocument/2006/relationships/hyperlink" Target="https://maps.google.com/?q=16.512946,-97.455867999999995" TargetMode="External"/><Relationship Id="rId1987" Type="http://schemas.openxmlformats.org/officeDocument/2006/relationships/hyperlink" Target="https://maps.google.com/?q=15.775669,-96.142743" TargetMode="External"/><Relationship Id="rId4460" Type="http://schemas.openxmlformats.org/officeDocument/2006/relationships/hyperlink" Target="https://maps.google.com/?q=17.614228,-98.012384999999995" TargetMode="External"/><Relationship Id="rId5511" Type="http://schemas.openxmlformats.org/officeDocument/2006/relationships/hyperlink" Target="https://maps.google.com/?q=0,-97.366226101852305" TargetMode="External"/><Relationship Id="rId14054" Type="http://schemas.openxmlformats.org/officeDocument/2006/relationships/hyperlink" Target="https://maps.google.com/?q=17.00714463805012,-96.5813463363306" TargetMode="External"/><Relationship Id="rId3062" Type="http://schemas.openxmlformats.org/officeDocument/2006/relationships/hyperlink" Target="https://maps.google.com/?q=16.96376573921,-96.941321907612902" TargetMode="External"/><Relationship Id="rId4113" Type="http://schemas.openxmlformats.org/officeDocument/2006/relationships/hyperlink" Target="https://maps.google.com/?q=17.0585929,-96.743078990000001" TargetMode="External"/><Relationship Id="rId7683" Type="http://schemas.openxmlformats.org/officeDocument/2006/relationships/hyperlink" Target="https://maps.google.com/?q=17.2022260960255,-97.514475080000807" TargetMode="External"/><Relationship Id="rId8734" Type="http://schemas.openxmlformats.org/officeDocument/2006/relationships/hyperlink" Target="https://maps.google.com/?q=17.2686621975159,-97.717575417174999" TargetMode="External"/><Relationship Id="rId6285" Type="http://schemas.openxmlformats.org/officeDocument/2006/relationships/hyperlink" Target="https://maps.google.com/?q=18.051908,-96.399816000000001" TargetMode="External"/><Relationship Id="rId7336" Type="http://schemas.openxmlformats.org/officeDocument/2006/relationships/hyperlink" Target="https://maps.google.com/?q=16.5854704201992,-97.654884739741902" TargetMode="External"/><Relationship Id="rId10664" Type="http://schemas.openxmlformats.org/officeDocument/2006/relationships/hyperlink" Target="https://maps.google.com/?q=16.1201466306258,-95.423705930059398" TargetMode="External"/><Relationship Id="rId11715" Type="http://schemas.openxmlformats.org/officeDocument/2006/relationships/hyperlink" Target="https://maps.google.com/?q=17.18331688,-97.708820660000001" TargetMode="External"/><Relationship Id="rId10317" Type="http://schemas.openxmlformats.org/officeDocument/2006/relationships/hyperlink" Target="https://maps.google.com/?q=16.22743585,-97.268344540000001" TargetMode="External"/><Relationship Id="rId13887" Type="http://schemas.openxmlformats.org/officeDocument/2006/relationships/hyperlink" Target="https://maps.google.com/?q=16.2772079105251,-96.584814990824697" TargetMode="External"/><Relationship Id="rId2895" Type="http://schemas.openxmlformats.org/officeDocument/2006/relationships/hyperlink" Target="https://maps.google.com/?q=17.535283,-95.944551000000004" TargetMode="External"/><Relationship Id="rId3946" Type="http://schemas.openxmlformats.org/officeDocument/2006/relationships/hyperlink" Target="https://maps.google.com/?q=17.061036,-96.755902000000006" TargetMode="External"/><Relationship Id="rId12489" Type="http://schemas.openxmlformats.org/officeDocument/2006/relationships/hyperlink" Target="https://maps.google.com/?q=17.2225678091828,-97.2721667141209" TargetMode="External"/><Relationship Id="rId867" Type="http://schemas.openxmlformats.org/officeDocument/2006/relationships/hyperlink" Target="https://maps.google.com/?q=17.093445,-97.497759000000002" TargetMode="External"/><Relationship Id="rId1497" Type="http://schemas.openxmlformats.org/officeDocument/2006/relationships/hyperlink" Target="https://maps.google.com/?q=17.059207,-96.749972" TargetMode="External"/><Relationship Id="rId2548" Type="http://schemas.openxmlformats.org/officeDocument/2006/relationships/hyperlink" Target="https://maps.google.com/?q=17.755791,-96.200468000000001" TargetMode="External"/><Relationship Id="rId5021" Type="http://schemas.openxmlformats.org/officeDocument/2006/relationships/hyperlink" Target="https://maps.google.com/?q=17.250607,-96.153130000000004" TargetMode="External"/><Relationship Id="rId8591" Type="http://schemas.openxmlformats.org/officeDocument/2006/relationships/hyperlink" Target="https://maps.google.com/?q=17.8816036655518,-96.725904615696905" TargetMode="External"/><Relationship Id="rId9642" Type="http://schemas.openxmlformats.org/officeDocument/2006/relationships/hyperlink" Target="https://maps.google.com/?q=16.4740630813483,-96.685484558543607" TargetMode="External"/><Relationship Id="rId11572" Type="http://schemas.openxmlformats.org/officeDocument/2006/relationships/hyperlink" Target="https://maps.google.com/?q=16.8485856276398,-96.7486272012233" TargetMode="External"/><Relationship Id="rId12623" Type="http://schemas.openxmlformats.org/officeDocument/2006/relationships/hyperlink" Target="https://maps.google.com/?q=17.11269,-96.845547999999994" TargetMode="External"/><Relationship Id="rId12970" Type="http://schemas.openxmlformats.org/officeDocument/2006/relationships/hyperlink" Target="https://maps.google.com/?q=16.508797,-97.456593999999996" TargetMode="External"/><Relationship Id="rId1631" Type="http://schemas.openxmlformats.org/officeDocument/2006/relationships/hyperlink" Target="https://maps.google.com/?q=15.928965,-96.427083999999994" TargetMode="External"/><Relationship Id="rId7193" Type="http://schemas.openxmlformats.org/officeDocument/2006/relationships/hyperlink" Target="https://maps.google.com/?q=16.172965977105,-97.961169940305396" TargetMode="External"/><Relationship Id="rId8244" Type="http://schemas.openxmlformats.org/officeDocument/2006/relationships/hyperlink" Target="https://maps.google.com/?q=16.425409,-97.642083" TargetMode="External"/><Relationship Id="rId10174" Type="http://schemas.openxmlformats.org/officeDocument/2006/relationships/hyperlink" Target="https://maps.google.com/?q=17.2690790231699,-97.714721050521703" TargetMode="External"/><Relationship Id="rId11225" Type="http://schemas.openxmlformats.org/officeDocument/2006/relationships/hyperlink" Target="https://maps.google.com/?q=17.507741,-97.631267" TargetMode="External"/><Relationship Id="rId13397" Type="http://schemas.openxmlformats.org/officeDocument/2006/relationships/hyperlink" Target="https://maps.google.com/?q=16.3268318194485,-96.675819752149593" TargetMode="External"/><Relationship Id="rId3456" Type="http://schemas.openxmlformats.org/officeDocument/2006/relationships/hyperlink" Target="https://maps.google.com/?q=16.5677088946997,-96.989517295355398" TargetMode="External"/><Relationship Id="rId4854" Type="http://schemas.openxmlformats.org/officeDocument/2006/relationships/hyperlink" Target="https://maps.google.com/?q=17.3400257682752,-96.167916428530106" TargetMode="External"/><Relationship Id="rId5905" Type="http://schemas.openxmlformats.org/officeDocument/2006/relationships/hyperlink" Target="https://maps.google.com/?q=18.14583841010367,-96.565393378430102" TargetMode="External"/><Relationship Id="rId377" Type="http://schemas.openxmlformats.org/officeDocument/2006/relationships/hyperlink" Target="https://maps.google.com/?q=16.052524,-97.413661000000005" TargetMode="External"/><Relationship Id="rId2058" Type="http://schemas.openxmlformats.org/officeDocument/2006/relationships/hyperlink" Target="https://maps.google.com/?q=15.768468537682882,-96.256886235124" TargetMode="External"/><Relationship Id="rId3109" Type="http://schemas.openxmlformats.org/officeDocument/2006/relationships/hyperlink" Target="https://maps.google.com/?q=15.9961763056315,-96.464178685585296" TargetMode="External"/><Relationship Id="rId4507" Type="http://schemas.openxmlformats.org/officeDocument/2006/relationships/hyperlink" Target="https://maps.google.com/?q=17.1792368107471,-97.305419915344103" TargetMode="External"/><Relationship Id="rId6679" Type="http://schemas.openxmlformats.org/officeDocument/2006/relationships/hyperlink" Target="https://maps.google.com/?q=16.9372817,-96.9723817" TargetMode="External"/><Relationship Id="rId12480" Type="http://schemas.openxmlformats.org/officeDocument/2006/relationships/hyperlink" Target="https://maps.google.com/?q=17.2221170769901,-97.272723787325305" TargetMode="External"/><Relationship Id="rId13531" Type="http://schemas.openxmlformats.org/officeDocument/2006/relationships/hyperlink" Target="https://maps.google.com/?q=17.26446577158004,-96.14612920999528" TargetMode="External"/><Relationship Id="rId9152" Type="http://schemas.openxmlformats.org/officeDocument/2006/relationships/hyperlink" Target="https://maps.google.com/?q=16.9997277292549,-96.968616730765802" TargetMode="External"/><Relationship Id="rId11082" Type="http://schemas.openxmlformats.org/officeDocument/2006/relationships/hyperlink" Target="https://maps.google.com/?q=17.29045217,-97.383127979999998" TargetMode="External"/><Relationship Id="rId12133" Type="http://schemas.openxmlformats.org/officeDocument/2006/relationships/hyperlink" Target="https://maps.google.com/?q=16.2848723654216,-97.672434977244393" TargetMode="External"/><Relationship Id="rId511" Type="http://schemas.openxmlformats.org/officeDocument/2006/relationships/hyperlink" Target="https://maps.google.com/?q=16.053909,-97.405452999999994" TargetMode="External"/><Relationship Id="rId1141" Type="http://schemas.openxmlformats.org/officeDocument/2006/relationships/hyperlink" Target="https://maps.google.com/?q=15.905332913601042,-96.59897947594348" TargetMode="External"/><Relationship Id="rId5762" Type="http://schemas.openxmlformats.org/officeDocument/2006/relationships/hyperlink" Target="https://maps.google.com/?q=16.995957,-97.232544000000004" TargetMode="External"/><Relationship Id="rId6813" Type="http://schemas.openxmlformats.org/officeDocument/2006/relationships/hyperlink" Target="https://maps.google.com/?q=15.9911649927082,-97.191040664076098" TargetMode="External"/><Relationship Id="rId4364" Type="http://schemas.openxmlformats.org/officeDocument/2006/relationships/hyperlink" Target="https://maps.google.com/?q=15.96087369,-96.640025690000002" TargetMode="External"/><Relationship Id="rId5415" Type="http://schemas.openxmlformats.org/officeDocument/2006/relationships/hyperlink" Target="https://maps.google.com/?q=16.0991271591432,-97.699245282820698" TargetMode="External"/><Relationship Id="rId4017" Type="http://schemas.openxmlformats.org/officeDocument/2006/relationships/hyperlink" Target="https://maps.google.com/?q=17.018946802456792,-96.718225001774229" TargetMode="External"/><Relationship Id="rId7587" Type="http://schemas.openxmlformats.org/officeDocument/2006/relationships/hyperlink" Target="https://maps.google.com/?q=17.093722170822,-95.855095001104701" TargetMode="External"/><Relationship Id="rId8638" Type="http://schemas.openxmlformats.org/officeDocument/2006/relationships/hyperlink" Target="https://maps.google.com/?q=16.2736970986269,-94.532309321312397" TargetMode="External"/><Relationship Id="rId8985" Type="http://schemas.openxmlformats.org/officeDocument/2006/relationships/hyperlink" Target="https://maps.google.com/?q=17.381906106,-96.161176108000006" TargetMode="External"/><Relationship Id="rId11966" Type="http://schemas.openxmlformats.org/officeDocument/2006/relationships/hyperlink" Target="https://maps.google.com/?q=16.7990131671457,-96.723373928731704" TargetMode="External"/><Relationship Id="rId6189" Type="http://schemas.openxmlformats.org/officeDocument/2006/relationships/hyperlink" Target="https://maps.google.com/?q=16.090657,-97.081751999999994" TargetMode="External"/><Relationship Id="rId10568" Type="http://schemas.openxmlformats.org/officeDocument/2006/relationships/hyperlink" Target="https://maps.google.com/?q=17.1415893205074,-97.783438407959395" TargetMode="External"/><Relationship Id="rId11619" Type="http://schemas.openxmlformats.org/officeDocument/2006/relationships/hyperlink" Target="https://maps.google.com/?q=16.8376202862517,-96.723289682209" TargetMode="External"/><Relationship Id="rId13041" Type="http://schemas.openxmlformats.org/officeDocument/2006/relationships/hyperlink" Target="https://maps.google.com/?q=16.5619537,-97.528613539999995" TargetMode="External"/><Relationship Id="rId2799" Type="http://schemas.openxmlformats.org/officeDocument/2006/relationships/hyperlink" Target="https://maps.google.com/?q=16.9810847441265,-97.715876695616004" TargetMode="External"/><Relationship Id="rId3100" Type="http://schemas.openxmlformats.org/officeDocument/2006/relationships/hyperlink" Target="https://maps.google.com/?q=17.30588739,-97.488307239999997" TargetMode="External"/><Relationship Id="rId6670" Type="http://schemas.openxmlformats.org/officeDocument/2006/relationships/hyperlink" Target="https://maps.google.com/?q=16.939383,-97.011065000000002" TargetMode="External"/><Relationship Id="rId7721" Type="http://schemas.openxmlformats.org/officeDocument/2006/relationships/hyperlink" Target="https://maps.google.com/?q=16.6298566792024,-96.797194903319905" TargetMode="External"/><Relationship Id="rId10702" Type="http://schemas.openxmlformats.org/officeDocument/2006/relationships/hyperlink" Target="https://maps.google.com/?q=16.500512,-96.106790000000004" TargetMode="External"/><Relationship Id="rId5272" Type="http://schemas.openxmlformats.org/officeDocument/2006/relationships/hyperlink" Target="https://maps.google.com/?q=15.7242789827382,&#160;-96.38900994848085" TargetMode="External"/><Relationship Id="rId6323" Type="http://schemas.openxmlformats.org/officeDocument/2006/relationships/hyperlink" Target="https://maps.google.com/?q=18.05908,-96.401015000000001" TargetMode="External"/><Relationship Id="rId9893" Type="http://schemas.openxmlformats.org/officeDocument/2006/relationships/hyperlink" Target="https://maps.google.com/?q=16.6389108727076,-96.849257527791096" TargetMode="External"/><Relationship Id="rId1882" Type="http://schemas.openxmlformats.org/officeDocument/2006/relationships/hyperlink" Target="https://maps.google.com/?q=15.775825779569278,-96.13542953722839" TargetMode="External"/><Relationship Id="rId8495" Type="http://schemas.openxmlformats.org/officeDocument/2006/relationships/hyperlink" Target="https://maps.google.com/?q=17.1577412140566,-97.528299622209104" TargetMode="External"/><Relationship Id="rId9546" Type="http://schemas.openxmlformats.org/officeDocument/2006/relationships/hyperlink" Target="https://maps.google.com/?q=17.27419,-96.802920" TargetMode="External"/><Relationship Id="rId11476" Type="http://schemas.openxmlformats.org/officeDocument/2006/relationships/hyperlink" Target="https://maps.google.com/?q=16.3005802353362,-96.638291788559201" TargetMode="External"/><Relationship Id="rId12874" Type="http://schemas.openxmlformats.org/officeDocument/2006/relationships/hyperlink" Target="https://maps.google.com/?q=17.520386,-97.679361" TargetMode="External"/><Relationship Id="rId13925" Type="http://schemas.openxmlformats.org/officeDocument/2006/relationships/hyperlink" Target="https://maps.google.com/?q=17.842158932217732,-97.42717473823349" TargetMode="External"/><Relationship Id="rId1535" Type="http://schemas.openxmlformats.org/officeDocument/2006/relationships/hyperlink" Target="https://maps.google.com/?q=17.062102,-96.753140999999999" TargetMode="External"/><Relationship Id="rId2933" Type="http://schemas.openxmlformats.org/officeDocument/2006/relationships/hyperlink" Target="https://maps.google.com/?q=17.07842881,-96.675090350000005" TargetMode="External"/><Relationship Id="rId7097" Type="http://schemas.openxmlformats.org/officeDocument/2006/relationships/hyperlink" Target="https://maps.google.com/?q=16.348261,-98.072781000000006" TargetMode="External"/><Relationship Id="rId8148" Type="http://schemas.openxmlformats.org/officeDocument/2006/relationships/hyperlink" Target="https://maps.google.com/?q=17.3563725922565,-96.301902167731498" TargetMode="External"/><Relationship Id="rId10078" Type="http://schemas.openxmlformats.org/officeDocument/2006/relationships/hyperlink" Target="https://maps.google.com/?q=16.9911300901274,-96.105501425735497" TargetMode="External"/><Relationship Id="rId11129" Type="http://schemas.openxmlformats.org/officeDocument/2006/relationships/hyperlink" Target="https://maps.google.com/?q=16.834717,-96.007114000000001" TargetMode="External"/><Relationship Id="rId12527" Type="http://schemas.openxmlformats.org/officeDocument/2006/relationships/hyperlink" Target="https://maps.google.com/?q=17.2266317619016,-97.273895916837702" TargetMode="External"/><Relationship Id="rId905" Type="http://schemas.openxmlformats.org/officeDocument/2006/relationships/hyperlink" Target="https://maps.google.com/?q=16.8838,-97.677070000000001" TargetMode="External"/><Relationship Id="rId4758" Type="http://schemas.openxmlformats.org/officeDocument/2006/relationships/hyperlink" Target="https://maps.google.com/?q=17.9556662106394,-96.657796866508093" TargetMode="External"/><Relationship Id="rId5809" Type="http://schemas.openxmlformats.org/officeDocument/2006/relationships/hyperlink" Target="https://maps.google.com/?q=16.0073969458792,-97.442515379133297" TargetMode="External"/><Relationship Id="rId6180" Type="http://schemas.openxmlformats.org/officeDocument/2006/relationships/hyperlink" Target="https://maps.google.com/?q=17.808271679660333,-96.9595797065661" TargetMode="External"/><Relationship Id="rId11610" Type="http://schemas.openxmlformats.org/officeDocument/2006/relationships/hyperlink" Target="https://maps.google.com/?q=16.8366734964803,-96.735478457672102" TargetMode="External"/><Relationship Id="rId7231" Type="http://schemas.openxmlformats.org/officeDocument/2006/relationships/hyperlink" Target="https://maps.google.com/?q=16.2296604379105,-97.944945495699102" TargetMode="External"/><Relationship Id="rId10212" Type="http://schemas.openxmlformats.org/officeDocument/2006/relationships/hyperlink" Target="https://maps.google.com/?q=17.192405082447692,-97.32933557206387" TargetMode="External"/><Relationship Id="rId13782" Type="http://schemas.openxmlformats.org/officeDocument/2006/relationships/hyperlink" Target="https://maps.google.com/?q=17.128798,-97.748017000000004" TargetMode="External"/><Relationship Id="rId2790" Type="http://schemas.openxmlformats.org/officeDocument/2006/relationships/hyperlink" Target="https://maps.google.com/?q=16.994603742335,-97.702566685267499" TargetMode="External"/><Relationship Id="rId3841" Type="http://schemas.openxmlformats.org/officeDocument/2006/relationships/hyperlink" Target="https://maps.google.com/?q=17.1127711991041,-95.944305730024794" TargetMode="External"/><Relationship Id="rId12384" Type="http://schemas.openxmlformats.org/officeDocument/2006/relationships/hyperlink" Target="https://maps.google.com/?q=16.55311564612,-96.819906259036301" TargetMode="External"/><Relationship Id="rId13435" Type="http://schemas.openxmlformats.org/officeDocument/2006/relationships/hyperlink" Target="https://maps.google.com/?q=17.6829875568942,-97.037978652778605" TargetMode="External"/><Relationship Id="rId762" Type="http://schemas.openxmlformats.org/officeDocument/2006/relationships/hyperlink" Target="https://maps.google.com/?q=15.68544706994095,-96.511639457575868" TargetMode="External"/><Relationship Id="rId1392" Type="http://schemas.openxmlformats.org/officeDocument/2006/relationships/hyperlink" Target="https://maps.google.com/?q=18.081169,-96.118475000000004" TargetMode="External"/><Relationship Id="rId2443" Type="http://schemas.openxmlformats.org/officeDocument/2006/relationships/hyperlink" Target="https://maps.google.com/?q=17.05138597,-96.623836690000005" TargetMode="External"/><Relationship Id="rId9056" Type="http://schemas.openxmlformats.org/officeDocument/2006/relationships/hyperlink" Target="https://maps.google.com/?q=16.05513,-95.475713999999996" TargetMode="External"/><Relationship Id="rId12037" Type="http://schemas.openxmlformats.org/officeDocument/2006/relationships/hyperlink" Target="https://maps.google.com/?q=16.806215474699,-96.718265930059204" TargetMode="External"/><Relationship Id="rId415" Type="http://schemas.openxmlformats.org/officeDocument/2006/relationships/hyperlink" Target="https://maps.google.com/?q=16.052967,-97.411302000000006" TargetMode="External"/><Relationship Id="rId1045" Type="http://schemas.openxmlformats.org/officeDocument/2006/relationships/hyperlink" Target="https://maps.google.com/?q=15.706809674582109,-96.524080964503867" TargetMode="External"/><Relationship Id="rId5666" Type="http://schemas.openxmlformats.org/officeDocument/2006/relationships/hyperlink" Target="https://maps.google.com/?q=16.437918,-97.856615000000005" TargetMode="External"/><Relationship Id="rId4268" Type="http://schemas.openxmlformats.org/officeDocument/2006/relationships/hyperlink" Target="https://maps.google.com/?q=16.0159369134554,-96.647340982209002" TargetMode="External"/><Relationship Id="rId5319" Type="http://schemas.openxmlformats.org/officeDocument/2006/relationships/hyperlink" Target="https://maps.google.com/?q=15.8069268934556,-96.359410068665994" TargetMode="External"/><Relationship Id="rId6717" Type="http://schemas.openxmlformats.org/officeDocument/2006/relationships/hyperlink" Target="https://maps.google.com/?q=17.0317330171356,-96.984405190924207" TargetMode="External"/><Relationship Id="rId8889" Type="http://schemas.openxmlformats.org/officeDocument/2006/relationships/hyperlink" Target="https://maps.google.com/?q=17.379731404,-96.161220659999998" TargetMode="External"/><Relationship Id="rId11120" Type="http://schemas.openxmlformats.org/officeDocument/2006/relationships/hyperlink" Target="https://maps.google.com/?q=16.833722,-96.008853999999999" TargetMode="External"/><Relationship Id="rId1929" Type="http://schemas.openxmlformats.org/officeDocument/2006/relationships/hyperlink" Target="https://maps.google.com/?q=15.777066586589411,-96.137072176304585" TargetMode="External"/><Relationship Id="rId5800" Type="http://schemas.openxmlformats.org/officeDocument/2006/relationships/hyperlink" Target="https://maps.google.com/?q=17.308735787799,-97.483114061342306" TargetMode="External"/><Relationship Id="rId13292" Type="http://schemas.openxmlformats.org/officeDocument/2006/relationships/hyperlink" Target="https://maps.google.com/?q=16.1309722655646,-96.328032519999994" TargetMode="External"/><Relationship Id="rId3351" Type="http://schemas.openxmlformats.org/officeDocument/2006/relationships/hyperlink" Target="https://maps.google.com/?q=17.1576333353534,-97.841096792659698" TargetMode="External"/><Relationship Id="rId4402" Type="http://schemas.openxmlformats.org/officeDocument/2006/relationships/hyperlink" Target="https://maps.google.com/?q=16.00205905,-96.68171916" TargetMode="External"/><Relationship Id="rId7972" Type="http://schemas.openxmlformats.org/officeDocument/2006/relationships/hyperlink" Target="https://maps.google.com/?q=18.1621208257282,-96.875087428241699" TargetMode="External"/><Relationship Id="rId272" Type="http://schemas.openxmlformats.org/officeDocument/2006/relationships/hyperlink" Target="https://maps.google.com/?q=16.88374,-97.675719999999998" TargetMode="External"/><Relationship Id="rId3004" Type="http://schemas.openxmlformats.org/officeDocument/2006/relationships/hyperlink" Target="https://maps.google.com/?q=16.9359961,-97.011112400000002" TargetMode="External"/><Relationship Id="rId6574" Type="http://schemas.openxmlformats.org/officeDocument/2006/relationships/hyperlink" Target="https://maps.google.com/?q=17.764241,-96.881255" TargetMode="External"/><Relationship Id="rId7625" Type="http://schemas.openxmlformats.org/officeDocument/2006/relationships/hyperlink" Target="https://maps.google.com/?q=17.2304169690965,-95.054084777018303" TargetMode="External"/><Relationship Id="rId10953" Type="http://schemas.openxmlformats.org/officeDocument/2006/relationships/hyperlink" Target="https://maps.google.com/?q=16.2068087647267,-95.216110937790901" TargetMode="External"/><Relationship Id="rId5176" Type="http://schemas.openxmlformats.org/officeDocument/2006/relationships/hyperlink" Target="https://maps.google.com/?q=17.314203,-95.964425000000006" TargetMode="External"/><Relationship Id="rId6227" Type="http://schemas.openxmlformats.org/officeDocument/2006/relationships/hyperlink" Target="https://maps.google.com/?q=16.097327,-97.080326999999997" TargetMode="External"/><Relationship Id="rId9797" Type="http://schemas.openxmlformats.org/officeDocument/2006/relationships/hyperlink" Target="https://maps.google.com/?q=16.6418327824698,-96.7528034300001" TargetMode="External"/><Relationship Id="rId10606" Type="http://schemas.openxmlformats.org/officeDocument/2006/relationships/hyperlink" Target="https://maps.google.com/?q=17.1294832661035,-97.7465384177912" TargetMode="External"/><Relationship Id="rId8399" Type="http://schemas.openxmlformats.org/officeDocument/2006/relationships/hyperlink" Target="https://maps.google.com/?q=16.0899154053812,-96.2454871312828" TargetMode="External"/><Relationship Id="rId12778" Type="http://schemas.openxmlformats.org/officeDocument/2006/relationships/hyperlink" Target="https://maps.google.com/?q=17.39455283368536,-96.61209536078086" TargetMode="External"/><Relationship Id="rId13829" Type="http://schemas.openxmlformats.org/officeDocument/2006/relationships/hyperlink" Target="https://maps.google.com/?q=17.090651,-97.784700000000001" TargetMode="External"/><Relationship Id="rId1786" Type="http://schemas.openxmlformats.org/officeDocument/2006/relationships/hyperlink" Target="https://maps.google.com/?q=18.062775703029,-96.896028923872905" TargetMode="External"/><Relationship Id="rId2837" Type="http://schemas.openxmlformats.org/officeDocument/2006/relationships/hyperlink" Target="https://maps.google.com/?q=16.9485927096961,-97.712151815973201" TargetMode="External"/><Relationship Id="rId809" Type="http://schemas.openxmlformats.org/officeDocument/2006/relationships/hyperlink" Target="https://maps.google.com/?q=15.69597129731844,-96.523529163475075" TargetMode="External"/><Relationship Id="rId1439" Type="http://schemas.openxmlformats.org/officeDocument/2006/relationships/hyperlink" Target="https://maps.google.com/?q=17.08377,-96.71853" TargetMode="External"/><Relationship Id="rId5310" Type="http://schemas.openxmlformats.org/officeDocument/2006/relationships/hyperlink" Target="https://maps.google.com/?q=15.7230065353167,-96.469226018587705" TargetMode="External"/><Relationship Id="rId8880" Type="http://schemas.openxmlformats.org/officeDocument/2006/relationships/hyperlink" Target="https://maps.google.com/?q=17.379108656,-96.161846714999996" TargetMode="External"/><Relationship Id="rId9931" Type="http://schemas.openxmlformats.org/officeDocument/2006/relationships/hyperlink" Target="https://maps.google.com/?q=16.7140455718802,-96.711186146108304" TargetMode="External"/><Relationship Id="rId11861" Type="http://schemas.openxmlformats.org/officeDocument/2006/relationships/hyperlink" Target="https://maps.google.com/?q=16.489669512128547,-95.159643266201" TargetMode="External"/><Relationship Id="rId12912" Type="http://schemas.openxmlformats.org/officeDocument/2006/relationships/hyperlink" Target="https://maps.google.com/?q=16.527949,-97.523032999999998" TargetMode="External"/><Relationship Id="rId1920" Type="http://schemas.openxmlformats.org/officeDocument/2006/relationships/hyperlink" Target="https://maps.google.com/?q=15.776905165034224,-96.137158379201296" TargetMode="External"/><Relationship Id="rId7482" Type="http://schemas.openxmlformats.org/officeDocument/2006/relationships/hyperlink" Target="https://maps.google.com/?q=16.9891151084575,-95.013164181163901" TargetMode="External"/><Relationship Id="rId8533" Type="http://schemas.openxmlformats.org/officeDocument/2006/relationships/hyperlink" Target="https://maps.google.com/?q=16.9364734464793,-96.599689963043701" TargetMode="External"/><Relationship Id="rId10463" Type="http://schemas.openxmlformats.org/officeDocument/2006/relationships/hyperlink" Target="https://maps.google.com/?q=17.0405686,-96.7810214" TargetMode="External"/><Relationship Id="rId11514" Type="http://schemas.openxmlformats.org/officeDocument/2006/relationships/hyperlink" Target="https://maps.google.com/?q=16.611603999589,-96.847053723556698" TargetMode="External"/><Relationship Id="rId6084" Type="http://schemas.openxmlformats.org/officeDocument/2006/relationships/hyperlink" Target="https://maps.google.com/?q=16.6550108514184,-97.335892486644099" TargetMode="External"/><Relationship Id="rId7135" Type="http://schemas.openxmlformats.org/officeDocument/2006/relationships/hyperlink" Target="https://maps.google.com/?q=17.339570277288,-97.700265759420404" TargetMode="External"/><Relationship Id="rId10116" Type="http://schemas.openxmlformats.org/officeDocument/2006/relationships/hyperlink" Target="https://maps.google.com/?q=17.0262405281027,-96.132808095725693" TargetMode="External"/><Relationship Id="rId13686" Type="http://schemas.openxmlformats.org/officeDocument/2006/relationships/hyperlink" Target="https://maps.google.com/?q=17.161771,-96.209013" TargetMode="External"/><Relationship Id="rId2694" Type="http://schemas.openxmlformats.org/officeDocument/2006/relationships/hyperlink" Target="https://maps.google.com/?q=16.5687312756482,-97.011872763806295" TargetMode="External"/><Relationship Id="rId3745" Type="http://schemas.openxmlformats.org/officeDocument/2006/relationships/hyperlink" Target="https://maps.google.com/?q=15.761976433129382,-96.146050016011785" TargetMode="External"/><Relationship Id="rId12288" Type="http://schemas.openxmlformats.org/officeDocument/2006/relationships/hyperlink" Target="https://maps.google.com/?q=16.4788784178067,-94.359279542327798" TargetMode="External"/><Relationship Id="rId13339" Type="http://schemas.openxmlformats.org/officeDocument/2006/relationships/hyperlink" Target="https://maps.google.com/?q=18.06326815,-97.720495189999994" TargetMode="External"/><Relationship Id="rId666" Type="http://schemas.openxmlformats.org/officeDocument/2006/relationships/hyperlink" Target="https://maps.google.com/?q=16.055584,-97.392645000000002" TargetMode="External"/><Relationship Id="rId1296" Type="http://schemas.openxmlformats.org/officeDocument/2006/relationships/hyperlink" Target="https://maps.google.com/?q=17.080188,-96.726730" TargetMode="External"/><Relationship Id="rId2347" Type="http://schemas.openxmlformats.org/officeDocument/2006/relationships/hyperlink" Target="https://maps.google.com/?q=17.101239,-97.659513000000004" TargetMode="External"/><Relationship Id="rId319" Type="http://schemas.openxmlformats.org/officeDocument/2006/relationships/hyperlink" Target="https://maps.google.com/?q=16.054514,-97.394467000000006" TargetMode="External"/><Relationship Id="rId6968" Type="http://schemas.openxmlformats.org/officeDocument/2006/relationships/hyperlink" Target="https://maps.google.com/?q=17.01364367,-96.520518440000004" TargetMode="External"/><Relationship Id="rId8390" Type="http://schemas.openxmlformats.org/officeDocument/2006/relationships/hyperlink" Target="https://maps.google.com/?q=16.8471052462443,-97.200724335741597" TargetMode="External"/><Relationship Id="rId13820" Type="http://schemas.openxmlformats.org/officeDocument/2006/relationships/hyperlink" Target="https://maps.google.com/?q=17.14485061778834,-97.76387798447546" TargetMode="External"/><Relationship Id="rId8043" Type="http://schemas.openxmlformats.org/officeDocument/2006/relationships/hyperlink" Target="https://maps.google.com/?q=16.4944220636834,-97.376390244655795" TargetMode="External"/><Relationship Id="rId9441" Type="http://schemas.openxmlformats.org/officeDocument/2006/relationships/hyperlink" Target="https://maps.google.com/?q=15.8330183869901,-96.655672618475094" TargetMode="External"/><Relationship Id="rId11371" Type="http://schemas.openxmlformats.org/officeDocument/2006/relationships/hyperlink" Target="https://maps.google.com/?q=16.3700791162573,-94.200703338045898" TargetMode="External"/><Relationship Id="rId12422" Type="http://schemas.openxmlformats.org/officeDocument/2006/relationships/hyperlink" Target="https://maps.google.com/?q=16.5589249218179,-96.8163062269349" TargetMode="External"/><Relationship Id="rId800" Type="http://schemas.openxmlformats.org/officeDocument/2006/relationships/hyperlink" Target="https://maps.google.com/?q=15.691957568850174,-96.520931480276616" TargetMode="External"/><Relationship Id="rId1430" Type="http://schemas.openxmlformats.org/officeDocument/2006/relationships/hyperlink" Target="https://maps.google.com/?q=17.04663,-96.71338" TargetMode="External"/><Relationship Id="rId11024" Type="http://schemas.openxmlformats.org/officeDocument/2006/relationships/hyperlink" Target="https://maps.google.com/?q=17.159735,-97.186177000000001" TargetMode="External"/><Relationship Id="rId4653" Type="http://schemas.openxmlformats.org/officeDocument/2006/relationships/hyperlink" Target="https://maps.google.com/?q=17.071964,-96.742474000000001" TargetMode="External"/><Relationship Id="rId5704" Type="http://schemas.openxmlformats.org/officeDocument/2006/relationships/hyperlink" Target="https://maps.google.com/?q=17.42953266,-96.284228940000006" TargetMode="External"/><Relationship Id="rId13196" Type="http://schemas.openxmlformats.org/officeDocument/2006/relationships/hyperlink" Target="https://maps.google.com/?q=17.335259002491,-97.368610093823605" TargetMode="External"/><Relationship Id="rId3255" Type="http://schemas.openxmlformats.org/officeDocument/2006/relationships/hyperlink" Target="https://maps.google.com/?q=17.0585009268553,-96.821081184026696" TargetMode="External"/><Relationship Id="rId4306" Type="http://schemas.openxmlformats.org/officeDocument/2006/relationships/hyperlink" Target="https://maps.google.com/?q=16.0181543449883,-96.569432224773806" TargetMode="External"/><Relationship Id="rId7876" Type="http://schemas.openxmlformats.org/officeDocument/2006/relationships/hyperlink" Target="https://maps.google.com/?q=16.3172947759412,-96.409791740172295" TargetMode="External"/><Relationship Id="rId8927" Type="http://schemas.openxmlformats.org/officeDocument/2006/relationships/hyperlink" Target="https://maps.google.com/?q=17.380927235,-96.163982516999994" TargetMode="External"/><Relationship Id="rId176" Type="http://schemas.openxmlformats.org/officeDocument/2006/relationships/hyperlink" Target="https://maps.google.com/?q=17.096245,-97.496556999999996" TargetMode="External"/><Relationship Id="rId6478" Type="http://schemas.openxmlformats.org/officeDocument/2006/relationships/hyperlink" Target="https://maps.google.com/?q=17.238783883747,-97.552714970244693" TargetMode="External"/><Relationship Id="rId7529" Type="http://schemas.openxmlformats.org/officeDocument/2006/relationships/hyperlink" Target="https://maps.google.com/?q=17.9755623917219,-96.706141529372999" TargetMode="External"/><Relationship Id="rId10857" Type="http://schemas.openxmlformats.org/officeDocument/2006/relationships/hyperlink" Target="https://maps.google.com/?q=16.3476105161458,-94.482113889549197" TargetMode="External"/><Relationship Id="rId11908" Type="http://schemas.openxmlformats.org/officeDocument/2006/relationships/hyperlink" Target="https://maps.google.com/?q=17.09316600479141,-96.74220224716845" TargetMode="External"/><Relationship Id="rId13330" Type="http://schemas.openxmlformats.org/officeDocument/2006/relationships/hyperlink" Target="https://maps.google.com/?q=17.4555881201294,-98.006379822090096" TargetMode="External"/><Relationship Id="rId310" Type="http://schemas.openxmlformats.org/officeDocument/2006/relationships/hyperlink" Target="https://maps.google.com/?q=16.059803,-97.387564999999995" TargetMode="External"/><Relationship Id="rId5561" Type="http://schemas.openxmlformats.org/officeDocument/2006/relationships/hyperlink" Target="https://maps.google.com/?q=17.6007109788761,-96.120839860119105" TargetMode="External"/><Relationship Id="rId6612" Type="http://schemas.openxmlformats.org/officeDocument/2006/relationships/hyperlink" Target="https://maps.google.com/?q=16.877088,-96.618853" TargetMode="External"/><Relationship Id="rId4163" Type="http://schemas.openxmlformats.org/officeDocument/2006/relationships/hyperlink" Target="https://maps.google.com/?q=15.777597411199,-96.436800543164694" TargetMode="External"/><Relationship Id="rId5214" Type="http://schemas.openxmlformats.org/officeDocument/2006/relationships/hyperlink" Target="https://maps.google.com/?q=17.2771945021216,-97.370289069999998" TargetMode="External"/><Relationship Id="rId8784" Type="http://schemas.openxmlformats.org/officeDocument/2006/relationships/hyperlink" Target="https://maps.google.com/?q=17.210592,-96.251723999999996" TargetMode="External"/><Relationship Id="rId9835" Type="http://schemas.openxmlformats.org/officeDocument/2006/relationships/hyperlink" Target="https://maps.google.com/?q=16.632825480809,-96.8502243896191" TargetMode="External"/><Relationship Id="rId11765" Type="http://schemas.openxmlformats.org/officeDocument/2006/relationships/hyperlink" Target="https://maps.google.com/?q=16.656533240877593,-98.0966971276474" TargetMode="External"/><Relationship Id="rId49" Type="http://schemas.openxmlformats.org/officeDocument/2006/relationships/hyperlink" Target="https://maps.google.com/?q=15.910022,-96.449900999999997" TargetMode="External"/><Relationship Id="rId1824" Type="http://schemas.openxmlformats.org/officeDocument/2006/relationships/hyperlink" Target="https://maps.google.com/?q=18.0355778018975,-96.8979970038922" TargetMode="External"/><Relationship Id="rId7386" Type="http://schemas.openxmlformats.org/officeDocument/2006/relationships/hyperlink" Target="https://maps.google.com/?q=17.0445601252254,-97.298814113828598" TargetMode="External"/><Relationship Id="rId8437" Type="http://schemas.openxmlformats.org/officeDocument/2006/relationships/hyperlink" Target="https://maps.google.com/?q=17.0608393718031,-96.822337775955901" TargetMode="External"/><Relationship Id="rId10367" Type="http://schemas.openxmlformats.org/officeDocument/2006/relationships/hyperlink" Target="https://maps.google.com/?q=17.4366066789175,-96.653788751976293" TargetMode="External"/><Relationship Id="rId11418" Type="http://schemas.openxmlformats.org/officeDocument/2006/relationships/hyperlink" Target="https://maps.google.com/?q=17.3796490522777,-98.189710697097397" TargetMode="External"/><Relationship Id="rId12816" Type="http://schemas.openxmlformats.org/officeDocument/2006/relationships/hyperlink" Target="https://maps.google.com/?q=17.8493186841909,-97.445402084655797" TargetMode="External"/><Relationship Id="rId7039" Type="http://schemas.openxmlformats.org/officeDocument/2006/relationships/hyperlink" Target="https://maps.google.com/?q=17.0451628210281,-97.298004094176903" TargetMode="External"/><Relationship Id="rId2598" Type="http://schemas.openxmlformats.org/officeDocument/2006/relationships/hyperlink" Target="https://maps.google.com/?q=18.249861,-96.288908000000006" TargetMode="External"/><Relationship Id="rId3996" Type="http://schemas.openxmlformats.org/officeDocument/2006/relationships/hyperlink" Target="https://maps.google.com/?q=17.05386,-96.735390" TargetMode="External"/><Relationship Id="rId3649" Type="http://schemas.openxmlformats.org/officeDocument/2006/relationships/hyperlink" Target="https://maps.google.com/?q=15.77896438068461,-96.137856917270753" TargetMode="External"/><Relationship Id="rId5071" Type="http://schemas.openxmlformats.org/officeDocument/2006/relationships/hyperlink" Target="https://maps.google.com/?q=17.252553,-96.155405000000002" TargetMode="External"/><Relationship Id="rId6122" Type="http://schemas.openxmlformats.org/officeDocument/2006/relationships/hyperlink" Target="https://maps.google.com/?q=16.94965858,-96.614754189999999" TargetMode="External"/><Relationship Id="rId7520" Type="http://schemas.openxmlformats.org/officeDocument/2006/relationships/hyperlink" Target="https://maps.google.com/?q=17.9743816686824,-96.704007437374898" TargetMode="External"/><Relationship Id="rId10501" Type="http://schemas.openxmlformats.org/officeDocument/2006/relationships/hyperlink" Target="https://maps.google.com/?q=17.8460359108456,-96.744236913308399" TargetMode="External"/><Relationship Id="rId9692" Type="http://schemas.openxmlformats.org/officeDocument/2006/relationships/hyperlink" Target="https://maps.google.com/?q=18.0764119628017,-96.127864525344407" TargetMode="External"/><Relationship Id="rId12673" Type="http://schemas.openxmlformats.org/officeDocument/2006/relationships/hyperlink" Target="https://maps.google.com/?q=16.9211920553469,-97.894336217473395" TargetMode="External"/><Relationship Id="rId13724" Type="http://schemas.openxmlformats.org/officeDocument/2006/relationships/hyperlink" Target="https://maps.google.com/?q=16.792712,-95.368638" TargetMode="External"/><Relationship Id="rId1681" Type="http://schemas.openxmlformats.org/officeDocument/2006/relationships/hyperlink" Target="https://maps.google.com/?q=18.0057450677888,-96.895352402882807" TargetMode="External"/><Relationship Id="rId2732" Type="http://schemas.openxmlformats.org/officeDocument/2006/relationships/hyperlink" Target="https://maps.google.com/?q=18.0302162048203,-96.2451454110449" TargetMode="External"/><Relationship Id="rId8294" Type="http://schemas.openxmlformats.org/officeDocument/2006/relationships/hyperlink" Target="https://maps.google.com/?q=16.535871,-98.035864000000004" TargetMode="External"/><Relationship Id="rId9345" Type="http://schemas.openxmlformats.org/officeDocument/2006/relationships/hyperlink" Target="https://maps.google.com/?q=16.8175244975425,-95.142786962612206" TargetMode="External"/><Relationship Id="rId11275" Type="http://schemas.openxmlformats.org/officeDocument/2006/relationships/hyperlink" Target="https://maps.google.com/?q=17.8658625592317,-96.308269286661897" TargetMode="External"/><Relationship Id="rId12326" Type="http://schemas.openxmlformats.org/officeDocument/2006/relationships/hyperlink" Target="https://maps.google.com/?q=16.90995,-96.720399" TargetMode="External"/><Relationship Id="rId704" Type="http://schemas.openxmlformats.org/officeDocument/2006/relationships/hyperlink" Target="https://maps.google.com/?q=16.063052,-97.382220000000004" TargetMode="External"/><Relationship Id="rId1334" Type="http://schemas.openxmlformats.org/officeDocument/2006/relationships/hyperlink" Target="https://maps.google.com/?q=17.0180847,-96.71867719" TargetMode="External"/><Relationship Id="rId5955" Type="http://schemas.openxmlformats.org/officeDocument/2006/relationships/hyperlink" Target="https://maps.google.com/?q=18.153977202275975,-96.572891941228917" TargetMode="External"/><Relationship Id="rId40" Type="http://schemas.openxmlformats.org/officeDocument/2006/relationships/hyperlink" Target="https://maps.google.com/?q=17.221163,-97.122288999999995" TargetMode="External"/><Relationship Id="rId4557" Type="http://schemas.openxmlformats.org/officeDocument/2006/relationships/hyperlink" Target="https://maps.google.com/?q=17.185436658675,-97.303489961971295" TargetMode="External"/><Relationship Id="rId5608" Type="http://schemas.openxmlformats.org/officeDocument/2006/relationships/hyperlink" Target="https://maps.google.com/?q=17.5481694746077,-96.223270127290803" TargetMode="External"/><Relationship Id="rId3159" Type="http://schemas.openxmlformats.org/officeDocument/2006/relationships/hyperlink" Target="https://maps.google.com/?q=16.544496,-97.496477999999996" TargetMode="External"/><Relationship Id="rId7030" Type="http://schemas.openxmlformats.org/officeDocument/2006/relationships/hyperlink" Target="https://maps.google.com/?q=17.0439601890529,-97.295239403806804" TargetMode="External"/><Relationship Id="rId10011" Type="http://schemas.openxmlformats.org/officeDocument/2006/relationships/hyperlink" Target="https://maps.google.com/?q=17.0091547385424,-96.076010438836093" TargetMode="External"/><Relationship Id="rId13581" Type="http://schemas.openxmlformats.org/officeDocument/2006/relationships/hyperlink" Target="https://maps.google.com/?q=16.519807,-96.983885000000001" TargetMode="External"/><Relationship Id="rId1191" Type="http://schemas.openxmlformats.org/officeDocument/2006/relationships/hyperlink" Target="https://maps.google.com/?q=16.793586,-96.688645" TargetMode="External"/><Relationship Id="rId3640" Type="http://schemas.openxmlformats.org/officeDocument/2006/relationships/hyperlink" Target="https://maps.google.com/?q=15.778011398771005,-96.137497244690152" TargetMode="External"/><Relationship Id="rId12183" Type="http://schemas.openxmlformats.org/officeDocument/2006/relationships/hyperlink" Target="https://maps.google.com/?q=17.416835518697,-95.944089249410297" TargetMode="External"/><Relationship Id="rId13234" Type="http://schemas.openxmlformats.org/officeDocument/2006/relationships/hyperlink" Target="https://maps.google.com/?q=17.1395233072317,-96.7505808510451" TargetMode="External"/><Relationship Id="rId561" Type="http://schemas.openxmlformats.org/officeDocument/2006/relationships/hyperlink" Target="https://maps.google.com/?q=16.052147,-97.401859999999999" TargetMode="External"/><Relationship Id="rId2242" Type="http://schemas.openxmlformats.org/officeDocument/2006/relationships/hyperlink" Target="https://maps.google.com/?q=16.513295,-96.974756999999997" TargetMode="External"/><Relationship Id="rId6863" Type="http://schemas.openxmlformats.org/officeDocument/2006/relationships/hyperlink" Target="https://maps.google.com/?q=16.9687371176243,-97.083645927578004" TargetMode="External"/><Relationship Id="rId7914" Type="http://schemas.openxmlformats.org/officeDocument/2006/relationships/hyperlink" Target="https://maps.google.com/?q=16.3198647439292,-96.410570093253995" TargetMode="External"/><Relationship Id="rId214" Type="http://schemas.openxmlformats.org/officeDocument/2006/relationships/hyperlink" Target="https://maps.google.com/?q=17.093053,-97.497435999999993" TargetMode="External"/><Relationship Id="rId5465" Type="http://schemas.openxmlformats.org/officeDocument/2006/relationships/hyperlink" Target="https://maps.google.com/?q=16.0103937770161,-97.429891091163995" TargetMode="External"/><Relationship Id="rId6516" Type="http://schemas.openxmlformats.org/officeDocument/2006/relationships/hyperlink" Target="https://maps.google.com/?q=17.2501318722417,-97.565565292281804" TargetMode="External"/><Relationship Id="rId4067" Type="http://schemas.openxmlformats.org/officeDocument/2006/relationships/hyperlink" Target="https://maps.google.com/?q=17.081197,-96.727012" TargetMode="External"/><Relationship Id="rId5118" Type="http://schemas.openxmlformats.org/officeDocument/2006/relationships/hyperlink" Target="https://maps.google.com/?q=17.253887,-96.154815999999997" TargetMode="External"/><Relationship Id="rId8688" Type="http://schemas.openxmlformats.org/officeDocument/2006/relationships/hyperlink" Target="https://maps.google.com/?q=16.1867535990079,-96.616785492298007" TargetMode="External"/><Relationship Id="rId9739" Type="http://schemas.openxmlformats.org/officeDocument/2006/relationships/hyperlink" Target="https://maps.google.com/?q=17.2726292395848,-96.806091280473197" TargetMode="External"/><Relationship Id="rId11669" Type="http://schemas.openxmlformats.org/officeDocument/2006/relationships/hyperlink" Target="https://maps.google.com/?q=17.17452603,-97.710073530000003" TargetMode="External"/><Relationship Id="rId13091" Type="http://schemas.openxmlformats.org/officeDocument/2006/relationships/hyperlink" Target="https://maps.google.com/?q=16.5646085,-97.535416299999994" TargetMode="External"/><Relationship Id="rId1728" Type="http://schemas.openxmlformats.org/officeDocument/2006/relationships/hyperlink" Target="https://maps.google.com/?q=18.0635282528579,-96.832623454418098" TargetMode="External"/><Relationship Id="rId3150" Type="http://schemas.openxmlformats.org/officeDocument/2006/relationships/hyperlink" Target="https://maps.google.com/?q=16.588094,-97.441717999999995" TargetMode="External"/><Relationship Id="rId4201" Type="http://schemas.openxmlformats.org/officeDocument/2006/relationships/hyperlink" Target="https://maps.google.com/?q=16.279058,-97.820240999999996" TargetMode="External"/><Relationship Id="rId14142" Type="http://schemas.openxmlformats.org/officeDocument/2006/relationships/hyperlink" Target="https://maps.google.com/?q=16.23291800479365,-97.13745070436859" TargetMode="External"/><Relationship Id="rId7771" Type="http://schemas.openxmlformats.org/officeDocument/2006/relationships/hyperlink" Target="https://maps.google.com/?q=16.1021853766187,-96.193271715075994" TargetMode="External"/><Relationship Id="rId8822" Type="http://schemas.openxmlformats.org/officeDocument/2006/relationships/hyperlink" Target="https://maps.google.com/?q=17.216058,-96.247677999999993" TargetMode="External"/><Relationship Id="rId10752" Type="http://schemas.openxmlformats.org/officeDocument/2006/relationships/hyperlink" Target="https://maps.google.com/?q=16.553221654309,-94.947453275840601" TargetMode="External"/><Relationship Id="rId11803" Type="http://schemas.openxmlformats.org/officeDocument/2006/relationships/hyperlink" Target="https://maps.google.com/?q=17.763573107257905,-96.13872979993057" TargetMode="External"/><Relationship Id="rId6373" Type="http://schemas.openxmlformats.org/officeDocument/2006/relationships/hyperlink" Target="https://maps.google.com/?q=17.849409,-97.580515" TargetMode="External"/><Relationship Id="rId7424" Type="http://schemas.openxmlformats.org/officeDocument/2006/relationships/hyperlink" Target="https://maps.google.com/?q=17.03831,-97.052276000000006" TargetMode="External"/><Relationship Id="rId10405" Type="http://schemas.openxmlformats.org/officeDocument/2006/relationships/hyperlink" Target="https://maps.google.com/?q=17.04399,-96.785453000000004" TargetMode="External"/><Relationship Id="rId13975" Type="http://schemas.openxmlformats.org/officeDocument/2006/relationships/hyperlink" Target="https://maps.google.com/?q=16.13891926,-97.75158481" TargetMode="External"/><Relationship Id="rId2983" Type="http://schemas.openxmlformats.org/officeDocument/2006/relationships/hyperlink" Target="https://maps.google.com/?q=17.912958561748,-97.996155798776599" TargetMode="External"/><Relationship Id="rId6026" Type="http://schemas.openxmlformats.org/officeDocument/2006/relationships/hyperlink" Target="https://maps.google.com/?q=18.156142432665717,-96.577116607254482" TargetMode="External"/><Relationship Id="rId9596" Type="http://schemas.openxmlformats.org/officeDocument/2006/relationships/hyperlink" Target="https://maps.google.com/?q=17.9947293822949,-96.745216904666904" TargetMode="External"/><Relationship Id="rId12577" Type="http://schemas.openxmlformats.org/officeDocument/2006/relationships/hyperlink" Target="https://maps.google.com/?q=16.6248974536977,-96.961480387539794" TargetMode="External"/><Relationship Id="rId13628" Type="http://schemas.openxmlformats.org/officeDocument/2006/relationships/hyperlink" Target="https://maps.google.com/?q=16.791653,-96.675106" TargetMode="External"/><Relationship Id="rId955" Type="http://schemas.openxmlformats.org/officeDocument/2006/relationships/hyperlink" Target="https://maps.google.com/?q=15.683817089076797,-96.511462143277043" TargetMode="External"/><Relationship Id="rId1585" Type="http://schemas.openxmlformats.org/officeDocument/2006/relationships/hyperlink" Target="https://maps.google.com/?q=16.56718131,-96.698915200000002" TargetMode="External"/><Relationship Id="rId2636" Type="http://schemas.openxmlformats.org/officeDocument/2006/relationships/hyperlink" Target="https://maps.google.com/?q=18.083708,-96.164591000000001" TargetMode="External"/><Relationship Id="rId8198" Type="http://schemas.openxmlformats.org/officeDocument/2006/relationships/hyperlink" Target="https://maps.google.com/?q=16.671076,-96.309008000000006" TargetMode="External"/><Relationship Id="rId9249" Type="http://schemas.openxmlformats.org/officeDocument/2006/relationships/hyperlink" Target="https://maps.google.com/?q=17.3771684898547,-96.301241993754601" TargetMode="External"/><Relationship Id="rId11179" Type="http://schemas.openxmlformats.org/officeDocument/2006/relationships/hyperlink" Target="https://maps.google.com/?q=16.84434,-96.009466000000003" TargetMode="External"/><Relationship Id="rId608" Type="http://schemas.openxmlformats.org/officeDocument/2006/relationships/hyperlink" Target="https://maps.google.com/?q=16.054878,-97.396080999999995" TargetMode="External"/><Relationship Id="rId1238" Type="http://schemas.openxmlformats.org/officeDocument/2006/relationships/hyperlink" Target="https://maps.google.com/?q=17.055812719,-96.7456976" TargetMode="External"/><Relationship Id="rId5859" Type="http://schemas.openxmlformats.org/officeDocument/2006/relationships/hyperlink" Target="https://maps.google.com/?q=15.9719635885251,-97.242925798557906" TargetMode="External"/><Relationship Id="rId7281" Type="http://schemas.openxmlformats.org/officeDocument/2006/relationships/hyperlink" Target="https://maps.google.com/?q=16.3042547999807,-97.908932698004193" TargetMode="External"/><Relationship Id="rId8332" Type="http://schemas.openxmlformats.org/officeDocument/2006/relationships/hyperlink" Target="https://maps.google.com/?q=16.8417135521498,-97.203219093833198" TargetMode="External"/><Relationship Id="rId9730" Type="http://schemas.openxmlformats.org/officeDocument/2006/relationships/hyperlink" Target="https://maps.google.com/?q=17.2704677982375,-96.792707953925301" TargetMode="External"/><Relationship Id="rId11660" Type="http://schemas.openxmlformats.org/officeDocument/2006/relationships/hyperlink" Target="https://maps.google.com/?q=17.17383376,-97.709539419999999" TargetMode="External"/><Relationship Id="rId12711" Type="http://schemas.openxmlformats.org/officeDocument/2006/relationships/hyperlink" Target="https://maps.google.com/?q=16.2845746437792,-96.504739411045094" TargetMode="External"/><Relationship Id="rId10262" Type="http://schemas.openxmlformats.org/officeDocument/2006/relationships/hyperlink" Target="https://maps.google.com/?q=16.244552,-95.151570000000007" TargetMode="External"/><Relationship Id="rId11313" Type="http://schemas.openxmlformats.org/officeDocument/2006/relationships/hyperlink" Target="https://maps.google.com/?q=17.8687691671653,-96.308834910000002" TargetMode="External"/><Relationship Id="rId3891" Type="http://schemas.openxmlformats.org/officeDocument/2006/relationships/hyperlink" Target="https://maps.google.com/?q=17.0921228283839,-96.067188822090102" TargetMode="External"/><Relationship Id="rId4942" Type="http://schemas.openxmlformats.org/officeDocument/2006/relationships/hyperlink" Target="https://maps.google.com/?q=18.034342,-96.668385000000001" TargetMode="External"/><Relationship Id="rId13485" Type="http://schemas.openxmlformats.org/officeDocument/2006/relationships/hyperlink" Target="https://maps.google.com/?q=17.6895373195044,-97.035956864734402" TargetMode="External"/><Relationship Id="rId2493" Type="http://schemas.openxmlformats.org/officeDocument/2006/relationships/hyperlink" Target="https://maps.google.com/?q=17.05204732,-96.624141409999993" TargetMode="External"/><Relationship Id="rId3544" Type="http://schemas.openxmlformats.org/officeDocument/2006/relationships/hyperlink" Target="https://maps.google.com/?q=15.757868736304358,-96.148224324534851" TargetMode="External"/><Relationship Id="rId12087" Type="http://schemas.openxmlformats.org/officeDocument/2006/relationships/hyperlink" Target="https://maps.google.com/?q=16.24651643,-95.325430389999994" TargetMode="External"/><Relationship Id="rId13138" Type="http://schemas.openxmlformats.org/officeDocument/2006/relationships/hyperlink" Target="https://maps.google.com/?q=17.1873693447017,-96.514009506780596" TargetMode="External"/><Relationship Id="rId465" Type="http://schemas.openxmlformats.org/officeDocument/2006/relationships/hyperlink" Target="https://maps.google.com/?q=16.05364,-97.409344000000004" TargetMode="External"/><Relationship Id="rId1095" Type="http://schemas.openxmlformats.org/officeDocument/2006/relationships/hyperlink" Target="https://maps.google.com/?q=16.8838,-97.677070000000001" TargetMode="External"/><Relationship Id="rId2146" Type="http://schemas.openxmlformats.org/officeDocument/2006/relationships/hyperlink" Target="https://maps.google.com/?q=15.764316,-96.141251999999994" TargetMode="External"/><Relationship Id="rId6767" Type="http://schemas.openxmlformats.org/officeDocument/2006/relationships/hyperlink" Target="https://maps.google.com/?q=16.7097971775351,-97.020712415374504" TargetMode="External"/><Relationship Id="rId7818" Type="http://schemas.openxmlformats.org/officeDocument/2006/relationships/hyperlink" Target="https://maps.google.com/?q=17.84677885,-96.74538404" TargetMode="External"/><Relationship Id="rId118" Type="http://schemas.openxmlformats.org/officeDocument/2006/relationships/hyperlink" Target="https://maps.google.com/?q=17.094916,-97.496458000000004" TargetMode="External"/><Relationship Id="rId5369" Type="http://schemas.openxmlformats.org/officeDocument/2006/relationships/hyperlink" Target="https://maps.google.com/?q=15.9724805900906,-97.242973325930805" TargetMode="External"/><Relationship Id="rId9240" Type="http://schemas.openxmlformats.org/officeDocument/2006/relationships/hyperlink" Target="https://maps.google.com/?q=17.3766401042195,-96.301583915352097" TargetMode="External"/><Relationship Id="rId11170" Type="http://schemas.openxmlformats.org/officeDocument/2006/relationships/hyperlink" Target="https://maps.google.com/?q=16.843299,-96.008065999999999" TargetMode="External"/><Relationship Id="rId12221" Type="http://schemas.openxmlformats.org/officeDocument/2006/relationships/hyperlink" Target="https://maps.google.com/?q=17.4189576802265,-95.950643829220795" TargetMode="External"/><Relationship Id="rId1979" Type="http://schemas.openxmlformats.org/officeDocument/2006/relationships/hyperlink" Target="https://maps.google.com/?q=15.774699,-96.144537999999997" TargetMode="External"/><Relationship Id="rId5850" Type="http://schemas.openxmlformats.org/officeDocument/2006/relationships/hyperlink" Target="https://maps.google.com/?q=16.0941235989817,-97.6985214419268" TargetMode="External"/><Relationship Id="rId6901" Type="http://schemas.openxmlformats.org/officeDocument/2006/relationships/hyperlink" Target="https://maps.google.com/?q=16.9750438757318,-97.089176253967295" TargetMode="External"/><Relationship Id="rId3054" Type="http://schemas.openxmlformats.org/officeDocument/2006/relationships/hyperlink" Target="https://maps.google.com/?q=16.9636073567119,-96.941300888343207" TargetMode="External"/><Relationship Id="rId4452" Type="http://schemas.openxmlformats.org/officeDocument/2006/relationships/hyperlink" Target="https://maps.google.com/?q=17.608716,-98.010305000000002" TargetMode="External"/><Relationship Id="rId5503" Type="http://schemas.openxmlformats.org/officeDocument/2006/relationships/hyperlink" Target="https://maps.google.com/?q=16.341958,-96.489814999999993" TargetMode="External"/><Relationship Id="rId14046" Type="http://schemas.openxmlformats.org/officeDocument/2006/relationships/hyperlink" Target="https://maps.google.com/?q=17.068498,-96.720205%20" TargetMode="External"/><Relationship Id="rId4105" Type="http://schemas.openxmlformats.org/officeDocument/2006/relationships/hyperlink" Target="https://maps.google.com/?q=17.058588,-96.743084899999999" TargetMode="External"/><Relationship Id="rId7675" Type="http://schemas.openxmlformats.org/officeDocument/2006/relationships/hyperlink" Target="https://maps.google.com/?q=17.1995620715703,-97.514319241105099" TargetMode="External"/><Relationship Id="rId8726" Type="http://schemas.openxmlformats.org/officeDocument/2006/relationships/hyperlink" Target="https://maps.google.com/?q=17.0578782577326,-96.826004845664499" TargetMode="External"/><Relationship Id="rId10656" Type="http://schemas.openxmlformats.org/officeDocument/2006/relationships/hyperlink" Target="https://maps.google.com/?q=17.1239691220703,-97.792245502947395" TargetMode="External"/><Relationship Id="rId11707" Type="http://schemas.openxmlformats.org/officeDocument/2006/relationships/hyperlink" Target="https://maps.google.com/?q=17.18283531,-97.708856040000001" TargetMode="External"/><Relationship Id="rId6277" Type="http://schemas.openxmlformats.org/officeDocument/2006/relationships/hyperlink" Target="https://maps.google.com/?q=16.4178627685917,-96.724394499966493" TargetMode="External"/><Relationship Id="rId7328" Type="http://schemas.openxmlformats.org/officeDocument/2006/relationships/hyperlink" Target="https://maps.google.com/?q=16.73025557,-96.47293243" TargetMode="External"/><Relationship Id="rId10309" Type="http://schemas.openxmlformats.org/officeDocument/2006/relationships/hyperlink" Target="https://maps.google.com/?q=16.22450227,-97.265035949999998" TargetMode="External"/><Relationship Id="rId2887" Type="http://schemas.openxmlformats.org/officeDocument/2006/relationships/hyperlink" Target="https://maps.google.com/?q=18.229909,-96.282379000000006" TargetMode="External"/><Relationship Id="rId13879" Type="http://schemas.openxmlformats.org/officeDocument/2006/relationships/hyperlink" Target="https://maps.google.com/?q=16.2748954274943,-96.593506326100794" TargetMode="External"/><Relationship Id="rId859" Type="http://schemas.openxmlformats.org/officeDocument/2006/relationships/hyperlink" Target="https://maps.google.com/?q=15.70866967897745,-96.526473390800248" TargetMode="External"/><Relationship Id="rId1489" Type="http://schemas.openxmlformats.org/officeDocument/2006/relationships/hyperlink" Target="https://maps.google.com/?q=17.058954,-96.752435000000006" TargetMode="External"/><Relationship Id="rId3938" Type="http://schemas.openxmlformats.org/officeDocument/2006/relationships/hyperlink" Target="https://maps.google.com/?q=17.059171,-96.750380000000007" TargetMode="External"/><Relationship Id="rId5360" Type="http://schemas.openxmlformats.org/officeDocument/2006/relationships/hyperlink" Target="https://maps.google.com/?q=16.1110068649833,-97.597940305557202" TargetMode="External"/><Relationship Id="rId6411" Type="http://schemas.openxmlformats.org/officeDocument/2006/relationships/hyperlink" Target="https://maps.google.com/?q=17.2113977643764,-97.583711344183101" TargetMode="External"/><Relationship Id="rId5013" Type="http://schemas.openxmlformats.org/officeDocument/2006/relationships/hyperlink" Target="https://maps.google.com/?q=17.37356252126644,-96.33338229447746" TargetMode="External"/><Relationship Id="rId9981" Type="http://schemas.openxmlformats.org/officeDocument/2006/relationships/hyperlink" Target="https://maps.google.com/?q=16.109735501003,-95.385294868182299" TargetMode="External"/><Relationship Id="rId12962" Type="http://schemas.openxmlformats.org/officeDocument/2006/relationships/hyperlink" Target="https://maps.google.com/?q=16.5096605,-97.479064600000001" TargetMode="External"/><Relationship Id="rId1970" Type="http://schemas.openxmlformats.org/officeDocument/2006/relationships/hyperlink" Target="https://maps.google.com/?q=15.784713248958457,-96.135509822313992" TargetMode="External"/><Relationship Id="rId7185" Type="http://schemas.openxmlformats.org/officeDocument/2006/relationships/hyperlink" Target="https://maps.google.com/?q=16.2217444913708,-97.921250843467703" TargetMode="External"/><Relationship Id="rId8583" Type="http://schemas.openxmlformats.org/officeDocument/2006/relationships/hyperlink" Target="https://maps.google.com/?q=16.9334084774286,-96.602268898147599" TargetMode="External"/><Relationship Id="rId9634" Type="http://schemas.openxmlformats.org/officeDocument/2006/relationships/hyperlink" Target="https://maps.google.com/?q=17.1539951718671,-96.754561775582104" TargetMode="External"/><Relationship Id="rId11564" Type="http://schemas.openxmlformats.org/officeDocument/2006/relationships/hyperlink" Target="https://maps.google.com/?q=16.8466205545898,-96.747789023313501" TargetMode="External"/><Relationship Id="rId12615" Type="http://schemas.openxmlformats.org/officeDocument/2006/relationships/hyperlink" Target="https://maps.google.com/?q=17.118447,-96.850690999999998" TargetMode="External"/><Relationship Id="rId1623" Type="http://schemas.openxmlformats.org/officeDocument/2006/relationships/hyperlink" Target="https://maps.google.com/?q=17.760868,-96.081631000000002" TargetMode="External"/><Relationship Id="rId8236" Type="http://schemas.openxmlformats.org/officeDocument/2006/relationships/hyperlink" Target="https://maps.google.com/?q=16.423976,-97.642709999999994" TargetMode="External"/><Relationship Id="rId10166" Type="http://schemas.openxmlformats.org/officeDocument/2006/relationships/hyperlink" Target="https://maps.google.com/?q=17.1095358170606,-97.493486155901493" TargetMode="External"/><Relationship Id="rId11217" Type="http://schemas.openxmlformats.org/officeDocument/2006/relationships/hyperlink" Target="https://maps.google.com/?q=17.319055,-96.566724" TargetMode="External"/><Relationship Id="rId3795" Type="http://schemas.openxmlformats.org/officeDocument/2006/relationships/hyperlink" Target="https://maps.google.com/?q=15.770604655647452,-96.23442679830454" TargetMode="External"/><Relationship Id="rId4846" Type="http://schemas.openxmlformats.org/officeDocument/2006/relationships/hyperlink" Target="https://maps.google.com/?q=17.3381918070475,-96.167251361164105" TargetMode="External"/><Relationship Id="rId13389" Type="http://schemas.openxmlformats.org/officeDocument/2006/relationships/hyperlink" Target="https://maps.google.com/?q=16.3245841506935,-96.674866014715207" TargetMode="External"/><Relationship Id="rId2397" Type="http://schemas.openxmlformats.org/officeDocument/2006/relationships/hyperlink" Target="https://maps.google.com/?q=16.6002435482766,-97.219314198741898" TargetMode="External"/><Relationship Id="rId3448" Type="http://schemas.openxmlformats.org/officeDocument/2006/relationships/hyperlink" Target="https://maps.google.com/?q=16.4571000909136,-96.930352053898304" TargetMode="External"/><Relationship Id="rId369" Type="http://schemas.openxmlformats.org/officeDocument/2006/relationships/hyperlink" Target="https://maps.google.com/?q=16.053052,-97.410488000000001" TargetMode="External"/><Relationship Id="rId9491" Type="http://schemas.openxmlformats.org/officeDocument/2006/relationships/hyperlink" Target="https://maps.google.com/?q=17.320035560836192,-96.49489685210582" TargetMode="External"/><Relationship Id="rId10300" Type="http://schemas.openxmlformats.org/officeDocument/2006/relationships/hyperlink" Target="https://maps.google.com/?q=16.222648,-97.268995000000004" TargetMode="External"/><Relationship Id="rId13870" Type="http://schemas.openxmlformats.org/officeDocument/2006/relationships/hyperlink" Target="https://maps.google.com/?q=16.2695233257992,-96.580719376117202" TargetMode="External"/><Relationship Id="rId1480" Type="http://schemas.openxmlformats.org/officeDocument/2006/relationships/hyperlink" Target="https://maps.google.com/?q=17.058717,-96.753580999999997" TargetMode="External"/><Relationship Id="rId8093" Type="http://schemas.openxmlformats.org/officeDocument/2006/relationships/hyperlink" Target="https://maps.google.com/?q=17.3546650126478,-96.303425664477501" TargetMode="External"/><Relationship Id="rId9144" Type="http://schemas.openxmlformats.org/officeDocument/2006/relationships/hyperlink" Target="https://maps.google.com/?q=16.973535,-97.087316000000001" TargetMode="External"/><Relationship Id="rId12472" Type="http://schemas.openxmlformats.org/officeDocument/2006/relationships/hyperlink" Target="https://maps.google.com/?q=17.221939288541,-97.270813885084706" TargetMode="External"/><Relationship Id="rId13523" Type="http://schemas.openxmlformats.org/officeDocument/2006/relationships/hyperlink" Target="https://maps.google.com/?q=17.2047910932051,-97.52005129977042" TargetMode="External"/><Relationship Id="rId850" Type="http://schemas.openxmlformats.org/officeDocument/2006/relationships/hyperlink" Target="https://maps.google.com/?q=15.70842912388804,-96.525753902985201" TargetMode="External"/><Relationship Id="rId1133" Type="http://schemas.openxmlformats.org/officeDocument/2006/relationships/hyperlink" Target="https://maps.google.com/?q=17.091969,-97.501902999999999" TargetMode="External"/><Relationship Id="rId2531" Type="http://schemas.openxmlformats.org/officeDocument/2006/relationships/hyperlink" Target="https://maps.google.com/?q=17.05252649,-96.623760950000005" TargetMode="External"/><Relationship Id="rId11074" Type="http://schemas.openxmlformats.org/officeDocument/2006/relationships/hyperlink" Target="https://maps.google.com/?q=17.2879996019004,-97.381498191094593" TargetMode="External"/><Relationship Id="rId12125" Type="http://schemas.openxmlformats.org/officeDocument/2006/relationships/hyperlink" Target="https://maps.google.com/?q=16.2832476370993,-97.673439309192801" TargetMode="External"/><Relationship Id="rId503" Type="http://schemas.openxmlformats.org/officeDocument/2006/relationships/hyperlink" Target="https://maps.google.com/?q=16.054298,-97.409160999999997" TargetMode="External"/><Relationship Id="rId5754" Type="http://schemas.openxmlformats.org/officeDocument/2006/relationships/hyperlink" Target="https://maps.google.com/?q=18.049862972499,-96.7649462331352" TargetMode="External"/><Relationship Id="rId6805" Type="http://schemas.openxmlformats.org/officeDocument/2006/relationships/hyperlink" Target="https://maps.google.com/?q=16.36281045471804,-97.04587751768206" TargetMode="External"/><Relationship Id="rId4356" Type="http://schemas.openxmlformats.org/officeDocument/2006/relationships/hyperlink" Target="https://maps.google.com/?q=15.95949692,-96.637996270000002" TargetMode="External"/><Relationship Id="rId5407" Type="http://schemas.openxmlformats.org/officeDocument/2006/relationships/hyperlink" Target="https://maps.google.com/?q=16.0960875840682,-97.703325530671194" TargetMode="External"/><Relationship Id="rId8977" Type="http://schemas.openxmlformats.org/officeDocument/2006/relationships/hyperlink" Target="https://maps.google.com/?q=17.381759133,-96.165447975999996" TargetMode="External"/><Relationship Id="rId4009" Type="http://schemas.openxmlformats.org/officeDocument/2006/relationships/hyperlink" Target="https://maps.google.com/?q=17.01808469863598,-96.718677193270977" TargetMode="External"/><Relationship Id="rId7579" Type="http://schemas.openxmlformats.org/officeDocument/2006/relationships/hyperlink" Target="https://maps.google.com/?q=17.0928668345507,-95.855794378895595" TargetMode="External"/><Relationship Id="rId11958" Type="http://schemas.openxmlformats.org/officeDocument/2006/relationships/hyperlink" Target="https://maps.google.com/?q=16.7974638542822,-96.721975139881096" TargetMode="External"/><Relationship Id="rId13380" Type="http://schemas.openxmlformats.org/officeDocument/2006/relationships/hyperlink" Target="https://maps.google.com/?q=16.323819613258,-96.678498860118907" TargetMode="External"/><Relationship Id="rId13033" Type="http://schemas.openxmlformats.org/officeDocument/2006/relationships/hyperlink" Target="https://maps.google.com/?q=16.5611702,-97.540476699999999" TargetMode="External"/><Relationship Id="rId360" Type="http://schemas.openxmlformats.org/officeDocument/2006/relationships/hyperlink" Target="https://maps.google.com/?q=16.054064,-97.409265000000005" TargetMode="External"/><Relationship Id="rId2041" Type="http://schemas.openxmlformats.org/officeDocument/2006/relationships/hyperlink" Target="https://maps.google.com/?q=15.759978140790283,-96.142422354611625" TargetMode="External"/><Relationship Id="rId5264" Type="http://schemas.openxmlformats.org/officeDocument/2006/relationships/hyperlink" Target="https://maps.google.com/?q=15.7215070915438,-96.394889992304698" TargetMode="External"/><Relationship Id="rId6662" Type="http://schemas.openxmlformats.org/officeDocument/2006/relationships/hyperlink" Target="https://maps.google.com/?q=16.9363791344143,-97.011101434358594" TargetMode="External"/><Relationship Id="rId7713" Type="http://schemas.openxmlformats.org/officeDocument/2006/relationships/hyperlink" Target="https://maps.google.com/?q=16.6287496878513,-96.798289282943799" TargetMode="External"/><Relationship Id="rId6315" Type="http://schemas.openxmlformats.org/officeDocument/2006/relationships/hyperlink" Target="https://maps.google.com/?q=18.058313,-96.389829000000006" TargetMode="External"/><Relationship Id="rId9885" Type="http://schemas.openxmlformats.org/officeDocument/2006/relationships/hyperlink" Target="https://maps.google.com/?q=16.6374869823664,-96.851184476627196" TargetMode="External"/><Relationship Id="rId12866" Type="http://schemas.openxmlformats.org/officeDocument/2006/relationships/hyperlink" Target="https://maps.google.com/?q=17.518573,-97.682958999999997" TargetMode="External"/><Relationship Id="rId13917" Type="http://schemas.openxmlformats.org/officeDocument/2006/relationships/hyperlink" Target="https://maps.google.com/?q=16.8571404817746,-96.814781535089097" TargetMode="External"/><Relationship Id="rId99" Type="http://schemas.openxmlformats.org/officeDocument/2006/relationships/hyperlink" Target="https://maps.google.com/?q=17.095454,-97.498896000000002" TargetMode="External"/><Relationship Id="rId1874" Type="http://schemas.openxmlformats.org/officeDocument/2006/relationships/hyperlink" Target="https://maps.google.com/?q=15.775466076783605,-96.136917452146292" TargetMode="External"/><Relationship Id="rId2925" Type="http://schemas.openxmlformats.org/officeDocument/2006/relationships/hyperlink" Target="https://maps.google.com/?q=17.07649301,-96.66530865" TargetMode="External"/><Relationship Id="rId8487" Type="http://schemas.openxmlformats.org/officeDocument/2006/relationships/hyperlink" Target="https://maps.google.com/?q=17.1545105155789,-97.532240044418003" TargetMode="External"/><Relationship Id="rId9538" Type="http://schemas.openxmlformats.org/officeDocument/2006/relationships/hyperlink" Target="https://maps.google.com/?q=17.27344,-96.803691" TargetMode="External"/><Relationship Id="rId11468" Type="http://schemas.openxmlformats.org/officeDocument/2006/relationships/hyperlink" Target="https://maps.google.com/?q=16.011057,-97.426958999999997" TargetMode="External"/><Relationship Id="rId12519" Type="http://schemas.openxmlformats.org/officeDocument/2006/relationships/hyperlink" Target="https://maps.google.com/?q=17.2260712814964,-97.274147378844603" TargetMode="External"/><Relationship Id="rId1527" Type="http://schemas.openxmlformats.org/officeDocument/2006/relationships/hyperlink" Target="https://maps.google.com/?q=17.061861,-96.753832000000003" TargetMode="External"/><Relationship Id="rId7089" Type="http://schemas.openxmlformats.org/officeDocument/2006/relationships/hyperlink" Target="https://maps.google.com/?q=16.328897,-98.055421999999993" TargetMode="External"/><Relationship Id="rId3699" Type="http://schemas.openxmlformats.org/officeDocument/2006/relationships/hyperlink" Target="https://maps.google.com/?q=15.757713577715739,-96.139152867202782" TargetMode="External"/><Relationship Id="rId4000" Type="http://schemas.openxmlformats.org/officeDocument/2006/relationships/hyperlink" Target="https://maps.google.com/?q=17.094465,-96.7552640" TargetMode="External"/><Relationship Id="rId7570" Type="http://schemas.openxmlformats.org/officeDocument/2006/relationships/hyperlink" Target="https://maps.google.com/?q=17.3289206134524,-95.269989742362498" TargetMode="External"/><Relationship Id="rId8621" Type="http://schemas.openxmlformats.org/officeDocument/2006/relationships/hyperlink" Target="https://maps.google.com/?q=17.8975105066045,-96.711996190738006" TargetMode="External"/><Relationship Id="rId6172" Type="http://schemas.openxmlformats.org/officeDocument/2006/relationships/hyperlink" Target="https://maps.google.com/?q=16.1428862651351,-96.4172149776673" TargetMode="External"/><Relationship Id="rId7223" Type="http://schemas.openxmlformats.org/officeDocument/2006/relationships/hyperlink" Target="https://maps.google.com/?q=16.2289000680902,-97.943063938655996" TargetMode="External"/><Relationship Id="rId10551" Type="http://schemas.openxmlformats.org/officeDocument/2006/relationships/hyperlink" Target="https://maps.google.com/?q=17.0919669479383,-97.784458727324903" TargetMode="External"/><Relationship Id="rId11602" Type="http://schemas.openxmlformats.org/officeDocument/2006/relationships/hyperlink" Target="https://maps.google.com/?q=16.8360529426127,-96.725855135633907" TargetMode="External"/><Relationship Id="rId9395" Type="http://schemas.openxmlformats.org/officeDocument/2006/relationships/hyperlink" Target="https://maps.google.com/?q=16.8211548989391,-95.136832458598306" TargetMode="External"/><Relationship Id="rId10204" Type="http://schemas.openxmlformats.org/officeDocument/2006/relationships/hyperlink" Target="https://maps.google.com/?q=17.18229459,-97.38559041" TargetMode="External"/><Relationship Id="rId13774" Type="http://schemas.openxmlformats.org/officeDocument/2006/relationships/hyperlink" Target="https://maps.google.com/?q=16.791653,-96.675106" TargetMode="External"/><Relationship Id="rId2782" Type="http://schemas.openxmlformats.org/officeDocument/2006/relationships/hyperlink" Target="https://maps.google.com/?q=16.9922823233061,-97.703059273933803" TargetMode="External"/><Relationship Id="rId3833" Type="http://schemas.openxmlformats.org/officeDocument/2006/relationships/hyperlink" Target="https://maps.google.com/?q=16.9099807,%09-96.720373" TargetMode="External"/><Relationship Id="rId9048" Type="http://schemas.openxmlformats.org/officeDocument/2006/relationships/hyperlink" Target="https://maps.google.com/?q=16.054545,-95.487423000000007" TargetMode="External"/><Relationship Id="rId12376" Type="http://schemas.openxmlformats.org/officeDocument/2006/relationships/hyperlink" Target="https://maps.google.com/?q=17.841771,-96.880467" TargetMode="External"/><Relationship Id="rId13427" Type="http://schemas.openxmlformats.org/officeDocument/2006/relationships/hyperlink" Target="https://maps.google.com/?q=17.6808193379169,-97.0374130552254" TargetMode="External"/><Relationship Id="rId754" Type="http://schemas.openxmlformats.org/officeDocument/2006/relationships/hyperlink" Target="https://maps.google.com/?q=15.684420702745234,-96.511743582778777" TargetMode="External"/><Relationship Id="rId1384" Type="http://schemas.openxmlformats.org/officeDocument/2006/relationships/hyperlink" Target="https://maps.google.com/?q=17.063778,-96.729971000000006" TargetMode="External"/><Relationship Id="rId2435" Type="http://schemas.openxmlformats.org/officeDocument/2006/relationships/hyperlink" Target="https://maps.google.com/?q=17.051237,-96.624375900000004" TargetMode="External"/><Relationship Id="rId12029" Type="http://schemas.openxmlformats.org/officeDocument/2006/relationships/hyperlink" Target="https://maps.google.com/?q=16.8055036748762,-96.718808246362499" TargetMode="External"/><Relationship Id="rId90" Type="http://schemas.openxmlformats.org/officeDocument/2006/relationships/hyperlink" Target="https://maps.google.com/?q=15.832409,-96.463735999999997" TargetMode="External"/><Relationship Id="rId407" Type="http://schemas.openxmlformats.org/officeDocument/2006/relationships/hyperlink" Target="https://maps.google.com/?q=16.050431,-97.415443999999994" TargetMode="External"/><Relationship Id="rId1037" Type="http://schemas.openxmlformats.org/officeDocument/2006/relationships/hyperlink" Target="https://maps.google.com/?q=15.70549959228639,-96.524313305372075" TargetMode="External"/><Relationship Id="rId5658" Type="http://schemas.openxmlformats.org/officeDocument/2006/relationships/hyperlink" Target="https://maps.google.com/?q=16.436451,-97.854455999999999" TargetMode="External"/><Relationship Id="rId6709" Type="http://schemas.openxmlformats.org/officeDocument/2006/relationships/hyperlink" Target="https://maps.google.com/?q=17.0277732721682,-96.984356911161896" TargetMode="External"/><Relationship Id="rId7080" Type="http://schemas.openxmlformats.org/officeDocument/2006/relationships/hyperlink" Target="https://maps.google.com/?q=16.377623,-98.140668000000005" TargetMode="External"/><Relationship Id="rId8131" Type="http://schemas.openxmlformats.org/officeDocument/2006/relationships/hyperlink" Target="https://maps.google.com/?q=17.3555328827508,-96.304084142327895" TargetMode="External"/><Relationship Id="rId10061" Type="http://schemas.openxmlformats.org/officeDocument/2006/relationships/hyperlink" Target="https://maps.google.com/?q=16.9818290084468,-96.153747370847" TargetMode="External"/><Relationship Id="rId11112" Type="http://schemas.openxmlformats.org/officeDocument/2006/relationships/hyperlink" Target="https://maps.google.com/?q=16.045692,-96.883392" TargetMode="External"/><Relationship Id="rId12510" Type="http://schemas.openxmlformats.org/officeDocument/2006/relationships/hyperlink" Target="https://maps.google.com/?q=17.2254834265763,-97.274193993242093" TargetMode="External"/><Relationship Id="rId3690" Type="http://schemas.openxmlformats.org/officeDocument/2006/relationships/hyperlink" Target="https://maps.google.com/?q=15.756774191360815,-96.146020170816172" TargetMode="External"/><Relationship Id="rId2292" Type="http://schemas.openxmlformats.org/officeDocument/2006/relationships/hyperlink" Target="https://maps.google.com/?q=18.0992754471296,-96.927883952208902" TargetMode="External"/><Relationship Id="rId3343" Type="http://schemas.openxmlformats.org/officeDocument/2006/relationships/hyperlink" Target="https://maps.google.com/?q=17.1412123206955,-97.813438626983697" TargetMode="External"/><Relationship Id="rId4741" Type="http://schemas.openxmlformats.org/officeDocument/2006/relationships/hyperlink" Target="https://maps.google.com/?q=17.9501376268659,-96.657306918979899" TargetMode="External"/><Relationship Id="rId13284" Type="http://schemas.openxmlformats.org/officeDocument/2006/relationships/hyperlink" Target="https://maps.google.com/?q=16.1297598049497,-96.327374904930096" TargetMode="External"/><Relationship Id="rId264" Type="http://schemas.openxmlformats.org/officeDocument/2006/relationships/hyperlink" Target="https://maps.google.com/?q=16.88238,-97.675309999999996" TargetMode="External"/><Relationship Id="rId7964" Type="http://schemas.openxmlformats.org/officeDocument/2006/relationships/hyperlink" Target="https://maps.google.com/?q=15.9491040293268,-96.553418154803197" TargetMode="External"/><Relationship Id="rId10945" Type="http://schemas.openxmlformats.org/officeDocument/2006/relationships/hyperlink" Target="https://maps.google.com/?q=16.2054881783584,-95.218692262208805" TargetMode="External"/><Relationship Id="rId6566" Type="http://schemas.openxmlformats.org/officeDocument/2006/relationships/hyperlink" Target="https://maps.google.com/?q=17.762711,-96.879303" TargetMode="External"/><Relationship Id="rId7617" Type="http://schemas.openxmlformats.org/officeDocument/2006/relationships/hyperlink" Target="https://maps.google.com/?q=17.2302402317735,-95.054166014011102" TargetMode="External"/><Relationship Id="rId5168" Type="http://schemas.openxmlformats.org/officeDocument/2006/relationships/hyperlink" Target="https://maps.google.com/?q=17.313534,-95.963851000000005" TargetMode="External"/><Relationship Id="rId6219" Type="http://schemas.openxmlformats.org/officeDocument/2006/relationships/hyperlink" Target="https://maps.google.com/?q=16.096476,-97.082622999999998" TargetMode="External"/><Relationship Id="rId9789" Type="http://schemas.openxmlformats.org/officeDocument/2006/relationships/hyperlink" Target="https://maps.google.com/?q=16.6407892326083,-96.751684752209101" TargetMode="External"/><Relationship Id="rId12020" Type="http://schemas.openxmlformats.org/officeDocument/2006/relationships/hyperlink" Target="https://maps.google.com/?q=16.803882531028,-96.716217237790701" TargetMode="External"/><Relationship Id="rId1778" Type="http://schemas.openxmlformats.org/officeDocument/2006/relationships/hyperlink" Target="https://maps.google.com/?q=18.06343552,-96.848257000000004" TargetMode="External"/><Relationship Id="rId2829" Type="http://schemas.openxmlformats.org/officeDocument/2006/relationships/hyperlink" Target="https://maps.google.com/?q=16.9923384707276,-97.714891237193001" TargetMode="External"/><Relationship Id="rId6700" Type="http://schemas.openxmlformats.org/officeDocument/2006/relationships/hyperlink" Target="https://maps.google.com/?q=16.9390397809035,-96.967104022162403" TargetMode="External"/><Relationship Id="rId4251" Type="http://schemas.openxmlformats.org/officeDocument/2006/relationships/hyperlink" Target="https://maps.google.com/?q=15.9310623,-96.635998479999998" TargetMode="External"/><Relationship Id="rId5302" Type="http://schemas.openxmlformats.org/officeDocument/2006/relationships/hyperlink" Target="https://maps.google.com/?q=15.7178224463947,-96.471417813392904" TargetMode="External"/><Relationship Id="rId7474" Type="http://schemas.openxmlformats.org/officeDocument/2006/relationships/hyperlink" Target="https://maps.google.com/?q=16.9871547819262,-95.012963387791103" TargetMode="External"/><Relationship Id="rId8872" Type="http://schemas.openxmlformats.org/officeDocument/2006/relationships/hyperlink" Target="https://maps.google.com/?q=17.222619,-96.243744000000007" TargetMode="External"/><Relationship Id="rId9923" Type="http://schemas.openxmlformats.org/officeDocument/2006/relationships/hyperlink" Target="https://maps.google.com/?q=16.709106433662,-96.708860341104497" TargetMode="External"/><Relationship Id="rId11853" Type="http://schemas.openxmlformats.org/officeDocument/2006/relationships/hyperlink" Target="https://maps.google.com/?q=17.306368513766326,-96.20581310069846" TargetMode="External"/><Relationship Id="rId12904" Type="http://schemas.openxmlformats.org/officeDocument/2006/relationships/hyperlink" Target="https://maps.google.com/?q=16.479709,-97.477155999999994" TargetMode="External"/><Relationship Id="rId1912" Type="http://schemas.openxmlformats.org/officeDocument/2006/relationships/hyperlink" Target="https://maps.google.com/?q=15.776666352999394,-96.136853966738471" TargetMode="External"/><Relationship Id="rId6076" Type="http://schemas.openxmlformats.org/officeDocument/2006/relationships/hyperlink" Target="https://maps.google.com/?q=18.16307652527968,-96.578134312801183" TargetMode="External"/><Relationship Id="rId7127" Type="http://schemas.openxmlformats.org/officeDocument/2006/relationships/hyperlink" Target="https://maps.google.com/?q=17.3573663552459,-97.657627376056098" TargetMode="External"/><Relationship Id="rId8525" Type="http://schemas.openxmlformats.org/officeDocument/2006/relationships/hyperlink" Target="https://maps.google.com/?q=16.9232913420886,-96.607285612268399" TargetMode="External"/><Relationship Id="rId10455" Type="http://schemas.openxmlformats.org/officeDocument/2006/relationships/hyperlink" Target="https://maps.google.com/?q=17.0389642,-96.779714900000002" TargetMode="External"/><Relationship Id="rId11506" Type="http://schemas.openxmlformats.org/officeDocument/2006/relationships/hyperlink" Target="https://maps.google.com/?q=16.610713928024,-96.850663431239397" TargetMode="External"/><Relationship Id="rId10108" Type="http://schemas.openxmlformats.org/officeDocument/2006/relationships/hyperlink" Target="https://maps.google.com/?q=17.0229152926718,-96.129856118836102" TargetMode="External"/><Relationship Id="rId13678" Type="http://schemas.openxmlformats.org/officeDocument/2006/relationships/hyperlink" Target="https://maps.google.com/?q=17.335708,-96.164985" TargetMode="External"/><Relationship Id="rId2686" Type="http://schemas.openxmlformats.org/officeDocument/2006/relationships/hyperlink" Target="https://maps.google.com/?q=17.941732,-96.101618999999999" TargetMode="External"/><Relationship Id="rId3737" Type="http://schemas.openxmlformats.org/officeDocument/2006/relationships/hyperlink" Target="https://maps.google.com/?q=15.760562320787766,-96.141518925184585" TargetMode="External"/><Relationship Id="rId9299" Type="http://schemas.openxmlformats.org/officeDocument/2006/relationships/hyperlink" Target="https://maps.google.com/?q=16.8137245687089,-95.138195020778099" TargetMode="External"/><Relationship Id="rId658" Type="http://schemas.openxmlformats.org/officeDocument/2006/relationships/hyperlink" Target="https://maps.google.com/?q=16.056773,-97.390822999999997" TargetMode="External"/><Relationship Id="rId1288" Type="http://schemas.openxmlformats.org/officeDocument/2006/relationships/hyperlink" Target="https://maps.google.com/?q=17.080154,-96.726937" TargetMode="External"/><Relationship Id="rId2339" Type="http://schemas.openxmlformats.org/officeDocument/2006/relationships/hyperlink" Target="https://maps.google.com/?q=17.089696,-97.666116000000002" TargetMode="External"/><Relationship Id="rId6210" Type="http://schemas.openxmlformats.org/officeDocument/2006/relationships/hyperlink" Target="https://maps.google.com/?q=16.095619,-97.084969000000001" TargetMode="External"/><Relationship Id="rId9780" Type="http://schemas.openxmlformats.org/officeDocument/2006/relationships/hyperlink" Target="https://maps.google.com/?q=16.6392674122952,-96.752195720000003" TargetMode="External"/><Relationship Id="rId8382" Type="http://schemas.openxmlformats.org/officeDocument/2006/relationships/hyperlink" Target="https://maps.google.com/?q=16.8462356115407,-97.199548330294505" TargetMode="External"/><Relationship Id="rId9433" Type="http://schemas.openxmlformats.org/officeDocument/2006/relationships/hyperlink" Target="https://maps.google.com/?q=16.7766747544205,-95.192169526654" TargetMode="External"/><Relationship Id="rId12761" Type="http://schemas.openxmlformats.org/officeDocument/2006/relationships/hyperlink" Target="https://maps.google.com/?q=17.4559105347521,-97.286740650421095" TargetMode="External"/><Relationship Id="rId13812" Type="http://schemas.openxmlformats.org/officeDocument/2006/relationships/hyperlink" Target="https://maps.google.com/?q=16.997647,-97.799777000000006" TargetMode="External"/><Relationship Id="rId1422" Type="http://schemas.openxmlformats.org/officeDocument/2006/relationships/hyperlink" Target="https://maps.google.com/?q=18.082556,-96.152877" TargetMode="External"/><Relationship Id="rId2820" Type="http://schemas.openxmlformats.org/officeDocument/2006/relationships/hyperlink" Target="https://maps.google.com/?q=16.9906932486047,-97.712566638640396" TargetMode="External"/><Relationship Id="rId8035" Type="http://schemas.openxmlformats.org/officeDocument/2006/relationships/hyperlink" Target="https://maps.google.com/?q=16.4910863338069,-97.383835847196593" TargetMode="External"/><Relationship Id="rId11016" Type="http://schemas.openxmlformats.org/officeDocument/2006/relationships/hyperlink" Target="https://maps.google.com/?q=17.157588,-97.186415999999994" TargetMode="External"/><Relationship Id="rId11363" Type="http://schemas.openxmlformats.org/officeDocument/2006/relationships/hyperlink" Target="https://maps.google.com/?q=16.3618765912344,-94.191894402446707" TargetMode="External"/><Relationship Id="rId12414" Type="http://schemas.openxmlformats.org/officeDocument/2006/relationships/hyperlink" Target="https://maps.google.com/?q=16.5578995642466,-96.822589038028894" TargetMode="External"/><Relationship Id="rId4992" Type="http://schemas.openxmlformats.org/officeDocument/2006/relationships/hyperlink" Target="https://maps.google.com/?q=16.27675601019252,-94.53040639475476" TargetMode="External"/><Relationship Id="rId2196" Type="http://schemas.openxmlformats.org/officeDocument/2006/relationships/hyperlink" Target="https://maps.google.com/?q=16.9672606198859,-97.226354826047498" TargetMode="External"/><Relationship Id="rId3594" Type="http://schemas.openxmlformats.org/officeDocument/2006/relationships/hyperlink" Target="https://maps.google.com/?q=15.776554072884066,-96.136557104205181" TargetMode="External"/><Relationship Id="rId4645" Type="http://schemas.openxmlformats.org/officeDocument/2006/relationships/hyperlink" Target="https://maps.google.com/?q=17.082128,-96.74646400" TargetMode="External"/><Relationship Id="rId13188" Type="http://schemas.openxmlformats.org/officeDocument/2006/relationships/hyperlink" Target="https://maps.google.com/?q=16.5725016920669,-97.017538797622905" TargetMode="External"/><Relationship Id="rId168" Type="http://schemas.openxmlformats.org/officeDocument/2006/relationships/hyperlink" Target="https://maps.google.com/?q=17.090116,-97.500977000000006" TargetMode="External"/><Relationship Id="rId3247" Type="http://schemas.openxmlformats.org/officeDocument/2006/relationships/hyperlink" Target="https://maps.google.com/?q=17.0546743387008,-96.817754895541697" TargetMode="External"/><Relationship Id="rId7868" Type="http://schemas.openxmlformats.org/officeDocument/2006/relationships/hyperlink" Target="https://maps.google.com/?q=16.3164090989698,-96.403241462634895" TargetMode="External"/><Relationship Id="rId8919" Type="http://schemas.openxmlformats.org/officeDocument/2006/relationships/hyperlink" Target="https://maps.google.com/?q=17.380485357,-96.161839025000006" TargetMode="External"/><Relationship Id="rId10849" Type="http://schemas.openxmlformats.org/officeDocument/2006/relationships/hyperlink" Target="https://maps.google.com/?q=16.3441616312667,-94.479769638869897" TargetMode="External"/><Relationship Id="rId9290" Type="http://schemas.openxmlformats.org/officeDocument/2006/relationships/hyperlink" Target="https://maps.google.com/?q=16.9269158711567,-95.207637476824402" TargetMode="External"/><Relationship Id="rId12271" Type="http://schemas.openxmlformats.org/officeDocument/2006/relationships/hyperlink" Target="https://maps.google.com/?q=16.480114418168,-94.349453279762201" TargetMode="External"/><Relationship Id="rId13322" Type="http://schemas.openxmlformats.org/officeDocument/2006/relationships/hyperlink" Target="https://maps.google.com/?q=17.4495470129189,-98.002316028836105" TargetMode="External"/><Relationship Id="rId2330" Type="http://schemas.openxmlformats.org/officeDocument/2006/relationships/hyperlink" Target="https://maps.google.com/?q=17.058333,-97.668130000000005" TargetMode="External"/><Relationship Id="rId302" Type="http://schemas.openxmlformats.org/officeDocument/2006/relationships/hyperlink" Target="https://maps.google.com/?q=16.062811,-97.382633999999996" TargetMode="External"/><Relationship Id="rId5553" Type="http://schemas.openxmlformats.org/officeDocument/2006/relationships/hyperlink" Target="https://maps.google.com/?q=18.2567627292824,-96.281406364418103" TargetMode="External"/><Relationship Id="rId6951" Type="http://schemas.openxmlformats.org/officeDocument/2006/relationships/hyperlink" Target="https://maps.google.com/?q=16.32631258,-95.254857999999999" TargetMode="External"/><Relationship Id="rId14096" Type="http://schemas.openxmlformats.org/officeDocument/2006/relationships/hyperlink" Target="https://maps.google.com/?q=16.63522827,-97.57809732" TargetMode="External"/><Relationship Id="rId4155" Type="http://schemas.openxmlformats.org/officeDocument/2006/relationships/hyperlink" Target="https://maps.google.com/?q=16.423497480595,-98.170051895011994" TargetMode="External"/><Relationship Id="rId5206" Type="http://schemas.openxmlformats.org/officeDocument/2006/relationships/hyperlink" Target="https://maps.google.com/?q=17.317748,-95.968937999999994" TargetMode="External"/><Relationship Id="rId6604" Type="http://schemas.openxmlformats.org/officeDocument/2006/relationships/hyperlink" Target="https://maps.google.com/?q=17.089751,-96.067496" TargetMode="External"/><Relationship Id="rId8776" Type="http://schemas.openxmlformats.org/officeDocument/2006/relationships/hyperlink" Target="https://maps.google.com/?q=17.207782,-96.251801" TargetMode="External"/><Relationship Id="rId9827" Type="http://schemas.openxmlformats.org/officeDocument/2006/relationships/hyperlink" Target="https://maps.google.com/?q=16.6324769000346,-96.850707158594105" TargetMode="External"/><Relationship Id="rId11757" Type="http://schemas.openxmlformats.org/officeDocument/2006/relationships/hyperlink" Target="https://maps.google.com/?q=17.5083156322239,-98.04398516815758" TargetMode="External"/><Relationship Id="rId12808" Type="http://schemas.openxmlformats.org/officeDocument/2006/relationships/hyperlink" Target="https://maps.google.com/?q=17.8472844874992,-97.442961945005194" TargetMode="External"/><Relationship Id="rId1816" Type="http://schemas.openxmlformats.org/officeDocument/2006/relationships/hyperlink" Target="https://maps.google.com/?q=18.034923693268,-96.896369117790996" TargetMode="External"/><Relationship Id="rId7378" Type="http://schemas.openxmlformats.org/officeDocument/2006/relationships/hyperlink" Target="https://maps.google.com/?q=17.0407007623933,-97.294802743030004" TargetMode="External"/><Relationship Id="rId8429" Type="http://schemas.openxmlformats.org/officeDocument/2006/relationships/hyperlink" Target="https://maps.google.com/?q=16.2017932260557,-96.825166961716207" TargetMode="External"/><Relationship Id="rId10359" Type="http://schemas.openxmlformats.org/officeDocument/2006/relationships/hyperlink" Target="https://maps.google.com/?q=17.4343035998041,-96.658130906182706" TargetMode="External"/><Relationship Id="rId3988" Type="http://schemas.openxmlformats.org/officeDocument/2006/relationships/hyperlink" Target="https://maps.google.com/?q=17.062461,-96.757001000000002" TargetMode="External"/><Relationship Id="rId8910" Type="http://schemas.openxmlformats.org/officeDocument/2006/relationships/hyperlink" Target="https://maps.google.com/?q=17.380258249,-96.162130958999995" TargetMode="External"/><Relationship Id="rId6461" Type="http://schemas.openxmlformats.org/officeDocument/2006/relationships/hyperlink" Target="https://maps.google.com/?q=16.378154,-97.281709000000006" TargetMode="External"/><Relationship Id="rId7512" Type="http://schemas.openxmlformats.org/officeDocument/2006/relationships/hyperlink" Target="https://maps.google.com/?q=17.34531555,-97.370100480000005" TargetMode="External"/><Relationship Id="rId10840" Type="http://schemas.openxmlformats.org/officeDocument/2006/relationships/hyperlink" Target="https://maps.google.com/?q=16.4038834824525,-94.462509687171902" TargetMode="External"/><Relationship Id="rId5063" Type="http://schemas.openxmlformats.org/officeDocument/2006/relationships/hyperlink" Target="https://maps.google.com/?q=17.252098,-96.156675000000007" TargetMode="External"/><Relationship Id="rId6114" Type="http://schemas.openxmlformats.org/officeDocument/2006/relationships/hyperlink" Target="https://maps.google.com/?q=17.977544,-96.702596999999997" TargetMode="External"/><Relationship Id="rId9684" Type="http://schemas.openxmlformats.org/officeDocument/2006/relationships/hyperlink" Target="https://maps.google.com/?q=16.3196369185922,-96.586241371977394" TargetMode="External"/><Relationship Id="rId8286" Type="http://schemas.openxmlformats.org/officeDocument/2006/relationships/hyperlink" Target="https://maps.google.com/?q=17.6265989381,-97.035467400000002" TargetMode="External"/><Relationship Id="rId9337" Type="http://schemas.openxmlformats.org/officeDocument/2006/relationships/hyperlink" Target="https://maps.google.com/?q=16.8170982931008,-95.143189293964497" TargetMode="External"/><Relationship Id="rId12665" Type="http://schemas.openxmlformats.org/officeDocument/2006/relationships/hyperlink" Target="https://maps.google.com/?q=16.9206615934821,-97.890921250544807" TargetMode="External"/><Relationship Id="rId13716" Type="http://schemas.openxmlformats.org/officeDocument/2006/relationships/hyperlink" Target="https://maps.google.com/?q=17.06735,-96.20038" TargetMode="External"/><Relationship Id="rId1673" Type="http://schemas.openxmlformats.org/officeDocument/2006/relationships/hyperlink" Target="https://maps.google.com/?q=18.0042209287796,-96.895229021268193" TargetMode="External"/><Relationship Id="rId2724" Type="http://schemas.openxmlformats.org/officeDocument/2006/relationships/hyperlink" Target="https://maps.google.com/?q=15.9281700190307,-96.418674630315394" TargetMode="External"/><Relationship Id="rId11267" Type="http://schemas.openxmlformats.org/officeDocument/2006/relationships/hyperlink" Target="https://maps.google.com/?q=17.8655175635067,-96.310106264477497" TargetMode="External"/><Relationship Id="rId12318" Type="http://schemas.openxmlformats.org/officeDocument/2006/relationships/hyperlink" Target="https://maps.google.com/?q=17.307012,-96.163823" TargetMode="External"/><Relationship Id="rId1326" Type="http://schemas.openxmlformats.org/officeDocument/2006/relationships/hyperlink" Target="https://maps.google.com/?q=17.01772643,-96.71859304" TargetMode="External"/><Relationship Id="rId4896" Type="http://schemas.openxmlformats.org/officeDocument/2006/relationships/hyperlink" Target="https://maps.google.com/?q=18.028507,-96.665893999999994" TargetMode="External"/><Relationship Id="rId5947" Type="http://schemas.openxmlformats.org/officeDocument/2006/relationships/hyperlink" Target="https://maps.google.com/?q=18.153810042662016,-96.57393829999296" TargetMode="External"/><Relationship Id="rId32" Type="http://schemas.openxmlformats.org/officeDocument/2006/relationships/hyperlink" Target="https://maps.google.com/?q=17.222185,-97.122685000000004" TargetMode="External"/><Relationship Id="rId3498" Type="http://schemas.openxmlformats.org/officeDocument/2006/relationships/hyperlink" Target="https://maps.google.com/?q=17.0784475941075,-96.71122686043876" TargetMode="External"/><Relationship Id="rId4549" Type="http://schemas.openxmlformats.org/officeDocument/2006/relationships/hyperlink" Target="https://maps.google.com/?q=17.1850187922075,-97.303584126665001" TargetMode="External"/><Relationship Id="rId8420" Type="http://schemas.openxmlformats.org/officeDocument/2006/relationships/hyperlink" Target="https://maps.google.com/?q=16.090970588501,-96.243852560678604" TargetMode="External"/><Relationship Id="rId10350" Type="http://schemas.openxmlformats.org/officeDocument/2006/relationships/hyperlink" Target="https://maps.google.com/?q=17.4335673360033,-96.659135487717805" TargetMode="External"/><Relationship Id="rId11401" Type="http://schemas.openxmlformats.org/officeDocument/2006/relationships/hyperlink" Target="https://maps.google.com/?q=17.2021125581758,-97.758474030465095" TargetMode="External"/><Relationship Id="rId7022" Type="http://schemas.openxmlformats.org/officeDocument/2006/relationships/hyperlink" Target="https://maps.google.com/?q=17.0424022563853,-97.293970839137401" TargetMode="External"/><Relationship Id="rId10003" Type="http://schemas.openxmlformats.org/officeDocument/2006/relationships/hyperlink" Target="https://maps.google.com/?q=17.0920156787688,-97.493385381055106" TargetMode="External"/><Relationship Id="rId2581" Type="http://schemas.openxmlformats.org/officeDocument/2006/relationships/hyperlink" Target="https://maps.google.com/?q=18.218202,-96.336585999999997" TargetMode="External"/><Relationship Id="rId3632" Type="http://schemas.openxmlformats.org/officeDocument/2006/relationships/hyperlink" Target="https://maps.google.com/?q=15.777420323373146,-96.137188450534595" TargetMode="External"/><Relationship Id="rId9194" Type="http://schemas.openxmlformats.org/officeDocument/2006/relationships/hyperlink" Target="https://maps.google.com/?q=17.374381465831,-96.300448463561196" TargetMode="External"/><Relationship Id="rId12175" Type="http://schemas.openxmlformats.org/officeDocument/2006/relationships/hyperlink" Target="https://maps.google.com/?q=17.4165360995672,-95.948250375567198" TargetMode="External"/><Relationship Id="rId13226" Type="http://schemas.openxmlformats.org/officeDocument/2006/relationships/hyperlink" Target="https://maps.google.com/?q=17.137831233165,-96.753309476600094" TargetMode="External"/><Relationship Id="rId13573" Type="http://schemas.openxmlformats.org/officeDocument/2006/relationships/hyperlink" Target="https://maps.google.com/?q=16.451059984301814,-98.28741860592302" TargetMode="External"/><Relationship Id="rId553" Type="http://schemas.openxmlformats.org/officeDocument/2006/relationships/hyperlink" Target="https://maps.google.com/?q=16.052824,-97.400602000000006" TargetMode="External"/><Relationship Id="rId1183" Type="http://schemas.openxmlformats.org/officeDocument/2006/relationships/hyperlink" Target="https://maps.google.com/?q=17.220432,-95.048266" TargetMode="External"/><Relationship Id="rId2234" Type="http://schemas.openxmlformats.org/officeDocument/2006/relationships/hyperlink" Target="https://maps.google.com/?q=17.4113036549716,-97.091531667493797" TargetMode="External"/><Relationship Id="rId206" Type="http://schemas.openxmlformats.org/officeDocument/2006/relationships/hyperlink" Target="https://maps.google.com/?q=17.090845,-97.499115000000003" TargetMode="External"/><Relationship Id="rId6855" Type="http://schemas.openxmlformats.org/officeDocument/2006/relationships/hyperlink" Target="https://maps.google.com/?q=17.0098244996604,-96.979736568844103" TargetMode="External"/><Relationship Id="rId7906" Type="http://schemas.openxmlformats.org/officeDocument/2006/relationships/hyperlink" Target="https://maps.google.com/?q=16.319533835282,-96.408667373016399" TargetMode="External"/><Relationship Id="rId4059" Type="http://schemas.openxmlformats.org/officeDocument/2006/relationships/hyperlink" Target="https://maps.google.com/?q=17.0802,-96.726955000000004" TargetMode="External"/><Relationship Id="rId5457" Type="http://schemas.openxmlformats.org/officeDocument/2006/relationships/hyperlink" Target="https://maps.google.com/?q=16.0090080999001,-97.450595866819995" TargetMode="External"/><Relationship Id="rId6508" Type="http://schemas.openxmlformats.org/officeDocument/2006/relationships/hyperlink" Target="https://maps.google.com/?q=17.2211782207593,-97.560720172537899" TargetMode="External"/><Relationship Id="rId4540" Type="http://schemas.openxmlformats.org/officeDocument/2006/relationships/hyperlink" Target="https://maps.google.com/?q=17.1841444293674,-97.302569656201001" TargetMode="External"/><Relationship Id="rId13083" Type="http://schemas.openxmlformats.org/officeDocument/2006/relationships/hyperlink" Target="https://maps.google.com/?q=16.5642715,-97.529473800000005" TargetMode="External"/><Relationship Id="rId14134" Type="http://schemas.openxmlformats.org/officeDocument/2006/relationships/hyperlink" Target="https://maps.google.com/?q=18.123006,-96.76146" TargetMode="External"/><Relationship Id="rId2091" Type="http://schemas.openxmlformats.org/officeDocument/2006/relationships/hyperlink" Target="https://maps.google.com/?q=15.761112,-96.149671" TargetMode="External"/><Relationship Id="rId3142" Type="http://schemas.openxmlformats.org/officeDocument/2006/relationships/hyperlink" Target="https://maps.google.com/?q=16.587068,-97.442796999999999" TargetMode="External"/><Relationship Id="rId7763" Type="http://schemas.openxmlformats.org/officeDocument/2006/relationships/hyperlink" Target="https://maps.google.com/?q=16.0737833,&#160;-96.303269" TargetMode="External"/><Relationship Id="rId6365" Type="http://schemas.openxmlformats.org/officeDocument/2006/relationships/hyperlink" Target="https://maps.google.com/?q=17.08377,-96.71853" TargetMode="External"/><Relationship Id="rId7416" Type="http://schemas.openxmlformats.org/officeDocument/2006/relationships/hyperlink" Target="https://maps.google.com/?q=17.036072,&#160;-97.051623" TargetMode="External"/><Relationship Id="rId8814" Type="http://schemas.openxmlformats.org/officeDocument/2006/relationships/hyperlink" Target="https://maps.google.com/?q=17.21591,-96.247467999999998" TargetMode="External"/><Relationship Id="rId10744" Type="http://schemas.openxmlformats.org/officeDocument/2006/relationships/hyperlink" Target="https://maps.google.com/?q=17.883031,-96.873163" TargetMode="External"/><Relationship Id="rId6018" Type="http://schemas.openxmlformats.org/officeDocument/2006/relationships/hyperlink" Target="https://maps.google.com/?q=18.1558243787871,-96.573218536712346" TargetMode="External"/><Relationship Id="rId13967" Type="http://schemas.openxmlformats.org/officeDocument/2006/relationships/hyperlink" Target="https://maps.google.com/?q=16.351691691269433,-94.51067933517558" TargetMode="External"/><Relationship Id="rId2975" Type="http://schemas.openxmlformats.org/officeDocument/2006/relationships/hyperlink" Target="https://maps.google.com/?q=16.4688959132415,&#160;-97.03771224012736" TargetMode="External"/><Relationship Id="rId9588" Type="http://schemas.openxmlformats.org/officeDocument/2006/relationships/hyperlink" Target="https://maps.google.com/?q=17.9921739705955,-96.7445927495869" TargetMode="External"/><Relationship Id="rId12569" Type="http://schemas.openxmlformats.org/officeDocument/2006/relationships/hyperlink" Target="https://maps.google.com/?q=16.5771903212968,-96.949578165074001" TargetMode="External"/><Relationship Id="rId947" Type="http://schemas.openxmlformats.org/officeDocument/2006/relationships/hyperlink" Target="https://maps.google.com/?q=15.683362411337777,-96.511054818966443" TargetMode="External"/><Relationship Id="rId1577" Type="http://schemas.openxmlformats.org/officeDocument/2006/relationships/hyperlink" Target="https://maps.google.com/?q=16.5651,-96.704139999999995" TargetMode="External"/><Relationship Id="rId2628" Type="http://schemas.openxmlformats.org/officeDocument/2006/relationships/hyperlink" Target="https://maps.google.com/?q=18.081694,-96.165852999999998" TargetMode="External"/><Relationship Id="rId4050" Type="http://schemas.openxmlformats.org/officeDocument/2006/relationships/hyperlink" Target="https://maps.google.com/?q=17.080164,-96.726157000000001" TargetMode="External"/><Relationship Id="rId5101" Type="http://schemas.openxmlformats.org/officeDocument/2006/relationships/hyperlink" Target="https://maps.google.com/?q=17.25345,-96.153910999999994" TargetMode="External"/><Relationship Id="rId8671" Type="http://schemas.openxmlformats.org/officeDocument/2006/relationships/hyperlink" Target="https://maps.google.com/?q=16.2788174581605,-96.298864421501094" TargetMode="External"/><Relationship Id="rId9722" Type="http://schemas.openxmlformats.org/officeDocument/2006/relationships/hyperlink" Target="https://maps.google.com/?q=16.4486088269219,-95.013398091222498" TargetMode="External"/><Relationship Id="rId1711" Type="http://schemas.openxmlformats.org/officeDocument/2006/relationships/hyperlink" Target="https://maps.google.com/?q=18.0753898330086,-96.896773179999997" TargetMode="External"/><Relationship Id="rId7273" Type="http://schemas.openxmlformats.org/officeDocument/2006/relationships/hyperlink" Target="https://maps.google.com/?q=16.3020072463319,-97.910878797305003" TargetMode="External"/><Relationship Id="rId8324" Type="http://schemas.openxmlformats.org/officeDocument/2006/relationships/hyperlink" Target="https://maps.google.com/?q=16.541633,-98.033045000000001" TargetMode="External"/><Relationship Id="rId10254" Type="http://schemas.openxmlformats.org/officeDocument/2006/relationships/hyperlink" Target="https://maps.google.com/?q=16.242012,-95.151989999999998" TargetMode="External"/><Relationship Id="rId11652" Type="http://schemas.openxmlformats.org/officeDocument/2006/relationships/hyperlink" Target="https://maps.google.com/?q=17.17371075,-97.710803130000002" TargetMode="External"/><Relationship Id="rId12703" Type="http://schemas.openxmlformats.org/officeDocument/2006/relationships/hyperlink" Target="https://maps.google.com/?q=16.2838047516293,-96.503980050955903" TargetMode="External"/><Relationship Id="rId11305" Type="http://schemas.openxmlformats.org/officeDocument/2006/relationships/hyperlink" Target="https://maps.google.com/?q=17.8680607556475,-96.309025347791007" TargetMode="External"/><Relationship Id="rId2485" Type="http://schemas.openxmlformats.org/officeDocument/2006/relationships/hyperlink" Target="https://maps.google.com/?q=17.0519194,-96.624410839999996" TargetMode="External"/><Relationship Id="rId3883" Type="http://schemas.openxmlformats.org/officeDocument/2006/relationships/hyperlink" Target="https://maps.google.com/?q=17.1068269138613,-95.930392053683704" TargetMode="External"/><Relationship Id="rId4934" Type="http://schemas.openxmlformats.org/officeDocument/2006/relationships/hyperlink" Target="https://maps.google.com/?q=18.033576,-96.668038999999993" TargetMode="External"/><Relationship Id="rId9098" Type="http://schemas.openxmlformats.org/officeDocument/2006/relationships/hyperlink" Target="https://maps.google.com/?q=17.884173771018368,-96.72776412856483" TargetMode="External"/><Relationship Id="rId13477" Type="http://schemas.openxmlformats.org/officeDocument/2006/relationships/hyperlink" Target="https://maps.google.com/?q=17.6884962229977,-97.033153868717307" TargetMode="External"/><Relationship Id="rId457" Type="http://schemas.openxmlformats.org/officeDocument/2006/relationships/hyperlink" Target="https://maps.google.com/?q=16.054064,-97.409265000000005" TargetMode="External"/><Relationship Id="rId1087" Type="http://schemas.openxmlformats.org/officeDocument/2006/relationships/hyperlink" Target="https://maps.google.com/?q=17.094537,-97.498720000000006" TargetMode="External"/><Relationship Id="rId2138" Type="http://schemas.openxmlformats.org/officeDocument/2006/relationships/hyperlink" Target="https://maps.google.com/?q=15.7635,-96.143072000000004" TargetMode="External"/><Relationship Id="rId3536" Type="http://schemas.openxmlformats.org/officeDocument/2006/relationships/hyperlink" Target="https://maps.google.com/?q=15.769558,-96.151931" TargetMode="External"/><Relationship Id="rId12079" Type="http://schemas.openxmlformats.org/officeDocument/2006/relationships/hyperlink" Target="https://maps.google.com/?q=16.2449868,-95.32573884" TargetMode="External"/><Relationship Id="rId6759" Type="http://schemas.openxmlformats.org/officeDocument/2006/relationships/hyperlink" Target="https://maps.google.com/?q=16.7064318255947,-97.020586351549696" TargetMode="External"/><Relationship Id="rId12560" Type="http://schemas.openxmlformats.org/officeDocument/2006/relationships/hyperlink" Target="https://maps.google.com/?q=16.5317675761485,-96.985430714078603" TargetMode="External"/><Relationship Id="rId13611" Type="http://schemas.openxmlformats.org/officeDocument/2006/relationships/hyperlink" Target="https://maps.google.com/?q=16.60821,-95.980503" TargetMode="External"/><Relationship Id="rId8181" Type="http://schemas.openxmlformats.org/officeDocument/2006/relationships/hyperlink" Target="https://maps.google.com/?q=16.665211,-96.307045000000002" TargetMode="External"/><Relationship Id="rId9232" Type="http://schemas.openxmlformats.org/officeDocument/2006/relationships/hyperlink" Target="https://maps.google.com/?q=17.3761211292054,-96.3016164886007" TargetMode="External"/><Relationship Id="rId11162" Type="http://schemas.openxmlformats.org/officeDocument/2006/relationships/hyperlink" Target="https://maps.google.com/?q=16.841715,-96.008429000000007" TargetMode="External"/><Relationship Id="rId12213" Type="http://schemas.openxmlformats.org/officeDocument/2006/relationships/hyperlink" Target="https://maps.google.com/?q=17.4185319268413,-95.951199795916594" TargetMode="External"/><Relationship Id="rId1221" Type="http://schemas.openxmlformats.org/officeDocument/2006/relationships/hyperlink" Target="https://maps.google.com/?q=18.111112,-96.623361" TargetMode="External"/><Relationship Id="rId4791" Type="http://schemas.openxmlformats.org/officeDocument/2006/relationships/hyperlink" Target="https://maps.google.com/?q=17.9582594266265,-96.658352849071804" TargetMode="External"/><Relationship Id="rId5842" Type="http://schemas.openxmlformats.org/officeDocument/2006/relationships/hyperlink" Target="https://maps.google.com/?q=16.0093651664859,-97.450984250736298" TargetMode="External"/><Relationship Id="rId3393" Type="http://schemas.openxmlformats.org/officeDocument/2006/relationships/hyperlink" Target="https://maps.google.com/?q=18.0050274817049,-96.643481166253096" TargetMode="External"/><Relationship Id="rId4444" Type="http://schemas.openxmlformats.org/officeDocument/2006/relationships/hyperlink" Target="https://maps.google.com/?q=16.6474551768643,-96.775637835614603" TargetMode="External"/><Relationship Id="rId14038" Type="http://schemas.openxmlformats.org/officeDocument/2006/relationships/hyperlink" Target="https://maps.google.com/?q=17.06115,-96.72571" TargetMode="External"/><Relationship Id="rId3046" Type="http://schemas.openxmlformats.org/officeDocument/2006/relationships/hyperlink" Target="https://maps.google.com/?q=16.9635168850933,-96.9404984694456" TargetMode="External"/><Relationship Id="rId10995" Type="http://schemas.openxmlformats.org/officeDocument/2006/relationships/hyperlink" Target="https://maps.google.com/?q=17.23846767220456,-96.23825128842684" TargetMode="External"/><Relationship Id="rId6269" Type="http://schemas.openxmlformats.org/officeDocument/2006/relationships/hyperlink" Target="https://maps.google.com/?q=16.4047509289304,-96.709559051650501" TargetMode="External"/><Relationship Id="rId7667" Type="http://schemas.openxmlformats.org/officeDocument/2006/relationships/hyperlink" Target="https://maps.google.com/?q=17.2334155825905,-95.050363606963501" TargetMode="External"/><Relationship Id="rId8718" Type="http://schemas.openxmlformats.org/officeDocument/2006/relationships/hyperlink" Target="https://maps.google.com/?q=17.0565919522733,-96.817727445384094" TargetMode="External"/><Relationship Id="rId10648" Type="http://schemas.openxmlformats.org/officeDocument/2006/relationships/hyperlink" Target="https://maps.google.com/?q=17.1214365580242,-97.787075545072895" TargetMode="External"/><Relationship Id="rId12070" Type="http://schemas.openxmlformats.org/officeDocument/2006/relationships/hyperlink" Target="https://maps.google.com/?q=16.330574,-95.232634000000004" TargetMode="External"/><Relationship Id="rId13121" Type="http://schemas.openxmlformats.org/officeDocument/2006/relationships/hyperlink" Target="https://maps.google.com/?q=16.5680505,-97.535354100000006" TargetMode="External"/><Relationship Id="rId2879" Type="http://schemas.openxmlformats.org/officeDocument/2006/relationships/hyperlink" Target="https://maps.google.com/?q=18.228074,-96.280445999999998" TargetMode="External"/><Relationship Id="rId6750" Type="http://schemas.openxmlformats.org/officeDocument/2006/relationships/hyperlink" Target="https://maps.google.com/?q=16.6996116,-97.014742699999999" TargetMode="External"/><Relationship Id="rId7801" Type="http://schemas.openxmlformats.org/officeDocument/2006/relationships/hyperlink" Target="https://maps.google.com/?q=17.8458564900428,-96.744488669198802" TargetMode="External"/><Relationship Id="rId101" Type="http://schemas.openxmlformats.org/officeDocument/2006/relationships/hyperlink" Target="https://maps.google.com/?q=17.097171,-97.493083999999996" TargetMode="External"/><Relationship Id="rId5352" Type="http://schemas.openxmlformats.org/officeDocument/2006/relationships/hyperlink" Target="https://maps.google.com/?q=16.524019,-97.167398000000006" TargetMode="External"/><Relationship Id="rId6403" Type="http://schemas.openxmlformats.org/officeDocument/2006/relationships/hyperlink" Target="https://maps.google.com/?q=17.2574089683304,-97.571530550000006" TargetMode="External"/><Relationship Id="rId9973" Type="http://schemas.openxmlformats.org/officeDocument/2006/relationships/hyperlink" Target="https://maps.google.com/?q=16.654252,-95.913087" TargetMode="External"/><Relationship Id="rId5005" Type="http://schemas.openxmlformats.org/officeDocument/2006/relationships/hyperlink" Target="https://maps.google.com/?q=17.267449,-97.680485000000004" TargetMode="External"/><Relationship Id="rId8575" Type="http://schemas.openxmlformats.org/officeDocument/2006/relationships/hyperlink" Target="https://maps.google.com/?q=16.9303142090963,-96.600789330024796" TargetMode="External"/><Relationship Id="rId9626" Type="http://schemas.openxmlformats.org/officeDocument/2006/relationships/hyperlink" Target="https://maps.google.com/?q=17.9991961907235,-96.749758977507597" TargetMode="External"/><Relationship Id="rId12954" Type="http://schemas.openxmlformats.org/officeDocument/2006/relationships/hyperlink" Target="https://maps.google.com/?q=16.5517255,-97.500053800000003" TargetMode="External"/><Relationship Id="rId1962" Type="http://schemas.openxmlformats.org/officeDocument/2006/relationships/hyperlink" Target="https://maps.google.com/?q=15.780003832493458,-96.139297240901627" TargetMode="External"/><Relationship Id="rId7177" Type="http://schemas.openxmlformats.org/officeDocument/2006/relationships/hyperlink" Target="https://maps.google.com/?q=16.2207823278363,-97.919570825404307" TargetMode="External"/><Relationship Id="rId8228" Type="http://schemas.openxmlformats.org/officeDocument/2006/relationships/hyperlink" Target="https://maps.google.com/?q=16.4227066,-97.639466999999996" TargetMode="External"/><Relationship Id="rId11556" Type="http://schemas.openxmlformats.org/officeDocument/2006/relationships/hyperlink" Target="https://maps.google.com/?q=16.8314474760546,-96.706235575403596" TargetMode="External"/><Relationship Id="rId12607" Type="http://schemas.openxmlformats.org/officeDocument/2006/relationships/hyperlink" Target="https://maps.google.com/?q=17.113344,-96.854454000000004" TargetMode="External"/><Relationship Id="rId1615" Type="http://schemas.openxmlformats.org/officeDocument/2006/relationships/hyperlink" Target="https://maps.google.com/?q=17.758149,-96.079808999999997" TargetMode="External"/><Relationship Id="rId10158" Type="http://schemas.openxmlformats.org/officeDocument/2006/relationships/hyperlink" Target="https://maps.google.com/?q=17.1043698552503,-97.498359150016896" TargetMode="External"/><Relationship Id="rId11209" Type="http://schemas.openxmlformats.org/officeDocument/2006/relationships/hyperlink" Target="https://maps.google.com/?q=16.999189,-97.797701000000004" TargetMode="External"/><Relationship Id="rId3787" Type="http://schemas.openxmlformats.org/officeDocument/2006/relationships/hyperlink" Target="https://maps.google.com/?q=15.7652,-96.141930000000002" TargetMode="External"/><Relationship Id="rId4838" Type="http://schemas.openxmlformats.org/officeDocument/2006/relationships/hyperlink" Target="https://maps.google.com/?q=17.336354986959,-96.165767566827796" TargetMode="External"/><Relationship Id="rId2389" Type="http://schemas.openxmlformats.org/officeDocument/2006/relationships/hyperlink" Target="https://maps.google.com/?q=16.593477,-97.223169999999996" TargetMode="External"/><Relationship Id="rId6260" Type="http://schemas.openxmlformats.org/officeDocument/2006/relationships/hyperlink" Target="https://maps.google.com/?q=16.3882421021995,-96.732888233133494" TargetMode="External"/><Relationship Id="rId7311" Type="http://schemas.openxmlformats.org/officeDocument/2006/relationships/hyperlink" Target="https://maps.google.com/?q=16.72643227,-96.473470289999995" TargetMode="External"/><Relationship Id="rId2870" Type="http://schemas.openxmlformats.org/officeDocument/2006/relationships/hyperlink" Target="https://maps.google.com/?q=16.9869129291734,-97.680543847885005" TargetMode="External"/><Relationship Id="rId3921" Type="http://schemas.openxmlformats.org/officeDocument/2006/relationships/hyperlink" Target="https://maps.google.com/?q=17.047,-96.71366" TargetMode="External"/><Relationship Id="rId9483" Type="http://schemas.openxmlformats.org/officeDocument/2006/relationships/hyperlink" Target="https://maps.google.com/?q=17.335316,-98.012051" TargetMode="External"/><Relationship Id="rId12464" Type="http://schemas.openxmlformats.org/officeDocument/2006/relationships/hyperlink" Target="https://maps.google.com/?q=17.2215466864102,-97.270431957960596" TargetMode="External"/><Relationship Id="rId13515" Type="http://schemas.openxmlformats.org/officeDocument/2006/relationships/hyperlink" Target="https://maps.google.com/?q=17.304428204759144,-96.20820488872272" TargetMode="External"/><Relationship Id="rId13862" Type="http://schemas.openxmlformats.org/officeDocument/2006/relationships/hyperlink" Target="https://maps.google.com/?q=16.2636533368822,-96.569832658722902" TargetMode="External"/><Relationship Id="rId842" Type="http://schemas.openxmlformats.org/officeDocument/2006/relationships/hyperlink" Target="https://maps.google.com/?q=15.705284761083343,-96.524012244445572" TargetMode="External"/><Relationship Id="rId1472" Type="http://schemas.openxmlformats.org/officeDocument/2006/relationships/hyperlink" Target="https://maps.google.com/?q=17.05564887663106,-96.72494500396688" TargetMode="External"/><Relationship Id="rId2523" Type="http://schemas.openxmlformats.org/officeDocument/2006/relationships/hyperlink" Target="https://maps.google.com/?q=17.05226355,-96.624039319999994" TargetMode="External"/><Relationship Id="rId8085" Type="http://schemas.openxmlformats.org/officeDocument/2006/relationships/hyperlink" Target="https://maps.google.com/?q=17.3543380113771,-96.304551133491799" TargetMode="External"/><Relationship Id="rId9136" Type="http://schemas.openxmlformats.org/officeDocument/2006/relationships/hyperlink" Target="https://maps.google.com/?q=16.9697079816454,-97.084050620866805" TargetMode="External"/><Relationship Id="rId11066" Type="http://schemas.openxmlformats.org/officeDocument/2006/relationships/hyperlink" Target="https://maps.google.com/?q=17.2819169332748,-97.365216419940595" TargetMode="External"/><Relationship Id="rId12117" Type="http://schemas.openxmlformats.org/officeDocument/2006/relationships/hyperlink" Target="https://maps.google.com/?q=16.3195573188314,-97.664554164205" TargetMode="External"/><Relationship Id="rId1125" Type="http://schemas.openxmlformats.org/officeDocument/2006/relationships/hyperlink" Target="https://maps.google.com/?q=17.094055,-97.492358999999993" TargetMode="External"/><Relationship Id="rId4695" Type="http://schemas.openxmlformats.org/officeDocument/2006/relationships/hyperlink" Target="https://maps.google.com/?q=17.062461,-96.757001000000002" TargetMode="External"/><Relationship Id="rId3297" Type="http://schemas.openxmlformats.org/officeDocument/2006/relationships/hyperlink" Target="https://maps.google.com/?q=17.0630108735635,-96.811774752149503" TargetMode="External"/><Relationship Id="rId4348" Type="http://schemas.openxmlformats.org/officeDocument/2006/relationships/hyperlink" Target="https://maps.google.com/?q=15.95735616,-96.636230359999999" TargetMode="External"/><Relationship Id="rId5746" Type="http://schemas.openxmlformats.org/officeDocument/2006/relationships/hyperlink" Target="https://maps.google.com/?q=18.048511,-96.765557000000001" TargetMode="External"/><Relationship Id="rId8969" Type="http://schemas.openxmlformats.org/officeDocument/2006/relationships/hyperlink" Target="https://maps.google.com/?q=17.381589141,-96.161016610000004" TargetMode="External"/><Relationship Id="rId10899" Type="http://schemas.openxmlformats.org/officeDocument/2006/relationships/hyperlink" Target="https://maps.google.com/?q=16.1872428284081,-95.185859069999907" TargetMode="External"/><Relationship Id="rId11200" Type="http://schemas.openxmlformats.org/officeDocument/2006/relationships/hyperlink" Target="https://maps.google.com/?q=16.846447,-96.012760999999998" TargetMode="External"/><Relationship Id="rId13372" Type="http://schemas.openxmlformats.org/officeDocument/2006/relationships/hyperlink" Target="https://maps.google.com/?q=16.3232472295674,-96.678449328953207" TargetMode="External"/><Relationship Id="rId2380" Type="http://schemas.openxmlformats.org/officeDocument/2006/relationships/hyperlink" Target="https://maps.google.com/?q=17.172723356113,-97.827010909940697" TargetMode="External"/><Relationship Id="rId3431" Type="http://schemas.openxmlformats.org/officeDocument/2006/relationships/hyperlink" Target="https://maps.google.com/?q=17.0669005696913,-96.968271459807397" TargetMode="External"/><Relationship Id="rId13025" Type="http://schemas.openxmlformats.org/officeDocument/2006/relationships/hyperlink" Target="https://maps.google.com/?q=16.5063354,-97.560321000000002" TargetMode="External"/><Relationship Id="rId352" Type="http://schemas.openxmlformats.org/officeDocument/2006/relationships/hyperlink" Target="https://maps.google.com/?q=16.054679,-97.406904999999995" TargetMode="External"/><Relationship Id="rId2033" Type="http://schemas.openxmlformats.org/officeDocument/2006/relationships/hyperlink" Target="https://maps.google.com/?q=15.758856058587176,-96.142251553862224" TargetMode="External"/><Relationship Id="rId6654" Type="http://schemas.openxmlformats.org/officeDocument/2006/relationships/hyperlink" Target="https://maps.google.com/?q=17.755931,-96.195081999999999" TargetMode="External"/><Relationship Id="rId7705" Type="http://schemas.openxmlformats.org/officeDocument/2006/relationships/hyperlink" Target="https://maps.google.com/?q=16.6283157416175,-96.795565708196193" TargetMode="External"/><Relationship Id="rId5256" Type="http://schemas.openxmlformats.org/officeDocument/2006/relationships/hyperlink" Target="https://maps.google.com/?q=15.8848165687191,-96.321889068501804" TargetMode="External"/><Relationship Id="rId6307" Type="http://schemas.openxmlformats.org/officeDocument/2006/relationships/hyperlink" Target="https://maps.google.com/?q=18.057467,-96.388126999999997" TargetMode="External"/><Relationship Id="rId8479" Type="http://schemas.openxmlformats.org/officeDocument/2006/relationships/hyperlink" Target="https://maps.google.com/?q=17.1522291883183,-97.527375069999906" TargetMode="External"/><Relationship Id="rId9877" Type="http://schemas.openxmlformats.org/officeDocument/2006/relationships/hyperlink" Target="https://maps.google.com/?q=16.636352092412,-96.848466345582196" TargetMode="External"/><Relationship Id="rId12858" Type="http://schemas.openxmlformats.org/officeDocument/2006/relationships/hyperlink" Target="https://maps.google.com/?q=17.518154,-97.687132000000005" TargetMode="External"/><Relationship Id="rId13909" Type="http://schemas.openxmlformats.org/officeDocument/2006/relationships/hyperlink" Target="https://maps.google.com/?q=16.855596979674,-96.814819543664697" TargetMode="External"/><Relationship Id="rId1866" Type="http://schemas.openxmlformats.org/officeDocument/2006/relationships/hyperlink" Target="https://maps.google.com/?q=15.775609264974845,-96.150569045762964" TargetMode="External"/><Relationship Id="rId2917" Type="http://schemas.openxmlformats.org/officeDocument/2006/relationships/hyperlink" Target="https://maps.google.com/?q=17.07129718,-96.685973270000005" TargetMode="External"/><Relationship Id="rId1519" Type="http://schemas.openxmlformats.org/officeDocument/2006/relationships/hyperlink" Target="https://maps.google.com/?q=17.061462,-96.754750999999999" TargetMode="External"/><Relationship Id="rId8960" Type="http://schemas.openxmlformats.org/officeDocument/2006/relationships/hyperlink" Target="https://maps.google.com/?q=17.381488438,-96.161599448000004" TargetMode="External"/><Relationship Id="rId10890" Type="http://schemas.openxmlformats.org/officeDocument/2006/relationships/hyperlink" Target="https://maps.google.com/?q=16.1815170001618,-95.204530103179593" TargetMode="External"/><Relationship Id="rId7562" Type="http://schemas.openxmlformats.org/officeDocument/2006/relationships/hyperlink" Target="https://maps.google.com/?q=17.327568142983,-95.269494036010897" TargetMode="External"/><Relationship Id="rId8613" Type="http://schemas.openxmlformats.org/officeDocument/2006/relationships/hyperlink" Target="https://maps.google.com/?q=17.8910753995565,-96.724085744700801" TargetMode="External"/><Relationship Id="rId10543" Type="http://schemas.openxmlformats.org/officeDocument/2006/relationships/hyperlink" Target="https://maps.google.com/?q=17.1189258362222,-97.785291049069798" TargetMode="External"/><Relationship Id="rId11941" Type="http://schemas.openxmlformats.org/officeDocument/2006/relationships/hyperlink" Target="https://maps.google.com/?q=17.238008061332,-97.918231326389304" TargetMode="External"/><Relationship Id="rId6164" Type="http://schemas.openxmlformats.org/officeDocument/2006/relationships/hyperlink" Target="https://maps.google.com/?q=16.1423195553459,-96.418857148983093" TargetMode="External"/><Relationship Id="rId7215" Type="http://schemas.openxmlformats.org/officeDocument/2006/relationships/hyperlink" Target="https://maps.google.com/?q=16.2278264109918,-97.941901968086498" TargetMode="External"/><Relationship Id="rId2774" Type="http://schemas.openxmlformats.org/officeDocument/2006/relationships/hyperlink" Target="https://maps.google.com/?q=18.0215530834594,-96.616981179999897" TargetMode="External"/><Relationship Id="rId9387" Type="http://schemas.openxmlformats.org/officeDocument/2006/relationships/hyperlink" Target="https://maps.google.com/?q=16.8206197524457,-95.142589901164001" TargetMode="External"/><Relationship Id="rId13766" Type="http://schemas.openxmlformats.org/officeDocument/2006/relationships/hyperlink" Target="https://maps.google.com/?q=16.3334,-98.378599" TargetMode="External"/><Relationship Id="rId746" Type="http://schemas.openxmlformats.org/officeDocument/2006/relationships/hyperlink" Target="https://maps.google.com/?q=15.682473790990546,-96.509874931242152" TargetMode="External"/><Relationship Id="rId1376" Type="http://schemas.openxmlformats.org/officeDocument/2006/relationships/hyperlink" Target="https://maps.google.com/?q=16.328751,-96.596529000000004" TargetMode="External"/><Relationship Id="rId2427" Type="http://schemas.openxmlformats.org/officeDocument/2006/relationships/hyperlink" Target="https://maps.google.com/?q=17.05117858,-96.624555529999995" TargetMode="External"/><Relationship Id="rId3825" Type="http://schemas.openxmlformats.org/officeDocument/2006/relationships/hyperlink" Target="https://maps.google.com/?q=17.07222593,-96.71339226" TargetMode="External"/><Relationship Id="rId12368" Type="http://schemas.openxmlformats.org/officeDocument/2006/relationships/hyperlink" Target="https://maps.google.com/?q=16.391792832431754,-97.65317291742548" TargetMode="External"/><Relationship Id="rId13419" Type="http://schemas.openxmlformats.org/officeDocument/2006/relationships/hyperlink" Target="https://maps.google.com/?q=16.3347075852965,-96.678898326389302" TargetMode="External"/><Relationship Id="rId1029" Type="http://schemas.openxmlformats.org/officeDocument/2006/relationships/hyperlink" Target="https://maps.google.com/?q=15.70514247224545,-96.523615187636764" TargetMode="External"/><Relationship Id="rId5997" Type="http://schemas.openxmlformats.org/officeDocument/2006/relationships/hyperlink" Target="https://maps.google.com/?q=18.155113203534633,-96.576683550249314" TargetMode="External"/><Relationship Id="rId13900" Type="http://schemas.openxmlformats.org/officeDocument/2006/relationships/hyperlink" Target="https://maps.google.com/?q=16.624526609420695,-96.95389519306899" TargetMode="External"/><Relationship Id="rId82" Type="http://schemas.openxmlformats.org/officeDocument/2006/relationships/hyperlink" Target="https://maps.google.com/?q=15.907454,-96.448935000000006" TargetMode="External"/><Relationship Id="rId4599" Type="http://schemas.openxmlformats.org/officeDocument/2006/relationships/hyperlink" Target="https://maps.google.com/?q=16.5573936,-96.818583000000004" TargetMode="External"/><Relationship Id="rId7072" Type="http://schemas.openxmlformats.org/officeDocument/2006/relationships/hyperlink" Target="https://maps.google.com/?q=16.376264,-98.141261" TargetMode="External"/><Relationship Id="rId8470" Type="http://schemas.openxmlformats.org/officeDocument/2006/relationships/hyperlink" Target="https://maps.google.com/?q=17.1485221312089,-97.532214054599507" TargetMode="External"/><Relationship Id="rId9521" Type="http://schemas.openxmlformats.org/officeDocument/2006/relationships/hyperlink" Target="https://maps.google.com/?q=17.739026281764914,-96.55811854348183" TargetMode="External"/><Relationship Id="rId11451" Type="http://schemas.openxmlformats.org/officeDocument/2006/relationships/hyperlink" Target="https://maps.google.com/?q=15.9847569,-97.548537999999994" TargetMode="External"/><Relationship Id="rId12502" Type="http://schemas.openxmlformats.org/officeDocument/2006/relationships/hyperlink" Target="https://maps.google.com/?q=17.2237281979331,-97.274388398391693" TargetMode="External"/><Relationship Id="rId1510" Type="http://schemas.openxmlformats.org/officeDocument/2006/relationships/hyperlink" Target="https://maps.google.com/?q=17.06115,-96.755579999999995" TargetMode="External"/><Relationship Id="rId8123" Type="http://schemas.openxmlformats.org/officeDocument/2006/relationships/hyperlink" Target="https://maps.google.com/?q=17.355325,-96.301755999999997" TargetMode="External"/><Relationship Id="rId10053" Type="http://schemas.openxmlformats.org/officeDocument/2006/relationships/hyperlink" Target="https://maps.google.com/?q=16.9269430224592,-96.369741018524195" TargetMode="External"/><Relationship Id="rId11104" Type="http://schemas.openxmlformats.org/officeDocument/2006/relationships/hyperlink" Target="https://maps.google.com/?q=17.25501510432048,-96.1530716588955" TargetMode="External"/><Relationship Id="rId3682" Type="http://schemas.openxmlformats.org/officeDocument/2006/relationships/hyperlink" Target="https://maps.google.com/?q=15.775762,-96.147107" TargetMode="External"/><Relationship Id="rId4733" Type="http://schemas.openxmlformats.org/officeDocument/2006/relationships/hyperlink" Target="https://maps.google.com/?q=17.78288933452948,-98.15207268748826" TargetMode="External"/><Relationship Id="rId13276" Type="http://schemas.openxmlformats.org/officeDocument/2006/relationships/hyperlink" Target="https://maps.google.com/?q=16.1332757504301,-96.371031857811104" TargetMode="External"/><Relationship Id="rId2284" Type="http://schemas.openxmlformats.org/officeDocument/2006/relationships/hyperlink" Target="https://maps.google.com/?q=18.0985373156883,-96.929151592099899" TargetMode="External"/><Relationship Id="rId3335" Type="http://schemas.openxmlformats.org/officeDocument/2006/relationships/hyperlink" Target="https://maps.google.com/?q=17.0672458745051,-96.813142760747894" TargetMode="External"/><Relationship Id="rId256" Type="http://schemas.openxmlformats.org/officeDocument/2006/relationships/hyperlink" Target="https://maps.google.com/?q=16.88622,-97.677959999999999" TargetMode="External"/><Relationship Id="rId6558" Type="http://schemas.openxmlformats.org/officeDocument/2006/relationships/hyperlink" Target="https://maps.google.com/?q=17.761667,-96.878825" TargetMode="External"/><Relationship Id="rId7956" Type="http://schemas.openxmlformats.org/officeDocument/2006/relationships/hyperlink" Target="https://maps.google.com/?q=15.9478100265854,-96.553472415522506" TargetMode="External"/><Relationship Id="rId10937" Type="http://schemas.openxmlformats.org/officeDocument/2006/relationships/hyperlink" Target="https://maps.google.com/?q=16.1957251131241,-95.2182460414639" TargetMode="External"/><Relationship Id="rId7609" Type="http://schemas.openxmlformats.org/officeDocument/2006/relationships/hyperlink" Target="https://maps.google.com/?q=17.2295546466542,-95.054418222755999" TargetMode="External"/><Relationship Id="rId9031" Type="http://schemas.openxmlformats.org/officeDocument/2006/relationships/hyperlink" Target="https://maps.google.com/?q=16.053981,-95.482551000000001" TargetMode="External"/><Relationship Id="rId13410" Type="http://schemas.openxmlformats.org/officeDocument/2006/relationships/hyperlink" Target="https://maps.google.com/?q=16.328308437622,-96.677986192625099" TargetMode="External"/><Relationship Id="rId12012" Type="http://schemas.openxmlformats.org/officeDocument/2006/relationships/hyperlink" Target="https://maps.google.com/?q=16.8033329256931,-96.712532650059302" TargetMode="External"/><Relationship Id="rId1020" Type="http://schemas.openxmlformats.org/officeDocument/2006/relationships/hyperlink" Target="https://maps.google.com/?q=15.698751531377344,-96.524870970538132" TargetMode="External"/><Relationship Id="rId4590" Type="http://schemas.openxmlformats.org/officeDocument/2006/relationships/hyperlink" Target="https://maps.google.com/?q=16.557009,-96.823670000000007" TargetMode="External"/><Relationship Id="rId5641" Type="http://schemas.openxmlformats.org/officeDocument/2006/relationships/hyperlink" Target="https://maps.google.com/?q=17.563176322762,-96.178360780000602" TargetMode="External"/><Relationship Id="rId3192" Type="http://schemas.openxmlformats.org/officeDocument/2006/relationships/hyperlink" Target="https://maps.google.com/?q=17.035974,-97.053669999999997" TargetMode="External"/><Relationship Id="rId4243" Type="http://schemas.openxmlformats.org/officeDocument/2006/relationships/hyperlink" Target="https://maps.google.com/?q=16.5703169919183,-96.697248550926204" TargetMode="External"/><Relationship Id="rId8864" Type="http://schemas.openxmlformats.org/officeDocument/2006/relationships/hyperlink" Target="https://maps.google.com/?q=17.221152,-96.243694000000005" TargetMode="External"/><Relationship Id="rId9915" Type="http://schemas.openxmlformats.org/officeDocument/2006/relationships/hyperlink" Target="https://maps.google.com/?q=16.707019,-96.706770000000006" TargetMode="External"/><Relationship Id="rId7466" Type="http://schemas.openxmlformats.org/officeDocument/2006/relationships/hyperlink" Target="https://maps.google.com/?q=17.0721505001426,-96.751842139311506" TargetMode="External"/><Relationship Id="rId8517" Type="http://schemas.openxmlformats.org/officeDocument/2006/relationships/hyperlink" Target="https://maps.google.com/?q=17.1509205551581,-97.537900460428801" TargetMode="External"/><Relationship Id="rId10794" Type="http://schemas.openxmlformats.org/officeDocument/2006/relationships/hyperlink" Target="https://maps.google.com/?q=16.38440383339,-96.364914273393396" TargetMode="External"/><Relationship Id="rId11845" Type="http://schemas.openxmlformats.org/officeDocument/2006/relationships/hyperlink" Target="https://maps.google.com/?q=17.013611,-96.541111" TargetMode="External"/><Relationship Id="rId1904" Type="http://schemas.openxmlformats.org/officeDocument/2006/relationships/hyperlink" Target="https://maps.google.com/?q=15.776580055475598,-96.136472803262237" TargetMode="External"/><Relationship Id="rId6068" Type="http://schemas.openxmlformats.org/officeDocument/2006/relationships/hyperlink" Target="https://maps.google.com/?q=18.160871844089367,-96.576673923421694" TargetMode="External"/><Relationship Id="rId7119" Type="http://schemas.openxmlformats.org/officeDocument/2006/relationships/hyperlink" Target="https://maps.google.com/?q=17.3177873777576,-97.690687375009205" TargetMode="External"/><Relationship Id="rId10447" Type="http://schemas.openxmlformats.org/officeDocument/2006/relationships/hyperlink" Target="https://maps.google.com/?q=17.043016,-96.782131000000007" TargetMode="External"/><Relationship Id="rId997" Type="http://schemas.openxmlformats.org/officeDocument/2006/relationships/hyperlink" Target="https://maps.google.com/?q=15.691957568850174,-96.520931480276616" TargetMode="External"/><Relationship Id="rId2678" Type="http://schemas.openxmlformats.org/officeDocument/2006/relationships/hyperlink" Target="https://maps.google.com/?q=17.939026,-96.101477000000003" TargetMode="External"/><Relationship Id="rId3729" Type="http://schemas.openxmlformats.org/officeDocument/2006/relationships/hyperlink" Target="https://maps.google.com/?q=15.759335738054896,-96.140267839132846" TargetMode="External"/><Relationship Id="rId5151" Type="http://schemas.openxmlformats.org/officeDocument/2006/relationships/hyperlink" Target="https://maps.google.com/?q=17.254741,-96.151381999999998" TargetMode="External"/><Relationship Id="rId7600" Type="http://schemas.openxmlformats.org/officeDocument/2006/relationships/hyperlink" Target="https://maps.google.com/?q=17.0967611600466,-95.856059474418103" TargetMode="External"/><Relationship Id="rId6202" Type="http://schemas.openxmlformats.org/officeDocument/2006/relationships/hyperlink" Target="https://maps.google.com/?q=16.094426,-97.084248000000002" TargetMode="External"/><Relationship Id="rId9772" Type="http://schemas.openxmlformats.org/officeDocument/2006/relationships/hyperlink" Target="https://maps.google.com/?q=17.2855858392429,-96.798427000552294" TargetMode="External"/><Relationship Id="rId12753" Type="http://schemas.openxmlformats.org/officeDocument/2006/relationships/hyperlink" Target="https://maps.google.com/?q=17.4529751646497,-97.281160109999703" TargetMode="External"/><Relationship Id="rId13804" Type="http://schemas.openxmlformats.org/officeDocument/2006/relationships/hyperlink" Target="https://maps.google.com/?q=17.131208,-97.748723999999996" TargetMode="External"/><Relationship Id="rId1761" Type="http://schemas.openxmlformats.org/officeDocument/2006/relationships/hyperlink" Target="https://maps.google.com/?q=18.06138665,-96.847644959999997" TargetMode="External"/><Relationship Id="rId2812" Type="http://schemas.openxmlformats.org/officeDocument/2006/relationships/hyperlink" Target="https://maps.google.com/?q=16.9896837655956,-97.712359609209997" TargetMode="External"/><Relationship Id="rId8374" Type="http://schemas.openxmlformats.org/officeDocument/2006/relationships/hyperlink" Target="https://maps.google.com/?q=16.8459923735471,-97.2001371164272" TargetMode="External"/><Relationship Id="rId9425" Type="http://schemas.openxmlformats.org/officeDocument/2006/relationships/hyperlink" Target="https://maps.google.com/?q=16.7761464996044,-95.189719102742103" TargetMode="External"/><Relationship Id="rId11355" Type="http://schemas.openxmlformats.org/officeDocument/2006/relationships/hyperlink" Target="https://maps.google.com/?q=16.371983477853,-94.193361910645606" TargetMode="External"/><Relationship Id="rId12406" Type="http://schemas.openxmlformats.org/officeDocument/2006/relationships/hyperlink" Target="https://maps.google.com/?q=16.5570714376755,-96.821338116567603" TargetMode="External"/><Relationship Id="rId1414" Type="http://schemas.openxmlformats.org/officeDocument/2006/relationships/hyperlink" Target="https://maps.google.com/?q=16.339653,-98.051551" TargetMode="External"/><Relationship Id="rId4984" Type="http://schemas.openxmlformats.org/officeDocument/2006/relationships/hyperlink" Target="https://maps.google.com/?q=17.029537,-96.519003" TargetMode="External"/><Relationship Id="rId8027" Type="http://schemas.openxmlformats.org/officeDocument/2006/relationships/hyperlink" Target="https://maps.google.com/?q=16.485911569279,-97.378316540118902" TargetMode="External"/><Relationship Id="rId11008" Type="http://schemas.openxmlformats.org/officeDocument/2006/relationships/hyperlink" Target="https://maps.google.com/?q=17.156823,-97.194253000000003" TargetMode="External"/><Relationship Id="rId3586" Type="http://schemas.openxmlformats.org/officeDocument/2006/relationships/hyperlink" Target="https://maps.google.com/?q=15.776410100265586,-96.135225477508385" TargetMode="External"/><Relationship Id="rId4637" Type="http://schemas.openxmlformats.org/officeDocument/2006/relationships/hyperlink" Target="https://maps.google.com/?q=17.1188,-96.77251" TargetMode="External"/><Relationship Id="rId2188" Type="http://schemas.openxmlformats.org/officeDocument/2006/relationships/hyperlink" Target="https://maps.google.com/?q=16.9998750581167,-97.231563332588706" TargetMode="External"/><Relationship Id="rId3239" Type="http://schemas.openxmlformats.org/officeDocument/2006/relationships/hyperlink" Target="https://maps.google.com/?q=17.9512938617984,-96.205063854420303" TargetMode="External"/><Relationship Id="rId7110" Type="http://schemas.openxmlformats.org/officeDocument/2006/relationships/hyperlink" Target="https://maps.google.com/?q=17.3501255355585,-97.634305190349494" TargetMode="External"/><Relationship Id="rId9282" Type="http://schemas.openxmlformats.org/officeDocument/2006/relationships/hyperlink" Target="https://maps.google.com/?q=16.8675837337312,-95.229419200828303" TargetMode="External"/><Relationship Id="rId13661" Type="http://schemas.openxmlformats.org/officeDocument/2006/relationships/hyperlink" Target="https://maps.google.com/?q=16.896861,-96.766546" TargetMode="External"/><Relationship Id="rId3720" Type="http://schemas.openxmlformats.org/officeDocument/2006/relationships/hyperlink" Target="https://maps.google.com/?q=15.758462638387938,-96.144616398717588" TargetMode="External"/><Relationship Id="rId12263" Type="http://schemas.openxmlformats.org/officeDocument/2006/relationships/hyperlink" Target="https://maps.google.com/?q=16.4734287236616,-94.355831101852402" TargetMode="External"/><Relationship Id="rId13314" Type="http://schemas.openxmlformats.org/officeDocument/2006/relationships/hyperlink" Target="https://maps.google.com/?q=16.1360622907956,-96.325152000000401" TargetMode="External"/><Relationship Id="rId641" Type="http://schemas.openxmlformats.org/officeDocument/2006/relationships/hyperlink" Target="https://maps.google.com/?q=16.054601,-97.39528" TargetMode="External"/><Relationship Id="rId1271" Type="http://schemas.openxmlformats.org/officeDocument/2006/relationships/hyperlink" Target="https://maps.google.com/?q=17.058593,-96.743078999999994" TargetMode="External"/><Relationship Id="rId2322" Type="http://schemas.openxmlformats.org/officeDocument/2006/relationships/hyperlink" Target="https://maps.google.com/?q=18.1074923703841,-96.869699728360601" TargetMode="External"/><Relationship Id="rId5892" Type="http://schemas.openxmlformats.org/officeDocument/2006/relationships/hyperlink" Target="https://maps.google.com/?q=18.14527325700811,-96.565947717906283" TargetMode="External"/><Relationship Id="rId6943" Type="http://schemas.openxmlformats.org/officeDocument/2006/relationships/hyperlink" Target="https://maps.google.com/?q=16.319809,-95.247298000000001" TargetMode="External"/><Relationship Id="rId4494" Type="http://schemas.openxmlformats.org/officeDocument/2006/relationships/hyperlink" Target="https://maps.google.com/?q=17.1776003439284,-97.305435271164001" TargetMode="External"/><Relationship Id="rId5545" Type="http://schemas.openxmlformats.org/officeDocument/2006/relationships/hyperlink" Target="https://maps.google.com/?q=17.2915453320823,-97.384607241733505" TargetMode="External"/><Relationship Id="rId14088" Type="http://schemas.openxmlformats.org/officeDocument/2006/relationships/hyperlink" Target="https://maps.google.com/?q=18.119359267855657,-96.44918933171829" TargetMode="External"/><Relationship Id="rId3096" Type="http://schemas.openxmlformats.org/officeDocument/2006/relationships/hyperlink" Target="https://maps.google.com/?q=17.29869588,-97.487816640000005" TargetMode="External"/><Relationship Id="rId4147" Type="http://schemas.openxmlformats.org/officeDocument/2006/relationships/hyperlink" Target="https://maps.google.com/?q=16.422611,-98.169683000000006" TargetMode="External"/><Relationship Id="rId8768" Type="http://schemas.openxmlformats.org/officeDocument/2006/relationships/hyperlink" Target="https://maps.google.com/?q=17.205587,-96.252973999999995" TargetMode="External"/><Relationship Id="rId9819" Type="http://schemas.openxmlformats.org/officeDocument/2006/relationships/hyperlink" Target="https://maps.google.com/?q=16.6317886424034,-96.851052877360203" TargetMode="External"/><Relationship Id="rId10698" Type="http://schemas.openxmlformats.org/officeDocument/2006/relationships/hyperlink" Target="https://maps.google.com/?q=16.279058,-97.820240999999996" TargetMode="External"/><Relationship Id="rId11749" Type="http://schemas.openxmlformats.org/officeDocument/2006/relationships/hyperlink" Target="https://maps.google.com/?q=17.19283992,-97.713362360000005" TargetMode="External"/><Relationship Id="rId1808" Type="http://schemas.openxmlformats.org/officeDocument/2006/relationships/hyperlink" Target="https://maps.google.com/?q=18.0684058560273,-96.898157042991699" TargetMode="External"/><Relationship Id="rId13171" Type="http://schemas.openxmlformats.org/officeDocument/2006/relationships/hyperlink" Target="https://maps.google.com/?q=16.5685730396583,-97.011265163194594" TargetMode="External"/><Relationship Id="rId151" Type="http://schemas.openxmlformats.org/officeDocument/2006/relationships/hyperlink" Target="https://maps.google.com/?q=17.095346,-97.497557" TargetMode="External"/><Relationship Id="rId3230" Type="http://schemas.openxmlformats.org/officeDocument/2006/relationships/hyperlink" Target="https://maps.google.com/?q=17.9348789432269,-96.210516046440105" TargetMode="External"/><Relationship Id="rId7851" Type="http://schemas.openxmlformats.org/officeDocument/2006/relationships/hyperlink" Target="https://maps.google.com/?q=16.3121283478491,-96.402873928732106" TargetMode="External"/><Relationship Id="rId8902" Type="http://schemas.openxmlformats.org/officeDocument/2006/relationships/hyperlink" Target="https://maps.google.com/?q=17.380004377,-96.162757157000001" TargetMode="External"/><Relationship Id="rId10832" Type="http://schemas.openxmlformats.org/officeDocument/2006/relationships/hyperlink" Target="https://maps.google.com/?q=16.3927524737326,-94.458596440648705" TargetMode="External"/><Relationship Id="rId6453" Type="http://schemas.openxmlformats.org/officeDocument/2006/relationships/hyperlink" Target="https://maps.google.com/?q=16.143522,-97.357365000000001" TargetMode="External"/><Relationship Id="rId7504" Type="http://schemas.openxmlformats.org/officeDocument/2006/relationships/hyperlink" Target="https://maps.google.com/?q=17.34393601,-97.376509600000006" TargetMode="External"/><Relationship Id="rId5055" Type="http://schemas.openxmlformats.org/officeDocument/2006/relationships/hyperlink" Target="https://maps.google.com/?q=17.25196,-96.156456000000006" TargetMode="External"/><Relationship Id="rId6106" Type="http://schemas.openxmlformats.org/officeDocument/2006/relationships/hyperlink" Target="https://maps.google.com/?q=17.972469,-96.708136999999994" TargetMode="External"/><Relationship Id="rId9676" Type="http://schemas.openxmlformats.org/officeDocument/2006/relationships/hyperlink" Target="https://maps.google.com/?q=16.4668824527963,-96.645018165093802" TargetMode="External"/><Relationship Id="rId1665" Type="http://schemas.openxmlformats.org/officeDocument/2006/relationships/hyperlink" Target="https://maps.google.com/?q=16.650313,&#160;-96.772346" TargetMode="External"/><Relationship Id="rId2716" Type="http://schemas.openxmlformats.org/officeDocument/2006/relationships/hyperlink" Target="https://maps.google.com/?q=15.901988,-96.472847999999999" TargetMode="External"/><Relationship Id="rId8278" Type="http://schemas.openxmlformats.org/officeDocument/2006/relationships/hyperlink" Target="https://maps.google.com/?q=17.6240867417,-97.0337612398" TargetMode="External"/><Relationship Id="rId9329" Type="http://schemas.openxmlformats.org/officeDocument/2006/relationships/hyperlink" Target="https://maps.google.com/?q=16.8165899275136,-95.137358171565396" TargetMode="External"/><Relationship Id="rId11259" Type="http://schemas.openxmlformats.org/officeDocument/2006/relationships/hyperlink" Target="https://maps.google.com/?q=17.8651965499374,-96.309447263373002" TargetMode="External"/><Relationship Id="rId12657" Type="http://schemas.openxmlformats.org/officeDocument/2006/relationships/hyperlink" Target="https://maps.google.com/?q=16.9193657122228,-97.891826496087006" TargetMode="External"/><Relationship Id="rId13708" Type="http://schemas.openxmlformats.org/officeDocument/2006/relationships/hyperlink" Target="https://maps.google.com/?q=16.654744,-97.338884" TargetMode="External"/><Relationship Id="rId1318" Type="http://schemas.openxmlformats.org/officeDocument/2006/relationships/hyperlink" Target="https://maps.google.com/?q=17.085681,-96.731653" TargetMode="External"/><Relationship Id="rId4888" Type="http://schemas.openxmlformats.org/officeDocument/2006/relationships/hyperlink" Target="https://maps.google.com/?q=16.7993513648949,-96.396482203373793" TargetMode="External"/><Relationship Id="rId5939" Type="http://schemas.openxmlformats.org/officeDocument/2006/relationships/hyperlink" Target="https://maps.google.com/?q=18.15366830743959,-96.574351509118543" TargetMode="External"/><Relationship Id="rId7361" Type="http://schemas.openxmlformats.org/officeDocument/2006/relationships/hyperlink" Target="https://maps.google.com/?q=16.566926,-97.654853000000003" TargetMode="External"/><Relationship Id="rId9810" Type="http://schemas.openxmlformats.org/officeDocument/2006/relationships/hyperlink" Target="https://maps.google.com/?q=16.6435270719632,-96.752868857791" TargetMode="External"/><Relationship Id="rId11740" Type="http://schemas.openxmlformats.org/officeDocument/2006/relationships/hyperlink" Target="https://maps.google.com/?q=17.18917824,-97.713862800000001" TargetMode="External"/><Relationship Id="rId24" Type="http://schemas.openxmlformats.org/officeDocument/2006/relationships/hyperlink" Target="https://maps.google.com/?q=17.222065,-97.119255999999993" TargetMode="External"/><Relationship Id="rId7014" Type="http://schemas.openxmlformats.org/officeDocument/2006/relationships/hyperlink" Target="https://maps.google.com/?q=17.0401947177702,-97.295242279760302" TargetMode="External"/><Relationship Id="rId8412" Type="http://schemas.openxmlformats.org/officeDocument/2006/relationships/hyperlink" Target="https://maps.google.com/?q=16.0905443782004,-96.243485825148596" TargetMode="External"/><Relationship Id="rId10342" Type="http://schemas.openxmlformats.org/officeDocument/2006/relationships/hyperlink" Target="https://maps.google.com/?q=17.4331772700783,-96.659278016215694" TargetMode="External"/><Relationship Id="rId3971" Type="http://schemas.openxmlformats.org/officeDocument/2006/relationships/hyperlink" Target="https://maps.google.com/?q=17.061861,-96.753832000000003" TargetMode="External"/><Relationship Id="rId13565" Type="http://schemas.openxmlformats.org/officeDocument/2006/relationships/hyperlink" Target="https://maps.google.com/?q=18.0669539,-96.5331766" TargetMode="External"/><Relationship Id="rId892" Type="http://schemas.openxmlformats.org/officeDocument/2006/relationships/hyperlink" Target="https://maps.google.com/?q=16.88391,-97.675730000000001" TargetMode="External"/><Relationship Id="rId2573" Type="http://schemas.openxmlformats.org/officeDocument/2006/relationships/hyperlink" Target="https://maps.google.com/?q=17.776604,-96.303297999999998" TargetMode="External"/><Relationship Id="rId3624" Type="http://schemas.openxmlformats.org/officeDocument/2006/relationships/hyperlink" Target="https://maps.google.com/?q=15.777109891179562,-96.13693167440168" TargetMode="External"/><Relationship Id="rId9186" Type="http://schemas.openxmlformats.org/officeDocument/2006/relationships/hyperlink" Target="https://maps.google.com/?q=17.3741002349858,-96.301210576311504" TargetMode="External"/><Relationship Id="rId12167" Type="http://schemas.openxmlformats.org/officeDocument/2006/relationships/hyperlink" Target="https://maps.google.com/?q=17.4157022329718,-95.947639833344596" TargetMode="External"/><Relationship Id="rId13218" Type="http://schemas.openxmlformats.org/officeDocument/2006/relationships/hyperlink" Target="https://maps.google.com/?q=17.3440099525591,-97.369902172387299" TargetMode="External"/><Relationship Id="rId545" Type="http://schemas.openxmlformats.org/officeDocument/2006/relationships/hyperlink" Target="https://maps.google.com/?q=16.053555,-97.404110000000003" TargetMode="External"/><Relationship Id="rId1175" Type="http://schemas.openxmlformats.org/officeDocument/2006/relationships/hyperlink" Target="https://maps.google.com/?q=16.888511,-95.037323" TargetMode="External"/><Relationship Id="rId2226" Type="http://schemas.openxmlformats.org/officeDocument/2006/relationships/hyperlink" Target="https://maps.google.com/?q=17.4085369904901,-97.091763239796805" TargetMode="External"/><Relationship Id="rId5796" Type="http://schemas.openxmlformats.org/officeDocument/2006/relationships/hyperlink" Target="https://maps.google.com/?q=17.3067442036868,-97.492580985284803" TargetMode="External"/><Relationship Id="rId6847" Type="http://schemas.openxmlformats.org/officeDocument/2006/relationships/hyperlink" Target="https://maps.google.com/?q=17.0085015,-96.978167099999993" TargetMode="External"/><Relationship Id="rId4398" Type="http://schemas.openxmlformats.org/officeDocument/2006/relationships/hyperlink" Target="https://maps.google.com/?q=16.00138514,-96.680761820000001" TargetMode="External"/><Relationship Id="rId5449" Type="http://schemas.openxmlformats.org/officeDocument/2006/relationships/hyperlink" Target="https://maps.google.com/?q=16.0076752425035,-97.429079380000005" TargetMode="External"/><Relationship Id="rId9320" Type="http://schemas.openxmlformats.org/officeDocument/2006/relationships/hyperlink" Target="https://maps.google.com/?q=16.8160250752623,-95.141724807842195" TargetMode="External"/><Relationship Id="rId11250" Type="http://schemas.openxmlformats.org/officeDocument/2006/relationships/hyperlink" Target="https://maps.google.com/?q=17.8638023847236,-96.308672958524497" TargetMode="External"/><Relationship Id="rId12301" Type="http://schemas.openxmlformats.org/officeDocument/2006/relationships/hyperlink" Target="https://maps.google.com/?q=16.4882936880129,-94.341943494720596" TargetMode="External"/><Relationship Id="rId5930" Type="http://schemas.openxmlformats.org/officeDocument/2006/relationships/hyperlink" Target="https://maps.google.com/?q=18.15314313552528,-96.570892087441635" TargetMode="External"/><Relationship Id="rId3481" Type="http://schemas.openxmlformats.org/officeDocument/2006/relationships/hyperlink" Target="https://maps.google.com/?q=16.7473703459545,-97.2631308961749" TargetMode="External"/><Relationship Id="rId4532" Type="http://schemas.openxmlformats.org/officeDocument/2006/relationships/hyperlink" Target="https://maps.google.com/?q=17.1828489560694,-97.304256629465002" TargetMode="External"/><Relationship Id="rId13075" Type="http://schemas.openxmlformats.org/officeDocument/2006/relationships/hyperlink" Target="https://maps.google.com/?q=16.5638172,-97.535806500000007" TargetMode="External"/><Relationship Id="rId14126" Type="http://schemas.openxmlformats.org/officeDocument/2006/relationships/hyperlink" Target="https://maps.google.com/?q=16.89412633,-96.93710866" TargetMode="External"/><Relationship Id="rId2083" Type="http://schemas.openxmlformats.org/officeDocument/2006/relationships/hyperlink" Target="https://maps.google.com/?q=15.773677705481708,-96.234608971743924" TargetMode="External"/><Relationship Id="rId3134" Type="http://schemas.openxmlformats.org/officeDocument/2006/relationships/hyperlink" Target="https://maps.google.com/?q=16.585059,-97.443365" TargetMode="External"/><Relationship Id="rId7755" Type="http://schemas.openxmlformats.org/officeDocument/2006/relationships/hyperlink" Target="https://maps.google.com/?q=16.069988,-96.297599099999999" TargetMode="External"/><Relationship Id="rId8806" Type="http://schemas.openxmlformats.org/officeDocument/2006/relationships/hyperlink" Target="https://maps.google.com/?q=17.215055,-96.249184" TargetMode="External"/><Relationship Id="rId6357" Type="http://schemas.openxmlformats.org/officeDocument/2006/relationships/hyperlink" Target="https://maps.google.com/?q=18.0665934778608,-96.403960849998299" TargetMode="External"/><Relationship Id="rId7408" Type="http://schemas.openxmlformats.org/officeDocument/2006/relationships/hyperlink" Target="https://maps.google.com/?q=17.080593,-96.996493999999998" TargetMode="External"/><Relationship Id="rId10736" Type="http://schemas.openxmlformats.org/officeDocument/2006/relationships/hyperlink" Target="https://maps.google.com/?q=17.052858,-96.732619" TargetMode="External"/><Relationship Id="rId13959" Type="http://schemas.openxmlformats.org/officeDocument/2006/relationships/hyperlink" Target="https://maps.google.com/?q=17.0974430222305,-96.053532845461604" TargetMode="External"/><Relationship Id="rId1569" Type="http://schemas.openxmlformats.org/officeDocument/2006/relationships/hyperlink" Target="https://maps.google.com/?q=16.549328,-96.725290000000001" TargetMode="External"/><Relationship Id="rId2967" Type="http://schemas.openxmlformats.org/officeDocument/2006/relationships/hyperlink" Target="https://maps.google.com/?q=16.5120451869176,-96.981347445438203" TargetMode="External"/><Relationship Id="rId5440" Type="http://schemas.openxmlformats.org/officeDocument/2006/relationships/hyperlink" Target="https://maps.google.com/?q=16.0063881889481,-97.4310158644181" TargetMode="External"/><Relationship Id="rId939" Type="http://schemas.openxmlformats.org/officeDocument/2006/relationships/hyperlink" Target="https://maps.google.com/?q=15.682811744418803,-96.510419756603994" TargetMode="External"/><Relationship Id="rId4042" Type="http://schemas.openxmlformats.org/officeDocument/2006/relationships/hyperlink" Target="https://maps.google.com/?q=17.080124,-96.725837999999996" TargetMode="External"/><Relationship Id="rId11991" Type="http://schemas.openxmlformats.org/officeDocument/2006/relationships/hyperlink" Target="https://maps.google.com/?q=16.8013449972856,-96.709494101852499" TargetMode="External"/><Relationship Id="rId8663" Type="http://schemas.openxmlformats.org/officeDocument/2006/relationships/hyperlink" Target="https://maps.google.com/?q=16.2756642895093,-96.304308680313895" TargetMode="External"/><Relationship Id="rId9714" Type="http://schemas.openxmlformats.org/officeDocument/2006/relationships/hyperlink" Target="https://maps.google.com/?q=16.4380579020623,-95.034263113215303" TargetMode="External"/><Relationship Id="rId10593" Type="http://schemas.openxmlformats.org/officeDocument/2006/relationships/hyperlink" Target="https://maps.google.com/?q=17.0818233860025,-97.766610122684497" TargetMode="External"/><Relationship Id="rId11644" Type="http://schemas.openxmlformats.org/officeDocument/2006/relationships/hyperlink" Target="https://maps.google.com/?q=17.1733732,-97.712153240000006" TargetMode="External"/><Relationship Id="rId1703" Type="http://schemas.openxmlformats.org/officeDocument/2006/relationships/hyperlink" Target="https://maps.google.com/?q=18.0729698918457,-96.898232100956406" TargetMode="External"/><Relationship Id="rId7265" Type="http://schemas.openxmlformats.org/officeDocument/2006/relationships/hyperlink" Target="https://maps.google.com/?q=16.2992000281426,-97.9126926155825" TargetMode="External"/><Relationship Id="rId8316" Type="http://schemas.openxmlformats.org/officeDocument/2006/relationships/hyperlink" Target="https://maps.google.com/?q=16.539262,-98.033116000000007" TargetMode="External"/><Relationship Id="rId10246" Type="http://schemas.openxmlformats.org/officeDocument/2006/relationships/hyperlink" Target="https://maps.google.com/?q=17.296117551613378,-97.30509188117962" TargetMode="External"/><Relationship Id="rId3875" Type="http://schemas.openxmlformats.org/officeDocument/2006/relationships/hyperlink" Target="https://maps.google.com/?q=17.1051828302462,-95.931922065092394" TargetMode="External"/><Relationship Id="rId4926" Type="http://schemas.openxmlformats.org/officeDocument/2006/relationships/hyperlink" Target="https://maps.google.com/?q=18.0327115960207,-96.673143039066503" TargetMode="External"/><Relationship Id="rId13469" Type="http://schemas.openxmlformats.org/officeDocument/2006/relationships/hyperlink" Target="https://maps.google.com/?q=17.6874470015267,-97.037697618385295" TargetMode="External"/><Relationship Id="rId796" Type="http://schemas.openxmlformats.org/officeDocument/2006/relationships/hyperlink" Target="https://maps.google.com/?q=15.693253217613295,-96.521829632491276" TargetMode="External"/><Relationship Id="rId2477" Type="http://schemas.openxmlformats.org/officeDocument/2006/relationships/hyperlink" Target="https://maps.google.com/?q=17.05188321,-96.624436560000007" TargetMode="External"/><Relationship Id="rId3528" Type="http://schemas.openxmlformats.org/officeDocument/2006/relationships/hyperlink" Target="https://maps.google.com/?q=15.764202,-96.150495" TargetMode="External"/><Relationship Id="rId449" Type="http://schemas.openxmlformats.org/officeDocument/2006/relationships/hyperlink" Target="https://maps.google.com/?q=16.052971,-97.410639000000003" TargetMode="External"/><Relationship Id="rId1079" Type="http://schemas.openxmlformats.org/officeDocument/2006/relationships/hyperlink" Target="https://maps.google.com/?q=17.092124,-97.499320999999995" TargetMode="External"/><Relationship Id="rId6001" Type="http://schemas.openxmlformats.org/officeDocument/2006/relationships/hyperlink" Target="https://maps.google.com/?q=18.15520108158213,-96.572374120296573" TargetMode="External"/><Relationship Id="rId9571" Type="http://schemas.openxmlformats.org/officeDocument/2006/relationships/hyperlink" Target="https://maps.google.com/?q=17.185565,-97.537288" TargetMode="External"/><Relationship Id="rId13950" Type="http://schemas.openxmlformats.org/officeDocument/2006/relationships/hyperlink" Target="https://maps.google.com/?q=17.225776,-96.300189" TargetMode="External"/><Relationship Id="rId8173" Type="http://schemas.openxmlformats.org/officeDocument/2006/relationships/hyperlink" Target="https://maps.google.com/?q=17.9584131154684,-96.158839243318695" TargetMode="External"/><Relationship Id="rId9224" Type="http://schemas.openxmlformats.org/officeDocument/2006/relationships/hyperlink" Target="https://maps.google.com/?q=17.3755835691412,-96.301796196604599" TargetMode="External"/><Relationship Id="rId12552" Type="http://schemas.openxmlformats.org/officeDocument/2006/relationships/hyperlink" Target="https://maps.google.com/?q=17.082978,-96.743666000000005" TargetMode="External"/><Relationship Id="rId13603" Type="http://schemas.openxmlformats.org/officeDocument/2006/relationships/hyperlink" Target="https://maps.google.com/?q=17.318033,-96.49369" TargetMode="External"/><Relationship Id="rId930" Type="http://schemas.openxmlformats.org/officeDocument/2006/relationships/hyperlink" Target="https://maps.google.com/?q=15.709957371692507,-96.528358657267262" TargetMode="External"/><Relationship Id="rId1560" Type="http://schemas.openxmlformats.org/officeDocument/2006/relationships/hyperlink" Target="https://maps.google.com/?q=16.9560745777065,-97.453058748340695" TargetMode="External"/><Relationship Id="rId2611" Type="http://schemas.openxmlformats.org/officeDocument/2006/relationships/hyperlink" Target="https://maps.google.com/?q=18.229224,-96.278358999999995" TargetMode="External"/><Relationship Id="rId11154" Type="http://schemas.openxmlformats.org/officeDocument/2006/relationships/hyperlink" Target="https://maps.google.com/?q=16.840869,-96.007382000000007" TargetMode="External"/><Relationship Id="rId12205" Type="http://schemas.openxmlformats.org/officeDocument/2006/relationships/hyperlink" Target="https://maps.google.com/?q=17.4180142159085,-95.950743403231797" TargetMode="External"/><Relationship Id="rId1213" Type="http://schemas.openxmlformats.org/officeDocument/2006/relationships/hyperlink" Target="https://maps.google.com/?q=17.005213197575458,-95.02868469848633" TargetMode="External"/><Relationship Id="rId4783" Type="http://schemas.openxmlformats.org/officeDocument/2006/relationships/hyperlink" Target="https://maps.google.com/?q=17.9580106209881,-96.659558495095098" TargetMode="External"/><Relationship Id="rId5834" Type="http://schemas.openxmlformats.org/officeDocument/2006/relationships/hyperlink" Target="https://maps.google.com/?q=16.1262817692152,-97.605610044862203" TargetMode="External"/><Relationship Id="rId3385" Type="http://schemas.openxmlformats.org/officeDocument/2006/relationships/hyperlink" Target="https://maps.google.com/?q=16.387236,-96.837980000000002" TargetMode="External"/><Relationship Id="rId4436" Type="http://schemas.openxmlformats.org/officeDocument/2006/relationships/hyperlink" Target="https://maps.google.com/?q=17.273236740136,-97.533268310669897" TargetMode="External"/><Relationship Id="rId3038" Type="http://schemas.openxmlformats.org/officeDocument/2006/relationships/hyperlink" Target="https://maps.google.com/?q=16.940275,-97.016544999999994" TargetMode="External"/><Relationship Id="rId7659" Type="http://schemas.openxmlformats.org/officeDocument/2006/relationships/hyperlink" Target="https://maps.google.com/?q=17.2324099492861,-95.054870638427403" TargetMode="External"/><Relationship Id="rId10987" Type="http://schemas.openxmlformats.org/officeDocument/2006/relationships/hyperlink" Target="https://maps.google.com/?q=17.1580865799439,-97.587865173453594" TargetMode="External"/><Relationship Id="rId9081" Type="http://schemas.openxmlformats.org/officeDocument/2006/relationships/hyperlink" Target="https://maps.google.com/?q=16.062691,-95.499020999999999" TargetMode="External"/><Relationship Id="rId12062" Type="http://schemas.openxmlformats.org/officeDocument/2006/relationships/hyperlink" Target="https://maps.google.com/?q=16.31554508,-95.233838399999996" TargetMode="External"/><Relationship Id="rId13460" Type="http://schemas.openxmlformats.org/officeDocument/2006/relationships/hyperlink" Target="https://maps.google.com/?q=17.686810447358,-97.035263158150102" TargetMode="External"/><Relationship Id="rId440" Type="http://schemas.openxmlformats.org/officeDocument/2006/relationships/hyperlink" Target="https://maps.google.com/?q=16.053419,-97.410045999999994" TargetMode="External"/><Relationship Id="rId1070" Type="http://schemas.openxmlformats.org/officeDocument/2006/relationships/hyperlink" Target="https://maps.google.com/?q=17.094176,-97.499948000000003" TargetMode="External"/><Relationship Id="rId2121" Type="http://schemas.openxmlformats.org/officeDocument/2006/relationships/hyperlink" Target="https://maps.google.com/?q=15.762002,-96.143905000000004" TargetMode="External"/><Relationship Id="rId13113" Type="http://schemas.openxmlformats.org/officeDocument/2006/relationships/hyperlink" Target="https://maps.google.com/?q=16.5660921,-97.537812799999998" TargetMode="External"/><Relationship Id="rId5691" Type="http://schemas.openxmlformats.org/officeDocument/2006/relationships/hyperlink" Target="https://maps.google.com/?q=17.9397739182738,-97.970763784193196" TargetMode="External"/><Relationship Id="rId6742" Type="http://schemas.openxmlformats.org/officeDocument/2006/relationships/hyperlink" Target="https://maps.google.com/?q=15.8506841618374,-96.6419049" TargetMode="External"/><Relationship Id="rId4293" Type="http://schemas.openxmlformats.org/officeDocument/2006/relationships/hyperlink" Target="https://maps.google.com/?q=16.01332464,-96.662022739999998" TargetMode="External"/><Relationship Id="rId5344" Type="http://schemas.openxmlformats.org/officeDocument/2006/relationships/hyperlink" Target="https://maps.google.com/?q=16.5216668424293,-97.165403494373507" TargetMode="External"/><Relationship Id="rId9965" Type="http://schemas.openxmlformats.org/officeDocument/2006/relationships/hyperlink" Target="https://maps.google.com/?q=17.00603,-97.630059" TargetMode="External"/><Relationship Id="rId11895" Type="http://schemas.openxmlformats.org/officeDocument/2006/relationships/hyperlink" Target="https://maps.google.com/?q=17.162580602260967,-97.22638515078735" TargetMode="External"/><Relationship Id="rId1954" Type="http://schemas.openxmlformats.org/officeDocument/2006/relationships/hyperlink" Target="https://maps.google.com/?q=15.77885566137247,-96.137830464666138" TargetMode="External"/><Relationship Id="rId8567" Type="http://schemas.openxmlformats.org/officeDocument/2006/relationships/hyperlink" Target="https://maps.google.com/?q=16.928243228541,-96.600350052744005" TargetMode="External"/><Relationship Id="rId9618" Type="http://schemas.openxmlformats.org/officeDocument/2006/relationships/hyperlink" Target="https://maps.google.com/?q=17.9985109594429,-96.745593632268196" TargetMode="External"/><Relationship Id="rId10497" Type="http://schemas.openxmlformats.org/officeDocument/2006/relationships/hyperlink" Target="https://maps.google.com/?q=17.8458281739233,-96.7440112525085" TargetMode="External"/><Relationship Id="rId11548" Type="http://schemas.openxmlformats.org/officeDocument/2006/relationships/hyperlink" Target="https://maps.google.com/?q=16.8292202010239,-96.707270257776003" TargetMode="External"/><Relationship Id="rId12946" Type="http://schemas.openxmlformats.org/officeDocument/2006/relationships/hyperlink" Target="https://maps.google.com/?q=16.542412,-97.501669000000007" TargetMode="External"/><Relationship Id="rId1607" Type="http://schemas.openxmlformats.org/officeDocument/2006/relationships/hyperlink" Target="https://maps.google.com/?q=17.760583,-96.081805000000003" TargetMode="External"/><Relationship Id="rId7169" Type="http://schemas.openxmlformats.org/officeDocument/2006/relationships/hyperlink" Target="https://maps.google.com/?q=16.2176632265335,-97.958266823279104" TargetMode="External"/><Relationship Id="rId14021" Type="http://schemas.openxmlformats.org/officeDocument/2006/relationships/hyperlink" Target="https://maps.google.com/?q=16.475573,-94.349847" TargetMode="External"/><Relationship Id="rId3779" Type="http://schemas.openxmlformats.org/officeDocument/2006/relationships/hyperlink" Target="https://maps.google.com/?q=15.764282,-96.144171" TargetMode="External"/><Relationship Id="rId7650" Type="http://schemas.openxmlformats.org/officeDocument/2006/relationships/hyperlink" Target="https://maps.google.com/?q=17.2319246285757,-95.055885016446794" TargetMode="External"/><Relationship Id="rId6252" Type="http://schemas.openxmlformats.org/officeDocument/2006/relationships/hyperlink" Target="https://maps.google.com/?q=16.403421,-96.700840999999997" TargetMode="External"/><Relationship Id="rId7303" Type="http://schemas.openxmlformats.org/officeDocument/2006/relationships/hyperlink" Target="https://maps.google.com/?q=17.6082453342459,-96.139895408563703" TargetMode="External"/><Relationship Id="rId8701" Type="http://schemas.openxmlformats.org/officeDocument/2006/relationships/hyperlink" Target="https://maps.google.com/?q=16.1506334990994,-96.605365415073607" TargetMode="External"/><Relationship Id="rId10631" Type="http://schemas.openxmlformats.org/officeDocument/2006/relationships/hyperlink" Target="https://maps.google.com/?q=17.1183119554369,-97.779865076290406" TargetMode="External"/><Relationship Id="rId13854" Type="http://schemas.openxmlformats.org/officeDocument/2006/relationships/hyperlink" Target="https://maps.google.com/?q=16.257971627969,-96.591579919149396" TargetMode="External"/><Relationship Id="rId2862" Type="http://schemas.openxmlformats.org/officeDocument/2006/relationships/hyperlink" Target="https://maps.google.com/?q=16.9824334865177,-97.675267174274296" TargetMode="External"/><Relationship Id="rId3913" Type="http://schemas.openxmlformats.org/officeDocument/2006/relationships/hyperlink" Target="https://maps.google.com/?q=16.328884,-95.222876" TargetMode="External"/><Relationship Id="rId8077" Type="http://schemas.openxmlformats.org/officeDocument/2006/relationships/hyperlink" Target="https://maps.google.com/?q=17.3538790621433,-96.304940441894502" TargetMode="External"/><Relationship Id="rId9475" Type="http://schemas.openxmlformats.org/officeDocument/2006/relationships/hyperlink" Target="https://maps.google.com/?q=16.519807,-96.983885000000001" TargetMode="External"/><Relationship Id="rId12456" Type="http://schemas.openxmlformats.org/officeDocument/2006/relationships/hyperlink" Target="https://maps.google.com/?q=17.2212936981143,-97.271991683627306" TargetMode="External"/><Relationship Id="rId13507" Type="http://schemas.openxmlformats.org/officeDocument/2006/relationships/hyperlink" Target="https://maps.google.com/?q=17.009166696124996,-96.5810997748757" TargetMode="External"/><Relationship Id="rId834" Type="http://schemas.openxmlformats.org/officeDocument/2006/relationships/hyperlink" Target="https://maps.google.com/?q=15.704509445798909,-96.523629384244288" TargetMode="External"/><Relationship Id="rId1464" Type="http://schemas.openxmlformats.org/officeDocument/2006/relationships/hyperlink" Target="https://maps.google.com/?q=16.828771751712736,-96.67248164471219" TargetMode="External"/><Relationship Id="rId2515" Type="http://schemas.openxmlformats.org/officeDocument/2006/relationships/hyperlink" Target="https://maps.google.com/?q=17.05217071,-96.624311219999996" TargetMode="External"/><Relationship Id="rId9128" Type="http://schemas.openxmlformats.org/officeDocument/2006/relationships/hyperlink" Target="https://maps.google.com/?q=17.041757,-96.727793000000005" TargetMode="External"/><Relationship Id="rId11058" Type="http://schemas.openxmlformats.org/officeDocument/2006/relationships/hyperlink" Target="https://maps.google.com/?q=17.2789547255566,-97.371027205319706" TargetMode="External"/><Relationship Id="rId12109" Type="http://schemas.openxmlformats.org/officeDocument/2006/relationships/hyperlink" Target="https://maps.google.com/?q=16.3181997563505,-97.663474779660604" TargetMode="External"/><Relationship Id="rId1117" Type="http://schemas.openxmlformats.org/officeDocument/2006/relationships/hyperlink" Target="https://maps.google.com/?q=17.092172,-97.493604000000005" TargetMode="External"/><Relationship Id="rId4687" Type="http://schemas.openxmlformats.org/officeDocument/2006/relationships/hyperlink" Target="https://maps.google.com/?q=17.06115,-96.755579999999995" TargetMode="External"/><Relationship Id="rId5738" Type="http://schemas.openxmlformats.org/officeDocument/2006/relationships/hyperlink" Target="https://maps.google.com/?q=16.3903043,-96.365452000000005" TargetMode="External"/><Relationship Id="rId3289" Type="http://schemas.openxmlformats.org/officeDocument/2006/relationships/hyperlink" Target="https://maps.google.com/?q=17.0624625008997,-96.813069879360796" TargetMode="External"/><Relationship Id="rId7160" Type="http://schemas.openxmlformats.org/officeDocument/2006/relationships/hyperlink" Target="https://maps.google.com/?q=16.2014309897771,-97.928485353313803" TargetMode="External"/><Relationship Id="rId8211" Type="http://schemas.openxmlformats.org/officeDocument/2006/relationships/hyperlink" Target="https://maps.google.com/?q=16.372568,-97.675790000000006" TargetMode="External"/><Relationship Id="rId10141" Type="http://schemas.openxmlformats.org/officeDocument/2006/relationships/hyperlink" Target="https://maps.google.com/?q=17.1144953940946,-97.500934912209004" TargetMode="External"/><Relationship Id="rId3770" Type="http://schemas.openxmlformats.org/officeDocument/2006/relationships/hyperlink" Target="https://maps.google.com/?q=15.763314,-96.143383" TargetMode="External"/><Relationship Id="rId4821" Type="http://schemas.openxmlformats.org/officeDocument/2006/relationships/hyperlink" Target="https://maps.google.com/?q=16.9090659060647,-96.501971275581994" TargetMode="External"/><Relationship Id="rId13364" Type="http://schemas.openxmlformats.org/officeDocument/2006/relationships/hyperlink" Target="https://maps.google.com/?q=16.3214898189828,-96.673353985284905" TargetMode="External"/><Relationship Id="rId344" Type="http://schemas.openxmlformats.org/officeDocument/2006/relationships/hyperlink" Target="https://maps.google.com/?q=16.052547,-97.403398999999993" TargetMode="External"/><Relationship Id="rId691" Type="http://schemas.openxmlformats.org/officeDocument/2006/relationships/hyperlink" Target="https://maps.google.com/?q=16.059803,-97.387564999999995" TargetMode="External"/><Relationship Id="rId2025" Type="http://schemas.openxmlformats.org/officeDocument/2006/relationships/hyperlink" Target="https://maps.google.com/?q=15.758159999047098,-96.143576183252236" TargetMode="External"/><Relationship Id="rId2372" Type="http://schemas.openxmlformats.org/officeDocument/2006/relationships/hyperlink" Target="https://maps.google.com/?q=17.099939753043,-97.853390463962398" TargetMode="External"/><Relationship Id="rId3423" Type="http://schemas.openxmlformats.org/officeDocument/2006/relationships/hyperlink" Target="https://maps.google.com/?q=16.196547,-96.631877000000003" TargetMode="External"/><Relationship Id="rId6993" Type="http://schemas.openxmlformats.org/officeDocument/2006/relationships/hyperlink" Target="https://maps.google.com/?q=17.0366384027812,-97.299281299449206" TargetMode="External"/><Relationship Id="rId13017" Type="http://schemas.openxmlformats.org/officeDocument/2006/relationships/hyperlink" Target="https://maps.google.com/?q=16.50517029,-97.557307800000004" TargetMode="External"/><Relationship Id="rId5595" Type="http://schemas.openxmlformats.org/officeDocument/2006/relationships/hyperlink" Target="https://maps.google.com/?q=17.4593678247853,-96.231701988896205" TargetMode="External"/><Relationship Id="rId6646" Type="http://schemas.openxmlformats.org/officeDocument/2006/relationships/hyperlink" Target="https://maps.google.com/?q=16.8438998357094,-97.208475029430403" TargetMode="External"/><Relationship Id="rId4197" Type="http://schemas.openxmlformats.org/officeDocument/2006/relationships/hyperlink" Target="https://maps.google.com/?q=17.620341,-95.933847999999998" TargetMode="External"/><Relationship Id="rId5248" Type="http://schemas.openxmlformats.org/officeDocument/2006/relationships/hyperlink" Target="https://maps.google.com/?q=15.8767370367406,-96.322465487421397" TargetMode="External"/><Relationship Id="rId9869" Type="http://schemas.openxmlformats.org/officeDocument/2006/relationships/hyperlink" Target="https://maps.google.com/?q=16.6358407027243,-96.848384251164006" TargetMode="External"/><Relationship Id="rId12100" Type="http://schemas.openxmlformats.org/officeDocument/2006/relationships/hyperlink" Target="https://maps.google.com/?q=16.3172527946115,-97.6629169952338" TargetMode="External"/><Relationship Id="rId1858" Type="http://schemas.openxmlformats.org/officeDocument/2006/relationships/hyperlink" Target="https://maps.google.com/?q=15.771579441904228,-96.148349786814606" TargetMode="External"/><Relationship Id="rId11799" Type="http://schemas.openxmlformats.org/officeDocument/2006/relationships/hyperlink" Target="https://maps.google.com/?q=16.957857,-96.613047" TargetMode="External"/><Relationship Id="rId2909" Type="http://schemas.openxmlformats.org/officeDocument/2006/relationships/hyperlink" Target="https://maps.google.com/?q=17.0875013369815,-96.692628543432406" TargetMode="External"/><Relationship Id="rId3280" Type="http://schemas.openxmlformats.org/officeDocument/2006/relationships/hyperlink" Target="https://maps.google.com/?q=17.0618883105294,-96.814380665879199" TargetMode="External"/><Relationship Id="rId4331" Type="http://schemas.openxmlformats.org/officeDocument/2006/relationships/hyperlink" Target="https://maps.google.com/?q=16.016908883563,-96.618589866409096" TargetMode="External"/><Relationship Id="rId8952" Type="http://schemas.openxmlformats.org/officeDocument/2006/relationships/hyperlink" Target="https://maps.google.com/?q=17.381363613,-96.161273537" TargetMode="External"/><Relationship Id="rId10882" Type="http://schemas.openxmlformats.org/officeDocument/2006/relationships/hyperlink" Target="https://maps.google.com/?q=16.3518694255719,-94.482135550926202" TargetMode="External"/><Relationship Id="rId11933" Type="http://schemas.openxmlformats.org/officeDocument/2006/relationships/hyperlink" Target="https://maps.google.com/?q=16.3317583888459,-95.239999490559896" TargetMode="External"/><Relationship Id="rId6156" Type="http://schemas.openxmlformats.org/officeDocument/2006/relationships/hyperlink" Target="https://maps.google.com/?q=16.1417675437207,-96.417963145998002" TargetMode="External"/><Relationship Id="rId7554" Type="http://schemas.openxmlformats.org/officeDocument/2006/relationships/hyperlink" Target="https://maps.google.com/?q=17.9809741361454,-96.702881503254602" TargetMode="External"/><Relationship Id="rId8605" Type="http://schemas.openxmlformats.org/officeDocument/2006/relationships/hyperlink" Target="https://maps.google.com/?q=17.8862169286002,-96.725021570173595" TargetMode="External"/><Relationship Id="rId10535" Type="http://schemas.openxmlformats.org/officeDocument/2006/relationships/hyperlink" Target="https://maps.google.com/?q=17.1024358598168,-97.795680814471893" TargetMode="External"/><Relationship Id="rId7207" Type="http://schemas.openxmlformats.org/officeDocument/2006/relationships/hyperlink" Target="https://maps.google.com/?q=16.2271005388451,-97.943408467652105" TargetMode="External"/><Relationship Id="rId13758" Type="http://schemas.openxmlformats.org/officeDocument/2006/relationships/hyperlink" Target="https://maps.google.com/?q=17.860099,-96.211252" TargetMode="External"/><Relationship Id="rId2766" Type="http://schemas.openxmlformats.org/officeDocument/2006/relationships/hyperlink" Target="https://maps.google.com/?q=18.020663958048,-96.618808471852404" TargetMode="External"/><Relationship Id="rId3817" Type="http://schemas.openxmlformats.org/officeDocument/2006/relationships/hyperlink" Target="https://maps.google.com/?q=15.77407898827064,-96.237047150132184" TargetMode="External"/><Relationship Id="rId9379" Type="http://schemas.openxmlformats.org/officeDocument/2006/relationships/hyperlink" Target="https://maps.google.com/?q=16.8201191142187,-95.137914697616395" TargetMode="External"/><Relationship Id="rId738" Type="http://schemas.openxmlformats.org/officeDocument/2006/relationships/hyperlink" Target="https://maps.google.com/?q=15.682244765855282,-96.509131538561661" TargetMode="External"/><Relationship Id="rId1368" Type="http://schemas.openxmlformats.org/officeDocument/2006/relationships/hyperlink" Target="https://maps.google.com/?q=17.0636859737182,-96.7296414698624" TargetMode="External"/><Relationship Id="rId2419" Type="http://schemas.openxmlformats.org/officeDocument/2006/relationships/hyperlink" Target="https://maps.google.com/?q=17.05113532,-96.624092840000003" TargetMode="External"/><Relationship Id="rId5989" Type="http://schemas.openxmlformats.org/officeDocument/2006/relationships/hyperlink" Target="https://maps.google.com/?q=18.15489354010228,-96.576117076868684" TargetMode="External"/><Relationship Id="rId9860" Type="http://schemas.openxmlformats.org/officeDocument/2006/relationships/hyperlink" Target="https://maps.google.com/?q=16.6350884526074,-96.851794594477596" TargetMode="External"/><Relationship Id="rId74" Type="http://schemas.openxmlformats.org/officeDocument/2006/relationships/hyperlink" Target="https://maps.google.com/?q=15.910201,-96.449759" TargetMode="External"/><Relationship Id="rId8462" Type="http://schemas.openxmlformats.org/officeDocument/2006/relationships/hyperlink" Target="https://maps.google.com/?q=17.1527410597837,-97.528294448896105" TargetMode="External"/><Relationship Id="rId9513" Type="http://schemas.openxmlformats.org/officeDocument/2006/relationships/hyperlink" Target="https://maps.google.com/?q=17.43901465532746,-97.24173857602307" TargetMode="External"/><Relationship Id="rId11790" Type="http://schemas.openxmlformats.org/officeDocument/2006/relationships/hyperlink" Target="https://maps.google.com/?q=16.182808710606874,-96.46330427843473" TargetMode="External"/><Relationship Id="rId12841" Type="http://schemas.openxmlformats.org/officeDocument/2006/relationships/hyperlink" Target="https://maps.google.com/?q=17.51695138,-97.686751310000005" TargetMode="External"/><Relationship Id="rId2900" Type="http://schemas.openxmlformats.org/officeDocument/2006/relationships/hyperlink" Target="https://maps.google.com/?q=17.760867,-96.074307000000005" TargetMode="External"/><Relationship Id="rId7064" Type="http://schemas.openxmlformats.org/officeDocument/2006/relationships/hyperlink" Target="https://maps.google.com/?q=16.5703179243021,-97.034983530671397" TargetMode="External"/><Relationship Id="rId8115" Type="http://schemas.openxmlformats.org/officeDocument/2006/relationships/hyperlink" Target="https://maps.google.com/?q=17.3552256719686,-96.305698837790999" TargetMode="External"/><Relationship Id="rId10392" Type="http://schemas.openxmlformats.org/officeDocument/2006/relationships/hyperlink" Target="https://maps.google.com/?q=16.4327495836541,-97.064374889716404" TargetMode="External"/><Relationship Id="rId11443" Type="http://schemas.openxmlformats.org/officeDocument/2006/relationships/hyperlink" Target="https://maps.google.com/?q=16.07574,-97.302859999999995" TargetMode="External"/><Relationship Id="rId1502" Type="http://schemas.openxmlformats.org/officeDocument/2006/relationships/hyperlink" Target="https://maps.google.com/?q=17.061036,-96.755902000000006" TargetMode="External"/><Relationship Id="rId10045" Type="http://schemas.openxmlformats.org/officeDocument/2006/relationships/hyperlink" Target="https://maps.google.com/?q=16.9252527337776,-96.365094881324893" TargetMode="External"/><Relationship Id="rId3674" Type="http://schemas.openxmlformats.org/officeDocument/2006/relationships/hyperlink" Target="https://maps.google.com/?q=15.77489,-96.145328" TargetMode="External"/><Relationship Id="rId4725" Type="http://schemas.openxmlformats.org/officeDocument/2006/relationships/hyperlink" Target="https://maps.google.com/?q=17.058588,-96.743084899999999" TargetMode="External"/><Relationship Id="rId13268" Type="http://schemas.openxmlformats.org/officeDocument/2006/relationships/hyperlink" Target="https://maps.google.com/?q=16.1099674061218,-96.318780940730406" TargetMode="External"/><Relationship Id="rId595" Type="http://schemas.openxmlformats.org/officeDocument/2006/relationships/hyperlink" Target="https://maps.google.com/?q=16.05357,-97.399941999999996" TargetMode="External"/><Relationship Id="rId2276" Type="http://schemas.openxmlformats.org/officeDocument/2006/relationships/hyperlink" Target="https://maps.google.com/?q=18.0981803622841,-96.929963098614195" TargetMode="External"/><Relationship Id="rId3327" Type="http://schemas.openxmlformats.org/officeDocument/2006/relationships/hyperlink" Target="https://maps.google.com/?q=17.0656565409423,-96.815025874834106" TargetMode="External"/><Relationship Id="rId6897" Type="http://schemas.openxmlformats.org/officeDocument/2006/relationships/hyperlink" Target="https://maps.google.com/?q=16.974348,-97.088263999999995" TargetMode="External"/><Relationship Id="rId7948" Type="http://schemas.openxmlformats.org/officeDocument/2006/relationships/hyperlink" Target="https://maps.google.com/?q=16.3107959827588,-96.587103976686507" TargetMode="External"/><Relationship Id="rId248" Type="http://schemas.openxmlformats.org/officeDocument/2006/relationships/hyperlink" Target="https://maps.google.com/?q=16.88254,-97.676699999999997" TargetMode="External"/><Relationship Id="rId5499" Type="http://schemas.openxmlformats.org/officeDocument/2006/relationships/hyperlink" Target="https://maps.google.com/?q=16.336783,-96.493097000000006" TargetMode="External"/><Relationship Id="rId9370" Type="http://schemas.openxmlformats.org/officeDocument/2006/relationships/hyperlink" Target="https://maps.google.com/?q=16.8191440789019,-95.142822280000402" TargetMode="External"/><Relationship Id="rId10929" Type="http://schemas.openxmlformats.org/officeDocument/2006/relationships/hyperlink" Target="https://maps.google.com/?q=16.1937170025342,-95.211423979447702" TargetMode="External"/><Relationship Id="rId12351" Type="http://schemas.openxmlformats.org/officeDocument/2006/relationships/hyperlink" Target="https://maps.google.com/?q=16.569281,-94.700963" TargetMode="External"/><Relationship Id="rId2410" Type="http://schemas.openxmlformats.org/officeDocument/2006/relationships/hyperlink" Target="https://maps.google.com/?q=17.05068186953698,-96.62403960652135" TargetMode="External"/><Relationship Id="rId9023" Type="http://schemas.openxmlformats.org/officeDocument/2006/relationships/hyperlink" Target="https://maps.google.com/?q=16.053438,-95.467628000000005" TargetMode="External"/><Relationship Id="rId12004" Type="http://schemas.openxmlformats.org/officeDocument/2006/relationships/hyperlink" Target="https://maps.google.com/?q=16.8024080126352,-96.718156887790798" TargetMode="External"/><Relationship Id="rId13402" Type="http://schemas.openxmlformats.org/officeDocument/2006/relationships/hyperlink" Target="https://maps.google.com/?q=16.3272257193726,-96.669796402446707" TargetMode="External"/><Relationship Id="rId1012" Type="http://schemas.openxmlformats.org/officeDocument/2006/relationships/hyperlink" Target="https://maps.google.com/?q=15.697621332945317,-96.524453141704328" TargetMode="External"/><Relationship Id="rId5980" Type="http://schemas.openxmlformats.org/officeDocument/2006/relationships/hyperlink" Target="https://maps.google.com/?q=18.15453472433295,-96.575732124369409" TargetMode="External"/><Relationship Id="rId3184" Type="http://schemas.openxmlformats.org/officeDocument/2006/relationships/hyperlink" Target="https://maps.google.com/?q=16.551835,-97.499009000000001" TargetMode="External"/><Relationship Id="rId4235" Type="http://schemas.openxmlformats.org/officeDocument/2006/relationships/hyperlink" Target="https://maps.google.com/?q=17.991796,-96.741062" TargetMode="External"/><Relationship Id="rId4582" Type="http://schemas.openxmlformats.org/officeDocument/2006/relationships/hyperlink" Target="https://maps.google.com/?q=16.554876,-96.814491000000004" TargetMode="External"/><Relationship Id="rId5633" Type="http://schemas.openxmlformats.org/officeDocument/2006/relationships/hyperlink" Target="https://maps.google.com/?q=17.5626585027619,-96.180405668896299" TargetMode="External"/><Relationship Id="rId14176" Type="http://schemas.openxmlformats.org/officeDocument/2006/relationships/hyperlink" Target="https://maps.google.com/?q=15.821446459496123,-96.0667992296493" TargetMode="External"/><Relationship Id="rId8856" Type="http://schemas.openxmlformats.org/officeDocument/2006/relationships/hyperlink" Target="https://maps.google.com/?q=17.219633,-96.242969000000002" TargetMode="External"/><Relationship Id="rId9907" Type="http://schemas.openxmlformats.org/officeDocument/2006/relationships/hyperlink" Target="https://maps.google.com/?q=16.5560517433634,-96.726470578717198" TargetMode="External"/><Relationship Id="rId10786" Type="http://schemas.openxmlformats.org/officeDocument/2006/relationships/hyperlink" Target="https://maps.google.com/?q=16.4606120511556,-94.9991448897228" TargetMode="External"/><Relationship Id="rId11837" Type="http://schemas.openxmlformats.org/officeDocument/2006/relationships/hyperlink" Target="https://maps.google.com/?q=16.792778,-96.672778" TargetMode="External"/><Relationship Id="rId7458" Type="http://schemas.openxmlformats.org/officeDocument/2006/relationships/hyperlink" Target="https://maps.google.com/?q=16.3300157307063,-96.679389332798394" TargetMode="External"/><Relationship Id="rId8509" Type="http://schemas.openxmlformats.org/officeDocument/2006/relationships/hyperlink" Target="https://maps.google.com/?q=17.1492747135831,-97.537476479721093" TargetMode="External"/><Relationship Id="rId10439" Type="http://schemas.openxmlformats.org/officeDocument/2006/relationships/hyperlink" Target="https://maps.google.com/?q=17.042716,-96.777789999999996" TargetMode="External"/><Relationship Id="rId989" Type="http://schemas.openxmlformats.org/officeDocument/2006/relationships/hyperlink" Target="https://maps.google.com/?q=15.691714357993192,-96.519503643886438" TargetMode="External"/><Relationship Id="rId5490" Type="http://schemas.openxmlformats.org/officeDocument/2006/relationships/hyperlink" Target="https://maps.google.com/?q=16.3265466,-96.494515199999995" TargetMode="External"/><Relationship Id="rId6541" Type="http://schemas.openxmlformats.org/officeDocument/2006/relationships/hyperlink" Target="https://maps.google.com/?q=17.9801734382,-97.355246671" TargetMode="External"/><Relationship Id="rId10920" Type="http://schemas.openxmlformats.org/officeDocument/2006/relationships/hyperlink" Target="https://maps.google.com/?q=16.1912950308897,-95.217009412208796" TargetMode="External"/><Relationship Id="rId4092" Type="http://schemas.openxmlformats.org/officeDocument/2006/relationships/hyperlink" Target="https://maps.google.com/?q=17.05611569,-96.745782180000006" TargetMode="External"/><Relationship Id="rId5143" Type="http://schemas.openxmlformats.org/officeDocument/2006/relationships/hyperlink" Target="https://maps.google.com/?q=17.254592,-96.149787000000003" TargetMode="External"/><Relationship Id="rId8366" Type="http://schemas.openxmlformats.org/officeDocument/2006/relationships/hyperlink" Target="https://maps.google.com/?q=16.8452755120008,-97.199801763507693" TargetMode="External"/><Relationship Id="rId9764" Type="http://schemas.openxmlformats.org/officeDocument/2006/relationships/hyperlink" Target="https://maps.google.com/?q=17.2819735455996,-96.803338935156106" TargetMode="External"/><Relationship Id="rId11694" Type="http://schemas.openxmlformats.org/officeDocument/2006/relationships/hyperlink" Target="https://maps.google.com/?q=17.18168494,-97.709110749999994" TargetMode="External"/><Relationship Id="rId12745" Type="http://schemas.openxmlformats.org/officeDocument/2006/relationships/hyperlink" Target="https://maps.google.com/?q=17.4506605539815,-97.286935438835698" TargetMode="External"/><Relationship Id="rId1753" Type="http://schemas.openxmlformats.org/officeDocument/2006/relationships/hyperlink" Target="https://maps.google.com/?q=18.06107303,-96.853206139999998" TargetMode="External"/><Relationship Id="rId2804" Type="http://schemas.openxmlformats.org/officeDocument/2006/relationships/hyperlink" Target="https://maps.google.com/?q=16.9858892543093,-97.713497655365998" TargetMode="External"/><Relationship Id="rId8019" Type="http://schemas.openxmlformats.org/officeDocument/2006/relationships/hyperlink" Target="https://maps.google.com/?q=18.1593695180188,-96.882968284155893" TargetMode="External"/><Relationship Id="rId9417" Type="http://schemas.openxmlformats.org/officeDocument/2006/relationships/hyperlink" Target="https://maps.google.com/?q=16.7759880086749,-95.191190217709007" TargetMode="External"/><Relationship Id="rId10296" Type="http://schemas.openxmlformats.org/officeDocument/2006/relationships/hyperlink" Target="https://maps.google.com/?q=0,-97.266401880000004" TargetMode="External"/><Relationship Id="rId11347" Type="http://schemas.openxmlformats.org/officeDocument/2006/relationships/hyperlink" Target="https://maps.google.com/?q=16.3627670517984,-94.190400412025198" TargetMode="External"/><Relationship Id="rId1406" Type="http://schemas.openxmlformats.org/officeDocument/2006/relationships/hyperlink" Target="https://maps.google.com/?q=17.331248,-96.487900999999994" TargetMode="External"/><Relationship Id="rId4976" Type="http://schemas.openxmlformats.org/officeDocument/2006/relationships/hyperlink" Target="https://maps.google.com/?q=16.79582690340023,-96.68486875621558" TargetMode="External"/><Relationship Id="rId3578" Type="http://schemas.openxmlformats.org/officeDocument/2006/relationships/hyperlink" Target="https://maps.google.com/?q=15.775998622665842,-96.136210509318573" TargetMode="External"/><Relationship Id="rId4629" Type="http://schemas.openxmlformats.org/officeDocument/2006/relationships/hyperlink" Target="https://maps.google.com/?q=17.03630071,-96.711885069999994" TargetMode="External"/><Relationship Id="rId8500" Type="http://schemas.openxmlformats.org/officeDocument/2006/relationships/hyperlink" Target="https://maps.google.com/?q=17.1460941266897,-97.542118357790997" TargetMode="External"/><Relationship Id="rId10430" Type="http://schemas.openxmlformats.org/officeDocument/2006/relationships/hyperlink" Target="https://maps.google.com/?q=17.0399735,-96.778266299999999" TargetMode="External"/><Relationship Id="rId499" Type="http://schemas.openxmlformats.org/officeDocument/2006/relationships/hyperlink" Target="https://maps.google.com/?q=16.054576,-97.408924999999996" TargetMode="External"/><Relationship Id="rId6051" Type="http://schemas.openxmlformats.org/officeDocument/2006/relationships/hyperlink" Target="https://maps.google.com/?q=18.15739754805351,-96.576589399860055" TargetMode="External"/><Relationship Id="rId7102" Type="http://schemas.openxmlformats.org/officeDocument/2006/relationships/hyperlink" Target="https://maps.google.com/?q=17.3553820933511,-97.657937838596894" TargetMode="External"/><Relationship Id="rId9274" Type="http://schemas.openxmlformats.org/officeDocument/2006/relationships/hyperlink" Target="https://maps.google.com/?q=17.3785604401658,-96.3000756060067" TargetMode="External"/><Relationship Id="rId13653" Type="http://schemas.openxmlformats.org/officeDocument/2006/relationships/hyperlink" Target="https://maps.google.com/?q=16.27907,-97.820270" TargetMode="External"/><Relationship Id="rId633" Type="http://schemas.openxmlformats.org/officeDocument/2006/relationships/hyperlink" Target="https://maps.google.com/?q=16.054346,-97.394972999999993" TargetMode="External"/><Relationship Id="rId980" Type="http://schemas.openxmlformats.org/officeDocument/2006/relationships/hyperlink" Target="https://maps.google.com/?q=15.688785855998043,-96.514621439944847" TargetMode="External"/><Relationship Id="rId1263" Type="http://schemas.openxmlformats.org/officeDocument/2006/relationships/hyperlink" Target="https://maps.google.com/?q=17.058588,-96.743084999999994" TargetMode="External"/><Relationship Id="rId2314" Type="http://schemas.openxmlformats.org/officeDocument/2006/relationships/hyperlink" Target="https://maps.google.com/?q=18.1061961667835,-96.8689280103969" TargetMode="External"/><Relationship Id="rId2661" Type="http://schemas.openxmlformats.org/officeDocument/2006/relationships/hyperlink" Target="https://maps.google.com/?q=17.6286015569672,-97.2303320749037" TargetMode="External"/><Relationship Id="rId3712" Type="http://schemas.openxmlformats.org/officeDocument/2006/relationships/hyperlink" Target="https://maps.google.com/?q=15.757999648113918,-96.140305207392842" TargetMode="External"/><Relationship Id="rId12255" Type="http://schemas.openxmlformats.org/officeDocument/2006/relationships/hyperlink" Target="https://maps.google.com/?q=16.4261599842944,-97.2309826559638" TargetMode="External"/><Relationship Id="rId13306" Type="http://schemas.openxmlformats.org/officeDocument/2006/relationships/hyperlink" Target="https://maps.google.com/?q=16.1336195498282,-96.326358347713096" TargetMode="External"/><Relationship Id="rId5884" Type="http://schemas.openxmlformats.org/officeDocument/2006/relationships/hyperlink" Target="https://maps.google.com/?q=18.145069369418692,-96.566344388380159" TargetMode="External"/><Relationship Id="rId6935" Type="http://schemas.openxmlformats.org/officeDocument/2006/relationships/hyperlink" Target="https://maps.google.com/?q=16.31740572,-95.233255999999997" TargetMode="External"/><Relationship Id="rId3088" Type="http://schemas.openxmlformats.org/officeDocument/2006/relationships/hyperlink" Target="https://maps.google.com/?q=16.5624258589805,-97.009070877315494" TargetMode="External"/><Relationship Id="rId4486" Type="http://schemas.openxmlformats.org/officeDocument/2006/relationships/hyperlink" Target="https://maps.google.com/?q=17.1713647361541,-97.306900360782507" TargetMode="External"/><Relationship Id="rId5537" Type="http://schemas.openxmlformats.org/officeDocument/2006/relationships/hyperlink" Target="https://maps.google.com/?q=17.2887468422711,&#160;-97.37828727116394" TargetMode="External"/><Relationship Id="rId4139" Type="http://schemas.openxmlformats.org/officeDocument/2006/relationships/hyperlink" Target="https://maps.google.com/?q=16.4252798034484,-98.187446534049101" TargetMode="External"/><Relationship Id="rId8010" Type="http://schemas.openxmlformats.org/officeDocument/2006/relationships/hyperlink" Target="https://maps.google.com/?q=18.1641129057676,-96.872652690807399" TargetMode="External"/><Relationship Id="rId4620" Type="http://schemas.openxmlformats.org/officeDocument/2006/relationships/hyperlink" Target="https://maps.google.com/?q=16.5486892406104,-96.707619955685203" TargetMode="External"/><Relationship Id="rId13163" Type="http://schemas.openxmlformats.org/officeDocument/2006/relationships/hyperlink" Target="https://maps.google.com/?q=16.5673871448698,&#160;-97.01402067491361" TargetMode="External"/><Relationship Id="rId490" Type="http://schemas.openxmlformats.org/officeDocument/2006/relationships/hyperlink" Target="https://maps.google.com/?q=16.055024,-97.408378999999996" TargetMode="External"/><Relationship Id="rId2171" Type="http://schemas.openxmlformats.org/officeDocument/2006/relationships/hyperlink" Target="https://maps.google.com/?q=15.761599627195036,-96.145551702548488" TargetMode="External"/><Relationship Id="rId3222" Type="http://schemas.openxmlformats.org/officeDocument/2006/relationships/hyperlink" Target="https://maps.google.com/?q=17.804524,-96.005168574239704" TargetMode="External"/><Relationship Id="rId143" Type="http://schemas.openxmlformats.org/officeDocument/2006/relationships/hyperlink" Target="https://maps.google.com/?q=17.097933,-97.491698999999997" TargetMode="External"/><Relationship Id="rId5394" Type="http://schemas.openxmlformats.org/officeDocument/2006/relationships/hyperlink" Target="https://maps.google.com/?q=16.0924112309471,-97.688001237118002" TargetMode="External"/><Relationship Id="rId6445" Type="http://schemas.openxmlformats.org/officeDocument/2006/relationships/hyperlink" Target="https://maps.google.com/?q=17.34849376,-97.559176890000003" TargetMode="External"/><Relationship Id="rId6792" Type="http://schemas.openxmlformats.org/officeDocument/2006/relationships/hyperlink" Target="https://maps.google.com/?q=16.6450887515605,-97.039693334686206" TargetMode="External"/><Relationship Id="rId7843" Type="http://schemas.openxmlformats.org/officeDocument/2006/relationships/hyperlink" Target="https://maps.google.com/?q=15.9689192409124,-96.0199729533729" TargetMode="External"/><Relationship Id="rId10824" Type="http://schemas.openxmlformats.org/officeDocument/2006/relationships/hyperlink" Target="https://maps.google.com/?q=16.4046919456213,-94.455676525131196" TargetMode="External"/><Relationship Id="rId9" Type="http://schemas.openxmlformats.org/officeDocument/2006/relationships/hyperlink" Target="https://maps.google.com/?q=17.222855,-97.120855000000006" TargetMode="External"/><Relationship Id="rId5047" Type="http://schemas.openxmlformats.org/officeDocument/2006/relationships/hyperlink" Target="https://maps.google.com/?q=17.251703,-96.156841999999997" TargetMode="External"/><Relationship Id="rId12996" Type="http://schemas.openxmlformats.org/officeDocument/2006/relationships/hyperlink" Target="https://maps.google.com/?q=16.5024398,-97.557668000000007" TargetMode="External"/><Relationship Id="rId9668" Type="http://schemas.openxmlformats.org/officeDocument/2006/relationships/hyperlink" Target="https://maps.google.com/?q=16.4642171838013,-96.644803834990995" TargetMode="External"/><Relationship Id="rId11598" Type="http://schemas.openxmlformats.org/officeDocument/2006/relationships/hyperlink" Target="https://maps.google.com/?q=16.8357177043824,-96.726353968088105" TargetMode="External"/><Relationship Id="rId12649" Type="http://schemas.openxmlformats.org/officeDocument/2006/relationships/hyperlink" Target="https://maps.google.com/?q=17.119722,-96.850555999999997" TargetMode="External"/><Relationship Id="rId1657" Type="http://schemas.openxmlformats.org/officeDocument/2006/relationships/hyperlink" Target="https://maps.google.com/?q=16.8941193732748,-96.938856242080007" TargetMode="External"/><Relationship Id="rId2708" Type="http://schemas.openxmlformats.org/officeDocument/2006/relationships/hyperlink" Target="https://maps.google.com/?q=15.886762,-96.406193000000002" TargetMode="External"/><Relationship Id="rId14071" Type="http://schemas.openxmlformats.org/officeDocument/2006/relationships/hyperlink" Target="https://maps.google.com/?q=18.1739059675487,-96.67014474106979" TargetMode="External"/><Relationship Id="rId4130" Type="http://schemas.openxmlformats.org/officeDocument/2006/relationships/hyperlink" Target="https://maps.google.com/?q=17.009968476238956,-96.52227324954652" TargetMode="External"/><Relationship Id="rId8751" Type="http://schemas.openxmlformats.org/officeDocument/2006/relationships/hyperlink" Target="https://maps.google.com/?q=18.0775593778517,-96.126801027518198" TargetMode="External"/><Relationship Id="rId9802" Type="http://schemas.openxmlformats.org/officeDocument/2006/relationships/hyperlink" Target="https://maps.google.com/?q=16.6422309327525,-96.752188087791097" TargetMode="External"/><Relationship Id="rId16" Type="http://schemas.openxmlformats.org/officeDocument/2006/relationships/hyperlink" Target="https://maps.google.com/?q=17.222887,-97.121033999999995" TargetMode="External"/><Relationship Id="rId7353" Type="http://schemas.openxmlformats.org/officeDocument/2006/relationships/hyperlink" Target="https://maps.google.com/?q=16.565213,-97.655709999999999" TargetMode="External"/><Relationship Id="rId8404" Type="http://schemas.openxmlformats.org/officeDocument/2006/relationships/hyperlink" Target="https://maps.google.com/?q=16.0901299425637,-96.243913000000006" TargetMode="External"/><Relationship Id="rId10681" Type="http://schemas.openxmlformats.org/officeDocument/2006/relationships/hyperlink" Target="https://maps.google.com/?q=17.200756,-96.803520" TargetMode="External"/><Relationship Id="rId11732" Type="http://schemas.openxmlformats.org/officeDocument/2006/relationships/hyperlink" Target="https://maps.google.com/?q=17.18834904,-97.715448359999996" TargetMode="External"/><Relationship Id="rId7006" Type="http://schemas.openxmlformats.org/officeDocument/2006/relationships/hyperlink" Target="https://maps.google.com/?q=17.0391544024486,-97.293136312483298" TargetMode="External"/><Relationship Id="rId10334" Type="http://schemas.openxmlformats.org/officeDocument/2006/relationships/hyperlink" Target="https://maps.google.com/?q=17.4325809635511,-96.658690417048405" TargetMode="External"/><Relationship Id="rId3963" Type="http://schemas.openxmlformats.org/officeDocument/2006/relationships/hyperlink" Target="https://maps.google.com/?q=17.061462,-96.754750999999999" TargetMode="External"/><Relationship Id="rId9178" Type="http://schemas.openxmlformats.org/officeDocument/2006/relationships/hyperlink" Target="https://maps.google.com/?q=17.3736261004742,-96.299066636773503" TargetMode="External"/><Relationship Id="rId13557" Type="http://schemas.openxmlformats.org/officeDocument/2006/relationships/hyperlink" Target="https://maps.google.com/?q=17.668806664465066,-97.99093760615158" TargetMode="External"/><Relationship Id="rId884" Type="http://schemas.openxmlformats.org/officeDocument/2006/relationships/hyperlink" Target="https://maps.google.com/?q=17.093445,-97.497759000000002" TargetMode="External"/><Relationship Id="rId2565" Type="http://schemas.openxmlformats.org/officeDocument/2006/relationships/hyperlink" Target="https://maps.google.com/?q=16.0104870420435,-97.202728542261795" TargetMode="External"/><Relationship Id="rId3616" Type="http://schemas.openxmlformats.org/officeDocument/2006/relationships/hyperlink" Target="https://maps.google.com/?q=15.77694066818441,-96.137111249444828" TargetMode="External"/><Relationship Id="rId12159" Type="http://schemas.openxmlformats.org/officeDocument/2006/relationships/hyperlink" Target="https://maps.google.com/?q=17.4142283607904,-95.947419245935393" TargetMode="External"/><Relationship Id="rId537" Type="http://schemas.openxmlformats.org/officeDocument/2006/relationships/hyperlink" Target="https://maps.google.com/?q=16.052547,-97.403398999999993" TargetMode="External"/><Relationship Id="rId1167" Type="http://schemas.openxmlformats.org/officeDocument/2006/relationships/hyperlink" Target="https://maps.google.com/?q=16.047436,-96.070841" TargetMode="External"/><Relationship Id="rId2218" Type="http://schemas.openxmlformats.org/officeDocument/2006/relationships/hyperlink" Target="https://maps.google.com/?q=16.9940622762264,-97.249736637641902" TargetMode="External"/><Relationship Id="rId5788" Type="http://schemas.openxmlformats.org/officeDocument/2006/relationships/hyperlink" Target="https://maps.google.com/?q=17.3045632997666,-97.490234785369395" TargetMode="External"/><Relationship Id="rId6839" Type="http://schemas.openxmlformats.org/officeDocument/2006/relationships/hyperlink" Target="https://maps.google.com/?q=17.0073965832901,-96.977470527612596" TargetMode="External"/><Relationship Id="rId12640" Type="http://schemas.openxmlformats.org/officeDocument/2006/relationships/hyperlink" Target="https://maps.google.com/?q=17.118597,-96.852530000000002" TargetMode="External"/><Relationship Id="rId8261" Type="http://schemas.openxmlformats.org/officeDocument/2006/relationships/hyperlink" Target="https://maps.google.com/?q=17.02517,-96.749621000000005" TargetMode="External"/><Relationship Id="rId9312" Type="http://schemas.openxmlformats.org/officeDocument/2006/relationships/hyperlink" Target="https://maps.google.com/?q=16.8153780606155,-95.139579040629997" TargetMode="External"/><Relationship Id="rId10191" Type="http://schemas.openxmlformats.org/officeDocument/2006/relationships/hyperlink" Target="https://maps.google.com/?q=17.28698278,-97.334864289999999" TargetMode="External"/><Relationship Id="rId11242" Type="http://schemas.openxmlformats.org/officeDocument/2006/relationships/hyperlink" Target="https://maps.google.com/?q=17.8620146427979,-96.305691209687197" TargetMode="External"/><Relationship Id="rId1301" Type="http://schemas.openxmlformats.org/officeDocument/2006/relationships/hyperlink" Target="https://maps.google.com/?q=17.0802,-96.726955" TargetMode="External"/><Relationship Id="rId3473" Type="http://schemas.openxmlformats.org/officeDocument/2006/relationships/hyperlink" Target="https://maps.google.com/?q=16.7454368733298,-97.263822043979005" TargetMode="External"/><Relationship Id="rId4524" Type="http://schemas.openxmlformats.org/officeDocument/2006/relationships/hyperlink" Target="https://maps.google.com/?q=17.1813311757214,-97.305455060782293" TargetMode="External"/><Relationship Id="rId4871" Type="http://schemas.openxmlformats.org/officeDocument/2006/relationships/hyperlink" Target="https://maps.google.com/?q=16.7919397661478,-96.389633235572802" TargetMode="External"/><Relationship Id="rId5922" Type="http://schemas.openxmlformats.org/officeDocument/2006/relationships/hyperlink" Target="https://maps.google.com/?q=18.149871548493437,-96.568508688705435" TargetMode="External"/><Relationship Id="rId13067" Type="http://schemas.openxmlformats.org/officeDocument/2006/relationships/hyperlink" Target="https://maps.google.com/?q=16.5631808,-97.529460700000001" TargetMode="External"/><Relationship Id="rId394" Type="http://schemas.openxmlformats.org/officeDocument/2006/relationships/hyperlink" Target="https://maps.google.com/?q=16.063314,-97.380975000000007" TargetMode="External"/><Relationship Id="rId2075" Type="http://schemas.openxmlformats.org/officeDocument/2006/relationships/hyperlink" Target="https://maps.google.com/?q=15.772436661415954,-96.235026847964846" TargetMode="External"/><Relationship Id="rId3126" Type="http://schemas.openxmlformats.org/officeDocument/2006/relationships/hyperlink" Target="https://maps.google.com/?q=16.583758,-97.442747999999995" TargetMode="External"/><Relationship Id="rId14118" Type="http://schemas.openxmlformats.org/officeDocument/2006/relationships/hyperlink" Target="https://maps.google.com/?q=17.55763535,-96.22385387" TargetMode="External"/><Relationship Id="rId5298" Type="http://schemas.openxmlformats.org/officeDocument/2006/relationships/hyperlink" Target="https://maps.google.com/?q=15.7172433629937,-96.472089392475496" TargetMode="External"/><Relationship Id="rId6696" Type="http://schemas.openxmlformats.org/officeDocument/2006/relationships/hyperlink" Target="https://maps.google.com/?q=16.9388576060232,-96.966264490740997" TargetMode="External"/><Relationship Id="rId7747" Type="http://schemas.openxmlformats.org/officeDocument/2006/relationships/hyperlink" Target="https://maps.google.com/?q=0,&#160;-96.301067" TargetMode="External"/><Relationship Id="rId10728" Type="http://schemas.openxmlformats.org/officeDocument/2006/relationships/hyperlink" Target="https://maps.google.com/?q=17.06697675,-96.74387301" TargetMode="External"/><Relationship Id="rId6349" Type="http://schemas.openxmlformats.org/officeDocument/2006/relationships/hyperlink" Target="https://maps.google.com/?q=18.063113,-96.403665000000004" TargetMode="External"/><Relationship Id="rId12150" Type="http://schemas.openxmlformats.org/officeDocument/2006/relationships/hyperlink" Target="https://maps.google.com/?q=17.602948,-97.841322" TargetMode="External"/><Relationship Id="rId13201" Type="http://schemas.openxmlformats.org/officeDocument/2006/relationships/hyperlink" Target="https://maps.google.com/?q=17.3358857704198,-97.367340224536903" TargetMode="External"/><Relationship Id="rId2959" Type="http://schemas.openxmlformats.org/officeDocument/2006/relationships/hyperlink" Target="https://maps.google.com/?q=16.5078062806429,-96.978440245369001" TargetMode="External"/><Relationship Id="rId6830" Type="http://schemas.openxmlformats.org/officeDocument/2006/relationships/hyperlink" Target="https://maps.google.com/?q=17.0067276211086,-96.975925131282807" TargetMode="External"/><Relationship Id="rId4381" Type="http://schemas.openxmlformats.org/officeDocument/2006/relationships/hyperlink" Target="https://maps.google.com/?q=15.99801185,-96.68790018" TargetMode="External"/><Relationship Id="rId5432" Type="http://schemas.openxmlformats.org/officeDocument/2006/relationships/hyperlink" Target="https://maps.google.com/?q=16.0057809166799,-97.433327002985095" TargetMode="External"/><Relationship Id="rId4034" Type="http://schemas.openxmlformats.org/officeDocument/2006/relationships/hyperlink" Target="https://maps.google.com/?q=17.020794443824677,-96.717963454893138" TargetMode="External"/><Relationship Id="rId8655" Type="http://schemas.openxmlformats.org/officeDocument/2006/relationships/hyperlink" Target="https://maps.google.com/?q=17.0325139093154,-97.803672199745805" TargetMode="External"/><Relationship Id="rId11983" Type="http://schemas.openxmlformats.org/officeDocument/2006/relationships/hyperlink" Target="https://maps.google.com/?q=16.8005519049113,-96.723219611163898" TargetMode="External"/><Relationship Id="rId7257" Type="http://schemas.openxmlformats.org/officeDocument/2006/relationships/hyperlink" Target="https://maps.google.com/?q=16.0982945125184,-97.924920412209104" TargetMode="External"/><Relationship Id="rId8308" Type="http://schemas.openxmlformats.org/officeDocument/2006/relationships/hyperlink" Target="https://maps.google.com/?q=16.538761,-98.033294999999995" TargetMode="External"/><Relationship Id="rId9706" Type="http://schemas.openxmlformats.org/officeDocument/2006/relationships/hyperlink" Target="https://maps.google.com/?q=16.4309952210795,-95.028012359887398" TargetMode="External"/><Relationship Id="rId10585" Type="http://schemas.openxmlformats.org/officeDocument/2006/relationships/hyperlink" Target="https://maps.google.com/?q=17.1406461723278,-97.7710080932534" TargetMode="External"/><Relationship Id="rId11636" Type="http://schemas.openxmlformats.org/officeDocument/2006/relationships/hyperlink" Target="https://maps.google.com/?q=16.8420408831762,-96.722847813491896" TargetMode="External"/><Relationship Id="rId10238" Type="http://schemas.openxmlformats.org/officeDocument/2006/relationships/hyperlink" Target="https://maps.google.com/?q=17.28655281926216,-97.3024722260137" TargetMode="External"/><Relationship Id="rId3867" Type="http://schemas.openxmlformats.org/officeDocument/2006/relationships/hyperlink" Target="https://maps.google.com/?q=17.1035754235048,-95.937753704843004" TargetMode="External"/><Relationship Id="rId4918" Type="http://schemas.openxmlformats.org/officeDocument/2006/relationships/hyperlink" Target="https://maps.google.com/?q=18.0320417,-96.667249200000001" TargetMode="External"/><Relationship Id="rId788" Type="http://schemas.openxmlformats.org/officeDocument/2006/relationships/hyperlink" Target="https://maps.google.com/?q=15.690001890273644,-96.516653458129284" TargetMode="External"/><Relationship Id="rId2469" Type="http://schemas.openxmlformats.org/officeDocument/2006/relationships/hyperlink" Target="https://maps.google.com/?q=17.05174457,-96.624307040000005" TargetMode="External"/><Relationship Id="rId6340" Type="http://schemas.openxmlformats.org/officeDocument/2006/relationships/hyperlink" Target="https://maps.google.com/?q=18.060737,-96.401816999999994" TargetMode="External"/><Relationship Id="rId9563" Type="http://schemas.openxmlformats.org/officeDocument/2006/relationships/hyperlink" Target="https://maps.google.com/?q=17.358859,-96.293802999999997" TargetMode="External"/><Relationship Id="rId11493" Type="http://schemas.openxmlformats.org/officeDocument/2006/relationships/hyperlink" Target="https://maps.google.com/?q=16.3086659797418,-96.651458790161797" TargetMode="External"/><Relationship Id="rId12891" Type="http://schemas.openxmlformats.org/officeDocument/2006/relationships/hyperlink" Target="https://maps.google.com/?q=16.537509,-97.440849" TargetMode="External"/><Relationship Id="rId13942" Type="http://schemas.openxmlformats.org/officeDocument/2006/relationships/hyperlink" Target="https://maps.google.com/?q=16.331774,-96.660994%20" TargetMode="External"/><Relationship Id="rId922" Type="http://schemas.openxmlformats.org/officeDocument/2006/relationships/hyperlink" Target="https://maps.google.com/?q=17.222421,-97.116832000000002" TargetMode="External"/><Relationship Id="rId1552" Type="http://schemas.openxmlformats.org/officeDocument/2006/relationships/hyperlink" Target="https://maps.google.com/?q=16.4925604898751,-97.83924396603305" TargetMode="External"/><Relationship Id="rId2603" Type="http://schemas.openxmlformats.org/officeDocument/2006/relationships/hyperlink" Target="https://maps.google.com/?q=18.252542,-96.285819000000004" TargetMode="External"/><Relationship Id="rId2950" Type="http://schemas.openxmlformats.org/officeDocument/2006/relationships/hyperlink" Target="https://maps.google.com/?q=17.08388319,-96.675199280000001" TargetMode="External"/><Relationship Id="rId8165" Type="http://schemas.openxmlformats.org/officeDocument/2006/relationships/hyperlink" Target="https://maps.google.com/?q=17.922659647088,-96.186350960069205" TargetMode="External"/><Relationship Id="rId9216" Type="http://schemas.openxmlformats.org/officeDocument/2006/relationships/hyperlink" Target="https://maps.google.com/?q=17.3751813442552,-96.303291050166806" TargetMode="External"/><Relationship Id="rId10095" Type="http://schemas.openxmlformats.org/officeDocument/2006/relationships/hyperlink" Target="https://maps.google.com/?q=17.0193465331827,-96.124660698895596" TargetMode="External"/><Relationship Id="rId11146" Type="http://schemas.openxmlformats.org/officeDocument/2006/relationships/hyperlink" Target="https://maps.google.com/?q=16.837814,-96.011461999999995" TargetMode="External"/><Relationship Id="rId12544" Type="http://schemas.openxmlformats.org/officeDocument/2006/relationships/hyperlink" Target="https://maps.google.com/?q=16.9702574934107,-97.914161133762093" TargetMode="External"/><Relationship Id="rId1205" Type="http://schemas.openxmlformats.org/officeDocument/2006/relationships/hyperlink" Target="https://maps.google.com/?q=16.33275,-95.216679" TargetMode="External"/><Relationship Id="rId3377" Type="http://schemas.openxmlformats.org/officeDocument/2006/relationships/hyperlink" Target="https://maps.google.com/?q=17.0711039891073,-97.78953094112836" TargetMode="External"/><Relationship Id="rId4775" Type="http://schemas.openxmlformats.org/officeDocument/2006/relationships/hyperlink" Target="https://maps.google.com/?q=17.9573016174127,-96.661582243235998" TargetMode="External"/><Relationship Id="rId5826" Type="http://schemas.openxmlformats.org/officeDocument/2006/relationships/hyperlink" Target="https://maps.google.com/?q=17.1193312140408,-96.803780046626997" TargetMode="External"/><Relationship Id="rId298" Type="http://schemas.openxmlformats.org/officeDocument/2006/relationships/hyperlink" Target="https://maps.google.com/?q=16.063259,-97.380872999999994" TargetMode="External"/><Relationship Id="rId4428" Type="http://schemas.openxmlformats.org/officeDocument/2006/relationships/hyperlink" Target="https://maps.google.com/?q=17.2673862257633,-97.531967865490302" TargetMode="External"/><Relationship Id="rId7998" Type="http://schemas.openxmlformats.org/officeDocument/2006/relationships/hyperlink" Target="https://maps.google.com/?q=18.1636821120448,-96.877234342124794" TargetMode="External"/><Relationship Id="rId10979" Type="http://schemas.openxmlformats.org/officeDocument/2006/relationships/hyperlink" Target="https://maps.google.com/?q=16.2226336782569,-95.213976377612696" TargetMode="External"/><Relationship Id="rId13452" Type="http://schemas.openxmlformats.org/officeDocument/2006/relationships/hyperlink" Target="https://maps.google.com/?q=17.6858998562107,-97.034966994056902" TargetMode="External"/><Relationship Id="rId2460" Type="http://schemas.openxmlformats.org/officeDocument/2006/relationships/hyperlink" Target="https://maps.google.com/?q=17.05164104,-96.624336420000006" TargetMode="External"/><Relationship Id="rId3511" Type="http://schemas.openxmlformats.org/officeDocument/2006/relationships/hyperlink" Target="https://maps.google.com/?q=15.774300402699422,-96.153375878166031" TargetMode="External"/><Relationship Id="rId9073" Type="http://schemas.openxmlformats.org/officeDocument/2006/relationships/hyperlink" Target="https://maps.google.com/?q=16.059753,-95.493160000000003" TargetMode="External"/><Relationship Id="rId12054" Type="http://schemas.openxmlformats.org/officeDocument/2006/relationships/hyperlink" Target="https://maps.google.com/?q=16.1095814,-97.204500800000005" TargetMode="External"/><Relationship Id="rId13105" Type="http://schemas.openxmlformats.org/officeDocument/2006/relationships/hyperlink" Target="https://maps.google.com/?q=16.5656863,-97.534285800000006" TargetMode="External"/><Relationship Id="rId432" Type="http://schemas.openxmlformats.org/officeDocument/2006/relationships/hyperlink" Target="https://maps.google.com/?q=16.052524,-97.413661000000005" TargetMode="External"/><Relationship Id="rId1062" Type="http://schemas.openxmlformats.org/officeDocument/2006/relationships/hyperlink" Target="https://maps.google.com/?q=15.832409,-96.463735999999997" TargetMode="External"/><Relationship Id="rId2113" Type="http://schemas.openxmlformats.org/officeDocument/2006/relationships/hyperlink" Target="https://maps.google.com/?q=15.770274,-96.151427" TargetMode="External"/><Relationship Id="rId5683" Type="http://schemas.openxmlformats.org/officeDocument/2006/relationships/hyperlink" Target="https://maps.google.com/?q=16.433942,-97.900650999999996" TargetMode="External"/><Relationship Id="rId6734" Type="http://schemas.openxmlformats.org/officeDocument/2006/relationships/hyperlink" Target="https://maps.google.com/?q=15.84801802534,-96.654483779700001" TargetMode="External"/><Relationship Id="rId4285" Type="http://schemas.openxmlformats.org/officeDocument/2006/relationships/hyperlink" Target="https://maps.google.com/?q=16.00901386,-96.657134529999993" TargetMode="External"/><Relationship Id="rId5336" Type="http://schemas.openxmlformats.org/officeDocument/2006/relationships/hyperlink" Target="https://maps.google.com/?q=15.8126702897793,-96.356635453656395" TargetMode="External"/><Relationship Id="rId9957" Type="http://schemas.openxmlformats.org/officeDocument/2006/relationships/hyperlink" Target="https://maps.google.com/?q=17.054405945289908,-96.65399446903992" TargetMode="External"/><Relationship Id="rId11887" Type="http://schemas.openxmlformats.org/officeDocument/2006/relationships/hyperlink" Target="https://maps.google.com/?q=16.304718138495417,-96.64187084788512" TargetMode="External"/><Relationship Id="rId12938" Type="http://schemas.openxmlformats.org/officeDocument/2006/relationships/hyperlink" Target="https://maps.google.com/?q=16.544284,-97.549092999999999" TargetMode="External"/><Relationship Id="rId1946" Type="http://schemas.openxmlformats.org/officeDocument/2006/relationships/hyperlink" Target="https://maps.google.com/?q=15.778002246756156,-96.137488046893978" TargetMode="External"/><Relationship Id="rId8559" Type="http://schemas.openxmlformats.org/officeDocument/2006/relationships/hyperlink" Target="https://maps.google.com/?q=16.9262285113763,-96.602482895850997" TargetMode="External"/><Relationship Id="rId10489" Type="http://schemas.openxmlformats.org/officeDocument/2006/relationships/hyperlink" Target="https://maps.google.com/?q=17.8447694852215,-96.747778842283395" TargetMode="External"/><Relationship Id="rId14013" Type="http://schemas.openxmlformats.org/officeDocument/2006/relationships/hyperlink" Target="https://maps.google.com/?q=15.884112,-96.41543" TargetMode="External"/><Relationship Id="rId3021" Type="http://schemas.openxmlformats.org/officeDocument/2006/relationships/hyperlink" Target="https://maps.google.com/?q=16.9391684,-97.0059866" TargetMode="External"/><Relationship Id="rId6591" Type="http://schemas.openxmlformats.org/officeDocument/2006/relationships/hyperlink" Target="https://maps.google.com/?q=17.269586367746964,-97.6903531987419" TargetMode="External"/><Relationship Id="rId7642" Type="http://schemas.openxmlformats.org/officeDocument/2006/relationships/hyperlink" Target="https://maps.google.com/?q=17.2315509154225,-95.057571064417999" TargetMode="External"/><Relationship Id="rId10970" Type="http://schemas.openxmlformats.org/officeDocument/2006/relationships/hyperlink" Target="https://maps.google.com/?q=16.2147057347796,-95.221383690552202" TargetMode="External"/><Relationship Id="rId5193" Type="http://schemas.openxmlformats.org/officeDocument/2006/relationships/hyperlink" Target="https://maps.google.com/?q=17.316538,-95.967123000000001" TargetMode="External"/><Relationship Id="rId6244" Type="http://schemas.openxmlformats.org/officeDocument/2006/relationships/hyperlink" Target="https://maps.google.com/?q=16.2032999307264,-96.413625312303694" TargetMode="External"/><Relationship Id="rId10623" Type="http://schemas.openxmlformats.org/officeDocument/2006/relationships/hyperlink" Target="https://maps.google.com/?q=17.1151766954852,-97.790097654324299" TargetMode="External"/><Relationship Id="rId9467" Type="http://schemas.openxmlformats.org/officeDocument/2006/relationships/hyperlink" Target="https://maps.google.com/?q=17.082048265870238,-96.71817270113024" TargetMode="External"/><Relationship Id="rId12795" Type="http://schemas.openxmlformats.org/officeDocument/2006/relationships/hyperlink" Target="https://maps.google.com/?q=16.23659,-97.290218999999993" TargetMode="External"/><Relationship Id="rId13846" Type="http://schemas.openxmlformats.org/officeDocument/2006/relationships/hyperlink" Target="https://maps.google.com/?q=17.366674,-97.032664" TargetMode="External"/><Relationship Id="rId2854" Type="http://schemas.openxmlformats.org/officeDocument/2006/relationships/hyperlink" Target="https://maps.google.com/?q=16.9650850901906,-97.732007261534093" TargetMode="External"/><Relationship Id="rId3905" Type="http://schemas.openxmlformats.org/officeDocument/2006/relationships/hyperlink" Target="https://maps.google.com/?q=16.230836,-97.288963" TargetMode="External"/><Relationship Id="rId8069" Type="http://schemas.openxmlformats.org/officeDocument/2006/relationships/hyperlink" Target="https://maps.google.com/?q=16.4978965784886,-97.379523064730193" TargetMode="External"/><Relationship Id="rId11397" Type="http://schemas.openxmlformats.org/officeDocument/2006/relationships/hyperlink" Target="https://maps.google.com/?q=17.1935469073304,-97.757884752149494" TargetMode="External"/><Relationship Id="rId12448" Type="http://schemas.openxmlformats.org/officeDocument/2006/relationships/hyperlink" Target="https://maps.google.com/?q=17.2209035959393,-97.271747579625199" TargetMode="External"/><Relationship Id="rId826" Type="http://schemas.openxmlformats.org/officeDocument/2006/relationships/hyperlink" Target="https://maps.google.com/?q=15.702675201366125,-96.523748672800139" TargetMode="External"/><Relationship Id="rId1109" Type="http://schemas.openxmlformats.org/officeDocument/2006/relationships/hyperlink" Target="https://maps.google.com/?q=15.80448,-96.458021000000002" TargetMode="External"/><Relationship Id="rId1456" Type="http://schemas.openxmlformats.org/officeDocument/2006/relationships/hyperlink" Target="https://maps.google.com/?q=18.15988,-96.716806" TargetMode="External"/><Relationship Id="rId2507" Type="http://schemas.openxmlformats.org/officeDocument/2006/relationships/hyperlink" Target="https://maps.google.com/?q=17.05213697,-96.624337949999997" TargetMode="External"/><Relationship Id="rId4679" Type="http://schemas.openxmlformats.org/officeDocument/2006/relationships/hyperlink" Target="https://maps.google.com/?q=17.047,-96.71366" TargetMode="External"/><Relationship Id="rId8550" Type="http://schemas.openxmlformats.org/officeDocument/2006/relationships/hyperlink" Target="https://maps.google.com/?q=16.922991006587,-96.608051368087303" TargetMode="External"/><Relationship Id="rId9601" Type="http://schemas.openxmlformats.org/officeDocument/2006/relationships/hyperlink" Target="https://maps.google.com/?q=17.9959637139196,-96.741709519014407" TargetMode="External"/><Relationship Id="rId10480" Type="http://schemas.openxmlformats.org/officeDocument/2006/relationships/hyperlink" Target="https://maps.google.com/?q=17.8435527302865,-96.744412849192699" TargetMode="External"/><Relationship Id="rId11531" Type="http://schemas.openxmlformats.org/officeDocument/2006/relationships/hyperlink" Target="https://maps.google.com/?q=16.6156463276994,-96.855230167331101" TargetMode="External"/><Relationship Id="rId7152" Type="http://schemas.openxmlformats.org/officeDocument/2006/relationships/hyperlink" Target="https://maps.google.com/?q=16.2040883033967,-97.922202491352493" TargetMode="External"/><Relationship Id="rId8203" Type="http://schemas.openxmlformats.org/officeDocument/2006/relationships/hyperlink" Target="https://maps.google.com/?q=16.370665,-97.678945999999996" TargetMode="External"/><Relationship Id="rId10133" Type="http://schemas.openxmlformats.org/officeDocument/2006/relationships/hyperlink" Target="https://maps.google.com/?q=17.091467029544,-97.5002541983432" TargetMode="External"/><Relationship Id="rId3762" Type="http://schemas.openxmlformats.org/officeDocument/2006/relationships/hyperlink" Target="https://maps.google.com/?q=15.762483,-96.143384999999995" TargetMode="External"/><Relationship Id="rId4813" Type="http://schemas.openxmlformats.org/officeDocument/2006/relationships/hyperlink" Target="https://maps.google.com/?q=16.9053794763512,-96.504435576686802" TargetMode="External"/><Relationship Id="rId13356" Type="http://schemas.openxmlformats.org/officeDocument/2006/relationships/hyperlink" Target="https://maps.google.com/?q=16.3200674568352,-96.673999442956898" TargetMode="External"/><Relationship Id="rId683" Type="http://schemas.openxmlformats.org/officeDocument/2006/relationships/hyperlink" Target="https://maps.google.com/?q=16.060734,-97.385193000000001" TargetMode="External"/><Relationship Id="rId2364" Type="http://schemas.openxmlformats.org/officeDocument/2006/relationships/hyperlink" Target="https://maps.google.com/?q=17.0982886320968,-97.8519067668649" TargetMode="External"/><Relationship Id="rId3415" Type="http://schemas.openxmlformats.org/officeDocument/2006/relationships/hyperlink" Target="https://maps.google.com/?q=17.633963779547,-97.082522600297196" TargetMode="External"/><Relationship Id="rId13009" Type="http://schemas.openxmlformats.org/officeDocument/2006/relationships/hyperlink" Target="https://maps.google.com/?q=16.5040218,-97.558339700000005" TargetMode="External"/><Relationship Id="rId336" Type="http://schemas.openxmlformats.org/officeDocument/2006/relationships/hyperlink" Target="https://maps.google.com/?q=16.052824,-97.400602000000006" TargetMode="External"/><Relationship Id="rId2017" Type="http://schemas.openxmlformats.org/officeDocument/2006/relationships/hyperlink" Target="https://maps.google.com/?q=15.757946207305155,-96.14036190839893" TargetMode="External"/><Relationship Id="rId5587" Type="http://schemas.openxmlformats.org/officeDocument/2006/relationships/hyperlink" Target="https://maps.google.com/?q=17.4468202821561,-96.185819947604102" TargetMode="External"/><Relationship Id="rId6985" Type="http://schemas.openxmlformats.org/officeDocument/2006/relationships/hyperlink" Target="https://maps.google.com/?q=17.0977357,-97.492063999999999" TargetMode="External"/><Relationship Id="rId4189" Type="http://schemas.openxmlformats.org/officeDocument/2006/relationships/hyperlink" Target="https://maps.google.com/?q=16.392588,-98.111284999999995" TargetMode="External"/><Relationship Id="rId6638" Type="http://schemas.openxmlformats.org/officeDocument/2006/relationships/hyperlink" Target="https://maps.google.com/?q=16.8424001285294,-97.208738689653202" TargetMode="External"/><Relationship Id="rId8060" Type="http://schemas.openxmlformats.org/officeDocument/2006/relationships/hyperlink" Target="https://maps.google.com/?q=16.4968649552169,-97.379145550500297" TargetMode="External"/><Relationship Id="rId9111" Type="http://schemas.openxmlformats.org/officeDocument/2006/relationships/hyperlink" Target="https://maps.google.com/?q=17.039234,-96.728556999999995" TargetMode="External"/><Relationship Id="rId11041" Type="http://schemas.openxmlformats.org/officeDocument/2006/relationships/hyperlink" Target="https://maps.google.com/?q=17.448903,-96.169670%20" TargetMode="External"/><Relationship Id="rId1100" Type="http://schemas.openxmlformats.org/officeDocument/2006/relationships/hyperlink" Target="https://maps.google.com/?q=17.222438,-97.122868999999994" TargetMode="External"/><Relationship Id="rId4670" Type="http://schemas.openxmlformats.org/officeDocument/2006/relationships/hyperlink" Target="https://maps.google.com/?q=17.317202150541767,-96.48392329392969" TargetMode="External"/><Relationship Id="rId5721" Type="http://schemas.openxmlformats.org/officeDocument/2006/relationships/hyperlink" Target="https://maps.google.com/?q=16.3828027435,-96.363010070100003" TargetMode="External"/><Relationship Id="rId3272" Type="http://schemas.openxmlformats.org/officeDocument/2006/relationships/hyperlink" Target="https://maps.google.com/?q=17.0606797533884,-96.820643395581996" TargetMode="External"/><Relationship Id="rId4323" Type="http://schemas.openxmlformats.org/officeDocument/2006/relationships/hyperlink" Target="https://maps.google.com/?q=16.0140851297969,-96.611956709955507" TargetMode="External"/><Relationship Id="rId7893" Type="http://schemas.openxmlformats.org/officeDocument/2006/relationships/hyperlink" Target="https://maps.google.com/?q=16.3185747657837,-96.405349950314601" TargetMode="External"/><Relationship Id="rId8944" Type="http://schemas.openxmlformats.org/officeDocument/2006/relationships/hyperlink" Target="https://maps.google.com/?q=17.381248346,-96.161930799999993" TargetMode="External"/><Relationship Id="rId193" Type="http://schemas.openxmlformats.org/officeDocument/2006/relationships/hyperlink" Target="https://maps.google.com/?q=17.090076,-97.503742000000003" TargetMode="External"/><Relationship Id="rId6495" Type="http://schemas.openxmlformats.org/officeDocument/2006/relationships/hyperlink" Target="https://maps.google.com/?q=17.2038860296094,-97.597843531925093" TargetMode="External"/><Relationship Id="rId7546" Type="http://schemas.openxmlformats.org/officeDocument/2006/relationships/hyperlink" Target="https://maps.google.com/?q=17.9799988837868,-96.703111343427807" TargetMode="External"/><Relationship Id="rId10874" Type="http://schemas.openxmlformats.org/officeDocument/2006/relationships/hyperlink" Target="https://maps.google.com/?q=16.3466633683257,-94.476953319403805" TargetMode="External"/><Relationship Id="rId11925" Type="http://schemas.openxmlformats.org/officeDocument/2006/relationships/hyperlink" Target="https://maps.google.com/?q=16.406785,-97.226027000000002" TargetMode="External"/><Relationship Id="rId5097" Type="http://schemas.openxmlformats.org/officeDocument/2006/relationships/hyperlink" Target="https://maps.google.com/?q=17.253281,-96.153983999999994" TargetMode="External"/><Relationship Id="rId6148" Type="http://schemas.openxmlformats.org/officeDocument/2006/relationships/hyperlink" Target="https://maps.google.com/?q=18.121963043236136,-96.89981046743009" TargetMode="External"/><Relationship Id="rId10527" Type="http://schemas.openxmlformats.org/officeDocument/2006/relationships/hyperlink" Target="https://maps.google.com/?q=17.0974297470301,-97.768544763731299" TargetMode="External"/><Relationship Id="rId12699" Type="http://schemas.openxmlformats.org/officeDocument/2006/relationships/hyperlink" Target="https://maps.google.com/?q=16.2836531382887,-96.502649221882294" TargetMode="External"/><Relationship Id="rId13000" Type="http://schemas.openxmlformats.org/officeDocument/2006/relationships/hyperlink" Target="https://maps.google.com/?q=16.5028838,-97.558965099999995" TargetMode="External"/><Relationship Id="rId2758" Type="http://schemas.openxmlformats.org/officeDocument/2006/relationships/hyperlink" Target="https://maps.google.com/?q=17.995321,-96.487646999999996" TargetMode="External"/><Relationship Id="rId3809" Type="http://schemas.openxmlformats.org/officeDocument/2006/relationships/hyperlink" Target="https://maps.google.com/?q=15.77299012816232,-96.242340853133868" TargetMode="External"/><Relationship Id="rId4180" Type="http://schemas.openxmlformats.org/officeDocument/2006/relationships/hyperlink" Target="https://maps.google.com/?q=16.390164,-98.109211999999999" TargetMode="External"/><Relationship Id="rId5231" Type="http://schemas.openxmlformats.org/officeDocument/2006/relationships/hyperlink" Target="https://maps.google.com/?q=17.2849206932545,-97.372233600000001" TargetMode="External"/><Relationship Id="rId9852" Type="http://schemas.openxmlformats.org/officeDocument/2006/relationships/hyperlink" Target="https://maps.google.com/?q=16.6345960127326,-96.850251578860707" TargetMode="External"/><Relationship Id="rId11782" Type="http://schemas.openxmlformats.org/officeDocument/2006/relationships/hyperlink" Target="https://maps.google.com/?q=16.86790156669308,-96.62878322684479" TargetMode="External"/><Relationship Id="rId66" Type="http://schemas.openxmlformats.org/officeDocument/2006/relationships/hyperlink" Target="https://maps.google.com/?q=15.80448,-96.458021000000002" TargetMode="External"/><Relationship Id="rId1841" Type="http://schemas.openxmlformats.org/officeDocument/2006/relationships/hyperlink" Target="https://maps.google.com/?q=18.0371993565999,-96.898560371747806" TargetMode="External"/><Relationship Id="rId8454" Type="http://schemas.openxmlformats.org/officeDocument/2006/relationships/hyperlink" Target="https://maps.google.com/?q=17.1489360197306,-97.532303895522901" TargetMode="External"/><Relationship Id="rId9505" Type="http://schemas.openxmlformats.org/officeDocument/2006/relationships/hyperlink" Target="https://maps.google.com/?q=17.03676,-96.727772" TargetMode="External"/><Relationship Id="rId10384" Type="http://schemas.openxmlformats.org/officeDocument/2006/relationships/hyperlink" Target="https://maps.google.com/?q=16.5053444210997,-97.163515683536303" TargetMode="External"/><Relationship Id="rId11435" Type="http://schemas.openxmlformats.org/officeDocument/2006/relationships/hyperlink" Target="https://maps.google.com/?q=16.203626,-96.609851000000006" TargetMode="External"/><Relationship Id="rId12833" Type="http://schemas.openxmlformats.org/officeDocument/2006/relationships/hyperlink" Target="https://maps.google.com/?q=17.515505,-97.681291999999999" TargetMode="External"/><Relationship Id="rId7056" Type="http://schemas.openxmlformats.org/officeDocument/2006/relationships/hyperlink" Target="https://maps.google.com/?q=16.147040678769518,-96.35392362057713" TargetMode="External"/><Relationship Id="rId8107" Type="http://schemas.openxmlformats.org/officeDocument/2006/relationships/hyperlink" Target="https://maps.google.com/?q=17.3550413425512,-96.302709508895504" TargetMode="External"/><Relationship Id="rId10037" Type="http://schemas.openxmlformats.org/officeDocument/2006/relationships/hyperlink" Target="https://maps.google.com/?q=16.9172855976441,-96.364016316268106" TargetMode="External"/><Relationship Id="rId3666" Type="http://schemas.openxmlformats.org/officeDocument/2006/relationships/hyperlink" Target="https://maps.google.com/?q=15.773417,-96.144547" TargetMode="External"/><Relationship Id="rId587" Type="http://schemas.openxmlformats.org/officeDocument/2006/relationships/hyperlink" Target="https://maps.google.com/?q=16.054402,-97.398934999999994" TargetMode="External"/><Relationship Id="rId2268" Type="http://schemas.openxmlformats.org/officeDocument/2006/relationships/hyperlink" Target="https://maps.google.com/?q=18.0954484456849,-96.930158903384793" TargetMode="External"/><Relationship Id="rId3319" Type="http://schemas.openxmlformats.org/officeDocument/2006/relationships/hyperlink" Target="https://maps.google.com/?q=17.0648256432041,-96.816264738976699" TargetMode="External"/><Relationship Id="rId4717" Type="http://schemas.openxmlformats.org/officeDocument/2006/relationships/hyperlink" Target="https://maps.google.com/?q=17.085681,-96.731653" TargetMode="External"/><Relationship Id="rId6889" Type="http://schemas.openxmlformats.org/officeDocument/2006/relationships/hyperlink" Target="https://maps.google.com/?q=16.9737248,-97.085654399999996" TargetMode="External"/><Relationship Id="rId12690" Type="http://schemas.openxmlformats.org/officeDocument/2006/relationships/hyperlink" Target="https://maps.google.com/?q=16.2830729084238,-96.503221967914996" TargetMode="External"/><Relationship Id="rId13741" Type="http://schemas.openxmlformats.org/officeDocument/2006/relationships/hyperlink" Target="https://maps.google.com/?q=17.338601,-96.152518" TargetMode="External"/><Relationship Id="rId3800" Type="http://schemas.openxmlformats.org/officeDocument/2006/relationships/hyperlink" Target="https://maps.google.com/?q=15.771723290092305,-96.235036518673311" TargetMode="External"/><Relationship Id="rId9362" Type="http://schemas.openxmlformats.org/officeDocument/2006/relationships/hyperlink" Target="https://maps.google.com/?q=16.8184282531882,-95.142963988407303" TargetMode="External"/><Relationship Id="rId11292" Type="http://schemas.openxmlformats.org/officeDocument/2006/relationships/hyperlink" Target="https://maps.google.com/?q=17.8671031511897,-96.308232700237795" TargetMode="External"/><Relationship Id="rId12343" Type="http://schemas.openxmlformats.org/officeDocument/2006/relationships/hyperlink" Target="https://maps.google.com/?q=16.8272116,-96.7707337" TargetMode="External"/><Relationship Id="rId721" Type="http://schemas.openxmlformats.org/officeDocument/2006/relationships/hyperlink" Target="https://maps.google.com/?q=17.222435,-97.122597999999996" TargetMode="External"/><Relationship Id="rId1351" Type="http://schemas.openxmlformats.org/officeDocument/2006/relationships/hyperlink" Target="https://maps.google.com/?q=17.02002153,-96.71813893" TargetMode="External"/><Relationship Id="rId2402" Type="http://schemas.openxmlformats.org/officeDocument/2006/relationships/hyperlink" Target="https://maps.google.com/?q=17.049471698433955,-96.624377848195465" TargetMode="External"/><Relationship Id="rId5972" Type="http://schemas.openxmlformats.org/officeDocument/2006/relationships/hyperlink" Target="https://maps.google.com/?q=18.154495903556782,-96.5744303078326" TargetMode="External"/><Relationship Id="rId9015" Type="http://schemas.openxmlformats.org/officeDocument/2006/relationships/hyperlink" Target="https://maps.google.com/?q=17.38322421,-96.163213846000005" TargetMode="External"/><Relationship Id="rId1004" Type="http://schemas.openxmlformats.org/officeDocument/2006/relationships/hyperlink" Target="https://maps.google.com/?q=15.693701502170835,-96.522404180238127" TargetMode="External"/><Relationship Id="rId4574" Type="http://schemas.openxmlformats.org/officeDocument/2006/relationships/hyperlink" Target="https://maps.google.com/?q=16.553811,-96.819737000000003" TargetMode="External"/><Relationship Id="rId5625" Type="http://schemas.openxmlformats.org/officeDocument/2006/relationships/hyperlink" Target="https://maps.google.com/?q=17.5523178956051,-96.224272245368695" TargetMode="External"/><Relationship Id="rId14168" Type="http://schemas.openxmlformats.org/officeDocument/2006/relationships/hyperlink" Target="https://maps.google.com/?q=15.723454426087672,-96.15200265957952" TargetMode="External"/><Relationship Id="rId3176" Type="http://schemas.openxmlformats.org/officeDocument/2006/relationships/hyperlink" Target="https://maps.google.com/?q=16.549837,-97.500225" TargetMode="External"/><Relationship Id="rId4227" Type="http://schemas.openxmlformats.org/officeDocument/2006/relationships/hyperlink" Target="https://maps.google.com/?q=15.867338,-97.076072" TargetMode="External"/><Relationship Id="rId7797" Type="http://schemas.openxmlformats.org/officeDocument/2006/relationships/hyperlink" Target="https://maps.google.com/?q=17.8452005648974,-96.743897108868794" TargetMode="External"/><Relationship Id="rId6399" Type="http://schemas.openxmlformats.org/officeDocument/2006/relationships/hyperlink" Target="https://maps.google.com/?q=17.2574905024982,-97.536604411537695" TargetMode="External"/><Relationship Id="rId8848" Type="http://schemas.openxmlformats.org/officeDocument/2006/relationships/hyperlink" Target="https://maps.google.com/?q=17.218729,-96.243986000000007" TargetMode="External"/><Relationship Id="rId10778" Type="http://schemas.openxmlformats.org/officeDocument/2006/relationships/hyperlink" Target="https://maps.google.com/?q=16.906989,-96.563260" TargetMode="External"/><Relationship Id="rId11829" Type="http://schemas.openxmlformats.org/officeDocument/2006/relationships/hyperlink" Target="https://maps.google.com/?q=17.84161112974664,-97.01428977298163" TargetMode="External"/><Relationship Id="rId13251" Type="http://schemas.openxmlformats.org/officeDocument/2006/relationships/hyperlink" Target="https://maps.google.com/?q=17.1512564346697,-96.757199502701795" TargetMode="External"/><Relationship Id="rId3310" Type="http://schemas.openxmlformats.org/officeDocument/2006/relationships/hyperlink" Target="https://maps.google.com/?q=17.0639485859987,-96.809534888136895" TargetMode="External"/><Relationship Id="rId6880" Type="http://schemas.openxmlformats.org/officeDocument/2006/relationships/hyperlink" Target="https://maps.google.com/?q=16.9715486566483,-97.083332230826997" TargetMode="External"/><Relationship Id="rId7931" Type="http://schemas.openxmlformats.org/officeDocument/2006/relationships/hyperlink" Target="https://maps.google.com/?q=16.3234174894407,-96.403092106468094" TargetMode="External"/><Relationship Id="rId231" Type="http://schemas.openxmlformats.org/officeDocument/2006/relationships/hyperlink" Target="https://maps.google.com/?q=16.8824,-97.676109999999994" TargetMode="External"/><Relationship Id="rId5482" Type="http://schemas.openxmlformats.org/officeDocument/2006/relationships/hyperlink" Target="https://maps.google.com/?q=16.329313,-96.490322000000006" TargetMode="External"/><Relationship Id="rId6533" Type="http://schemas.openxmlformats.org/officeDocument/2006/relationships/hyperlink" Target="https://maps.google.com/?q=17.2592003759674,-97.577831686719804" TargetMode="External"/><Relationship Id="rId10912" Type="http://schemas.openxmlformats.org/officeDocument/2006/relationships/hyperlink" Target="https://maps.google.com/?q=16.1894726125335,-95.210172378895393" TargetMode="External"/><Relationship Id="rId4084" Type="http://schemas.openxmlformats.org/officeDocument/2006/relationships/hyperlink" Target="https://maps.google.com/?q=17.0558127189,-96.7456976" TargetMode="External"/><Relationship Id="rId5135" Type="http://schemas.openxmlformats.org/officeDocument/2006/relationships/hyperlink" Target="https://maps.google.com/?q=17.25442057747805,-96.15595530919266" TargetMode="External"/><Relationship Id="rId9756" Type="http://schemas.openxmlformats.org/officeDocument/2006/relationships/hyperlink" Target="https://maps.google.com/?q=17.2779993603662,-96.805825690118894" TargetMode="External"/><Relationship Id="rId8358" Type="http://schemas.openxmlformats.org/officeDocument/2006/relationships/hyperlink" Target="https://maps.google.com/?q=16.8441969862047,-97.198238402380397" TargetMode="External"/><Relationship Id="rId9409" Type="http://schemas.openxmlformats.org/officeDocument/2006/relationships/hyperlink" Target="https://maps.google.com/?q=16.7756656671119,-95.193022937171804" TargetMode="External"/><Relationship Id="rId10288" Type="http://schemas.openxmlformats.org/officeDocument/2006/relationships/hyperlink" Target="https://maps.google.com/?q=16.246993,-95.144593999999998" TargetMode="External"/><Relationship Id="rId11686" Type="http://schemas.openxmlformats.org/officeDocument/2006/relationships/hyperlink" Target="https://maps.google.com/?q=17.1785572,-97.709788900000007" TargetMode="External"/><Relationship Id="rId12737" Type="http://schemas.openxmlformats.org/officeDocument/2006/relationships/hyperlink" Target="https://maps.google.com/?q=16.5957219496765,-96.957450217119998" TargetMode="External"/><Relationship Id="rId1745" Type="http://schemas.openxmlformats.org/officeDocument/2006/relationships/hyperlink" Target="https://maps.google.com/?q=18.06046431,-96.849362450000001" TargetMode="External"/><Relationship Id="rId11339" Type="http://schemas.openxmlformats.org/officeDocument/2006/relationships/hyperlink" Target="https://maps.google.com/?q=16.64925679,-97.533152130000005" TargetMode="External"/><Relationship Id="rId4968" Type="http://schemas.openxmlformats.org/officeDocument/2006/relationships/hyperlink" Target="https://maps.google.com/?q=17.9679065346994,-96.743148185200994" TargetMode="External"/><Relationship Id="rId11820" Type="http://schemas.openxmlformats.org/officeDocument/2006/relationships/hyperlink" Target="https://maps.google.com/?q=17.019458106085764,-97.66111194973755" TargetMode="External"/><Relationship Id="rId6390" Type="http://schemas.openxmlformats.org/officeDocument/2006/relationships/hyperlink" Target="https://maps.google.com/?q=17.2360988760055,-97.555061455504799" TargetMode="External"/><Relationship Id="rId7441" Type="http://schemas.openxmlformats.org/officeDocument/2006/relationships/hyperlink" Target="https://maps.google.com/?q=16.3193131983793,-96.675588690807302" TargetMode="External"/><Relationship Id="rId10422" Type="http://schemas.openxmlformats.org/officeDocument/2006/relationships/hyperlink" Target="https://maps.google.com/?q=17.0601475,-96.796542200000005" TargetMode="External"/><Relationship Id="rId13992" Type="http://schemas.openxmlformats.org/officeDocument/2006/relationships/hyperlink" Target="https://maps.google.com/?q=17.606717729494548,-97.197719471391" TargetMode="External"/><Relationship Id="rId6043" Type="http://schemas.openxmlformats.org/officeDocument/2006/relationships/hyperlink" Target="https://maps.google.com/?q=18.156917389535508,-96.576645057813124" TargetMode="External"/><Relationship Id="rId12594" Type="http://schemas.openxmlformats.org/officeDocument/2006/relationships/hyperlink" Target="https://maps.google.com/?q=16.5218324660671,-96.9842853197854" TargetMode="External"/><Relationship Id="rId13645" Type="http://schemas.openxmlformats.org/officeDocument/2006/relationships/hyperlink" Target="https://maps.google.com/?q=16.53484,-97.49542" TargetMode="External"/><Relationship Id="rId972" Type="http://schemas.openxmlformats.org/officeDocument/2006/relationships/hyperlink" Target="https://maps.google.com/?q=15.68821732827795,-96.513734616411369" TargetMode="External"/><Relationship Id="rId2653" Type="http://schemas.openxmlformats.org/officeDocument/2006/relationships/hyperlink" Target="https://maps.google.com/?q=17.6229646922969,-97.230189863754205" TargetMode="External"/><Relationship Id="rId3704" Type="http://schemas.openxmlformats.org/officeDocument/2006/relationships/hyperlink" Target="https://maps.google.com/?q=15.757826056496896,-96.138778275622172" TargetMode="External"/><Relationship Id="rId9266" Type="http://schemas.openxmlformats.org/officeDocument/2006/relationships/hyperlink" Target="https://maps.google.com/?q=17.3779701692872,-96.3008377310084" TargetMode="External"/><Relationship Id="rId11196" Type="http://schemas.openxmlformats.org/officeDocument/2006/relationships/hyperlink" Target="https://maps.google.com/?q=16.846067,-96.010835999999998" TargetMode="External"/><Relationship Id="rId12247" Type="http://schemas.openxmlformats.org/officeDocument/2006/relationships/hyperlink" Target="https://maps.google.com/?q=16.42353,-97.230689999999996" TargetMode="External"/><Relationship Id="rId625" Type="http://schemas.openxmlformats.org/officeDocument/2006/relationships/hyperlink" Target="https://maps.google.com/?q=16.054565,-97.394046000000003" TargetMode="External"/><Relationship Id="rId1255" Type="http://schemas.openxmlformats.org/officeDocument/2006/relationships/hyperlink" Target="https://maps.google.com/?q=17.056332918,-96.7461488" TargetMode="External"/><Relationship Id="rId2306" Type="http://schemas.openxmlformats.org/officeDocument/2006/relationships/hyperlink" Target="https://maps.google.com/?q=18.1053645116998,-96.873265552209006" TargetMode="External"/><Relationship Id="rId5876" Type="http://schemas.openxmlformats.org/officeDocument/2006/relationships/hyperlink" Target="https://maps.google.com/?q=18.14419107675946,-96.562989451416769" TargetMode="External"/><Relationship Id="rId4478" Type="http://schemas.openxmlformats.org/officeDocument/2006/relationships/hyperlink" Target="https://maps.google.com/?q=17.1698608299995,-97.308509755207993" TargetMode="External"/><Relationship Id="rId5529" Type="http://schemas.openxmlformats.org/officeDocument/2006/relationships/hyperlink" Target="https://maps.google.com/?q=17.2847672335368,-97.377701682208993" TargetMode="External"/><Relationship Id="rId6927" Type="http://schemas.openxmlformats.org/officeDocument/2006/relationships/hyperlink" Target="https://maps.google.com/?q=16.315141,-95.240565000000004" TargetMode="External"/><Relationship Id="rId9400" Type="http://schemas.openxmlformats.org/officeDocument/2006/relationships/hyperlink" Target="https://maps.google.com/?q=16.8214712800786,-95.138506885582601" TargetMode="External"/><Relationship Id="rId8002" Type="http://schemas.openxmlformats.org/officeDocument/2006/relationships/hyperlink" Target="https://maps.google.com/?q=18.1638216434197,-96.878540023313604" TargetMode="External"/><Relationship Id="rId11330" Type="http://schemas.openxmlformats.org/officeDocument/2006/relationships/hyperlink" Target="https://maps.google.com/?q=17.001924,-96.760531" TargetMode="External"/><Relationship Id="rId3561" Type="http://schemas.openxmlformats.org/officeDocument/2006/relationships/hyperlink" Target="https://maps.google.com/?q=15.775228435324351,-96.136016151003531" TargetMode="External"/><Relationship Id="rId4612" Type="http://schemas.openxmlformats.org/officeDocument/2006/relationships/hyperlink" Target="https://maps.google.com/?q=16.558646,-96.820363" TargetMode="External"/><Relationship Id="rId13155" Type="http://schemas.openxmlformats.org/officeDocument/2006/relationships/hyperlink" Target="https://maps.google.com/?q=16.5642986022014,-97.010125246983705" TargetMode="External"/><Relationship Id="rId482" Type="http://schemas.openxmlformats.org/officeDocument/2006/relationships/hyperlink" Target="https://maps.google.com/?q=16.055127,-97.407696000000001" TargetMode="External"/><Relationship Id="rId2163" Type="http://schemas.openxmlformats.org/officeDocument/2006/relationships/hyperlink" Target="https://maps.google.com/?q=15.76005860389238,-96.148557427511619" TargetMode="External"/><Relationship Id="rId3214" Type="http://schemas.openxmlformats.org/officeDocument/2006/relationships/hyperlink" Target="https://maps.google.com/?q=17.8009243485255,-96.002431124073098" TargetMode="External"/><Relationship Id="rId6784" Type="http://schemas.openxmlformats.org/officeDocument/2006/relationships/hyperlink" Target="https://maps.google.com/?q=16.6392594847209,-97.039348820118803" TargetMode="External"/><Relationship Id="rId7835" Type="http://schemas.openxmlformats.org/officeDocument/2006/relationships/hyperlink" Target="https://maps.google.com/?q=16.8514847037432,-95.092980728836906" TargetMode="External"/><Relationship Id="rId135" Type="http://schemas.openxmlformats.org/officeDocument/2006/relationships/hyperlink" Target="https://maps.google.com/?q=17.09193,-97.498749000000004" TargetMode="External"/><Relationship Id="rId5386" Type="http://schemas.openxmlformats.org/officeDocument/2006/relationships/hyperlink" Target="https://maps.google.com/?q=15.976876713197,-97.242959402446502" TargetMode="External"/><Relationship Id="rId6437" Type="http://schemas.openxmlformats.org/officeDocument/2006/relationships/hyperlink" Target="https://maps.google.com/?q=17.34568088,-97.557115929999995" TargetMode="External"/><Relationship Id="rId10816" Type="http://schemas.openxmlformats.org/officeDocument/2006/relationships/hyperlink" Target="https://maps.google.com/?q=16.4015998108006,-94.461677906745905" TargetMode="External"/><Relationship Id="rId5039" Type="http://schemas.openxmlformats.org/officeDocument/2006/relationships/hyperlink" Target="https://maps.google.com/?q=17.251514,-96.156735999999995" TargetMode="External"/><Relationship Id="rId12988" Type="http://schemas.openxmlformats.org/officeDocument/2006/relationships/hyperlink" Target="https://maps.google.com/?q=16.5015228,-97.558543099999994" TargetMode="External"/><Relationship Id="rId1996" Type="http://schemas.openxmlformats.org/officeDocument/2006/relationships/hyperlink" Target="https://maps.google.com/?q=15.756518363586299,-96.148550925334533" TargetMode="External"/><Relationship Id="rId1649" Type="http://schemas.openxmlformats.org/officeDocument/2006/relationships/hyperlink" Target="https://maps.google.com/?q=16.8934546605088,-96.939282713313204" TargetMode="External"/><Relationship Id="rId3071" Type="http://schemas.openxmlformats.org/officeDocument/2006/relationships/hyperlink" Target="https://maps.google.com/?q=16.9639669,-96.941486900000001" TargetMode="External"/><Relationship Id="rId5520" Type="http://schemas.openxmlformats.org/officeDocument/2006/relationships/hyperlink" Target="https://maps.google.com/?q=17.280204,-97.371723000000003" TargetMode="External"/><Relationship Id="rId14063" Type="http://schemas.openxmlformats.org/officeDocument/2006/relationships/hyperlink" Target="https://maps.google.com/?q=16.15222966347275,-96.31320164416204" TargetMode="External"/><Relationship Id="rId4122" Type="http://schemas.openxmlformats.org/officeDocument/2006/relationships/hyperlink" Target="https://maps.google.com/?q=17.0587419,-96.743148000000005" TargetMode="External"/><Relationship Id="rId7692" Type="http://schemas.openxmlformats.org/officeDocument/2006/relationships/hyperlink" Target="https://maps.google.com/?q=17.2065607905371,-97.521349477791603" TargetMode="External"/><Relationship Id="rId8743" Type="http://schemas.openxmlformats.org/officeDocument/2006/relationships/hyperlink" Target="https://maps.google.com/?q=18.0609313307503,-96.126030321750505" TargetMode="External"/><Relationship Id="rId10673" Type="http://schemas.openxmlformats.org/officeDocument/2006/relationships/hyperlink" Target="https://maps.google.com/?q=15.7036034329483,-96.264393609956898" TargetMode="External"/><Relationship Id="rId11724" Type="http://schemas.openxmlformats.org/officeDocument/2006/relationships/hyperlink" Target="https://maps.google.com/?q=17.1857128,-97.712891679999998" TargetMode="External"/><Relationship Id="rId6294" Type="http://schemas.openxmlformats.org/officeDocument/2006/relationships/hyperlink" Target="https://maps.google.com/?q=18.055816,-96.400910999999994" TargetMode="External"/><Relationship Id="rId7345" Type="http://schemas.openxmlformats.org/officeDocument/2006/relationships/hyperlink" Target="https://maps.google.com/?q=16.549934,-97.678641999999996" TargetMode="External"/><Relationship Id="rId10326" Type="http://schemas.openxmlformats.org/officeDocument/2006/relationships/hyperlink" Target="https://maps.google.com/?q=16.22864676,-97.269185770000007" TargetMode="External"/><Relationship Id="rId12498" Type="http://schemas.openxmlformats.org/officeDocument/2006/relationships/hyperlink" Target="https://maps.google.com/?q=17.2233893833846,-97.274062507357499" TargetMode="External"/><Relationship Id="rId13896" Type="http://schemas.openxmlformats.org/officeDocument/2006/relationships/hyperlink" Target="https://maps.google.com/?q=17.3287547293797,-98.021477834655798" TargetMode="External"/><Relationship Id="rId876" Type="http://schemas.openxmlformats.org/officeDocument/2006/relationships/hyperlink" Target="https://maps.google.com/?q=17.093707,-97.497219999999999" TargetMode="External"/><Relationship Id="rId2557" Type="http://schemas.openxmlformats.org/officeDocument/2006/relationships/hyperlink" Target="https://maps.google.com/?q=17.9117341115497,-98.011462829360894" TargetMode="External"/><Relationship Id="rId3608" Type="http://schemas.openxmlformats.org/officeDocument/2006/relationships/hyperlink" Target="https://maps.google.com/?q=15.776752158846119,-96.137197832587105" TargetMode="External"/><Relationship Id="rId3955" Type="http://schemas.openxmlformats.org/officeDocument/2006/relationships/hyperlink" Target="https://maps.google.com/?q=17.06115,-96.755579999999995" TargetMode="External"/><Relationship Id="rId13549" Type="http://schemas.openxmlformats.org/officeDocument/2006/relationships/hyperlink" Target="https://maps.google.com/?q=16.856723039609538,-96.69723544711303" TargetMode="External"/><Relationship Id="rId529" Type="http://schemas.openxmlformats.org/officeDocument/2006/relationships/hyperlink" Target="https://maps.google.com/?q=16.052697,-97.402968000000001" TargetMode="External"/><Relationship Id="rId1159" Type="http://schemas.openxmlformats.org/officeDocument/2006/relationships/hyperlink" Target="https://maps.google.com/?q=17.093992,-96.651771" TargetMode="External"/><Relationship Id="rId5030" Type="http://schemas.openxmlformats.org/officeDocument/2006/relationships/hyperlink" Target="https://maps.google.com/?q=17.251052,-96.151627000000005" TargetMode="External"/><Relationship Id="rId9651" Type="http://schemas.openxmlformats.org/officeDocument/2006/relationships/hyperlink" Target="https://maps.google.com/?q=16.3160346926537,-96.586468889549295" TargetMode="External"/><Relationship Id="rId11581" Type="http://schemas.openxmlformats.org/officeDocument/2006/relationships/hyperlink" Target="https://maps.google.com/?q=16.8509654003218,-96.750592142939496" TargetMode="External"/><Relationship Id="rId12632" Type="http://schemas.openxmlformats.org/officeDocument/2006/relationships/hyperlink" Target="https://maps.google.com/?q=17.116222,-96.852459999999994" TargetMode="External"/><Relationship Id="rId1640" Type="http://schemas.openxmlformats.org/officeDocument/2006/relationships/hyperlink" Target="https://maps.google.com/?q=16.8922715173205,-96.937118170638797" TargetMode="External"/><Relationship Id="rId8253" Type="http://schemas.openxmlformats.org/officeDocument/2006/relationships/hyperlink" Target="https://maps.google.com/?q=0,&#160;-96.747942" TargetMode="External"/><Relationship Id="rId9304" Type="http://schemas.openxmlformats.org/officeDocument/2006/relationships/hyperlink" Target="https://maps.google.com/?q=16.8147361788238,-95.137524468524305" TargetMode="External"/><Relationship Id="rId10183" Type="http://schemas.openxmlformats.org/officeDocument/2006/relationships/hyperlink" Target="https://maps.google.com/?q=17.2413591378091,-97.393196187841397" TargetMode="External"/><Relationship Id="rId11234" Type="http://schemas.openxmlformats.org/officeDocument/2006/relationships/hyperlink" Target="https://maps.google.com/?q=17.1206215579925,-97.498581192065004" TargetMode="External"/><Relationship Id="rId4863" Type="http://schemas.openxmlformats.org/officeDocument/2006/relationships/hyperlink" Target="https://maps.google.com/?q=16.7904307647726,-96.389647297791498" TargetMode="External"/><Relationship Id="rId5914" Type="http://schemas.openxmlformats.org/officeDocument/2006/relationships/hyperlink" Target="https://maps.google.com/?q=18.147469948604357,-96.566429524526086" TargetMode="External"/><Relationship Id="rId3465" Type="http://schemas.openxmlformats.org/officeDocument/2006/relationships/hyperlink" Target="https://maps.google.com/?q=16.4060498290639,-96.961901504299107" TargetMode="External"/><Relationship Id="rId4516" Type="http://schemas.openxmlformats.org/officeDocument/2006/relationships/hyperlink" Target="https://maps.google.com/?q=17.1808570959016,-97.304874650297194" TargetMode="External"/><Relationship Id="rId13059" Type="http://schemas.openxmlformats.org/officeDocument/2006/relationships/hyperlink" Target="https://maps.google.com/?q=16.562764,-97.535499299999998" TargetMode="External"/><Relationship Id="rId386" Type="http://schemas.openxmlformats.org/officeDocument/2006/relationships/hyperlink" Target="https://maps.google.com/?q=16.88447,-97.678129999999996" TargetMode="External"/><Relationship Id="rId2067" Type="http://schemas.openxmlformats.org/officeDocument/2006/relationships/hyperlink" Target="https://maps.google.com/?q=15.771258965941318,-96.23474435990768" TargetMode="External"/><Relationship Id="rId3118" Type="http://schemas.openxmlformats.org/officeDocument/2006/relationships/hyperlink" Target="https://maps.google.com/?q=16.582019,-97.439747999999994" TargetMode="External"/><Relationship Id="rId6688" Type="http://schemas.openxmlformats.org/officeDocument/2006/relationships/hyperlink" Target="https://maps.google.com/?q=16.9380963,-96.966263299999994" TargetMode="External"/><Relationship Id="rId7739" Type="http://schemas.openxmlformats.org/officeDocument/2006/relationships/hyperlink" Target="https://maps.google.com/?q=16.63143142,-96.795327420000007" TargetMode="External"/><Relationship Id="rId9161" Type="http://schemas.openxmlformats.org/officeDocument/2006/relationships/hyperlink" Target="https://maps.google.com/?q=17.0026928629596,-96.959968442565298" TargetMode="External"/><Relationship Id="rId11091" Type="http://schemas.openxmlformats.org/officeDocument/2006/relationships/hyperlink" Target="https://maps.google.com/?q=17.2545,-96.150287" TargetMode="External"/><Relationship Id="rId13540" Type="http://schemas.openxmlformats.org/officeDocument/2006/relationships/hyperlink" Target="https://maps.google.com/?q=16.452919480953742,-98.28692963921736" TargetMode="External"/><Relationship Id="rId1150" Type="http://schemas.openxmlformats.org/officeDocument/2006/relationships/hyperlink" Target="https://maps.google.com/?q=16.929358,-97.145381999999998" TargetMode="External"/><Relationship Id="rId12142" Type="http://schemas.openxmlformats.org/officeDocument/2006/relationships/hyperlink" Target="https://maps.google.com/?q=16.2865783333333,-97.672781666666594" TargetMode="External"/><Relationship Id="rId520" Type="http://schemas.openxmlformats.org/officeDocument/2006/relationships/hyperlink" Target="https://maps.google.com/?q=16.054372,-97.406460999999993" TargetMode="External"/><Relationship Id="rId2201" Type="http://schemas.openxmlformats.org/officeDocument/2006/relationships/hyperlink" Target="https://maps.google.com/?q=16.9683707494088,-97.225077423276005" TargetMode="External"/><Relationship Id="rId5771" Type="http://schemas.openxmlformats.org/officeDocument/2006/relationships/hyperlink" Target="https://maps.google.com/?q=16.999275,-97.233044000000007" TargetMode="External"/><Relationship Id="rId6822" Type="http://schemas.openxmlformats.org/officeDocument/2006/relationships/hyperlink" Target="https://maps.google.com/?q=16.0625945439028,-97.174699868717198" TargetMode="External"/><Relationship Id="rId4373" Type="http://schemas.openxmlformats.org/officeDocument/2006/relationships/hyperlink" Target="https://maps.google.com/?q=15.96598257,-96.635281550000002" TargetMode="External"/><Relationship Id="rId5424" Type="http://schemas.openxmlformats.org/officeDocument/2006/relationships/hyperlink" Target="https://maps.google.com/?q=16.1009137549758,-97.6995209792086" TargetMode="External"/><Relationship Id="rId8994" Type="http://schemas.openxmlformats.org/officeDocument/2006/relationships/hyperlink" Target="https://maps.google.com/?q=17.382122274,-96.164541907" TargetMode="External"/><Relationship Id="rId4026" Type="http://schemas.openxmlformats.org/officeDocument/2006/relationships/hyperlink" Target="https://maps.google.com/?q=17.020021533143613,-96.718138934852632" TargetMode="External"/><Relationship Id="rId7596" Type="http://schemas.openxmlformats.org/officeDocument/2006/relationships/hyperlink" Target="https://maps.google.com/?q=17.0944397322385,-95.853728634783906" TargetMode="External"/><Relationship Id="rId8647" Type="http://schemas.openxmlformats.org/officeDocument/2006/relationships/hyperlink" Target="https://maps.google.com/?q=16.2756004686977,-94.530978945641394" TargetMode="External"/><Relationship Id="rId10577" Type="http://schemas.openxmlformats.org/officeDocument/2006/relationships/hyperlink" Target="https://maps.google.com/?q=17.0974573825368,-97.774265742190096" TargetMode="External"/><Relationship Id="rId11975" Type="http://schemas.openxmlformats.org/officeDocument/2006/relationships/hyperlink" Target="https://maps.google.com/?q=16.7998956043149,-96.717369007311504" TargetMode="External"/><Relationship Id="rId6198" Type="http://schemas.openxmlformats.org/officeDocument/2006/relationships/hyperlink" Target="https://maps.google.com/?q=16.09363,-97.080624999999998" TargetMode="External"/><Relationship Id="rId7249" Type="http://schemas.openxmlformats.org/officeDocument/2006/relationships/hyperlink" Target="https://maps.google.com/?q=16.0971762974432,-97.921484875828895" TargetMode="External"/><Relationship Id="rId11628" Type="http://schemas.openxmlformats.org/officeDocument/2006/relationships/hyperlink" Target="https://maps.google.com/?q=16.8388936614316,-96.728384094453602" TargetMode="External"/><Relationship Id="rId13050" Type="http://schemas.openxmlformats.org/officeDocument/2006/relationships/hyperlink" Target="https://maps.google.com/?q=16.5623945,-97.528568530000001" TargetMode="External"/><Relationship Id="rId14101" Type="http://schemas.openxmlformats.org/officeDocument/2006/relationships/hyperlink" Target="https://maps.google.com/?q=17.126306,-98.193722" TargetMode="External"/><Relationship Id="rId3859" Type="http://schemas.openxmlformats.org/officeDocument/2006/relationships/hyperlink" Target="https://maps.google.com/?q=17.09311800896,-95.926441588035402" TargetMode="External"/><Relationship Id="rId5281" Type="http://schemas.openxmlformats.org/officeDocument/2006/relationships/hyperlink" Target="https://maps.google.com/?q=15.8288571933981,-96.471818322049899" TargetMode="External"/><Relationship Id="rId7730" Type="http://schemas.openxmlformats.org/officeDocument/2006/relationships/hyperlink" Target="https://maps.google.com/?q=16.6306944959368,-96.795070919979295" TargetMode="External"/><Relationship Id="rId10711" Type="http://schemas.openxmlformats.org/officeDocument/2006/relationships/hyperlink" Target="https://maps.google.com/?q=17.063778,-96.729971000000006" TargetMode="External"/><Relationship Id="rId6332" Type="http://schemas.openxmlformats.org/officeDocument/2006/relationships/hyperlink" Target="https://maps.google.com/?q=18.0602366179268,-96.395825349701099" TargetMode="External"/><Relationship Id="rId12883" Type="http://schemas.openxmlformats.org/officeDocument/2006/relationships/hyperlink" Target="https://maps.google.com/?q=16.517152,-97.466988999999998" TargetMode="External"/><Relationship Id="rId13934" Type="http://schemas.openxmlformats.org/officeDocument/2006/relationships/hyperlink" Target="https://maps.google.com/?q=16.88443108869106,-96.6142248827352" TargetMode="External"/><Relationship Id="rId1891" Type="http://schemas.openxmlformats.org/officeDocument/2006/relationships/hyperlink" Target="https://maps.google.com/?q=15.776260839135468,-96.136234804994501" TargetMode="External"/><Relationship Id="rId2942" Type="http://schemas.openxmlformats.org/officeDocument/2006/relationships/hyperlink" Target="https://maps.google.com/?q=17.08176318,-96.666592660000006" TargetMode="External"/><Relationship Id="rId9555" Type="http://schemas.openxmlformats.org/officeDocument/2006/relationships/hyperlink" Target="https://maps.google.com/?q=17.357998,-96.293561999999994" TargetMode="External"/><Relationship Id="rId11485" Type="http://schemas.openxmlformats.org/officeDocument/2006/relationships/hyperlink" Target="https://maps.google.com/?q=16.3049145076888,-96.651704356136193" TargetMode="External"/><Relationship Id="rId12536" Type="http://schemas.openxmlformats.org/officeDocument/2006/relationships/hyperlink" Target="https://maps.google.com/?q=16.968218811896,-97.9125366071288" TargetMode="External"/><Relationship Id="rId914" Type="http://schemas.openxmlformats.org/officeDocument/2006/relationships/hyperlink" Target="https://maps.google.com/?q=16.88769,-97.681929999999994" TargetMode="External"/><Relationship Id="rId1544" Type="http://schemas.openxmlformats.org/officeDocument/2006/relationships/hyperlink" Target="https://maps.google.com/?q=17.06286,-96.757170000000002" TargetMode="External"/><Relationship Id="rId8157" Type="http://schemas.openxmlformats.org/officeDocument/2006/relationships/hyperlink" Target="https://maps.google.com/?q=17.3569431732282,-96.301191855522504" TargetMode="External"/><Relationship Id="rId9208" Type="http://schemas.openxmlformats.org/officeDocument/2006/relationships/hyperlink" Target="https://maps.google.com/?q=17.3748434365369,-96.301847615199705" TargetMode="External"/><Relationship Id="rId10087" Type="http://schemas.openxmlformats.org/officeDocument/2006/relationships/hyperlink" Target="https://maps.google.com/?q=16.9961871632995,-96.111136536303903" TargetMode="External"/><Relationship Id="rId11138" Type="http://schemas.openxmlformats.org/officeDocument/2006/relationships/hyperlink" Target="https://maps.google.com/?q=16.835944,-96.008294000000006" TargetMode="External"/><Relationship Id="rId4767" Type="http://schemas.openxmlformats.org/officeDocument/2006/relationships/hyperlink" Target="https://maps.google.com/?q=17.9567052762014,-96.6556189067459" TargetMode="External"/><Relationship Id="rId5818" Type="http://schemas.openxmlformats.org/officeDocument/2006/relationships/hyperlink" Target="https://maps.google.com/?q=16.3572887081099,-97.045371661376706" TargetMode="External"/><Relationship Id="rId3369" Type="http://schemas.openxmlformats.org/officeDocument/2006/relationships/hyperlink" Target="https://maps.google.com/?q=17.0682290026793,-97.78827471163939" TargetMode="External"/><Relationship Id="rId7240" Type="http://schemas.openxmlformats.org/officeDocument/2006/relationships/hyperlink" Target="https://maps.google.com/?q=16.0966134054639,-97.924794920000593" TargetMode="External"/><Relationship Id="rId10221" Type="http://schemas.openxmlformats.org/officeDocument/2006/relationships/hyperlink" Target="https://maps.google.com/?q=17.293707693747734,-97.355042029208" TargetMode="External"/><Relationship Id="rId13791" Type="http://schemas.openxmlformats.org/officeDocument/2006/relationships/hyperlink" Target="https://maps.google.com/?q=17.129954,-97.748760000000004" TargetMode="External"/><Relationship Id="rId3850" Type="http://schemas.openxmlformats.org/officeDocument/2006/relationships/hyperlink" Target="https://maps.google.com/?q=17.1036533494522,-95.944657204281796" TargetMode="External"/><Relationship Id="rId4901" Type="http://schemas.openxmlformats.org/officeDocument/2006/relationships/hyperlink" Target="https://maps.google.com/?q=18.030356,-96.673910000000006" TargetMode="External"/><Relationship Id="rId9065" Type="http://schemas.openxmlformats.org/officeDocument/2006/relationships/hyperlink" Target="https://maps.google.com/?q=16.056574,-95.456574000000003" TargetMode="External"/><Relationship Id="rId12393" Type="http://schemas.openxmlformats.org/officeDocument/2006/relationships/hyperlink" Target="https://maps.google.com/?q=16.5542651220983,-96.819320453537202" TargetMode="External"/><Relationship Id="rId13444" Type="http://schemas.openxmlformats.org/officeDocument/2006/relationships/hyperlink" Target="https://maps.google.com/?q=17.6848749839343,-97.032586282417498" TargetMode="External"/><Relationship Id="rId771" Type="http://schemas.openxmlformats.org/officeDocument/2006/relationships/hyperlink" Target="https://maps.google.com/?q=15.686150459911582,-96.511948138325351" TargetMode="External"/><Relationship Id="rId2452" Type="http://schemas.openxmlformats.org/officeDocument/2006/relationships/hyperlink" Target="https://maps.google.com/?q=17.05146275,-96.624631660000006" TargetMode="External"/><Relationship Id="rId3503" Type="http://schemas.openxmlformats.org/officeDocument/2006/relationships/hyperlink" Target="https://maps.google.com/?q=15.770726946355866,-96.150833108665992" TargetMode="External"/><Relationship Id="rId12046" Type="http://schemas.openxmlformats.org/officeDocument/2006/relationships/hyperlink" Target="https://maps.google.com/?q=16.8077920174542,-96.724149210000107" TargetMode="External"/><Relationship Id="rId424" Type="http://schemas.openxmlformats.org/officeDocument/2006/relationships/hyperlink" Target="https://maps.google.com/?q=16.053029,-97.412347999999994" TargetMode="External"/><Relationship Id="rId1054" Type="http://schemas.openxmlformats.org/officeDocument/2006/relationships/hyperlink" Target="https://maps.google.com/?q=15.709442730944568,-96.527661606384854" TargetMode="External"/><Relationship Id="rId2105" Type="http://schemas.openxmlformats.org/officeDocument/2006/relationships/hyperlink" Target="https://maps.google.com/?q=15.766637,-96.150275" TargetMode="External"/><Relationship Id="rId5675" Type="http://schemas.openxmlformats.org/officeDocument/2006/relationships/hyperlink" Target="https://maps.google.com/?q=16.432887,-97.898255000000006" TargetMode="External"/><Relationship Id="rId6726" Type="http://schemas.openxmlformats.org/officeDocument/2006/relationships/hyperlink" Target="https://maps.google.com/?q=17.0365440970465,-96.984491021612698" TargetMode="External"/><Relationship Id="rId4277" Type="http://schemas.openxmlformats.org/officeDocument/2006/relationships/hyperlink" Target="https://maps.google.com/?q=16.05901311,-96.604541170000005" TargetMode="External"/><Relationship Id="rId5328" Type="http://schemas.openxmlformats.org/officeDocument/2006/relationships/hyperlink" Target="https://maps.google.com/?q=15.8076640205363,-96.361487219012702" TargetMode="External"/><Relationship Id="rId8898" Type="http://schemas.openxmlformats.org/officeDocument/2006/relationships/hyperlink" Target="https://maps.google.com/?q=17.379966047,-96.162506465000007" TargetMode="External"/><Relationship Id="rId9949" Type="http://schemas.openxmlformats.org/officeDocument/2006/relationships/hyperlink" Target="https://maps.google.com/?q=16.7113375540416,-96.711278446015299" TargetMode="External"/><Relationship Id="rId11879" Type="http://schemas.openxmlformats.org/officeDocument/2006/relationships/hyperlink" Target="https://maps.google.com/?q=17.421499665224914,-97.29772988724136" TargetMode="External"/><Relationship Id="rId1938" Type="http://schemas.openxmlformats.org/officeDocument/2006/relationships/hyperlink" Target="https://maps.google.com/?q=15.777410803034341,-96.137151279140767" TargetMode="External"/><Relationship Id="rId3360" Type="http://schemas.openxmlformats.org/officeDocument/2006/relationships/hyperlink" Target="https://maps.google.com/?q=17.058083,-96.825379999999996" TargetMode="External"/><Relationship Id="rId281" Type="http://schemas.openxmlformats.org/officeDocument/2006/relationships/hyperlink" Target="https://maps.google.com/?q=16.88309,-97.677809999999994" TargetMode="External"/><Relationship Id="rId3013" Type="http://schemas.openxmlformats.org/officeDocument/2006/relationships/hyperlink" Target="https://maps.google.com/?q=16.9387836,-97.004984300000004" TargetMode="External"/><Relationship Id="rId4411" Type="http://schemas.openxmlformats.org/officeDocument/2006/relationships/hyperlink" Target="https://maps.google.com/?q=16.00441623,-96.682397989999998" TargetMode="External"/><Relationship Id="rId7981" Type="http://schemas.openxmlformats.org/officeDocument/2006/relationships/hyperlink" Target="https://maps.google.com/?q=18.1630200999906,-96.873286944774705" TargetMode="External"/><Relationship Id="rId10962" Type="http://schemas.openxmlformats.org/officeDocument/2006/relationships/hyperlink" Target="https://maps.google.com/?q=16.2076811125365,-95.215945971104205" TargetMode="External"/><Relationship Id="rId14005" Type="http://schemas.openxmlformats.org/officeDocument/2006/relationships/hyperlink" Target="https://maps.google.com/?q=17.511838,-97.488547999999994" TargetMode="External"/><Relationship Id="rId6583" Type="http://schemas.openxmlformats.org/officeDocument/2006/relationships/hyperlink" Target="https://maps.google.com/?q=17.258689,-97.687469" TargetMode="External"/><Relationship Id="rId7634" Type="http://schemas.openxmlformats.org/officeDocument/2006/relationships/hyperlink" Target="https://maps.google.com/?q=17.2308574480498,-95.056198204389702" TargetMode="External"/><Relationship Id="rId10615" Type="http://schemas.openxmlformats.org/officeDocument/2006/relationships/hyperlink" Target="https://maps.google.com/?q=17.1337950906033,-97.759706708984893" TargetMode="External"/><Relationship Id="rId5185" Type="http://schemas.openxmlformats.org/officeDocument/2006/relationships/hyperlink" Target="https://maps.google.com/?q=17.315778,-95.966002000000003" TargetMode="External"/><Relationship Id="rId6236" Type="http://schemas.openxmlformats.org/officeDocument/2006/relationships/hyperlink" Target="https://maps.google.com/?q=17.0110390848684,-97.269328878295696" TargetMode="External"/><Relationship Id="rId12787" Type="http://schemas.openxmlformats.org/officeDocument/2006/relationships/hyperlink" Target="https://maps.google.com/?q=16.2338472383311,-97.292252668731706" TargetMode="External"/><Relationship Id="rId1795" Type="http://schemas.openxmlformats.org/officeDocument/2006/relationships/hyperlink" Target="https://maps.google.com/?q=18.0674864659961,-96.900177882105197" TargetMode="External"/><Relationship Id="rId2846" Type="http://schemas.openxmlformats.org/officeDocument/2006/relationships/hyperlink" Target="https://maps.google.com/?q=16.9622458074298,-97.730900818883498" TargetMode="External"/><Relationship Id="rId9459" Type="http://schemas.openxmlformats.org/officeDocument/2006/relationships/hyperlink" Target="https://maps.google.com/?q=15.832017195012,-96.673637922788402" TargetMode="External"/><Relationship Id="rId11389" Type="http://schemas.openxmlformats.org/officeDocument/2006/relationships/hyperlink" Target="https://maps.google.com/?q=17.3471340167207,-97.5592556190331" TargetMode="External"/><Relationship Id="rId13838" Type="http://schemas.openxmlformats.org/officeDocument/2006/relationships/hyperlink" Target="https://maps.google.com/?q=17.091209,-97.785026000000002" TargetMode="External"/><Relationship Id="rId818" Type="http://schemas.openxmlformats.org/officeDocument/2006/relationships/hyperlink" Target="https://maps.google.com/?q=15.696970670098574,-96.523540116007311" TargetMode="External"/><Relationship Id="rId1448" Type="http://schemas.openxmlformats.org/officeDocument/2006/relationships/hyperlink" Target="https://maps.google.com/?q=18.111112,-96.62336100" TargetMode="External"/><Relationship Id="rId7491" Type="http://schemas.openxmlformats.org/officeDocument/2006/relationships/hyperlink" Target="https://maps.google.com/?q=17.34167656,-97.371934640000006" TargetMode="External"/><Relationship Id="rId9940" Type="http://schemas.openxmlformats.org/officeDocument/2006/relationships/hyperlink" Target="https://maps.google.com/?q=16.707211,-96.707099999999997" TargetMode="External"/><Relationship Id="rId11870" Type="http://schemas.openxmlformats.org/officeDocument/2006/relationships/hyperlink" Target="https://maps.google.com/?q=18.177778,-96.881111" TargetMode="External"/><Relationship Id="rId12921" Type="http://schemas.openxmlformats.org/officeDocument/2006/relationships/hyperlink" Target="https://maps.google.com/?q=16.538364,-97.529981100000001" TargetMode="External"/><Relationship Id="rId6093" Type="http://schemas.openxmlformats.org/officeDocument/2006/relationships/hyperlink" Target="https://maps.google.com/?q=17.975515,-96.706823999999997" TargetMode="External"/><Relationship Id="rId7144" Type="http://schemas.openxmlformats.org/officeDocument/2006/relationships/hyperlink" Target="https://maps.google.com/?q=17.3636012992312,-97.667199923055605" TargetMode="External"/><Relationship Id="rId8542" Type="http://schemas.openxmlformats.org/officeDocument/2006/relationships/hyperlink" Target="https://maps.google.com/?q=16.9188914923137,-96.609140256448697" TargetMode="External"/><Relationship Id="rId10472" Type="http://schemas.openxmlformats.org/officeDocument/2006/relationships/hyperlink" Target="https://maps.google.com/?q=16.6662237318986,-97.255940050262495" TargetMode="External"/><Relationship Id="rId11523" Type="http://schemas.openxmlformats.org/officeDocument/2006/relationships/hyperlink" Target="https://maps.google.com/?q=16.6144531974656,-96.8481699197296" TargetMode="External"/><Relationship Id="rId10125" Type="http://schemas.openxmlformats.org/officeDocument/2006/relationships/hyperlink" Target="https://maps.google.com/?q=17.1212642688313,-97.5140529707827" TargetMode="External"/><Relationship Id="rId13695" Type="http://schemas.openxmlformats.org/officeDocument/2006/relationships/hyperlink" Target="https://maps.google.com/?q=16.666425,-96.30197" TargetMode="External"/><Relationship Id="rId3754" Type="http://schemas.openxmlformats.org/officeDocument/2006/relationships/hyperlink" Target="https://maps.google.com/?q=15.761864,-96.142312000000004" TargetMode="External"/><Relationship Id="rId4805" Type="http://schemas.openxmlformats.org/officeDocument/2006/relationships/hyperlink" Target="https://maps.google.com/?q=16.8991408797055,-96.500138518895497" TargetMode="External"/><Relationship Id="rId12297" Type="http://schemas.openxmlformats.org/officeDocument/2006/relationships/hyperlink" Target="https://maps.google.com/?q=16.4857706096541,-94.349622308845099" TargetMode="External"/><Relationship Id="rId13348" Type="http://schemas.openxmlformats.org/officeDocument/2006/relationships/hyperlink" Target="https://maps.google.com/?q=16.3169163322393,-96.672349673610697" TargetMode="External"/><Relationship Id="rId675" Type="http://schemas.openxmlformats.org/officeDocument/2006/relationships/hyperlink" Target="https://maps.google.com/?q=16.061629,-97.383989" TargetMode="External"/><Relationship Id="rId2356" Type="http://schemas.openxmlformats.org/officeDocument/2006/relationships/hyperlink" Target="https://maps.google.com/?q=17.062296,-97.694945000000004" TargetMode="External"/><Relationship Id="rId3407" Type="http://schemas.openxmlformats.org/officeDocument/2006/relationships/hyperlink" Target="https://maps.google.com/?q=18.0086312002504,-96.642962605796299" TargetMode="External"/><Relationship Id="rId6977" Type="http://schemas.openxmlformats.org/officeDocument/2006/relationships/hyperlink" Target="https://maps.google.com/?q=17.0919849,-97.495831699999997" TargetMode="External"/><Relationship Id="rId328" Type="http://schemas.openxmlformats.org/officeDocument/2006/relationships/hyperlink" Target="https://maps.google.com/?q=16.05464,-97.396859000000006" TargetMode="External"/><Relationship Id="rId2009" Type="http://schemas.openxmlformats.org/officeDocument/2006/relationships/hyperlink" Target="https://maps.google.com/?q=15.757732126429561,-96.139189908786435" TargetMode="External"/><Relationship Id="rId5579" Type="http://schemas.openxmlformats.org/officeDocument/2006/relationships/hyperlink" Target="https://maps.google.com/?q=17.4442729633165,-96.183525317791293" TargetMode="External"/><Relationship Id="rId9450" Type="http://schemas.openxmlformats.org/officeDocument/2006/relationships/hyperlink" Target="https://maps.google.com/?q=15.828699,-96.618988000000002" TargetMode="External"/><Relationship Id="rId8052" Type="http://schemas.openxmlformats.org/officeDocument/2006/relationships/hyperlink" Target="https://maps.google.com/?q=16.4964548979251,-97.373702414943097" TargetMode="External"/><Relationship Id="rId9103" Type="http://schemas.openxmlformats.org/officeDocument/2006/relationships/hyperlink" Target="https://maps.google.com/?q=16.229812546378064,-97.27398811726287" TargetMode="External"/><Relationship Id="rId11033" Type="http://schemas.openxmlformats.org/officeDocument/2006/relationships/hyperlink" Target="https://maps.google.com/?q=17.360958,-96.134856" TargetMode="External"/><Relationship Id="rId11380" Type="http://schemas.openxmlformats.org/officeDocument/2006/relationships/hyperlink" Target="https://maps.google.com/?q=16.3807069144286,-94.194780427087906" TargetMode="External"/><Relationship Id="rId12431" Type="http://schemas.openxmlformats.org/officeDocument/2006/relationships/hyperlink" Target="https://maps.google.com/?q=17.220416527658,-97.271133264518397" TargetMode="External"/><Relationship Id="rId4662" Type="http://schemas.openxmlformats.org/officeDocument/2006/relationships/hyperlink" Target="https://maps.google.com/?q=17.073133,-96.743409" TargetMode="External"/><Relationship Id="rId5713" Type="http://schemas.openxmlformats.org/officeDocument/2006/relationships/hyperlink" Target="https://maps.google.com/?q=17.43166004,-96.283228019999996" TargetMode="External"/><Relationship Id="rId185" Type="http://schemas.openxmlformats.org/officeDocument/2006/relationships/hyperlink" Target="https://maps.google.com/?q=17.094734,-97.497703000000001" TargetMode="External"/><Relationship Id="rId3264" Type="http://schemas.openxmlformats.org/officeDocument/2006/relationships/hyperlink" Target="https://maps.google.com/?q=17.0599325905606,-96.819707195106403" TargetMode="External"/><Relationship Id="rId4315" Type="http://schemas.openxmlformats.org/officeDocument/2006/relationships/hyperlink" Target="https://maps.google.com/?q=16.0279118088414,-96.640432112219401" TargetMode="External"/><Relationship Id="rId7885" Type="http://schemas.openxmlformats.org/officeDocument/2006/relationships/hyperlink" Target="https://maps.google.com/?q=16.3182489450973,-96.409233994109698" TargetMode="External"/><Relationship Id="rId8936" Type="http://schemas.openxmlformats.org/officeDocument/2006/relationships/hyperlink" Target="https://maps.google.com/?q=17.381148606,-96.163153307000002" TargetMode="External"/><Relationship Id="rId10866" Type="http://schemas.openxmlformats.org/officeDocument/2006/relationships/hyperlink" Target="https://maps.google.com/?q=16.3553597957277,-94.478843929476099" TargetMode="External"/><Relationship Id="rId6487" Type="http://schemas.openxmlformats.org/officeDocument/2006/relationships/hyperlink" Target="https://maps.google.com/?q=17.2007693143352,-97.594523030278495" TargetMode="External"/><Relationship Id="rId7538" Type="http://schemas.openxmlformats.org/officeDocument/2006/relationships/hyperlink" Target="https://maps.google.com/?q=17.976667648484,-96.706277183062397" TargetMode="External"/><Relationship Id="rId10519" Type="http://schemas.openxmlformats.org/officeDocument/2006/relationships/hyperlink" Target="https://maps.google.com/?q=17.8476853717349,-96.744294277394403" TargetMode="External"/><Relationship Id="rId11917" Type="http://schemas.openxmlformats.org/officeDocument/2006/relationships/hyperlink" Target="https://maps.google.com/?q=18.215229,-97.839619" TargetMode="External"/><Relationship Id="rId5089" Type="http://schemas.openxmlformats.org/officeDocument/2006/relationships/hyperlink" Target="https://maps.google.com/?q=17.253022,-96.155541999999997" TargetMode="External"/><Relationship Id="rId1699" Type="http://schemas.openxmlformats.org/officeDocument/2006/relationships/hyperlink" Target="https://maps.google.com/?q=18.0724620693999,-96.899162066792002" TargetMode="External"/><Relationship Id="rId2000" Type="http://schemas.openxmlformats.org/officeDocument/2006/relationships/hyperlink" Target="https://maps.google.com/?q=15.757638265286566,-96.140981697518981" TargetMode="External"/><Relationship Id="rId5570" Type="http://schemas.openxmlformats.org/officeDocument/2006/relationships/hyperlink" Target="https://maps.google.com/?q=17.6024936554569,-96.121124425760399" TargetMode="External"/><Relationship Id="rId4172" Type="http://schemas.openxmlformats.org/officeDocument/2006/relationships/hyperlink" Target="https://maps.google.com/?q=16.3195797439667,&#160;-97.7999518" TargetMode="External"/><Relationship Id="rId5223" Type="http://schemas.openxmlformats.org/officeDocument/2006/relationships/hyperlink" Target="https://maps.google.com/?q=17.2801091121423,-97.36664931" TargetMode="External"/><Relationship Id="rId6621" Type="http://schemas.openxmlformats.org/officeDocument/2006/relationships/hyperlink" Target="https://maps.google.com/?q=16.366108,-97.684288" TargetMode="External"/><Relationship Id="rId8793" Type="http://schemas.openxmlformats.org/officeDocument/2006/relationships/hyperlink" Target="https://maps.google.com/?q=17.213236,-96.249250000000004" TargetMode="External"/><Relationship Id="rId9844" Type="http://schemas.openxmlformats.org/officeDocument/2006/relationships/hyperlink" Target="https://maps.google.com/?q=16.6334411526071,-96.851693132209107" TargetMode="External"/><Relationship Id="rId11774" Type="http://schemas.openxmlformats.org/officeDocument/2006/relationships/hyperlink" Target="https://maps.google.com/?q=17.66662709201966,-97.47305292642403" TargetMode="External"/><Relationship Id="rId12825" Type="http://schemas.openxmlformats.org/officeDocument/2006/relationships/hyperlink" Target="https://maps.google.com/?q=17.857330025918,-97.432982364417995" TargetMode="External"/><Relationship Id="rId58" Type="http://schemas.openxmlformats.org/officeDocument/2006/relationships/hyperlink" Target="https://maps.google.com/?q=15.906573,-96.448515999999998" TargetMode="External"/><Relationship Id="rId1833" Type="http://schemas.openxmlformats.org/officeDocument/2006/relationships/hyperlink" Target="https://maps.google.com/?q=18.0363980849597,-96.896198550733601" TargetMode="External"/><Relationship Id="rId7048" Type="http://schemas.openxmlformats.org/officeDocument/2006/relationships/hyperlink" Target="https://maps.google.com/?q=16.146231598391562,-96.35117982001086" TargetMode="External"/><Relationship Id="rId7395" Type="http://schemas.openxmlformats.org/officeDocument/2006/relationships/hyperlink" Target="https://maps.google.com/?q=17.104846,-97.001283000000001" TargetMode="External"/><Relationship Id="rId8446" Type="http://schemas.openxmlformats.org/officeDocument/2006/relationships/hyperlink" Target="https://maps.google.com/?q=16.7733365707218,-96.662350752149607" TargetMode="External"/><Relationship Id="rId10376" Type="http://schemas.openxmlformats.org/officeDocument/2006/relationships/hyperlink" Target="https://maps.google.com/?q=17.4371128107579,-96.654385279555001" TargetMode="External"/><Relationship Id="rId11427" Type="http://schemas.openxmlformats.org/officeDocument/2006/relationships/hyperlink" Target="https://maps.google.com/?q=17.3866612643293,-98.186936426348097" TargetMode="External"/><Relationship Id="rId10029" Type="http://schemas.openxmlformats.org/officeDocument/2006/relationships/hyperlink" Target="https://maps.google.com/?q=17.0034540001876,-96.066904841104503" TargetMode="External"/><Relationship Id="rId13599" Type="http://schemas.openxmlformats.org/officeDocument/2006/relationships/hyperlink" Target="https://maps.google.com/?q=17.0715441205034,-96.71591227078505" TargetMode="External"/><Relationship Id="rId3658" Type="http://schemas.openxmlformats.org/officeDocument/2006/relationships/hyperlink" Target="https://maps.google.com/?q=15.780816343567707,-96.139276511408994" TargetMode="External"/><Relationship Id="rId4709" Type="http://schemas.openxmlformats.org/officeDocument/2006/relationships/hyperlink" Target="https://maps.google.com/?q=17.080124,-96.725837999999996" TargetMode="External"/><Relationship Id="rId579" Type="http://schemas.openxmlformats.org/officeDocument/2006/relationships/hyperlink" Target="https://maps.google.com/?q=16.054648,-97.397980000000004" TargetMode="External"/><Relationship Id="rId5080" Type="http://schemas.openxmlformats.org/officeDocument/2006/relationships/hyperlink" Target="https://maps.google.com/?q=17.25283,-96.155259999999998" TargetMode="External"/><Relationship Id="rId6131" Type="http://schemas.openxmlformats.org/officeDocument/2006/relationships/hyperlink" Target="https://maps.google.com/?q=16.95199156,-96.61712043" TargetMode="External"/><Relationship Id="rId10510" Type="http://schemas.openxmlformats.org/officeDocument/2006/relationships/hyperlink" Target="https://maps.google.com/?q=17.8464356563824,-96.745871598617995" TargetMode="External"/><Relationship Id="rId9354" Type="http://schemas.openxmlformats.org/officeDocument/2006/relationships/hyperlink" Target="https://maps.google.com/?q=16.8181304250992,-95.142996174915396" TargetMode="External"/><Relationship Id="rId12682" Type="http://schemas.openxmlformats.org/officeDocument/2006/relationships/hyperlink" Target="https://maps.google.com/?q=16.793588235373097,-96.68865183787184" TargetMode="External"/><Relationship Id="rId13733" Type="http://schemas.openxmlformats.org/officeDocument/2006/relationships/hyperlink" Target="https://maps.google.com/?q=17.228118,-96.220205" TargetMode="External"/><Relationship Id="rId1690" Type="http://schemas.openxmlformats.org/officeDocument/2006/relationships/hyperlink" Target="https://maps.google.com/?q=18.0714756589127,-96.898021547549504" TargetMode="External"/><Relationship Id="rId2741" Type="http://schemas.openxmlformats.org/officeDocument/2006/relationships/hyperlink" Target="https://maps.google.com/?q=17.990967,-96.488384999999994" TargetMode="External"/><Relationship Id="rId9007" Type="http://schemas.openxmlformats.org/officeDocument/2006/relationships/hyperlink" Target="https://maps.google.com/?q=17.382481285,-96.162888245000005" TargetMode="External"/><Relationship Id="rId11284" Type="http://schemas.openxmlformats.org/officeDocument/2006/relationships/hyperlink" Target="https://maps.google.com/?q=17.8667304363864,-96.308507625403706" TargetMode="External"/><Relationship Id="rId12335" Type="http://schemas.openxmlformats.org/officeDocument/2006/relationships/hyperlink" Target="https://maps.google.com/?q=16.37750001,-96.6765906" TargetMode="External"/><Relationship Id="rId713" Type="http://schemas.openxmlformats.org/officeDocument/2006/relationships/hyperlink" Target="https://maps.google.com/?q=16.062358,-97.383600000000001" TargetMode="External"/><Relationship Id="rId1343" Type="http://schemas.openxmlformats.org/officeDocument/2006/relationships/hyperlink" Target="https://maps.google.com/?q=17.0189468,-96.718225" TargetMode="External"/><Relationship Id="rId5964" Type="http://schemas.openxmlformats.org/officeDocument/2006/relationships/hyperlink" Target="https://maps.google.com/?q=18.154259852375166,-96.575006468526041" TargetMode="External"/><Relationship Id="rId4566" Type="http://schemas.openxmlformats.org/officeDocument/2006/relationships/hyperlink" Target="https://maps.google.com/?q=17.1862955184187,-97.3031784343586" TargetMode="External"/><Relationship Id="rId5617" Type="http://schemas.openxmlformats.org/officeDocument/2006/relationships/hyperlink" Target="https://maps.google.com/?q=17.5511182984687,-96.225673699405505" TargetMode="External"/><Relationship Id="rId3168" Type="http://schemas.openxmlformats.org/officeDocument/2006/relationships/hyperlink" Target="https://maps.google.com/?q=16.547551,-97.498168000000007" TargetMode="External"/><Relationship Id="rId4219" Type="http://schemas.openxmlformats.org/officeDocument/2006/relationships/hyperlink" Target="https://maps.google.com/?q=17.724615,-97.323898" TargetMode="External"/><Relationship Id="rId7789" Type="http://schemas.openxmlformats.org/officeDocument/2006/relationships/hyperlink" Target="https://maps.google.com/?q=17.8446461763352,-96.747315629744605" TargetMode="External"/><Relationship Id="rId10020" Type="http://schemas.openxmlformats.org/officeDocument/2006/relationships/hyperlink" Target="https://maps.google.com/?q=16.9957969285832,-96.073732603117904" TargetMode="External"/><Relationship Id="rId13590" Type="http://schemas.openxmlformats.org/officeDocument/2006/relationships/hyperlink" Target="https://maps.google.com/?q=17.335316,-98.012051" TargetMode="External"/><Relationship Id="rId12192" Type="http://schemas.openxmlformats.org/officeDocument/2006/relationships/hyperlink" Target="https://maps.google.com/?q=17.4173010284941,-95.951060395904193" TargetMode="External"/><Relationship Id="rId13243" Type="http://schemas.openxmlformats.org/officeDocument/2006/relationships/hyperlink" Target="https://maps.google.com/?q=17.1465747802332,-96.763558355522505" TargetMode="External"/><Relationship Id="rId570" Type="http://schemas.openxmlformats.org/officeDocument/2006/relationships/hyperlink" Target="https://maps.google.com/?q=16.052225,-97.402579000000003" TargetMode="External"/><Relationship Id="rId2251" Type="http://schemas.openxmlformats.org/officeDocument/2006/relationships/hyperlink" Target="https://maps.google.com/?q=17.504436,-96.549969000000004" TargetMode="External"/><Relationship Id="rId3302" Type="http://schemas.openxmlformats.org/officeDocument/2006/relationships/hyperlink" Target="https://maps.google.com/?q=17.0632707155879,-96.812841203338294" TargetMode="External"/><Relationship Id="rId4700" Type="http://schemas.openxmlformats.org/officeDocument/2006/relationships/hyperlink" Target="https://maps.google.com/?q=17.018052318891478,-96.718519935406704" TargetMode="External"/><Relationship Id="rId223" Type="http://schemas.openxmlformats.org/officeDocument/2006/relationships/hyperlink" Target="https://maps.google.com/?q=17.096245,-97.496556999999996" TargetMode="External"/><Relationship Id="rId6872" Type="http://schemas.openxmlformats.org/officeDocument/2006/relationships/hyperlink" Target="https://maps.google.com/?q=16.9701148290516,-97.082977610165301" TargetMode="External"/><Relationship Id="rId7923" Type="http://schemas.openxmlformats.org/officeDocument/2006/relationships/hyperlink" Target="https://maps.google.com/?q=16.3206889553482,-96.406458845403606" TargetMode="External"/><Relationship Id="rId10904" Type="http://schemas.openxmlformats.org/officeDocument/2006/relationships/hyperlink" Target="https://maps.google.com/?q=16.1884699983922,-95.186948650000005" TargetMode="External"/><Relationship Id="rId4076" Type="http://schemas.openxmlformats.org/officeDocument/2006/relationships/hyperlink" Target="https://maps.google.com/?q=17.085681,-96.731653" TargetMode="External"/><Relationship Id="rId5474" Type="http://schemas.openxmlformats.org/officeDocument/2006/relationships/hyperlink" Target="https://maps.google.com/?q=16.0151915033232,-97.438565547667295" TargetMode="External"/><Relationship Id="rId6525" Type="http://schemas.openxmlformats.org/officeDocument/2006/relationships/hyperlink" Target="https://maps.google.com/?q=17.2567090270295,-97.567823214210193" TargetMode="External"/><Relationship Id="rId5127" Type="http://schemas.openxmlformats.org/officeDocument/2006/relationships/hyperlink" Target="https://maps.google.com/?q=17.254047208362646,-96.15673626256562" TargetMode="External"/><Relationship Id="rId8697" Type="http://schemas.openxmlformats.org/officeDocument/2006/relationships/hyperlink" Target="https://maps.google.com/?q=16.1468669348274,-96.607048209821698" TargetMode="External"/><Relationship Id="rId9748" Type="http://schemas.openxmlformats.org/officeDocument/2006/relationships/hyperlink" Target="https://maps.google.com/?q=17.2757588769326,-96.798524011537495" TargetMode="External"/><Relationship Id="rId11678" Type="http://schemas.openxmlformats.org/officeDocument/2006/relationships/hyperlink" Target="https://maps.google.com/?q=17.17766586,-97.709663379999995" TargetMode="External"/><Relationship Id="rId12729" Type="http://schemas.openxmlformats.org/officeDocument/2006/relationships/hyperlink" Target="https://maps.google.com/?q=16.2868556420437,-96.504285152231304" TargetMode="External"/><Relationship Id="rId1737" Type="http://schemas.openxmlformats.org/officeDocument/2006/relationships/hyperlink" Target="https://maps.google.com/?q=18.0638366602198,-96.838840657770305" TargetMode="External"/><Relationship Id="rId7299" Type="http://schemas.openxmlformats.org/officeDocument/2006/relationships/hyperlink" Target="https://maps.google.com/?q=17.6075478524345,-96.141251550926199" TargetMode="External"/><Relationship Id="rId14151" Type="http://schemas.openxmlformats.org/officeDocument/2006/relationships/hyperlink" Target="https://maps.google.com/?q=17.678889,-98.022139" TargetMode="External"/><Relationship Id="rId4210" Type="http://schemas.openxmlformats.org/officeDocument/2006/relationships/hyperlink" Target="https://maps.google.com/?q=17.026216,-97.928115000000005" TargetMode="External"/><Relationship Id="rId7780" Type="http://schemas.openxmlformats.org/officeDocument/2006/relationships/hyperlink" Target="https://maps.google.com/?q=16.183233,-96.385960999999995" TargetMode="External"/><Relationship Id="rId6382" Type="http://schemas.openxmlformats.org/officeDocument/2006/relationships/hyperlink" Target="https://maps.google.com/?q=16.579652,-96.875478" TargetMode="External"/><Relationship Id="rId7433" Type="http://schemas.openxmlformats.org/officeDocument/2006/relationships/hyperlink" Target="https://maps.google.com/?q=17.2114254350761,-97.583363300183706" TargetMode="External"/><Relationship Id="rId8831" Type="http://schemas.openxmlformats.org/officeDocument/2006/relationships/hyperlink" Target="https://maps.google.com/?q=17.216438,-96.249267000000003" TargetMode="External"/><Relationship Id="rId10761" Type="http://schemas.openxmlformats.org/officeDocument/2006/relationships/hyperlink" Target="https://maps.google.com/?q=17.455982,-97.225240999999997" TargetMode="External"/><Relationship Id="rId11812" Type="http://schemas.openxmlformats.org/officeDocument/2006/relationships/hyperlink" Target="https://maps.google.com/?q=16.323637744665337,-96.67142901586915" TargetMode="External"/><Relationship Id="rId6035" Type="http://schemas.openxmlformats.org/officeDocument/2006/relationships/hyperlink" Target="https://maps.google.com/?q=18.156467679784857,-96.572800281232958" TargetMode="External"/><Relationship Id="rId10414" Type="http://schemas.openxmlformats.org/officeDocument/2006/relationships/hyperlink" Target="https://maps.google.com/?q=17.043215,-96.781576999999999" TargetMode="External"/><Relationship Id="rId13984" Type="http://schemas.openxmlformats.org/officeDocument/2006/relationships/hyperlink" Target="https://maps.google.com/?q=17.999162242416094,-96.7563128511145" TargetMode="External"/><Relationship Id="rId2992" Type="http://schemas.openxmlformats.org/officeDocument/2006/relationships/hyperlink" Target="https://maps.google.com/?q=17.952197,-96.738427999999999" TargetMode="External"/><Relationship Id="rId9258" Type="http://schemas.openxmlformats.org/officeDocument/2006/relationships/hyperlink" Target="https://maps.google.com/?q=17.3776166900561,-96.300146097553196" TargetMode="External"/><Relationship Id="rId12586" Type="http://schemas.openxmlformats.org/officeDocument/2006/relationships/hyperlink" Target="https://maps.google.com/?q=16.51900898295,-96.981695061341" TargetMode="External"/><Relationship Id="rId13637" Type="http://schemas.openxmlformats.org/officeDocument/2006/relationships/hyperlink" Target="https://maps.google.com/?q=16.666425,-96.30197" TargetMode="External"/><Relationship Id="rId964" Type="http://schemas.openxmlformats.org/officeDocument/2006/relationships/hyperlink" Target="https://maps.google.com/?q=15.688031868714297,-96.512798022595263" TargetMode="External"/><Relationship Id="rId1594" Type="http://schemas.openxmlformats.org/officeDocument/2006/relationships/hyperlink" Target="https://maps.google.com/?q=17.670614,-96.123407" TargetMode="External"/><Relationship Id="rId2645" Type="http://schemas.openxmlformats.org/officeDocument/2006/relationships/hyperlink" Target="https://maps.google.com/?q=18.087861,-96.161721" TargetMode="External"/><Relationship Id="rId11188" Type="http://schemas.openxmlformats.org/officeDocument/2006/relationships/hyperlink" Target="https://maps.google.com/?q=16.84529,-96.012039000000001" TargetMode="External"/><Relationship Id="rId12239" Type="http://schemas.openxmlformats.org/officeDocument/2006/relationships/hyperlink" Target="https://maps.google.com/?q=16.419736,-97.221810759999997" TargetMode="External"/><Relationship Id="rId617" Type="http://schemas.openxmlformats.org/officeDocument/2006/relationships/hyperlink" Target="https://maps.google.com/?q=16.05464,-97.396859000000006" TargetMode="External"/><Relationship Id="rId1247" Type="http://schemas.openxmlformats.org/officeDocument/2006/relationships/hyperlink" Target="https://maps.google.com/?q=17.0561157,-96.745782180000006" TargetMode="External"/><Relationship Id="rId5868" Type="http://schemas.openxmlformats.org/officeDocument/2006/relationships/hyperlink" Target="https://maps.google.com/?q=17.5028516604828,-96.548200844249493" TargetMode="External"/><Relationship Id="rId6919" Type="http://schemas.openxmlformats.org/officeDocument/2006/relationships/hyperlink" Target="https://maps.google.com/?q=16.308118,-95.261900199999999" TargetMode="External"/><Relationship Id="rId7290" Type="http://schemas.openxmlformats.org/officeDocument/2006/relationships/hyperlink" Target="https://maps.google.com/?q=16.3058378744625,-97.910001714957403" TargetMode="External"/><Relationship Id="rId8341" Type="http://schemas.openxmlformats.org/officeDocument/2006/relationships/hyperlink" Target="https://maps.google.com/?q=16.8429926654933,-97.197285603491807" TargetMode="External"/><Relationship Id="rId10271" Type="http://schemas.openxmlformats.org/officeDocument/2006/relationships/hyperlink" Target="https://maps.google.com/?q=16.245142,-95.147433000000007" TargetMode="External"/><Relationship Id="rId11322" Type="http://schemas.openxmlformats.org/officeDocument/2006/relationships/hyperlink" Target="https://maps.google.com/?q=16.998267,-96.761544999999998" TargetMode="External"/><Relationship Id="rId12720" Type="http://schemas.openxmlformats.org/officeDocument/2006/relationships/hyperlink" Target="https://maps.google.com/?q=16.2860028665777,-96.504546944774702" TargetMode="External"/><Relationship Id="rId4951" Type="http://schemas.openxmlformats.org/officeDocument/2006/relationships/hyperlink" Target="https://maps.google.com/?q=15.9344677718683,-96.418985711725497" TargetMode="External"/><Relationship Id="rId12096" Type="http://schemas.openxmlformats.org/officeDocument/2006/relationships/hyperlink" Target="https://maps.google.com/?q=16.24711517,-95.326596589999994" TargetMode="External"/><Relationship Id="rId13494" Type="http://schemas.openxmlformats.org/officeDocument/2006/relationships/hyperlink" Target="https://maps.google.com/?q=17.6906811878598,-97.036920835273705" TargetMode="External"/><Relationship Id="rId474" Type="http://schemas.openxmlformats.org/officeDocument/2006/relationships/hyperlink" Target="https://maps.google.com/?q=16.053678,-97.409670000000006" TargetMode="External"/><Relationship Id="rId2155" Type="http://schemas.openxmlformats.org/officeDocument/2006/relationships/hyperlink" Target="https://maps.google.com/?q=15.757528882396326,-96.146410613626955" TargetMode="External"/><Relationship Id="rId3553" Type="http://schemas.openxmlformats.org/officeDocument/2006/relationships/hyperlink" Target="https://maps.google.com/?q=15.760192343398451,-96.149115092811627" TargetMode="External"/><Relationship Id="rId4604" Type="http://schemas.openxmlformats.org/officeDocument/2006/relationships/hyperlink" Target="https://maps.google.com/?q=16.557747,-96.823244000000003" TargetMode="External"/><Relationship Id="rId13147" Type="http://schemas.openxmlformats.org/officeDocument/2006/relationships/hyperlink" Target="https://maps.google.com/?q=0,-97.011358659472506" TargetMode="External"/><Relationship Id="rId127" Type="http://schemas.openxmlformats.org/officeDocument/2006/relationships/hyperlink" Target="https://maps.google.com/?q=17.094127,-97.495258000000007" TargetMode="External"/><Relationship Id="rId3206" Type="http://schemas.openxmlformats.org/officeDocument/2006/relationships/hyperlink" Target="https://maps.google.com/?q=17.230507,-96.206284" TargetMode="External"/><Relationship Id="rId6776" Type="http://schemas.openxmlformats.org/officeDocument/2006/relationships/hyperlink" Target="https://maps.google.com/?q=16.6323726791329,-97.038567008368503" TargetMode="External"/><Relationship Id="rId7827" Type="http://schemas.openxmlformats.org/officeDocument/2006/relationships/hyperlink" Target="https://maps.google.com/?q=17.011957,&#160;-96.890992" TargetMode="External"/><Relationship Id="rId10808" Type="http://schemas.openxmlformats.org/officeDocument/2006/relationships/hyperlink" Target="https://maps.google.com/?q=16.3905574638997,-94.459003728835995" TargetMode="External"/><Relationship Id="rId5378" Type="http://schemas.openxmlformats.org/officeDocument/2006/relationships/hyperlink" Target="https://maps.google.com/?q=15.9748885619917,-97.240979710311905" TargetMode="External"/><Relationship Id="rId6429" Type="http://schemas.openxmlformats.org/officeDocument/2006/relationships/hyperlink" Target="https://maps.google.com/?q=17.34334451,-97.556035510000001" TargetMode="External"/><Relationship Id="rId9999" Type="http://schemas.openxmlformats.org/officeDocument/2006/relationships/hyperlink" Target="https://maps.google.com/?q=17.1207516026358,-97.513351569702806" TargetMode="External"/><Relationship Id="rId12230" Type="http://schemas.openxmlformats.org/officeDocument/2006/relationships/hyperlink" Target="https://maps.google.com/?q=16.416679,-97.226439400000004" TargetMode="External"/><Relationship Id="rId1988" Type="http://schemas.openxmlformats.org/officeDocument/2006/relationships/hyperlink" Target="https://maps.google.com/?q=15.775697,-96.142128" TargetMode="External"/><Relationship Id="rId4461" Type="http://schemas.openxmlformats.org/officeDocument/2006/relationships/hyperlink" Target="https://maps.google.com/?q=17.6153360250251,-98.014280081597306" TargetMode="External"/><Relationship Id="rId5512" Type="http://schemas.openxmlformats.org/officeDocument/2006/relationships/hyperlink" Target="https://maps.google.com/?q=0,&#160;-97.37592435581972" TargetMode="External"/><Relationship Id="rId6910" Type="http://schemas.openxmlformats.org/officeDocument/2006/relationships/hyperlink" Target="https://maps.google.com/?q=17.1653453486843,-94.787746804893501" TargetMode="External"/><Relationship Id="rId14055" Type="http://schemas.openxmlformats.org/officeDocument/2006/relationships/hyperlink" Target="https://maps.google.com/?q=17.06341130694024,-96.82001874060494" TargetMode="External"/><Relationship Id="rId3063" Type="http://schemas.openxmlformats.org/officeDocument/2006/relationships/hyperlink" Target="https://maps.google.com/?q=16.9637803852327,-96.9402576766864" TargetMode="External"/><Relationship Id="rId4114" Type="http://schemas.openxmlformats.org/officeDocument/2006/relationships/hyperlink" Target="https://maps.google.com/?q=17.0585929,-96.743078990000001" TargetMode="External"/><Relationship Id="rId6286" Type="http://schemas.openxmlformats.org/officeDocument/2006/relationships/hyperlink" Target="https://maps.google.com/?q=18.0544438037724,-96.3930588134902" TargetMode="External"/><Relationship Id="rId7337" Type="http://schemas.openxmlformats.org/officeDocument/2006/relationships/hyperlink" Target="https://maps.google.com/?q=16.5855379700431,-97.650366890930997" TargetMode="External"/><Relationship Id="rId7684" Type="http://schemas.openxmlformats.org/officeDocument/2006/relationships/hyperlink" Target="https://maps.google.com/?q=17.2033681604923,-97.519986128896093" TargetMode="External"/><Relationship Id="rId8735" Type="http://schemas.openxmlformats.org/officeDocument/2006/relationships/hyperlink" Target="https://maps.google.com/?q=17.2695163903865,-97.725619616016502" TargetMode="External"/><Relationship Id="rId10665" Type="http://schemas.openxmlformats.org/officeDocument/2006/relationships/hyperlink" Target="https://maps.google.com/?q=16.1226211320902,-95.419912535056696" TargetMode="External"/><Relationship Id="rId11716" Type="http://schemas.openxmlformats.org/officeDocument/2006/relationships/hyperlink" Target="https://maps.google.com/?q=17.18355389,-97.709959260000005" TargetMode="External"/><Relationship Id="rId10318" Type="http://schemas.openxmlformats.org/officeDocument/2006/relationships/hyperlink" Target="https://maps.google.com/?q=16.227555,-97.267841000000004" TargetMode="External"/><Relationship Id="rId13888" Type="http://schemas.openxmlformats.org/officeDocument/2006/relationships/hyperlink" Target="https://maps.google.com/?q=16.2772122856962,-96.582009005032603" TargetMode="External"/><Relationship Id="rId2896" Type="http://schemas.openxmlformats.org/officeDocument/2006/relationships/hyperlink" Target="https://maps.google.com/?q=17.535517,-95.946977000000004" TargetMode="External"/><Relationship Id="rId3947" Type="http://schemas.openxmlformats.org/officeDocument/2006/relationships/hyperlink" Target="https://maps.google.com/?q=17.061036,-96.755902000000006" TargetMode="External"/><Relationship Id="rId868" Type="http://schemas.openxmlformats.org/officeDocument/2006/relationships/hyperlink" Target="https://maps.google.com/?q=17.097353,-97.496498000000003" TargetMode="External"/><Relationship Id="rId1498" Type="http://schemas.openxmlformats.org/officeDocument/2006/relationships/hyperlink" Target="https://maps.google.com/?q=17.059207,-96.749972" TargetMode="External"/><Relationship Id="rId2549" Type="http://schemas.openxmlformats.org/officeDocument/2006/relationships/hyperlink" Target="https://maps.google.com/?q=17.757389,-96.199584999999999" TargetMode="External"/><Relationship Id="rId6420" Type="http://schemas.openxmlformats.org/officeDocument/2006/relationships/hyperlink" Target="https://maps.google.com/?q=17.2491934864921,-97.584500727637007" TargetMode="External"/><Relationship Id="rId9990" Type="http://schemas.openxmlformats.org/officeDocument/2006/relationships/hyperlink" Target="https://maps.google.com/?q=16.029505503017,-95.423259066305405" TargetMode="External"/><Relationship Id="rId5022" Type="http://schemas.openxmlformats.org/officeDocument/2006/relationships/hyperlink" Target="https://maps.google.com/?q=17.250631,-96.151877999999996" TargetMode="External"/><Relationship Id="rId8592" Type="http://schemas.openxmlformats.org/officeDocument/2006/relationships/hyperlink" Target="https://maps.google.com/?q=17.8817545611571,-96.726644506709604" TargetMode="External"/><Relationship Id="rId9643" Type="http://schemas.openxmlformats.org/officeDocument/2006/relationships/hyperlink" Target="https://maps.google.com/?q=16.4746892760796,-96.682760413254698" TargetMode="External"/><Relationship Id="rId12971" Type="http://schemas.openxmlformats.org/officeDocument/2006/relationships/hyperlink" Target="https://maps.google.com/?q=16.5095774,-97.459359800000001" TargetMode="External"/><Relationship Id="rId7194" Type="http://schemas.openxmlformats.org/officeDocument/2006/relationships/hyperlink" Target="https://maps.google.com/?q=16.1730381068047,-97.965010863615305" TargetMode="External"/><Relationship Id="rId8245" Type="http://schemas.openxmlformats.org/officeDocument/2006/relationships/hyperlink" Target="https://maps.google.com/?q=16.425671,-97.641976999999997" TargetMode="External"/><Relationship Id="rId10175" Type="http://schemas.openxmlformats.org/officeDocument/2006/relationships/hyperlink" Target="https://maps.google.com/?q=17.2714949034836,-97.7204814914802" TargetMode="External"/><Relationship Id="rId11573" Type="http://schemas.openxmlformats.org/officeDocument/2006/relationships/hyperlink" Target="https://maps.google.com/?q=16.8488965463576,-96.746813172090199" TargetMode="External"/><Relationship Id="rId12624" Type="http://schemas.openxmlformats.org/officeDocument/2006/relationships/hyperlink" Target="https://maps.google.com/?q=17.113332,-96.841838999999993" TargetMode="External"/><Relationship Id="rId1632" Type="http://schemas.openxmlformats.org/officeDocument/2006/relationships/hyperlink" Target="https://maps.google.com/?q=16.8905827664681,-96.934924123665297" TargetMode="External"/><Relationship Id="rId11226" Type="http://schemas.openxmlformats.org/officeDocument/2006/relationships/hyperlink" Target="https://maps.google.com/?q=17.511273,-97.636584" TargetMode="External"/><Relationship Id="rId4855" Type="http://schemas.openxmlformats.org/officeDocument/2006/relationships/hyperlink" Target="https://maps.google.com/?q=16.7881187817524,-96.387643036484207" TargetMode="External"/><Relationship Id="rId5906" Type="http://schemas.openxmlformats.org/officeDocument/2006/relationships/hyperlink" Target="https://maps.google.com/?q=18.145892060319103,-96.565136619364367" TargetMode="External"/><Relationship Id="rId13398" Type="http://schemas.openxmlformats.org/officeDocument/2006/relationships/hyperlink" Target="https://maps.google.com/?q=16.326853262105,-96.674475101852295" TargetMode="External"/><Relationship Id="rId3457" Type="http://schemas.openxmlformats.org/officeDocument/2006/relationships/hyperlink" Target="https://maps.google.com/?q=16.569787021621,-96.987855419643395" TargetMode="External"/><Relationship Id="rId4508" Type="http://schemas.openxmlformats.org/officeDocument/2006/relationships/hyperlink" Target="https://maps.google.com/?q=17.1793098624031,-97.305639883432406" TargetMode="External"/><Relationship Id="rId378" Type="http://schemas.openxmlformats.org/officeDocument/2006/relationships/hyperlink" Target="https://maps.google.com/?q=16.051959,-97.414291000000006" TargetMode="External"/><Relationship Id="rId2059" Type="http://schemas.openxmlformats.org/officeDocument/2006/relationships/hyperlink" Target="https://maps.google.com/?q=15.768890945555327,-96.235317400357431" TargetMode="External"/><Relationship Id="rId12481" Type="http://schemas.openxmlformats.org/officeDocument/2006/relationships/hyperlink" Target="https://maps.google.com/?q=17.2221253868215,-97.272051485624104" TargetMode="External"/><Relationship Id="rId13532" Type="http://schemas.openxmlformats.org/officeDocument/2006/relationships/hyperlink" Target="https://maps.google.com/?q=17.434166606452653,-96.65714460730553" TargetMode="External"/><Relationship Id="rId2540" Type="http://schemas.openxmlformats.org/officeDocument/2006/relationships/hyperlink" Target="https://maps.google.com/?q=17.9432264519075,-97.967155402446593" TargetMode="External"/><Relationship Id="rId9153" Type="http://schemas.openxmlformats.org/officeDocument/2006/relationships/hyperlink" Target="https://maps.google.com/?q=17.0000586156351,-96.968428305582407" TargetMode="External"/><Relationship Id="rId11083" Type="http://schemas.openxmlformats.org/officeDocument/2006/relationships/hyperlink" Target="https://maps.google.com/?q=17.2907375102855,-97.382224026014399" TargetMode="External"/><Relationship Id="rId12134" Type="http://schemas.openxmlformats.org/officeDocument/2006/relationships/hyperlink" Target="https://maps.google.com/?q=16.2850355267369,-97.671216459744997" TargetMode="External"/><Relationship Id="rId512" Type="http://schemas.openxmlformats.org/officeDocument/2006/relationships/hyperlink" Target="https://maps.google.com/?q=16.053909,-97.405452999999994" TargetMode="External"/><Relationship Id="rId1142" Type="http://schemas.openxmlformats.org/officeDocument/2006/relationships/hyperlink" Target="https://maps.google.com/?q=17.205676969580644,-96.80985845317181" TargetMode="External"/><Relationship Id="rId4365" Type="http://schemas.openxmlformats.org/officeDocument/2006/relationships/hyperlink" Target="https://maps.google.com/?q=15.96144659,-96.640439409999999" TargetMode="External"/><Relationship Id="rId5763" Type="http://schemas.openxmlformats.org/officeDocument/2006/relationships/hyperlink" Target="https://maps.google.com/?q=16.996126,-97.232266999999993" TargetMode="External"/><Relationship Id="rId6814" Type="http://schemas.openxmlformats.org/officeDocument/2006/relationships/hyperlink" Target="https://maps.google.com/?q=15.9916110586557,-97.189079969286794" TargetMode="External"/><Relationship Id="rId4018" Type="http://schemas.openxmlformats.org/officeDocument/2006/relationships/hyperlink" Target="https://maps.google.com/?q=17.018946802456792,-96.718225001774229" TargetMode="External"/><Relationship Id="rId5416" Type="http://schemas.openxmlformats.org/officeDocument/2006/relationships/hyperlink" Target="https://maps.google.com/?q=16.0998191128403,-97.701049678573497" TargetMode="External"/><Relationship Id="rId8986" Type="http://schemas.openxmlformats.org/officeDocument/2006/relationships/hyperlink" Target="https://maps.google.com/?q=17.38191861,-96.160150836" TargetMode="External"/><Relationship Id="rId11967" Type="http://schemas.openxmlformats.org/officeDocument/2006/relationships/hyperlink" Target="https://maps.google.com/?q=16.7993767187647,-96.713866046627004" TargetMode="External"/><Relationship Id="rId7588" Type="http://schemas.openxmlformats.org/officeDocument/2006/relationships/hyperlink" Target="https://maps.google.com/?q=17.0940450293644,-95.855377805913804" TargetMode="External"/><Relationship Id="rId8639" Type="http://schemas.openxmlformats.org/officeDocument/2006/relationships/hyperlink" Target="https://maps.google.com/?q=16.2737229967466,-94.531454558895504" TargetMode="External"/><Relationship Id="rId10569" Type="http://schemas.openxmlformats.org/officeDocument/2006/relationships/hyperlink" Target="https://maps.google.com/?q=17.1423659271201,-97.782545232357194" TargetMode="External"/><Relationship Id="rId13042" Type="http://schemas.openxmlformats.org/officeDocument/2006/relationships/hyperlink" Target="https://maps.google.com/?q=16.56198167,-97.538845899999998" TargetMode="External"/><Relationship Id="rId2050" Type="http://schemas.openxmlformats.org/officeDocument/2006/relationships/hyperlink" Target="https://maps.google.com/?q=15.761848732100853,-96.143888260368087" TargetMode="External"/><Relationship Id="rId3101" Type="http://schemas.openxmlformats.org/officeDocument/2006/relationships/hyperlink" Target="https://maps.google.com/?q=17.30596156,-97.488585810000004" TargetMode="External"/><Relationship Id="rId6671" Type="http://schemas.openxmlformats.org/officeDocument/2006/relationships/hyperlink" Target="https://maps.google.com/?q=16.939393,-97.010821000000007" TargetMode="External"/><Relationship Id="rId7722" Type="http://schemas.openxmlformats.org/officeDocument/2006/relationships/hyperlink" Target="https://maps.google.com/?q=16.6298686508532,-96.797802135483906" TargetMode="External"/><Relationship Id="rId5273" Type="http://schemas.openxmlformats.org/officeDocument/2006/relationships/hyperlink" Target="https://maps.google.com/?q=15.7264061316108,-96.382784797036393" TargetMode="External"/><Relationship Id="rId6324" Type="http://schemas.openxmlformats.org/officeDocument/2006/relationships/hyperlink" Target="https://maps.google.com/?q=18.059213,-96.401189000000002" TargetMode="External"/><Relationship Id="rId10703" Type="http://schemas.openxmlformats.org/officeDocument/2006/relationships/hyperlink" Target="https://maps.google.com/?q=16.519807,-96.983885000000001" TargetMode="External"/><Relationship Id="rId8496" Type="http://schemas.openxmlformats.org/officeDocument/2006/relationships/hyperlink" Target="https://maps.google.com/?q=17.1581600526941,-97.528808027791001" TargetMode="External"/><Relationship Id="rId9547" Type="http://schemas.openxmlformats.org/officeDocument/2006/relationships/hyperlink" Target="https://maps.google.com/?q=17.274295,-96.803436" TargetMode="External"/><Relationship Id="rId9894" Type="http://schemas.openxmlformats.org/officeDocument/2006/relationships/hyperlink" Target="https://maps.google.com/?q=16.6390904730161,-96.850824880000104" TargetMode="External"/><Relationship Id="rId12875" Type="http://schemas.openxmlformats.org/officeDocument/2006/relationships/hyperlink" Target="https://maps.google.com/?q=17.52164934,-97.68296067" TargetMode="External"/><Relationship Id="rId13926" Type="http://schemas.openxmlformats.org/officeDocument/2006/relationships/hyperlink" Target="https://maps.google.com/?q=16.81270511716631,-96.47983964273536" TargetMode="External"/><Relationship Id="rId1883" Type="http://schemas.openxmlformats.org/officeDocument/2006/relationships/hyperlink" Target="https://maps.google.com/?q=15.775830070390418,-96.137126843612066" TargetMode="External"/><Relationship Id="rId2934" Type="http://schemas.openxmlformats.org/officeDocument/2006/relationships/hyperlink" Target="https://maps.google.com/?q=17.07895742,-96.665329130000003" TargetMode="External"/><Relationship Id="rId7098" Type="http://schemas.openxmlformats.org/officeDocument/2006/relationships/hyperlink" Target="https://maps.google.com/?q=16.348361,-98.071370999999999" TargetMode="External"/><Relationship Id="rId8149" Type="http://schemas.openxmlformats.org/officeDocument/2006/relationships/hyperlink" Target="https://maps.google.com/?q=17.3564660326266,-96.302215991104504" TargetMode="External"/><Relationship Id="rId11477" Type="http://schemas.openxmlformats.org/officeDocument/2006/relationships/hyperlink" Target="https://maps.google.com/?q=16.3013607402047,-96.636941373128295" TargetMode="External"/><Relationship Id="rId12528" Type="http://schemas.openxmlformats.org/officeDocument/2006/relationships/hyperlink" Target="https://maps.google.com/?q=17.2267025260509,-97.273220422915799" TargetMode="External"/><Relationship Id="rId906" Type="http://schemas.openxmlformats.org/officeDocument/2006/relationships/hyperlink" Target="https://maps.google.com/?q=16.88408,-97.676919999999996" TargetMode="External"/><Relationship Id="rId1536" Type="http://schemas.openxmlformats.org/officeDocument/2006/relationships/hyperlink" Target="https://maps.google.com/?q=17.06218,-96.753029999999995" TargetMode="External"/><Relationship Id="rId10079" Type="http://schemas.openxmlformats.org/officeDocument/2006/relationships/hyperlink" Target="https://maps.google.com/?q=16.9929141849582,-96.103519553675795" TargetMode="External"/><Relationship Id="rId4759" Type="http://schemas.openxmlformats.org/officeDocument/2006/relationships/hyperlink" Target="https://maps.google.com/?q=17.9558135882571,-96.653643788573604" TargetMode="External"/><Relationship Id="rId8630" Type="http://schemas.openxmlformats.org/officeDocument/2006/relationships/hyperlink" Target="https://maps.google.com/?q=17.8996340861482,-96.714463363788994" TargetMode="External"/><Relationship Id="rId10560" Type="http://schemas.openxmlformats.org/officeDocument/2006/relationships/hyperlink" Target="https://maps.google.com/?q=17.0949217136968,-97.782588692313695" TargetMode="External"/><Relationship Id="rId11611" Type="http://schemas.openxmlformats.org/officeDocument/2006/relationships/hyperlink" Target="https://maps.google.com/?q=16.8368072128302,-96.727573682208899" TargetMode="External"/><Relationship Id="rId6181" Type="http://schemas.openxmlformats.org/officeDocument/2006/relationships/hyperlink" Target="https://maps.google.com/?q=16.951325374858357,-96.54906974718807" TargetMode="External"/><Relationship Id="rId7232" Type="http://schemas.openxmlformats.org/officeDocument/2006/relationships/hyperlink" Target="https://maps.google.com/?q=16.0948646726814,-97.923096883447499" TargetMode="External"/><Relationship Id="rId10213" Type="http://schemas.openxmlformats.org/officeDocument/2006/relationships/hyperlink" Target="https://maps.google.com/?q=17.1924579516,-97.329707193299996" TargetMode="External"/><Relationship Id="rId2791" Type="http://schemas.openxmlformats.org/officeDocument/2006/relationships/hyperlink" Target="https://maps.google.com/?q=16.9947193296381,-97.701812306134201" TargetMode="External"/><Relationship Id="rId12385" Type="http://schemas.openxmlformats.org/officeDocument/2006/relationships/hyperlink" Target="https://maps.google.com/?q=16.5532329706529,-96.819522553549305" TargetMode="External"/><Relationship Id="rId13783" Type="http://schemas.openxmlformats.org/officeDocument/2006/relationships/hyperlink" Target="https://maps.google.com/?q=17.128878,-97.748255999999998" TargetMode="External"/><Relationship Id="rId763" Type="http://schemas.openxmlformats.org/officeDocument/2006/relationships/hyperlink" Target="https://maps.google.com/?q=15.68525983727088,-96.511336434899334" TargetMode="External"/><Relationship Id="rId1393" Type="http://schemas.openxmlformats.org/officeDocument/2006/relationships/hyperlink" Target="https://maps.google.com/?q=18.13222,-97.070751000000001" TargetMode="External"/><Relationship Id="rId2444" Type="http://schemas.openxmlformats.org/officeDocument/2006/relationships/hyperlink" Target="https://maps.google.com/?q=17.05139467,-96.624379349999998" TargetMode="External"/><Relationship Id="rId3842" Type="http://schemas.openxmlformats.org/officeDocument/2006/relationships/hyperlink" Target="https://maps.google.com/?q=17.1135159042627,-95.941444324443296" TargetMode="External"/><Relationship Id="rId9057" Type="http://schemas.openxmlformats.org/officeDocument/2006/relationships/hyperlink" Target="https://maps.google.com/?q=16.055462,-95.487959000000004" TargetMode="External"/><Relationship Id="rId12038" Type="http://schemas.openxmlformats.org/officeDocument/2006/relationships/hyperlink" Target="https://maps.google.com/?q=16.8064399364082,-96.721907565641501" TargetMode="External"/><Relationship Id="rId13436" Type="http://schemas.openxmlformats.org/officeDocument/2006/relationships/hyperlink" Target="https://maps.google.com/?q=17.6834533341354,-97.038066224536905" TargetMode="External"/><Relationship Id="rId416" Type="http://schemas.openxmlformats.org/officeDocument/2006/relationships/hyperlink" Target="https://maps.google.com/?q=16.052967,-97.411302000000006" TargetMode="External"/><Relationship Id="rId1046" Type="http://schemas.openxmlformats.org/officeDocument/2006/relationships/hyperlink" Target="https://maps.google.com/?q=15.706721663535014,-96.524052410103295" TargetMode="External"/><Relationship Id="rId5667" Type="http://schemas.openxmlformats.org/officeDocument/2006/relationships/hyperlink" Target="https://maps.google.com/?q=16.438058,-97.856934999999993" TargetMode="External"/><Relationship Id="rId6718" Type="http://schemas.openxmlformats.org/officeDocument/2006/relationships/hyperlink" Target="https://maps.google.com/?q=17.0322100273875,-96.984367639997998" TargetMode="External"/><Relationship Id="rId4269" Type="http://schemas.openxmlformats.org/officeDocument/2006/relationships/hyperlink" Target="https://maps.google.com/?q=16.0166269715501,-96.647862932208994" TargetMode="External"/><Relationship Id="rId8140" Type="http://schemas.openxmlformats.org/officeDocument/2006/relationships/hyperlink" Target="https://maps.google.com/?q=17.3559425017833,-96.302492249014406" TargetMode="External"/><Relationship Id="rId10070" Type="http://schemas.openxmlformats.org/officeDocument/2006/relationships/hyperlink" Target="https://maps.google.com/?q=16.9892247694048,-96.108979144614395" TargetMode="External"/><Relationship Id="rId11121" Type="http://schemas.openxmlformats.org/officeDocument/2006/relationships/hyperlink" Target="https://maps.google.com/?q=16.833732,-96.006490999999997" TargetMode="External"/><Relationship Id="rId4750" Type="http://schemas.openxmlformats.org/officeDocument/2006/relationships/hyperlink" Target="https://maps.google.com/?q=17.9535440504292,-96.657905051590703" TargetMode="External"/><Relationship Id="rId5801" Type="http://schemas.openxmlformats.org/officeDocument/2006/relationships/hyperlink" Target="https://maps.google.com/?q=17.3088353204847,-97.489120533729604" TargetMode="External"/><Relationship Id="rId13293" Type="http://schemas.openxmlformats.org/officeDocument/2006/relationships/hyperlink" Target="https://maps.google.com/?q=16.1310135893089,-96.328756460000506" TargetMode="External"/><Relationship Id="rId3352" Type="http://schemas.openxmlformats.org/officeDocument/2006/relationships/hyperlink" Target="https://maps.google.com/?q=17.1524078272226,-97.850936953372994" TargetMode="External"/><Relationship Id="rId4403" Type="http://schemas.openxmlformats.org/officeDocument/2006/relationships/hyperlink" Target="https://maps.google.com/?q=16.00218089,-96.68182032" TargetMode="External"/><Relationship Id="rId273" Type="http://schemas.openxmlformats.org/officeDocument/2006/relationships/hyperlink" Target="https://maps.google.com/?q=16.88415,-97.675799999999995" TargetMode="External"/><Relationship Id="rId3005" Type="http://schemas.openxmlformats.org/officeDocument/2006/relationships/hyperlink" Target="https://maps.google.com/?q=16.9361590935278,-97.011469810433297" TargetMode="External"/><Relationship Id="rId6575" Type="http://schemas.openxmlformats.org/officeDocument/2006/relationships/hyperlink" Target="https://maps.google.com/?q=17.76463,-96.881298" TargetMode="External"/><Relationship Id="rId7626" Type="http://schemas.openxmlformats.org/officeDocument/2006/relationships/hyperlink" Target="https://maps.google.com/?q=17.2304336832493,-95.056067141925894" TargetMode="External"/><Relationship Id="rId7973" Type="http://schemas.openxmlformats.org/officeDocument/2006/relationships/hyperlink" Target="https://maps.google.com/?q=18.1622106427611,-96.873734615326896" TargetMode="External"/><Relationship Id="rId10954" Type="http://schemas.openxmlformats.org/officeDocument/2006/relationships/hyperlink" Target="https://maps.google.com/?q=16.2068401581553,-95.219512339999795" TargetMode="External"/><Relationship Id="rId5177" Type="http://schemas.openxmlformats.org/officeDocument/2006/relationships/hyperlink" Target="https://maps.google.com/?q=17.314321,-95.965582999999995" TargetMode="External"/><Relationship Id="rId6228" Type="http://schemas.openxmlformats.org/officeDocument/2006/relationships/hyperlink" Target="https://maps.google.com/?q=16.097342,-97.080985999999996" TargetMode="External"/><Relationship Id="rId10607" Type="http://schemas.openxmlformats.org/officeDocument/2006/relationships/hyperlink" Target="https://maps.google.com/?q=17.1307745659025,-97.753099961971301" TargetMode="External"/><Relationship Id="rId9798" Type="http://schemas.openxmlformats.org/officeDocument/2006/relationships/hyperlink" Target="https://maps.google.com/?q=16.6418584972888,-96.752192084594597" TargetMode="External"/><Relationship Id="rId12779" Type="http://schemas.openxmlformats.org/officeDocument/2006/relationships/hyperlink" Target="https://maps.google.com/?q=16.304344944380837,-98.44475762458072" TargetMode="External"/><Relationship Id="rId1787" Type="http://schemas.openxmlformats.org/officeDocument/2006/relationships/hyperlink" Target="https://maps.google.com/?q=18.0628428865394,-96.897063398181402" TargetMode="External"/><Relationship Id="rId2838" Type="http://schemas.openxmlformats.org/officeDocument/2006/relationships/hyperlink" Target="https://maps.google.com/?q=16.9500257737398,-97.712845372287106" TargetMode="External"/><Relationship Id="rId4260" Type="http://schemas.openxmlformats.org/officeDocument/2006/relationships/hyperlink" Target="https://maps.google.com/?q=16.01457096,-96.637419440000002" TargetMode="External"/><Relationship Id="rId5311" Type="http://schemas.openxmlformats.org/officeDocument/2006/relationships/hyperlink" Target="https://maps.google.com/?q=15.7230517152095,-96.469117389122701" TargetMode="External"/><Relationship Id="rId8881" Type="http://schemas.openxmlformats.org/officeDocument/2006/relationships/hyperlink" Target="https://maps.google.com/?q=17.379155397,-96.159965048999993" TargetMode="External"/><Relationship Id="rId9932" Type="http://schemas.openxmlformats.org/officeDocument/2006/relationships/hyperlink" Target="https://maps.google.com/?q=16.7140982515349,-96.710675324808804" TargetMode="External"/><Relationship Id="rId7483" Type="http://schemas.openxmlformats.org/officeDocument/2006/relationships/hyperlink" Target="https://maps.google.com/?q=16.989325188742,-95.015429190252704" TargetMode="External"/><Relationship Id="rId8534" Type="http://schemas.openxmlformats.org/officeDocument/2006/relationships/hyperlink" Target="https://maps.google.com/?q=16.9366079637855,-96.599581139881096" TargetMode="External"/><Relationship Id="rId10464" Type="http://schemas.openxmlformats.org/officeDocument/2006/relationships/hyperlink" Target="https://maps.google.com/?q=17.040617,-96.782601999999997" TargetMode="External"/><Relationship Id="rId11862" Type="http://schemas.openxmlformats.org/officeDocument/2006/relationships/hyperlink" Target="https://maps.google.com/?q=17.273032843869945,-96.79937560367011" TargetMode="External"/><Relationship Id="rId12913" Type="http://schemas.openxmlformats.org/officeDocument/2006/relationships/hyperlink" Target="https://maps.google.com/?q=16.533069,-97.522957000000005" TargetMode="External"/><Relationship Id="rId1921" Type="http://schemas.openxmlformats.org/officeDocument/2006/relationships/hyperlink" Target="https://maps.google.com/?q=15.776913948745813,-96.13713960337185" TargetMode="External"/><Relationship Id="rId6085" Type="http://schemas.openxmlformats.org/officeDocument/2006/relationships/hyperlink" Target="https://maps.google.com/?q=16.6550638792639,-97.339185473541207" TargetMode="External"/><Relationship Id="rId7136" Type="http://schemas.openxmlformats.org/officeDocument/2006/relationships/hyperlink" Target="https://maps.google.com/?q=17.3396164646859,-97.702054710098807" TargetMode="External"/><Relationship Id="rId10117" Type="http://schemas.openxmlformats.org/officeDocument/2006/relationships/hyperlink" Target="https://maps.google.com/?q=17.0266233187282,-96.137071144392905" TargetMode="External"/><Relationship Id="rId11515" Type="http://schemas.openxmlformats.org/officeDocument/2006/relationships/hyperlink" Target="https://maps.google.com/?q=16.6116458244431,-96.850258440574507" TargetMode="External"/><Relationship Id="rId13687" Type="http://schemas.openxmlformats.org/officeDocument/2006/relationships/hyperlink" Target="https://maps.google.com/?q=16.714487,-94.748193" TargetMode="External"/><Relationship Id="rId1297" Type="http://schemas.openxmlformats.org/officeDocument/2006/relationships/hyperlink" Target="https://maps.google.com/?q=17.080188,-96.726730" TargetMode="External"/><Relationship Id="rId2695" Type="http://schemas.openxmlformats.org/officeDocument/2006/relationships/hyperlink" Target="https://maps.google.com/?q=16.5700610474187,-97.013602046627" TargetMode="External"/><Relationship Id="rId3746" Type="http://schemas.openxmlformats.org/officeDocument/2006/relationships/hyperlink" Target="https://maps.google.com/?q=15.761989375065818,-96.146348255015781" TargetMode="External"/><Relationship Id="rId12289" Type="http://schemas.openxmlformats.org/officeDocument/2006/relationships/hyperlink" Target="https://maps.google.com/?q=16.4788900550916,-94.355903185180594" TargetMode="External"/><Relationship Id="rId667" Type="http://schemas.openxmlformats.org/officeDocument/2006/relationships/hyperlink" Target="https://maps.google.com/?q=16.055584,-97.392645000000002" TargetMode="External"/><Relationship Id="rId2348" Type="http://schemas.openxmlformats.org/officeDocument/2006/relationships/hyperlink" Target="https://maps.google.com/?q=17.102036,-97.662305000000003" TargetMode="External"/><Relationship Id="rId6969" Type="http://schemas.openxmlformats.org/officeDocument/2006/relationships/hyperlink" Target="https://maps.google.com/?q=17.01410791,-96.518166140000005" TargetMode="External"/><Relationship Id="rId12770" Type="http://schemas.openxmlformats.org/officeDocument/2006/relationships/hyperlink" Target="https://maps.google.com/?q=16.523095039137743,-97.38633719306581" TargetMode="External"/><Relationship Id="rId13821" Type="http://schemas.openxmlformats.org/officeDocument/2006/relationships/hyperlink" Target="https://maps.google.com/?q=17.089814,-97.785600000000002" TargetMode="External"/><Relationship Id="rId8391" Type="http://schemas.openxmlformats.org/officeDocument/2006/relationships/hyperlink" Target="https://maps.google.com/?q=16.8471979197504,-97.202123212510003" TargetMode="External"/><Relationship Id="rId9442" Type="http://schemas.openxmlformats.org/officeDocument/2006/relationships/hyperlink" Target="https://maps.google.com/?q=15.833166986463,-96.658294820762805" TargetMode="External"/><Relationship Id="rId11372" Type="http://schemas.openxmlformats.org/officeDocument/2006/relationships/hyperlink" Target="https://maps.google.com/?q=16.371696408531,-94.199648633099002" TargetMode="External"/><Relationship Id="rId12423" Type="http://schemas.openxmlformats.org/officeDocument/2006/relationships/hyperlink" Target="https://maps.google.com/?q=16.5591151364692,-96.817803442956802" TargetMode="External"/><Relationship Id="rId801" Type="http://schemas.openxmlformats.org/officeDocument/2006/relationships/hyperlink" Target="https://maps.google.com/?q=15.69190990909367,-96.52052383278739" TargetMode="External"/><Relationship Id="rId1431" Type="http://schemas.openxmlformats.org/officeDocument/2006/relationships/hyperlink" Target="https://maps.google.com/?q=17.317066238369932,-96.48337937331387" TargetMode="External"/><Relationship Id="rId8044" Type="http://schemas.openxmlformats.org/officeDocument/2006/relationships/hyperlink" Target="https://maps.google.com/?q=16.4949553244061,-97.377554654418006" TargetMode="External"/><Relationship Id="rId11025" Type="http://schemas.openxmlformats.org/officeDocument/2006/relationships/hyperlink" Target="https://maps.google.com/?q=17.159924,-97.187072999999998" TargetMode="External"/><Relationship Id="rId4654" Type="http://schemas.openxmlformats.org/officeDocument/2006/relationships/hyperlink" Target="https://maps.google.com/?q=17.07228,-96.742705000000001" TargetMode="External"/><Relationship Id="rId13197" Type="http://schemas.openxmlformats.org/officeDocument/2006/relationships/hyperlink" Target="https://maps.google.com/?q=17.3353211934332,-97.375941015463098" TargetMode="External"/><Relationship Id="rId3256" Type="http://schemas.openxmlformats.org/officeDocument/2006/relationships/hyperlink" Target="https://maps.google.com/?q=17.0585218262579,-96.823213282209906" TargetMode="External"/><Relationship Id="rId4307" Type="http://schemas.openxmlformats.org/officeDocument/2006/relationships/hyperlink" Target="https://maps.google.com/?q=16.0256306540867,-96.649500749891899" TargetMode="External"/><Relationship Id="rId5705" Type="http://schemas.openxmlformats.org/officeDocument/2006/relationships/hyperlink" Target="https://maps.google.com/?q=17.42979232,-96.282962190000006" TargetMode="External"/><Relationship Id="rId177" Type="http://schemas.openxmlformats.org/officeDocument/2006/relationships/hyperlink" Target="https://maps.google.com/?q=17.096245,-97.496556999999996" TargetMode="External"/><Relationship Id="rId7877" Type="http://schemas.openxmlformats.org/officeDocument/2006/relationships/hyperlink" Target="https://maps.google.com/?q=16.3176297501651,-96.412977354986893" TargetMode="External"/><Relationship Id="rId8928" Type="http://schemas.openxmlformats.org/officeDocument/2006/relationships/hyperlink" Target="https://maps.google.com/?q=17.381015368,-96.162368779999994" TargetMode="External"/><Relationship Id="rId10858" Type="http://schemas.openxmlformats.org/officeDocument/2006/relationships/hyperlink" Target="https://maps.google.com/?q=16.3477314859503,-94.4824049092273" TargetMode="External"/><Relationship Id="rId11909" Type="http://schemas.openxmlformats.org/officeDocument/2006/relationships/hyperlink" Target="https://maps.google.com/?q=17.286190799084597,-96.62379245518932" TargetMode="External"/><Relationship Id="rId6479" Type="http://schemas.openxmlformats.org/officeDocument/2006/relationships/hyperlink" Target="https://maps.google.com/?q=17.2525002662262,-97.543147829543699" TargetMode="External"/><Relationship Id="rId12280" Type="http://schemas.openxmlformats.org/officeDocument/2006/relationships/hyperlink" Target="https://maps.google.com/?q=16.4866751534996,-94.359412296958894" TargetMode="External"/><Relationship Id="rId13331" Type="http://schemas.openxmlformats.org/officeDocument/2006/relationships/hyperlink" Target="https://maps.google.com/?q=17.4573460027444,-98.0093453877315" TargetMode="External"/><Relationship Id="rId6960" Type="http://schemas.openxmlformats.org/officeDocument/2006/relationships/hyperlink" Target="https://maps.google.com/?q=16.33546,-95.221186299999999" TargetMode="External"/><Relationship Id="rId311" Type="http://schemas.openxmlformats.org/officeDocument/2006/relationships/hyperlink" Target="https://maps.google.com/?q=16.059289,-97.388876999999994" TargetMode="External"/><Relationship Id="rId5562" Type="http://schemas.openxmlformats.org/officeDocument/2006/relationships/hyperlink" Target="https://maps.google.com/?q=17.6008006432924,-96.123206317790903" TargetMode="External"/><Relationship Id="rId6613" Type="http://schemas.openxmlformats.org/officeDocument/2006/relationships/hyperlink" Target="https://maps.google.com/?q=16.878517,-96.615633" TargetMode="External"/><Relationship Id="rId4164" Type="http://schemas.openxmlformats.org/officeDocument/2006/relationships/hyperlink" Target="https://maps.google.com/?q=15.777773,-96.436716000000004" TargetMode="External"/><Relationship Id="rId5215" Type="http://schemas.openxmlformats.org/officeDocument/2006/relationships/hyperlink" Target="https://maps.google.com/?q=17.2772700663407,-97.367822772016396" TargetMode="External"/><Relationship Id="rId8785" Type="http://schemas.openxmlformats.org/officeDocument/2006/relationships/hyperlink" Target="https://maps.google.com/?q=17.210885,-96.251737000000006" TargetMode="External"/><Relationship Id="rId9836" Type="http://schemas.openxmlformats.org/officeDocument/2006/relationships/hyperlink" Target="https://maps.google.com/?q=16.6328575676215,-96.849659370356804" TargetMode="External"/><Relationship Id="rId7387" Type="http://schemas.openxmlformats.org/officeDocument/2006/relationships/hyperlink" Target="https://maps.google.com/?q=17.0454645844832,-97.304039857176605" TargetMode="External"/><Relationship Id="rId8438" Type="http://schemas.openxmlformats.org/officeDocument/2006/relationships/hyperlink" Target="https://maps.google.com/?q=17.0609034828693,-96.819121143194593" TargetMode="External"/><Relationship Id="rId11766" Type="http://schemas.openxmlformats.org/officeDocument/2006/relationships/hyperlink" Target="https://maps.google.com/?q=16.346546001008562,-97.09136849206543" TargetMode="External"/><Relationship Id="rId12817" Type="http://schemas.openxmlformats.org/officeDocument/2006/relationships/hyperlink" Target="https://maps.google.com/?q=17.8493438966044,-97.438289953373499" TargetMode="External"/><Relationship Id="rId1825" Type="http://schemas.openxmlformats.org/officeDocument/2006/relationships/hyperlink" Target="https://maps.google.com/?q=18.0356280028415,-96.896018000000097" TargetMode="External"/><Relationship Id="rId10368" Type="http://schemas.openxmlformats.org/officeDocument/2006/relationships/hyperlink" Target="https://maps.google.com/?q=17.4366147362351,-96.655560209648399" TargetMode="External"/><Relationship Id="rId11419" Type="http://schemas.openxmlformats.org/officeDocument/2006/relationships/hyperlink" Target="https://maps.google.com/?q=17.3803554781338,-98.185458164348702" TargetMode="External"/><Relationship Id="rId3997" Type="http://schemas.openxmlformats.org/officeDocument/2006/relationships/hyperlink" Target="https://maps.google.com/?q=17.094465,-96.7552640" TargetMode="External"/><Relationship Id="rId11900" Type="http://schemas.openxmlformats.org/officeDocument/2006/relationships/hyperlink" Target="https://maps.google.com/?q=17.38342158200295,-97.3607692356167" TargetMode="External"/><Relationship Id="rId2599" Type="http://schemas.openxmlformats.org/officeDocument/2006/relationships/hyperlink" Target="https://maps.google.com/?q=18.250642,-96.289422000000002" TargetMode="External"/><Relationship Id="rId6470" Type="http://schemas.openxmlformats.org/officeDocument/2006/relationships/hyperlink" Target="https://maps.google.com/?q=17.2513062708609,-97.5837168475895" TargetMode="External"/><Relationship Id="rId7521" Type="http://schemas.openxmlformats.org/officeDocument/2006/relationships/hyperlink" Target="https://maps.google.com/?q=17.9743867728563,-96.704519735245498" TargetMode="External"/><Relationship Id="rId10502" Type="http://schemas.openxmlformats.org/officeDocument/2006/relationships/hyperlink" Target="https://maps.google.com/?q=17.8460609137655,-96.743899155337999" TargetMode="External"/><Relationship Id="rId5072" Type="http://schemas.openxmlformats.org/officeDocument/2006/relationships/hyperlink" Target="https://maps.google.com/?q=17.252669,-96.155197000000001" TargetMode="External"/><Relationship Id="rId6123" Type="http://schemas.openxmlformats.org/officeDocument/2006/relationships/hyperlink" Target="https://maps.google.com/?q=16.94976039,-96.613954840000005" TargetMode="External"/><Relationship Id="rId9693" Type="http://schemas.openxmlformats.org/officeDocument/2006/relationships/hyperlink" Target="https://maps.google.com/?q=18.0770578238865,-96.127092256448705" TargetMode="External"/><Relationship Id="rId12674" Type="http://schemas.openxmlformats.org/officeDocument/2006/relationships/hyperlink" Target="https://maps.google.com/?q=16.9216803295185,-97.8888465618721" TargetMode="External"/><Relationship Id="rId1682" Type="http://schemas.openxmlformats.org/officeDocument/2006/relationships/hyperlink" Target="https://maps.google.com/?q=18.0058254208931,-96.897283596570702" TargetMode="External"/><Relationship Id="rId2733" Type="http://schemas.openxmlformats.org/officeDocument/2006/relationships/hyperlink" Target="https://maps.google.com/?q=18.03078181741,-96.247055878642499" TargetMode="External"/><Relationship Id="rId8295" Type="http://schemas.openxmlformats.org/officeDocument/2006/relationships/hyperlink" Target="https://maps.google.com/?q=16.536755,-98.033815000000004" TargetMode="External"/><Relationship Id="rId9346" Type="http://schemas.openxmlformats.org/officeDocument/2006/relationships/hyperlink" Target="https://maps.google.com/?q=16.8175707124243,-95.1437096425135" TargetMode="External"/><Relationship Id="rId11276" Type="http://schemas.openxmlformats.org/officeDocument/2006/relationships/hyperlink" Target="https://maps.google.com/?q=17.8658882718658,-96.309073564180295" TargetMode="External"/><Relationship Id="rId12327" Type="http://schemas.openxmlformats.org/officeDocument/2006/relationships/hyperlink" Target="https://maps.google.com/?q=16.781436,-96.449958" TargetMode="External"/><Relationship Id="rId13725" Type="http://schemas.openxmlformats.org/officeDocument/2006/relationships/hyperlink" Target="https://maps.google.com/?q=18.102124,-96.797461" TargetMode="External"/><Relationship Id="rId705" Type="http://schemas.openxmlformats.org/officeDocument/2006/relationships/hyperlink" Target="https://maps.google.com/?q=16.062811,-97.382633999999996" TargetMode="External"/><Relationship Id="rId1335" Type="http://schemas.openxmlformats.org/officeDocument/2006/relationships/hyperlink" Target="https://maps.google.com/?q=17.0180847,-96.71867719" TargetMode="External"/><Relationship Id="rId5956" Type="http://schemas.openxmlformats.org/officeDocument/2006/relationships/hyperlink" Target="https://maps.google.com/?q=18.154026993782235,-96.573280304218187" TargetMode="External"/><Relationship Id="rId41" Type="http://schemas.openxmlformats.org/officeDocument/2006/relationships/hyperlink" Target="https://maps.google.com/?q=17.224851,-97.121362000000005" TargetMode="External"/><Relationship Id="rId4558" Type="http://schemas.openxmlformats.org/officeDocument/2006/relationships/hyperlink" Target="https://maps.google.com/?q=17.1855349245413,-97.303843055802304" TargetMode="External"/><Relationship Id="rId5609" Type="http://schemas.openxmlformats.org/officeDocument/2006/relationships/hyperlink" Target="https://maps.google.com/?q=17.54826921449,-96.222945583992001" TargetMode="External"/><Relationship Id="rId7031" Type="http://schemas.openxmlformats.org/officeDocument/2006/relationships/hyperlink" Target="https://maps.google.com/?q=17.0442490683038,-97.301722117442395" TargetMode="External"/><Relationship Id="rId11410" Type="http://schemas.openxmlformats.org/officeDocument/2006/relationships/hyperlink" Target="https://maps.google.com/?q=17.3747103979533,-98.183704198741907" TargetMode="External"/><Relationship Id="rId10012" Type="http://schemas.openxmlformats.org/officeDocument/2006/relationships/hyperlink" Target="https://maps.google.com/?q=17.0098228303593,-96.076408971419596" TargetMode="External"/><Relationship Id="rId13582" Type="http://schemas.openxmlformats.org/officeDocument/2006/relationships/hyperlink" Target="https://maps.google.com/?q=16.564244,-96.731829000000005" TargetMode="External"/><Relationship Id="rId2590" Type="http://schemas.openxmlformats.org/officeDocument/2006/relationships/hyperlink" Target="https://maps.google.com/?q=16.6062622877712,-97.215485" TargetMode="External"/><Relationship Id="rId3641" Type="http://schemas.openxmlformats.org/officeDocument/2006/relationships/hyperlink" Target="https://maps.google.com/?q=15.778012012579548,-96.137543867568411" TargetMode="External"/><Relationship Id="rId12184" Type="http://schemas.openxmlformats.org/officeDocument/2006/relationships/hyperlink" Target="https://maps.google.com/?q=17.4169723929368,-95.944868237312207" TargetMode="External"/><Relationship Id="rId13235" Type="http://schemas.openxmlformats.org/officeDocument/2006/relationships/hyperlink" Target="https://maps.google.com/?q=17.1397905444834,-96.7508830561937" TargetMode="External"/><Relationship Id="rId562" Type="http://schemas.openxmlformats.org/officeDocument/2006/relationships/hyperlink" Target="https://maps.google.com/?q=16.052147,-97.401859999999999" TargetMode="External"/><Relationship Id="rId1192" Type="http://schemas.openxmlformats.org/officeDocument/2006/relationships/hyperlink" Target="https://maps.google.com/?q=17.055571,-96.071039" TargetMode="External"/><Relationship Id="rId2243" Type="http://schemas.openxmlformats.org/officeDocument/2006/relationships/hyperlink" Target="https://maps.google.com/?q=16.513823,-96.974317999999997" TargetMode="External"/><Relationship Id="rId6864" Type="http://schemas.openxmlformats.org/officeDocument/2006/relationships/hyperlink" Target="https://maps.google.com/?q=16.968774,-97.081798000000006" TargetMode="External"/><Relationship Id="rId7915" Type="http://schemas.openxmlformats.org/officeDocument/2006/relationships/hyperlink" Target="https://maps.google.com/?q=16.3198831732406,-96.403449600688504" TargetMode="External"/><Relationship Id="rId215" Type="http://schemas.openxmlformats.org/officeDocument/2006/relationships/hyperlink" Target="https://maps.google.com/?q=17.097933,-97.491698999999997" TargetMode="External"/><Relationship Id="rId5466" Type="http://schemas.openxmlformats.org/officeDocument/2006/relationships/hyperlink" Target="https://maps.google.com/?q=16.0106773755838,-97.426468592460495" TargetMode="External"/><Relationship Id="rId6517" Type="http://schemas.openxmlformats.org/officeDocument/2006/relationships/hyperlink" Target="https://maps.google.com/?q=17.2511843395644,-97.565991774417895" TargetMode="External"/><Relationship Id="rId4068" Type="http://schemas.openxmlformats.org/officeDocument/2006/relationships/hyperlink" Target="https://maps.google.com/?q=17.081197,-96.727012" TargetMode="External"/><Relationship Id="rId5119" Type="http://schemas.openxmlformats.org/officeDocument/2006/relationships/hyperlink" Target="https://maps.google.com/?q=17.25389,-96.154383999999993" TargetMode="External"/><Relationship Id="rId8689" Type="http://schemas.openxmlformats.org/officeDocument/2006/relationships/hyperlink" Target="https://maps.google.com/?q=16.1875530490564,-96.615083668654606" TargetMode="External"/><Relationship Id="rId1729" Type="http://schemas.openxmlformats.org/officeDocument/2006/relationships/hyperlink" Target="https://maps.google.com/?q=18.0635484837788,-96.838496675506903" TargetMode="External"/><Relationship Id="rId5600" Type="http://schemas.openxmlformats.org/officeDocument/2006/relationships/hyperlink" Target="https://maps.google.com/?q=17.4605749199899,-96.231111461104902" TargetMode="External"/><Relationship Id="rId13092" Type="http://schemas.openxmlformats.org/officeDocument/2006/relationships/hyperlink" Target="https://maps.google.com/?q=16.5646545,-97.529364000000001" TargetMode="External"/><Relationship Id="rId14143" Type="http://schemas.openxmlformats.org/officeDocument/2006/relationships/hyperlink" Target="https://maps.google.com/?q=17.12423718,-97.07532998" TargetMode="External"/><Relationship Id="rId3151" Type="http://schemas.openxmlformats.org/officeDocument/2006/relationships/hyperlink" Target="https://maps.google.com/?q=16.588235,-97.443668000000002" TargetMode="External"/><Relationship Id="rId4202" Type="http://schemas.openxmlformats.org/officeDocument/2006/relationships/hyperlink" Target="https://maps.google.com/?q=16.328751,-96.596529000000004" TargetMode="External"/><Relationship Id="rId7772" Type="http://schemas.openxmlformats.org/officeDocument/2006/relationships/hyperlink" Target="https://maps.google.com/?q=16.1023644034123,&#160;-96.19348752530648" TargetMode="External"/><Relationship Id="rId8823" Type="http://schemas.openxmlformats.org/officeDocument/2006/relationships/hyperlink" Target="https://maps.google.com/?q=17.216082,-96.247945999999999" TargetMode="External"/><Relationship Id="rId10753" Type="http://schemas.openxmlformats.org/officeDocument/2006/relationships/hyperlink" Target="https://maps.google.com/?q=16.5544197581188,-94.940130845230001" TargetMode="External"/><Relationship Id="rId6374" Type="http://schemas.openxmlformats.org/officeDocument/2006/relationships/hyperlink" Target="https://maps.google.com/?q=17.852301,-97.579106" TargetMode="External"/><Relationship Id="rId7425" Type="http://schemas.openxmlformats.org/officeDocument/2006/relationships/hyperlink" Target="https://maps.google.com/?q=17.038381,-97.051755" TargetMode="External"/><Relationship Id="rId10406" Type="http://schemas.openxmlformats.org/officeDocument/2006/relationships/hyperlink" Target="https://maps.google.com/?q=17.04461,-96.789569" TargetMode="External"/><Relationship Id="rId11804" Type="http://schemas.openxmlformats.org/officeDocument/2006/relationships/hyperlink" Target="https://maps.google.com/?q=15.926288968589972,-96.49897232258036" TargetMode="External"/><Relationship Id="rId6027" Type="http://schemas.openxmlformats.org/officeDocument/2006/relationships/hyperlink" Target="https://maps.google.com/?q=18.156176735192012,-96.576943146664277" TargetMode="External"/><Relationship Id="rId9597" Type="http://schemas.openxmlformats.org/officeDocument/2006/relationships/hyperlink" Target="https://maps.google.com/?q=17.9955843131934,-96.741228535955898" TargetMode="External"/><Relationship Id="rId13976" Type="http://schemas.openxmlformats.org/officeDocument/2006/relationships/hyperlink" Target="https://maps.google.com/?q=17.06695664,-96.80988193" TargetMode="External"/><Relationship Id="rId1586" Type="http://schemas.openxmlformats.org/officeDocument/2006/relationships/hyperlink" Target="https://maps.google.com/?q=16.56851,-96.703360000000004" TargetMode="External"/><Relationship Id="rId2984" Type="http://schemas.openxmlformats.org/officeDocument/2006/relationships/hyperlink" Target="https://maps.google.com/?q=17.9136390916612,-97.997098261282702" TargetMode="External"/><Relationship Id="rId8199" Type="http://schemas.openxmlformats.org/officeDocument/2006/relationships/hyperlink" Target="https://maps.google.com/?q=16.67544239527385,-96.31020942086677" TargetMode="External"/><Relationship Id="rId12578" Type="http://schemas.openxmlformats.org/officeDocument/2006/relationships/hyperlink" Target="https://maps.google.com/?q=16.6253462964805,-96.957202097569905" TargetMode="External"/><Relationship Id="rId13629" Type="http://schemas.openxmlformats.org/officeDocument/2006/relationships/hyperlink" Target="https://maps.google.com/?q=17.161771,-96.209013" TargetMode="External"/><Relationship Id="rId609" Type="http://schemas.openxmlformats.org/officeDocument/2006/relationships/hyperlink" Target="https://maps.google.com/?q=16.054745,-97.396428" TargetMode="External"/><Relationship Id="rId956" Type="http://schemas.openxmlformats.org/officeDocument/2006/relationships/hyperlink" Target="https://maps.google.com/?q=15.683706377074532,-96.511396331392376" TargetMode="External"/><Relationship Id="rId1239" Type="http://schemas.openxmlformats.org/officeDocument/2006/relationships/hyperlink" Target="https://maps.google.com/?q=17.055812719,-96.7456976" TargetMode="External"/><Relationship Id="rId2637" Type="http://schemas.openxmlformats.org/officeDocument/2006/relationships/hyperlink" Target="https://maps.google.com/?q=18.084325,-96.167562000000004" TargetMode="External"/><Relationship Id="rId5110" Type="http://schemas.openxmlformats.org/officeDocument/2006/relationships/hyperlink" Target="https://maps.google.com/?q=17.253708,-96.152985999999999" TargetMode="External"/><Relationship Id="rId8680" Type="http://schemas.openxmlformats.org/officeDocument/2006/relationships/hyperlink" Target="https://maps.google.com/?q=16.184318,-96.623215999999999" TargetMode="External"/><Relationship Id="rId9731" Type="http://schemas.openxmlformats.org/officeDocument/2006/relationships/hyperlink" Target="https://maps.google.com/?q=17.2706128322899,-96.805642122268196" TargetMode="External"/><Relationship Id="rId11661" Type="http://schemas.openxmlformats.org/officeDocument/2006/relationships/hyperlink" Target="https://maps.google.com/?q=17.17383734,-97.707650900000004" TargetMode="External"/><Relationship Id="rId12712" Type="http://schemas.openxmlformats.org/officeDocument/2006/relationships/hyperlink" Target="https://maps.google.com/?q=16.2850105026449,-96.504617999999994" TargetMode="External"/><Relationship Id="rId1720" Type="http://schemas.openxmlformats.org/officeDocument/2006/relationships/hyperlink" Target="https://maps.google.com/?q=18.0569070429529,-96.8312035377905" TargetMode="External"/><Relationship Id="rId7282" Type="http://schemas.openxmlformats.org/officeDocument/2006/relationships/hyperlink" Target="https://maps.google.com/?q=16.3044504499126,-97.908747625581995" TargetMode="External"/><Relationship Id="rId8333" Type="http://schemas.openxmlformats.org/officeDocument/2006/relationships/hyperlink" Target="https://maps.google.com/?q=16.8418521790575,-97.203608014140201" TargetMode="External"/><Relationship Id="rId10263" Type="http://schemas.openxmlformats.org/officeDocument/2006/relationships/hyperlink" Target="https://maps.google.com/?q=16.2447513175623,-95.145055267028496" TargetMode="External"/><Relationship Id="rId11314" Type="http://schemas.openxmlformats.org/officeDocument/2006/relationships/hyperlink" Target="https://maps.google.com/?q=17.8689432407596,-96.308699446627003" TargetMode="External"/><Relationship Id="rId3892" Type="http://schemas.openxmlformats.org/officeDocument/2006/relationships/hyperlink" Target="https://maps.google.com/?q=17.0923454296529,-96.066492183541399" TargetMode="External"/><Relationship Id="rId4943" Type="http://schemas.openxmlformats.org/officeDocument/2006/relationships/hyperlink" Target="https://maps.google.com/?q=18.0347067235324,-96.673065897513197" TargetMode="External"/><Relationship Id="rId13486" Type="http://schemas.openxmlformats.org/officeDocument/2006/relationships/hyperlink" Target="https://maps.google.com/?q=17.6896429036175,-97.032826730101505" TargetMode="External"/><Relationship Id="rId2494" Type="http://schemas.openxmlformats.org/officeDocument/2006/relationships/hyperlink" Target="https://maps.google.com/?q=17.05205716,-96.624179499999997" TargetMode="External"/><Relationship Id="rId3545" Type="http://schemas.openxmlformats.org/officeDocument/2006/relationships/hyperlink" Target="https://maps.google.com/?q=15.757935718242084,-96.147822394432325" TargetMode="External"/><Relationship Id="rId12088" Type="http://schemas.openxmlformats.org/officeDocument/2006/relationships/hyperlink" Target="https://maps.google.com/?q=16.24656925,-95.324756590000007" TargetMode="External"/><Relationship Id="rId13139" Type="http://schemas.openxmlformats.org/officeDocument/2006/relationships/hyperlink" Target="https://maps.google.com/?q=17.1885046915304,-96.513635498989899" TargetMode="External"/><Relationship Id="rId466" Type="http://schemas.openxmlformats.org/officeDocument/2006/relationships/hyperlink" Target="https://maps.google.com/?q=16.05364,-97.409344000000004" TargetMode="External"/><Relationship Id="rId1096" Type="http://schemas.openxmlformats.org/officeDocument/2006/relationships/hyperlink" Target="https://maps.google.com/?q=16.88614,-97.677869999999999" TargetMode="External"/><Relationship Id="rId2147" Type="http://schemas.openxmlformats.org/officeDocument/2006/relationships/hyperlink" Target="https://maps.google.com/?q=15.76455,-96.144008999999997" TargetMode="External"/><Relationship Id="rId119" Type="http://schemas.openxmlformats.org/officeDocument/2006/relationships/hyperlink" Target="https://maps.google.com/?q=17.094916,-97.496458000000004" TargetMode="External"/><Relationship Id="rId6768" Type="http://schemas.openxmlformats.org/officeDocument/2006/relationships/hyperlink" Target="https://maps.google.com/?q=16.7105010680712,-97.021731654801101" TargetMode="External"/><Relationship Id="rId7819" Type="http://schemas.openxmlformats.org/officeDocument/2006/relationships/hyperlink" Target="https://maps.google.com/?q=17.8475986718718,-96.747315273161504" TargetMode="External"/><Relationship Id="rId8190" Type="http://schemas.openxmlformats.org/officeDocument/2006/relationships/hyperlink" Target="https://maps.google.com/?q=16.668168,-96.309119999999993" TargetMode="External"/><Relationship Id="rId9241" Type="http://schemas.openxmlformats.org/officeDocument/2006/relationships/hyperlink" Target="https://maps.google.com/?q=17.3767062,-96.301966739999997" TargetMode="External"/><Relationship Id="rId13620" Type="http://schemas.openxmlformats.org/officeDocument/2006/relationships/hyperlink" Target="https://maps.google.com/?q=16.339383,-94.514989" TargetMode="External"/><Relationship Id="rId11171" Type="http://schemas.openxmlformats.org/officeDocument/2006/relationships/hyperlink" Target="https://maps.google.com/?q=16.843347,-96.007605999999996" TargetMode="External"/><Relationship Id="rId12222" Type="http://schemas.openxmlformats.org/officeDocument/2006/relationships/hyperlink" Target="https://maps.google.com/?q=17.4214291593276,-95.950744179691398" TargetMode="External"/><Relationship Id="rId600" Type="http://schemas.openxmlformats.org/officeDocument/2006/relationships/hyperlink" Target="https://maps.google.com/?q=16.053302,-97.400412000000003" TargetMode="External"/><Relationship Id="rId1230" Type="http://schemas.openxmlformats.org/officeDocument/2006/relationships/hyperlink" Target="https://maps.google.com/?q=17.05386,-96.73539000" TargetMode="External"/><Relationship Id="rId5851" Type="http://schemas.openxmlformats.org/officeDocument/2006/relationships/hyperlink" Target="https://maps.google.com/?q=16.0942819233349,-97.697625836805301" TargetMode="External"/><Relationship Id="rId6902" Type="http://schemas.openxmlformats.org/officeDocument/2006/relationships/hyperlink" Target="https://maps.google.com/?q=16.975439,-97.089031000000006" TargetMode="External"/><Relationship Id="rId4453" Type="http://schemas.openxmlformats.org/officeDocument/2006/relationships/hyperlink" Target="https://maps.google.com/?q=17.609787,-98.007259000000005" TargetMode="External"/><Relationship Id="rId5504" Type="http://schemas.openxmlformats.org/officeDocument/2006/relationships/hyperlink" Target="https://maps.google.com/?q=16.3422,-96.485754" TargetMode="External"/><Relationship Id="rId14047" Type="http://schemas.openxmlformats.org/officeDocument/2006/relationships/hyperlink" Target="https://maps.google.com/?q=17.063659,-96.729594" TargetMode="External"/><Relationship Id="rId3055" Type="http://schemas.openxmlformats.org/officeDocument/2006/relationships/hyperlink" Target="https://maps.google.com/?q=16.9636297674134,-96.939311591957804" TargetMode="External"/><Relationship Id="rId4106" Type="http://schemas.openxmlformats.org/officeDocument/2006/relationships/hyperlink" Target="https://maps.google.com/?q=17.058588,-96.743084899999999" TargetMode="External"/><Relationship Id="rId7676" Type="http://schemas.openxmlformats.org/officeDocument/2006/relationships/hyperlink" Target="https://maps.google.com/?q=17.1996458181793,-97.514815681164606" TargetMode="External"/><Relationship Id="rId8727" Type="http://schemas.openxmlformats.org/officeDocument/2006/relationships/hyperlink" Target="https://maps.google.com/?q=17.057950384248,-96.823105995778107" TargetMode="External"/><Relationship Id="rId6278" Type="http://schemas.openxmlformats.org/officeDocument/2006/relationships/hyperlink" Target="https://maps.google.com/?q=16.4182042673391,-96.724224609785296" TargetMode="External"/><Relationship Id="rId7329" Type="http://schemas.openxmlformats.org/officeDocument/2006/relationships/hyperlink" Target="https://maps.google.com/?q=16.5842661438626,-97.6557356822088" TargetMode="External"/><Relationship Id="rId10657" Type="http://schemas.openxmlformats.org/officeDocument/2006/relationships/hyperlink" Target="https://maps.google.com/?q=17.124090695147,-97.781334138771896" TargetMode="External"/><Relationship Id="rId11708" Type="http://schemas.openxmlformats.org/officeDocument/2006/relationships/hyperlink" Target="https://maps.google.com/?q=17.18291835,-97.708006729999994" TargetMode="External"/><Relationship Id="rId13130" Type="http://schemas.openxmlformats.org/officeDocument/2006/relationships/hyperlink" Target="https://maps.google.com/?q=17.1848783153026,-96.514733233135203" TargetMode="External"/><Relationship Id="rId110" Type="http://schemas.openxmlformats.org/officeDocument/2006/relationships/hyperlink" Target="https://maps.google.com/?q=17.096421,-97.496446000000006" TargetMode="External"/><Relationship Id="rId2888" Type="http://schemas.openxmlformats.org/officeDocument/2006/relationships/hyperlink" Target="https://maps.google.com/?q=18.230965,-96.282028999999994" TargetMode="External"/><Relationship Id="rId3939" Type="http://schemas.openxmlformats.org/officeDocument/2006/relationships/hyperlink" Target="https://maps.google.com/?q=17.059171,-96.750380000000007" TargetMode="External"/><Relationship Id="rId7810" Type="http://schemas.openxmlformats.org/officeDocument/2006/relationships/hyperlink" Target="https://maps.google.com/?q=17.8462297709205,-96.745386644665501" TargetMode="External"/><Relationship Id="rId5361" Type="http://schemas.openxmlformats.org/officeDocument/2006/relationships/hyperlink" Target="https://maps.google.com/?q=16.1187106390137,-97.596248089752507" TargetMode="External"/><Relationship Id="rId6412" Type="http://schemas.openxmlformats.org/officeDocument/2006/relationships/hyperlink" Target="https://maps.google.com/?q=17.2196836857623,-97.592208017791194" TargetMode="External"/><Relationship Id="rId9982" Type="http://schemas.openxmlformats.org/officeDocument/2006/relationships/hyperlink" Target="https://maps.google.com/?q=16.0945344675738,-95.529282887286101" TargetMode="External"/><Relationship Id="rId12963" Type="http://schemas.openxmlformats.org/officeDocument/2006/relationships/hyperlink" Target="https://maps.google.com/?q=16.510288,-97.484770800000007" TargetMode="External"/><Relationship Id="rId1971" Type="http://schemas.openxmlformats.org/officeDocument/2006/relationships/hyperlink" Target="https://maps.google.com/?q=15.784899978078608,-96.13597352761829" TargetMode="External"/><Relationship Id="rId5014" Type="http://schemas.openxmlformats.org/officeDocument/2006/relationships/hyperlink" Target="https://maps.google.com/?q=17.373772722097314,-96.33157495337295" TargetMode="External"/><Relationship Id="rId8584" Type="http://schemas.openxmlformats.org/officeDocument/2006/relationships/hyperlink" Target="https://maps.google.com/?q=16.9334335461501,-96.598195944774702" TargetMode="External"/><Relationship Id="rId9635" Type="http://schemas.openxmlformats.org/officeDocument/2006/relationships/hyperlink" Target="https://maps.google.com/?q=17.1542458025553,-96.7550619417663" TargetMode="External"/><Relationship Id="rId11565" Type="http://schemas.openxmlformats.org/officeDocument/2006/relationships/hyperlink" Target="https://maps.google.com/?q=16.8467054052322,-96.748981131282804" TargetMode="External"/><Relationship Id="rId12616" Type="http://schemas.openxmlformats.org/officeDocument/2006/relationships/hyperlink" Target="https://maps.google.com/?q=17.1185972350817,-96.852513166253104" TargetMode="External"/><Relationship Id="rId1624" Type="http://schemas.openxmlformats.org/officeDocument/2006/relationships/hyperlink" Target="https://maps.google.com/?q=17.761071,-96.078333000000001" TargetMode="External"/><Relationship Id="rId7186" Type="http://schemas.openxmlformats.org/officeDocument/2006/relationships/hyperlink" Target="https://maps.google.com/?q=16.221867496688,-97.921051241684594" TargetMode="External"/><Relationship Id="rId8237" Type="http://schemas.openxmlformats.org/officeDocument/2006/relationships/hyperlink" Target="https://maps.google.com/?q=16.424154,-97.640161000000006" TargetMode="External"/><Relationship Id="rId10167" Type="http://schemas.openxmlformats.org/officeDocument/2006/relationships/hyperlink" Target="https://maps.google.com/?q=17.1096325986535,-97.496813702818002" TargetMode="External"/><Relationship Id="rId11218" Type="http://schemas.openxmlformats.org/officeDocument/2006/relationships/hyperlink" Target="https://maps.google.com/?q=17.328753,-96.558902" TargetMode="External"/><Relationship Id="rId3796" Type="http://schemas.openxmlformats.org/officeDocument/2006/relationships/hyperlink" Target="https://maps.google.com/?q=15.770856428990134,-96.234339445015877" TargetMode="External"/><Relationship Id="rId2398" Type="http://schemas.openxmlformats.org/officeDocument/2006/relationships/hyperlink" Target="https://maps.google.com/?q=16.6007798618428,-97.219528130240505" TargetMode="External"/><Relationship Id="rId3449" Type="http://schemas.openxmlformats.org/officeDocument/2006/relationships/hyperlink" Target="https://maps.google.com/?q=16.4574439298063,-96.927706054878101" TargetMode="External"/><Relationship Id="rId4847" Type="http://schemas.openxmlformats.org/officeDocument/2006/relationships/hyperlink" Target="https://maps.google.com/?q=17.3383481856491,-96.168424819066402" TargetMode="External"/><Relationship Id="rId7320" Type="http://schemas.openxmlformats.org/officeDocument/2006/relationships/hyperlink" Target="https://maps.google.com/?q=16.72814246,-96.46827175" TargetMode="External"/><Relationship Id="rId10301" Type="http://schemas.openxmlformats.org/officeDocument/2006/relationships/hyperlink" Target="https://maps.google.com/?q=16.22284277,-97.261797959999996" TargetMode="External"/><Relationship Id="rId13871" Type="http://schemas.openxmlformats.org/officeDocument/2006/relationships/hyperlink" Target="https://maps.google.com/?q=16.2695643889104,-96.591310980696903" TargetMode="External"/><Relationship Id="rId3930" Type="http://schemas.openxmlformats.org/officeDocument/2006/relationships/hyperlink" Target="https://maps.google.com/?q=17.058951,-96.751512000000005" TargetMode="External"/><Relationship Id="rId8094" Type="http://schemas.openxmlformats.org/officeDocument/2006/relationships/hyperlink" Target="https://maps.google.com/?q=17.3547136494058,-96.3039017534918" TargetMode="External"/><Relationship Id="rId9492" Type="http://schemas.openxmlformats.org/officeDocument/2006/relationships/hyperlink" Target="https://maps.google.com/?q=16.777975,-96.959224" TargetMode="External"/><Relationship Id="rId12473" Type="http://schemas.openxmlformats.org/officeDocument/2006/relationships/hyperlink" Target="https://maps.google.com/?q=17.2219737371357,-97.270679861613502" TargetMode="External"/><Relationship Id="rId13524" Type="http://schemas.openxmlformats.org/officeDocument/2006/relationships/hyperlink" Target="https://maps.google.com/?q=17.305435757847707,-96.20574908994702" TargetMode="External"/><Relationship Id="rId851" Type="http://schemas.openxmlformats.org/officeDocument/2006/relationships/hyperlink" Target="https://maps.google.com/?q=15.708113698968699,-96.525660977768524" TargetMode="External"/><Relationship Id="rId1481" Type="http://schemas.openxmlformats.org/officeDocument/2006/relationships/hyperlink" Target="https://maps.google.com/?q=17.058717,-96.753580999999997" TargetMode="External"/><Relationship Id="rId2532" Type="http://schemas.openxmlformats.org/officeDocument/2006/relationships/hyperlink" Target="https://maps.google.com/?q=17.05259733,-96.623963070000002" TargetMode="External"/><Relationship Id="rId9145" Type="http://schemas.openxmlformats.org/officeDocument/2006/relationships/hyperlink" Target="https://maps.google.com/?q=16.9737320279682,-97.086449669975394" TargetMode="External"/><Relationship Id="rId11075" Type="http://schemas.openxmlformats.org/officeDocument/2006/relationships/hyperlink" Target="https://maps.google.com/?q=17.28831722,-97.376320879999994" TargetMode="External"/><Relationship Id="rId12126" Type="http://schemas.openxmlformats.org/officeDocument/2006/relationships/hyperlink" Target="https://maps.google.com/?q=16.283380969076,-97.6755641878798" TargetMode="External"/><Relationship Id="rId504" Type="http://schemas.openxmlformats.org/officeDocument/2006/relationships/hyperlink" Target="https://maps.google.com/?q=16.054298,-97.409160999999997" TargetMode="External"/><Relationship Id="rId1134" Type="http://schemas.openxmlformats.org/officeDocument/2006/relationships/hyperlink" Target="https://maps.google.com/?q=17.094055,-97.492358999999993" TargetMode="External"/><Relationship Id="rId5755" Type="http://schemas.openxmlformats.org/officeDocument/2006/relationships/hyperlink" Target="https://maps.google.com/?q=18.049915,-96.762289999999993" TargetMode="External"/><Relationship Id="rId6806" Type="http://schemas.openxmlformats.org/officeDocument/2006/relationships/hyperlink" Target="https://maps.google.com/?q=16.3628109459081,-97.047134995596593" TargetMode="External"/><Relationship Id="rId4357" Type="http://schemas.openxmlformats.org/officeDocument/2006/relationships/hyperlink" Target="https://maps.google.com/?q=15.9596207,-96.638094179999996" TargetMode="External"/><Relationship Id="rId5408" Type="http://schemas.openxmlformats.org/officeDocument/2006/relationships/hyperlink" Target="https://maps.google.com/?q=16.096244163767,-97.694218209821699" TargetMode="External"/><Relationship Id="rId8978" Type="http://schemas.openxmlformats.org/officeDocument/2006/relationships/hyperlink" Target="https://maps.google.com/?q=17.381784143,-96.164303543000003" TargetMode="External"/><Relationship Id="rId11959" Type="http://schemas.openxmlformats.org/officeDocument/2006/relationships/hyperlink" Target="https://maps.google.com/?q=16.7981188587562,-96.721849037399494" TargetMode="External"/><Relationship Id="rId13381" Type="http://schemas.openxmlformats.org/officeDocument/2006/relationships/hyperlink" Target="https://maps.google.com/?q=16.3238220568811,-96.676752127647305" TargetMode="External"/><Relationship Id="rId361" Type="http://schemas.openxmlformats.org/officeDocument/2006/relationships/hyperlink" Target="https://maps.google.com/?q=16.053892,-97.409295" TargetMode="External"/><Relationship Id="rId2042" Type="http://schemas.openxmlformats.org/officeDocument/2006/relationships/hyperlink" Target="https://maps.google.com/?q=15.760014349911666,-96.141741085810125" TargetMode="External"/><Relationship Id="rId3440" Type="http://schemas.openxmlformats.org/officeDocument/2006/relationships/hyperlink" Target="https://maps.google.com/?q=17.0677602068485,-96.9759463176689" TargetMode="External"/><Relationship Id="rId13034" Type="http://schemas.openxmlformats.org/officeDocument/2006/relationships/hyperlink" Target="https://maps.google.com/?q=16.5612019,-97.541503800000001" TargetMode="External"/><Relationship Id="rId6663" Type="http://schemas.openxmlformats.org/officeDocument/2006/relationships/hyperlink" Target="https://maps.google.com/?q=16.938223,-97.007375999999994" TargetMode="External"/><Relationship Id="rId7714" Type="http://schemas.openxmlformats.org/officeDocument/2006/relationships/hyperlink" Target="https://maps.google.com/?q=16.628799518874,-96.797453448312197" TargetMode="External"/><Relationship Id="rId5265" Type="http://schemas.openxmlformats.org/officeDocument/2006/relationships/hyperlink" Target="https://maps.google.com/?q=15.7215391675459,-96.394579826824696" TargetMode="External"/><Relationship Id="rId6316" Type="http://schemas.openxmlformats.org/officeDocument/2006/relationships/hyperlink" Target="https://maps.google.com/?q=18.058345,-96.392082000000002" TargetMode="External"/><Relationship Id="rId9886" Type="http://schemas.openxmlformats.org/officeDocument/2006/relationships/hyperlink" Target="https://maps.google.com/?q=16.6375313230947,-96.848627938955104" TargetMode="External"/><Relationship Id="rId1875" Type="http://schemas.openxmlformats.org/officeDocument/2006/relationships/hyperlink" Target="https://maps.google.com/?q=15.77546773921483,-96.136357858222851" TargetMode="External"/><Relationship Id="rId8488" Type="http://schemas.openxmlformats.org/officeDocument/2006/relationships/hyperlink" Target="https://maps.google.com/?q=17.1549346999701,-97.5326663145282" TargetMode="External"/><Relationship Id="rId9539" Type="http://schemas.openxmlformats.org/officeDocument/2006/relationships/hyperlink" Target="https://maps.google.com/?q=17.273566,-96.799562" TargetMode="External"/><Relationship Id="rId11469" Type="http://schemas.openxmlformats.org/officeDocument/2006/relationships/hyperlink" Target="https://maps.google.com/?q=16.011076,-97.431156999999999" TargetMode="External"/><Relationship Id="rId12867" Type="http://schemas.openxmlformats.org/officeDocument/2006/relationships/hyperlink" Target="https://maps.google.com/?q=17.518736,-97.681365999999997" TargetMode="External"/><Relationship Id="rId13918" Type="http://schemas.openxmlformats.org/officeDocument/2006/relationships/hyperlink" Target="https://maps.google.com/?q=16.8571810278894,-96.814948541223302" TargetMode="External"/><Relationship Id="rId1528" Type="http://schemas.openxmlformats.org/officeDocument/2006/relationships/hyperlink" Target="https://maps.google.com/?q=17.062009,-96.757019999999997" TargetMode="External"/><Relationship Id="rId2926" Type="http://schemas.openxmlformats.org/officeDocument/2006/relationships/hyperlink" Target="https://maps.google.com/?q=17.07667748,-96.679177080000002" TargetMode="External"/><Relationship Id="rId4001" Type="http://schemas.openxmlformats.org/officeDocument/2006/relationships/hyperlink" Target="https://maps.google.com/?q=17.01772643230838,-96.71859303846837" TargetMode="External"/><Relationship Id="rId11950" Type="http://schemas.openxmlformats.org/officeDocument/2006/relationships/hyperlink" Target="https://maps.google.com/?q=16.7952408918107,-96.721923127099799" TargetMode="External"/><Relationship Id="rId6173" Type="http://schemas.openxmlformats.org/officeDocument/2006/relationships/hyperlink" Target="https://maps.google.com/?q=16.1429120296638,-96.418875265046907" TargetMode="External"/><Relationship Id="rId7571" Type="http://schemas.openxmlformats.org/officeDocument/2006/relationships/hyperlink" Target="https://maps.google.com/?q=17.3289208109927,-95.268297556372005" TargetMode="External"/><Relationship Id="rId8622" Type="http://schemas.openxmlformats.org/officeDocument/2006/relationships/hyperlink" Target="https://maps.google.com/?q=17.8985963446448,-96.709589887710806" TargetMode="External"/><Relationship Id="rId10552" Type="http://schemas.openxmlformats.org/officeDocument/2006/relationships/hyperlink" Target="https://maps.google.com/?q=17.092290593877,-97.788731618112806" TargetMode="External"/><Relationship Id="rId11603" Type="http://schemas.openxmlformats.org/officeDocument/2006/relationships/hyperlink" Target="https://maps.google.com/?q=16.8361031224721,-96.727922550926195" TargetMode="External"/><Relationship Id="rId7224" Type="http://schemas.openxmlformats.org/officeDocument/2006/relationships/hyperlink" Target="https://maps.google.com/?q=16.2290633971182,-97.942856069938898" TargetMode="External"/><Relationship Id="rId10205" Type="http://schemas.openxmlformats.org/officeDocument/2006/relationships/hyperlink" Target="https://maps.google.com/?q=17.18356206,-97.3839268" TargetMode="External"/><Relationship Id="rId13775" Type="http://schemas.openxmlformats.org/officeDocument/2006/relationships/hyperlink" Target="https://maps.google.com/?q=17.02621,-97.92815" TargetMode="External"/><Relationship Id="rId2783" Type="http://schemas.openxmlformats.org/officeDocument/2006/relationships/hyperlink" Target="https://maps.google.com/?q=16.9924857004325,-97.704233078538905" TargetMode="External"/><Relationship Id="rId3834" Type="http://schemas.openxmlformats.org/officeDocument/2006/relationships/hyperlink" Target="https://maps.google.com/?q=17.015324,-96.720685" TargetMode="External"/><Relationship Id="rId9396" Type="http://schemas.openxmlformats.org/officeDocument/2006/relationships/hyperlink" Target="https://maps.google.com/?q=16.8212420198144,-95.139747449925906" TargetMode="External"/><Relationship Id="rId12377" Type="http://schemas.openxmlformats.org/officeDocument/2006/relationships/hyperlink" Target="https://maps.google.com/?q=17.842302,-96.87948" TargetMode="External"/><Relationship Id="rId13428" Type="http://schemas.openxmlformats.org/officeDocument/2006/relationships/hyperlink" Target="https://maps.google.com/?q=17.6817340824295,-97.039157728515505" TargetMode="External"/><Relationship Id="rId755" Type="http://schemas.openxmlformats.org/officeDocument/2006/relationships/hyperlink" Target="https://maps.google.com/?q=15.684342119977535,-96.511762485286411" TargetMode="External"/><Relationship Id="rId1385" Type="http://schemas.openxmlformats.org/officeDocument/2006/relationships/hyperlink" Target="https://maps.google.com/?q=17.207464,-96.801094000000006" TargetMode="External"/><Relationship Id="rId2436" Type="http://schemas.openxmlformats.org/officeDocument/2006/relationships/hyperlink" Target="https://maps.google.com/?q=17.05124821,-96.624808569999999" TargetMode="External"/><Relationship Id="rId9049" Type="http://schemas.openxmlformats.org/officeDocument/2006/relationships/hyperlink" Target="https://maps.google.com/?q=16.0546,-95.462599999999995" TargetMode="External"/><Relationship Id="rId91" Type="http://schemas.openxmlformats.org/officeDocument/2006/relationships/hyperlink" Target="https://maps.google.com/?q=15.789536,-96.460080000000005" TargetMode="External"/><Relationship Id="rId408" Type="http://schemas.openxmlformats.org/officeDocument/2006/relationships/hyperlink" Target="https://maps.google.com/?q=16.050431,-97.415443999999994" TargetMode="External"/><Relationship Id="rId1038" Type="http://schemas.openxmlformats.org/officeDocument/2006/relationships/hyperlink" Target="https://maps.google.com/?q=15.70536173405438,-96.524185076215247" TargetMode="External"/><Relationship Id="rId5659" Type="http://schemas.openxmlformats.org/officeDocument/2006/relationships/hyperlink" Target="https://maps.google.com/?q=16.436475,-97.857427999999999" TargetMode="External"/><Relationship Id="rId9530" Type="http://schemas.openxmlformats.org/officeDocument/2006/relationships/hyperlink" Target="https://maps.google.com/?q=17.270545,-96.794219" TargetMode="External"/><Relationship Id="rId7081" Type="http://schemas.openxmlformats.org/officeDocument/2006/relationships/hyperlink" Target="https://maps.google.com/?q=16.378037,-98.142916999999997" TargetMode="External"/><Relationship Id="rId8132" Type="http://schemas.openxmlformats.org/officeDocument/2006/relationships/hyperlink" Target="https://maps.google.com/?q=17.3555788896186,-96.302744920307006" TargetMode="External"/><Relationship Id="rId11460" Type="http://schemas.openxmlformats.org/officeDocument/2006/relationships/hyperlink" Target="https://maps.google.com/?q=16.0031172434898,-97.423708948962101" TargetMode="External"/><Relationship Id="rId12511" Type="http://schemas.openxmlformats.org/officeDocument/2006/relationships/hyperlink" Target="https://maps.google.com/?q=17.2255007706853,-97.271901452132298" TargetMode="External"/><Relationship Id="rId10062" Type="http://schemas.openxmlformats.org/officeDocument/2006/relationships/hyperlink" Target="https://maps.google.com/?q=17.00454236,-96.123880979999996" TargetMode="External"/><Relationship Id="rId11113" Type="http://schemas.openxmlformats.org/officeDocument/2006/relationships/hyperlink" Target="https://maps.google.com/?q=16.046609,-96.883248" TargetMode="External"/><Relationship Id="rId3691" Type="http://schemas.openxmlformats.org/officeDocument/2006/relationships/hyperlink" Target="https://maps.google.com/?q=15.757462054964257,-96.140629800865852" TargetMode="External"/><Relationship Id="rId4742" Type="http://schemas.openxmlformats.org/officeDocument/2006/relationships/hyperlink" Target="https://maps.google.com/?q=17.9503074304722,-96.655844043873202" TargetMode="External"/><Relationship Id="rId13285" Type="http://schemas.openxmlformats.org/officeDocument/2006/relationships/hyperlink" Target="https://maps.google.com/?q=16.1301326425237,-96.327267708895803" TargetMode="External"/><Relationship Id="rId2293" Type="http://schemas.openxmlformats.org/officeDocument/2006/relationships/hyperlink" Target="https://maps.google.com/?q=18.0995091500777,-96.926354418860697" TargetMode="External"/><Relationship Id="rId3344" Type="http://schemas.openxmlformats.org/officeDocument/2006/relationships/hyperlink" Target="https://maps.google.com/?q=17.1412630995659,-97.810347860118796" TargetMode="External"/><Relationship Id="rId7965" Type="http://schemas.openxmlformats.org/officeDocument/2006/relationships/hyperlink" Target="https://maps.google.com/?q=18.1614329057711,-96.8769693020554" TargetMode="External"/><Relationship Id="rId265" Type="http://schemas.openxmlformats.org/officeDocument/2006/relationships/hyperlink" Target="https://maps.google.com/?q=16.8824,-97.676109999999994" TargetMode="External"/><Relationship Id="rId6567" Type="http://schemas.openxmlformats.org/officeDocument/2006/relationships/hyperlink" Target="https://maps.google.com/?q=17.762727,-96.879133" TargetMode="External"/><Relationship Id="rId7618" Type="http://schemas.openxmlformats.org/officeDocument/2006/relationships/hyperlink" Target="https://maps.google.com/?q=17.2302459888678,-95.053207345770105" TargetMode="External"/><Relationship Id="rId10946" Type="http://schemas.openxmlformats.org/officeDocument/2006/relationships/hyperlink" Target="https://maps.google.com/?q=16.2057323469027,-95.216659349999901" TargetMode="External"/><Relationship Id="rId5169" Type="http://schemas.openxmlformats.org/officeDocument/2006/relationships/hyperlink" Target="https://maps.google.com/?q=17.313905,-95.963791000000001" TargetMode="External"/><Relationship Id="rId9040" Type="http://schemas.openxmlformats.org/officeDocument/2006/relationships/hyperlink" Target="https://maps.google.com/?q=16.054357,-95.463757000000001" TargetMode="External"/><Relationship Id="rId12021" Type="http://schemas.openxmlformats.org/officeDocument/2006/relationships/hyperlink" Target="https://maps.google.com/?q=16.8039807450579,-96.716402635581801" TargetMode="External"/><Relationship Id="rId1779" Type="http://schemas.openxmlformats.org/officeDocument/2006/relationships/hyperlink" Target="https://maps.google.com/?q=18.0587271032531,-96.899611496745905" TargetMode="External"/><Relationship Id="rId4252" Type="http://schemas.openxmlformats.org/officeDocument/2006/relationships/hyperlink" Target="https://maps.google.com/?q=15.9327682,-96.6315057" TargetMode="External"/><Relationship Id="rId5650" Type="http://schemas.openxmlformats.org/officeDocument/2006/relationships/hyperlink" Target="https://maps.google.com/?q=17.5635850355906,-96.177990678896094" TargetMode="External"/><Relationship Id="rId6701" Type="http://schemas.openxmlformats.org/officeDocument/2006/relationships/hyperlink" Target="https://maps.google.com/?q=16.9390577,-96.966227700000005" TargetMode="External"/><Relationship Id="rId5303" Type="http://schemas.openxmlformats.org/officeDocument/2006/relationships/hyperlink" Target="https://maps.google.com/?q=15.717830672373,-96.4709027786527" TargetMode="External"/><Relationship Id="rId8873" Type="http://schemas.openxmlformats.org/officeDocument/2006/relationships/hyperlink" Target="https://maps.google.com/?q=17.22291,-96.242069999999998" TargetMode="External"/><Relationship Id="rId9924" Type="http://schemas.openxmlformats.org/officeDocument/2006/relationships/hyperlink" Target="https://maps.google.com/?q=16.7091250800014,-96.710429766287703" TargetMode="External"/><Relationship Id="rId11854" Type="http://schemas.openxmlformats.org/officeDocument/2006/relationships/hyperlink" Target="https://maps.google.com/?q=17.022778,-96.078333" TargetMode="External"/><Relationship Id="rId12905" Type="http://schemas.openxmlformats.org/officeDocument/2006/relationships/hyperlink" Target="https://maps.google.com/?q=16.479775,-97.478066999999996" TargetMode="External"/><Relationship Id="rId1913" Type="http://schemas.openxmlformats.org/officeDocument/2006/relationships/hyperlink" Target="https://maps.google.com/?q=15.776692581271526,-96.136788314782621" TargetMode="External"/><Relationship Id="rId7475" Type="http://schemas.openxmlformats.org/officeDocument/2006/relationships/hyperlink" Target="https://maps.google.com/?q=16.9872172634027,-95.015424364418195" TargetMode="External"/><Relationship Id="rId8526" Type="http://schemas.openxmlformats.org/officeDocument/2006/relationships/hyperlink" Target="https://maps.google.com/?q=16.9296190044477,-96.597134341104507" TargetMode="External"/><Relationship Id="rId10456" Type="http://schemas.openxmlformats.org/officeDocument/2006/relationships/hyperlink" Target="https://maps.google.com/?q=17.0390022,-96.780820199999994" TargetMode="External"/><Relationship Id="rId11507" Type="http://schemas.openxmlformats.org/officeDocument/2006/relationships/hyperlink" Target="https://maps.google.com/?q=16.6108369058217,-96.848235597337705" TargetMode="External"/><Relationship Id="rId6077" Type="http://schemas.openxmlformats.org/officeDocument/2006/relationships/hyperlink" Target="https://maps.google.com/?q=18.163305735125547,-96.578275990880755" TargetMode="External"/><Relationship Id="rId7128" Type="http://schemas.openxmlformats.org/officeDocument/2006/relationships/hyperlink" Target="https://maps.google.com/?q=17.3581866624502,-97.656981485888394" TargetMode="External"/><Relationship Id="rId10109" Type="http://schemas.openxmlformats.org/officeDocument/2006/relationships/hyperlink" Target="https://maps.google.com/?q=17.0235452815002,-96.137759875582006" TargetMode="External"/><Relationship Id="rId13679" Type="http://schemas.openxmlformats.org/officeDocument/2006/relationships/hyperlink" Target="https://maps.google.com/?q=16.320614,-94.756942" TargetMode="External"/><Relationship Id="rId2687" Type="http://schemas.openxmlformats.org/officeDocument/2006/relationships/hyperlink" Target="https://maps.google.com/?q=17.942998,-96.101062999999996" TargetMode="External"/><Relationship Id="rId3738" Type="http://schemas.openxmlformats.org/officeDocument/2006/relationships/hyperlink" Target="https://maps.google.com/?q=15.760653470974681,-96.141582927354875" TargetMode="External"/><Relationship Id="rId659" Type="http://schemas.openxmlformats.org/officeDocument/2006/relationships/hyperlink" Target="https://maps.google.com/?q=16.056773,-97.390822999999997" TargetMode="External"/><Relationship Id="rId1289" Type="http://schemas.openxmlformats.org/officeDocument/2006/relationships/hyperlink" Target="https://maps.google.com/?q=17.080154,-96.726937" TargetMode="External"/><Relationship Id="rId5160" Type="http://schemas.openxmlformats.org/officeDocument/2006/relationships/hyperlink" Target="https://maps.google.com/?q=17.254914,-96.152732999999998" TargetMode="External"/><Relationship Id="rId6211" Type="http://schemas.openxmlformats.org/officeDocument/2006/relationships/hyperlink" Target="https://maps.google.com/?q=16.095775,-97.085077999999996" TargetMode="External"/><Relationship Id="rId8383" Type="http://schemas.openxmlformats.org/officeDocument/2006/relationships/hyperlink" Target="https://maps.google.com/?q=16.8462737519205,-97.201508531205306" TargetMode="External"/><Relationship Id="rId9781" Type="http://schemas.openxmlformats.org/officeDocument/2006/relationships/hyperlink" Target="https://maps.google.com/?q=16.6394801922867,-96.751294226627095" TargetMode="External"/><Relationship Id="rId12762" Type="http://schemas.openxmlformats.org/officeDocument/2006/relationships/hyperlink" Target="https://maps.google.com/?q=17.4560979847159,-97.284864092209105" TargetMode="External"/><Relationship Id="rId13813" Type="http://schemas.openxmlformats.org/officeDocument/2006/relationships/hyperlink" Target="https://maps.google.com/?q=16.997699,-97.799373000000003" TargetMode="External"/><Relationship Id="rId1770" Type="http://schemas.openxmlformats.org/officeDocument/2006/relationships/hyperlink" Target="https://maps.google.com/?q=18.06182483,-96.847758279999994" TargetMode="External"/><Relationship Id="rId2821" Type="http://schemas.openxmlformats.org/officeDocument/2006/relationships/hyperlink" Target="https://maps.google.com/?q=16.990736118534,-97.715969521495794" TargetMode="External"/><Relationship Id="rId8036" Type="http://schemas.openxmlformats.org/officeDocument/2006/relationships/hyperlink" Target="https://maps.google.com/?q=16.4912252149217,-97.382325763521706" TargetMode="External"/><Relationship Id="rId9434" Type="http://schemas.openxmlformats.org/officeDocument/2006/relationships/hyperlink" Target="https://maps.google.com/?q=16.4756226993657,-94.338490930780395" TargetMode="External"/><Relationship Id="rId11364" Type="http://schemas.openxmlformats.org/officeDocument/2006/relationships/hyperlink" Target="https://maps.google.com/?q=16.3621208438818,-94.192765792659699" TargetMode="External"/><Relationship Id="rId12415" Type="http://schemas.openxmlformats.org/officeDocument/2006/relationships/hyperlink" Target="https://maps.google.com/?q=16.5579428668672,-96.824493728836103" TargetMode="External"/><Relationship Id="rId1423" Type="http://schemas.openxmlformats.org/officeDocument/2006/relationships/hyperlink" Target="https://maps.google.com/?q=18.082556,-96.152877" TargetMode="External"/><Relationship Id="rId4993" Type="http://schemas.openxmlformats.org/officeDocument/2006/relationships/hyperlink" Target="https://maps.google.com/?q=16.44203628642544,-98.1280065466225" TargetMode="External"/><Relationship Id="rId11017" Type="http://schemas.openxmlformats.org/officeDocument/2006/relationships/hyperlink" Target="https://maps.google.com/?q=17.157929,-97.188658000000004" TargetMode="External"/><Relationship Id="rId3595" Type="http://schemas.openxmlformats.org/officeDocument/2006/relationships/hyperlink" Target="https://maps.google.com/?q=15.77655480962861,-96.136613051213573" TargetMode="External"/><Relationship Id="rId4646" Type="http://schemas.openxmlformats.org/officeDocument/2006/relationships/hyperlink" Target="https://maps.google.com/?q=17.082395,-96.74594700" TargetMode="External"/><Relationship Id="rId13189" Type="http://schemas.openxmlformats.org/officeDocument/2006/relationships/hyperlink" Target="https://maps.google.com/?q=16.5726457059807,-97.017630373016402" TargetMode="External"/><Relationship Id="rId2197" Type="http://schemas.openxmlformats.org/officeDocument/2006/relationships/hyperlink" Target="https://maps.google.com/?q=16.9674317383319,-97.223815216731296" TargetMode="External"/><Relationship Id="rId3248" Type="http://schemas.openxmlformats.org/officeDocument/2006/relationships/hyperlink" Target="https://maps.google.com/?q=17.0554802971011,-96.819620516298301" TargetMode="External"/><Relationship Id="rId7869" Type="http://schemas.openxmlformats.org/officeDocument/2006/relationships/hyperlink" Target="https://maps.google.com/?q=16.3165628931387,-96.402913006751902" TargetMode="External"/><Relationship Id="rId10100" Type="http://schemas.openxmlformats.org/officeDocument/2006/relationships/hyperlink" Target="https://maps.google.com/?q=17.0200098267895,-96.129020934834102" TargetMode="External"/><Relationship Id="rId169" Type="http://schemas.openxmlformats.org/officeDocument/2006/relationships/hyperlink" Target="https://maps.google.com/?q=17.090116,-97.500977000000006" TargetMode="External"/><Relationship Id="rId9291" Type="http://schemas.openxmlformats.org/officeDocument/2006/relationships/hyperlink" Target="https://maps.google.com/?q=16.9270697634402,-95.205417768458801" TargetMode="External"/><Relationship Id="rId13670" Type="http://schemas.openxmlformats.org/officeDocument/2006/relationships/hyperlink" Target="https://maps.google.com/?q=17.146399,-96.112122" TargetMode="External"/><Relationship Id="rId650" Type="http://schemas.openxmlformats.org/officeDocument/2006/relationships/hyperlink" Target="https://maps.google.com/?q=16.058445,-97.389632000000006" TargetMode="External"/><Relationship Id="rId1280" Type="http://schemas.openxmlformats.org/officeDocument/2006/relationships/hyperlink" Target="https://maps.google.com/?q=17.080069,-96.725792" TargetMode="External"/><Relationship Id="rId2331" Type="http://schemas.openxmlformats.org/officeDocument/2006/relationships/hyperlink" Target="https://maps.google.com/?q=17.060307,-97.665953000000002" TargetMode="External"/><Relationship Id="rId12272" Type="http://schemas.openxmlformats.org/officeDocument/2006/relationships/hyperlink" Target="https://maps.google.com/?q=16.4810418854652,-94.346063480985507" TargetMode="External"/><Relationship Id="rId13323" Type="http://schemas.openxmlformats.org/officeDocument/2006/relationships/hyperlink" Target="https://maps.google.com/?q=17.4503073658149,-98.001991713567094" TargetMode="External"/><Relationship Id="rId303" Type="http://schemas.openxmlformats.org/officeDocument/2006/relationships/hyperlink" Target="https://maps.google.com/?q=16.062679,-97.383121000000003" TargetMode="External"/><Relationship Id="rId6952" Type="http://schemas.openxmlformats.org/officeDocument/2006/relationships/hyperlink" Target="https://maps.google.com/?q=16.3272046,-95.253690000000006" TargetMode="External"/><Relationship Id="rId5554" Type="http://schemas.openxmlformats.org/officeDocument/2006/relationships/hyperlink" Target="https://maps.google.com/?q=18.257502,-96.283009000000007" TargetMode="External"/><Relationship Id="rId6605" Type="http://schemas.openxmlformats.org/officeDocument/2006/relationships/hyperlink" Target="https://maps.google.com/?q=17.091665,-96.065849" TargetMode="External"/><Relationship Id="rId14097" Type="http://schemas.openxmlformats.org/officeDocument/2006/relationships/hyperlink" Target="https://maps.google.com/?q=16.178975275721896,-95.92020111176167" TargetMode="External"/><Relationship Id="rId4156" Type="http://schemas.openxmlformats.org/officeDocument/2006/relationships/hyperlink" Target="https://maps.google.com/?q=16.4243553649438,-98.169661813087998" TargetMode="External"/><Relationship Id="rId5207" Type="http://schemas.openxmlformats.org/officeDocument/2006/relationships/hyperlink" Target="https://maps.google.com/?q=17.317896,-95.968658000000005" TargetMode="External"/><Relationship Id="rId8777" Type="http://schemas.openxmlformats.org/officeDocument/2006/relationships/hyperlink" Target="https://maps.google.com/?q=17.20816,-96.252155999999999" TargetMode="External"/><Relationship Id="rId9828" Type="http://schemas.openxmlformats.org/officeDocument/2006/relationships/hyperlink" Target="https://maps.google.com/?q=16.6325009050555,-96.8521788703323" TargetMode="External"/><Relationship Id="rId11758" Type="http://schemas.openxmlformats.org/officeDocument/2006/relationships/hyperlink" Target="https://maps.google.com/?q=17.08120086621622,-96.66900117179298" TargetMode="External"/><Relationship Id="rId1817" Type="http://schemas.openxmlformats.org/officeDocument/2006/relationships/hyperlink" Target="https://maps.google.com/?q=18.0349495007103,-96.8967186" TargetMode="External"/><Relationship Id="rId7379" Type="http://schemas.openxmlformats.org/officeDocument/2006/relationships/hyperlink" Target="https://maps.google.com/?q=17.0408225922086,-97.298414473978397" TargetMode="External"/><Relationship Id="rId12809" Type="http://schemas.openxmlformats.org/officeDocument/2006/relationships/hyperlink" Target="https://maps.google.com/?q=17.8473704686917,-97.431302788677698" TargetMode="External"/><Relationship Id="rId13180" Type="http://schemas.openxmlformats.org/officeDocument/2006/relationships/hyperlink" Target="https://maps.google.com/?q=16.5701817670601,-97.011979687052602" TargetMode="External"/><Relationship Id="rId160" Type="http://schemas.openxmlformats.org/officeDocument/2006/relationships/hyperlink" Target="https://maps.google.com/?q=17.092675,-97.498296999999994" TargetMode="External"/><Relationship Id="rId3989" Type="http://schemas.openxmlformats.org/officeDocument/2006/relationships/hyperlink" Target="https://maps.google.com/?q=17.06286,-96.757170000000002" TargetMode="External"/><Relationship Id="rId6462" Type="http://schemas.openxmlformats.org/officeDocument/2006/relationships/hyperlink" Target="https://maps.google.com/?q=16.378337,-97.282489999999996" TargetMode="External"/><Relationship Id="rId7860" Type="http://schemas.openxmlformats.org/officeDocument/2006/relationships/hyperlink" Target="https://maps.google.com/?q=16.3155440764509,-96.411253480510197" TargetMode="External"/><Relationship Id="rId8911" Type="http://schemas.openxmlformats.org/officeDocument/2006/relationships/hyperlink" Target="https://maps.google.com/?q=17.380305088,-96.161913185000003" TargetMode="External"/><Relationship Id="rId10841" Type="http://schemas.openxmlformats.org/officeDocument/2006/relationships/hyperlink" Target="https://maps.google.com/?q=16.4040946677618,-94.462995578743602" TargetMode="External"/><Relationship Id="rId5064" Type="http://schemas.openxmlformats.org/officeDocument/2006/relationships/hyperlink" Target="https://maps.google.com/?q=17.252184,-96.151872999999995" TargetMode="External"/><Relationship Id="rId6115" Type="http://schemas.openxmlformats.org/officeDocument/2006/relationships/hyperlink" Target="https://maps.google.com/?q=17.978165,-96.701571999999999" TargetMode="External"/><Relationship Id="rId7513" Type="http://schemas.openxmlformats.org/officeDocument/2006/relationships/hyperlink" Target="https://maps.google.com/?q=17.9731333491342,-96.702302522907004" TargetMode="External"/><Relationship Id="rId9685" Type="http://schemas.openxmlformats.org/officeDocument/2006/relationships/hyperlink" Target="https://maps.google.com/?q=16.319793235011,-96.586508431013499" TargetMode="External"/><Relationship Id="rId12666" Type="http://schemas.openxmlformats.org/officeDocument/2006/relationships/hyperlink" Target="https://maps.google.com/?q=16.9207319988369,-97.893149598530897" TargetMode="External"/><Relationship Id="rId13717" Type="http://schemas.openxmlformats.org/officeDocument/2006/relationships/hyperlink" Target="https://maps.google.com/?q=16.3334,-98.378599" TargetMode="External"/><Relationship Id="rId1674" Type="http://schemas.openxmlformats.org/officeDocument/2006/relationships/hyperlink" Target="https://maps.google.com/?q=18.0045346856695,-96.895282665448505" TargetMode="External"/><Relationship Id="rId2725" Type="http://schemas.openxmlformats.org/officeDocument/2006/relationships/hyperlink" Target="https://maps.google.com/?q=15.9283450583837,-96.418621651110797" TargetMode="External"/><Relationship Id="rId8287" Type="http://schemas.openxmlformats.org/officeDocument/2006/relationships/hyperlink" Target="https://maps.google.com/?q=17.6272862064302,-97.036417951638199" TargetMode="External"/><Relationship Id="rId9338" Type="http://schemas.openxmlformats.org/officeDocument/2006/relationships/hyperlink" Target="https://maps.google.com/?q=16.8171496430843,-95.138629538638597" TargetMode="External"/><Relationship Id="rId11268" Type="http://schemas.openxmlformats.org/officeDocument/2006/relationships/hyperlink" Target="https://maps.google.com/?q=17.8655262552087,-96.308252863610704" TargetMode="External"/><Relationship Id="rId12319" Type="http://schemas.openxmlformats.org/officeDocument/2006/relationships/hyperlink" Target="https://maps.google.com/?q=17.307718,-96.164276" TargetMode="External"/><Relationship Id="rId1327" Type="http://schemas.openxmlformats.org/officeDocument/2006/relationships/hyperlink" Target="https://maps.google.com/?q=17.01772643,-96.71859304" TargetMode="External"/><Relationship Id="rId4897" Type="http://schemas.openxmlformats.org/officeDocument/2006/relationships/hyperlink" Target="https://maps.google.com/?q=18.02921,-96.665215000000003" TargetMode="External"/><Relationship Id="rId5948" Type="http://schemas.openxmlformats.org/officeDocument/2006/relationships/hyperlink" Target="https://maps.google.com/?q=18.153810278713866,-96.572154125883131" TargetMode="External"/><Relationship Id="rId33" Type="http://schemas.openxmlformats.org/officeDocument/2006/relationships/hyperlink" Target="https://maps.google.com/?q=17.223973,-97.119905000000003" TargetMode="External"/><Relationship Id="rId3499" Type="http://schemas.openxmlformats.org/officeDocument/2006/relationships/hyperlink" Target="https://maps.google.com/?q=16.143746,-96.448530" TargetMode="External"/><Relationship Id="rId7370" Type="http://schemas.openxmlformats.org/officeDocument/2006/relationships/hyperlink" Target="https://maps.google.com/?q=17.0366586255441,-97.292759187258099" TargetMode="External"/><Relationship Id="rId8421" Type="http://schemas.openxmlformats.org/officeDocument/2006/relationships/hyperlink" Target="https://maps.google.com/?q=16.0910172711362,-96.243917107969295" TargetMode="External"/><Relationship Id="rId12800" Type="http://schemas.openxmlformats.org/officeDocument/2006/relationships/hyperlink" Target="https://maps.google.com/?q=16.111863,-97.290047999999999" TargetMode="External"/><Relationship Id="rId7023" Type="http://schemas.openxmlformats.org/officeDocument/2006/relationships/hyperlink" Target="https://maps.google.com/?q=17.0427952598815,-97.297679889060504" TargetMode="External"/><Relationship Id="rId10351" Type="http://schemas.openxmlformats.org/officeDocument/2006/relationships/hyperlink" Target="https://maps.google.com/?q=17.433568797749,-96.658360700732999" TargetMode="External"/><Relationship Id="rId11402" Type="http://schemas.openxmlformats.org/officeDocument/2006/relationships/hyperlink" Target="https://maps.google.com/?q=17.2021663649347,-97.757916130990196" TargetMode="External"/><Relationship Id="rId3980" Type="http://schemas.openxmlformats.org/officeDocument/2006/relationships/hyperlink" Target="https://maps.google.com/?q=17.062102,-96.753140999999999" TargetMode="External"/><Relationship Id="rId9195" Type="http://schemas.openxmlformats.org/officeDocument/2006/relationships/hyperlink" Target="https://maps.google.com/?q=17.3744276101726,-96.299754015762105" TargetMode="External"/><Relationship Id="rId10004" Type="http://schemas.openxmlformats.org/officeDocument/2006/relationships/hyperlink" Target="https://maps.google.com/?q=17.0933880745474,-97.497734539999996" TargetMode="External"/><Relationship Id="rId13574" Type="http://schemas.openxmlformats.org/officeDocument/2006/relationships/hyperlink" Target="https://maps.google.com/?q=17.57946985967963,-97.88875675734404" TargetMode="External"/><Relationship Id="rId1184" Type="http://schemas.openxmlformats.org/officeDocument/2006/relationships/hyperlink" Target="https://maps.google.com/?q=15.783544,-96.141793" TargetMode="External"/><Relationship Id="rId2582" Type="http://schemas.openxmlformats.org/officeDocument/2006/relationships/hyperlink" Target="https://maps.google.com/?q=18.218314,-96.336230999999998" TargetMode="External"/><Relationship Id="rId3633" Type="http://schemas.openxmlformats.org/officeDocument/2006/relationships/hyperlink" Target="https://maps.google.com/?q=15.77742056891527,-96.137207099626565" TargetMode="External"/><Relationship Id="rId12176" Type="http://schemas.openxmlformats.org/officeDocument/2006/relationships/hyperlink" Target="https://maps.google.com/?q=17.4165363915932,-95.944759986155404" TargetMode="External"/><Relationship Id="rId13227" Type="http://schemas.openxmlformats.org/officeDocument/2006/relationships/hyperlink" Target="https://maps.google.com/?q=17.1379042836757,-96.753468394579002" TargetMode="External"/><Relationship Id="rId554" Type="http://schemas.openxmlformats.org/officeDocument/2006/relationships/hyperlink" Target="https://maps.google.com/?q=16.052824,-97.400602000000006" TargetMode="External"/><Relationship Id="rId2235" Type="http://schemas.openxmlformats.org/officeDocument/2006/relationships/hyperlink" Target="https://maps.google.com/?q=16.8015182551921,-96.438214612845499" TargetMode="External"/><Relationship Id="rId6856" Type="http://schemas.openxmlformats.org/officeDocument/2006/relationships/hyperlink" Target="https://maps.google.com/?q=17.009943810184,-96.979815916112202" TargetMode="External"/><Relationship Id="rId7907" Type="http://schemas.openxmlformats.org/officeDocument/2006/relationships/hyperlink" Target="https://maps.google.com/?q=16.3195810457001,-96.407022699821695" TargetMode="External"/><Relationship Id="rId207" Type="http://schemas.openxmlformats.org/officeDocument/2006/relationships/hyperlink" Target="https://maps.google.com/?q=17.096421,-97.496446000000006" TargetMode="External"/><Relationship Id="rId5458" Type="http://schemas.openxmlformats.org/officeDocument/2006/relationships/hyperlink" Target="https://maps.google.com/?q=16.0090324982843,-97.424816351707094" TargetMode="External"/><Relationship Id="rId6509" Type="http://schemas.openxmlformats.org/officeDocument/2006/relationships/hyperlink" Target="https://maps.google.com/?q=17.2216623083742,-97.561139801609102" TargetMode="External"/><Relationship Id="rId12310" Type="http://schemas.openxmlformats.org/officeDocument/2006/relationships/hyperlink" Target="https://maps.google.com/?q=17.155307,-96.218743" TargetMode="External"/><Relationship Id="rId3490" Type="http://schemas.openxmlformats.org/officeDocument/2006/relationships/hyperlink" Target="https://maps.google.com/?q=16.496255,-96.549824999999998" TargetMode="External"/><Relationship Id="rId4541" Type="http://schemas.openxmlformats.org/officeDocument/2006/relationships/hyperlink" Target="https://maps.google.com/?q=17.1843669887178,-97.303999196766" TargetMode="External"/><Relationship Id="rId13084" Type="http://schemas.openxmlformats.org/officeDocument/2006/relationships/hyperlink" Target="https://maps.google.com/?q=16.5643179,-97.529962499999996" TargetMode="External"/><Relationship Id="rId14135" Type="http://schemas.openxmlformats.org/officeDocument/2006/relationships/hyperlink" Target="https://maps.google.com/?q=18.076877845097908,-96.80489810185242" TargetMode="External"/><Relationship Id="rId2092" Type="http://schemas.openxmlformats.org/officeDocument/2006/relationships/hyperlink" Target="https://maps.google.com/?q=15.762282,-96.150056" TargetMode="External"/><Relationship Id="rId3143" Type="http://schemas.openxmlformats.org/officeDocument/2006/relationships/hyperlink" Target="https://maps.google.com/?q=16.587163,-97.444778999999997" TargetMode="External"/><Relationship Id="rId7764" Type="http://schemas.openxmlformats.org/officeDocument/2006/relationships/hyperlink" Target="https://maps.google.com/?q=16.074393,&#160;-96.303348" TargetMode="External"/><Relationship Id="rId8815" Type="http://schemas.openxmlformats.org/officeDocument/2006/relationships/hyperlink" Target="https://maps.google.com/?q=17.21591,-96.248889000000005" TargetMode="External"/><Relationship Id="rId10745" Type="http://schemas.openxmlformats.org/officeDocument/2006/relationships/hyperlink" Target="https://maps.google.com/?q=17.884506,-96.875332" TargetMode="External"/><Relationship Id="rId6366" Type="http://schemas.openxmlformats.org/officeDocument/2006/relationships/hyperlink" Target="https://maps.google.com/?q=17.08384,-96.71824" TargetMode="External"/><Relationship Id="rId7417" Type="http://schemas.openxmlformats.org/officeDocument/2006/relationships/hyperlink" Target="https://maps.google.com/?q=17.036072,-97.053629000000001" TargetMode="External"/><Relationship Id="rId13968" Type="http://schemas.openxmlformats.org/officeDocument/2006/relationships/hyperlink" Target="https://maps.google.com/?q=16.36704484,-95.02371848" TargetMode="External"/><Relationship Id="rId2976" Type="http://schemas.openxmlformats.org/officeDocument/2006/relationships/hyperlink" Target="https://maps.google.com/?q=17.9078507809243,-98.011565608459804" TargetMode="External"/><Relationship Id="rId6019" Type="http://schemas.openxmlformats.org/officeDocument/2006/relationships/hyperlink" Target="https://maps.google.com/?q=18.155883661938855,-96.573092441701135" TargetMode="External"/><Relationship Id="rId9589" Type="http://schemas.openxmlformats.org/officeDocument/2006/relationships/hyperlink" Target="https://maps.google.com/?q=17.9923381118092,-96.744203528634202" TargetMode="External"/><Relationship Id="rId948" Type="http://schemas.openxmlformats.org/officeDocument/2006/relationships/hyperlink" Target="https://maps.google.com/?q=15.683049911403172,-96.510750074363699" TargetMode="External"/><Relationship Id="rId1578" Type="http://schemas.openxmlformats.org/officeDocument/2006/relationships/hyperlink" Target="https://maps.google.com/?q=16.56524,-96.700320000000005" TargetMode="External"/><Relationship Id="rId2629" Type="http://schemas.openxmlformats.org/officeDocument/2006/relationships/hyperlink" Target="https://maps.google.com/?q=18.082535,-96.167963999999998" TargetMode="External"/><Relationship Id="rId6500" Type="http://schemas.openxmlformats.org/officeDocument/2006/relationships/hyperlink" Target="https://maps.google.com/?q=17.2069152349469,-97.570670661872299" TargetMode="External"/><Relationship Id="rId4051" Type="http://schemas.openxmlformats.org/officeDocument/2006/relationships/hyperlink" Target="https://maps.google.com/?q=17.080164,-96.726157000000001" TargetMode="External"/><Relationship Id="rId5102" Type="http://schemas.openxmlformats.org/officeDocument/2006/relationships/hyperlink" Target="https://maps.google.com/?q=17.253483,-96.154324000000003" TargetMode="External"/><Relationship Id="rId8672" Type="http://schemas.openxmlformats.org/officeDocument/2006/relationships/hyperlink" Target="https://maps.google.com/?q=16.2789222301322,-96.299920820337704" TargetMode="External"/><Relationship Id="rId7274" Type="http://schemas.openxmlformats.org/officeDocument/2006/relationships/hyperlink" Target="https://maps.google.com/?q=16.3021686769219,-97.911084277791304" TargetMode="External"/><Relationship Id="rId8325" Type="http://schemas.openxmlformats.org/officeDocument/2006/relationships/hyperlink" Target="https://maps.google.com/?q=16.54186,-98.033737000000002" TargetMode="External"/><Relationship Id="rId9723" Type="http://schemas.openxmlformats.org/officeDocument/2006/relationships/hyperlink" Target="https://maps.google.com/?q=16.5146885872662,-96.96993814" TargetMode="External"/><Relationship Id="rId11653" Type="http://schemas.openxmlformats.org/officeDocument/2006/relationships/hyperlink" Target="https://maps.google.com/?q=17.17374152,-97.709049519999994" TargetMode="External"/><Relationship Id="rId12704" Type="http://schemas.openxmlformats.org/officeDocument/2006/relationships/hyperlink" Target="https://maps.google.com/?q=16.2838189179558,-96.502535635408705" TargetMode="External"/><Relationship Id="rId1712" Type="http://schemas.openxmlformats.org/officeDocument/2006/relationships/hyperlink" Target="https://maps.google.com/?q=18.0754397423345,-96.896869388541106" TargetMode="External"/><Relationship Id="rId10255" Type="http://schemas.openxmlformats.org/officeDocument/2006/relationships/hyperlink" Target="https://maps.google.com/?q=16.242127,-95.151826999999997" TargetMode="External"/><Relationship Id="rId11306" Type="http://schemas.openxmlformats.org/officeDocument/2006/relationships/hyperlink" Target="https://maps.google.com/?q=17.8680926671457,-96.308664592209297" TargetMode="External"/><Relationship Id="rId3884" Type="http://schemas.openxmlformats.org/officeDocument/2006/relationships/hyperlink" Target="https://maps.google.com/?q=17.106923749715,-95.931458038970206" TargetMode="External"/><Relationship Id="rId4935" Type="http://schemas.openxmlformats.org/officeDocument/2006/relationships/hyperlink" Target="https://maps.google.com/?q=18.033722,-96.671081999999998" TargetMode="External"/><Relationship Id="rId9099" Type="http://schemas.openxmlformats.org/officeDocument/2006/relationships/hyperlink" Target="https://maps.google.com/?q=16.34232701905533,-98.44557207644472" TargetMode="External"/><Relationship Id="rId13478" Type="http://schemas.openxmlformats.org/officeDocument/2006/relationships/hyperlink" Target="https://maps.google.com/?q=17.6884965962097,-97.036188339475203" TargetMode="External"/><Relationship Id="rId2486" Type="http://schemas.openxmlformats.org/officeDocument/2006/relationships/hyperlink" Target="https://maps.google.com/?q=17.05192893,-96.624537869999997" TargetMode="External"/><Relationship Id="rId3537" Type="http://schemas.openxmlformats.org/officeDocument/2006/relationships/hyperlink" Target="https://maps.google.com/?q=15.770066,-96.151393" TargetMode="External"/><Relationship Id="rId458" Type="http://schemas.openxmlformats.org/officeDocument/2006/relationships/hyperlink" Target="https://maps.google.com/?q=16.054064,-97.409265000000005" TargetMode="External"/><Relationship Id="rId1088" Type="http://schemas.openxmlformats.org/officeDocument/2006/relationships/hyperlink" Target="https://maps.google.com/?q=17.094537,-97.498720000000006" TargetMode="External"/><Relationship Id="rId2139" Type="http://schemas.openxmlformats.org/officeDocument/2006/relationships/hyperlink" Target="https://maps.google.com/?q=15.763525,-96.142960000000002" TargetMode="External"/><Relationship Id="rId6010" Type="http://schemas.openxmlformats.org/officeDocument/2006/relationships/hyperlink" Target="https://maps.google.com/?q=18.155310258900332,-96.576137402989474" TargetMode="External"/><Relationship Id="rId9580" Type="http://schemas.openxmlformats.org/officeDocument/2006/relationships/hyperlink" Target="https://maps.google.com/?q=17.9990799461614,-96.754548959147201" TargetMode="External"/><Relationship Id="rId2620" Type="http://schemas.openxmlformats.org/officeDocument/2006/relationships/hyperlink" Target="https://maps.google.com/?q=18.079793,-96.172777999999994" TargetMode="External"/><Relationship Id="rId8182" Type="http://schemas.openxmlformats.org/officeDocument/2006/relationships/hyperlink" Target="https://maps.google.com/?q=16.666105,-96.307457999999997" TargetMode="External"/><Relationship Id="rId9233" Type="http://schemas.openxmlformats.org/officeDocument/2006/relationships/hyperlink" Target="https://maps.google.com/?q=17.3762319094996,-96.301588540598402" TargetMode="External"/><Relationship Id="rId11163" Type="http://schemas.openxmlformats.org/officeDocument/2006/relationships/hyperlink" Target="https://maps.google.com/?q=16.841793,-96.009411999999998" TargetMode="External"/><Relationship Id="rId12214" Type="http://schemas.openxmlformats.org/officeDocument/2006/relationships/hyperlink" Target="https://maps.google.com/?q=17.4185353476503,-95.948913510082306" TargetMode="External"/><Relationship Id="rId12561" Type="http://schemas.openxmlformats.org/officeDocument/2006/relationships/hyperlink" Target="https://maps.google.com/?q=16.5317881468047,-96.985079344697795" TargetMode="External"/><Relationship Id="rId13612" Type="http://schemas.openxmlformats.org/officeDocument/2006/relationships/hyperlink" Target="https://maps.google.com/?q=17.271015,-96.236877" TargetMode="External"/><Relationship Id="rId1222" Type="http://schemas.openxmlformats.org/officeDocument/2006/relationships/hyperlink" Target="https://maps.google.com/?q=18.111112,-96.623361" TargetMode="External"/><Relationship Id="rId3394" Type="http://schemas.openxmlformats.org/officeDocument/2006/relationships/hyperlink" Target="https://maps.google.com/?q=18.0050336405511,-96.643633944774606" TargetMode="External"/><Relationship Id="rId4792" Type="http://schemas.openxmlformats.org/officeDocument/2006/relationships/hyperlink" Target="https://maps.google.com/?q=17.9584136641693,-96.659235255990097" TargetMode="External"/><Relationship Id="rId5843" Type="http://schemas.openxmlformats.org/officeDocument/2006/relationships/hyperlink" Target="https://maps.google.com/?q=16.0096741769968,-97.424690635581896" TargetMode="External"/><Relationship Id="rId3047" Type="http://schemas.openxmlformats.org/officeDocument/2006/relationships/hyperlink" Target="https://maps.google.com/?q=16.9635193011748,-96.941572412179596" TargetMode="External"/><Relationship Id="rId4445" Type="http://schemas.openxmlformats.org/officeDocument/2006/relationships/hyperlink" Target="https://maps.google.com/?q=16.647574,-96.772368999999998" TargetMode="External"/><Relationship Id="rId10996" Type="http://schemas.openxmlformats.org/officeDocument/2006/relationships/hyperlink" Target="https://maps.google.com/?q=17.154539,-97.185576999999995" TargetMode="External"/><Relationship Id="rId14039" Type="http://schemas.openxmlformats.org/officeDocument/2006/relationships/hyperlink" Target="https://maps.google.com/?q=17.078275501854232,-96.74481137903801" TargetMode="External"/><Relationship Id="rId7668" Type="http://schemas.openxmlformats.org/officeDocument/2006/relationships/hyperlink" Target="https://maps.google.com/?q=17.233499963863,-95.051469247139394" TargetMode="External"/><Relationship Id="rId8719" Type="http://schemas.openxmlformats.org/officeDocument/2006/relationships/hyperlink" Target="https://maps.google.com/?q=17.0566017857443,-96.820650999990306" TargetMode="External"/><Relationship Id="rId10649" Type="http://schemas.openxmlformats.org/officeDocument/2006/relationships/hyperlink" Target="https://maps.google.com/?q=17.121597089349,-97.789678670000399" TargetMode="External"/><Relationship Id="rId9090" Type="http://schemas.openxmlformats.org/officeDocument/2006/relationships/hyperlink" Target="https://maps.google.com/?q=16.065097,-95.501412999999999" TargetMode="External"/><Relationship Id="rId12071" Type="http://schemas.openxmlformats.org/officeDocument/2006/relationships/hyperlink" Target="https://maps.google.com/?q=16.24379442,-95.325017549999998" TargetMode="External"/><Relationship Id="rId13122" Type="http://schemas.openxmlformats.org/officeDocument/2006/relationships/hyperlink" Target="https://maps.google.com/?q=16.5681475,-97.537462289999993" TargetMode="External"/><Relationship Id="rId2130" Type="http://schemas.openxmlformats.org/officeDocument/2006/relationships/hyperlink" Target="https://maps.google.com/?q=15.762867,-96.142363000000003" TargetMode="External"/><Relationship Id="rId6751" Type="http://schemas.openxmlformats.org/officeDocument/2006/relationships/hyperlink" Target="https://maps.google.com/?q=16.7015864708885,-97.014612123619301" TargetMode="External"/><Relationship Id="rId102" Type="http://schemas.openxmlformats.org/officeDocument/2006/relationships/hyperlink" Target="https://maps.google.com/?q=17.097171,-97.493083999999996" TargetMode="External"/><Relationship Id="rId5353" Type="http://schemas.openxmlformats.org/officeDocument/2006/relationships/hyperlink" Target="https://maps.google.com/?q=16.524508,-97.167264000000003" TargetMode="External"/><Relationship Id="rId6404" Type="http://schemas.openxmlformats.org/officeDocument/2006/relationships/hyperlink" Target="https://maps.google.com/?q=17.2579372308949,-97.566292708343298" TargetMode="External"/><Relationship Id="rId7802" Type="http://schemas.openxmlformats.org/officeDocument/2006/relationships/hyperlink" Target="https://maps.google.com/?q=17.8458780665053,-96.743129731252196" TargetMode="External"/><Relationship Id="rId5006" Type="http://schemas.openxmlformats.org/officeDocument/2006/relationships/hyperlink" Target="https://maps.google.com/?q=17.331248,-96.487900999999994" TargetMode="External"/><Relationship Id="rId9974" Type="http://schemas.openxmlformats.org/officeDocument/2006/relationships/hyperlink" Target="https://maps.google.com/?q=17.097993,-97.496183%20" TargetMode="External"/><Relationship Id="rId12955" Type="http://schemas.openxmlformats.org/officeDocument/2006/relationships/hyperlink" Target="https://maps.google.com/?q=16.557267,-97.505806000000007" TargetMode="External"/><Relationship Id="rId1963" Type="http://schemas.openxmlformats.org/officeDocument/2006/relationships/hyperlink" Target="https://maps.google.com/?q=15.780167534771891,-96.138698053350339" TargetMode="External"/><Relationship Id="rId7178" Type="http://schemas.openxmlformats.org/officeDocument/2006/relationships/hyperlink" Target="https://maps.google.com/?q=16.2208244540858,-97.9203458185046" TargetMode="External"/><Relationship Id="rId8576" Type="http://schemas.openxmlformats.org/officeDocument/2006/relationships/hyperlink" Target="https://maps.google.com/?q=16.9311288707564,-96.605314093254094" TargetMode="External"/><Relationship Id="rId9627" Type="http://schemas.openxmlformats.org/officeDocument/2006/relationships/hyperlink" Target="https://maps.google.com/?q=17.9993334516645,-96.749555911599998" TargetMode="External"/><Relationship Id="rId11557" Type="http://schemas.openxmlformats.org/officeDocument/2006/relationships/hyperlink" Target="https://maps.google.com/?q=16.8317183007358,-96.706288553984606" TargetMode="External"/><Relationship Id="rId12608" Type="http://schemas.openxmlformats.org/officeDocument/2006/relationships/hyperlink" Target="https://maps.google.com/?q=17.1135287920161,-96.853910086508193" TargetMode="External"/><Relationship Id="rId1616" Type="http://schemas.openxmlformats.org/officeDocument/2006/relationships/hyperlink" Target="https://maps.google.com/?q=17.759032,-96.079143999999999" TargetMode="External"/><Relationship Id="rId8229" Type="http://schemas.openxmlformats.org/officeDocument/2006/relationships/hyperlink" Target="https://maps.google.com/?q=16.422982,-97.639453000000003" TargetMode="External"/><Relationship Id="rId10159" Type="http://schemas.openxmlformats.org/officeDocument/2006/relationships/hyperlink" Target="https://maps.google.com/?q=17.1044445779261,-97.494758482641998" TargetMode="External"/><Relationship Id="rId14030" Type="http://schemas.openxmlformats.org/officeDocument/2006/relationships/hyperlink" Target="https://maps.google.com/?q=17.0593038626711,-96.726130379881397" TargetMode="External"/><Relationship Id="rId3788" Type="http://schemas.openxmlformats.org/officeDocument/2006/relationships/hyperlink" Target="https://maps.google.com/?q=15.763383029702696,-96.253970142308873" TargetMode="External"/><Relationship Id="rId4839" Type="http://schemas.openxmlformats.org/officeDocument/2006/relationships/hyperlink" Target="https://maps.google.com/?q=17.336717863859,&#160;-96.16546064833362" TargetMode="External"/><Relationship Id="rId8710" Type="http://schemas.openxmlformats.org/officeDocument/2006/relationships/hyperlink" Target="https://maps.google.com/?q=17.0558542693383,-96.825578251104503" TargetMode="External"/><Relationship Id="rId6261" Type="http://schemas.openxmlformats.org/officeDocument/2006/relationships/hyperlink" Target="https://maps.google.com/?q=16.3888155480337,-96.7305281104491" TargetMode="External"/><Relationship Id="rId7312" Type="http://schemas.openxmlformats.org/officeDocument/2006/relationships/hyperlink" Target="https://maps.google.com/?q=16.72643335,-96.473192609999998" TargetMode="External"/><Relationship Id="rId10640" Type="http://schemas.openxmlformats.org/officeDocument/2006/relationships/hyperlink" Target="https://maps.google.com/?q=17.1201651287531,-97.788999645331302" TargetMode="External"/><Relationship Id="rId9484" Type="http://schemas.openxmlformats.org/officeDocument/2006/relationships/hyperlink" Target="https://maps.google.com/?q=17.458341,-97.225285" TargetMode="External"/><Relationship Id="rId13863" Type="http://schemas.openxmlformats.org/officeDocument/2006/relationships/hyperlink" Target="https://maps.google.com/?q=16.2647177830744,-96.580015615711901" TargetMode="External"/><Relationship Id="rId1473" Type="http://schemas.openxmlformats.org/officeDocument/2006/relationships/hyperlink" Target="https://maps.google.com/?q=16.454244845859733,-95.02745161681662" TargetMode="External"/><Relationship Id="rId2871" Type="http://schemas.openxmlformats.org/officeDocument/2006/relationships/hyperlink" Target="https://maps.google.com/?q=16.9882989448547,-97.681832422895795" TargetMode="External"/><Relationship Id="rId3922" Type="http://schemas.openxmlformats.org/officeDocument/2006/relationships/hyperlink" Target="https://maps.google.com/?q=17.047,-96.71366" TargetMode="External"/><Relationship Id="rId8086" Type="http://schemas.openxmlformats.org/officeDocument/2006/relationships/hyperlink" Target="https://maps.google.com/?q=17.3544115634116,-96.303496736745899" TargetMode="External"/><Relationship Id="rId9137" Type="http://schemas.openxmlformats.org/officeDocument/2006/relationships/hyperlink" Target="https://maps.google.com/?q=16.9701417281749,-97.087342702463999" TargetMode="External"/><Relationship Id="rId12465" Type="http://schemas.openxmlformats.org/officeDocument/2006/relationships/hyperlink" Target="https://maps.google.com/?q=17.2215934792642,-97.270727093581499" TargetMode="External"/><Relationship Id="rId13516" Type="http://schemas.openxmlformats.org/officeDocument/2006/relationships/hyperlink" Target="https://maps.google.com/?q=17.034522673184274,-96.07572939302908" TargetMode="External"/><Relationship Id="rId843" Type="http://schemas.openxmlformats.org/officeDocument/2006/relationships/hyperlink" Target="https://maps.google.com/?q=15.705272898203736,-96.52365914773118" TargetMode="External"/><Relationship Id="rId1126" Type="http://schemas.openxmlformats.org/officeDocument/2006/relationships/hyperlink" Target="https://maps.google.com/?q=17.095534,-97.497962000000001" TargetMode="External"/><Relationship Id="rId2524" Type="http://schemas.openxmlformats.org/officeDocument/2006/relationships/hyperlink" Target="https://maps.google.com/?q=17.05228545,-96.624027400000003" TargetMode="External"/><Relationship Id="rId11067" Type="http://schemas.openxmlformats.org/officeDocument/2006/relationships/hyperlink" Target="https://maps.google.com/?q=17.2828988088445,-97.371064761104506" TargetMode="External"/><Relationship Id="rId12118" Type="http://schemas.openxmlformats.org/officeDocument/2006/relationships/hyperlink" Target="https://maps.google.com/?q=16.3197896552155,-97.666035427896503" TargetMode="External"/><Relationship Id="rId4696" Type="http://schemas.openxmlformats.org/officeDocument/2006/relationships/hyperlink" Target="https://maps.google.com/?q=17.06286,-96.757170000000002" TargetMode="External"/><Relationship Id="rId5747" Type="http://schemas.openxmlformats.org/officeDocument/2006/relationships/hyperlink" Target="https://maps.google.com/?q=18.048871,-96.764627000000004" TargetMode="External"/><Relationship Id="rId3298" Type="http://schemas.openxmlformats.org/officeDocument/2006/relationships/hyperlink" Target="https://maps.google.com/?q=17.0630714652223,-96.823509730143698" TargetMode="External"/><Relationship Id="rId4349" Type="http://schemas.openxmlformats.org/officeDocument/2006/relationships/hyperlink" Target="https://maps.google.com/?q=15.95831663,-96.637442340000007" TargetMode="External"/><Relationship Id="rId8220" Type="http://schemas.openxmlformats.org/officeDocument/2006/relationships/hyperlink" Target="https://maps.google.com/?q=16.373557,-97.676742000000004" TargetMode="External"/><Relationship Id="rId10150" Type="http://schemas.openxmlformats.org/officeDocument/2006/relationships/hyperlink" Target="https://maps.google.com/?q=17.1266335058272,-97.497742558716993" TargetMode="External"/><Relationship Id="rId11201" Type="http://schemas.openxmlformats.org/officeDocument/2006/relationships/hyperlink" Target="https://maps.google.com/?q=16.857067,-96.690248" TargetMode="External"/><Relationship Id="rId4830" Type="http://schemas.openxmlformats.org/officeDocument/2006/relationships/hyperlink" Target="https://maps.google.com/?q=17.3344027143757,-96.165887090955906" TargetMode="External"/><Relationship Id="rId13373" Type="http://schemas.openxmlformats.org/officeDocument/2006/relationships/hyperlink" Target="https://maps.google.com/?q=16.3232998916627,-96.669284285879101" TargetMode="External"/><Relationship Id="rId2381" Type="http://schemas.openxmlformats.org/officeDocument/2006/relationships/hyperlink" Target="https://maps.google.com/?q=17.173717794687,-97.822266894511998" TargetMode="External"/><Relationship Id="rId3432" Type="http://schemas.openxmlformats.org/officeDocument/2006/relationships/hyperlink" Target="https://maps.google.com/?q=17.0670384471031,-96.967701653783095" TargetMode="External"/><Relationship Id="rId13026" Type="http://schemas.openxmlformats.org/officeDocument/2006/relationships/hyperlink" Target="https://maps.google.com/?q=16.5064161,-97.553817800000004" TargetMode="External"/><Relationship Id="rId353" Type="http://schemas.openxmlformats.org/officeDocument/2006/relationships/hyperlink" Target="https://maps.google.com/?q=16.055035,-97.407435000000007" TargetMode="External"/><Relationship Id="rId2034" Type="http://schemas.openxmlformats.org/officeDocument/2006/relationships/hyperlink" Target="https://maps.google.com/?q=15.7589602693279,-96.139872105262356" TargetMode="External"/><Relationship Id="rId5257" Type="http://schemas.openxmlformats.org/officeDocument/2006/relationships/hyperlink" Target="https://maps.google.com/?q=15.8857316928195,-96.322646186981302" TargetMode="External"/><Relationship Id="rId6655" Type="http://schemas.openxmlformats.org/officeDocument/2006/relationships/hyperlink" Target="https://maps.google.com/?q=17.756522,-96.194441999999995" TargetMode="External"/><Relationship Id="rId7706" Type="http://schemas.openxmlformats.org/officeDocument/2006/relationships/hyperlink" Target="https://maps.google.com/?q=16.6283960228043,-96.796691700951797" TargetMode="External"/><Relationship Id="rId6308" Type="http://schemas.openxmlformats.org/officeDocument/2006/relationships/hyperlink" Target="https://maps.google.com/?q=18.057669,-96.405906000000002" TargetMode="External"/><Relationship Id="rId9878" Type="http://schemas.openxmlformats.org/officeDocument/2006/relationships/hyperlink" Target="https://maps.google.com/?q=16.6365230795494,-96.850854109089397" TargetMode="External"/><Relationship Id="rId12859" Type="http://schemas.openxmlformats.org/officeDocument/2006/relationships/hyperlink" Target="https://maps.google.com/?q=17.518158,-97.687389999999994" TargetMode="External"/><Relationship Id="rId1867" Type="http://schemas.openxmlformats.org/officeDocument/2006/relationships/hyperlink" Target="https://maps.google.com/?q=15.775933355953166,-96.151180052314857" TargetMode="External"/><Relationship Id="rId2918" Type="http://schemas.openxmlformats.org/officeDocument/2006/relationships/hyperlink" Target="https://maps.google.com/?q=17.07144509,-96.686841770000001" TargetMode="External"/><Relationship Id="rId4340" Type="http://schemas.openxmlformats.org/officeDocument/2006/relationships/hyperlink" Target="https://maps.google.com/?q=16.017452859071,-96.617629635582006" TargetMode="External"/><Relationship Id="rId8961" Type="http://schemas.openxmlformats.org/officeDocument/2006/relationships/hyperlink" Target="https://maps.google.com/?q=17.381501405,-96.165103982999995" TargetMode="External"/><Relationship Id="rId7563" Type="http://schemas.openxmlformats.org/officeDocument/2006/relationships/hyperlink" Target="https://maps.google.com/?q=17.3275717147046,-95.267474484710107" TargetMode="External"/><Relationship Id="rId8614" Type="http://schemas.openxmlformats.org/officeDocument/2006/relationships/hyperlink" Target="https://maps.google.com/?q=17.8945165054559,-96.710854241597403" TargetMode="External"/><Relationship Id="rId10891" Type="http://schemas.openxmlformats.org/officeDocument/2006/relationships/hyperlink" Target="https://maps.google.com/?q=16.1841690566177,-95.186955505581906" TargetMode="External"/><Relationship Id="rId11942" Type="http://schemas.openxmlformats.org/officeDocument/2006/relationships/hyperlink" Target="https://maps.google.com/?q=17.2380433054783,-97.921594631138902" TargetMode="External"/><Relationship Id="rId6165" Type="http://schemas.openxmlformats.org/officeDocument/2006/relationships/hyperlink" Target="https://maps.google.com/?q=16.1424004432153,-96.413406429721604" TargetMode="External"/><Relationship Id="rId7216" Type="http://schemas.openxmlformats.org/officeDocument/2006/relationships/hyperlink" Target="https://maps.google.com/?q=16.2279523829196,-97.944248936860802" TargetMode="External"/><Relationship Id="rId10544" Type="http://schemas.openxmlformats.org/officeDocument/2006/relationships/hyperlink" Target="https://maps.google.com/?q=17.1197401006729,-97.7868394884309" TargetMode="External"/><Relationship Id="rId9388" Type="http://schemas.openxmlformats.org/officeDocument/2006/relationships/hyperlink" Target="https://maps.google.com/?q=16.8206326052442,-95.141583959549195" TargetMode="External"/><Relationship Id="rId13767" Type="http://schemas.openxmlformats.org/officeDocument/2006/relationships/hyperlink" Target="https://maps.google.com/?q=16.588496,-94.768595" TargetMode="External"/><Relationship Id="rId2775" Type="http://schemas.openxmlformats.org/officeDocument/2006/relationships/hyperlink" Target="https://maps.google.com/?q=18.0223706330724,-96.617856240715199" TargetMode="External"/><Relationship Id="rId3826" Type="http://schemas.openxmlformats.org/officeDocument/2006/relationships/hyperlink" Target="https://maps.google.com/?q=17.276407807673603,-97.67348320174408" TargetMode="External"/><Relationship Id="rId12369" Type="http://schemas.openxmlformats.org/officeDocument/2006/relationships/hyperlink" Target="https://maps.google.com/?q=17.05075,-96.71157" TargetMode="External"/><Relationship Id="rId747" Type="http://schemas.openxmlformats.org/officeDocument/2006/relationships/hyperlink" Target="https://maps.google.com/?q=15.68243638459757,-96.509749664799585" TargetMode="External"/><Relationship Id="rId1377" Type="http://schemas.openxmlformats.org/officeDocument/2006/relationships/hyperlink" Target="https://maps.google.com/?q=16.332014,-95.231966" TargetMode="External"/><Relationship Id="rId2428" Type="http://schemas.openxmlformats.org/officeDocument/2006/relationships/hyperlink" Target="https://maps.google.com/?q=17.05118351,-96.624174310000001" TargetMode="External"/><Relationship Id="rId5998" Type="http://schemas.openxmlformats.org/officeDocument/2006/relationships/hyperlink" Target="https://maps.google.com/?q=18.155161339289176,-96.576482596137652" TargetMode="External"/><Relationship Id="rId83" Type="http://schemas.openxmlformats.org/officeDocument/2006/relationships/hyperlink" Target="https://maps.google.com/?q=15.907287,-96.448525000000004" TargetMode="External"/><Relationship Id="rId8471" Type="http://schemas.openxmlformats.org/officeDocument/2006/relationships/hyperlink" Target="https://maps.google.com/?q=17.1486954052793,-97.528562126686296" TargetMode="External"/><Relationship Id="rId9522" Type="http://schemas.openxmlformats.org/officeDocument/2006/relationships/hyperlink" Target="https://maps.google.com/?q=17.05111,-96.72815" TargetMode="External"/><Relationship Id="rId11452" Type="http://schemas.openxmlformats.org/officeDocument/2006/relationships/hyperlink" Target="https://maps.google.com/?q=15.9851248,-97.548102499999999" TargetMode="External"/><Relationship Id="rId12503" Type="http://schemas.openxmlformats.org/officeDocument/2006/relationships/hyperlink" Target="https://maps.google.com/?q=17.2245242980356,-97.270941194630097" TargetMode="External"/><Relationship Id="rId12850" Type="http://schemas.openxmlformats.org/officeDocument/2006/relationships/hyperlink" Target="https://maps.google.com/?q=17.517475,-97.682302000000007" TargetMode="External"/><Relationship Id="rId13901" Type="http://schemas.openxmlformats.org/officeDocument/2006/relationships/hyperlink" Target="https://maps.google.com/?q=16.84572564353,-96.782620755148599" TargetMode="External"/><Relationship Id="rId1511" Type="http://schemas.openxmlformats.org/officeDocument/2006/relationships/hyperlink" Target="https://maps.google.com/?q=17.06115,-96.755579999999995" TargetMode="External"/><Relationship Id="rId7073" Type="http://schemas.openxmlformats.org/officeDocument/2006/relationships/hyperlink" Target="https://maps.google.com/?q=16.376472,-98.141304000000005" TargetMode="External"/><Relationship Id="rId8124" Type="http://schemas.openxmlformats.org/officeDocument/2006/relationships/hyperlink" Target="https://maps.google.com/?q=17.3553268022205,-96.303947347790995" TargetMode="External"/><Relationship Id="rId10054" Type="http://schemas.openxmlformats.org/officeDocument/2006/relationships/hyperlink" Target="https://maps.google.com/?q=16.9269897386303,-96.369042915344195" TargetMode="External"/><Relationship Id="rId11105" Type="http://schemas.openxmlformats.org/officeDocument/2006/relationships/hyperlink" Target="https://maps.google.com/?q=17.362094,-96.245568" TargetMode="External"/><Relationship Id="rId3683" Type="http://schemas.openxmlformats.org/officeDocument/2006/relationships/hyperlink" Target="https://maps.google.com/?q=15.775864,-96.143823" TargetMode="External"/><Relationship Id="rId2285" Type="http://schemas.openxmlformats.org/officeDocument/2006/relationships/hyperlink" Target="https://maps.google.com/?q=18.0986796308954,-96.927559111163703" TargetMode="External"/><Relationship Id="rId3336" Type="http://schemas.openxmlformats.org/officeDocument/2006/relationships/hyperlink" Target="https://maps.google.com/?q=17.0673498484857,-96.813781550926194" TargetMode="External"/><Relationship Id="rId4734" Type="http://schemas.openxmlformats.org/officeDocument/2006/relationships/hyperlink" Target="https://maps.google.com/?q=17.723166735395466,-97.32441474487686" TargetMode="External"/><Relationship Id="rId13277" Type="http://schemas.openxmlformats.org/officeDocument/2006/relationships/hyperlink" Target="https://maps.google.com/?q=16.1341775507077,-96.367231167636703" TargetMode="External"/><Relationship Id="rId257" Type="http://schemas.openxmlformats.org/officeDocument/2006/relationships/hyperlink" Target="https://maps.google.com/?q=16.88636,-97.677700000000002" TargetMode="External"/><Relationship Id="rId7957" Type="http://schemas.openxmlformats.org/officeDocument/2006/relationships/hyperlink" Target="https://maps.google.com/?q=15.9478151837004,-96.553648101034" TargetMode="External"/><Relationship Id="rId10938" Type="http://schemas.openxmlformats.org/officeDocument/2006/relationships/hyperlink" Target="https://maps.google.com/?q=16.1960312031341,-95.216941171104494" TargetMode="External"/><Relationship Id="rId6559" Type="http://schemas.openxmlformats.org/officeDocument/2006/relationships/hyperlink" Target="https://maps.google.com/?q=17.762132,-96.879196" TargetMode="External"/><Relationship Id="rId12360" Type="http://schemas.openxmlformats.org/officeDocument/2006/relationships/hyperlink" Target="https://maps.google.com/?q=17.875172350053884,-96.74645030761997" TargetMode="External"/><Relationship Id="rId13411" Type="http://schemas.openxmlformats.org/officeDocument/2006/relationships/hyperlink" Target="https://maps.google.com/?q=16.3287503831863,-96.678751512897406" TargetMode="External"/><Relationship Id="rId9032" Type="http://schemas.openxmlformats.org/officeDocument/2006/relationships/hyperlink" Target="https://maps.google.com/?q=16.053984,-95.464551999999998" TargetMode="External"/><Relationship Id="rId12013" Type="http://schemas.openxmlformats.org/officeDocument/2006/relationships/hyperlink" Target="https://maps.google.com/?q=16.8033611773825,-96.7073234821694" TargetMode="External"/><Relationship Id="rId1021" Type="http://schemas.openxmlformats.org/officeDocument/2006/relationships/hyperlink" Target="https://maps.google.com/?q=15.698205099177237,-96.525129235711319" TargetMode="External"/><Relationship Id="rId4591" Type="http://schemas.openxmlformats.org/officeDocument/2006/relationships/hyperlink" Target="https://maps.google.com/?q=16.557049,-96.816828000000001" TargetMode="External"/><Relationship Id="rId5642" Type="http://schemas.openxmlformats.org/officeDocument/2006/relationships/hyperlink" Target="https://maps.google.com/?q=17.563206729939,-96.178597588896196" TargetMode="External"/><Relationship Id="rId3193" Type="http://schemas.openxmlformats.org/officeDocument/2006/relationships/hyperlink" Target="https://maps.google.com/?q=17.036128,-97.052336999999994" TargetMode="External"/><Relationship Id="rId4244" Type="http://schemas.openxmlformats.org/officeDocument/2006/relationships/hyperlink" Target="https://maps.google.com/?q=16.570436,-96.697447999999994" TargetMode="External"/><Relationship Id="rId7467" Type="http://schemas.openxmlformats.org/officeDocument/2006/relationships/hyperlink" Target="https://maps.google.com/?q=17.072437214571,-96.751923213373004" TargetMode="External"/><Relationship Id="rId8865" Type="http://schemas.openxmlformats.org/officeDocument/2006/relationships/hyperlink" Target="https://maps.google.com/?q=17.221507,-96.243832999999995" TargetMode="External"/><Relationship Id="rId9916" Type="http://schemas.openxmlformats.org/officeDocument/2006/relationships/hyperlink" Target="https://maps.google.com/?q=16.707062,-96.707736999999995" TargetMode="External"/><Relationship Id="rId10795" Type="http://schemas.openxmlformats.org/officeDocument/2006/relationships/hyperlink" Target="https://maps.google.com/?q=16.3854885052738,-96.3657586821504" TargetMode="External"/><Relationship Id="rId11846" Type="http://schemas.openxmlformats.org/officeDocument/2006/relationships/hyperlink" Target="https://maps.google.com/?q=17.366303488413458,-97.03257030290223" TargetMode="External"/><Relationship Id="rId1905" Type="http://schemas.openxmlformats.org/officeDocument/2006/relationships/hyperlink" Target="https://maps.google.com/?q=15.77659240006296,-96.136724438035614" TargetMode="External"/><Relationship Id="rId6069" Type="http://schemas.openxmlformats.org/officeDocument/2006/relationships/hyperlink" Target="https://maps.google.com/?q=18.160951460159403,-96.577035626594764" TargetMode="External"/><Relationship Id="rId8518" Type="http://schemas.openxmlformats.org/officeDocument/2006/relationships/hyperlink" Target="https://maps.google.com/?q=16.9204745622309,-96.606206894981696" TargetMode="External"/><Relationship Id="rId10448" Type="http://schemas.openxmlformats.org/officeDocument/2006/relationships/hyperlink" Target="https://maps.google.com/?q=17.0430295,-96.783669099999997" TargetMode="External"/><Relationship Id="rId998" Type="http://schemas.openxmlformats.org/officeDocument/2006/relationships/hyperlink" Target="https://maps.google.com/?q=15.69190990909367,-96.52052383278739" TargetMode="External"/><Relationship Id="rId2679" Type="http://schemas.openxmlformats.org/officeDocument/2006/relationships/hyperlink" Target="https://maps.google.com/?q=17.939964,-96.102266999999998" TargetMode="External"/><Relationship Id="rId6550" Type="http://schemas.openxmlformats.org/officeDocument/2006/relationships/hyperlink" Target="https://maps.google.com/?q=17.760604,-96.879129" TargetMode="External"/><Relationship Id="rId7601" Type="http://schemas.openxmlformats.org/officeDocument/2006/relationships/hyperlink" Target="https://maps.google.com/?q=17.2289718101259,-95.049801679311599" TargetMode="External"/><Relationship Id="rId5152" Type="http://schemas.openxmlformats.org/officeDocument/2006/relationships/hyperlink" Target="https://maps.google.com/?q=17.254784016057634,-96.15564928587914" TargetMode="External"/><Relationship Id="rId6203" Type="http://schemas.openxmlformats.org/officeDocument/2006/relationships/hyperlink" Target="https://maps.google.com/?q=16.094456,-97.082077999999996" TargetMode="External"/><Relationship Id="rId9773" Type="http://schemas.openxmlformats.org/officeDocument/2006/relationships/hyperlink" Target="https://maps.google.com/?q=17.2858429769761,-96.798400131454699" TargetMode="External"/><Relationship Id="rId1762" Type="http://schemas.openxmlformats.org/officeDocument/2006/relationships/hyperlink" Target="https://maps.google.com/?q=18.06140824,-96.849469350000007" TargetMode="External"/><Relationship Id="rId8375" Type="http://schemas.openxmlformats.org/officeDocument/2006/relationships/hyperlink" Target="https://maps.google.com/?q=16.8459952209273,-97.201288590066198" TargetMode="External"/><Relationship Id="rId9426" Type="http://schemas.openxmlformats.org/officeDocument/2006/relationships/hyperlink" Target="https://maps.google.com/?q=16.7761619586951,-95.189020365755596" TargetMode="External"/><Relationship Id="rId12754" Type="http://schemas.openxmlformats.org/officeDocument/2006/relationships/hyperlink" Target="https://maps.google.com/?q=17.4529919893909,-97.282609456085893" TargetMode="External"/><Relationship Id="rId13805" Type="http://schemas.openxmlformats.org/officeDocument/2006/relationships/hyperlink" Target="https://maps.google.com/?q=17.131286,-97.748542" TargetMode="External"/><Relationship Id="rId1415" Type="http://schemas.openxmlformats.org/officeDocument/2006/relationships/hyperlink" Target="https://maps.google.com/?q=16.339653,-98.051551" TargetMode="External"/><Relationship Id="rId2813" Type="http://schemas.openxmlformats.org/officeDocument/2006/relationships/hyperlink" Target="https://maps.google.com/?q=16.9898308121063,-97.713303045662798" TargetMode="External"/><Relationship Id="rId8028" Type="http://schemas.openxmlformats.org/officeDocument/2006/relationships/hyperlink" Target="https://maps.google.com/?q=16.4863930840704,-97.378826834075994" TargetMode="External"/><Relationship Id="rId11009" Type="http://schemas.openxmlformats.org/officeDocument/2006/relationships/hyperlink" Target="https://maps.google.com/?q=17.156944,-97.186401000000004" TargetMode="External"/><Relationship Id="rId11356" Type="http://schemas.openxmlformats.org/officeDocument/2006/relationships/hyperlink" Target="https://maps.google.com/?q=16.3720851211752,-94.199817449073706" TargetMode="External"/><Relationship Id="rId12407" Type="http://schemas.openxmlformats.org/officeDocument/2006/relationships/hyperlink" Target="https://maps.google.com/?q=16.55712043008,-96.821515845403695" TargetMode="External"/><Relationship Id="rId4985" Type="http://schemas.openxmlformats.org/officeDocument/2006/relationships/hyperlink" Target="https://maps.google.com/?q=17.06378,-96.730097" TargetMode="External"/><Relationship Id="rId2189" Type="http://schemas.openxmlformats.org/officeDocument/2006/relationships/hyperlink" Target="https://maps.google.com/?q=17.0000345007535,-97.233396805932301" TargetMode="External"/><Relationship Id="rId3587" Type="http://schemas.openxmlformats.org/officeDocument/2006/relationships/hyperlink" Target="https://maps.google.com/?q=15.776446335884645,-96.136605248379041" TargetMode="External"/><Relationship Id="rId4638" Type="http://schemas.openxmlformats.org/officeDocument/2006/relationships/hyperlink" Target="https://maps.google.com/?q=17.061717,-96.73766" TargetMode="External"/><Relationship Id="rId6060" Type="http://schemas.openxmlformats.org/officeDocument/2006/relationships/hyperlink" Target="https://maps.google.com/?q=18.159088661238208,-96.576623133055989" TargetMode="External"/><Relationship Id="rId7111" Type="http://schemas.openxmlformats.org/officeDocument/2006/relationships/hyperlink" Target="https://maps.google.com/?q=17.3503657767545,-97.636155022081695" TargetMode="External"/><Relationship Id="rId13662" Type="http://schemas.openxmlformats.org/officeDocument/2006/relationships/hyperlink" Target="https://maps.google.com/?q=17.05514,-96.065353" TargetMode="External"/><Relationship Id="rId2670" Type="http://schemas.openxmlformats.org/officeDocument/2006/relationships/hyperlink" Target="https://maps.google.com/?q=17.2778548,-97.693425500000004" TargetMode="External"/><Relationship Id="rId3721" Type="http://schemas.openxmlformats.org/officeDocument/2006/relationships/hyperlink" Target="https://maps.google.com/?q=15.758481968663094,-96.142648459283748" TargetMode="External"/><Relationship Id="rId9283" Type="http://schemas.openxmlformats.org/officeDocument/2006/relationships/hyperlink" Target="https://maps.google.com/?q=16.9230684581356,-95.209791377501404" TargetMode="External"/><Relationship Id="rId12264" Type="http://schemas.openxmlformats.org/officeDocument/2006/relationships/hyperlink" Target="https://maps.google.com/?q=16.4763431840414,-94.350297572912098" TargetMode="External"/><Relationship Id="rId13315" Type="http://schemas.openxmlformats.org/officeDocument/2006/relationships/hyperlink" Target="https://maps.google.com/?q=16.1369071377286,-96.324889000000297" TargetMode="External"/><Relationship Id="rId642" Type="http://schemas.openxmlformats.org/officeDocument/2006/relationships/hyperlink" Target="https://maps.google.com/?q=16.054601,-97.39528" TargetMode="External"/><Relationship Id="rId1272" Type="http://schemas.openxmlformats.org/officeDocument/2006/relationships/hyperlink" Target="https://maps.google.com/?q=17.058657,-96.743072999999995" TargetMode="External"/><Relationship Id="rId2323" Type="http://schemas.openxmlformats.org/officeDocument/2006/relationships/hyperlink" Target="https://maps.google.com/?q=18.1078363562556,-96.869695717439399" TargetMode="External"/><Relationship Id="rId5893" Type="http://schemas.openxmlformats.org/officeDocument/2006/relationships/hyperlink" Target="https://maps.google.com/?q=18.14534633055336,-96.565876797838371" TargetMode="External"/><Relationship Id="rId4495" Type="http://schemas.openxmlformats.org/officeDocument/2006/relationships/hyperlink" Target="https://maps.google.com/?q=17.177769503209,-97.304292892030702" TargetMode="External"/><Relationship Id="rId5546" Type="http://schemas.openxmlformats.org/officeDocument/2006/relationships/hyperlink" Target="https://maps.google.com/?q=17.2920458440847,-97.373530206359405" TargetMode="External"/><Relationship Id="rId6944" Type="http://schemas.openxmlformats.org/officeDocument/2006/relationships/hyperlink" Target="https://maps.google.com/?q=16.319869,-95.233251999999993" TargetMode="External"/><Relationship Id="rId14089" Type="http://schemas.openxmlformats.org/officeDocument/2006/relationships/hyperlink" Target="https://maps.google.com/?q=17.87355745675081,-96.02174939412559" TargetMode="External"/><Relationship Id="rId3097" Type="http://schemas.openxmlformats.org/officeDocument/2006/relationships/hyperlink" Target="https://maps.google.com/?q=17.30004144,-97.484423609999993" TargetMode="External"/><Relationship Id="rId4148" Type="http://schemas.openxmlformats.org/officeDocument/2006/relationships/hyperlink" Target="https://maps.google.com/?q=16.422683,-98.169758000000002" TargetMode="External"/><Relationship Id="rId8769" Type="http://schemas.openxmlformats.org/officeDocument/2006/relationships/hyperlink" Target="https://maps.google.com/?q=17.205743,-96.255160000000004" TargetMode="External"/><Relationship Id="rId10699" Type="http://schemas.openxmlformats.org/officeDocument/2006/relationships/hyperlink" Target="https://maps.google.com/?q=16.328751,-96.596529000000004" TargetMode="External"/><Relationship Id="rId11000" Type="http://schemas.openxmlformats.org/officeDocument/2006/relationships/hyperlink" Target="https://maps.google.com/?q=17.155825,-97.186126999999999" TargetMode="External"/><Relationship Id="rId1809" Type="http://schemas.openxmlformats.org/officeDocument/2006/relationships/hyperlink" Target="https://maps.google.com/?q=18.0685588524192,-96.897856635582002" TargetMode="External"/><Relationship Id="rId13172" Type="http://schemas.openxmlformats.org/officeDocument/2006/relationships/hyperlink" Target="https://maps.google.com/?q=16.5690049593144,-97.020774805243505" TargetMode="External"/><Relationship Id="rId2180" Type="http://schemas.openxmlformats.org/officeDocument/2006/relationships/hyperlink" Target="https://maps.google.com/?q=16.9972091223024,-97.233501412084195" TargetMode="External"/><Relationship Id="rId3231" Type="http://schemas.openxmlformats.org/officeDocument/2006/relationships/hyperlink" Target="https://maps.google.com/?q=17.9350819194397,-96.210264173387699" TargetMode="External"/><Relationship Id="rId7852" Type="http://schemas.openxmlformats.org/officeDocument/2006/relationships/hyperlink" Target="https://maps.google.com/?q=16.3125856044133,-96.412217832612995" TargetMode="External"/><Relationship Id="rId8903" Type="http://schemas.openxmlformats.org/officeDocument/2006/relationships/hyperlink" Target="https://maps.google.com/?q=17.380005543,-96.162610525999995" TargetMode="External"/><Relationship Id="rId152" Type="http://schemas.openxmlformats.org/officeDocument/2006/relationships/hyperlink" Target="https://maps.google.com/?q=17.091851,-97.493825999999999" TargetMode="External"/><Relationship Id="rId6454" Type="http://schemas.openxmlformats.org/officeDocument/2006/relationships/hyperlink" Target="https://maps.google.com/?q=16.145738,-97.351922000000002" TargetMode="External"/><Relationship Id="rId7505" Type="http://schemas.openxmlformats.org/officeDocument/2006/relationships/hyperlink" Target="https://maps.google.com/?q=17.34395406,-97.36961067" TargetMode="External"/><Relationship Id="rId10833" Type="http://schemas.openxmlformats.org/officeDocument/2006/relationships/hyperlink" Target="https://maps.google.com/?q=16.395476733973,-94.460118084655704" TargetMode="External"/><Relationship Id="rId5056" Type="http://schemas.openxmlformats.org/officeDocument/2006/relationships/hyperlink" Target="https://maps.google.com/?q=17.251992,-96.151735000000002" TargetMode="External"/><Relationship Id="rId6107" Type="http://schemas.openxmlformats.org/officeDocument/2006/relationships/hyperlink" Target="https://maps.google.com/?q=17.972819,-96.702532000000005" TargetMode="External"/><Relationship Id="rId9677" Type="http://schemas.openxmlformats.org/officeDocument/2006/relationships/hyperlink" Target="https://maps.google.com/?q=16.4669678963691,-96.644628241796298" TargetMode="External"/><Relationship Id="rId8279" Type="http://schemas.openxmlformats.org/officeDocument/2006/relationships/hyperlink" Target="https://maps.google.com/?q=17.6244759141849,-97.033155073345597" TargetMode="External"/><Relationship Id="rId12658" Type="http://schemas.openxmlformats.org/officeDocument/2006/relationships/hyperlink" Target="https://maps.google.com/?q=16.919640285828,-97.890654370746702" TargetMode="External"/><Relationship Id="rId13709" Type="http://schemas.openxmlformats.org/officeDocument/2006/relationships/hyperlink" Target="https://maps.google.com/?q=15.747155,-96.545433" TargetMode="External"/><Relationship Id="rId1666" Type="http://schemas.openxmlformats.org/officeDocument/2006/relationships/hyperlink" Target="https://maps.google.com/?q=16.65246,-96.775622999999996" TargetMode="External"/><Relationship Id="rId2717" Type="http://schemas.openxmlformats.org/officeDocument/2006/relationships/hyperlink" Target="https://maps.google.com/?q=15.902356,-96.473117999999999" TargetMode="External"/><Relationship Id="rId14080" Type="http://schemas.openxmlformats.org/officeDocument/2006/relationships/hyperlink" Target="https://maps.google.com/?q=16.03402958,-96.9063814" TargetMode="External"/><Relationship Id="rId1319" Type="http://schemas.openxmlformats.org/officeDocument/2006/relationships/hyperlink" Target="https://maps.google.com/?q=17.085681,-96.731653" TargetMode="External"/><Relationship Id="rId4889" Type="http://schemas.openxmlformats.org/officeDocument/2006/relationships/hyperlink" Target="https://maps.google.com/?q=16.8008297294286,-96.390614867636103" TargetMode="External"/><Relationship Id="rId8760" Type="http://schemas.openxmlformats.org/officeDocument/2006/relationships/hyperlink" Target="https://maps.google.com/?q=17.203563,-96.253647999999998" TargetMode="External"/><Relationship Id="rId9811" Type="http://schemas.openxmlformats.org/officeDocument/2006/relationships/hyperlink" Target="https://maps.google.com/?q=16.643569173257,-96.752508722327903" TargetMode="External"/><Relationship Id="rId10690" Type="http://schemas.openxmlformats.org/officeDocument/2006/relationships/hyperlink" Target="https://maps.google.com/?q=17.883150743912715,-97.37243324918283" TargetMode="External"/><Relationship Id="rId11741" Type="http://schemas.openxmlformats.org/officeDocument/2006/relationships/hyperlink" Target="https://maps.google.com/?q=17.18919752,-97.712393520000006" TargetMode="External"/><Relationship Id="rId25" Type="http://schemas.openxmlformats.org/officeDocument/2006/relationships/hyperlink" Target="https://maps.google.com/?q=17.222358,-97.120081999999996" TargetMode="External"/><Relationship Id="rId1800" Type="http://schemas.openxmlformats.org/officeDocument/2006/relationships/hyperlink" Target="https://maps.google.com/?q=18.067776662797,-96.900035869999996" TargetMode="External"/><Relationship Id="rId7362" Type="http://schemas.openxmlformats.org/officeDocument/2006/relationships/hyperlink" Target="https://maps.google.com/?q=16.567629,-97.652428999999998" TargetMode="External"/><Relationship Id="rId8413" Type="http://schemas.openxmlformats.org/officeDocument/2006/relationships/hyperlink" Target="https://maps.google.com/?q=16.0905528282856,-96.244430743551305" TargetMode="External"/><Relationship Id="rId10343" Type="http://schemas.openxmlformats.org/officeDocument/2006/relationships/hyperlink" Target="https://maps.google.com/?q=17.433277071329,-96.658076386577505" TargetMode="External"/><Relationship Id="rId3972" Type="http://schemas.openxmlformats.org/officeDocument/2006/relationships/hyperlink" Target="https://maps.google.com/?q=17.061861,-96.753832000000003" TargetMode="External"/><Relationship Id="rId7015" Type="http://schemas.openxmlformats.org/officeDocument/2006/relationships/hyperlink" Target="https://maps.google.com/?q=17.0407482960242,-97.306097471033297" TargetMode="External"/><Relationship Id="rId893" Type="http://schemas.openxmlformats.org/officeDocument/2006/relationships/hyperlink" Target="https://maps.google.com/?q=16.88453,-97.676749999999998" TargetMode="External"/><Relationship Id="rId2574" Type="http://schemas.openxmlformats.org/officeDocument/2006/relationships/hyperlink" Target="https://maps.google.com/?q=17.776918,-96.297387999999998" TargetMode="External"/><Relationship Id="rId3625" Type="http://schemas.openxmlformats.org/officeDocument/2006/relationships/hyperlink" Target="https://maps.google.com/?q=15.777183352952584,-96.137023905362142" TargetMode="External"/><Relationship Id="rId9187" Type="http://schemas.openxmlformats.org/officeDocument/2006/relationships/hyperlink" Target="https://maps.google.com/?q=17.3741399756986,-96.300326048268801" TargetMode="External"/><Relationship Id="rId12168" Type="http://schemas.openxmlformats.org/officeDocument/2006/relationships/hyperlink" Target="https://maps.google.com/?q=17.415826176104,-95.949322585117898" TargetMode="External"/><Relationship Id="rId13219" Type="http://schemas.openxmlformats.org/officeDocument/2006/relationships/hyperlink" Target="https://maps.google.com/?q=17.3448463122702,-97.384565806047405" TargetMode="External"/><Relationship Id="rId13566" Type="http://schemas.openxmlformats.org/officeDocument/2006/relationships/hyperlink" Target="https://maps.google.com/?q=17.10458972546177,-96.84750261866785" TargetMode="External"/><Relationship Id="rId546" Type="http://schemas.openxmlformats.org/officeDocument/2006/relationships/hyperlink" Target="https://maps.google.com/?q=16.053555,-97.404110000000003" TargetMode="External"/><Relationship Id="rId1176" Type="http://schemas.openxmlformats.org/officeDocument/2006/relationships/hyperlink" Target="https://maps.google.com/?q=17.032902,-97.923730" TargetMode="External"/><Relationship Id="rId2227" Type="http://schemas.openxmlformats.org/officeDocument/2006/relationships/hyperlink" Target="https://maps.google.com/?q=17.4091806602175,-97.091147680059393" TargetMode="External"/><Relationship Id="rId4399" Type="http://schemas.openxmlformats.org/officeDocument/2006/relationships/hyperlink" Target="https://maps.google.com/?q=16.00165246,-96.678633739999995" TargetMode="External"/><Relationship Id="rId5797" Type="http://schemas.openxmlformats.org/officeDocument/2006/relationships/hyperlink" Target="https://maps.google.com/?q=17.3067931029707,-97.488321277299505" TargetMode="External"/><Relationship Id="rId6848" Type="http://schemas.openxmlformats.org/officeDocument/2006/relationships/hyperlink" Target="https://maps.google.com/?q=17.0088477553373,-96.978197158283805" TargetMode="External"/><Relationship Id="rId8270" Type="http://schemas.openxmlformats.org/officeDocument/2006/relationships/hyperlink" Target="https://maps.google.com/?q=17.027321,-96.760194999999996" TargetMode="External"/><Relationship Id="rId13700" Type="http://schemas.openxmlformats.org/officeDocument/2006/relationships/hyperlink" Target="https://maps.google.com/?q=18.108241,-96.819405" TargetMode="External"/><Relationship Id="rId9321" Type="http://schemas.openxmlformats.org/officeDocument/2006/relationships/hyperlink" Target="https://maps.google.com/?q=16.8161021006684,-95.138425690753394" TargetMode="External"/><Relationship Id="rId11251" Type="http://schemas.openxmlformats.org/officeDocument/2006/relationships/hyperlink" Target="https://maps.google.com/?q=17.8638751356962,-96.307944738053493" TargetMode="External"/><Relationship Id="rId12302" Type="http://schemas.openxmlformats.org/officeDocument/2006/relationships/hyperlink" Target="https://maps.google.com/?q=16.4897104560075,-94.341042993883093" TargetMode="External"/><Relationship Id="rId1310" Type="http://schemas.openxmlformats.org/officeDocument/2006/relationships/hyperlink" Target="https://maps.google.com/?q=17.081197,-96.727012" TargetMode="External"/><Relationship Id="rId4880" Type="http://schemas.openxmlformats.org/officeDocument/2006/relationships/hyperlink" Target="https://maps.google.com/?q=16.7939846070089,-96.401642677791898" TargetMode="External"/><Relationship Id="rId5931" Type="http://schemas.openxmlformats.org/officeDocument/2006/relationships/hyperlink" Target="https://maps.google.com/?q=18.153268585995416,-96.571063431547444" TargetMode="External"/><Relationship Id="rId3482" Type="http://schemas.openxmlformats.org/officeDocument/2006/relationships/hyperlink" Target="https://maps.google.com/?q=16.7475177756561,-97.259903680641202" TargetMode="External"/><Relationship Id="rId4533" Type="http://schemas.openxmlformats.org/officeDocument/2006/relationships/hyperlink" Target="https://maps.google.com/?q=17.1830834711951,-97.304127961971403" TargetMode="External"/><Relationship Id="rId13076" Type="http://schemas.openxmlformats.org/officeDocument/2006/relationships/hyperlink" Target="https://maps.google.com/?q=16.5640155,-97.5357992" TargetMode="External"/><Relationship Id="rId14127" Type="http://schemas.openxmlformats.org/officeDocument/2006/relationships/hyperlink" Target="https://maps.google.com/?q=16.5700146,-96.55696555" TargetMode="External"/><Relationship Id="rId2084" Type="http://schemas.openxmlformats.org/officeDocument/2006/relationships/hyperlink" Target="https://maps.google.com/?q=15.773890019731871,-96.234969837091015" TargetMode="External"/><Relationship Id="rId3135" Type="http://schemas.openxmlformats.org/officeDocument/2006/relationships/hyperlink" Target="https://maps.google.com/?q=16.585104,-97.442169000000007" TargetMode="External"/><Relationship Id="rId7756" Type="http://schemas.openxmlformats.org/officeDocument/2006/relationships/hyperlink" Target="https://maps.google.com/?q=16.0700412,-96.302331800000005" TargetMode="External"/><Relationship Id="rId6358" Type="http://schemas.openxmlformats.org/officeDocument/2006/relationships/hyperlink" Target="https://maps.google.com/?q=18.067087,-96.403857000000002" TargetMode="External"/><Relationship Id="rId7409" Type="http://schemas.openxmlformats.org/officeDocument/2006/relationships/hyperlink" Target="https://maps.google.com/?q=0,-97.051525999999996" TargetMode="External"/><Relationship Id="rId8807" Type="http://schemas.openxmlformats.org/officeDocument/2006/relationships/hyperlink" Target="https://maps.google.com/?q=17.215221,-96.249167" TargetMode="External"/><Relationship Id="rId10737" Type="http://schemas.openxmlformats.org/officeDocument/2006/relationships/hyperlink" Target="https://maps.google.com/?q=16.411899,-95.040208" TargetMode="External"/><Relationship Id="rId13210" Type="http://schemas.openxmlformats.org/officeDocument/2006/relationships/hyperlink" Target="https://maps.google.com/?q=17.340774795685,-97.388660215344302" TargetMode="External"/><Relationship Id="rId2968" Type="http://schemas.openxmlformats.org/officeDocument/2006/relationships/hyperlink" Target="https://maps.google.com/?q=16.4577196607605,-97.026521689172498" TargetMode="External"/><Relationship Id="rId4390" Type="http://schemas.openxmlformats.org/officeDocument/2006/relationships/hyperlink" Target="https://maps.google.com/?q=15.99913044,-96.688092080000004" TargetMode="External"/><Relationship Id="rId5441" Type="http://schemas.openxmlformats.org/officeDocument/2006/relationships/hyperlink" Target="https://maps.google.com/?q=16.0068475662343,-97.452127408167598" TargetMode="External"/><Relationship Id="rId4043" Type="http://schemas.openxmlformats.org/officeDocument/2006/relationships/hyperlink" Target="https://maps.google.com/?q=17.080124,-96.725837999999996" TargetMode="External"/><Relationship Id="rId8664" Type="http://schemas.openxmlformats.org/officeDocument/2006/relationships/hyperlink" Target="https://maps.google.com/?q=16.275908707386,-96.305384668086603" TargetMode="External"/><Relationship Id="rId9715" Type="http://schemas.openxmlformats.org/officeDocument/2006/relationships/hyperlink" Target="https://maps.google.com/?q=16.438231582191,-95.029019262351497" TargetMode="External"/><Relationship Id="rId10594" Type="http://schemas.openxmlformats.org/officeDocument/2006/relationships/hyperlink" Target="https://maps.google.com/?q=17.0818365751028,-97.767587678618099" TargetMode="External"/><Relationship Id="rId11992" Type="http://schemas.openxmlformats.org/officeDocument/2006/relationships/hyperlink" Target="https://maps.google.com/?q=16.8013593852451,-96.7077659264489" TargetMode="External"/><Relationship Id="rId1704" Type="http://schemas.openxmlformats.org/officeDocument/2006/relationships/hyperlink" Target="https://maps.google.com/?q=18.0729911691334,-96.898507607791203" TargetMode="External"/><Relationship Id="rId7266" Type="http://schemas.openxmlformats.org/officeDocument/2006/relationships/hyperlink" Target="https://maps.google.com/?q=16.2996267659283,-97.913160448390002" TargetMode="External"/><Relationship Id="rId8317" Type="http://schemas.openxmlformats.org/officeDocument/2006/relationships/hyperlink" Target="https://maps.google.com/?q=16.539608,-98.037023000000005" TargetMode="External"/><Relationship Id="rId10247" Type="http://schemas.openxmlformats.org/officeDocument/2006/relationships/hyperlink" Target="https://maps.google.com/?q=16.238479,-95.152782000000002" TargetMode="External"/><Relationship Id="rId11645" Type="http://schemas.openxmlformats.org/officeDocument/2006/relationships/hyperlink" Target="https://maps.google.com/?q=17.17337398,-97.711881149999996" TargetMode="External"/><Relationship Id="rId797" Type="http://schemas.openxmlformats.org/officeDocument/2006/relationships/hyperlink" Target="https://maps.google.com/?q=15.693121185978224,-96.521384443234126" TargetMode="External"/><Relationship Id="rId2478" Type="http://schemas.openxmlformats.org/officeDocument/2006/relationships/hyperlink" Target="https://maps.google.com/?q=17.05188413,-96.624275600000004" TargetMode="External"/><Relationship Id="rId3876" Type="http://schemas.openxmlformats.org/officeDocument/2006/relationships/hyperlink" Target="https://maps.google.com/?q=17.1053920274778,-95.933787537498901" TargetMode="External"/><Relationship Id="rId4927" Type="http://schemas.openxmlformats.org/officeDocument/2006/relationships/hyperlink" Target="https://maps.google.com/?q=18.0327294877914,-96.671600518590594" TargetMode="External"/><Relationship Id="rId3529" Type="http://schemas.openxmlformats.org/officeDocument/2006/relationships/hyperlink" Target="https://maps.google.com/?q=15.765045,-96.150735" TargetMode="External"/><Relationship Id="rId6002" Type="http://schemas.openxmlformats.org/officeDocument/2006/relationships/hyperlink" Target="https://maps.google.com/?q=18.155210337112173,-96.574201920304205" TargetMode="External"/><Relationship Id="rId7400" Type="http://schemas.openxmlformats.org/officeDocument/2006/relationships/hyperlink" Target="https://maps.google.com/?q=17.077862,-96.999178999999998" TargetMode="External"/><Relationship Id="rId13951" Type="http://schemas.openxmlformats.org/officeDocument/2006/relationships/hyperlink" Target="https://maps.google.com/?q=17.227622,-96.302533" TargetMode="External"/><Relationship Id="rId9572" Type="http://schemas.openxmlformats.org/officeDocument/2006/relationships/hyperlink" Target="https://maps.google.com/?q=17.187459,-97.540203" TargetMode="External"/><Relationship Id="rId12553" Type="http://schemas.openxmlformats.org/officeDocument/2006/relationships/hyperlink" Target="https://maps.google.com/?q=16.62954614430616,-96.79655320594333" TargetMode="External"/><Relationship Id="rId13604" Type="http://schemas.openxmlformats.org/officeDocument/2006/relationships/hyperlink" Target="https://maps.google.com/?q=16.792712,-95.368638" TargetMode="External"/><Relationship Id="rId931" Type="http://schemas.openxmlformats.org/officeDocument/2006/relationships/hyperlink" Target="https://maps.google.com/?q=15.68207136400714,-96.508078053897378" TargetMode="External"/><Relationship Id="rId1561" Type="http://schemas.openxmlformats.org/officeDocument/2006/relationships/hyperlink" Target="https://maps.google.com/?q=16.9561563207648,-97.452621050847" TargetMode="External"/><Relationship Id="rId2612" Type="http://schemas.openxmlformats.org/officeDocument/2006/relationships/hyperlink" Target="https://maps.google.com/?q=18.229287,-96.279224999999997" TargetMode="External"/><Relationship Id="rId8174" Type="http://schemas.openxmlformats.org/officeDocument/2006/relationships/hyperlink" Target="https://maps.google.com/?q=17.9586941997701,-96.158293335582002" TargetMode="External"/><Relationship Id="rId9225" Type="http://schemas.openxmlformats.org/officeDocument/2006/relationships/hyperlink" Target="https://maps.google.com/?q=17.3756552827152,-96.301985742194802" TargetMode="External"/><Relationship Id="rId11155" Type="http://schemas.openxmlformats.org/officeDocument/2006/relationships/hyperlink" Target="https://maps.google.com/?q=16.841003,-96.006640000000004" TargetMode="External"/><Relationship Id="rId12206" Type="http://schemas.openxmlformats.org/officeDocument/2006/relationships/hyperlink" Target="https://maps.google.com/?q=17.4181299104077,-95.946203287185696" TargetMode="External"/><Relationship Id="rId1214" Type="http://schemas.openxmlformats.org/officeDocument/2006/relationships/hyperlink" Target="https://maps.google.com/?q=17.005213197575458,-95.02868469848633" TargetMode="External"/><Relationship Id="rId4784" Type="http://schemas.openxmlformats.org/officeDocument/2006/relationships/hyperlink" Target="https://maps.google.com/?q=17.9580302014788,-96.660327539881294" TargetMode="External"/><Relationship Id="rId5835" Type="http://schemas.openxmlformats.org/officeDocument/2006/relationships/hyperlink" Target="https://maps.google.com/?q=16.1263986522609,-97.609867823101595" TargetMode="External"/><Relationship Id="rId3386" Type="http://schemas.openxmlformats.org/officeDocument/2006/relationships/hyperlink" Target="https://maps.google.com/?q=16.388143,-96.847397000000001" TargetMode="External"/><Relationship Id="rId4437" Type="http://schemas.openxmlformats.org/officeDocument/2006/relationships/hyperlink" Target="https://maps.google.com/?q=16.5634812002438,-96.706640160142598" TargetMode="External"/><Relationship Id="rId3039" Type="http://schemas.openxmlformats.org/officeDocument/2006/relationships/hyperlink" Target="https://maps.google.com/?q=16.940306,-97.015850799999996" TargetMode="External"/><Relationship Id="rId10988" Type="http://schemas.openxmlformats.org/officeDocument/2006/relationships/hyperlink" Target="https://maps.google.com/?q=17.1587068050146,-97.588275165424605" TargetMode="External"/><Relationship Id="rId9082" Type="http://schemas.openxmlformats.org/officeDocument/2006/relationships/hyperlink" Target="https://maps.google.com/?q=16.062887,-95.499431999999999" TargetMode="External"/><Relationship Id="rId13461" Type="http://schemas.openxmlformats.org/officeDocument/2006/relationships/hyperlink" Target="https://maps.google.com/?q=17.6868811416543,-97.034376908073497" TargetMode="External"/><Relationship Id="rId3520" Type="http://schemas.openxmlformats.org/officeDocument/2006/relationships/hyperlink" Target="https://maps.google.com/?q=15.762971,-96.150289" TargetMode="External"/><Relationship Id="rId12063" Type="http://schemas.openxmlformats.org/officeDocument/2006/relationships/hyperlink" Target="https://maps.google.com/?q=16.31593621,-95.232954860000007" TargetMode="External"/><Relationship Id="rId13114" Type="http://schemas.openxmlformats.org/officeDocument/2006/relationships/hyperlink" Target="https://maps.google.com/?q=16.566116,-97.536929999999998" TargetMode="External"/><Relationship Id="rId441" Type="http://schemas.openxmlformats.org/officeDocument/2006/relationships/hyperlink" Target="https://maps.google.com/?q=16.053403,-97.410289000000006" TargetMode="External"/><Relationship Id="rId1071" Type="http://schemas.openxmlformats.org/officeDocument/2006/relationships/hyperlink" Target="https://maps.google.com/?q=17.094176,-97.499948000000003" TargetMode="External"/><Relationship Id="rId2122" Type="http://schemas.openxmlformats.org/officeDocument/2006/relationships/hyperlink" Target="https://maps.google.com/?q=15.762059,-96.144071999999994" TargetMode="External"/><Relationship Id="rId5692" Type="http://schemas.openxmlformats.org/officeDocument/2006/relationships/hyperlink" Target="https://maps.google.com/?q=17.9403889015327,-97.970688682341006" TargetMode="External"/><Relationship Id="rId6743" Type="http://schemas.openxmlformats.org/officeDocument/2006/relationships/hyperlink" Target="https://maps.google.com/?q=15.8539991742,-96.641719115900003" TargetMode="External"/><Relationship Id="rId4294" Type="http://schemas.openxmlformats.org/officeDocument/2006/relationships/hyperlink" Target="https://maps.google.com/?q=16.01359821,-96.662224899999998" TargetMode="External"/><Relationship Id="rId5345" Type="http://schemas.openxmlformats.org/officeDocument/2006/relationships/hyperlink" Target="https://maps.google.com/?q=16.521767,-97.165822000000006" TargetMode="External"/><Relationship Id="rId9966" Type="http://schemas.openxmlformats.org/officeDocument/2006/relationships/hyperlink" Target="https://maps.google.com/?q=17.013452,-97.630276" TargetMode="External"/><Relationship Id="rId8568" Type="http://schemas.openxmlformats.org/officeDocument/2006/relationships/hyperlink" Target="https://maps.google.com/?q=16.9282804747464,-96.610634101852398" TargetMode="External"/><Relationship Id="rId9619" Type="http://schemas.openxmlformats.org/officeDocument/2006/relationships/hyperlink" Target="https://maps.google.com/?q=17.9986427482156,-96.746289774827503" TargetMode="External"/><Relationship Id="rId11896" Type="http://schemas.openxmlformats.org/officeDocument/2006/relationships/hyperlink" Target="https://maps.google.com/?q=17.142822853318588,-97.39453558647347" TargetMode="External"/><Relationship Id="rId12947" Type="http://schemas.openxmlformats.org/officeDocument/2006/relationships/hyperlink" Target="https://maps.google.com/?q=16.5424299,-97.501568000000006" TargetMode="External"/><Relationship Id="rId1955" Type="http://schemas.openxmlformats.org/officeDocument/2006/relationships/hyperlink" Target="https://maps.google.com/?q=15.778863708574523,-96.137755740960131" TargetMode="External"/><Relationship Id="rId10498" Type="http://schemas.openxmlformats.org/officeDocument/2006/relationships/hyperlink" Target="https://maps.google.com/?q=17.8458655593016,-96.743137201424403" TargetMode="External"/><Relationship Id="rId11549" Type="http://schemas.openxmlformats.org/officeDocument/2006/relationships/hyperlink" Target="https://maps.google.com/?q=16.8293396759779,-96.707289696924207" TargetMode="External"/><Relationship Id="rId1608" Type="http://schemas.openxmlformats.org/officeDocument/2006/relationships/hyperlink" Target="https://maps.google.com/?q=17.760801,-96.080815000000001" TargetMode="External"/><Relationship Id="rId3030" Type="http://schemas.openxmlformats.org/officeDocument/2006/relationships/hyperlink" Target="https://maps.google.com/?q=16.939536,-97.017052000000007" TargetMode="External"/><Relationship Id="rId14022" Type="http://schemas.openxmlformats.org/officeDocument/2006/relationships/hyperlink" Target="https://maps.google.com/?q=16.9175006291756,-96.3481347895723" TargetMode="External"/><Relationship Id="rId7651" Type="http://schemas.openxmlformats.org/officeDocument/2006/relationships/hyperlink" Target="https://maps.google.com/?q=17.2319405025277,-95.0541366953275" TargetMode="External"/><Relationship Id="rId8702" Type="http://schemas.openxmlformats.org/officeDocument/2006/relationships/hyperlink" Target="https://maps.google.com/?q=16.150921679915,-96.606151612268505" TargetMode="External"/><Relationship Id="rId10632" Type="http://schemas.openxmlformats.org/officeDocument/2006/relationships/hyperlink" Target="https://maps.google.com/?q=17.1185490726877,-97.799034607791697" TargetMode="External"/><Relationship Id="rId6253" Type="http://schemas.openxmlformats.org/officeDocument/2006/relationships/hyperlink" Target="https://maps.google.com/?q=16.403488,-96.700996000000004" TargetMode="External"/><Relationship Id="rId7304" Type="http://schemas.openxmlformats.org/officeDocument/2006/relationships/hyperlink" Target="https://maps.google.com/?q=17.6084272232729,-96.140204663858299" TargetMode="External"/><Relationship Id="rId2863" Type="http://schemas.openxmlformats.org/officeDocument/2006/relationships/hyperlink" Target="https://maps.google.com/?q=16.9824366007249,-97.675074778521505" TargetMode="External"/><Relationship Id="rId3914" Type="http://schemas.openxmlformats.org/officeDocument/2006/relationships/hyperlink" Target="https://maps.google.com/?q=16.445032,-95.44235" TargetMode="External"/><Relationship Id="rId9476" Type="http://schemas.openxmlformats.org/officeDocument/2006/relationships/hyperlink" Target="https://maps.google.com/?q=16.564244,-96.731829000000005" TargetMode="External"/><Relationship Id="rId12457" Type="http://schemas.openxmlformats.org/officeDocument/2006/relationships/hyperlink" Target="https://maps.google.com/?q=17.2213208517745,-97.270188011945294" TargetMode="External"/><Relationship Id="rId13508" Type="http://schemas.openxmlformats.org/officeDocument/2006/relationships/hyperlink" Target="https://maps.google.com/?q=17.008655642318526,-96.59159928206903" TargetMode="External"/><Relationship Id="rId13855" Type="http://schemas.openxmlformats.org/officeDocument/2006/relationships/hyperlink" Target="https://maps.google.com/?q=16.2580208058859,-96.591125368436806" TargetMode="External"/><Relationship Id="rId835" Type="http://schemas.openxmlformats.org/officeDocument/2006/relationships/hyperlink" Target="https://maps.google.com/?q=15.704146505170824,-96.523521352135901" TargetMode="External"/><Relationship Id="rId1465" Type="http://schemas.openxmlformats.org/officeDocument/2006/relationships/hyperlink" Target="https://maps.google.com/?q=17.78425,-97.78997" TargetMode="External"/><Relationship Id="rId2516" Type="http://schemas.openxmlformats.org/officeDocument/2006/relationships/hyperlink" Target="https://maps.google.com/?q=17.05218212,-96.624352299999998" TargetMode="External"/><Relationship Id="rId8078" Type="http://schemas.openxmlformats.org/officeDocument/2006/relationships/hyperlink" Target="https://maps.google.com/?q=17.3540983245026,-96.304425064417998" TargetMode="External"/><Relationship Id="rId9129" Type="http://schemas.openxmlformats.org/officeDocument/2006/relationships/hyperlink" Target="https://maps.google.com/?q=17.04176,-96.728335999999999" TargetMode="External"/><Relationship Id="rId11059" Type="http://schemas.openxmlformats.org/officeDocument/2006/relationships/hyperlink" Target="https://maps.google.com/?q=17.2791026498177,-97.371293828836102" TargetMode="External"/><Relationship Id="rId1118" Type="http://schemas.openxmlformats.org/officeDocument/2006/relationships/hyperlink" Target="https://maps.google.com/?q=17.094081,-97.496217999999999" TargetMode="External"/><Relationship Id="rId4688" Type="http://schemas.openxmlformats.org/officeDocument/2006/relationships/hyperlink" Target="https://maps.google.com/?q=17.061239,-96.756981999999994" TargetMode="External"/><Relationship Id="rId5739" Type="http://schemas.openxmlformats.org/officeDocument/2006/relationships/hyperlink" Target="https://maps.google.com/?q=16.3904648,-96.365249000000006" TargetMode="External"/><Relationship Id="rId7161" Type="http://schemas.openxmlformats.org/officeDocument/2006/relationships/hyperlink" Target="https://maps.google.com/?q=16.2023977084742,-97.929758429074695" TargetMode="External"/><Relationship Id="rId8212" Type="http://schemas.openxmlformats.org/officeDocument/2006/relationships/hyperlink" Target="https://maps.google.com/?q=16.372727,-97.676896999999997" TargetMode="External"/><Relationship Id="rId9610" Type="http://schemas.openxmlformats.org/officeDocument/2006/relationships/hyperlink" Target="https://maps.google.com/?q=17.9977760784823,-96.744872685276107" TargetMode="External"/><Relationship Id="rId11540" Type="http://schemas.openxmlformats.org/officeDocument/2006/relationships/hyperlink" Target="https://maps.google.com/?q=16.828066655628,-96.708176673610694" TargetMode="External"/><Relationship Id="rId10142" Type="http://schemas.openxmlformats.org/officeDocument/2006/relationships/hyperlink" Target="https://maps.google.com/?q=17.1145564392882,-97.494116066679695" TargetMode="External"/><Relationship Id="rId3771" Type="http://schemas.openxmlformats.org/officeDocument/2006/relationships/hyperlink" Target="https://maps.google.com/?q=15.763464,-96.144508999999999" TargetMode="External"/><Relationship Id="rId4822" Type="http://schemas.openxmlformats.org/officeDocument/2006/relationships/hyperlink" Target="https://maps.google.com/?q=16.9096477955911,-96.497688015181296" TargetMode="External"/><Relationship Id="rId13365" Type="http://schemas.openxmlformats.org/officeDocument/2006/relationships/hyperlink" Target="https://maps.google.com/?q=16.3216397812987,-96.673214061342193" TargetMode="External"/><Relationship Id="rId692" Type="http://schemas.openxmlformats.org/officeDocument/2006/relationships/hyperlink" Target="https://maps.google.com/?q=16.059803,-97.387564999999995" TargetMode="External"/><Relationship Id="rId2373" Type="http://schemas.openxmlformats.org/officeDocument/2006/relationships/hyperlink" Target="https://maps.google.com/?q=17.1701743242906,-97.824895718481798" TargetMode="External"/><Relationship Id="rId3424" Type="http://schemas.openxmlformats.org/officeDocument/2006/relationships/hyperlink" Target="https://maps.google.com/?q=17.065858919795,-96.960999786347799" TargetMode="External"/><Relationship Id="rId6994" Type="http://schemas.openxmlformats.org/officeDocument/2006/relationships/hyperlink" Target="https://maps.google.com/?q=17.0368266253381,-97.304612996939795" TargetMode="External"/><Relationship Id="rId13018" Type="http://schemas.openxmlformats.org/officeDocument/2006/relationships/hyperlink" Target="https://maps.google.com/?q=16.5052854,-97.5580389" TargetMode="External"/><Relationship Id="rId345" Type="http://schemas.openxmlformats.org/officeDocument/2006/relationships/hyperlink" Target="https://maps.google.com/?q=16.052602,-97.403557000000006" TargetMode="External"/><Relationship Id="rId2026" Type="http://schemas.openxmlformats.org/officeDocument/2006/relationships/hyperlink" Target="https://maps.google.com/?q=15.758202916816476,-96.142717643207391" TargetMode="External"/><Relationship Id="rId5596" Type="http://schemas.openxmlformats.org/officeDocument/2006/relationships/hyperlink" Target="https://maps.google.com/?q=17.459587385942,-96.229156263160405" TargetMode="External"/><Relationship Id="rId6647" Type="http://schemas.openxmlformats.org/officeDocument/2006/relationships/hyperlink" Target="https://maps.google.com/?q=16.8448154204519,-97.211011474868698" TargetMode="External"/><Relationship Id="rId4198" Type="http://schemas.openxmlformats.org/officeDocument/2006/relationships/hyperlink" Target="https://maps.google.com/?q=17.620362,-95.937281999999996" TargetMode="External"/><Relationship Id="rId5249" Type="http://schemas.openxmlformats.org/officeDocument/2006/relationships/hyperlink" Target="https://maps.google.com/?q=15.8820545189978,-96.325389024239897" TargetMode="External"/><Relationship Id="rId9120" Type="http://schemas.openxmlformats.org/officeDocument/2006/relationships/hyperlink" Target="https://maps.google.com/?q=17.041146,-96.727538999999993" TargetMode="External"/><Relationship Id="rId11050" Type="http://schemas.openxmlformats.org/officeDocument/2006/relationships/hyperlink" Target="https://maps.google.com/?q=17.27717003,-97.363395679999996" TargetMode="External"/><Relationship Id="rId12101" Type="http://schemas.openxmlformats.org/officeDocument/2006/relationships/hyperlink" Target="https://maps.google.com/?q=16.3172670256747,-97.665206218920403" TargetMode="External"/><Relationship Id="rId1859" Type="http://schemas.openxmlformats.org/officeDocument/2006/relationships/hyperlink" Target="https://maps.google.com/?q=15.772147993771743,-96.153834924782785" TargetMode="External"/><Relationship Id="rId5730" Type="http://schemas.openxmlformats.org/officeDocument/2006/relationships/hyperlink" Target="https://maps.google.com/?q=16.3883816319,-96.365782814400006" TargetMode="External"/><Relationship Id="rId3281" Type="http://schemas.openxmlformats.org/officeDocument/2006/relationships/hyperlink" Target="https://maps.google.com/?q=17.0619698376441,-96.813907948968804" TargetMode="External"/><Relationship Id="rId4332" Type="http://schemas.openxmlformats.org/officeDocument/2006/relationships/hyperlink" Target="https://maps.google.com/?q=16.0169372425124,-96.617702055225394" TargetMode="External"/><Relationship Id="rId8953" Type="http://schemas.openxmlformats.org/officeDocument/2006/relationships/hyperlink" Target="https://maps.google.com/?q=17.381369883,-96.161136607000003" TargetMode="External"/><Relationship Id="rId10883" Type="http://schemas.openxmlformats.org/officeDocument/2006/relationships/hyperlink" Target="https://maps.google.com/?q=16.3530589187763,-94.490299644180297" TargetMode="External"/><Relationship Id="rId7555" Type="http://schemas.openxmlformats.org/officeDocument/2006/relationships/hyperlink" Target="https://maps.google.com/?q=17.3254392010364,-95.268423538648804" TargetMode="External"/><Relationship Id="rId8606" Type="http://schemas.openxmlformats.org/officeDocument/2006/relationships/hyperlink" Target="https://maps.google.com/?q=17.886366259959,-96.724140461223399" TargetMode="External"/><Relationship Id="rId10536" Type="http://schemas.openxmlformats.org/officeDocument/2006/relationships/hyperlink" Target="https://maps.google.com/?q=17.1025303502635,-97.794560259563696" TargetMode="External"/><Relationship Id="rId11934" Type="http://schemas.openxmlformats.org/officeDocument/2006/relationships/hyperlink" Target="https://maps.google.com/?q=16.3317815572283,-95.239795642674906" TargetMode="External"/><Relationship Id="rId6157" Type="http://schemas.openxmlformats.org/officeDocument/2006/relationships/hyperlink" Target="https://maps.google.com/?q=16.141863735173,-96.420009322767001" TargetMode="External"/><Relationship Id="rId7208" Type="http://schemas.openxmlformats.org/officeDocument/2006/relationships/hyperlink" Target="https://maps.google.com/?q=16.2273113561618,-97.945377550924505" TargetMode="External"/><Relationship Id="rId2767" Type="http://schemas.openxmlformats.org/officeDocument/2006/relationships/hyperlink" Target="https://maps.google.com/?q=18.0206783066379,-96.617555219573902" TargetMode="External"/><Relationship Id="rId13759" Type="http://schemas.openxmlformats.org/officeDocument/2006/relationships/hyperlink" Target="https://maps.google.com/?q=18.108241,-96.819405" TargetMode="External"/><Relationship Id="rId739" Type="http://schemas.openxmlformats.org/officeDocument/2006/relationships/hyperlink" Target="https://maps.google.com/?q=15.682320729633028,-96.508912902335666" TargetMode="External"/><Relationship Id="rId1369" Type="http://schemas.openxmlformats.org/officeDocument/2006/relationships/hyperlink" Target="https://maps.google.com/?q=18.0929060319826,-96.1452069010785" TargetMode="External"/><Relationship Id="rId3818" Type="http://schemas.openxmlformats.org/officeDocument/2006/relationships/hyperlink" Target="https://maps.google.com/?q=15.774101994756728,-96.23814740156071" TargetMode="External"/><Relationship Id="rId5240" Type="http://schemas.openxmlformats.org/officeDocument/2006/relationships/hyperlink" Target="https://maps.google.com/?q=15.8605813042954,-96.464872847622601" TargetMode="External"/><Relationship Id="rId9861" Type="http://schemas.openxmlformats.org/officeDocument/2006/relationships/hyperlink" Target="https://maps.google.com/?q=16.6351074326559,-96.850806802209107" TargetMode="External"/><Relationship Id="rId11791" Type="http://schemas.openxmlformats.org/officeDocument/2006/relationships/hyperlink" Target="https://maps.google.com/?q=16.73870732098092,-96.68350868469048" TargetMode="External"/><Relationship Id="rId12842" Type="http://schemas.openxmlformats.org/officeDocument/2006/relationships/hyperlink" Target="https://maps.google.com/?q=17.517051,-97.686391999999998" TargetMode="External"/><Relationship Id="rId75" Type="http://schemas.openxmlformats.org/officeDocument/2006/relationships/hyperlink" Target="https://maps.google.com/?q=15.910022,-96.449900999999997" TargetMode="External"/><Relationship Id="rId1850" Type="http://schemas.openxmlformats.org/officeDocument/2006/relationships/hyperlink" Target="https://maps.google.com/?q=16.992083200736488,-96.7825146785719" TargetMode="External"/><Relationship Id="rId2901" Type="http://schemas.openxmlformats.org/officeDocument/2006/relationships/hyperlink" Target="https://maps.google.com/?q=17.761624,-96.074279000000004" TargetMode="External"/><Relationship Id="rId7065" Type="http://schemas.openxmlformats.org/officeDocument/2006/relationships/hyperlink" Target="https://maps.google.com/?q=16.5706883023592,-97.034727376825103" TargetMode="External"/><Relationship Id="rId8463" Type="http://schemas.openxmlformats.org/officeDocument/2006/relationships/hyperlink" Target="https://maps.google.com/?q=17.1537522812456,-97.524920783314002" TargetMode="External"/><Relationship Id="rId9514" Type="http://schemas.openxmlformats.org/officeDocument/2006/relationships/hyperlink" Target="https://maps.google.com/?q=17.064109,-96.704148" TargetMode="External"/><Relationship Id="rId10393" Type="http://schemas.openxmlformats.org/officeDocument/2006/relationships/hyperlink" Target="https://maps.google.com/?q=16.4330583010856,-97.061829473361499" TargetMode="External"/><Relationship Id="rId11444" Type="http://schemas.openxmlformats.org/officeDocument/2006/relationships/hyperlink" Target="https://maps.google.com/?q=16.0761,-97.304370000000006" TargetMode="External"/><Relationship Id="rId1503" Type="http://schemas.openxmlformats.org/officeDocument/2006/relationships/hyperlink" Target="https://maps.google.com/?q=17.061036,-96.755902000000006" TargetMode="External"/><Relationship Id="rId8116" Type="http://schemas.openxmlformats.org/officeDocument/2006/relationships/hyperlink" Target="https://maps.google.com/?q=17.355242318531,-96.305061807280893" TargetMode="External"/><Relationship Id="rId10046" Type="http://schemas.openxmlformats.org/officeDocument/2006/relationships/hyperlink" Target="https://maps.google.com/?q=16.9255265812248,-96.353862341153899" TargetMode="External"/><Relationship Id="rId3675" Type="http://schemas.openxmlformats.org/officeDocument/2006/relationships/hyperlink" Target="https://maps.google.com/?q=15.775134,-96.141921" TargetMode="External"/><Relationship Id="rId4726" Type="http://schemas.openxmlformats.org/officeDocument/2006/relationships/hyperlink" Target="https://maps.google.com/?q=17.0585929,-96.743018000000006" TargetMode="External"/><Relationship Id="rId13269" Type="http://schemas.openxmlformats.org/officeDocument/2006/relationships/hyperlink" Target="https://maps.google.com/?q=16.1100717624937,-96.315441580412298" TargetMode="External"/><Relationship Id="rId596" Type="http://schemas.openxmlformats.org/officeDocument/2006/relationships/hyperlink" Target="https://maps.google.com/?q=16.05357,-97.399941999999996" TargetMode="External"/><Relationship Id="rId2277" Type="http://schemas.openxmlformats.org/officeDocument/2006/relationships/hyperlink" Target="https://maps.google.com/?q=18.0981807391201,-96.928949748283799" TargetMode="External"/><Relationship Id="rId3328" Type="http://schemas.openxmlformats.org/officeDocument/2006/relationships/hyperlink" Target="https://maps.google.com/?q=17.0658600796355,-96.816510254314494" TargetMode="External"/><Relationship Id="rId6898" Type="http://schemas.openxmlformats.org/officeDocument/2006/relationships/hyperlink" Target="https://maps.google.com/?q=16.9745683763267,-97.087451917179294" TargetMode="External"/><Relationship Id="rId249" Type="http://schemas.openxmlformats.org/officeDocument/2006/relationships/hyperlink" Target="https://maps.google.com/?q=16.88466,-97.67765" TargetMode="External"/><Relationship Id="rId7949" Type="http://schemas.openxmlformats.org/officeDocument/2006/relationships/hyperlink" Target="https://maps.google.com/?q=16.310875,-96.585913000000005" TargetMode="External"/><Relationship Id="rId9371" Type="http://schemas.openxmlformats.org/officeDocument/2006/relationships/hyperlink" Target="https://maps.google.com/?q=16.8194339839682,-95.143329418896101" TargetMode="External"/><Relationship Id="rId13750" Type="http://schemas.openxmlformats.org/officeDocument/2006/relationships/hyperlink" Target="https://maps.google.com/?q=16.704364,-97.019527" TargetMode="External"/><Relationship Id="rId9024" Type="http://schemas.openxmlformats.org/officeDocument/2006/relationships/hyperlink" Target="https://maps.google.com/?q=16.053458,-95.468783999999999" TargetMode="External"/><Relationship Id="rId12352" Type="http://schemas.openxmlformats.org/officeDocument/2006/relationships/hyperlink" Target="https://maps.google.com/?q=15.89106,-97.074456" TargetMode="External"/><Relationship Id="rId13403" Type="http://schemas.openxmlformats.org/officeDocument/2006/relationships/hyperlink" Target="https://maps.google.com/?q=16.3272384258429,-96.669673452702099" TargetMode="External"/><Relationship Id="rId730" Type="http://schemas.openxmlformats.org/officeDocument/2006/relationships/hyperlink" Target="https://maps.google.com/?q=15.710738084662175,-96.529713717736911" TargetMode="External"/><Relationship Id="rId1013" Type="http://schemas.openxmlformats.org/officeDocument/2006/relationships/hyperlink" Target="https://maps.google.com/?q=15.697353753587917,-96.52419958670373" TargetMode="External"/><Relationship Id="rId1360" Type="http://schemas.openxmlformats.org/officeDocument/2006/relationships/hyperlink" Target="https://maps.google.com/?q=17.02079444,-96.71796345" TargetMode="External"/><Relationship Id="rId2411" Type="http://schemas.openxmlformats.org/officeDocument/2006/relationships/hyperlink" Target="https://maps.google.com/?q=17.05069571,-96.624080280000001" TargetMode="External"/><Relationship Id="rId5981" Type="http://schemas.openxmlformats.org/officeDocument/2006/relationships/hyperlink" Target="https://maps.google.com/?q=18.154537786951913,-96.57685615911528" TargetMode="External"/><Relationship Id="rId12005" Type="http://schemas.openxmlformats.org/officeDocument/2006/relationships/hyperlink" Target="https://maps.google.com/?q=16.8024175751945,-96.722880131283006" TargetMode="External"/><Relationship Id="rId4583" Type="http://schemas.openxmlformats.org/officeDocument/2006/relationships/hyperlink" Target="https://maps.google.com/?q=16.555111,-96.814998000000003" TargetMode="External"/><Relationship Id="rId5634" Type="http://schemas.openxmlformats.org/officeDocument/2006/relationships/hyperlink" Target="https://maps.google.com/?q=17.5627413127619,-96.1791179800002" TargetMode="External"/><Relationship Id="rId14177" Type="http://schemas.openxmlformats.org/officeDocument/2006/relationships/drawing" Target="../drawings/drawing2.xml"/><Relationship Id="rId3185" Type="http://schemas.openxmlformats.org/officeDocument/2006/relationships/hyperlink" Target="https://maps.google.com/?q=16.551871,-97.500206000000006" TargetMode="External"/><Relationship Id="rId4236" Type="http://schemas.openxmlformats.org/officeDocument/2006/relationships/hyperlink" Target="https://maps.google.com/?q=15.9367940468901,-96.473181365688205" TargetMode="External"/><Relationship Id="rId8857" Type="http://schemas.openxmlformats.org/officeDocument/2006/relationships/hyperlink" Target="https://maps.google.com/?q=17.219776,-96.240020999999999" TargetMode="External"/><Relationship Id="rId9908" Type="http://schemas.openxmlformats.org/officeDocument/2006/relationships/hyperlink" Target="https://maps.google.com/?q=0,&#160;-96.709304" TargetMode="External"/><Relationship Id="rId7459" Type="http://schemas.openxmlformats.org/officeDocument/2006/relationships/hyperlink" Target="https://maps.google.com/?q=16.3301520656873,-96.677671605227701" TargetMode="External"/><Relationship Id="rId10787" Type="http://schemas.openxmlformats.org/officeDocument/2006/relationships/hyperlink" Target="https://maps.google.com/?q=16.4608384114891,-94.999555267701794" TargetMode="External"/><Relationship Id="rId11838" Type="http://schemas.openxmlformats.org/officeDocument/2006/relationships/hyperlink" Target="https://maps.google.com/?q=16.606094292791187,-96.77972294973753" TargetMode="External"/><Relationship Id="rId13260" Type="http://schemas.openxmlformats.org/officeDocument/2006/relationships/hyperlink" Target="https://maps.google.com/?q=17.1545305152891,-96.745694944220006" TargetMode="External"/><Relationship Id="rId240" Type="http://schemas.openxmlformats.org/officeDocument/2006/relationships/hyperlink" Target="https://maps.google.com/?q=16.88384,-97.676360000000003" TargetMode="External"/><Relationship Id="rId7940" Type="http://schemas.openxmlformats.org/officeDocument/2006/relationships/hyperlink" Target="https://maps.google.com/?q=16.3250813269401,-96.408136190913893" TargetMode="External"/><Relationship Id="rId10921" Type="http://schemas.openxmlformats.org/officeDocument/2006/relationships/hyperlink" Target="https://maps.google.com/?q=16.1913482446231,-95.215660522208793" TargetMode="External"/><Relationship Id="rId4093" Type="http://schemas.openxmlformats.org/officeDocument/2006/relationships/hyperlink" Target="https://maps.google.com/?q=17.056291,-96.746252900000002" TargetMode="External"/><Relationship Id="rId5144" Type="http://schemas.openxmlformats.org/officeDocument/2006/relationships/hyperlink" Target="https://maps.google.com/?q=17.254598,-96.149552" TargetMode="External"/><Relationship Id="rId5491" Type="http://schemas.openxmlformats.org/officeDocument/2006/relationships/hyperlink" Target="https://maps.google.com/?q=16.327097,-96.494726999999997" TargetMode="External"/><Relationship Id="rId6542" Type="http://schemas.openxmlformats.org/officeDocument/2006/relationships/hyperlink" Target="https://maps.google.com/?q=18.0833371614,-97.244690417" TargetMode="External"/><Relationship Id="rId9765" Type="http://schemas.openxmlformats.org/officeDocument/2006/relationships/hyperlink" Target="https://maps.google.com/?q=17.28209282076,-96.803841181656296" TargetMode="External"/><Relationship Id="rId11695" Type="http://schemas.openxmlformats.org/officeDocument/2006/relationships/hyperlink" Target="https://maps.google.com/?q=17.18169521,-97.709705330000006" TargetMode="External"/><Relationship Id="rId12746" Type="http://schemas.openxmlformats.org/officeDocument/2006/relationships/hyperlink" Target="https://maps.google.com/?q=17.4506805528177,-97.287525099381" TargetMode="External"/><Relationship Id="rId1754" Type="http://schemas.openxmlformats.org/officeDocument/2006/relationships/hyperlink" Target="https://maps.google.com/?q=18.06123377,-96.848349490000004" TargetMode="External"/><Relationship Id="rId2805" Type="http://schemas.openxmlformats.org/officeDocument/2006/relationships/hyperlink" Target="https://maps.google.com/?q=16.9879171141524,-97.710948600034698" TargetMode="External"/><Relationship Id="rId8367" Type="http://schemas.openxmlformats.org/officeDocument/2006/relationships/hyperlink" Target="https://maps.google.com/?q=16.8456508938082,-97.202502439978801" TargetMode="External"/><Relationship Id="rId9418" Type="http://schemas.openxmlformats.org/officeDocument/2006/relationships/hyperlink" Target="https://maps.google.com/?q=16.7759965714299,-95.190352604239607" TargetMode="External"/><Relationship Id="rId10297" Type="http://schemas.openxmlformats.org/officeDocument/2006/relationships/hyperlink" Target="https://maps.google.com/?q=16.22043067,-97.264340129999994" TargetMode="External"/><Relationship Id="rId11348" Type="http://schemas.openxmlformats.org/officeDocument/2006/relationships/hyperlink" Target="https://maps.google.com/?q=16.3627999154388,-94.191704915344204" TargetMode="External"/><Relationship Id="rId1407" Type="http://schemas.openxmlformats.org/officeDocument/2006/relationships/hyperlink" Target="https://maps.google.com/?q=17.335316,-98.012051" TargetMode="External"/><Relationship Id="rId4977" Type="http://schemas.openxmlformats.org/officeDocument/2006/relationships/hyperlink" Target="https://maps.google.com/?q=17.34292669941257,-96.17087618650524" TargetMode="External"/><Relationship Id="rId3579" Type="http://schemas.openxmlformats.org/officeDocument/2006/relationships/hyperlink" Target="https://maps.google.com/?q=15.7760272407148,-96.137012160726911" TargetMode="External"/><Relationship Id="rId7450" Type="http://schemas.openxmlformats.org/officeDocument/2006/relationships/hyperlink" Target="https://maps.google.com/?q=16.3222266240473,-96.673978035511695" TargetMode="External"/><Relationship Id="rId8501" Type="http://schemas.openxmlformats.org/officeDocument/2006/relationships/hyperlink" Target="https://maps.google.com/?q=17.1462596646889,-97.540974717790903" TargetMode="External"/><Relationship Id="rId6052" Type="http://schemas.openxmlformats.org/officeDocument/2006/relationships/hyperlink" Target="https://maps.google.com/?q=18.157502570033024,-96.576509062055308" TargetMode="External"/><Relationship Id="rId7103" Type="http://schemas.openxmlformats.org/officeDocument/2006/relationships/hyperlink" Target="https://maps.google.com/?q=17.3554281425463,-97.658096988193293" TargetMode="External"/><Relationship Id="rId10431" Type="http://schemas.openxmlformats.org/officeDocument/2006/relationships/hyperlink" Target="https://maps.google.com/?q=17.0409617,-96.776625199999998" TargetMode="External"/><Relationship Id="rId9275" Type="http://schemas.openxmlformats.org/officeDocument/2006/relationships/hyperlink" Target="https://maps.google.com/?q=17.3785809183404,-96.299760446447607" TargetMode="External"/><Relationship Id="rId13654" Type="http://schemas.openxmlformats.org/officeDocument/2006/relationships/hyperlink" Target="https://maps.google.com/?q=16.738141,-95.354602" TargetMode="External"/><Relationship Id="rId981" Type="http://schemas.openxmlformats.org/officeDocument/2006/relationships/hyperlink" Target="https://maps.google.com/?q=15.690835315013052,-96.518079813755094" TargetMode="External"/><Relationship Id="rId2662" Type="http://schemas.openxmlformats.org/officeDocument/2006/relationships/hyperlink" Target="https://maps.google.com/?q=17.9421933996045,-97.970296422701793" TargetMode="External"/><Relationship Id="rId3713" Type="http://schemas.openxmlformats.org/officeDocument/2006/relationships/hyperlink" Target="https://maps.google.com/?q=15.758034785333948,-96.140230111962993" TargetMode="External"/><Relationship Id="rId12256" Type="http://schemas.openxmlformats.org/officeDocument/2006/relationships/hyperlink" Target="https://maps.google.com/?q=16.426253889083,-97.230204815349694" TargetMode="External"/><Relationship Id="rId13307" Type="http://schemas.openxmlformats.org/officeDocument/2006/relationships/hyperlink" Target="https://maps.google.com/?q=16.1337173045213,-96.331463025582593" TargetMode="External"/><Relationship Id="rId634" Type="http://schemas.openxmlformats.org/officeDocument/2006/relationships/hyperlink" Target="https://maps.google.com/?q=16.054346,-97.394972999999993" TargetMode="External"/><Relationship Id="rId1264" Type="http://schemas.openxmlformats.org/officeDocument/2006/relationships/hyperlink" Target="https://maps.google.com/?q=17.058593,-96.743018000000006" TargetMode="External"/><Relationship Id="rId2315" Type="http://schemas.openxmlformats.org/officeDocument/2006/relationships/hyperlink" Target="https://maps.google.com/?q=18.1061968853255,-96.879535758954603" TargetMode="External"/><Relationship Id="rId5885" Type="http://schemas.openxmlformats.org/officeDocument/2006/relationships/hyperlink" Target="https://maps.google.com/?q=18.145086416032683,-96.566242596626921" TargetMode="External"/><Relationship Id="rId6936" Type="http://schemas.openxmlformats.org/officeDocument/2006/relationships/hyperlink" Target="https://maps.google.com/?q=16.317646,-95.247661800000003" TargetMode="External"/><Relationship Id="rId4487" Type="http://schemas.openxmlformats.org/officeDocument/2006/relationships/hyperlink" Target="https://maps.google.com/?q=17.1751155867228,-97.305333352184107" TargetMode="External"/><Relationship Id="rId5538" Type="http://schemas.openxmlformats.org/officeDocument/2006/relationships/hyperlink" Target="https://maps.google.com/?q=17.2888780240236,-97.377560360000004" TargetMode="External"/><Relationship Id="rId3089" Type="http://schemas.openxmlformats.org/officeDocument/2006/relationships/hyperlink" Target="https://maps.google.com/?q=16.5670536973433,-97.0115370294304" TargetMode="External"/><Relationship Id="rId8011" Type="http://schemas.openxmlformats.org/officeDocument/2006/relationships/hyperlink" Target="https://maps.google.com/?q=18.1641148220109,-96.872563352156305" TargetMode="External"/><Relationship Id="rId491" Type="http://schemas.openxmlformats.org/officeDocument/2006/relationships/hyperlink" Target="https://maps.google.com/?q=16.055024,-97.408378999999996" TargetMode="External"/><Relationship Id="rId2172" Type="http://schemas.openxmlformats.org/officeDocument/2006/relationships/hyperlink" Target="https://maps.google.com/?q=15.762097115766958,-96.146300120380317" TargetMode="External"/><Relationship Id="rId3223" Type="http://schemas.openxmlformats.org/officeDocument/2006/relationships/hyperlink" Target="https://maps.google.com/?q=17.8047364434173,-96.004496218342396" TargetMode="External"/><Relationship Id="rId3570" Type="http://schemas.openxmlformats.org/officeDocument/2006/relationships/hyperlink" Target="https://maps.google.com/?q=15.775495751018237,-96.135741937368806" TargetMode="External"/><Relationship Id="rId4621" Type="http://schemas.openxmlformats.org/officeDocument/2006/relationships/hyperlink" Target="https://maps.google.com/?q=16.5489472897175,-96.708044270489594" TargetMode="External"/><Relationship Id="rId13164" Type="http://schemas.openxmlformats.org/officeDocument/2006/relationships/hyperlink" Target="https://maps.google.com/?q=16.5675652897333,-97.011245976567594" TargetMode="External"/><Relationship Id="rId144" Type="http://schemas.openxmlformats.org/officeDocument/2006/relationships/hyperlink" Target="https://maps.google.com/?q=17.088631,-97.501046000000002" TargetMode="External"/><Relationship Id="rId6793" Type="http://schemas.openxmlformats.org/officeDocument/2006/relationships/hyperlink" Target="https://maps.google.com/?q=16.6451157346437,-97.0394197493668" TargetMode="External"/><Relationship Id="rId7844" Type="http://schemas.openxmlformats.org/officeDocument/2006/relationships/hyperlink" Target="https://maps.google.com/?q=15.969007,-96.021140000000003" TargetMode="External"/><Relationship Id="rId10825" Type="http://schemas.openxmlformats.org/officeDocument/2006/relationships/hyperlink" Target="https://maps.google.com/?q=16.4046929006336,-94.457664688325806" TargetMode="External"/><Relationship Id="rId5395" Type="http://schemas.openxmlformats.org/officeDocument/2006/relationships/hyperlink" Target="https://maps.google.com/?q=16.092443982787,-97.692291353626501" TargetMode="External"/><Relationship Id="rId6446" Type="http://schemas.openxmlformats.org/officeDocument/2006/relationships/hyperlink" Target="https://maps.google.com/?q=17.34983173,-97.562199070000005" TargetMode="External"/><Relationship Id="rId5048" Type="http://schemas.openxmlformats.org/officeDocument/2006/relationships/hyperlink" Target="https://maps.google.com/?q=17.251725,-96.153271000000004" TargetMode="External"/><Relationship Id="rId9669" Type="http://schemas.openxmlformats.org/officeDocument/2006/relationships/hyperlink" Target="https://maps.google.com/?q=16.4642822040343,-96.647296303535796" TargetMode="External"/><Relationship Id="rId11599" Type="http://schemas.openxmlformats.org/officeDocument/2006/relationships/hyperlink" Target="https://maps.google.com/?q=16.8357302569944,-96.728176000000005" TargetMode="External"/><Relationship Id="rId12997" Type="http://schemas.openxmlformats.org/officeDocument/2006/relationships/hyperlink" Target="https://maps.google.com/?q=16.5025705,-97.559318399999995" TargetMode="External"/><Relationship Id="rId1658" Type="http://schemas.openxmlformats.org/officeDocument/2006/relationships/hyperlink" Target="https://maps.google.com/?q=16.8943924349607,-96.937365239425304" TargetMode="External"/><Relationship Id="rId2709" Type="http://schemas.openxmlformats.org/officeDocument/2006/relationships/hyperlink" Target="https://maps.google.com/?q=15.8918629950865,-96.416400240307198" TargetMode="External"/><Relationship Id="rId14072" Type="http://schemas.openxmlformats.org/officeDocument/2006/relationships/hyperlink" Target="https://maps.google.com/?q=16.9420415904882,-95.2026921919741" TargetMode="External"/><Relationship Id="rId3080" Type="http://schemas.openxmlformats.org/officeDocument/2006/relationships/hyperlink" Target="https://maps.google.com/?q=16.9650767075155,-96.937379060362304" TargetMode="External"/><Relationship Id="rId4131" Type="http://schemas.openxmlformats.org/officeDocument/2006/relationships/hyperlink" Target="https://maps.google.com/?q=17.6637331,-98.2227641" TargetMode="External"/><Relationship Id="rId7354" Type="http://schemas.openxmlformats.org/officeDocument/2006/relationships/hyperlink" Target="https://maps.google.com/?q=16.5652529601012,-97.653121860118702" TargetMode="External"/><Relationship Id="rId8752" Type="http://schemas.openxmlformats.org/officeDocument/2006/relationships/hyperlink" Target="https://maps.google.com/?q=18.0779452967903,-96.126561252612206" TargetMode="External"/><Relationship Id="rId9803" Type="http://schemas.openxmlformats.org/officeDocument/2006/relationships/hyperlink" Target="https://maps.google.com/?q=16.642368146729,-96.748860941168005" TargetMode="External"/><Relationship Id="rId10682" Type="http://schemas.openxmlformats.org/officeDocument/2006/relationships/hyperlink" Target="https://maps.google.com/?q=17.200986,-96.803354" TargetMode="External"/><Relationship Id="rId11733" Type="http://schemas.openxmlformats.org/officeDocument/2006/relationships/hyperlink" Target="https://maps.google.com/?q=17.188657,-97.711696869999997" TargetMode="External"/><Relationship Id="rId17" Type="http://schemas.openxmlformats.org/officeDocument/2006/relationships/hyperlink" Target="https://maps.google.com/?q=17.222719,-97.120886999999996" TargetMode="External"/><Relationship Id="rId7007" Type="http://schemas.openxmlformats.org/officeDocument/2006/relationships/hyperlink" Target="https://maps.google.com/?q=17.0391564122339,-97.299379583697998" TargetMode="External"/><Relationship Id="rId8405" Type="http://schemas.openxmlformats.org/officeDocument/2006/relationships/hyperlink" Target="https://maps.google.com/?q=16.0901907339308,-96.2434259447747" TargetMode="External"/><Relationship Id="rId10335" Type="http://schemas.openxmlformats.org/officeDocument/2006/relationships/hyperlink" Target="https://maps.google.com/?q=17.432607540797,-96.657129041727998" TargetMode="External"/><Relationship Id="rId3964" Type="http://schemas.openxmlformats.org/officeDocument/2006/relationships/hyperlink" Target="https://maps.google.com/?q=17.061462,-96.754750999999999" TargetMode="External"/><Relationship Id="rId13558" Type="http://schemas.openxmlformats.org/officeDocument/2006/relationships/hyperlink" Target="https://maps.google.com/?q=16.898250875287562,-96.46691717790985" TargetMode="External"/><Relationship Id="rId1" Type="http://schemas.openxmlformats.org/officeDocument/2006/relationships/hyperlink" Target="https://maps.google.com/?q=17.221881,-97.119147999999996" TargetMode="External"/><Relationship Id="rId885" Type="http://schemas.openxmlformats.org/officeDocument/2006/relationships/hyperlink" Target="https://maps.google.com/?q=17.097353,-97.496498000000003" TargetMode="External"/><Relationship Id="rId2566" Type="http://schemas.openxmlformats.org/officeDocument/2006/relationships/hyperlink" Target="https://maps.google.com/?q=16.01051,-97.201891000000003" TargetMode="External"/><Relationship Id="rId3617" Type="http://schemas.openxmlformats.org/officeDocument/2006/relationships/hyperlink" Target="https://maps.google.com/?q=15.7769740841157,-96.136905602766447" TargetMode="External"/><Relationship Id="rId9179" Type="http://schemas.openxmlformats.org/officeDocument/2006/relationships/hyperlink" Target="https://maps.google.com/?q=17.3737380934815,-96.299196723910697" TargetMode="External"/><Relationship Id="rId538" Type="http://schemas.openxmlformats.org/officeDocument/2006/relationships/hyperlink" Target="https://maps.google.com/?q=16.052547,-97.403398999999993" TargetMode="External"/><Relationship Id="rId1168" Type="http://schemas.openxmlformats.org/officeDocument/2006/relationships/hyperlink" Target="https://maps.google.com/?q=16.909617,-94.684284" TargetMode="External"/><Relationship Id="rId2219" Type="http://schemas.openxmlformats.org/officeDocument/2006/relationships/hyperlink" Target="https://maps.google.com/?q=16.9942275717004,-97.249141864702196" TargetMode="External"/><Relationship Id="rId5789" Type="http://schemas.openxmlformats.org/officeDocument/2006/relationships/hyperlink" Target="https://maps.google.com/?q=17.3049695176215,-97.490936438194396" TargetMode="External"/><Relationship Id="rId9660" Type="http://schemas.openxmlformats.org/officeDocument/2006/relationships/hyperlink" Target="https://maps.google.com/?q=16.317829105295,-96.588488709939497" TargetMode="External"/><Relationship Id="rId8262" Type="http://schemas.openxmlformats.org/officeDocument/2006/relationships/hyperlink" Target="https://maps.google.com/?q=17.025309,-96.747652000000002" TargetMode="External"/><Relationship Id="rId9313" Type="http://schemas.openxmlformats.org/officeDocument/2006/relationships/hyperlink" Target="https://maps.google.com/?q=16.8154499512409,-95.133715731722603" TargetMode="External"/><Relationship Id="rId10192" Type="http://schemas.openxmlformats.org/officeDocument/2006/relationships/hyperlink" Target="https://maps.google.com/?q=17.2901189413025,-97.337749687592904" TargetMode="External"/><Relationship Id="rId11590" Type="http://schemas.openxmlformats.org/officeDocument/2006/relationships/hyperlink" Target="https://maps.google.com/?q=16.8339239008031,-96.723812883432402" TargetMode="External"/><Relationship Id="rId12641" Type="http://schemas.openxmlformats.org/officeDocument/2006/relationships/hyperlink" Target="https://maps.google.com/?q=17.118608,-96.850763000000001" TargetMode="External"/><Relationship Id="rId1302" Type="http://schemas.openxmlformats.org/officeDocument/2006/relationships/hyperlink" Target="https://maps.google.com/?q=17.0802,-96.726955" TargetMode="External"/><Relationship Id="rId2700" Type="http://schemas.openxmlformats.org/officeDocument/2006/relationships/hyperlink" Target="https://maps.google.com/?q=15.895484,&#160;-96.415162" TargetMode="External"/><Relationship Id="rId11243" Type="http://schemas.openxmlformats.org/officeDocument/2006/relationships/hyperlink" Target="https://maps.google.com/?q=17.8621116573843,-96.3067874098804" TargetMode="External"/><Relationship Id="rId4872" Type="http://schemas.openxmlformats.org/officeDocument/2006/relationships/hyperlink" Target="https://maps.google.com/?q=16.7919423426334,-96.389269797657803" TargetMode="External"/><Relationship Id="rId5923" Type="http://schemas.openxmlformats.org/officeDocument/2006/relationships/hyperlink" Target="https://maps.google.com/?q=18.150508629662784,-96.569034972008765" TargetMode="External"/><Relationship Id="rId395" Type="http://schemas.openxmlformats.org/officeDocument/2006/relationships/hyperlink" Target="https://maps.google.com/?q=16.063314,-97.380975000000007" TargetMode="External"/><Relationship Id="rId2076" Type="http://schemas.openxmlformats.org/officeDocument/2006/relationships/hyperlink" Target="https://maps.google.com/?q=15.772587563635048,-96.234819614409062" TargetMode="External"/><Relationship Id="rId3474" Type="http://schemas.openxmlformats.org/officeDocument/2006/relationships/hyperlink" Target="https://maps.google.com/?q=16.7463971498576,-97.263448309546703" TargetMode="External"/><Relationship Id="rId4525" Type="http://schemas.openxmlformats.org/officeDocument/2006/relationships/hyperlink" Target="https://maps.google.com/?q=17.1817242839529,-97.304225988343205" TargetMode="External"/><Relationship Id="rId13068" Type="http://schemas.openxmlformats.org/officeDocument/2006/relationships/hyperlink" Target="https://maps.google.com/?q=16.5633506,-97.529559199999994" TargetMode="External"/><Relationship Id="rId14119" Type="http://schemas.openxmlformats.org/officeDocument/2006/relationships/hyperlink" Target="https://maps.google.com/?q=17.019004,-95.830317" TargetMode="External"/><Relationship Id="rId3127" Type="http://schemas.openxmlformats.org/officeDocument/2006/relationships/hyperlink" Target="https://maps.google.com/?q=16.583872,-97.441508999999996" TargetMode="External"/><Relationship Id="rId6697" Type="http://schemas.openxmlformats.org/officeDocument/2006/relationships/hyperlink" Target="https://maps.google.com/?q=16.9388975,-96.967043200000006" TargetMode="External"/><Relationship Id="rId7748" Type="http://schemas.openxmlformats.org/officeDocument/2006/relationships/hyperlink" Target="https://maps.google.com/?q=16.068754,-96.300217000000004" TargetMode="External"/><Relationship Id="rId5299" Type="http://schemas.openxmlformats.org/officeDocument/2006/relationships/hyperlink" Target="https://maps.google.com/?q=15.7175310137889,-96.469974402993401" TargetMode="External"/><Relationship Id="rId9170" Type="http://schemas.openxmlformats.org/officeDocument/2006/relationships/hyperlink" Target="https://maps.google.com/?q=17.0046794235346,-96.962668425141402" TargetMode="External"/><Relationship Id="rId10729" Type="http://schemas.openxmlformats.org/officeDocument/2006/relationships/hyperlink" Target="https://maps.google.com/?q=17.06706657,-96.74386465" TargetMode="External"/><Relationship Id="rId12151" Type="http://schemas.openxmlformats.org/officeDocument/2006/relationships/hyperlink" Target="https://maps.google.com/?q=17.630083,-97.833309" TargetMode="External"/><Relationship Id="rId13202" Type="http://schemas.openxmlformats.org/officeDocument/2006/relationships/hyperlink" Target="https://maps.google.com/?q=17.3360815972108,-97.375922868717197" TargetMode="External"/><Relationship Id="rId2210" Type="http://schemas.openxmlformats.org/officeDocument/2006/relationships/hyperlink" Target="https://maps.google.com/?q=16.9862538976393,-97.231752872544206" TargetMode="External"/><Relationship Id="rId4382" Type="http://schemas.openxmlformats.org/officeDocument/2006/relationships/hyperlink" Target="https://maps.google.com/?q=15.99804225,-96.686907500000004" TargetMode="External"/><Relationship Id="rId5433" Type="http://schemas.openxmlformats.org/officeDocument/2006/relationships/hyperlink" Target="https://maps.google.com/?q=16.0058227307329,-97.451406802208993" TargetMode="External"/><Relationship Id="rId5780" Type="http://schemas.openxmlformats.org/officeDocument/2006/relationships/hyperlink" Target="https://maps.google.com/?q=17.001277,-97.236394000000004" TargetMode="External"/><Relationship Id="rId6831" Type="http://schemas.openxmlformats.org/officeDocument/2006/relationships/hyperlink" Target="https://maps.google.com/?q=17.0068601919974,-96.976085501010303" TargetMode="External"/><Relationship Id="rId4035" Type="http://schemas.openxmlformats.org/officeDocument/2006/relationships/hyperlink" Target="https://maps.google.com/?q=17.020794443824677,-96.717963454893138" TargetMode="External"/><Relationship Id="rId11984" Type="http://schemas.openxmlformats.org/officeDocument/2006/relationships/hyperlink" Target="https://maps.google.com/?q=16.8005606294647,-96.706246872328194" TargetMode="External"/><Relationship Id="rId8656" Type="http://schemas.openxmlformats.org/officeDocument/2006/relationships/hyperlink" Target="https://maps.google.com/?q=17.0333054948995,-97.805169865180602" TargetMode="External"/><Relationship Id="rId9707" Type="http://schemas.openxmlformats.org/officeDocument/2006/relationships/hyperlink" Target="https://maps.google.com/?q=16.4339474837909,-95.030958114370705" TargetMode="External"/><Relationship Id="rId10586" Type="http://schemas.openxmlformats.org/officeDocument/2006/relationships/hyperlink" Target="https://maps.google.com/?q=17.1408646756046,-97.770200751569703" TargetMode="External"/><Relationship Id="rId11637" Type="http://schemas.openxmlformats.org/officeDocument/2006/relationships/hyperlink" Target="https://maps.google.com/?q=16.8423825401541,-96.723522224536893" TargetMode="External"/><Relationship Id="rId7258" Type="http://schemas.openxmlformats.org/officeDocument/2006/relationships/hyperlink" Target="https://maps.google.com/?q=16.2973175125514,-97.914402311163897" TargetMode="External"/><Relationship Id="rId8309" Type="http://schemas.openxmlformats.org/officeDocument/2006/relationships/hyperlink" Target="https://maps.google.com/?q=16.538815,-98.037621000000001" TargetMode="External"/><Relationship Id="rId10239" Type="http://schemas.openxmlformats.org/officeDocument/2006/relationships/hyperlink" Target="https://maps.google.com/?q=17.286752115225518,-97.30255520322406" TargetMode="External"/><Relationship Id="rId14110" Type="http://schemas.openxmlformats.org/officeDocument/2006/relationships/hyperlink" Target="https://maps.google.com/?q=16.87991088,-95.29789854" TargetMode="External"/><Relationship Id="rId3868" Type="http://schemas.openxmlformats.org/officeDocument/2006/relationships/hyperlink" Target="https://maps.google.com/?q=17.1036784014916,-95.936813880708002" TargetMode="External"/><Relationship Id="rId4919" Type="http://schemas.openxmlformats.org/officeDocument/2006/relationships/hyperlink" Target="https://maps.google.com/?q=18.03224,-96.667541" TargetMode="External"/><Relationship Id="rId789" Type="http://schemas.openxmlformats.org/officeDocument/2006/relationships/hyperlink" Target="https://maps.google.com/?q=15.6896698309402,-96.516259004689999" TargetMode="External"/><Relationship Id="rId5290" Type="http://schemas.openxmlformats.org/officeDocument/2006/relationships/hyperlink" Target="https://maps.google.com/?q=15.8336376157908,-96.462963509819502" TargetMode="External"/><Relationship Id="rId6341" Type="http://schemas.openxmlformats.org/officeDocument/2006/relationships/hyperlink" Target="https://maps.google.com/?q=18.06163558631,-96.404281606149894" TargetMode="External"/><Relationship Id="rId10720" Type="http://schemas.openxmlformats.org/officeDocument/2006/relationships/hyperlink" Target="https://maps.google.com/?q=17.511838,-97.488547999999994" TargetMode="External"/><Relationship Id="rId9564" Type="http://schemas.openxmlformats.org/officeDocument/2006/relationships/hyperlink" Target="https://maps.google.com/?q=17.359213,-96.293873000000005" TargetMode="External"/><Relationship Id="rId12892" Type="http://schemas.openxmlformats.org/officeDocument/2006/relationships/hyperlink" Target="https://maps.google.com/?q=16.504639,-97.513403999999994" TargetMode="External"/><Relationship Id="rId13943" Type="http://schemas.openxmlformats.org/officeDocument/2006/relationships/hyperlink" Target="https://maps.google.com/?q=16.308377,-97.558615" TargetMode="External"/><Relationship Id="rId2951" Type="http://schemas.openxmlformats.org/officeDocument/2006/relationships/hyperlink" Target="https://maps.google.com/?q=17.08445418,-96.676701289999997" TargetMode="External"/><Relationship Id="rId8166" Type="http://schemas.openxmlformats.org/officeDocument/2006/relationships/hyperlink" Target="https://maps.google.com/?q=17.9242597728227,-96.186678191164702" TargetMode="External"/><Relationship Id="rId9217" Type="http://schemas.openxmlformats.org/officeDocument/2006/relationships/hyperlink" Target="https://maps.google.com/?q=17.3751820475538,-96.300711907881293" TargetMode="External"/><Relationship Id="rId11494" Type="http://schemas.openxmlformats.org/officeDocument/2006/relationships/hyperlink" Target="https://maps.google.com/?q=16.3089611880378,-96.649003809924807" TargetMode="External"/><Relationship Id="rId12545" Type="http://schemas.openxmlformats.org/officeDocument/2006/relationships/hyperlink" Target="https://maps.google.com/?q=16.9705214735307,-97.913471567177595" TargetMode="External"/><Relationship Id="rId923" Type="http://schemas.openxmlformats.org/officeDocument/2006/relationships/hyperlink" Target="https://maps.google.com/?q=17.223985,-97.119388999999998" TargetMode="External"/><Relationship Id="rId1553" Type="http://schemas.openxmlformats.org/officeDocument/2006/relationships/hyperlink" Target="https://maps.google.com/?q=16.492623960330505,-97.83939636136286" TargetMode="External"/><Relationship Id="rId2604" Type="http://schemas.openxmlformats.org/officeDocument/2006/relationships/hyperlink" Target="https://maps.google.com/?q=18.256144,-96.284487999999996" TargetMode="External"/><Relationship Id="rId10096" Type="http://schemas.openxmlformats.org/officeDocument/2006/relationships/hyperlink" Target="https://maps.google.com/?q=17.0193873384402,-96.129635511104496" TargetMode="External"/><Relationship Id="rId11147" Type="http://schemas.openxmlformats.org/officeDocument/2006/relationships/hyperlink" Target="https://maps.google.com/?q=16.840038,-96.006692000000001" TargetMode="External"/><Relationship Id="rId1206" Type="http://schemas.openxmlformats.org/officeDocument/2006/relationships/hyperlink" Target="https://maps.google.com/?q=16.94859,-96.708751" TargetMode="External"/><Relationship Id="rId4776" Type="http://schemas.openxmlformats.org/officeDocument/2006/relationships/hyperlink" Target="https://maps.google.com/?q=17.9573343070248,-96.6568826441803" TargetMode="External"/><Relationship Id="rId5827" Type="http://schemas.openxmlformats.org/officeDocument/2006/relationships/hyperlink" Target="https://maps.google.com/?q=17.1193803549081,-96.803814768004003" TargetMode="External"/><Relationship Id="rId3378" Type="http://schemas.openxmlformats.org/officeDocument/2006/relationships/hyperlink" Target="https://maps.google.com/?q=17.0712894946617,%20-97.78784413988107" TargetMode="External"/><Relationship Id="rId4429" Type="http://schemas.openxmlformats.org/officeDocument/2006/relationships/hyperlink" Target="https://maps.google.com/?q=17.267736603296,-97.533459772069506" TargetMode="External"/><Relationship Id="rId7999" Type="http://schemas.openxmlformats.org/officeDocument/2006/relationships/hyperlink" Target="https://maps.google.com/?q=18.1637524372688,-96.874178119049105" TargetMode="External"/><Relationship Id="rId8300" Type="http://schemas.openxmlformats.org/officeDocument/2006/relationships/hyperlink" Target="https://maps.google.com/?q=16.537179,-98.036486999999994" TargetMode="External"/><Relationship Id="rId10230" Type="http://schemas.openxmlformats.org/officeDocument/2006/relationships/hyperlink" Target="https://maps.google.com/?q=17.190645390318924,-97.40499955171454" TargetMode="External"/><Relationship Id="rId299" Type="http://schemas.openxmlformats.org/officeDocument/2006/relationships/hyperlink" Target="https://maps.google.com/?q=16.063314,-97.380975000000007" TargetMode="External"/><Relationship Id="rId780" Type="http://schemas.openxmlformats.org/officeDocument/2006/relationships/hyperlink" Target="https://maps.google.com/?q=15.689742616381503,-96.515529684862969" TargetMode="External"/><Relationship Id="rId2461" Type="http://schemas.openxmlformats.org/officeDocument/2006/relationships/hyperlink" Target="https://maps.google.com/?q=17.05165303,-96.624365100000006" TargetMode="External"/><Relationship Id="rId3512" Type="http://schemas.openxmlformats.org/officeDocument/2006/relationships/hyperlink" Target="https://maps.google.com/?q=15.7744542129831,-96.149260862719515" TargetMode="External"/><Relationship Id="rId4910" Type="http://schemas.openxmlformats.org/officeDocument/2006/relationships/hyperlink" Target="https://maps.google.com/?q=18.0317030130533,-96.673488574237993" TargetMode="External"/><Relationship Id="rId9074" Type="http://schemas.openxmlformats.org/officeDocument/2006/relationships/hyperlink" Target="https://maps.google.com/?q=16.0602,-95.494011" TargetMode="External"/><Relationship Id="rId12055" Type="http://schemas.openxmlformats.org/officeDocument/2006/relationships/hyperlink" Target="https://maps.google.com/?q=16.109701,-97.203362999999996" TargetMode="External"/><Relationship Id="rId13453" Type="http://schemas.openxmlformats.org/officeDocument/2006/relationships/hyperlink" Target="https://maps.google.com/?q=17.6860378498,-97.035090375671601" TargetMode="External"/><Relationship Id="rId433" Type="http://schemas.openxmlformats.org/officeDocument/2006/relationships/hyperlink" Target="https://maps.google.com/?q=16.053417,-97.409794000000005" TargetMode="External"/><Relationship Id="rId1063" Type="http://schemas.openxmlformats.org/officeDocument/2006/relationships/hyperlink" Target="https://maps.google.com/?q=15.777654,-96.459810000000004" TargetMode="External"/><Relationship Id="rId2114" Type="http://schemas.openxmlformats.org/officeDocument/2006/relationships/hyperlink" Target="https://maps.google.com/?q=15.770322,-96.151659" TargetMode="External"/><Relationship Id="rId13106" Type="http://schemas.openxmlformats.org/officeDocument/2006/relationships/hyperlink" Target="https://maps.google.com/?q=16.565717,-97.536572000000007" TargetMode="External"/><Relationship Id="rId4286" Type="http://schemas.openxmlformats.org/officeDocument/2006/relationships/hyperlink" Target="https://maps.google.com/?q=16.01048772,-96.659504940000005" TargetMode="External"/><Relationship Id="rId5684" Type="http://schemas.openxmlformats.org/officeDocument/2006/relationships/hyperlink" Target="https://maps.google.com/?q=16.434008,-97.897402" TargetMode="External"/><Relationship Id="rId6735" Type="http://schemas.openxmlformats.org/officeDocument/2006/relationships/hyperlink" Target="https://maps.google.com/?q=15.8484887627155,-96.6449388161682" TargetMode="External"/><Relationship Id="rId5337" Type="http://schemas.openxmlformats.org/officeDocument/2006/relationships/hyperlink" Target="https://maps.google.com/?q=15.812765062578,-96.356052991994005" TargetMode="External"/><Relationship Id="rId9958" Type="http://schemas.openxmlformats.org/officeDocument/2006/relationships/hyperlink" Target="https://maps.google.com/?q=17.055300387863465,-96.65377068905299" TargetMode="External"/><Relationship Id="rId11888" Type="http://schemas.openxmlformats.org/officeDocument/2006/relationships/hyperlink" Target="https://maps.google.com/?q=16.709680343534444,-96.71345235830117" TargetMode="External"/><Relationship Id="rId12939" Type="http://schemas.openxmlformats.org/officeDocument/2006/relationships/hyperlink" Target="https://maps.google.com/?q=16.544508,-97.548278999999994" TargetMode="External"/><Relationship Id="rId1947" Type="http://schemas.openxmlformats.org/officeDocument/2006/relationships/hyperlink" Target="https://maps.google.com/?q=15.778011398771005,-96.137497244690152" TargetMode="External"/><Relationship Id="rId4420" Type="http://schemas.openxmlformats.org/officeDocument/2006/relationships/hyperlink" Target="https://maps.google.com/?q=16.00738822,-96.682829679999998" TargetMode="External"/><Relationship Id="rId7990" Type="http://schemas.openxmlformats.org/officeDocument/2006/relationships/hyperlink" Target="https://maps.google.com/?q=18.1632750778631,-96.874382347956001" TargetMode="External"/><Relationship Id="rId14014" Type="http://schemas.openxmlformats.org/officeDocument/2006/relationships/hyperlink" Target="https://maps.google.com/?q=15.882494,-96.409641" TargetMode="External"/><Relationship Id="rId290" Type="http://schemas.openxmlformats.org/officeDocument/2006/relationships/hyperlink" Target="https://maps.google.com/?q=16.88622,-97.677959999999999" TargetMode="External"/><Relationship Id="rId3022" Type="http://schemas.openxmlformats.org/officeDocument/2006/relationships/hyperlink" Target="https://maps.google.com/?q=16.939213,-97.015907999999996" TargetMode="External"/><Relationship Id="rId6592" Type="http://schemas.openxmlformats.org/officeDocument/2006/relationships/hyperlink" Target="https://maps.google.com/?q=17.269744,-97.689518" TargetMode="External"/><Relationship Id="rId7643" Type="http://schemas.openxmlformats.org/officeDocument/2006/relationships/hyperlink" Target="https://maps.google.com/?q=17.2315694181222,-95.048456609421706" TargetMode="External"/><Relationship Id="rId10971" Type="http://schemas.openxmlformats.org/officeDocument/2006/relationships/hyperlink" Target="https://maps.google.com/?q=16.2152614092607,-95.222487881104499" TargetMode="External"/><Relationship Id="rId5194" Type="http://schemas.openxmlformats.org/officeDocument/2006/relationships/hyperlink" Target="https://maps.google.com/?q=17.316627,-95.971419999999995" TargetMode="External"/><Relationship Id="rId6245" Type="http://schemas.openxmlformats.org/officeDocument/2006/relationships/hyperlink" Target="https://maps.google.com/?q=16.2034222736837,-96.413131787696898" TargetMode="External"/><Relationship Id="rId10624" Type="http://schemas.openxmlformats.org/officeDocument/2006/relationships/hyperlink" Target="https://maps.google.com/?q=17.1153723226872,-97.784517059999999" TargetMode="External"/><Relationship Id="rId12796" Type="http://schemas.openxmlformats.org/officeDocument/2006/relationships/hyperlink" Target="https://maps.google.com/?q=16.111709,-97.290835000000001" TargetMode="External"/><Relationship Id="rId13847" Type="http://schemas.openxmlformats.org/officeDocument/2006/relationships/hyperlink" Target="https://maps.google.com/?q=17.01437618077231,-96.1360467616893" TargetMode="External"/><Relationship Id="rId2855" Type="http://schemas.openxmlformats.org/officeDocument/2006/relationships/hyperlink" Target="https://maps.google.com/?q=16.9650981069143,-97.729783662284504" TargetMode="External"/><Relationship Id="rId3906" Type="http://schemas.openxmlformats.org/officeDocument/2006/relationships/hyperlink" Target="https://maps.google.com/?q=16.43374,-95.018046" TargetMode="External"/><Relationship Id="rId9468" Type="http://schemas.openxmlformats.org/officeDocument/2006/relationships/hyperlink" Target="https://maps.google.com/?q=18.087364556615903,-96.12944928003344" TargetMode="External"/><Relationship Id="rId11398" Type="http://schemas.openxmlformats.org/officeDocument/2006/relationships/hyperlink" Target="https://maps.google.com/?q=17.193667337532,-97.757937055225497" TargetMode="External"/><Relationship Id="rId12449" Type="http://schemas.openxmlformats.org/officeDocument/2006/relationships/hyperlink" Target="https://maps.google.com/?q=17.2209806469403,-97.271366212880096" TargetMode="External"/><Relationship Id="rId827" Type="http://schemas.openxmlformats.org/officeDocument/2006/relationships/hyperlink" Target="https://maps.google.com/?q=15.702396268926702,-96.523694589507684" TargetMode="External"/><Relationship Id="rId1457" Type="http://schemas.openxmlformats.org/officeDocument/2006/relationships/hyperlink" Target="https://maps.google.com/?q=18.15988,-96.716806" TargetMode="External"/><Relationship Id="rId2508" Type="http://schemas.openxmlformats.org/officeDocument/2006/relationships/hyperlink" Target="https://maps.google.com/?q=17.05213849,-96.623981740000005" TargetMode="External"/><Relationship Id="rId8551" Type="http://schemas.openxmlformats.org/officeDocument/2006/relationships/hyperlink" Target="https://maps.google.com/?q=16.9230316820484,-96.609818434358601" TargetMode="External"/><Relationship Id="rId9602" Type="http://schemas.openxmlformats.org/officeDocument/2006/relationships/hyperlink" Target="https://maps.google.com/?q=17.9960183328347,-96.747420460178503" TargetMode="External"/><Relationship Id="rId10481" Type="http://schemas.openxmlformats.org/officeDocument/2006/relationships/hyperlink" Target="https://maps.google.com/?q=17.843879749172,-96.744272267672102" TargetMode="External"/><Relationship Id="rId12930" Type="http://schemas.openxmlformats.org/officeDocument/2006/relationships/hyperlink" Target="https://maps.google.com/?q=16.558972,-97.411578000000006" TargetMode="External"/><Relationship Id="rId7153" Type="http://schemas.openxmlformats.org/officeDocument/2006/relationships/hyperlink" Target="https://maps.google.com/?q=16.2043785918398,-97.921175079386202" TargetMode="External"/><Relationship Id="rId8204" Type="http://schemas.openxmlformats.org/officeDocument/2006/relationships/hyperlink" Target="https://maps.google.com/?q=16.371635,-97.678348999999997" TargetMode="External"/><Relationship Id="rId10134" Type="http://schemas.openxmlformats.org/officeDocument/2006/relationships/hyperlink" Target="https://maps.google.com/?q=17.0934909552312,-97.492863947790994" TargetMode="External"/><Relationship Id="rId11532" Type="http://schemas.openxmlformats.org/officeDocument/2006/relationships/hyperlink" Target="https://maps.google.com/?q=16.6156655385268,-96.854502439122498" TargetMode="External"/><Relationship Id="rId684" Type="http://schemas.openxmlformats.org/officeDocument/2006/relationships/hyperlink" Target="https://maps.google.com/?q=16.060734,-97.385193000000001" TargetMode="External"/><Relationship Id="rId2365" Type="http://schemas.openxmlformats.org/officeDocument/2006/relationships/hyperlink" Target="https://maps.google.com/?q=17.0985250310636,-97.851609169311402" TargetMode="External"/><Relationship Id="rId3763" Type="http://schemas.openxmlformats.org/officeDocument/2006/relationships/hyperlink" Target="https://maps.google.com/?q=15.762817,-96.142662000000001" TargetMode="External"/><Relationship Id="rId4814" Type="http://schemas.openxmlformats.org/officeDocument/2006/relationships/hyperlink" Target="https://maps.google.com/?q=16.9058498926522,-96.502598188895803" TargetMode="External"/><Relationship Id="rId13357" Type="http://schemas.openxmlformats.org/officeDocument/2006/relationships/hyperlink" Target="https://maps.google.com/?q=16.3203714632297,-96.680535991401698" TargetMode="External"/><Relationship Id="rId337" Type="http://schemas.openxmlformats.org/officeDocument/2006/relationships/hyperlink" Target="https://maps.google.com/?q=16.052379,-97.401427999999996" TargetMode="External"/><Relationship Id="rId2018" Type="http://schemas.openxmlformats.org/officeDocument/2006/relationships/hyperlink" Target="https://maps.google.com/?q=15.757994013106705,-96.139876317991579" TargetMode="External"/><Relationship Id="rId3416" Type="http://schemas.openxmlformats.org/officeDocument/2006/relationships/hyperlink" Target="https://maps.google.com/?q=17.6340194650833,-97.087341026627001" TargetMode="External"/><Relationship Id="rId6986" Type="http://schemas.openxmlformats.org/officeDocument/2006/relationships/hyperlink" Target="https://maps.google.com/?q=17.0352429786772,-97.291743294208899" TargetMode="External"/><Relationship Id="rId5588" Type="http://schemas.openxmlformats.org/officeDocument/2006/relationships/hyperlink" Target="https://maps.google.com/?q=17.4471773961382,-96.186556267350198" TargetMode="External"/><Relationship Id="rId6639" Type="http://schemas.openxmlformats.org/officeDocument/2006/relationships/hyperlink" Target="https://maps.google.com/?q=16.842502814765,-97.208398145823594" TargetMode="External"/><Relationship Id="rId12440" Type="http://schemas.openxmlformats.org/officeDocument/2006/relationships/hyperlink" Target="https://maps.google.com/?q=17.2206520717685,-97.270349815622396" TargetMode="External"/><Relationship Id="rId8061" Type="http://schemas.openxmlformats.org/officeDocument/2006/relationships/hyperlink" Target="https://maps.google.com/?q=16.4969344858151,-97.379481807796097" TargetMode="External"/><Relationship Id="rId9112" Type="http://schemas.openxmlformats.org/officeDocument/2006/relationships/hyperlink" Target="https://maps.google.com/?q=17.039537,-96.728493" TargetMode="External"/><Relationship Id="rId11042" Type="http://schemas.openxmlformats.org/officeDocument/2006/relationships/hyperlink" Target="https://maps.google.com/?q=16.443678,-97.940010" TargetMode="External"/><Relationship Id="rId1101" Type="http://schemas.openxmlformats.org/officeDocument/2006/relationships/hyperlink" Target="https://maps.google.com/?q=17.222455,-97.119669999999999" TargetMode="External"/><Relationship Id="rId4671" Type="http://schemas.openxmlformats.org/officeDocument/2006/relationships/hyperlink" Target="https://maps.google.com/?q=17.31704935708711,-96.48341309434608" TargetMode="External"/><Relationship Id="rId5722" Type="http://schemas.openxmlformats.org/officeDocument/2006/relationships/hyperlink" Target="https://maps.google.com/?q=16.3831817482,-96.363324882300006" TargetMode="External"/><Relationship Id="rId3273" Type="http://schemas.openxmlformats.org/officeDocument/2006/relationships/hyperlink" Target="https://maps.google.com/?q=17.060943044889,-96.815588774281906" TargetMode="External"/><Relationship Id="rId4324" Type="http://schemas.openxmlformats.org/officeDocument/2006/relationships/hyperlink" Target="https://maps.google.com/?q=16.0141573172267,-96.611811870668703" TargetMode="External"/><Relationship Id="rId194" Type="http://schemas.openxmlformats.org/officeDocument/2006/relationships/hyperlink" Target="https://maps.google.com/?q=17.090076,-97.503742000000003" TargetMode="External"/><Relationship Id="rId6496" Type="http://schemas.openxmlformats.org/officeDocument/2006/relationships/hyperlink" Target="https://maps.google.com/?q=17.2053861047297,-97.572751313752804" TargetMode="External"/><Relationship Id="rId7894" Type="http://schemas.openxmlformats.org/officeDocument/2006/relationships/hyperlink" Target="https://maps.google.com/?q=16.318869791702,-96.408737136822793" TargetMode="External"/><Relationship Id="rId8945" Type="http://schemas.openxmlformats.org/officeDocument/2006/relationships/hyperlink" Target="https://maps.google.com/?q=17.381272653,-96.161747792" TargetMode="External"/><Relationship Id="rId10875" Type="http://schemas.openxmlformats.org/officeDocument/2006/relationships/hyperlink" Target="https://maps.google.com/?q=16.3473685814312,-94.481180480811901" TargetMode="External"/><Relationship Id="rId11926" Type="http://schemas.openxmlformats.org/officeDocument/2006/relationships/hyperlink" Target="https://maps.google.com/?q=16.406943,-97.225548000000003" TargetMode="External"/><Relationship Id="rId5098" Type="http://schemas.openxmlformats.org/officeDocument/2006/relationships/hyperlink" Target="https://maps.google.com/?q=17.253285,-96.156986000000003" TargetMode="External"/><Relationship Id="rId6149" Type="http://schemas.openxmlformats.org/officeDocument/2006/relationships/hyperlink" Target="https://maps.google.com/?q=16.1399677957917,-96.4170173753092" TargetMode="External"/><Relationship Id="rId7547" Type="http://schemas.openxmlformats.org/officeDocument/2006/relationships/hyperlink" Target="https://maps.google.com/?q=17.980077381455,-96.703192693040705" TargetMode="External"/><Relationship Id="rId10528" Type="http://schemas.openxmlformats.org/officeDocument/2006/relationships/hyperlink" Target="https://maps.google.com/?q=17.1312125320178,-97.752874999999605" TargetMode="External"/><Relationship Id="rId13001" Type="http://schemas.openxmlformats.org/officeDocument/2006/relationships/hyperlink" Target="https://maps.google.com/?q=16.5029988,-97.559075000000007" TargetMode="External"/><Relationship Id="rId2759" Type="http://schemas.openxmlformats.org/officeDocument/2006/relationships/hyperlink" Target="https://maps.google.com/?q=17.995337,-96.487853999999999" TargetMode="External"/><Relationship Id="rId6630" Type="http://schemas.openxmlformats.org/officeDocument/2006/relationships/hyperlink" Target="https://maps.google.com/?q=16.183787,-96.450017" TargetMode="External"/><Relationship Id="rId4181" Type="http://schemas.openxmlformats.org/officeDocument/2006/relationships/hyperlink" Target="https://maps.google.com/?q=16.390375,-98.114440000000002" TargetMode="External"/><Relationship Id="rId5232" Type="http://schemas.openxmlformats.org/officeDocument/2006/relationships/hyperlink" Target="https://maps.google.com/?q=17.2857504806096,-97.374030680039397" TargetMode="External"/><Relationship Id="rId9853" Type="http://schemas.openxmlformats.org/officeDocument/2006/relationships/hyperlink" Target="https://maps.google.com/?q=16.6346037226072,-96.850468837790899" TargetMode="External"/><Relationship Id="rId67" Type="http://schemas.openxmlformats.org/officeDocument/2006/relationships/hyperlink" Target="https://maps.google.com/?q=15.789536,-96.460080000000005" TargetMode="External"/><Relationship Id="rId8455" Type="http://schemas.openxmlformats.org/officeDocument/2006/relationships/hyperlink" Target="https://maps.google.com/?q=17.1489684026925,-97.531262140000507" TargetMode="External"/><Relationship Id="rId9506" Type="http://schemas.openxmlformats.org/officeDocument/2006/relationships/hyperlink" Target="https://maps.google.com/?q=17.316979990616545,-96.49305414857557" TargetMode="External"/><Relationship Id="rId11783" Type="http://schemas.openxmlformats.org/officeDocument/2006/relationships/hyperlink" Target="https://maps.google.com/?q=17.094923088820433,-97.49695606994057" TargetMode="External"/><Relationship Id="rId12834" Type="http://schemas.openxmlformats.org/officeDocument/2006/relationships/hyperlink" Target="https://maps.google.com/?q=17.51582756,-97.681192999999993" TargetMode="External"/><Relationship Id="rId1842" Type="http://schemas.openxmlformats.org/officeDocument/2006/relationships/hyperlink" Target="https://maps.google.com/?q=18.0372640628417,-96.897912919999996" TargetMode="External"/><Relationship Id="rId7057" Type="http://schemas.openxmlformats.org/officeDocument/2006/relationships/hyperlink" Target="https://maps.google.com/?q=16.1470974913029,-96.352652352759605" TargetMode="External"/><Relationship Id="rId8108" Type="http://schemas.openxmlformats.org/officeDocument/2006/relationships/hyperlink" Target="https://maps.google.com/?q=17.3550823124523,-96.302791315581999" TargetMode="External"/><Relationship Id="rId10385" Type="http://schemas.openxmlformats.org/officeDocument/2006/relationships/hyperlink" Target="https://maps.google.com/?q=16.5068207151053,-97.165607792659699" TargetMode="External"/><Relationship Id="rId11436" Type="http://schemas.openxmlformats.org/officeDocument/2006/relationships/hyperlink" Target="https://maps.google.com/?q=16.203699,-96.609819999999999" TargetMode="External"/><Relationship Id="rId10038" Type="http://schemas.openxmlformats.org/officeDocument/2006/relationships/hyperlink" Target="https://maps.google.com/?q=16.9192475920058,-96.373290114086103" TargetMode="External"/><Relationship Id="rId3667" Type="http://schemas.openxmlformats.org/officeDocument/2006/relationships/hyperlink" Target="https://maps.google.com/?q=15.773631,-96.144311" TargetMode="External"/><Relationship Id="rId4718" Type="http://schemas.openxmlformats.org/officeDocument/2006/relationships/hyperlink" Target="https://maps.google.com/?q=17.055754,-96.745626290000004" TargetMode="External"/><Relationship Id="rId588" Type="http://schemas.openxmlformats.org/officeDocument/2006/relationships/hyperlink" Target="https://maps.google.com/?q=16.054402,-97.398934999999994" TargetMode="External"/><Relationship Id="rId2269" Type="http://schemas.openxmlformats.org/officeDocument/2006/relationships/hyperlink" Target="https://maps.google.com/?q=18.0963109701254,-96.924604781955097" TargetMode="External"/><Relationship Id="rId6140" Type="http://schemas.openxmlformats.org/officeDocument/2006/relationships/hyperlink" Target="https://maps.google.com/?q=16.95327151,-96.610384819999993" TargetMode="External"/><Relationship Id="rId12691" Type="http://schemas.openxmlformats.org/officeDocument/2006/relationships/hyperlink" Target="https://maps.google.com/?q=16.2830817286295,-96.503433415443993" TargetMode="External"/><Relationship Id="rId2750" Type="http://schemas.openxmlformats.org/officeDocument/2006/relationships/hyperlink" Target="https://maps.google.com/?q=17.991855,-96.489153999999999" TargetMode="External"/><Relationship Id="rId3801" Type="http://schemas.openxmlformats.org/officeDocument/2006/relationships/hyperlink" Target="https://maps.google.com/?q=15.772017284023473,-96.246821523617157" TargetMode="External"/><Relationship Id="rId9363" Type="http://schemas.openxmlformats.org/officeDocument/2006/relationships/hyperlink" Target="https://maps.google.com/?q=16.8184539280016,-95.137674672229195" TargetMode="External"/><Relationship Id="rId11293" Type="http://schemas.openxmlformats.org/officeDocument/2006/relationships/hyperlink" Target="https://maps.google.com/?q=17.8672780270409,-96.309105030000197" TargetMode="External"/><Relationship Id="rId12344" Type="http://schemas.openxmlformats.org/officeDocument/2006/relationships/hyperlink" Target="https://maps.google.com/?q=17.771119,-97.499726" TargetMode="External"/><Relationship Id="rId13742" Type="http://schemas.openxmlformats.org/officeDocument/2006/relationships/hyperlink" Target="https://maps.google.com/?q=17.945299,-96.17051" TargetMode="External"/><Relationship Id="rId722" Type="http://schemas.openxmlformats.org/officeDocument/2006/relationships/hyperlink" Target="https://maps.google.com/?q=17.222595,-97.122001999999995" TargetMode="External"/><Relationship Id="rId1352" Type="http://schemas.openxmlformats.org/officeDocument/2006/relationships/hyperlink" Target="https://maps.google.com/?q=17.02036689,-96.71811224" TargetMode="External"/><Relationship Id="rId2403" Type="http://schemas.openxmlformats.org/officeDocument/2006/relationships/hyperlink" Target="https://maps.google.com/?q=17.04948324,-96.624862620000002" TargetMode="External"/><Relationship Id="rId9016" Type="http://schemas.openxmlformats.org/officeDocument/2006/relationships/hyperlink" Target="https://maps.google.com/?q=17.383651546,-96.161768275" TargetMode="External"/><Relationship Id="rId1005" Type="http://schemas.openxmlformats.org/officeDocument/2006/relationships/hyperlink" Target="https://maps.google.com/?q=15.696281322003365,-96.523571232949692" TargetMode="External"/><Relationship Id="rId4575" Type="http://schemas.openxmlformats.org/officeDocument/2006/relationships/hyperlink" Target="https://maps.google.com/?q=16.553956,-96.820483999999993" TargetMode="External"/><Relationship Id="rId5973" Type="http://schemas.openxmlformats.org/officeDocument/2006/relationships/hyperlink" Target="https://maps.google.com/?q=18.154498513982816,-96.576492022906805" TargetMode="External"/><Relationship Id="rId3177" Type="http://schemas.openxmlformats.org/officeDocument/2006/relationships/hyperlink" Target="https://maps.google.com/?q=16.550608,-97.499099000000001" TargetMode="External"/><Relationship Id="rId4228" Type="http://schemas.openxmlformats.org/officeDocument/2006/relationships/hyperlink" Target="https://maps.google.com/?q=17.817592,-97.789133" TargetMode="External"/><Relationship Id="rId5626" Type="http://schemas.openxmlformats.org/officeDocument/2006/relationships/hyperlink" Target="https://maps.google.com/?q=17.562141645691,-96.180521622080306" TargetMode="External"/><Relationship Id="rId14169" Type="http://schemas.openxmlformats.org/officeDocument/2006/relationships/hyperlink" Target="https://maps.google.com/?q=15.784912322330928,-96.17616759875611" TargetMode="External"/><Relationship Id="rId7798" Type="http://schemas.openxmlformats.org/officeDocument/2006/relationships/hyperlink" Target="https://maps.google.com/?q=17.8454794664195,-96.7462584570562" TargetMode="External"/><Relationship Id="rId8849" Type="http://schemas.openxmlformats.org/officeDocument/2006/relationships/hyperlink" Target="https://maps.google.com/?q=17.21877,-96.242608000000004" TargetMode="External"/><Relationship Id="rId10779" Type="http://schemas.openxmlformats.org/officeDocument/2006/relationships/hyperlink" Target="https://maps.google.com/?q=16.4599239831967,-94.999308495395795" TargetMode="External"/><Relationship Id="rId13252" Type="http://schemas.openxmlformats.org/officeDocument/2006/relationships/hyperlink" Target="https://maps.google.com/?q=17.1525608953077,-96.745662354096098" TargetMode="External"/><Relationship Id="rId2260" Type="http://schemas.openxmlformats.org/officeDocument/2006/relationships/hyperlink" Target="https://maps.google.com/?q=18.0943826818095,-96.931239389926503" TargetMode="External"/><Relationship Id="rId3311" Type="http://schemas.openxmlformats.org/officeDocument/2006/relationships/hyperlink" Target="https://maps.google.com/?q=17.0639691804741,-96.810161529236495" TargetMode="External"/><Relationship Id="rId6881" Type="http://schemas.openxmlformats.org/officeDocument/2006/relationships/hyperlink" Target="https://maps.google.com/?q=16.9716216523775,-97.084439309927802" TargetMode="External"/><Relationship Id="rId7932" Type="http://schemas.openxmlformats.org/officeDocument/2006/relationships/hyperlink" Target="https://maps.google.com/?q=16.3234874144705,-96.410173389465101" TargetMode="External"/><Relationship Id="rId232" Type="http://schemas.openxmlformats.org/officeDocument/2006/relationships/hyperlink" Target="https://maps.google.com/?q=16.88214,-97.676140000000004" TargetMode="External"/><Relationship Id="rId5483" Type="http://schemas.openxmlformats.org/officeDocument/2006/relationships/hyperlink" Target="https://maps.google.com/?q=16.3240667497077,-96.496336565674298" TargetMode="External"/><Relationship Id="rId6534" Type="http://schemas.openxmlformats.org/officeDocument/2006/relationships/hyperlink" Target="https://maps.google.com/?q=17.05179,-96.71240" TargetMode="External"/><Relationship Id="rId10913" Type="http://schemas.openxmlformats.org/officeDocument/2006/relationships/hyperlink" Target="https://maps.google.com/?q=16.1902475346158,-95.186152448835898" TargetMode="External"/><Relationship Id="rId4085" Type="http://schemas.openxmlformats.org/officeDocument/2006/relationships/hyperlink" Target="https://maps.google.com/?q=17.05601879,-96.745880600000007" TargetMode="External"/><Relationship Id="rId5136" Type="http://schemas.openxmlformats.org/officeDocument/2006/relationships/hyperlink" Target="https://maps.google.com/?q=17.254428,-96.155409000000006" TargetMode="External"/><Relationship Id="rId8359" Type="http://schemas.openxmlformats.org/officeDocument/2006/relationships/hyperlink" Target="https://maps.google.com/?q=16.8442793492825,-97.196921522114394" TargetMode="External"/><Relationship Id="rId9757" Type="http://schemas.openxmlformats.org/officeDocument/2006/relationships/hyperlink" Target="https://maps.google.com/?q=17.2786856550437,-96.796705568224397" TargetMode="External"/><Relationship Id="rId11687" Type="http://schemas.openxmlformats.org/officeDocument/2006/relationships/hyperlink" Target="https://maps.google.com/?q=17.17865445,-97.710096140000005" TargetMode="External"/><Relationship Id="rId12738" Type="http://schemas.openxmlformats.org/officeDocument/2006/relationships/hyperlink" Target="https://maps.google.com/?q=16.5969683828256,-96.9565979471096" TargetMode="External"/><Relationship Id="rId1746" Type="http://schemas.openxmlformats.org/officeDocument/2006/relationships/hyperlink" Target="https://maps.google.com/?q=18.06050005,-96.850885959999999" TargetMode="External"/><Relationship Id="rId10289" Type="http://schemas.openxmlformats.org/officeDocument/2006/relationships/hyperlink" Target="https://maps.google.com/?q=16.247633,-95.150397999999996" TargetMode="External"/><Relationship Id="rId14160" Type="http://schemas.openxmlformats.org/officeDocument/2006/relationships/hyperlink" Target="https://maps.google.com/?q=17.049216,%09-96.727602" TargetMode="External"/><Relationship Id="rId4969" Type="http://schemas.openxmlformats.org/officeDocument/2006/relationships/hyperlink" Target="https://maps.google.com/?q=17.9679878817332,-96.743361227706998" TargetMode="External"/><Relationship Id="rId8840" Type="http://schemas.openxmlformats.org/officeDocument/2006/relationships/hyperlink" Target="https://maps.google.com/?q=17.217573,-96.244145000000003" TargetMode="External"/><Relationship Id="rId10770" Type="http://schemas.openxmlformats.org/officeDocument/2006/relationships/hyperlink" Target="https://maps.google.com/?q=16.90428,-96.562103" TargetMode="External"/><Relationship Id="rId6391" Type="http://schemas.openxmlformats.org/officeDocument/2006/relationships/hyperlink" Target="https://maps.google.com/?q=17.2372569792313,-97.554484269014296" TargetMode="External"/><Relationship Id="rId7442" Type="http://schemas.openxmlformats.org/officeDocument/2006/relationships/hyperlink" Target="https://maps.google.com/?q=16.3197603974077,-96.675434364416304" TargetMode="External"/><Relationship Id="rId10423" Type="http://schemas.openxmlformats.org/officeDocument/2006/relationships/hyperlink" Target="https://maps.google.com/?q=17.060734,-96.797365999999997" TargetMode="External"/><Relationship Id="rId11821" Type="http://schemas.openxmlformats.org/officeDocument/2006/relationships/hyperlink" Target="https://maps.google.com/?q=17.435833,-96.607778" TargetMode="External"/><Relationship Id="rId6044" Type="http://schemas.openxmlformats.org/officeDocument/2006/relationships/hyperlink" Target="https://maps.google.com/?q=18.15692013410663,-96.57639711117892" TargetMode="External"/><Relationship Id="rId13993" Type="http://schemas.openxmlformats.org/officeDocument/2006/relationships/hyperlink" Target="https://maps.google.com/?q=17.58463405120864,-95.7784031166825" TargetMode="External"/><Relationship Id="rId9267" Type="http://schemas.openxmlformats.org/officeDocument/2006/relationships/hyperlink" Target="https://maps.google.com/?q=17.3779934497973,-96.299793974060293" TargetMode="External"/><Relationship Id="rId11197" Type="http://schemas.openxmlformats.org/officeDocument/2006/relationships/hyperlink" Target="https://maps.google.com/?q=16.8461,-96.012541999999996" TargetMode="External"/><Relationship Id="rId12595" Type="http://schemas.openxmlformats.org/officeDocument/2006/relationships/hyperlink" Target="https://maps.google.com/?q=16.5221628989694,-96.981376464108706" TargetMode="External"/><Relationship Id="rId13646" Type="http://schemas.openxmlformats.org/officeDocument/2006/relationships/hyperlink" Target="https://maps.google.com/?q=16.3334,-98.378599" TargetMode="External"/><Relationship Id="rId626" Type="http://schemas.openxmlformats.org/officeDocument/2006/relationships/hyperlink" Target="https://maps.google.com/?q=16.054565,-97.394046000000003" TargetMode="External"/><Relationship Id="rId973" Type="http://schemas.openxmlformats.org/officeDocument/2006/relationships/hyperlink" Target="https://maps.google.com/?q=15.688162046464997,-96.513602195782553" TargetMode="External"/><Relationship Id="rId1256" Type="http://schemas.openxmlformats.org/officeDocument/2006/relationships/hyperlink" Target="https://maps.google.com/?q=17.058568,-96.743064000000004" TargetMode="External"/><Relationship Id="rId2307" Type="http://schemas.openxmlformats.org/officeDocument/2006/relationships/hyperlink" Target="https://maps.google.com/?q=18.1056126545082,-96.879676662090205" TargetMode="External"/><Relationship Id="rId2654" Type="http://schemas.openxmlformats.org/officeDocument/2006/relationships/hyperlink" Target="https://maps.google.com/?q=17.623128,-97.225809999999996" TargetMode="External"/><Relationship Id="rId3705" Type="http://schemas.openxmlformats.org/officeDocument/2006/relationships/hyperlink" Target="https://maps.google.com/?q=15.757835129701183,-96.14566029824114" TargetMode="External"/><Relationship Id="rId12248" Type="http://schemas.openxmlformats.org/officeDocument/2006/relationships/hyperlink" Target="https://maps.google.com/?q=16.42409784,-97.228938159999998" TargetMode="External"/><Relationship Id="rId5877" Type="http://schemas.openxmlformats.org/officeDocument/2006/relationships/hyperlink" Target="https://maps.google.com/?q=18.144573787761267,-96.563448088197674" TargetMode="External"/><Relationship Id="rId6928" Type="http://schemas.openxmlformats.org/officeDocument/2006/relationships/hyperlink" Target="https://maps.google.com/?q=16.31551028,-95.260472899999996" TargetMode="External"/><Relationship Id="rId4479" Type="http://schemas.openxmlformats.org/officeDocument/2006/relationships/hyperlink" Target="https://maps.google.com/?q=17.1700177213609,-97.307642798776598" TargetMode="External"/><Relationship Id="rId8350" Type="http://schemas.openxmlformats.org/officeDocument/2006/relationships/hyperlink" Target="https://maps.google.com/?q=16.8436960564445,-97.197500849109005" TargetMode="External"/><Relationship Id="rId9401" Type="http://schemas.openxmlformats.org/officeDocument/2006/relationships/hyperlink" Target="https://maps.google.com/?q=16.8215913640142,-95.137240154368698" TargetMode="External"/><Relationship Id="rId10280" Type="http://schemas.openxmlformats.org/officeDocument/2006/relationships/hyperlink" Target="https://maps.google.com/?q=16.245665,-95.144515999999996" TargetMode="External"/><Relationship Id="rId11331" Type="http://schemas.openxmlformats.org/officeDocument/2006/relationships/hyperlink" Target="https://maps.google.com/?q=16.64865217,-97.531680850000001" TargetMode="External"/><Relationship Id="rId4960" Type="http://schemas.openxmlformats.org/officeDocument/2006/relationships/hyperlink" Target="https://maps.google.com/?q=17.27091549,-97.593173230000005" TargetMode="External"/><Relationship Id="rId8003" Type="http://schemas.openxmlformats.org/officeDocument/2006/relationships/hyperlink" Target="https://maps.google.com/?q=18.1638710355259,-96.879372858818698" TargetMode="External"/><Relationship Id="rId3562" Type="http://schemas.openxmlformats.org/officeDocument/2006/relationships/hyperlink" Target="https://maps.google.com/?q=15.775322657332042,-96.136313264921213" TargetMode="External"/><Relationship Id="rId4613" Type="http://schemas.openxmlformats.org/officeDocument/2006/relationships/hyperlink" Target="https://maps.google.com/?q=16.558996,-96.821376000000001" TargetMode="External"/><Relationship Id="rId13156" Type="http://schemas.openxmlformats.org/officeDocument/2006/relationships/hyperlink" Target="https://maps.google.com/?q=16.5644864426686,-97.010599050118898" TargetMode="External"/><Relationship Id="rId483" Type="http://schemas.openxmlformats.org/officeDocument/2006/relationships/hyperlink" Target="https://maps.google.com/?q=16.055127,-97.407696000000001" TargetMode="External"/><Relationship Id="rId2164" Type="http://schemas.openxmlformats.org/officeDocument/2006/relationships/hyperlink" Target="https://maps.google.com/?q=15.76012568097185,-96.146784636103774" TargetMode="External"/><Relationship Id="rId3215" Type="http://schemas.openxmlformats.org/officeDocument/2006/relationships/hyperlink" Target="https://maps.google.com/?q=17.8018048792925,-96.003401883432403" TargetMode="External"/><Relationship Id="rId6785" Type="http://schemas.openxmlformats.org/officeDocument/2006/relationships/hyperlink" Target="https://maps.google.com/?q=16.6394329505248,-97.039372962516097" TargetMode="External"/><Relationship Id="rId136" Type="http://schemas.openxmlformats.org/officeDocument/2006/relationships/hyperlink" Target="https://maps.google.com/?q=17.093053,-97.497435999999993" TargetMode="External"/><Relationship Id="rId5387" Type="http://schemas.openxmlformats.org/officeDocument/2006/relationships/hyperlink" Target="https://maps.google.com/?q=16.0897337625093,-97.690612376651899" TargetMode="External"/><Relationship Id="rId6438" Type="http://schemas.openxmlformats.org/officeDocument/2006/relationships/hyperlink" Target="https://maps.google.com/?q=17.34623054,-97.556843369999996" TargetMode="External"/><Relationship Id="rId7836" Type="http://schemas.openxmlformats.org/officeDocument/2006/relationships/hyperlink" Target="https://maps.google.com/?q=16.8516024142372,-95.091881425220805" TargetMode="External"/><Relationship Id="rId10817" Type="http://schemas.openxmlformats.org/officeDocument/2006/relationships/hyperlink" Target="https://maps.google.com/?q=16.4017787331411,-94.462069804893403" TargetMode="External"/><Relationship Id="rId12989" Type="http://schemas.openxmlformats.org/officeDocument/2006/relationships/hyperlink" Target="https://maps.google.com/?q=16.5016386,-97.555429599999997" TargetMode="External"/><Relationship Id="rId1997" Type="http://schemas.openxmlformats.org/officeDocument/2006/relationships/hyperlink" Target="https://maps.google.com/?q=15.756774191360815,-96.146020170816172" TargetMode="External"/><Relationship Id="rId4470" Type="http://schemas.openxmlformats.org/officeDocument/2006/relationships/hyperlink" Target="https://maps.google.com/?q=17.167419629766,-97.309807833169899" TargetMode="External"/><Relationship Id="rId5521" Type="http://schemas.openxmlformats.org/officeDocument/2006/relationships/hyperlink" Target="https://maps.google.com/?q=17.2804851827782,-97.372938525131204" TargetMode="External"/><Relationship Id="rId14064" Type="http://schemas.openxmlformats.org/officeDocument/2006/relationships/hyperlink" Target="https://maps.google.com/?q=16.575134233967006,-97.29522441696506" TargetMode="External"/><Relationship Id="rId3072" Type="http://schemas.openxmlformats.org/officeDocument/2006/relationships/hyperlink" Target="https://maps.google.com/?q=16.9640476472989,-96.941219247850398" TargetMode="External"/><Relationship Id="rId4123" Type="http://schemas.openxmlformats.org/officeDocument/2006/relationships/hyperlink" Target="https://maps.google.com/?q=17.0587419,-96.743148000000005" TargetMode="External"/><Relationship Id="rId7693" Type="http://schemas.openxmlformats.org/officeDocument/2006/relationships/hyperlink" Target="https://maps.google.com/?q=17.2071330870175,-97.522770487791405" TargetMode="External"/><Relationship Id="rId8744" Type="http://schemas.openxmlformats.org/officeDocument/2006/relationships/hyperlink" Target="https://maps.google.com/?q=18.0610904790125,-96.126062276703806" TargetMode="External"/><Relationship Id="rId6295" Type="http://schemas.openxmlformats.org/officeDocument/2006/relationships/hyperlink" Target="https://maps.google.com/?q=18.055855959036,-96.395560227016603" TargetMode="External"/><Relationship Id="rId7346" Type="http://schemas.openxmlformats.org/officeDocument/2006/relationships/hyperlink" Target="https://maps.google.com/?q=16.549978,-97.679828000000001" TargetMode="External"/><Relationship Id="rId10674" Type="http://schemas.openxmlformats.org/officeDocument/2006/relationships/hyperlink" Target="https://maps.google.com/?q=15.7038613924822,-96.264845619712901" TargetMode="External"/><Relationship Id="rId11725" Type="http://schemas.openxmlformats.org/officeDocument/2006/relationships/hyperlink" Target="https://maps.google.com/?q=17.18575797,-97.712354739999995" TargetMode="External"/><Relationship Id="rId10327" Type="http://schemas.openxmlformats.org/officeDocument/2006/relationships/hyperlink" Target="https://maps.google.com/?q=16.22870924,-97.266643439999996" TargetMode="External"/><Relationship Id="rId13897" Type="http://schemas.openxmlformats.org/officeDocument/2006/relationships/hyperlink" Target="https://maps.google.com/?q=17.329041501505,-98.021810428573701" TargetMode="External"/><Relationship Id="rId3956" Type="http://schemas.openxmlformats.org/officeDocument/2006/relationships/hyperlink" Target="https://maps.google.com/?q=17.06115,-96.755579999999995" TargetMode="External"/><Relationship Id="rId12499" Type="http://schemas.openxmlformats.org/officeDocument/2006/relationships/hyperlink" Target="https://maps.google.com/?q=17.2234295042881,-97.272797769923201" TargetMode="External"/><Relationship Id="rId877" Type="http://schemas.openxmlformats.org/officeDocument/2006/relationships/hyperlink" Target="https://maps.google.com/?q=17.093707,-97.497219999999999" TargetMode="External"/><Relationship Id="rId2558" Type="http://schemas.openxmlformats.org/officeDocument/2006/relationships/hyperlink" Target="https://maps.google.com/?q=17.9123376383346,-98.011379300942707" TargetMode="External"/><Relationship Id="rId3609" Type="http://schemas.openxmlformats.org/officeDocument/2006/relationships/hyperlink" Target="https://maps.google.com/?q=15.776756522698193,-96.136843374262071" TargetMode="External"/><Relationship Id="rId12980" Type="http://schemas.openxmlformats.org/officeDocument/2006/relationships/hyperlink" Target="https://maps.google.com/?q=16.513093,-97.454749000000007" TargetMode="External"/><Relationship Id="rId5031" Type="http://schemas.openxmlformats.org/officeDocument/2006/relationships/hyperlink" Target="https://maps.google.com/?q=17.251221,-96.153002000000001" TargetMode="External"/><Relationship Id="rId9652" Type="http://schemas.openxmlformats.org/officeDocument/2006/relationships/hyperlink" Target="https://maps.google.com/?q=16.3161936286347,-96.586229696924207" TargetMode="External"/><Relationship Id="rId11582" Type="http://schemas.openxmlformats.org/officeDocument/2006/relationships/hyperlink" Target="https://maps.google.com/?q=16.851259481727,-96.751340212880095" TargetMode="External"/><Relationship Id="rId12633" Type="http://schemas.openxmlformats.org/officeDocument/2006/relationships/hyperlink" Target="https://maps.google.com/?q=17.116389,-96.852500000000006" TargetMode="External"/><Relationship Id="rId1641" Type="http://schemas.openxmlformats.org/officeDocument/2006/relationships/hyperlink" Target="https://maps.google.com/?q=16.8924640031601,-96.9368177632292" TargetMode="External"/><Relationship Id="rId8254" Type="http://schemas.openxmlformats.org/officeDocument/2006/relationships/hyperlink" Target="https://maps.google.com/?q=17.02062,-96.748711999999998" TargetMode="External"/><Relationship Id="rId9305" Type="http://schemas.openxmlformats.org/officeDocument/2006/relationships/hyperlink" Target="https://maps.google.com/?q=16.8147515840123,-95.138211114032202" TargetMode="External"/><Relationship Id="rId10184" Type="http://schemas.openxmlformats.org/officeDocument/2006/relationships/hyperlink" Target="https://maps.google.com/?q=17.241966435844457,-97.39192754815461" TargetMode="External"/><Relationship Id="rId11235" Type="http://schemas.openxmlformats.org/officeDocument/2006/relationships/hyperlink" Target="https://maps.google.com/?q=17.1224362293269,-97.497425716627106" TargetMode="External"/><Relationship Id="rId4864" Type="http://schemas.openxmlformats.org/officeDocument/2006/relationships/hyperlink" Target="https://maps.google.com/?q=16.7906096203579,-96.387584027885197" TargetMode="External"/><Relationship Id="rId3466" Type="http://schemas.openxmlformats.org/officeDocument/2006/relationships/hyperlink" Target="https://maps.google.com/?q=17.9110337939556,-97.996195256448701" TargetMode="External"/><Relationship Id="rId4517" Type="http://schemas.openxmlformats.org/officeDocument/2006/relationships/hyperlink" Target="https://maps.google.com/?q=17.1808904196662,-97.305162704750401" TargetMode="External"/><Relationship Id="rId5915" Type="http://schemas.openxmlformats.org/officeDocument/2006/relationships/hyperlink" Target="https://maps.google.com/?q=18.14779089522269,-96.566504342672971" TargetMode="External"/><Relationship Id="rId387" Type="http://schemas.openxmlformats.org/officeDocument/2006/relationships/hyperlink" Target="https://maps.google.com/?q=16.88581,-97.678659999999994" TargetMode="External"/><Relationship Id="rId2068" Type="http://schemas.openxmlformats.org/officeDocument/2006/relationships/hyperlink" Target="https://maps.google.com/?q=15.771685641283556,-96.248448856931574" TargetMode="External"/><Relationship Id="rId3119" Type="http://schemas.openxmlformats.org/officeDocument/2006/relationships/hyperlink" Target="https://maps.google.com/?q=16.582108,-97.441472000000005" TargetMode="External"/><Relationship Id="rId6689" Type="http://schemas.openxmlformats.org/officeDocument/2006/relationships/hyperlink" Target="https://maps.google.com/?q=16.9381689,-96.966289900000007" TargetMode="External"/><Relationship Id="rId9162" Type="http://schemas.openxmlformats.org/officeDocument/2006/relationships/hyperlink" Target="https://maps.google.com/?q=17.0027710946009,-96.957828284171498" TargetMode="External"/><Relationship Id="rId12490" Type="http://schemas.openxmlformats.org/officeDocument/2006/relationships/hyperlink" Target="https://maps.google.com/?q=17.2225917955692,-97.272596806645893" TargetMode="External"/><Relationship Id="rId13541" Type="http://schemas.openxmlformats.org/officeDocument/2006/relationships/hyperlink" Target="https://maps.google.com/?q=17.6117,-98.0152" TargetMode="External"/><Relationship Id="rId3600" Type="http://schemas.openxmlformats.org/officeDocument/2006/relationships/hyperlink" Target="https://maps.google.com/?q=15.776617032018464,-96.136537567538298" TargetMode="External"/><Relationship Id="rId11092" Type="http://schemas.openxmlformats.org/officeDocument/2006/relationships/hyperlink" Target="https://maps.google.com/?q=17.254552,-96.150746" TargetMode="External"/><Relationship Id="rId12143" Type="http://schemas.openxmlformats.org/officeDocument/2006/relationships/hyperlink" Target="https://maps.google.com/?q=16.2866477304982,-97.672977370535" TargetMode="External"/><Relationship Id="rId521" Type="http://schemas.openxmlformats.org/officeDocument/2006/relationships/hyperlink" Target="https://maps.google.com/?q=16.054679,-97.406904999999995" TargetMode="External"/><Relationship Id="rId1151" Type="http://schemas.openxmlformats.org/officeDocument/2006/relationships/hyperlink" Target="https://maps.google.com/?q=16.929462,-97.143243999999996" TargetMode="External"/><Relationship Id="rId2202" Type="http://schemas.openxmlformats.org/officeDocument/2006/relationships/hyperlink" Target="https://maps.google.com/?q=16.9686295249329,-97.224266210993306" TargetMode="External"/><Relationship Id="rId5772" Type="http://schemas.openxmlformats.org/officeDocument/2006/relationships/hyperlink" Target="https://maps.google.com/?q=16.999562,-97.234509000000003" TargetMode="External"/><Relationship Id="rId6823" Type="http://schemas.openxmlformats.org/officeDocument/2006/relationships/hyperlink" Target="https://maps.google.com/?q=16.0627432156474,-97.174361572754094" TargetMode="External"/><Relationship Id="rId4374" Type="http://schemas.openxmlformats.org/officeDocument/2006/relationships/hyperlink" Target="https://maps.google.com/?q=15.96621119,-96.63253057" TargetMode="External"/><Relationship Id="rId5425" Type="http://schemas.openxmlformats.org/officeDocument/2006/relationships/hyperlink" Target="https://maps.google.com/?q=16.1010580609869,-97.699712647238798" TargetMode="External"/><Relationship Id="rId8995" Type="http://schemas.openxmlformats.org/officeDocument/2006/relationships/hyperlink" Target="https://maps.google.com/?q=17.382126957,-96.162418974000005" TargetMode="External"/><Relationship Id="rId4027" Type="http://schemas.openxmlformats.org/officeDocument/2006/relationships/hyperlink" Target="https://maps.google.com/?q=17.020021533143613,-96.718138934852632" TargetMode="External"/><Relationship Id="rId7597" Type="http://schemas.openxmlformats.org/officeDocument/2006/relationships/hyperlink" Target="https://maps.google.com/?q=17.0945291845396,-95.855089978895904" TargetMode="External"/><Relationship Id="rId8648" Type="http://schemas.openxmlformats.org/officeDocument/2006/relationships/hyperlink" Target="https://maps.google.com/?q=16.2758835049872,-94.532159501651606" TargetMode="External"/><Relationship Id="rId11976" Type="http://schemas.openxmlformats.org/officeDocument/2006/relationships/hyperlink" Target="https://maps.google.com/?q=16.7999042337542,-96.720809780209194" TargetMode="External"/><Relationship Id="rId6199" Type="http://schemas.openxmlformats.org/officeDocument/2006/relationships/hyperlink" Target="https://maps.google.com/?q=16.093645,-97.076365999999993" TargetMode="External"/><Relationship Id="rId10578" Type="http://schemas.openxmlformats.org/officeDocument/2006/relationships/hyperlink" Target="https://maps.google.com/?q=17.0984428568445,-97.771994568123205" TargetMode="External"/><Relationship Id="rId11629" Type="http://schemas.openxmlformats.org/officeDocument/2006/relationships/hyperlink" Target="https://maps.google.com/?q=16.8396247486855,-96.724366658895406" TargetMode="External"/><Relationship Id="rId13051" Type="http://schemas.openxmlformats.org/officeDocument/2006/relationships/hyperlink" Target="https://maps.google.com/?q=16.5624275,-97.534193000000002" TargetMode="External"/><Relationship Id="rId14102" Type="http://schemas.openxmlformats.org/officeDocument/2006/relationships/hyperlink" Target="https://maps.google.com/?q=17.85813765,-96.6729016" TargetMode="External"/><Relationship Id="rId3110" Type="http://schemas.openxmlformats.org/officeDocument/2006/relationships/hyperlink" Target="https://maps.google.com/?q=15.9963677832,&#160;-96.4662707997" TargetMode="External"/><Relationship Id="rId6680" Type="http://schemas.openxmlformats.org/officeDocument/2006/relationships/hyperlink" Target="https://maps.google.com/?q=16.937302697754,-96.972519402161794" TargetMode="External"/><Relationship Id="rId7731" Type="http://schemas.openxmlformats.org/officeDocument/2006/relationships/hyperlink" Target="https://maps.google.com/?q=16.6307118179461,-96.797296160972294" TargetMode="External"/><Relationship Id="rId10712" Type="http://schemas.openxmlformats.org/officeDocument/2006/relationships/hyperlink" Target="https://maps.google.com/?q=17.207464,-96.801094000000006" TargetMode="External"/><Relationship Id="rId5282" Type="http://schemas.openxmlformats.org/officeDocument/2006/relationships/hyperlink" Target="https://maps.google.com/?q=15.8289475625223,-96.471735319314803" TargetMode="External"/><Relationship Id="rId6333" Type="http://schemas.openxmlformats.org/officeDocument/2006/relationships/hyperlink" Target="https://maps.google.com/?q=18.0602906755006,-96.392341898145901" TargetMode="External"/><Relationship Id="rId1892" Type="http://schemas.openxmlformats.org/officeDocument/2006/relationships/hyperlink" Target="https://maps.google.com/?q=15.776370663680698,-96.136345177036077" TargetMode="External"/><Relationship Id="rId9556" Type="http://schemas.openxmlformats.org/officeDocument/2006/relationships/hyperlink" Target="https://maps.google.com/?q=17.358043,-96.294859000000002" TargetMode="External"/><Relationship Id="rId11486" Type="http://schemas.openxmlformats.org/officeDocument/2006/relationships/hyperlink" Target="https://maps.google.com/?q=16.3056212396761,-96.649483132333501" TargetMode="External"/><Relationship Id="rId12884" Type="http://schemas.openxmlformats.org/officeDocument/2006/relationships/hyperlink" Target="https://maps.google.com/?q=16.5181703245066,-97.4671687080041" TargetMode="External"/><Relationship Id="rId13935" Type="http://schemas.openxmlformats.org/officeDocument/2006/relationships/hyperlink" Target="https://maps.google.com/?q=17.00856795932737,-96.58089703920743" TargetMode="External"/><Relationship Id="rId915" Type="http://schemas.openxmlformats.org/officeDocument/2006/relationships/hyperlink" Target="https://maps.google.com/?q=16.88644,-97.67841" TargetMode="External"/><Relationship Id="rId1545" Type="http://schemas.openxmlformats.org/officeDocument/2006/relationships/hyperlink" Target="https://maps.google.com/?q=17.06286,-96.757170000000002" TargetMode="External"/><Relationship Id="rId2943" Type="http://schemas.openxmlformats.org/officeDocument/2006/relationships/hyperlink" Target="https://maps.google.com/?q=17.08203742,-96.667962919999994" TargetMode="External"/><Relationship Id="rId8158" Type="http://schemas.openxmlformats.org/officeDocument/2006/relationships/hyperlink" Target="https://maps.google.com/?q=17.3571360890121,-96.302481485527295" TargetMode="External"/><Relationship Id="rId9209" Type="http://schemas.openxmlformats.org/officeDocument/2006/relationships/hyperlink" Target="https://maps.google.com/?q=17.3748479402603,-96.301388287543901" TargetMode="External"/><Relationship Id="rId10088" Type="http://schemas.openxmlformats.org/officeDocument/2006/relationships/hyperlink" Target="https://maps.google.com/?q=16.9962689872462,-96.1135053699997" TargetMode="External"/><Relationship Id="rId11139" Type="http://schemas.openxmlformats.org/officeDocument/2006/relationships/hyperlink" Target="https://maps.google.com/?q=16.836226,-96.008467999999993" TargetMode="External"/><Relationship Id="rId12537" Type="http://schemas.openxmlformats.org/officeDocument/2006/relationships/hyperlink" Target="https://maps.google.com/?q=16.9682258124837,-97.912700848863906" TargetMode="External"/><Relationship Id="rId4768" Type="http://schemas.openxmlformats.org/officeDocument/2006/relationships/hyperlink" Target="https://maps.google.com/?q=17.9569071076337,-96.656464573925305" TargetMode="External"/><Relationship Id="rId5819" Type="http://schemas.openxmlformats.org/officeDocument/2006/relationships/hyperlink" Target="https://maps.google.com/?q=16.3600206846251,-97.049338910728693" TargetMode="External"/><Relationship Id="rId6190" Type="http://schemas.openxmlformats.org/officeDocument/2006/relationships/hyperlink" Target="https://maps.google.com/?q=16.090683,-97.081941" TargetMode="External"/><Relationship Id="rId11620" Type="http://schemas.openxmlformats.org/officeDocument/2006/relationships/hyperlink" Target="https://maps.google.com/?q=16.8376942319248,-96.722066918615596" TargetMode="External"/><Relationship Id="rId7241" Type="http://schemas.openxmlformats.org/officeDocument/2006/relationships/hyperlink" Target="https://maps.google.com/?q=16.09664546841,-97.924312072209403" TargetMode="External"/><Relationship Id="rId10222" Type="http://schemas.openxmlformats.org/officeDocument/2006/relationships/hyperlink" Target="https://maps.google.com/?q=17.2937256231531,-97.354124713724801" TargetMode="External"/><Relationship Id="rId13792" Type="http://schemas.openxmlformats.org/officeDocument/2006/relationships/hyperlink" Target="https://maps.google.com/?q=17.130186,-97.748751999999996" TargetMode="External"/><Relationship Id="rId3851" Type="http://schemas.openxmlformats.org/officeDocument/2006/relationships/hyperlink" Target="https://maps.google.com/?q=17.1036815488998,-95.944995162617602" TargetMode="External"/><Relationship Id="rId4902" Type="http://schemas.openxmlformats.org/officeDocument/2006/relationships/hyperlink" Target="https://maps.google.com/?q=18.0303964443527,-96.669471737434293" TargetMode="External"/><Relationship Id="rId12394" Type="http://schemas.openxmlformats.org/officeDocument/2006/relationships/hyperlink" Target="https://maps.google.com/?q=16.5553290083442,-96.823119647238698" TargetMode="External"/><Relationship Id="rId13445" Type="http://schemas.openxmlformats.org/officeDocument/2006/relationships/hyperlink" Target="https://maps.google.com/?q=17.6850038101004,-97.040531930059203" TargetMode="External"/><Relationship Id="rId772" Type="http://schemas.openxmlformats.org/officeDocument/2006/relationships/hyperlink" Target="https://maps.google.com/?q=15.68867641356516,-96.514383625406964" TargetMode="External"/><Relationship Id="rId2453" Type="http://schemas.openxmlformats.org/officeDocument/2006/relationships/hyperlink" Target="https://maps.google.com/?q=17.05147513,-96.624670480000006" TargetMode="External"/><Relationship Id="rId3504" Type="http://schemas.openxmlformats.org/officeDocument/2006/relationships/hyperlink" Target="https://maps.google.com/?q=15.770983778687938,-96.149757023502104" TargetMode="External"/><Relationship Id="rId9066" Type="http://schemas.openxmlformats.org/officeDocument/2006/relationships/hyperlink" Target="https://maps.google.com/?q=16.05663,-95.457524000000006" TargetMode="External"/><Relationship Id="rId12047" Type="http://schemas.openxmlformats.org/officeDocument/2006/relationships/hyperlink" Target="https://maps.google.com/?q=16.8088739445437,-96.723033729816507" TargetMode="External"/><Relationship Id="rId425" Type="http://schemas.openxmlformats.org/officeDocument/2006/relationships/hyperlink" Target="https://maps.google.com/?q=16.052933,-97.412751" TargetMode="External"/><Relationship Id="rId1055" Type="http://schemas.openxmlformats.org/officeDocument/2006/relationships/hyperlink" Target="https://maps.google.com/?q=15.709338903379006,-96.527277372634217" TargetMode="External"/><Relationship Id="rId2106" Type="http://schemas.openxmlformats.org/officeDocument/2006/relationships/hyperlink" Target="https://maps.google.com/?q=15.766651,-96.152028" TargetMode="External"/><Relationship Id="rId5676" Type="http://schemas.openxmlformats.org/officeDocument/2006/relationships/hyperlink" Target="https://maps.google.com/?q=16.43291,-97.898432" TargetMode="External"/><Relationship Id="rId6727" Type="http://schemas.openxmlformats.org/officeDocument/2006/relationships/hyperlink" Target="https://maps.google.com/?q=17.0365851291786,-96.984254987219302" TargetMode="External"/><Relationship Id="rId4278" Type="http://schemas.openxmlformats.org/officeDocument/2006/relationships/hyperlink" Target="https://maps.google.com/?q=16.05913955,-96.604331959999996" TargetMode="External"/><Relationship Id="rId5329" Type="http://schemas.openxmlformats.org/officeDocument/2006/relationships/hyperlink" Target="https://maps.google.com/?q=15.8076858066232,-96.356169770044602" TargetMode="External"/><Relationship Id="rId9200" Type="http://schemas.openxmlformats.org/officeDocument/2006/relationships/hyperlink" Target="https://maps.google.com/?q=17.3746092124972,-96.301560618835197" TargetMode="External"/><Relationship Id="rId8899" Type="http://schemas.openxmlformats.org/officeDocument/2006/relationships/hyperlink" Target="https://maps.google.com/?q=17.379967852,-96.160518932000002" TargetMode="External"/><Relationship Id="rId11130" Type="http://schemas.openxmlformats.org/officeDocument/2006/relationships/hyperlink" Target="https://maps.google.com/?q=16.834783,-96.008574999999993" TargetMode="External"/><Relationship Id="rId1939" Type="http://schemas.openxmlformats.org/officeDocument/2006/relationships/hyperlink" Target="https://maps.google.com/?q=15.777420323373146,-96.137188450534595" TargetMode="External"/><Relationship Id="rId5810" Type="http://schemas.openxmlformats.org/officeDocument/2006/relationships/hyperlink" Target="https://maps.google.com/?q=16.0088212551198,-97.425522204418002" TargetMode="External"/><Relationship Id="rId3361" Type="http://schemas.openxmlformats.org/officeDocument/2006/relationships/hyperlink" Target="https://maps.google.com/?q=17.058552,-96.824769000000003" TargetMode="External"/><Relationship Id="rId4412" Type="http://schemas.openxmlformats.org/officeDocument/2006/relationships/hyperlink" Target="https://maps.google.com/?q=16.00446452,-96.678747509999994" TargetMode="External"/><Relationship Id="rId7982" Type="http://schemas.openxmlformats.org/officeDocument/2006/relationships/hyperlink" Target="https://maps.google.com/?q=18.163023357172,-96.872749134932207" TargetMode="External"/><Relationship Id="rId14006" Type="http://schemas.openxmlformats.org/officeDocument/2006/relationships/hyperlink" Target="https://maps.google.com/?q=18.081169,-96.118475000000004" TargetMode="External"/><Relationship Id="rId282" Type="http://schemas.openxmlformats.org/officeDocument/2006/relationships/hyperlink" Target="https://maps.google.com/?q=16.88254,-97.676699999999997" TargetMode="External"/><Relationship Id="rId3014" Type="http://schemas.openxmlformats.org/officeDocument/2006/relationships/hyperlink" Target="https://maps.google.com/?q=16.938929,-97.005939999999995" TargetMode="External"/><Relationship Id="rId6584" Type="http://schemas.openxmlformats.org/officeDocument/2006/relationships/hyperlink" Target="https://maps.google.com/?q=17.258724,-97.687452" TargetMode="External"/><Relationship Id="rId7635" Type="http://schemas.openxmlformats.org/officeDocument/2006/relationships/hyperlink" Target="https://maps.google.com/?q=17.2309090165762,-95.049242351193797" TargetMode="External"/><Relationship Id="rId10963" Type="http://schemas.openxmlformats.org/officeDocument/2006/relationships/hyperlink" Target="https://maps.google.com/?q=16.2077601337507,-95.222937544418002" TargetMode="External"/><Relationship Id="rId5186" Type="http://schemas.openxmlformats.org/officeDocument/2006/relationships/hyperlink" Target="https://maps.google.com/?q=17.316087,-95.965866000000005" TargetMode="External"/><Relationship Id="rId6237" Type="http://schemas.openxmlformats.org/officeDocument/2006/relationships/hyperlink" Target="https://maps.google.com/?q=16.23918502,-96.402729750000006" TargetMode="External"/><Relationship Id="rId10616" Type="http://schemas.openxmlformats.org/officeDocument/2006/relationships/hyperlink" Target="https://maps.google.com/?q=17.134596823694,-97.753353647815999" TargetMode="External"/><Relationship Id="rId5253" Type="http://schemas.openxmlformats.org/officeDocument/2006/relationships/hyperlink" Target="https://maps.google.com/?q=15.883180940937,-96.321002659963199" TargetMode="External"/><Relationship Id="rId6304" Type="http://schemas.openxmlformats.org/officeDocument/2006/relationships/hyperlink" Target="https://maps.google.com/?q=18.0573328823219,-96.395708659437901" TargetMode="External"/><Relationship Id="rId12788" Type="http://schemas.openxmlformats.org/officeDocument/2006/relationships/hyperlink" Target="https://maps.google.com/?q=16.234148,-97.291110000000003" TargetMode="External"/><Relationship Id="rId13839" Type="http://schemas.openxmlformats.org/officeDocument/2006/relationships/hyperlink" Target="https://maps.google.com/?q=17.091353,-97.784002999999998" TargetMode="External"/><Relationship Id="rId1449" Type="http://schemas.openxmlformats.org/officeDocument/2006/relationships/hyperlink" Target="https://maps.google.com/?q=18.111112,-96.62336100" TargetMode="External"/><Relationship Id="rId1796" Type="http://schemas.openxmlformats.org/officeDocument/2006/relationships/hyperlink" Target="https://maps.google.com/?q=18.0675096093958,-96.900808986721202" TargetMode="External"/><Relationship Id="rId2847" Type="http://schemas.openxmlformats.org/officeDocument/2006/relationships/hyperlink" Target="https://maps.google.com/?q=16.9626400649811,-97.729230221655101" TargetMode="External"/><Relationship Id="rId8476" Type="http://schemas.openxmlformats.org/officeDocument/2006/relationships/hyperlink" Target="https://maps.google.com/?q=17.1507721116087,-97.531372555474405" TargetMode="External"/><Relationship Id="rId9874" Type="http://schemas.openxmlformats.org/officeDocument/2006/relationships/hyperlink" Target="https://maps.google.com/?q=16.6362622312269,-96.850569794933804" TargetMode="External"/><Relationship Id="rId12855" Type="http://schemas.openxmlformats.org/officeDocument/2006/relationships/hyperlink" Target="https://maps.google.com/?q=17.517651,-97.683143999999999" TargetMode="External"/><Relationship Id="rId13906" Type="http://schemas.openxmlformats.org/officeDocument/2006/relationships/hyperlink" Target="https://maps.google.com/?q=16.8498955372624,-96.783753355819698" TargetMode="External"/><Relationship Id="rId88" Type="http://schemas.openxmlformats.org/officeDocument/2006/relationships/hyperlink" Target="https://maps.google.com/?q=15.850179,-96.462907000000001" TargetMode="External"/><Relationship Id="rId819" Type="http://schemas.openxmlformats.org/officeDocument/2006/relationships/hyperlink" Target="https://maps.google.com/?q=15.696723209688155,-96.523457304884516" TargetMode="External"/><Relationship Id="rId1863" Type="http://schemas.openxmlformats.org/officeDocument/2006/relationships/hyperlink" Target="https://maps.google.com/?q=15.774300402699422,-96.153375878166031" TargetMode="External"/><Relationship Id="rId2914" Type="http://schemas.openxmlformats.org/officeDocument/2006/relationships/hyperlink" Target="https://maps.google.com/?q=17.06953778,-96.686316559999995" TargetMode="External"/><Relationship Id="rId5320" Type="http://schemas.openxmlformats.org/officeDocument/2006/relationships/hyperlink" Target="https://maps.google.com/?q=15.8069377624443,-96.359552821539495" TargetMode="External"/><Relationship Id="rId7078" Type="http://schemas.openxmlformats.org/officeDocument/2006/relationships/hyperlink" Target="https://maps.google.com/?q=16.377569,-98.142601999999997" TargetMode="External"/><Relationship Id="rId8129" Type="http://schemas.openxmlformats.org/officeDocument/2006/relationships/hyperlink" Target="https://maps.google.com/?q=17.355466322751,-96.304198141104493" TargetMode="External"/><Relationship Id="rId8890" Type="http://schemas.openxmlformats.org/officeDocument/2006/relationships/hyperlink" Target="https://maps.google.com/?q=17.379791128,-96.162309038000004" TargetMode="External"/><Relationship Id="rId9527" Type="http://schemas.openxmlformats.org/officeDocument/2006/relationships/hyperlink" Target="https://maps.google.com/?q=17.270049,-96.793539" TargetMode="External"/><Relationship Id="rId9941" Type="http://schemas.openxmlformats.org/officeDocument/2006/relationships/hyperlink" Target="https://maps.google.com/?q=16.707307,-96.710606999999996" TargetMode="External"/><Relationship Id="rId11457" Type="http://schemas.openxmlformats.org/officeDocument/2006/relationships/hyperlink" Target="https://maps.google.com/?q=16.00032113,-97.425375840000001" TargetMode="External"/><Relationship Id="rId11871" Type="http://schemas.openxmlformats.org/officeDocument/2006/relationships/hyperlink" Target="https://maps.google.com/?q=18.042749946556754,-96.76967198776624" TargetMode="External"/><Relationship Id="rId12508" Type="http://schemas.openxmlformats.org/officeDocument/2006/relationships/hyperlink" Target="https://maps.google.com/?q=17.2251647217516,-97.274053522072705" TargetMode="External"/><Relationship Id="rId12922" Type="http://schemas.openxmlformats.org/officeDocument/2006/relationships/hyperlink" Target="https://maps.google.com/?q=16.538727,-97.529561999999999" TargetMode="External"/><Relationship Id="rId1516" Type="http://schemas.openxmlformats.org/officeDocument/2006/relationships/hyperlink" Target="https://maps.google.com/?q=17.061462,-96.754750999999999" TargetMode="External"/><Relationship Id="rId1930" Type="http://schemas.openxmlformats.org/officeDocument/2006/relationships/hyperlink" Target="https://maps.google.com/?q=15.777102703587039,-96.137071669145215" TargetMode="External"/><Relationship Id="rId7492" Type="http://schemas.openxmlformats.org/officeDocument/2006/relationships/hyperlink" Target="https://maps.google.com/?q=17.34190059,-97.372653319999998" TargetMode="External"/><Relationship Id="rId8543" Type="http://schemas.openxmlformats.org/officeDocument/2006/relationships/hyperlink" Target="https://maps.google.com/?q=16.9202759077748,-96.609314635581995" TargetMode="External"/><Relationship Id="rId10059" Type="http://schemas.openxmlformats.org/officeDocument/2006/relationships/hyperlink" Target="https://maps.google.com/?q=16.9283825495816,-96.370724048128295" TargetMode="External"/><Relationship Id="rId10473" Type="http://schemas.openxmlformats.org/officeDocument/2006/relationships/hyperlink" Target="https://maps.google.com/?q=16.6671127893297,-97.257973164433494" TargetMode="External"/><Relationship Id="rId11524" Type="http://schemas.openxmlformats.org/officeDocument/2006/relationships/hyperlink" Target="https://maps.google.com/?q=16.6148535025209,-96.858001921204604" TargetMode="External"/><Relationship Id="rId3688" Type="http://schemas.openxmlformats.org/officeDocument/2006/relationships/hyperlink" Target="https://maps.google.com/?q=15.756364708611724,-96.146473512575383" TargetMode="External"/><Relationship Id="rId4739" Type="http://schemas.openxmlformats.org/officeDocument/2006/relationships/hyperlink" Target="https://maps.google.com/?q=17.9493389577644,-96.656344005943794" TargetMode="External"/><Relationship Id="rId6094" Type="http://schemas.openxmlformats.org/officeDocument/2006/relationships/hyperlink" Target="https://maps.google.com/?q=17.975868,-96.705067999999997" TargetMode="External"/><Relationship Id="rId7145" Type="http://schemas.openxmlformats.org/officeDocument/2006/relationships/hyperlink" Target="https://maps.google.com/?q=17.3641073427649,-97.666324871539999" TargetMode="External"/><Relationship Id="rId8610" Type="http://schemas.openxmlformats.org/officeDocument/2006/relationships/hyperlink" Target="https://maps.google.com/?q=17.8876795475034,-96.725136901163907" TargetMode="External"/><Relationship Id="rId10126" Type="http://schemas.openxmlformats.org/officeDocument/2006/relationships/hyperlink" Target="https://maps.google.com/?q=17.1215076310181,-97.514270874418003" TargetMode="External"/><Relationship Id="rId10540" Type="http://schemas.openxmlformats.org/officeDocument/2006/relationships/hyperlink" Target="https://maps.google.com/?q=17.1159044008927,-97.788873235677698" TargetMode="External"/><Relationship Id="rId13696" Type="http://schemas.openxmlformats.org/officeDocument/2006/relationships/hyperlink" Target="https://maps.google.com/?q=17.027232,-96.077046" TargetMode="External"/><Relationship Id="rId3755" Type="http://schemas.openxmlformats.org/officeDocument/2006/relationships/hyperlink" Target="https://maps.google.com/?q=15.762002,-96.143905000000004" TargetMode="External"/><Relationship Id="rId4806" Type="http://schemas.openxmlformats.org/officeDocument/2006/relationships/hyperlink" Target="https://maps.google.com/?q=16.9018833463033,-96.502146026686503" TargetMode="External"/><Relationship Id="rId6161" Type="http://schemas.openxmlformats.org/officeDocument/2006/relationships/hyperlink" Target="https://maps.google.com/?q=16.1419454196485,-96.416658288460695" TargetMode="External"/><Relationship Id="rId7212" Type="http://schemas.openxmlformats.org/officeDocument/2006/relationships/hyperlink" Target="https://maps.google.com/?q=16.2275280532588,-97.9420566364835" TargetMode="External"/><Relationship Id="rId12298" Type="http://schemas.openxmlformats.org/officeDocument/2006/relationships/hyperlink" Target="https://maps.google.com/?q=16.4861471490434,-94.349436267181005" TargetMode="External"/><Relationship Id="rId13349" Type="http://schemas.openxmlformats.org/officeDocument/2006/relationships/hyperlink" Target="https://maps.google.com/?q=16.3171555906379,-96.667074846557497" TargetMode="External"/><Relationship Id="rId676" Type="http://schemas.openxmlformats.org/officeDocument/2006/relationships/hyperlink" Target="https://maps.google.com/?q=16.061629,-97.383989" TargetMode="External"/><Relationship Id="rId2357" Type="http://schemas.openxmlformats.org/officeDocument/2006/relationships/hyperlink" Target="https://maps.google.com/?q=17.062297,-97.695082999999997" TargetMode="External"/><Relationship Id="rId3408" Type="http://schemas.openxmlformats.org/officeDocument/2006/relationships/hyperlink" Target="https://maps.google.com/?q=18.0086953530019,-96.642909580356601" TargetMode="External"/><Relationship Id="rId9384" Type="http://schemas.openxmlformats.org/officeDocument/2006/relationships/hyperlink" Target="https://maps.google.com/?q=16.8203861297256,-95.138086358993306" TargetMode="External"/><Relationship Id="rId13763" Type="http://schemas.openxmlformats.org/officeDocument/2006/relationships/hyperlink" Target="https://maps.google.com/?q=16.27907,-97.82027" TargetMode="External"/><Relationship Id="rId329" Type="http://schemas.openxmlformats.org/officeDocument/2006/relationships/hyperlink" Target="https://maps.google.com/?q=16.054752,-97.397278" TargetMode="External"/><Relationship Id="rId1373" Type="http://schemas.openxmlformats.org/officeDocument/2006/relationships/hyperlink" Target="https://maps.google.com/?q=16.9099807,-96.720373" TargetMode="External"/><Relationship Id="rId2771" Type="http://schemas.openxmlformats.org/officeDocument/2006/relationships/hyperlink" Target="https://maps.google.com/?q=18.0212597969076,-96.618845309192594" TargetMode="External"/><Relationship Id="rId3822" Type="http://schemas.openxmlformats.org/officeDocument/2006/relationships/hyperlink" Target="https://maps.google.com/?q=16.341113171977717,-98.05150715956924" TargetMode="External"/><Relationship Id="rId6978" Type="http://schemas.openxmlformats.org/officeDocument/2006/relationships/hyperlink" Target="https://maps.google.com/?q=17.0955951,-97.498536900000005" TargetMode="External"/><Relationship Id="rId9037" Type="http://schemas.openxmlformats.org/officeDocument/2006/relationships/hyperlink" Target="https://maps.google.com/?q=16.054261,-95.478758999999997" TargetMode="External"/><Relationship Id="rId12365" Type="http://schemas.openxmlformats.org/officeDocument/2006/relationships/hyperlink" Target="https://maps.google.com/?q=16.892706429311225,-96.76697114688521" TargetMode="External"/><Relationship Id="rId13416" Type="http://schemas.openxmlformats.org/officeDocument/2006/relationships/hyperlink" Target="https://maps.google.com/?q=16.3303001826351,-96.675719769345903" TargetMode="External"/><Relationship Id="rId13830" Type="http://schemas.openxmlformats.org/officeDocument/2006/relationships/hyperlink" Target="https://maps.google.com/?q=17.090724,-97.785110000000003" TargetMode="External"/><Relationship Id="rId743" Type="http://schemas.openxmlformats.org/officeDocument/2006/relationships/hyperlink" Target="https://maps.google.com/?q=15.68267251526627,-96.510265999047704" TargetMode="External"/><Relationship Id="rId1026" Type="http://schemas.openxmlformats.org/officeDocument/2006/relationships/hyperlink" Target="https://maps.google.com/?q=15.701634688100706,-96.523394097404079" TargetMode="External"/><Relationship Id="rId2424" Type="http://schemas.openxmlformats.org/officeDocument/2006/relationships/hyperlink" Target="https://maps.google.com/?q=17.05116735,-96.624514640000001" TargetMode="External"/><Relationship Id="rId5994" Type="http://schemas.openxmlformats.org/officeDocument/2006/relationships/hyperlink" Target="https://maps.google.com/?q=18.155044450474787,-96.576151840593994" TargetMode="External"/><Relationship Id="rId8053" Type="http://schemas.openxmlformats.org/officeDocument/2006/relationships/hyperlink" Target="https://maps.google.com/?q=16.4965593107837,-97.375616919999999" TargetMode="External"/><Relationship Id="rId9104" Type="http://schemas.openxmlformats.org/officeDocument/2006/relationships/hyperlink" Target="https://maps.google.com/?q=16.99907406334357,-97.23338851700154" TargetMode="External"/><Relationship Id="rId9451" Type="http://schemas.openxmlformats.org/officeDocument/2006/relationships/hyperlink" Target="https://maps.google.com/?q=15.8296808817254,-96.618041180218896" TargetMode="External"/><Relationship Id="rId11381" Type="http://schemas.openxmlformats.org/officeDocument/2006/relationships/hyperlink" Target="https://maps.google.com/?q=17.3426248040952,%20-97.56281463310061" TargetMode="External"/><Relationship Id="rId12018" Type="http://schemas.openxmlformats.org/officeDocument/2006/relationships/hyperlink" Target="https://maps.google.com/?q=16.8037820312503,-96.708951792026596" TargetMode="External"/><Relationship Id="rId12432" Type="http://schemas.openxmlformats.org/officeDocument/2006/relationships/hyperlink" Target="https://maps.google.com/?q=17.2204466062098,-97.271797478215603" TargetMode="External"/><Relationship Id="rId810" Type="http://schemas.openxmlformats.org/officeDocument/2006/relationships/hyperlink" Target="https://maps.google.com/?q=15.695875675045059,-96.523398937734385" TargetMode="External"/><Relationship Id="rId1440" Type="http://schemas.openxmlformats.org/officeDocument/2006/relationships/hyperlink" Target="https://maps.google.com/?q=17.08384,-96.71824" TargetMode="External"/><Relationship Id="rId4596" Type="http://schemas.openxmlformats.org/officeDocument/2006/relationships/hyperlink" Target="https://maps.google.com/?q=16.55734,-96.821676999999994" TargetMode="External"/><Relationship Id="rId5647" Type="http://schemas.openxmlformats.org/officeDocument/2006/relationships/hyperlink" Target="https://maps.google.com/?q=17.5634094299361,-96.180869444418704" TargetMode="External"/><Relationship Id="rId11034" Type="http://schemas.openxmlformats.org/officeDocument/2006/relationships/hyperlink" Target="https://maps.google.com/?q=17.361944,-96.131355" TargetMode="External"/><Relationship Id="rId3198" Type="http://schemas.openxmlformats.org/officeDocument/2006/relationships/hyperlink" Target="https://maps.google.com/?q=17.037298,-97.051382000000004" TargetMode="External"/><Relationship Id="rId4249" Type="http://schemas.openxmlformats.org/officeDocument/2006/relationships/hyperlink" Target="https://maps.google.com/?q=16.0712489423271,-96.618347748030899" TargetMode="External"/><Relationship Id="rId4663" Type="http://schemas.openxmlformats.org/officeDocument/2006/relationships/hyperlink" Target="https://maps.google.com/?q=17.073137,-96.743375" TargetMode="External"/><Relationship Id="rId5714" Type="http://schemas.openxmlformats.org/officeDocument/2006/relationships/hyperlink" Target="https://maps.google.com/?q=17.43168979,-96.281045250000005" TargetMode="External"/><Relationship Id="rId8120" Type="http://schemas.openxmlformats.org/officeDocument/2006/relationships/hyperlink" Target="https://maps.google.com/?q=17.3553063126062,-96.306262095581999" TargetMode="External"/><Relationship Id="rId10050" Type="http://schemas.openxmlformats.org/officeDocument/2006/relationships/hyperlink" Target="https://maps.google.com/?q=16.9266068819174,-96.369670627889207" TargetMode="External"/><Relationship Id="rId11101" Type="http://schemas.openxmlformats.org/officeDocument/2006/relationships/hyperlink" Target="https://maps.google.com/?q=17.254878,-96.152762" TargetMode="External"/><Relationship Id="rId3265" Type="http://schemas.openxmlformats.org/officeDocument/2006/relationships/hyperlink" Target="https://maps.google.com/?q=17.0599846682521,-96.820098294477305" TargetMode="External"/><Relationship Id="rId4316" Type="http://schemas.openxmlformats.org/officeDocument/2006/relationships/hyperlink" Target="https://maps.google.com/?q=16.028843907749,-96.647300574351107" TargetMode="External"/><Relationship Id="rId4730" Type="http://schemas.openxmlformats.org/officeDocument/2006/relationships/hyperlink" Target="https://maps.google.com/?q=16.370761,-94.191479" TargetMode="External"/><Relationship Id="rId7886" Type="http://schemas.openxmlformats.org/officeDocument/2006/relationships/hyperlink" Target="https://maps.google.com/?q=16.3182564379509,-96.408158480985705" TargetMode="External"/><Relationship Id="rId8937" Type="http://schemas.openxmlformats.org/officeDocument/2006/relationships/hyperlink" Target="https://maps.google.com/?q=17.38116919,-96.163165685999999" TargetMode="External"/><Relationship Id="rId13273" Type="http://schemas.openxmlformats.org/officeDocument/2006/relationships/hyperlink" Target="https://maps.google.com/?q=16.1320808797136,-96.370398832867096" TargetMode="External"/><Relationship Id="rId186" Type="http://schemas.openxmlformats.org/officeDocument/2006/relationships/hyperlink" Target="https://maps.google.com/?q=17.094734,-97.497703000000001" TargetMode="External"/><Relationship Id="rId2281" Type="http://schemas.openxmlformats.org/officeDocument/2006/relationships/hyperlink" Target="https://maps.google.com/?q=18.098461077643,-96.928148824418102" TargetMode="External"/><Relationship Id="rId3332" Type="http://schemas.openxmlformats.org/officeDocument/2006/relationships/hyperlink" Target="https://maps.google.com/?q=17.0665009258047,-96.815053151537995" TargetMode="External"/><Relationship Id="rId6488" Type="http://schemas.openxmlformats.org/officeDocument/2006/relationships/hyperlink" Target="https://maps.google.com/?q=17.2010042151707,-97.590535915262805" TargetMode="External"/><Relationship Id="rId7539" Type="http://schemas.openxmlformats.org/officeDocument/2006/relationships/hyperlink" Target="https://maps.google.com/?q=17.9767155244811,-96.706049257070205" TargetMode="External"/><Relationship Id="rId10867" Type="http://schemas.openxmlformats.org/officeDocument/2006/relationships/hyperlink" Target="https://maps.google.com/?q=16.3431459689313,-94.480621728835999" TargetMode="External"/><Relationship Id="rId11918" Type="http://schemas.openxmlformats.org/officeDocument/2006/relationships/hyperlink" Target="https://maps.google.com/?q=18.215232,-97.840355" TargetMode="External"/><Relationship Id="rId253" Type="http://schemas.openxmlformats.org/officeDocument/2006/relationships/hyperlink" Target="https://maps.google.com/?q=16.88552,-97.678430000000006" TargetMode="External"/><Relationship Id="rId6555" Type="http://schemas.openxmlformats.org/officeDocument/2006/relationships/hyperlink" Target="https://maps.google.com/?q=17.761069,-96.878700" TargetMode="External"/><Relationship Id="rId7953" Type="http://schemas.openxmlformats.org/officeDocument/2006/relationships/hyperlink" Target="https://maps.google.com/?q=15.9472349130162,-96.553892182054597" TargetMode="External"/><Relationship Id="rId10934" Type="http://schemas.openxmlformats.org/officeDocument/2006/relationships/hyperlink" Target="https://maps.google.com/?q=16.1942976909687,-95.216101798895394" TargetMode="External"/><Relationship Id="rId13340" Type="http://schemas.openxmlformats.org/officeDocument/2006/relationships/hyperlink" Target="https://maps.google.com/?q=18.06347685,-97.7196055" TargetMode="External"/><Relationship Id="rId320" Type="http://schemas.openxmlformats.org/officeDocument/2006/relationships/hyperlink" Target="https://maps.google.com/?q=16.054346,-97.394972999999993" TargetMode="External"/><Relationship Id="rId2001" Type="http://schemas.openxmlformats.org/officeDocument/2006/relationships/hyperlink" Target="https://maps.google.com/?q=15.757675206076426,-96.140356379172161" TargetMode="External"/><Relationship Id="rId5157" Type="http://schemas.openxmlformats.org/officeDocument/2006/relationships/hyperlink" Target="https://maps.google.com/?q=17.254859,-96.152067000000002" TargetMode="External"/><Relationship Id="rId6208" Type="http://schemas.openxmlformats.org/officeDocument/2006/relationships/hyperlink" Target="https://maps.google.com/?q=16.09496,-97.078190000000006" TargetMode="External"/><Relationship Id="rId7606" Type="http://schemas.openxmlformats.org/officeDocument/2006/relationships/hyperlink" Target="https://maps.google.com/?q=17.2292415997704,-95.052413323763403" TargetMode="External"/><Relationship Id="rId5571" Type="http://schemas.openxmlformats.org/officeDocument/2006/relationships/hyperlink" Target="https://maps.google.com/?q=17.4429532533067,-96.182414837791399" TargetMode="External"/><Relationship Id="rId6622" Type="http://schemas.openxmlformats.org/officeDocument/2006/relationships/hyperlink" Target="https://maps.google.com/?q=16.369741,-97.681873" TargetMode="External"/><Relationship Id="rId9778" Type="http://schemas.openxmlformats.org/officeDocument/2006/relationships/hyperlink" Target="https://maps.google.com/?q=16.6386449724159,-96.751933932209099" TargetMode="External"/><Relationship Id="rId12759" Type="http://schemas.openxmlformats.org/officeDocument/2006/relationships/hyperlink" Target="https://maps.google.com/?q=17.4551765805141,-97.284945266119394" TargetMode="External"/><Relationship Id="rId1767" Type="http://schemas.openxmlformats.org/officeDocument/2006/relationships/hyperlink" Target="https://maps.google.com/?q=18.06159378,-96.852940279999999" TargetMode="External"/><Relationship Id="rId2818" Type="http://schemas.openxmlformats.org/officeDocument/2006/relationships/hyperlink" Target="https://maps.google.com/?q=16.9904118809923,-97.715894946679001" TargetMode="External"/><Relationship Id="rId4173" Type="http://schemas.openxmlformats.org/officeDocument/2006/relationships/hyperlink" Target="https://maps.google.com/?q=16.3196455118697,-97.796736188989001" TargetMode="External"/><Relationship Id="rId5224" Type="http://schemas.openxmlformats.org/officeDocument/2006/relationships/hyperlink" Target="https://maps.google.com/?q=17.2801526621427,-97.372618565582002" TargetMode="External"/><Relationship Id="rId8794" Type="http://schemas.openxmlformats.org/officeDocument/2006/relationships/hyperlink" Target="https://maps.google.com/?q=17.213242,-96.250369000000006" TargetMode="External"/><Relationship Id="rId9845" Type="http://schemas.openxmlformats.org/officeDocument/2006/relationships/hyperlink" Target="https://maps.google.com/?q=16.6335546127838,-96.852071911393594" TargetMode="External"/><Relationship Id="rId11775" Type="http://schemas.openxmlformats.org/officeDocument/2006/relationships/hyperlink" Target="https://maps.google.com/?q=17.666290363907063,-98.22096317790987" TargetMode="External"/><Relationship Id="rId59" Type="http://schemas.openxmlformats.org/officeDocument/2006/relationships/hyperlink" Target="https://maps.google.com/?q=15.905658,-96.448879000000005" TargetMode="External"/><Relationship Id="rId1834" Type="http://schemas.openxmlformats.org/officeDocument/2006/relationships/hyperlink" Target="https://maps.google.com/?q=18.0364276401498,-96.896405703585899" TargetMode="External"/><Relationship Id="rId4240" Type="http://schemas.openxmlformats.org/officeDocument/2006/relationships/hyperlink" Target="https://maps.google.com/?q=16.5666642840983,-96.703275495700794" TargetMode="External"/><Relationship Id="rId7396" Type="http://schemas.openxmlformats.org/officeDocument/2006/relationships/hyperlink" Target="https://maps.google.com/?q=17.106805,-97.000806999999995" TargetMode="External"/><Relationship Id="rId8447" Type="http://schemas.openxmlformats.org/officeDocument/2006/relationships/hyperlink" Target="https://maps.google.com/?q=16.773969,-96.661045999999999" TargetMode="External"/><Relationship Id="rId8861" Type="http://schemas.openxmlformats.org/officeDocument/2006/relationships/hyperlink" Target="https://maps.google.com/?q=17.220405,-96.240435000000005" TargetMode="External"/><Relationship Id="rId9912" Type="http://schemas.openxmlformats.org/officeDocument/2006/relationships/hyperlink" Target="https://maps.google.com/?q=16.7057718583274,-96.713260467251004" TargetMode="External"/><Relationship Id="rId10377" Type="http://schemas.openxmlformats.org/officeDocument/2006/relationships/hyperlink" Target="https://maps.google.com/?q=17.4373014306233,-96.654584152861702" TargetMode="External"/><Relationship Id="rId11428" Type="http://schemas.openxmlformats.org/officeDocument/2006/relationships/hyperlink" Target="https://maps.google.com/?q=17.3871671218645,-98.1869996762656" TargetMode="External"/><Relationship Id="rId12826" Type="http://schemas.openxmlformats.org/officeDocument/2006/relationships/hyperlink" Target="https://maps.google.com/?q=17.513769,-97.683481" TargetMode="External"/><Relationship Id="rId7049" Type="http://schemas.openxmlformats.org/officeDocument/2006/relationships/hyperlink" Target="https://maps.google.com/?q=16.1463606945903,-96.3467472587256" TargetMode="External"/><Relationship Id="rId7463" Type="http://schemas.openxmlformats.org/officeDocument/2006/relationships/hyperlink" Target="https://maps.google.com/?q=16.3315836623908,-96.669229052742295" TargetMode="External"/><Relationship Id="rId8514" Type="http://schemas.openxmlformats.org/officeDocument/2006/relationships/hyperlink" Target="https://maps.google.com/?q=17.1505062020729,-97.536185914005401" TargetMode="External"/><Relationship Id="rId10791" Type="http://schemas.openxmlformats.org/officeDocument/2006/relationships/hyperlink" Target="https://maps.google.com/?q=17.269262,-96.24" TargetMode="External"/><Relationship Id="rId11842" Type="http://schemas.openxmlformats.org/officeDocument/2006/relationships/hyperlink" Target="https://maps.google.com/?q=17.86319640978134,-98.137210879797" TargetMode="External"/><Relationship Id="rId1901" Type="http://schemas.openxmlformats.org/officeDocument/2006/relationships/hyperlink" Target="https://maps.google.com/?q=15.776554072884066,-96.136557104205181" TargetMode="External"/><Relationship Id="rId3659" Type="http://schemas.openxmlformats.org/officeDocument/2006/relationships/hyperlink" Target="https://maps.google.com/?q=15.78133383385781,-96.139483757098787" TargetMode="External"/><Relationship Id="rId6065" Type="http://schemas.openxmlformats.org/officeDocument/2006/relationships/hyperlink" Target="https://maps.google.com/?q=18.16016923969706,-96.576701757987195" TargetMode="External"/><Relationship Id="rId7116" Type="http://schemas.openxmlformats.org/officeDocument/2006/relationships/hyperlink" Target="https://maps.google.com/?q=17.3527886433286,-97.635319644385802" TargetMode="External"/><Relationship Id="rId10444" Type="http://schemas.openxmlformats.org/officeDocument/2006/relationships/hyperlink" Target="https://maps.google.com/?q=17.042659,-96.783455000000004" TargetMode="External"/><Relationship Id="rId5081" Type="http://schemas.openxmlformats.org/officeDocument/2006/relationships/hyperlink" Target="https://maps.google.com/?q=17.252854,-96.155614" TargetMode="External"/><Relationship Id="rId6132" Type="http://schemas.openxmlformats.org/officeDocument/2006/relationships/hyperlink" Target="https://maps.google.com/?q=16.9521221,-96.613061669999993" TargetMode="External"/><Relationship Id="rId7530" Type="http://schemas.openxmlformats.org/officeDocument/2006/relationships/hyperlink" Target="https://maps.google.com/?q=17.9755802507206,-96.705586312106902" TargetMode="External"/><Relationship Id="rId9288" Type="http://schemas.openxmlformats.org/officeDocument/2006/relationships/hyperlink" Target="https://maps.google.com/?q=16.9261309582122,-95.209788545640706" TargetMode="External"/><Relationship Id="rId10511" Type="http://schemas.openxmlformats.org/officeDocument/2006/relationships/hyperlink" Target="https://maps.google.com/?q=17.8464523397366,-96.741842326410605" TargetMode="External"/><Relationship Id="rId13667" Type="http://schemas.openxmlformats.org/officeDocument/2006/relationships/hyperlink" Target="https://maps.google.com/?q=17.331381,-96.487408" TargetMode="External"/><Relationship Id="rId994" Type="http://schemas.openxmlformats.org/officeDocument/2006/relationships/hyperlink" Target="https://maps.google.com/?q=15.693121185978224,-96.521384443234126" TargetMode="External"/><Relationship Id="rId2675" Type="http://schemas.openxmlformats.org/officeDocument/2006/relationships/hyperlink" Target="https://maps.google.com/?q=17.280562,-97.701374999999999" TargetMode="External"/><Relationship Id="rId3726" Type="http://schemas.openxmlformats.org/officeDocument/2006/relationships/hyperlink" Target="https://maps.google.com/?q=15.758856058587176,-96.142251553862224" TargetMode="External"/><Relationship Id="rId12269" Type="http://schemas.openxmlformats.org/officeDocument/2006/relationships/hyperlink" Target="https://maps.google.com/?q=16.4788900550916,-94.355903185180594" TargetMode="External"/><Relationship Id="rId12683" Type="http://schemas.openxmlformats.org/officeDocument/2006/relationships/hyperlink" Target="https://maps.google.com/?q=18.030262376499337,-96.67046149205278" TargetMode="External"/><Relationship Id="rId13734" Type="http://schemas.openxmlformats.org/officeDocument/2006/relationships/hyperlink" Target="https://maps.google.com/?q=16.95834,-96.70759" TargetMode="External"/><Relationship Id="rId647" Type="http://schemas.openxmlformats.org/officeDocument/2006/relationships/hyperlink" Target="https://maps.google.com/?q=16.05481,-97.395390000000006" TargetMode="External"/><Relationship Id="rId1277" Type="http://schemas.openxmlformats.org/officeDocument/2006/relationships/hyperlink" Target="https://maps.google.com/?q=17.058742,-96.743148000000005" TargetMode="External"/><Relationship Id="rId1691" Type="http://schemas.openxmlformats.org/officeDocument/2006/relationships/hyperlink" Target="https://maps.google.com/?q=18.0715043227434,-96.897352620000902" TargetMode="External"/><Relationship Id="rId2328" Type="http://schemas.openxmlformats.org/officeDocument/2006/relationships/hyperlink" Target="https://maps.google.com/?q=17.056175,-97.668718999999996" TargetMode="External"/><Relationship Id="rId2742" Type="http://schemas.openxmlformats.org/officeDocument/2006/relationships/hyperlink" Target="https://maps.google.com/?q=17.9910310395057,-96.4886779067459" TargetMode="External"/><Relationship Id="rId5898" Type="http://schemas.openxmlformats.org/officeDocument/2006/relationships/hyperlink" Target="https://maps.google.com/?q=18.145517147870216,-96.564587458941944" TargetMode="External"/><Relationship Id="rId6949" Type="http://schemas.openxmlformats.org/officeDocument/2006/relationships/hyperlink" Target="https://maps.google.com/?q=16.32456534,-95.261828199999997" TargetMode="External"/><Relationship Id="rId9355" Type="http://schemas.openxmlformats.org/officeDocument/2006/relationships/hyperlink" Target="https://maps.google.com/?q=16.8181304250992,-95.144138795955897" TargetMode="External"/><Relationship Id="rId11285" Type="http://schemas.openxmlformats.org/officeDocument/2006/relationships/hyperlink" Target="https://maps.google.com/?q=17.8668031872603,-96.3081696631006" TargetMode="External"/><Relationship Id="rId12336" Type="http://schemas.openxmlformats.org/officeDocument/2006/relationships/hyperlink" Target="https://maps.google.com/?q=16.76131,-96.453643" TargetMode="External"/><Relationship Id="rId12750" Type="http://schemas.openxmlformats.org/officeDocument/2006/relationships/hyperlink" Target="https://maps.google.com/?q=17.4516162606966,-97.288699345502096" TargetMode="External"/><Relationship Id="rId714" Type="http://schemas.openxmlformats.org/officeDocument/2006/relationships/hyperlink" Target="https://maps.google.com/?q=16.062358,-97.383600000000001" TargetMode="External"/><Relationship Id="rId1344" Type="http://schemas.openxmlformats.org/officeDocument/2006/relationships/hyperlink" Target="https://maps.google.com/?q=17.0197253,-96.7180375" TargetMode="External"/><Relationship Id="rId5965" Type="http://schemas.openxmlformats.org/officeDocument/2006/relationships/hyperlink" Target="https://maps.google.com/?q=18.15426929339129,-96.5750603784399" TargetMode="External"/><Relationship Id="rId8371" Type="http://schemas.openxmlformats.org/officeDocument/2006/relationships/hyperlink" Target="https://maps.google.com/?q=16.845896106978,-97.200084813351395" TargetMode="External"/><Relationship Id="rId9008" Type="http://schemas.openxmlformats.org/officeDocument/2006/relationships/hyperlink" Target="https://maps.google.com/?q=17.382496969,-96.162860824999996" TargetMode="External"/><Relationship Id="rId9422" Type="http://schemas.openxmlformats.org/officeDocument/2006/relationships/hyperlink" Target="https://maps.google.com/?q=16.7760708284517,-95.190893566131606" TargetMode="External"/><Relationship Id="rId11352" Type="http://schemas.openxmlformats.org/officeDocument/2006/relationships/hyperlink" Target="https://maps.google.com/?q=16.371696408531,-94.199648633099002" TargetMode="External"/><Relationship Id="rId12403" Type="http://schemas.openxmlformats.org/officeDocument/2006/relationships/hyperlink" Target="https://maps.google.com/?q=16.5567565018427,-96.820548318401805" TargetMode="External"/><Relationship Id="rId13801" Type="http://schemas.openxmlformats.org/officeDocument/2006/relationships/hyperlink" Target="https://maps.google.com/?q=17.13085,-97.749044999999995" TargetMode="External"/><Relationship Id="rId50" Type="http://schemas.openxmlformats.org/officeDocument/2006/relationships/hyperlink" Target="https://maps.google.com/?q=15.909815,-96.449912999999995" TargetMode="External"/><Relationship Id="rId1411" Type="http://schemas.openxmlformats.org/officeDocument/2006/relationships/hyperlink" Target="https://maps.google.com/?q=17.724615,-97.323898" TargetMode="External"/><Relationship Id="rId4567" Type="http://schemas.openxmlformats.org/officeDocument/2006/relationships/hyperlink" Target="https://maps.google.com/?q=17.1863998743219,-97.303682883432401" TargetMode="External"/><Relationship Id="rId5618" Type="http://schemas.openxmlformats.org/officeDocument/2006/relationships/hyperlink" Target="https://maps.google.com/?q=17.5513947221192,-96.222588210975701" TargetMode="External"/><Relationship Id="rId8024" Type="http://schemas.openxmlformats.org/officeDocument/2006/relationships/hyperlink" Target="https://maps.google.com/?q=18.163418779795,-96.881367402446799" TargetMode="External"/><Relationship Id="rId11005" Type="http://schemas.openxmlformats.org/officeDocument/2006/relationships/hyperlink" Target="https://maps.google.com/?q=17.15645,-97.186238000000003" TargetMode="External"/><Relationship Id="rId3169" Type="http://schemas.openxmlformats.org/officeDocument/2006/relationships/hyperlink" Target="https://maps.google.com/?q=16.549043,-97.503328999999994" TargetMode="External"/><Relationship Id="rId3583" Type="http://schemas.openxmlformats.org/officeDocument/2006/relationships/hyperlink" Target="https://maps.google.com/?q=15.776208439553974,-96.137056247485731" TargetMode="External"/><Relationship Id="rId4981" Type="http://schemas.openxmlformats.org/officeDocument/2006/relationships/hyperlink" Target="https://maps.google.com/?q=15.74710402166,-96.5454028745" TargetMode="External"/><Relationship Id="rId7040" Type="http://schemas.openxmlformats.org/officeDocument/2006/relationships/hyperlink" Target="https://maps.google.com/?q=17.0452802403068,-97.304346789104102" TargetMode="External"/><Relationship Id="rId10021" Type="http://schemas.openxmlformats.org/officeDocument/2006/relationships/hyperlink" Target="https://maps.google.com/?q=16.9965010425532,-96.076632738954899" TargetMode="External"/><Relationship Id="rId13177" Type="http://schemas.openxmlformats.org/officeDocument/2006/relationships/hyperlink" Target="https://maps.google.com/?q=16.5699299855385,-97.009356073254096" TargetMode="External"/><Relationship Id="rId2185" Type="http://schemas.openxmlformats.org/officeDocument/2006/relationships/hyperlink" Target="https://maps.google.com/?q=16.9993823461402,-97.236000560333594" TargetMode="External"/><Relationship Id="rId3236" Type="http://schemas.openxmlformats.org/officeDocument/2006/relationships/hyperlink" Target="https://maps.google.com/?q=17.9355079321834,-96.209165054939902" TargetMode="External"/><Relationship Id="rId4634" Type="http://schemas.openxmlformats.org/officeDocument/2006/relationships/hyperlink" Target="https://maps.google.com/?q=16.195076226162914,-96.51975145199636" TargetMode="External"/><Relationship Id="rId13591" Type="http://schemas.openxmlformats.org/officeDocument/2006/relationships/hyperlink" Target="https://maps.google.com/?q=17.458341,-97.225285" TargetMode="External"/><Relationship Id="rId157" Type="http://schemas.openxmlformats.org/officeDocument/2006/relationships/hyperlink" Target="https://maps.google.com/?q=17.094224,-97.493933999999996" TargetMode="External"/><Relationship Id="rId3650" Type="http://schemas.openxmlformats.org/officeDocument/2006/relationships/hyperlink" Target="https://maps.google.com/?q=15.778981579900377,-96.137791391371252" TargetMode="External"/><Relationship Id="rId4701" Type="http://schemas.openxmlformats.org/officeDocument/2006/relationships/hyperlink" Target="https://maps.google.com/?q=17.01808469863598,-96.718677193270977" TargetMode="External"/><Relationship Id="rId7857" Type="http://schemas.openxmlformats.org/officeDocument/2006/relationships/hyperlink" Target="https://maps.google.com/?q=16.3140579830599,-96.411345455135702" TargetMode="External"/><Relationship Id="rId8908" Type="http://schemas.openxmlformats.org/officeDocument/2006/relationships/hyperlink" Target="https://maps.google.com/?q=17.380203073,-96.162365789000006" TargetMode="External"/><Relationship Id="rId10838" Type="http://schemas.openxmlformats.org/officeDocument/2006/relationships/hyperlink" Target="https://maps.google.com/?q=16.4017991942882,-94.460597533729498" TargetMode="External"/><Relationship Id="rId12193" Type="http://schemas.openxmlformats.org/officeDocument/2006/relationships/hyperlink" Target="https://maps.google.com/?q=17.4173092261501,-95.950436844202997" TargetMode="External"/><Relationship Id="rId13244" Type="http://schemas.openxmlformats.org/officeDocument/2006/relationships/hyperlink" Target="https://maps.google.com/?q=17.1467314687534,-96.760586475029697" TargetMode="External"/><Relationship Id="rId571" Type="http://schemas.openxmlformats.org/officeDocument/2006/relationships/hyperlink" Target="https://maps.google.com/?q=16.052225,-97.402579000000003" TargetMode="External"/><Relationship Id="rId2252" Type="http://schemas.openxmlformats.org/officeDocument/2006/relationships/hyperlink" Target="https://maps.google.com/?q=17.5047964037545,-96.551282635581899" TargetMode="External"/><Relationship Id="rId3303" Type="http://schemas.openxmlformats.org/officeDocument/2006/relationships/hyperlink" Target="https://maps.google.com/?q=17.0633145222403,-96.810524380685806" TargetMode="External"/><Relationship Id="rId6459" Type="http://schemas.openxmlformats.org/officeDocument/2006/relationships/hyperlink" Target="https://maps.google.com/?q=16.377883,-97.278841999999997" TargetMode="External"/><Relationship Id="rId6873" Type="http://schemas.openxmlformats.org/officeDocument/2006/relationships/hyperlink" Target="https://maps.google.com/?q=16.9702895003867,-97.082618253390294" TargetMode="External"/><Relationship Id="rId7924" Type="http://schemas.openxmlformats.org/officeDocument/2006/relationships/hyperlink" Target="https://maps.google.com/?q=16.3207961837428,-96.402725989881105" TargetMode="External"/><Relationship Id="rId12260" Type="http://schemas.openxmlformats.org/officeDocument/2006/relationships/hyperlink" Target="https://maps.google.com/?q=16.4265599206804,-97.231338984270295" TargetMode="External"/><Relationship Id="rId13311" Type="http://schemas.openxmlformats.org/officeDocument/2006/relationships/hyperlink" Target="https://maps.google.com/?q=16.1355569790731,-96.329836281164305" TargetMode="External"/><Relationship Id="rId224" Type="http://schemas.openxmlformats.org/officeDocument/2006/relationships/hyperlink" Target="https://maps.google.com/?q=17.097922,-97.492137999999997" TargetMode="External"/><Relationship Id="rId5475" Type="http://schemas.openxmlformats.org/officeDocument/2006/relationships/hyperlink" Target="https://maps.google.com/?q=16.0153708392502,-97.438557265582006" TargetMode="External"/><Relationship Id="rId6526" Type="http://schemas.openxmlformats.org/officeDocument/2006/relationships/hyperlink" Target="https://maps.google.com/?q=17.2567527714577,-97.570600376226196" TargetMode="External"/><Relationship Id="rId6940" Type="http://schemas.openxmlformats.org/officeDocument/2006/relationships/hyperlink" Target="https://maps.google.com/?q=16.3188566,-95.249973999999995" TargetMode="External"/><Relationship Id="rId10905" Type="http://schemas.openxmlformats.org/officeDocument/2006/relationships/hyperlink" Target="https://maps.google.com/?q=16.1885241325334,-95.188205849999903" TargetMode="External"/><Relationship Id="rId4077" Type="http://schemas.openxmlformats.org/officeDocument/2006/relationships/hyperlink" Target="https://maps.google.com/?q=17.055754,-96.745626290000004" TargetMode="External"/><Relationship Id="rId4491" Type="http://schemas.openxmlformats.org/officeDocument/2006/relationships/hyperlink" Target="https://maps.google.com/?q=17.1774745641837,-97.305013484044096" TargetMode="External"/><Relationship Id="rId5128" Type="http://schemas.openxmlformats.org/officeDocument/2006/relationships/hyperlink" Target="https://maps.google.com/?q=17.25406448912066,-96.15630920122338" TargetMode="External"/><Relationship Id="rId5542" Type="http://schemas.openxmlformats.org/officeDocument/2006/relationships/hyperlink" Target="https://maps.google.com/?q=17.2897308442327,-97.377280038028701" TargetMode="External"/><Relationship Id="rId8698" Type="http://schemas.openxmlformats.org/officeDocument/2006/relationships/hyperlink" Target="https://maps.google.com/?q=16.148795,-96.607552999999996" TargetMode="External"/><Relationship Id="rId9749" Type="http://schemas.openxmlformats.org/officeDocument/2006/relationships/hyperlink" Target="https://maps.google.com/?q=17.2760346706117,-96.805044540551805" TargetMode="External"/><Relationship Id="rId14085" Type="http://schemas.openxmlformats.org/officeDocument/2006/relationships/hyperlink" Target="https://maps.google.com/?q=16.874289755618506,-97.50263139632989" TargetMode="External"/><Relationship Id="rId1738" Type="http://schemas.openxmlformats.org/officeDocument/2006/relationships/hyperlink" Target="https://maps.google.com/?q=18.0638951824129,-96.833453896496195" TargetMode="External"/><Relationship Id="rId3093" Type="http://schemas.openxmlformats.org/officeDocument/2006/relationships/hyperlink" Target="https://maps.google.com/?q=16.5722881419522,-97.011758148479402" TargetMode="External"/><Relationship Id="rId4144" Type="http://schemas.openxmlformats.org/officeDocument/2006/relationships/hyperlink" Target="https://maps.google.com/?q=16.4280299956963,-98.189409993123803" TargetMode="External"/><Relationship Id="rId8765" Type="http://schemas.openxmlformats.org/officeDocument/2006/relationships/hyperlink" Target="https://maps.google.com/?q=17.204544,-96.253214999999997" TargetMode="External"/><Relationship Id="rId11679" Type="http://schemas.openxmlformats.org/officeDocument/2006/relationships/hyperlink" Target="https://maps.google.com/?q=17.17766834,-97.709970589999998" TargetMode="External"/><Relationship Id="rId14152" Type="http://schemas.openxmlformats.org/officeDocument/2006/relationships/hyperlink" Target="https://maps.google.com/?q=17.01908519,-96.41941894" TargetMode="External"/><Relationship Id="rId3160" Type="http://schemas.openxmlformats.org/officeDocument/2006/relationships/hyperlink" Target="https://maps.google.com/?q=16.544496,-97.496988000000002" TargetMode="External"/><Relationship Id="rId4211" Type="http://schemas.openxmlformats.org/officeDocument/2006/relationships/hyperlink" Target="https://maps.google.com/?q=17.027131,-96.077044000000001" TargetMode="External"/><Relationship Id="rId7367" Type="http://schemas.openxmlformats.org/officeDocument/2006/relationships/hyperlink" Target="https://maps.google.com/?q=16.568208,-97.655573000000004" TargetMode="External"/><Relationship Id="rId8418" Type="http://schemas.openxmlformats.org/officeDocument/2006/relationships/hyperlink" Target="https://maps.google.com/?q=16.090785330994,-96.243489446015403" TargetMode="External"/><Relationship Id="rId9816" Type="http://schemas.openxmlformats.org/officeDocument/2006/relationships/hyperlink" Target="https://maps.google.com/?q=16.6312733624975,-96.849918309242199" TargetMode="External"/><Relationship Id="rId10695" Type="http://schemas.openxmlformats.org/officeDocument/2006/relationships/hyperlink" Target="https://maps.google.com/?q=16.910737434236452,-96.7237615054633" TargetMode="External"/><Relationship Id="rId11746" Type="http://schemas.openxmlformats.org/officeDocument/2006/relationships/hyperlink" Target="https://maps.google.com/?q=17.19013434,-97.712294619999994" TargetMode="External"/><Relationship Id="rId1805" Type="http://schemas.openxmlformats.org/officeDocument/2006/relationships/hyperlink" Target="https://maps.google.com/?q=18.0681584891047,-96.899617854532195" TargetMode="External"/><Relationship Id="rId7781" Type="http://schemas.openxmlformats.org/officeDocument/2006/relationships/hyperlink" Target="https://maps.google.com/?q=16.183292,-96.383819000000003" TargetMode="External"/><Relationship Id="rId8832" Type="http://schemas.openxmlformats.org/officeDocument/2006/relationships/hyperlink" Target="https://maps.google.com/?q=17.216451,-96.249381999999997" TargetMode="External"/><Relationship Id="rId10348" Type="http://schemas.openxmlformats.org/officeDocument/2006/relationships/hyperlink" Target="https://maps.google.com/?q=17.4334697486211,-96.655882074730101" TargetMode="External"/><Relationship Id="rId10762" Type="http://schemas.openxmlformats.org/officeDocument/2006/relationships/hyperlink" Target="https://maps.google.com/?q=17.456064,-97.225825999999998" TargetMode="External"/><Relationship Id="rId11813" Type="http://schemas.openxmlformats.org/officeDocument/2006/relationships/hyperlink" Target="https://maps.google.com/?q=17.524916386612226,-97.28379741352654" TargetMode="External"/><Relationship Id="rId3977" Type="http://schemas.openxmlformats.org/officeDocument/2006/relationships/hyperlink" Target="https://maps.google.com/?q=17.062102,-96.753140999999999" TargetMode="External"/><Relationship Id="rId6036" Type="http://schemas.openxmlformats.org/officeDocument/2006/relationships/hyperlink" Target="https://maps.google.com/?q=18.156592392265527,-96.57667864019524" TargetMode="External"/><Relationship Id="rId6383" Type="http://schemas.openxmlformats.org/officeDocument/2006/relationships/hyperlink" Target="https://maps.google.com/?q=16.57973,-96.874906999999993" TargetMode="External"/><Relationship Id="rId7434" Type="http://schemas.openxmlformats.org/officeDocument/2006/relationships/hyperlink" Target="https://maps.google.com/?q=17.2115993635079,-97.582163718022" TargetMode="External"/><Relationship Id="rId10415" Type="http://schemas.openxmlformats.org/officeDocument/2006/relationships/hyperlink" Target="https://maps.google.com/?q=17.0434751,-96.781585300000003" TargetMode="External"/><Relationship Id="rId13985" Type="http://schemas.openxmlformats.org/officeDocument/2006/relationships/hyperlink" Target="https://maps.google.com/?q=16.93217795,-96.60842657" TargetMode="External"/><Relationship Id="rId898" Type="http://schemas.openxmlformats.org/officeDocument/2006/relationships/hyperlink" Target="https://maps.google.com/?q=17.094176,-97.499948000000003" TargetMode="External"/><Relationship Id="rId2579" Type="http://schemas.openxmlformats.org/officeDocument/2006/relationships/hyperlink" Target="https://maps.google.com/?q=18.217548,-96.337947" TargetMode="External"/><Relationship Id="rId2993" Type="http://schemas.openxmlformats.org/officeDocument/2006/relationships/hyperlink" Target="https://maps.google.com/?q=17.952414,-96.742385999999996" TargetMode="External"/><Relationship Id="rId6450" Type="http://schemas.openxmlformats.org/officeDocument/2006/relationships/hyperlink" Target="https://maps.google.com/?q=16.143301,-97.359842" TargetMode="External"/><Relationship Id="rId7501" Type="http://schemas.openxmlformats.org/officeDocument/2006/relationships/hyperlink" Target="https://maps.google.com/?q=17.3436991,-97.375658950000002" TargetMode="External"/><Relationship Id="rId12587" Type="http://schemas.openxmlformats.org/officeDocument/2006/relationships/hyperlink" Target="https://maps.google.com/?q=16.5203275023183,-96.982123575282799" TargetMode="External"/><Relationship Id="rId13638" Type="http://schemas.openxmlformats.org/officeDocument/2006/relationships/hyperlink" Target="https://maps.google.com/?q=17.26753,-97.680530" TargetMode="External"/><Relationship Id="rId965" Type="http://schemas.openxmlformats.org/officeDocument/2006/relationships/hyperlink" Target="https://maps.google.com/?q=15.687516011082389,-96.512445633808142" TargetMode="External"/><Relationship Id="rId1595" Type="http://schemas.openxmlformats.org/officeDocument/2006/relationships/hyperlink" Target="https://maps.google.com/?q=17.673991,-96.129248000000004" TargetMode="External"/><Relationship Id="rId2646" Type="http://schemas.openxmlformats.org/officeDocument/2006/relationships/hyperlink" Target="https://maps.google.com/?q=18.087974,-96.161788999999999" TargetMode="External"/><Relationship Id="rId5052" Type="http://schemas.openxmlformats.org/officeDocument/2006/relationships/hyperlink" Target="https://maps.google.com/?q=17.251865,-96.152968000000001" TargetMode="External"/><Relationship Id="rId6103" Type="http://schemas.openxmlformats.org/officeDocument/2006/relationships/hyperlink" Target="https://maps.google.com/?q=17.971437503082747,-96.70854791286278" TargetMode="External"/><Relationship Id="rId9259" Type="http://schemas.openxmlformats.org/officeDocument/2006/relationships/hyperlink" Target="https://maps.google.com/?q=17.3776399573411,-96.300274467115401" TargetMode="External"/><Relationship Id="rId9673" Type="http://schemas.openxmlformats.org/officeDocument/2006/relationships/hyperlink" Target="https://maps.google.com/?q=16.4658543074541,-96.6475263914907" TargetMode="External"/><Relationship Id="rId11189" Type="http://schemas.openxmlformats.org/officeDocument/2006/relationships/hyperlink" Target="https://maps.google.com/?q=16.845447,-96.010469999999998" TargetMode="External"/><Relationship Id="rId618" Type="http://schemas.openxmlformats.org/officeDocument/2006/relationships/hyperlink" Target="https://maps.google.com/?q=16.05464,-97.396859000000006" TargetMode="External"/><Relationship Id="rId1248" Type="http://schemas.openxmlformats.org/officeDocument/2006/relationships/hyperlink" Target="https://maps.google.com/?q=17.056291,-96.746252999999996" TargetMode="External"/><Relationship Id="rId1662" Type="http://schemas.openxmlformats.org/officeDocument/2006/relationships/hyperlink" Target="https://maps.google.com/?q=16.644173,-96.772869999999998" TargetMode="External"/><Relationship Id="rId5869" Type="http://schemas.openxmlformats.org/officeDocument/2006/relationships/hyperlink" Target="https://maps.google.com/?q=17.5044111686215,-96.551261046627005" TargetMode="External"/><Relationship Id="rId8275" Type="http://schemas.openxmlformats.org/officeDocument/2006/relationships/hyperlink" Target="https://maps.google.com/?q=17.027565,-96.759486999999993" TargetMode="External"/><Relationship Id="rId9326" Type="http://schemas.openxmlformats.org/officeDocument/2006/relationships/hyperlink" Target="https://maps.google.com/?q=16.8164358770665,-95.140195948703493" TargetMode="External"/><Relationship Id="rId11256" Type="http://schemas.openxmlformats.org/officeDocument/2006/relationships/hyperlink" Target="https://maps.google.com/?q=17.8650739014443,-96.308887143313896" TargetMode="External"/><Relationship Id="rId12654" Type="http://schemas.openxmlformats.org/officeDocument/2006/relationships/hyperlink" Target="https://maps.google.com/?q=16.9998215613208,-97.900886722915004" TargetMode="External"/><Relationship Id="rId13705" Type="http://schemas.openxmlformats.org/officeDocument/2006/relationships/hyperlink" Target="https://maps.google.com/?q=17.860099,-96.211252" TargetMode="External"/><Relationship Id="rId1315" Type="http://schemas.openxmlformats.org/officeDocument/2006/relationships/hyperlink" Target="https://maps.google.com/?q=17.082948,-96.727685" TargetMode="External"/><Relationship Id="rId2713" Type="http://schemas.openxmlformats.org/officeDocument/2006/relationships/hyperlink" Target="https://maps.google.com/?q=15.9354526859478,-96.412653379133303" TargetMode="External"/><Relationship Id="rId7291" Type="http://schemas.openxmlformats.org/officeDocument/2006/relationships/hyperlink" Target="https://maps.google.com/?q=16.3060291553932,-97.910086404477894" TargetMode="External"/><Relationship Id="rId8342" Type="http://schemas.openxmlformats.org/officeDocument/2006/relationships/hyperlink" Target="https://maps.google.com/?q=16.8430260326419,-97.197651724417995" TargetMode="External"/><Relationship Id="rId9740" Type="http://schemas.openxmlformats.org/officeDocument/2006/relationships/hyperlink" Target="https://maps.google.com/?q=17.2726817802482,-96.806188918816005" TargetMode="External"/><Relationship Id="rId11670" Type="http://schemas.openxmlformats.org/officeDocument/2006/relationships/hyperlink" Target="https://maps.google.com/?q=17.17461761,-97.706135509999996" TargetMode="External"/><Relationship Id="rId12307" Type="http://schemas.openxmlformats.org/officeDocument/2006/relationships/hyperlink" Target="https://maps.google.com/?q=17.143944,-96.434536" TargetMode="External"/><Relationship Id="rId12721" Type="http://schemas.openxmlformats.org/officeDocument/2006/relationships/hyperlink" Target="https://maps.google.com/?q=16.2861311877254,-96.504391316636898" TargetMode="External"/><Relationship Id="rId4885" Type="http://schemas.openxmlformats.org/officeDocument/2006/relationships/hyperlink" Target="https://maps.google.com/?q=16.796344500389,-96.393208151743906" TargetMode="External"/><Relationship Id="rId5936" Type="http://schemas.openxmlformats.org/officeDocument/2006/relationships/hyperlink" Target="https://maps.google.com/?q=18.153533624891807,-96.573434122336749" TargetMode="External"/><Relationship Id="rId10272" Type="http://schemas.openxmlformats.org/officeDocument/2006/relationships/hyperlink" Target="https://maps.google.com/?q=16.245167,-95.150210000000001" TargetMode="External"/><Relationship Id="rId11323" Type="http://schemas.openxmlformats.org/officeDocument/2006/relationships/hyperlink" Target="https://maps.google.com/?q=16.999213,-96.762269000000003" TargetMode="External"/><Relationship Id="rId21" Type="http://schemas.openxmlformats.org/officeDocument/2006/relationships/hyperlink" Target="https://maps.google.com/?q=17.222826,-97.118205000000003" TargetMode="External"/><Relationship Id="rId2089" Type="http://schemas.openxmlformats.org/officeDocument/2006/relationships/hyperlink" Target="https://maps.google.com/?q=15.774179077956218,-96.235684081083136" TargetMode="External"/><Relationship Id="rId3487" Type="http://schemas.openxmlformats.org/officeDocument/2006/relationships/hyperlink" Target="https://maps.google.com/?q=16.492791,-96.552263999999994" TargetMode="External"/><Relationship Id="rId4538" Type="http://schemas.openxmlformats.org/officeDocument/2006/relationships/hyperlink" Target="https://maps.google.com/?q=17.1837574951438,-97.302548198528896" TargetMode="External"/><Relationship Id="rId4952" Type="http://schemas.openxmlformats.org/officeDocument/2006/relationships/hyperlink" Target="https://maps.google.com/?q=17.26441718,-97.592572619999999" TargetMode="External"/><Relationship Id="rId13495" Type="http://schemas.openxmlformats.org/officeDocument/2006/relationships/hyperlink" Target="https://maps.google.com/?q=17.6907186722483,-97.038532626983695" TargetMode="External"/><Relationship Id="rId3554" Type="http://schemas.openxmlformats.org/officeDocument/2006/relationships/hyperlink" Target="https://maps.google.com/?q=15.760368703406533,-96.145345104396114" TargetMode="External"/><Relationship Id="rId4605" Type="http://schemas.openxmlformats.org/officeDocument/2006/relationships/hyperlink" Target="https://maps.google.com/?q=16.557884,-96.820132999999998" TargetMode="External"/><Relationship Id="rId7011" Type="http://schemas.openxmlformats.org/officeDocument/2006/relationships/hyperlink" Target="https://maps.google.com/?q=17.0399171569986,-97.304017267512293" TargetMode="External"/><Relationship Id="rId12097" Type="http://schemas.openxmlformats.org/officeDocument/2006/relationships/hyperlink" Target="https://maps.google.com/?q=16.24752575,-95.328096599999995" TargetMode="External"/><Relationship Id="rId13148" Type="http://schemas.openxmlformats.org/officeDocument/2006/relationships/hyperlink" Target="https://maps.google.com/?q=0,-97.018309148711495" TargetMode="External"/><Relationship Id="rId13562" Type="http://schemas.openxmlformats.org/officeDocument/2006/relationships/hyperlink" Target="https://maps.google.com/?q=17.726745402804372,-97.36769635962868" TargetMode="External"/><Relationship Id="rId475" Type="http://schemas.openxmlformats.org/officeDocument/2006/relationships/hyperlink" Target="https://maps.google.com/?q=16.053678,-97.409670000000006" TargetMode="External"/><Relationship Id="rId2156" Type="http://schemas.openxmlformats.org/officeDocument/2006/relationships/hyperlink" Target="https://maps.google.com/?q=15.757868736304358,-96.148224324534851" TargetMode="External"/><Relationship Id="rId2570" Type="http://schemas.openxmlformats.org/officeDocument/2006/relationships/hyperlink" Target="https://maps.google.com/?q=17.051972,-96.703533" TargetMode="External"/><Relationship Id="rId3207" Type="http://schemas.openxmlformats.org/officeDocument/2006/relationships/hyperlink" Target="https://maps.google.com/?q=17.233025,-96.205429" TargetMode="External"/><Relationship Id="rId3621" Type="http://schemas.openxmlformats.org/officeDocument/2006/relationships/hyperlink" Target="https://maps.google.com/?q=15.777030469591661,-96.137072683462648" TargetMode="External"/><Relationship Id="rId6777" Type="http://schemas.openxmlformats.org/officeDocument/2006/relationships/hyperlink" Target="https://maps.google.com/?q=16.6327119172604,-97.039830328814602" TargetMode="External"/><Relationship Id="rId7828" Type="http://schemas.openxmlformats.org/officeDocument/2006/relationships/hyperlink" Target="https://maps.google.com/?q=17.012002,-96.889251999999999" TargetMode="External"/><Relationship Id="rId9183" Type="http://schemas.openxmlformats.org/officeDocument/2006/relationships/hyperlink" Target="https://maps.google.com/?q=17.3739810496921,-96.302786517641906" TargetMode="External"/><Relationship Id="rId12164" Type="http://schemas.openxmlformats.org/officeDocument/2006/relationships/hyperlink" Target="https://maps.google.com/?q=17.4156063172789,-95.945536415889407" TargetMode="External"/><Relationship Id="rId13215" Type="http://schemas.openxmlformats.org/officeDocument/2006/relationships/hyperlink" Target="https://maps.google.com/?q=17.3431799437455,-97.381239171619299" TargetMode="External"/><Relationship Id="rId128" Type="http://schemas.openxmlformats.org/officeDocument/2006/relationships/hyperlink" Target="https://maps.google.com/?q=17.095695,-97.495779999999996" TargetMode="External"/><Relationship Id="rId542" Type="http://schemas.openxmlformats.org/officeDocument/2006/relationships/hyperlink" Target="https://maps.google.com/?q=16.052602,-97.403557000000006" TargetMode="External"/><Relationship Id="rId1172" Type="http://schemas.openxmlformats.org/officeDocument/2006/relationships/hyperlink" Target="https://maps.google.com/?q=16.480022,-95.036816" TargetMode="External"/><Relationship Id="rId2223" Type="http://schemas.openxmlformats.org/officeDocument/2006/relationships/hyperlink" Target="https://maps.google.com/?q=16.9989294722496,-97.2473789759174" TargetMode="External"/><Relationship Id="rId5379" Type="http://schemas.openxmlformats.org/officeDocument/2006/relationships/hyperlink" Target="https://maps.google.com/?q=15.9758538358375,-97.243582623925107" TargetMode="External"/><Relationship Id="rId5793" Type="http://schemas.openxmlformats.org/officeDocument/2006/relationships/hyperlink" Target="https://maps.google.com/?q=17.3063508667894,-97.489966047490398" TargetMode="External"/><Relationship Id="rId6844" Type="http://schemas.openxmlformats.org/officeDocument/2006/relationships/hyperlink" Target="https://maps.google.com/?q=17.007768,-96.978424000000004" TargetMode="External"/><Relationship Id="rId9250" Type="http://schemas.openxmlformats.org/officeDocument/2006/relationships/hyperlink" Target="https://maps.google.com/?q=17.3772337645245,-96.301451206057706" TargetMode="External"/><Relationship Id="rId10809" Type="http://schemas.openxmlformats.org/officeDocument/2006/relationships/hyperlink" Target="https://maps.google.com/?q=16.390577124108,-94.456001974204995" TargetMode="External"/><Relationship Id="rId11180" Type="http://schemas.openxmlformats.org/officeDocument/2006/relationships/hyperlink" Target="https://maps.google.com/?q=16.844532,-96.008375000000001" TargetMode="External"/><Relationship Id="rId12231" Type="http://schemas.openxmlformats.org/officeDocument/2006/relationships/hyperlink" Target="https://maps.google.com/?q=16.41699986,-97.217331150000007" TargetMode="External"/><Relationship Id="rId4395" Type="http://schemas.openxmlformats.org/officeDocument/2006/relationships/hyperlink" Target="https://maps.google.com/?q=16.00015009,-96.688534779999998" TargetMode="External"/><Relationship Id="rId5446" Type="http://schemas.openxmlformats.org/officeDocument/2006/relationships/hyperlink" Target="https://maps.google.com/?q=16.0073458226229,-97.447335904180306" TargetMode="External"/><Relationship Id="rId1989" Type="http://schemas.openxmlformats.org/officeDocument/2006/relationships/hyperlink" Target="https://maps.google.com/?q=15.775762,-96.147107" TargetMode="External"/><Relationship Id="rId4048" Type="http://schemas.openxmlformats.org/officeDocument/2006/relationships/hyperlink" Target="https://maps.google.com/?q=17.080154,-96.726937000000007" TargetMode="External"/><Relationship Id="rId5860" Type="http://schemas.openxmlformats.org/officeDocument/2006/relationships/hyperlink" Target="https://maps.google.com/?q=15.9735313391657,-97.241539789024202" TargetMode="External"/><Relationship Id="rId6911" Type="http://schemas.openxmlformats.org/officeDocument/2006/relationships/hyperlink" Target="https://maps.google.com/?q=17.1658040777703,-94.789818811356895" TargetMode="External"/><Relationship Id="rId11997" Type="http://schemas.openxmlformats.org/officeDocument/2006/relationships/hyperlink" Target="https://maps.google.com/?q=16.8016314349261,-96.717991953372703" TargetMode="External"/><Relationship Id="rId3064" Type="http://schemas.openxmlformats.org/officeDocument/2006/relationships/hyperlink" Target="https://maps.google.com/?q=16.9637811322373,-96.940973220441094" TargetMode="External"/><Relationship Id="rId4462" Type="http://schemas.openxmlformats.org/officeDocument/2006/relationships/hyperlink" Target="https://maps.google.com/?q=17.615592,-98.014685999999998" TargetMode="External"/><Relationship Id="rId5513" Type="http://schemas.openxmlformats.org/officeDocument/2006/relationships/hyperlink" Target="https://maps.google.com/?q=17.276397,-97.365403000000001" TargetMode="External"/><Relationship Id="rId8669" Type="http://schemas.openxmlformats.org/officeDocument/2006/relationships/hyperlink" Target="https://maps.google.com/?q=16.2775125352013,-96.306569596686401" TargetMode="External"/><Relationship Id="rId10599" Type="http://schemas.openxmlformats.org/officeDocument/2006/relationships/hyperlink" Target="https://maps.google.com/?q=17.084197537606,-97.771731027526101" TargetMode="External"/><Relationship Id="rId14056" Type="http://schemas.openxmlformats.org/officeDocument/2006/relationships/hyperlink" Target="https://maps.google.com/?q=16.9063018068578,-96.55882920075472" TargetMode="External"/><Relationship Id="rId1709" Type="http://schemas.openxmlformats.org/officeDocument/2006/relationships/hyperlink" Target="https://maps.google.com/?q=18.0746859491321,-96.897202132695497" TargetMode="External"/><Relationship Id="rId4115" Type="http://schemas.openxmlformats.org/officeDocument/2006/relationships/hyperlink" Target="https://maps.google.com/?q=17.0585929,-96.743078990000001" TargetMode="External"/><Relationship Id="rId7685" Type="http://schemas.openxmlformats.org/officeDocument/2006/relationships/hyperlink" Target="https://maps.google.com/?q=17.2037683627019,-97.520447662209605" TargetMode="External"/><Relationship Id="rId8736" Type="http://schemas.openxmlformats.org/officeDocument/2006/relationships/hyperlink" Target="https://maps.google.com/?q=17.2699422579785,-97.726142394625697" TargetMode="External"/><Relationship Id="rId10666" Type="http://schemas.openxmlformats.org/officeDocument/2006/relationships/hyperlink" Target="https://maps.google.com/?q=16.124825858703,-95.420524015107503" TargetMode="External"/><Relationship Id="rId11717" Type="http://schemas.openxmlformats.org/officeDocument/2006/relationships/hyperlink" Target="https://maps.google.com/?q=17.18369323,-97.708894020000002" TargetMode="External"/><Relationship Id="rId13072" Type="http://schemas.openxmlformats.org/officeDocument/2006/relationships/hyperlink" Target="https://maps.google.com/?q=16.5637406,-97.536322900000002" TargetMode="External"/><Relationship Id="rId14123" Type="http://schemas.openxmlformats.org/officeDocument/2006/relationships/hyperlink" Target="https://maps.google.com/?q=16.0784056,-96.85088611" TargetMode="External"/><Relationship Id="rId2080" Type="http://schemas.openxmlformats.org/officeDocument/2006/relationships/hyperlink" Target="https://maps.google.com/?q=15.773399403983168,-96.241141488492843" TargetMode="External"/><Relationship Id="rId3131" Type="http://schemas.openxmlformats.org/officeDocument/2006/relationships/hyperlink" Target="https://maps.google.com/?q=16.584599,-97.444126999999995" TargetMode="External"/><Relationship Id="rId6287" Type="http://schemas.openxmlformats.org/officeDocument/2006/relationships/hyperlink" Target="https://maps.google.com/?q=18.0548410910858,-96.388967840295507" TargetMode="External"/><Relationship Id="rId7338" Type="http://schemas.openxmlformats.org/officeDocument/2006/relationships/hyperlink" Target="https://maps.google.com/?q=16.5857944319878,-97.651401635582204" TargetMode="External"/><Relationship Id="rId7752" Type="http://schemas.openxmlformats.org/officeDocument/2006/relationships/hyperlink" Target="https://maps.google.com/?q=16.06908,-96.299942999999999" TargetMode="External"/><Relationship Id="rId8803" Type="http://schemas.openxmlformats.org/officeDocument/2006/relationships/hyperlink" Target="https://maps.google.com/?q=17.214572,-96.249185999999995" TargetMode="External"/><Relationship Id="rId10319" Type="http://schemas.openxmlformats.org/officeDocument/2006/relationships/hyperlink" Target="https://maps.google.com/?q=16.22758632,-97.269711430000001" TargetMode="External"/><Relationship Id="rId2897" Type="http://schemas.openxmlformats.org/officeDocument/2006/relationships/hyperlink" Target="https://maps.google.com/?q=17.536102,-95.946815000000001" TargetMode="External"/><Relationship Id="rId3948" Type="http://schemas.openxmlformats.org/officeDocument/2006/relationships/hyperlink" Target="https://maps.google.com/?q=17.061036,-96.755902000000006" TargetMode="External"/><Relationship Id="rId6354" Type="http://schemas.openxmlformats.org/officeDocument/2006/relationships/hyperlink" Target="https://maps.google.com/?q=18.064463,-96.403015999999994" TargetMode="External"/><Relationship Id="rId7405" Type="http://schemas.openxmlformats.org/officeDocument/2006/relationships/hyperlink" Target="https://maps.google.com/?q=17.079114,-96.997596000000001" TargetMode="External"/><Relationship Id="rId10733" Type="http://schemas.openxmlformats.org/officeDocument/2006/relationships/hyperlink" Target="https://maps.google.com/?q=17.066749,-96.7286210" TargetMode="External"/><Relationship Id="rId13889" Type="http://schemas.openxmlformats.org/officeDocument/2006/relationships/hyperlink" Target="https://maps.google.com/?q=16.2773154681614,-96.567561311678901" TargetMode="External"/><Relationship Id="rId869" Type="http://schemas.openxmlformats.org/officeDocument/2006/relationships/hyperlink" Target="https://maps.google.com/?q=17.097353,-97.496498000000003" TargetMode="External"/><Relationship Id="rId1499" Type="http://schemas.openxmlformats.org/officeDocument/2006/relationships/hyperlink" Target="https://maps.google.com/?q=17.059207,-96.749972" TargetMode="External"/><Relationship Id="rId5370" Type="http://schemas.openxmlformats.org/officeDocument/2006/relationships/hyperlink" Target="https://maps.google.com/?q=15.9729086471241,-97.242713151656403" TargetMode="External"/><Relationship Id="rId6007" Type="http://schemas.openxmlformats.org/officeDocument/2006/relationships/hyperlink" Target="https://maps.google.com/?q=18.15529015674514,-96.574221602977616" TargetMode="External"/><Relationship Id="rId6421" Type="http://schemas.openxmlformats.org/officeDocument/2006/relationships/hyperlink" Target="https://maps.google.com/?q=17.2495855842199,-97.584970584136002" TargetMode="External"/><Relationship Id="rId9577" Type="http://schemas.openxmlformats.org/officeDocument/2006/relationships/hyperlink" Target="https://maps.google.com/?q=15.897743,-96.687396" TargetMode="External"/><Relationship Id="rId10800" Type="http://schemas.openxmlformats.org/officeDocument/2006/relationships/hyperlink" Target="https://maps.google.com/?q=16.3522309865838,-96.377763364418001" TargetMode="External"/><Relationship Id="rId13956" Type="http://schemas.openxmlformats.org/officeDocument/2006/relationships/hyperlink" Target="https://maps.google.com/?q=16.276769,-97.978467" TargetMode="External"/><Relationship Id="rId2964" Type="http://schemas.openxmlformats.org/officeDocument/2006/relationships/hyperlink" Target="https://maps.google.com/?q=16.5113931451818,-96.981215728836105" TargetMode="External"/><Relationship Id="rId5023" Type="http://schemas.openxmlformats.org/officeDocument/2006/relationships/hyperlink" Target="https://maps.google.com/?q=17.250632,-96.151332999999994" TargetMode="External"/><Relationship Id="rId8179" Type="http://schemas.openxmlformats.org/officeDocument/2006/relationships/hyperlink" Target="https://maps.google.com/?q=16.664922,-96.306403000000003" TargetMode="External"/><Relationship Id="rId9991" Type="http://schemas.openxmlformats.org/officeDocument/2006/relationships/hyperlink" Target="https://maps.google.com/?q=16.0299544872008,-95.423138124834097" TargetMode="External"/><Relationship Id="rId12558" Type="http://schemas.openxmlformats.org/officeDocument/2006/relationships/hyperlink" Target="https://maps.google.com/?q=18.10046518526516,-95.89689359213328" TargetMode="External"/><Relationship Id="rId12972" Type="http://schemas.openxmlformats.org/officeDocument/2006/relationships/hyperlink" Target="https://maps.google.com/?q=16.509655,-97.457436000000001" TargetMode="External"/><Relationship Id="rId13609" Type="http://schemas.openxmlformats.org/officeDocument/2006/relationships/hyperlink" Target="https://maps.google.com/?q=16.50381,-95.203012" TargetMode="External"/><Relationship Id="rId936" Type="http://schemas.openxmlformats.org/officeDocument/2006/relationships/hyperlink" Target="https://maps.google.com/?q=15.682320729633028,-96.508912902335666" TargetMode="External"/><Relationship Id="rId1219" Type="http://schemas.openxmlformats.org/officeDocument/2006/relationships/hyperlink" Target="https://maps.google.com/?q=18.15988,-96.71680600" TargetMode="External"/><Relationship Id="rId1566" Type="http://schemas.openxmlformats.org/officeDocument/2006/relationships/hyperlink" Target="https://maps.google.com/?q=16.9610295063971,-97.450697404928107" TargetMode="External"/><Relationship Id="rId1980" Type="http://schemas.openxmlformats.org/officeDocument/2006/relationships/hyperlink" Target="https://maps.google.com/?q=15.774842,-96.146448" TargetMode="External"/><Relationship Id="rId2617" Type="http://schemas.openxmlformats.org/officeDocument/2006/relationships/hyperlink" Target="https://maps.google.com/?q=18.077767,-96.169179" TargetMode="External"/><Relationship Id="rId7195" Type="http://schemas.openxmlformats.org/officeDocument/2006/relationships/hyperlink" Target="https://maps.google.com/?q=16.1730638674054,-97.965225440336496" TargetMode="External"/><Relationship Id="rId8246" Type="http://schemas.openxmlformats.org/officeDocument/2006/relationships/hyperlink" Target="https://maps.google.com/?q=16.425701,-97.642833999999993" TargetMode="External"/><Relationship Id="rId8593" Type="http://schemas.openxmlformats.org/officeDocument/2006/relationships/hyperlink" Target="https://maps.google.com/?q=17.8818060275421,-96.724266532268501" TargetMode="External"/><Relationship Id="rId9644" Type="http://schemas.openxmlformats.org/officeDocument/2006/relationships/hyperlink" Target="https://maps.google.com/?q=16.4748539709372,-96.678385132269" TargetMode="External"/><Relationship Id="rId11574" Type="http://schemas.openxmlformats.org/officeDocument/2006/relationships/hyperlink" Target="https://maps.google.com/?q=16.8494434176747,-96.747575091555305" TargetMode="External"/><Relationship Id="rId12625" Type="http://schemas.openxmlformats.org/officeDocument/2006/relationships/hyperlink" Target="https://maps.google.com/?q=17.113336,-96.854436000000007" TargetMode="External"/><Relationship Id="rId1633" Type="http://schemas.openxmlformats.org/officeDocument/2006/relationships/hyperlink" Target="https://maps.google.com/?q=16.8907608728069,-96.934079533383098" TargetMode="External"/><Relationship Id="rId4789" Type="http://schemas.openxmlformats.org/officeDocument/2006/relationships/hyperlink" Target="https://maps.google.com/?q=17.9581894407107,-96.659689274635397" TargetMode="External"/><Relationship Id="rId8660" Type="http://schemas.openxmlformats.org/officeDocument/2006/relationships/hyperlink" Target="https://maps.google.com/?q=16.2752576918606,-96.300459615470103" TargetMode="External"/><Relationship Id="rId9711" Type="http://schemas.openxmlformats.org/officeDocument/2006/relationships/hyperlink" Target="https://maps.google.com/?q=16.4373842629087,-95.033501850366605" TargetMode="External"/><Relationship Id="rId10176" Type="http://schemas.openxmlformats.org/officeDocument/2006/relationships/hyperlink" Target="https://maps.google.com/?q=17.2716121490679,-97.7199357616242" TargetMode="External"/><Relationship Id="rId10590" Type="http://schemas.openxmlformats.org/officeDocument/2006/relationships/hyperlink" Target="https://maps.google.com/?q=17.1453641341254,-97.770738342837902" TargetMode="External"/><Relationship Id="rId11227" Type="http://schemas.openxmlformats.org/officeDocument/2006/relationships/hyperlink" Target="https://maps.google.com/?q=17.512704,-97.641860" TargetMode="External"/><Relationship Id="rId11641" Type="http://schemas.openxmlformats.org/officeDocument/2006/relationships/hyperlink" Target="https://maps.google.com/?q=16.218140597851,-95.129361297036198" TargetMode="External"/><Relationship Id="rId1700" Type="http://schemas.openxmlformats.org/officeDocument/2006/relationships/hyperlink" Target="https://maps.google.com/?q=18.0727308268604,-96.898623987320804" TargetMode="External"/><Relationship Id="rId4856" Type="http://schemas.openxmlformats.org/officeDocument/2006/relationships/hyperlink" Target="https://maps.google.com/?q=16.7893137826329,-96.387768235582897" TargetMode="External"/><Relationship Id="rId5907" Type="http://schemas.openxmlformats.org/officeDocument/2006/relationships/hyperlink" Target="https://maps.google.com/?q=18.14591549418862,-96.565389571129685" TargetMode="External"/><Relationship Id="rId7262" Type="http://schemas.openxmlformats.org/officeDocument/2006/relationships/hyperlink" Target="https://maps.google.com/?q=16.298774216966,-97.912562857791599" TargetMode="External"/><Relationship Id="rId8313" Type="http://schemas.openxmlformats.org/officeDocument/2006/relationships/hyperlink" Target="https://maps.google.com/?q=16.539028,-98.037527999999995" TargetMode="External"/><Relationship Id="rId10243" Type="http://schemas.openxmlformats.org/officeDocument/2006/relationships/hyperlink" Target="https://maps.google.com/?q=17.2888658,-97.304018900000003" TargetMode="External"/><Relationship Id="rId13399" Type="http://schemas.openxmlformats.org/officeDocument/2006/relationships/hyperlink" Target="https://maps.google.com/?q=16.3268639933984,-96.671020294477302" TargetMode="External"/><Relationship Id="rId3458" Type="http://schemas.openxmlformats.org/officeDocument/2006/relationships/hyperlink" Target="https://maps.google.com/?q=16.5724967152423,-96.984765798602794" TargetMode="External"/><Relationship Id="rId3872" Type="http://schemas.openxmlformats.org/officeDocument/2006/relationships/hyperlink" Target="https://maps.google.com/?q=17.1046976179903,-95.936264784061393" TargetMode="External"/><Relationship Id="rId4509" Type="http://schemas.openxmlformats.org/officeDocument/2006/relationships/hyperlink" Target="https://maps.google.com/?q=17.1794729100263,-97.304333519014193" TargetMode="External"/><Relationship Id="rId10310" Type="http://schemas.openxmlformats.org/officeDocument/2006/relationships/hyperlink" Target="https://maps.google.com/?q=16.225552,-97.271531999999993" TargetMode="External"/><Relationship Id="rId13466" Type="http://schemas.openxmlformats.org/officeDocument/2006/relationships/hyperlink" Target="https://maps.google.com/?q=17.6873847305568,-97.033369590537504" TargetMode="External"/><Relationship Id="rId379" Type="http://schemas.openxmlformats.org/officeDocument/2006/relationships/hyperlink" Target="https://maps.google.com/?q=16.051294,-97.414839000000001" TargetMode="External"/><Relationship Id="rId793" Type="http://schemas.openxmlformats.org/officeDocument/2006/relationships/hyperlink" Target="https://maps.google.com/?q=15.691739865855851,-96.519052208928542" TargetMode="External"/><Relationship Id="rId2474" Type="http://schemas.openxmlformats.org/officeDocument/2006/relationships/hyperlink" Target="https://maps.google.com/?q=17.05185377,-96.624329040000006" TargetMode="External"/><Relationship Id="rId3525" Type="http://schemas.openxmlformats.org/officeDocument/2006/relationships/hyperlink" Target="https://maps.google.com/?q=15.763924,-96.150648" TargetMode="External"/><Relationship Id="rId4923" Type="http://schemas.openxmlformats.org/officeDocument/2006/relationships/hyperlink" Target="https://maps.google.com/?q=18.032414,-96.674256" TargetMode="External"/><Relationship Id="rId9087" Type="http://schemas.openxmlformats.org/officeDocument/2006/relationships/hyperlink" Target="https://maps.google.com/?q=16.06387,-95.500417999999996" TargetMode="External"/><Relationship Id="rId12068" Type="http://schemas.openxmlformats.org/officeDocument/2006/relationships/hyperlink" Target="https://maps.google.com/?q=16.31859223,-95.234394269999996" TargetMode="External"/><Relationship Id="rId13119" Type="http://schemas.openxmlformats.org/officeDocument/2006/relationships/hyperlink" Target="https://maps.google.com/?q=16.5675524,-97.533371900000006" TargetMode="External"/><Relationship Id="rId13880" Type="http://schemas.openxmlformats.org/officeDocument/2006/relationships/hyperlink" Target="https://maps.google.com/?q=16.2749447447894,-96.593308133230707" TargetMode="External"/><Relationship Id="rId446" Type="http://schemas.openxmlformats.org/officeDocument/2006/relationships/hyperlink" Target="https://maps.google.com/?q=16.053052,-97.410488000000001" TargetMode="External"/><Relationship Id="rId1076" Type="http://schemas.openxmlformats.org/officeDocument/2006/relationships/hyperlink" Target="https://maps.google.com/?q=17.095612,-97.498558000000003" TargetMode="External"/><Relationship Id="rId1490" Type="http://schemas.openxmlformats.org/officeDocument/2006/relationships/hyperlink" Target="https://maps.google.com/?q=17.058954,-96.752435000000006" TargetMode="External"/><Relationship Id="rId2127" Type="http://schemas.openxmlformats.org/officeDocument/2006/relationships/hyperlink" Target="https://maps.google.com/?q=15.762395,-96.144244" TargetMode="External"/><Relationship Id="rId9154" Type="http://schemas.openxmlformats.org/officeDocument/2006/relationships/hyperlink" Target="https://maps.google.com/?q=17.0007246119542,-96.965927061501105" TargetMode="External"/><Relationship Id="rId11084" Type="http://schemas.openxmlformats.org/officeDocument/2006/relationships/hyperlink" Target="https://maps.google.com/?q=17.253518,-96.156954" TargetMode="External"/><Relationship Id="rId12482" Type="http://schemas.openxmlformats.org/officeDocument/2006/relationships/hyperlink" Target="https://maps.google.com/?q=17.2221641543343,-97.270438085560201" TargetMode="External"/><Relationship Id="rId13533" Type="http://schemas.openxmlformats.org/officeDocument/2006/relationships/hyperlink" Target="https://maps.google.com/?q=17.3948064649948,-96.61186146015358" TargetMode="External"/><Relationship Id="rId860" Type="http://schemas.openxmlformats.org/officeDocument/2006/relationships/hyperlink" Target="https://maps.google.com/?q=15.708694662399049,-96.526128692653444" TargetMode="External"/><Relationship Id="rId1143" Type="http://schemas.openxmlformats.org/officeDocument/2006/relationships/hyperlink" Target="https://maps.google.com/?q=16.96296247007379,-96.54522369360089" TargetMode="External"/><Relationship Id="rId2541" Type="http://schemas.openxmlformats.org/officeDocument/2006/relationships/hyperlink" Target="https://maps.google.com/?q=17.9459755548837,-97.966456547290704" TargetMode="External"/><Relationship Id="rId4299" Type="http://schemas.openxmlformats.org/officeDocument/2006/relationships/hyperlink" Target="https://maps.google.com/?q=16.0091314847256,-96.569701624055696" TargetMode="External"/><Relationship Id="rId5697" Type="http://schemas.openxmlformats.org/officeDocument/2006/relationships/hyperlink" Target="https://maps.google.com/?q=17.9432865607664,-97.971026009836194" TargetMode="External"/><Relationship Id="rId6748" Type="http://schemas.openxmlformats.org/officeDocument/2006/relationships/hyperlink" Target="https://maps.google.com/?q=15.8579506231,-96.648974144700006" TargetMode="External"/><Relationship Id="rId8170" Type="http://schemas.openxmlformats.org/officeDocument/2006/relationships/hyperlink" Target="https://maps.google.com/?q=17.9252091287982,-96.187792645582206" TargetMode="External"/><Relationship Id="rId12135" Type="http://schemas.openxmlformats.org/officeDocument/2006/relationships/hyperlink" Target="https://maps.google.com/?q=16.2851159582384,-97.672778093254095" TargetMode="External"/><Relationship Id="rId13600" Type="http://schemas.openxmlformats.org/officeDocument/2006/relationships/hyperlink" Target="https://maps.google.com/?q=17.67668,-96.133302" TargetMode="External"/><Relationship Id="rId513" Type="http://schemas.openxmlformats.org/officeDocument/2006/relationships/hyperlink" Target="https://maps.google.com/?q=16.054274,-97.406011000000007" TargetMode="External"/><Relationship Id="rId5764" Type="http://schemas.openxmlformats.org/officeDocument/2006/relationships/hyperlink" Target="https://maps.google.com/?q=16.996728,-97.232489999999999" TargetMode="External"/><Relationship Id="rId6815" Type="http://schemas.openxmlformats.org/officeDocument/2006/relationships/hyperlink" Target="https://maps.google.com/?q=15.9916149198057,-97.189252044611294" TargetMode="External"/><Relationship Id="rId9221" Type="http://schemas.openxmlformats.org/officeDocument/2006/relationships/hyperlink" Target="https://maps.google.com/?q=17.3755400523052,-96.301295964623094" TargetMode="External"/><Relationship Id="rId11151" Type="http://schemas.openxmlformats.org/officeDocument/2006/relationships/hyperlink" Target="https://maps.google.com/?q=16.840577,-96.007114999999999" TargetMode="External"/><Relationship Id="rId12202" Type="http://schemas.openxmlformats.org/officeDocument/2006/relationships/hyperlink" Target="https://maps.google.com/?q=17.4178196355619,-95.944537753075707" TargetMode="External"/><Relationship Id="rId1210" Type="http://schemas.openxmlformats.org/officeDocument/2006/relationships/hyperlink" Target="https://maps.google.com/?q=17.06187,-96.72329" TargetMode="External"/><Relationship Id="rId4366" Type="http://schemas.openxmlformats.org/officeDocument/2006/relationships/hyperlink" Target="https://maps.google.com/?q=15.96147719,-96.639213490000003" TargetMode="External"/><Relationship Id="rId4780" Type="http://schemas.openxmlformats.org/officeDocument/2006/relationships/hyperlink" Target="https://maps.google.com/?q=17.9578525986554,-96.658618751163601" TargetMode="External"/><Relationship Id="rId5417" Type="http://schemas.openxmlformats.org/officeDocument/2006/relationships/hyperlink" Target="https://maps.google.com/?q=16.0998618679463,-97.700087332334505" TargetMode="External"/><Relationship Id="rId5831" Type="http://schemas.openxmlformats.org/officeDocument/2006/relationships/hyperlink" Target="https://maps.google.com/?q=17.1197828035191,-96.804123222040602" TargetMode="External"/><Relationship Id="rId8987" Type="http://schemas.openxmlformats.org/officeDocument/2006/relationships/hyperlink" Target="https://maps.google.com/?q=17.381920328,-96.164488687000002" TargetMode="External"/><Relationship Id="rId3382" Type="http://schemas.openxmlformats.org/officeDocument/2006/relationships/hyperlink" Target="https://maps.google.com/?q=16.384882,-96.840540000000004" TargetMode="External"/><Relationship Id="rId4019" Type="http://schemas.openxmlformats.org/officeDocument/2006/relationships/hyperlink" Target="https://maps.google.com/?q=17.018946802456792,-96.718225001774229" TargetMode="External"/><Relationship Id="rId4433" Type="http://schemas.openxmlformats.org/officeDocument/2006/relationships/hyperlink" Target="https://maps.google.com/?q=17.2708464590695,-97.534763996202898" TargetMode="External"/><Relationship Id="rId7589" Type="http://schemas.openxmlformats.org/officeDocument/2006/relationships/hyperlink" Target="https://maps.google.com/?q=17.0940617989653,-95.854012976686803" TargetMode="External"/><Relationship Id="rId11968" Type="http://schemas.openxmlformats.org/officeDocument/2006/relationships/hyperlink" Target="https://maps.google.com/?q=16.7995034090615,-96.7218764809856" TargetMode="External"/><Relationship Id="rId13390" Type="http://schemas.openxmlformats.org/officeDocument/2006/relationships/hyperlink" Target="https://maps.google.com/?q=16.3253351973242,-96.673862991401606" TargetMode="External"/><Relationship Id="rId14027" Type="http://schemas.openxmlformats.org/officeDocument/2006/relationships/hyperlink" Target="https://maps.google.com/?q=17.0583066252321,-96.726294998203599" TargetMode="External"/><Relationship Id="rId3035" Type="http://schemas.openxmlformats.org/officeDocument/2006/relationships/hyperlink" Target="https://maps.google.com/?q=16.939873,-97.010323" TargetMode="External"/><Relationship Id="rId4500" Type="http://schemas.openxmlformats.org/officeDocument/2006/relationships/hyperlink" Target="https://maps.google.com/?q=17.178279035579,-97.3052471165676" TargetMode="External"/><Relationship Id="rId7656" Type="http://schemas.openxmlformats.org/officeDocument/2006/relationships/hyperlink" Target="https://maps.google.com/?q=17.232116631855,-95.051475932171897" TargetMode="External"/><Relationship Id="rId8707" Type="http://schemas.openxmlformats.org/officeDocument/2006/relationships/hyperlink" Target="https://maps.google.com/?q=17.0556678911695,-96.828617317553693" TargetMode="External"/><Relationship Id="rId10984" Type="http://schemas.openxmlformats.org/officeDocument/2006/relationships/hyperlink" Target="https://maps.google.com/?q=16.2231842363232,-95.214366329999905" TargetMode="External"/><Relationship Id="rId13043" Type="http://schemas.openxmlformats.org/officeDocument/2006/relationships/hyperlink" Target="https://maps.google.com/?q=16.56203586,-97.531314899999998" TargetMode="External"/><Relationship Id="rId370" Type="http://schemas.openxmlformats.org/officeDocument/2006/relationships/hyperlink" Target="https://maps.google.com/?q=16.052971,-97.410639000000003" TargetMode="External"/><Relationship Id="rId2051" Type="http://schemas.openxmlformats.org/officeDocument/2006/relationships/hyperlink" Target="https://maps.google.com/?q=15.761869384466616,-96.144773903916047" TargetMode="External"/><Relationship Id="rId3102" Type="http://schemas.openxmlformats.org/officeDocument/2006/relationships/hyperlink" Target="https://maps.google.com/?q=17.30910362,-97.488835260000002" TargetMode="External"/><Relationship Id="rId6258" Type="http://schemas.openxmlformats.org/officeDocument/2006/relationships/hyperlink" Target="https://maps.google.com/?q=16.3846304721746,-96.739390775461402" TargetMode="External"/><Relationship Id="rId7309" Type="http://schemas.openxmlformats.org/officeDocument/2006/relationships/hyperlink" Target="https://maps.google.com/?q=16.72440207,-96.476955419999996" TargetMode="External"/><Relationship Id="rId10637" Type="http://schemas.openxmlformats.org/officeDocument/2006/relationships/hyperlink" Target="https://maps.google.com/?q=17.1196575886996,-97.782992966146494" TargetMode="External"/><Relationship Id="rId5274" Type="http://schemas.openxmlformats.org/officeDocument/2006/relationships/hyperlink" Target="https://maps.google.com/?q=15.726896848729,-96.382862208203605" TargetMode="External"/><Relationship Id="rId6325" Type="http://schemas.openxmlformats.org/officeDocument/2006/relationships/hyperlink" Target="https://maps.google.com/?q=18.05944,-96.400497999999999" TargetMode="External"/><Relationship Id="rId6672" Type="http://schemas.openxmlformats.org/officeDocument/2006/relationships/hyperlink" Target="https://maps.google.com/?q=16.939424,-97.009677999999994" TargetMode="External"/><Relationship Id="rId7723" Type="http://schemas.openxmlformats.org/officeDocument/2006/relationships/hyperlink" Target="https://maps.google.com/?q=16.6300400765348,-96.796089534770402" TargetMode="External"/><Relationship Id="rId10704" Type="http://schemas.openxmlformats.org/officeDocument/2006/relationships/hyperlink" Target="https://maps.google.com/?q=16.564244,-96.731829000000005" TargetMode="External"/><Relationship Id="rId13110" Type="http://schemas.openxmlformats.org/officeDocument/2006/relationships/hyperlink" Target="https://maps.google.com/?q=16.5659308,-97.534943999999996" TargetMode="External"/><Relationship Id="rId2868" Type="http://schemas.openxmlformats.org/officeDocument/2006/relationships/hyperlink" Target="https://maps.google.com/?q=16.9847276997925,-97.675817015187704" TargetMode="External"/><Relationship Id="rId3919" Type="http://schemas.openxmlformats.org/officeDocument/2006/relationships/hyperlink" Target="https://maps.google.com/?q=16.563738,-95.098839" TargetMode="External"/><Relationship Id="rId9895" Type="http://schemas.openxmlformats.org/officeDocument/2006/relationships/hyperlink" Target="https://maps.google.com/?q=16.6391472812285,-96.851838084566694" TargetMode="External"/><Relationship Id="rId12876" Type="http://schemas.openxmlformats.org/officeDocument/2006/relationships/hyperlink" Target="https://maps.google.com/?q=16.5340422706287,-97.4939291591933" TargetMode="External"/><Relationship Id="rId13927" Type="http://schemas.openxmlformats.org/officeDocument/2006/relationships/hyperlink" Target="https://maps.google.com/?q=17.487049561184236,-98.27080099305155" TargetMode="External"/><Relationship Id="rId1884" Type="http://schemas.openxmlformats.org/officeDocument/2006/relationships/hyperlink" Target="https://maps.google.com/?q=15.775975152214615,-96.13717143757026" TargetMode="External"/><Relationship Id="rId2935" Type="http://schemas.openxmlformats.org/officeDocument/2006/relationships/hyperlink" Target="https://maps.google.com/?q=17.07966632,-96.666413879999993" TargetMode="External"/><Relationship Id="rId4290" Type="http://schemas.openxmlformats.org/officeDocument/2006/relationships/hyperlink" Target="https://maps.google.com/?q=16.01229925,-96.661192990000004" TargetMode="External"/><Relationship Id="rId5341" Type="http://schemas.openxmlformats.org/officeDocument/2006/relationships/hyperlink" Target="https://maps.google.com/?q=17.9112772896232,-97.995713669266294" TargetMode="External"/><Relationship Id="rId8497" Type="http://schemas.openxmlformats.org/officeDocument/2006/relationships/hyperlink" Target="https://maps.google.com/?q=17.1607786654934,-97.532045255581707" TargetMode="External"/><Relationship Id="rId9548" Type="http://schemas.openxmlformats.org/officeDocument/2006/relationships/hyperlink" Target="https://maps.google.com/?q=17.274391,-96.803943" TargetMode="External"/><Relationship Id="rId9962" Type="http://schemas.openxmlformats.org/officeDocument/2006/relationships/hyperlink" Target="https://maps.google.com/?q=17.012471,-96.121580" TargetMode="External"/><Relationship Id="rId11478" Type="http://schemas.openxmlformats.org/officeDocument/2006/relationships/hyperlink" Target="https://maps.google.com/?q=16.3016844948911,-96.642708444905693" TargetMode="External"/><Relationship Id="rId11892" Type="http://schemas.openxmlformats.org/officeDocument/2006/relationships/hyperlink" Target="https://maps.google.com/?q=16.806627096603552,-96.70718579017829" TargetMode="External"/><Relationship Id="rId12529" Type="http://schemas.openxmlformats.org/officeDocument/2006/relationships/hyperlink" Target="https://maps.google.com/?q=17.0196503,-97.859589959999994" TargetMode="External"/><Relationship Id="rId907" Type="http://schemas.openxmlformats.org/officeDocument/2006/relationships/hyperlink" Target="https://maps.google.com/?q=16.88614,-97.677869999999999" TargetMode="External"/><Relationship Id="rId1537" Type="http://schemas.openxmlformats.org/officeDocument/2006/relationships/hyperlink" Target="https://maps.google.com/?q=17.06218,-96.753029999999995" TargetMode="External"/><Relationship Id="rId1951" Type="http://schemas.openxmlformats.org/officeDocument/2006/relationships/hyperlink" Target="https://maps.google.com/?q=15.778492036090526,-96.137649043460968" TargetMode="External"/><Relationship Id="rId7099" Type="http://schemas.openxmlformats.org/officeDocument/2006/relationships/hyperlink" Target="https://maps.google.com/?q=16.348703,-98.072387000000006" TargetMode="External"/><Relationship Id="rId8564" Type="http://schemas.openxmlformats.org/officeDocument/2006/relationships/hyperlink" Target="https://maps.google.com/?q=16.9278276435919,-96.600386201223401" TargetMode="External"/><Relationship Id="rId9615" Type="http://schemas.openxmlformats.org/officeDocument/2006/relationships/hyperlink" Target="https://maps.google.com/?q=17.9981131559344,-96.744215338657696" TargetMode="External"/><Relationship Id="rId10494" Type="http://schemas.openxmlformats.org/officeDocument/2006/relationships/hyperlink" Target="https://maps.google.com/?q=17.8455190750827,-96.746410722629903" TargetMode="External"/><Relationship Id="rId11545" Type="http://schemas.openxmlformats.org/officeDocument/2006/relationships/hyperlink" Target="https://maps.google.com/?q=16.8285069281481,-96.707820999999996" TargetMode="External"/><Relationship Id="rId12943" Type="http://schemas.openxmlformats.org/officeDocument/2006/relationships/hyperlink" Target="https://maps.google.com/?q=16.545944,-97.545997999999997" TargetMode="External"/><Relationship Id="rId1604" Type="http://schemas.openxmlformats.org/officeDocument/2006/relationships/hyperlink" Target="https://maps.google.com/?q=17.760387,-96.077879999999993" TargetMode="External"/><Relationship Id="rId4010" Type="http://schemas.openxmlformats.org/officeDocument/2006/relationships/hyperlink" Target="https://maps.google.com/?q=17.01808469863598,-96.718677193270977" TargetMode="External"/><Relationship Id="rId7166" Type="http://schemas.openxmlformats.org/officeDocument/2006/relationships/hyperlink" Target="https://maps.google.com/?q=16.2158904926569,-97.958255451660406" TargetMode="External"/><Relationship Id="rId7580" Type="http://schemas.openxmlformats.org/officeDocument/2006/relationships/hyperlink" Target="https://maps.google.com/?q=17.0930278226834,-95.8537078555824" TargetMode="External"/><Relationship Id="rId8217" Type="http://schemas.openxmlformats.org/officeDocument/2006/relationships/hyperlink" Target="https://maps.google.com/?q=16.373281,-97.677946000000006" TargetMode="External"/><Relationship Id="rId8631" Type="http://schemas.openxmlformats.org/officeDocument/2006/relationships/hyperlink" Target="https://maps.google.com/?q=17.899715987069,-96.713903787850498" TargetMode="External"/><Relationship Id="rId10147" Type="http://schemas.openxmlformats.org/officeDocument/2006/relationships/hyperlink" Target="https://maps.google.com/?q=17.1231734024575,-97.495010971999605" TargetMode="External"/><Relationship Id="rId6182" Type="http://schemas.openxmlformats.org/officeDocument/2006/relationships/hyperlink" Target="https://maps.google.com/?q=16.08931,-97.081941" TargetMode="External"/><Relationship Id="rId7233" Type="http://schemas.openxmlformats.org/officeDocument/2006/relationships/hyperlink" Target="https://maps.google.com/?q=16.095166427152,-97.922019637791607" TargetMode="External"/><Relationship Id="rId10561" Type="http://schemas.openxmlformats.org/officeDocument/2006/relationships/hyperlink" Target="https://maps.google.com/?q=17.0961277837154,-97.7841932565061" TargetMode="External"/><Relationship Id="rId11612" Type="http://schemas.openxmlformats.org/officeDocument/2006/relationships/hyperlink" Target="https://maps.google.com/?q=16.8368695129394,-96.734625860807299" TargetMode="External"/><Relationship Id="rId697" Type="http://schemas.openxmlformats.org/officeDocument/2006/relationships/hyperlink" Target="https://maps.google.com/?q=16.063372,-97.381553999999994" TargetMode="External"/><Relationship Id="rId2378" Type="http://schemas.openxmlformats.org/officeDocument/2006/relationships/hyperlink" Target="https://maps.google.com/?q=17.1708020696114,-97.8249308237543" TargetMode="External"/><Relationship Id="rId3429" Type="http://schemas.openxmlformats.org/officeDocument/2006/relationships/hyperlink" Target="https://maps.google.com/?q=17.0667855390769,-96.971080729798501" TargetMode="External"/><Relationship Id="rId3776" Type="http://schemas.openxmlformats.org/officeDocument/2006/relationships/hyperlink" Target="https://maps.google.com/?q=15.763819,-96.141249000000002" TargetMode="External"/><Relationship Id="rId4827" Type="http://schemas.openxmlformats.org/officeDocument/2006/relationships/hyperlink" Target="https://maps.google.com/?q=17.3341508120474,-96.163176763806206" TargetMode="External"/><Relationship Id="rId10214" Type="http://schemas.openxmlformats.org/officeDocument/2006/relationships/hyperlink" Target="https://maps.google.com/?q=17.193713461124652,-97.33100513772982" TargetMode="External"/><Relationship Id="rId13784" Type="http://schemas.openxmlformats.org/officeDocument/2006/relationships/hyperlink" Target="https://maps.google.com/?q=17.129035,-97.748453999999995" TargetMode="External"/><Relationship Id="rId2792" Type="http://schemas.openxmlformats.org/officeDocument/2006/relationships/hyperlink" Target="https://maps.google.com/?q=16.9948680058487,-97.701777084655802" TargetMode="External"/><Relationship Id="rId3843" Type="http://schemas.openxmlformats.org/officeDocument/2006/relationships/hyperlink" Target="https://maps.google.com/?q=17.11550115896,-95.943982927116593" TargetMode="External"/><Relationship Id="rId6999" Type="http://schemas.openxmlformats.org/officeDocument/2006/relationships/hyperlink" Target="https://maps.google.com/?q=17.0378282573099,-97.2928236331759" TargetMode="External"/><Relationship Id="rId7300" Type="http://schemas.openxmlformats.org/officeDocument/2006/relationships/hyperlink" Target="https://maps.google.com/?q=17.6076692078726,-96.139747343362899" TargetMode="External"/><Relationship Id="rId9058" Type="http://schemas.openxmlformats.org/officeDocument/2006/relationships/hyperlink" Target="https://maps.google.com/?q=16.055897,-95.460620000000006" TargetMode="External"/><Relationship Id="rId12386" Type="http://schemas.openxmlformats.org/officeDocument/2006/relationships/hyperlink" Target="https://maps.google.com/?q=16.5533364208124,-96.820480790178294" TargetMode="External"/><Relationship Id="rId13437" Type="http://schemas.openxmlformats.org/officeDocument/2006/relationships/hyperlink" Target="https://maps.google.com/?q=17.6834714940113,-97.035662276760107" TargetMode="External"/><Relationship Id="rId13851" Type="http://schemas.openxmlformats.org/officeDocument/2006/relationships/hyperlink" Target="https://maps.google.com/?q=17.85771545193516,-96.7121239252663" TargetMode="External"/><Relationship Id="rId764" Type="http://schemas.openxmlformats.org/officeDocument/2006/relationships/hyperlink" Target="https://maps.google.com/?q=15.685045748211799,-96.511313529118382" TargetMode="External"/><Relationship Id="rId1394" Type="http://schemas.openxmlformats.org/officeDocument/2006/relationships/hyperlink" Target="https://maps.google.com/?q=16.237076,-97.292351999999994" TargetMode="External"/><Relationship Id="rId2445" Type="http://schemas.openxmlformats.org/officeDocument/2006/relationships/hyperlink" Target="https://maps.google.com/?q=17.05139878,-96.624561009999994" TargetMode="External"/><Relationship Id="rId3910" Type="http://schemas.openxmlformats.org/officeDocument/2006/relationships/hyperlink" Target="https://maps.google.com/?q=16.8760387464535,-95.03658025573160" TargetMode="External"/><Relationship Id="rId9472" Type="http://schemas.openxmlformats.org/officeDocument/2006/relationships/hyperlink" Target="https://maps.google.com/?q=16.237076,-97.292351999999994" TargetMode="External"/><Relationship Id="rId12039" Type="http://schemas.openxmlformats.org/officeDocument/2006/relationships/hyperlink" Target="https://maps.google.com/?q=16.8064997493866,-96.724338988895198" TargetMode="External"/><Relationship Id="rId12453" Type="http://schemas.openxmlformats.org/officeDocument/2006/relationships/hyperlink" Target="https://maps.google.com/?q=17.2211960640546,-97.272510300305797" TargetMode="External"/><Relationship Id="rId13504" Type="http://schemas.openxmlformats.org/officeDocument/2006/relationships/hyperlink" Target="https://maps.google.com/?q=16.898118106007843,-96.46671689295607" TargetMode="External"/><Relationship Id="rId417" Type="http://schemas.openxmlformats.org/officeDocument/2006/relationships/hyperlink" Target="https://maps.google.com/?q=16.053025,-97.411844000000002" TargetMode="External"/><Relationship Id="rId831" Type="http://schemas.openxmlformats.org/officeDocument/2006/relationships/hyperlink" Target="https://maps.google.com/?q=15.700659984924933,-96.524244459515899" TargetMode="External"/><Relationship Id="rId1047" Type="http://schemas.openxmlformats.org/officeDocument/2006/relationships/hyperlink" Target="https://maps.google.com/?q=15.70842912388804,-96.525753902985201" TargetMode="External"/><Relationship Id="rId1461" Type="http://schemas.openxmlformats.org/officeDocument/2006/relationships/hyperlink" Target="https://maps.google.com/?q=17.862349040787,-96.30737783882856" TargetMode="External"/><Relationship Id="rId2512" Type="http://schemas.openxmlformats.org/officeDocument/2006/relationships/hyperlink" Target="https://maps.google.com/?q=17.05215973,-96.624430529999998" TargetMode="External"/><Relationship Id="rId5668" Type="http://schemas.openxmlformats.org/officeDocument/2006/relationships/hyperlink" Target="https://maps.google.com/?q=16.438135,-97.855694999999997" TargetMode="External"/><Relationship Id="rId6719" Type="http://schemas.openxmlformats.org/officeDocument/2006/relationships/hyperlink" Target="https://maps.google.com/?q=17.0323126100785,-96.985783846358004" TargetMode="External"/><Relationship Id="rId8074" Type="http://schemas.openxmlformats.org/officeDocument/2006/relationships/hyperlink" Target="https://maps.google.com/?q=16.4989790525848,-97.380653933135207" TargetMode="External"/><Relationship Id="rId9125" Type="http://schemas.openxmlformats.org/officeDocument/2006/relationships/hyperlink" Target="https://maps.google.com/?q=17.04147,-96.728806000000006" TargetMode="External"/><Relationship Id="rId11055" Type="http://schemas.openxmlformats.org/officeDocument/2006/relationships/hyperlink" Target="https://maps.google.com/?q=17.27803283,-97.365344989999997" TargetMode="External"/><Relationship Id="rId12106" Type="http://schemas.openxmlformats.org/officeDocument/2006/relationships/hyperlink" Target="https://maps.google.com/?q=16.3179229500665,-97.663481782744" TargetMode="External"/><Relationship Id="rId12520" Type="http://schemas.openxmlformats.org/officeDocument/2006/relationships/hyperlink" Target="https://maps.google.com/?q=17.2263359040317,-97.2738902298222" TargetMode="External"/><Relationship Id="rId1114" Type="http://schemas.openxmlformats.org/officeDocument/2006/relationships/hyperlink" Target="https://maps.google.com/?q=17.092172,-97.493604000000005" TargetMode="External"/><Relationship Id="rId4684" Type="http://schemas.openxmlformats.org/officeDocument/2006/relationships/hyperlink" Target="https://maps.google.com/?q=17.059207,-96.749972" TargetMode="External"/><Relationship Id="rId5735" Type="http://schemas.openxmlformats.org/officeDocument/2006/relationships/hyperlink" Target="https://maps.google.com/?q=16.3864541,-96.363022000000001" TargetMode="External"/><Relationship Id="rId7090" Type="http://schemas.openxmlformats.org/officeDocument/2006/relationships/hyperlink" Target="https://maps.google.com/?q=16.328928,&#160;-98.054566" TargetMode="External"/><Relationship Id="rId8141" Type="http://schemas.openxmlformats.org/officeDocument/2006/relationships/hyperlink" Target="https://maps.google.com/?q=17.355948,-96.302007000000003" TargetMode="External"/><Relationship Id="rId10071" Type="http://schemas.openxmlformats.org/officeDocument/2006/relationships/hyperlink" Target="https://maps.google.com/?q=16.989593367563,-96.103993252541599" TargetMode="External"/><Relationship Id="rId11122" Type="http://schemas.openxmlformats.org/officeDocument/2006/relationships/hyperlink" Target="https://maps.google.com/?q=16.833976,-96.006516000000005" TargetMode="External"/><Relationship Id="rId3286" Type="http://schemas.openxmlformats.org/officeDocument/2006/relationships/hyperlink" Target="https://maps.google.com/?q=17.0623794140075,-96.813868342859195" TargetMode="External"/><Relationship Id="rId4337" Type="http://schemas.openxmlformats.org/officeDocument/2006/relationships/hyperlink" Target="https://maps.google.com/?q=16.0173059084875,-96.618603277454099" TargetMode="External"/><Relationship Id="rId13294" Type="http://schemas.openxmlformats.org/officeDocument/2006/relationships/hyperlink" Target="https://maps.google.com/?q=16.1310583142205,-96.331461048895505" TargetMode="External"/><Relationship Id="rId3353" Type="http://schemas.openxmlformats.org/officeDocument/2006/relationships/hyperlink" Target="https://maps.google.com/?q=17.1531992648293,-97.849354478504196" TargetMode="External"/><Relationship Id="rId4751" Type="http://schemas.openxmlformats.org/officeDocument/2006/relationships/hyperlink" Target="https://maps.google.com/?q=17.9536104065353,-96.657715401832704" TargetMode="External"/><Relationship Id="rId5802" Type="http://schemas.openxmlformats.org/officeDocument/2006/relationships/hyperlink" Target="https://maps.google.com/?q=17.3089478812327,-97.489437565641396" TargetMode="External"/><Relationship Id="rId8958" Type="http://schemas.openxmlformats.org/officeDocument/2006/relationships/hyperlink" Target="https://maps.google.com/?q=17.38147728,-96.161310153000002" TargetMode="External"/><Relationship Id="rId10888" Type="http://schemas.openxmlformats.org/officeDocument/2006/relationships/hyperlink" Target="https://maps.google.com/?q=16.1780647017052,-95.203738357494998" TargetMode="External"/><Relationship Id="rId11939" Type="http://schemas.openxmlformats.org/officeDocument/2006/relationships/hyperlink" Target="https://maps.google.com/?q=17.2369459666895,-97.917524709158002" TargetMode="External"/><Relationship Id="rId274" Type="http://schemas.openxmlformats.org/officeDocument/2006/relationships/hyperlink" Target="https://maps.google.com/?q=16.8838,-97.676119999999997" TargetMode="External"/><Relationship Id="rId3006" Type="http://schemas.openxmlformats.org/officeDocument/2006/relationships/hyperlink" Target="https://maps.google.com/?q=16.9366596,-97.008307900000005" TargetMode="External"/><Relationship Id="rId4404" Type="http://schemas.openxmlformats.org/officeDocument/2006/relationships/hyperlink" Target="https://maps.google.com/?q=16.00235298,-96.67956787" TargetMode="External"/><Relationship Id="rId7974" Type="http://schemas.openxmlformats.org/officeDocument/2006/relationships/hyperlink" Target="https://maps.google.com/?q=18.162231001634,-96.874240150316297" TargetMode="External"/><Relationship Id="rId10955" Type="http://schemas.openxmlformats.org/officeDocument/2006/relationships/hyperlink" Target="https://maps.google.com/?q=16.2070563696328,-95.219818266771298" TargetMode="External"/><Relationship Id="rId13361" Type="http://schemas.openxmlformats.org/officeDocument/2006/relationships/hyperlink" Target="https://maps.google.com/?q=16.3207994028964,-96.679761501817694" TargetMode="External"/><Relationship Id="rId3420" Type="http://schemas.openxmlformats.org/officeDocument/2006/relationships/hyperlink" Target="https://maps.google.com/?q=16.194332,-96.629301999999996" TargetMode="External"/><Relationship Id="rId6576" Type="http://schemas.openxmlformats.org/officeDocument/2006/relationships/hyperlink" Target="https://maps.google.com/?q=17.764885,-96.881483" TargetMode="External"/><Relationship Id="rId6990" Type="http://schemas.openxmlformats.org/officeDocument/2006/relationships/hyperlink" Target="https://maps.google.com/?q=17.036253630737,-97.293298585322404" TargetMode="External"/><Relationship Id="rId7627" Type="http://schemas.openxmlformats.org/officeDocument/2006/relationships/hyperlink" Target="https://maps.google.com/?q=17.2304541846227,-95.055410670866806" TargetMode="External"/><Relationship Id="rId10608" Type="http://schemas.openxmlformats.org/officeDocument/2006/relationships/hyperlink" Target="https://maps.google.com/?q=17.131100646114,-97.753785177909805" TargetMode="External"/><Relationship Id="rId13014" Type="http://schemas.openxmlformats.org/officeDocument/2006/relationships/hyperlink" Target="https://maps.google.com/?q=16.504575,-97.555367000000004" TargetMode="External"/><Relationship Id="rId341" Type="http://schemas.openxmlformats.org/officeDocument/2006/relationships/hyperlink" Target="https://maps.google.com/?q=16.052507,-97.402904000000007" TargetMode="External"/><Relationship Id="rId2022" Type="http://schemas.openxmlformats.org/officeDocument/2006/relationships/hyperlink" Target="https://maps.google.com/?q=15.758061062857239,-96.138793632601462" TargetMode="External"/><Relationship Id="rId5178" Type="http://schemas.openxmlformats.org/officeDocument/2006/relationships/hyperlink" Target="https://maps.google.com/?q=17.314399,-95.964607000000001" TargetMode="External"/><Relationship Id="rId5592" Type="http://schemas.openxmlformats.org/officeDocument/2006/relationships/hyperlink" Target="https://maps.google.com/?q=17.4592268434239,-96.232362831104496" TargetMode="External"/><Relationship Id="rId6229" Type="http://schemas.openxmlformats.org/officeDocument/2006/relationships/hyperlink" Target="https://maps.google.com/?q=16.097909,-97.079177999999999" TargetMode="External"/><Relationship Id="rId6643" Type="http://schemas.openxmlformats.org/officeDocument/2006/relationships/hyperlink" Target="https://maps.google.com/?q=16.843596897591,-97.208310866235806" TargetMode="External"/><Relationship Id="rId9799" Type="http://schemas.openxmlformats.org/officeDocument/2006/relationships/hyperlink" Target="https://maps.google.com/?q=16.6419688028896,-96.751874268955007" TargetMode="External"/><Relationship Id="rId12030" Type="http://schemas.openxmlformats.org/officeDocument/2006/relationships/hyperlink" Target="https://maps.google.com/?q=16.8055812974457,-96.724743096923206" TargetMode="External"/><Relationship Id="rId1788" Type="http://schemas.openxmlformats.org/officeDocument/2006/relationships/hyperlink" Target="https://maps.google.com/?q=18.0630825884189,-96.896682524501202" TargetMode="External"/><Relationship Id="rId2839" Type="http://schemas.openxmlformats.org/officeDocument/2006/relationships/hyperlink" Target="https://maps.google.com/?q=16.9505919610991,-97.712704834324001" TargetMode="External"/><Relationship Id="rId4194" Type="http://schemas.openxmlformats.org/officeDocument/2006/relationships/hyperlink" Target="https://maps.google.com/?q=17.618715,&#160;-95.935096" TargetMode="External"/><Relationship Id="rId5245" Type="http://schemas.openxmlformats.org/officeDocument/2006/relationships/hyperlink" Target="https://maps.google.com/?q=15.84632682748,-96.463233223269697" TargetMode="External"/><Relationship Id="rId6710" Type="http://schemas.openxmlformats.org/officeDocument/2006/relationships/hyperlink" Target="https://maps.google.com/?q=17.0283990405503,-96.984313995817701" TargetMode="External"/><Relationship Id="rId9866" Type="http://schemas.openxmlformats.org/officeDocument/2006/relationships/hyperlink" Target="https://maps.google.com/?q=16.6356127227182,-96.849873433373006" TargetMode="External"/><Relationship Id="rId4261" Type="http://schemas.openxmlformats.org/officeDocument/2006/relationships/hyperlink" Target="https://maps.google.com/?q=16.0150144,-96.635276349999998" TargetMode="External"/><Relationship Id="rId5312" Type="http://schemas.openxmlformats.org/officeDocument/2006/relationships/hyperlink" Target="https://maps.google.com/?q=15.7230965880378,-96.469351959092805" TargetMode="External"/><Relationship Id="rId8468" Type="http://schemas.openxmlformats.org/officeDocument/2006/relationships/hyperlink" Target="https://maps.google.com/?q=17.1482935354188,-97.532695882350495" TargetMode="External"/><Relationship Id="rId9519" Type="http://schemas.openxmlformats.org/officeDocument/2006/relationships/hyperlink" Target="https://maps.google.com/?q=18.159226543397764,-96.09518590066072" TargetMode="External"/><Relationship Id="rId10398" Type="http://schemas.openxmlformats.org/officeDocument/2006/relationships/hyperlink" Target="https://maps.google.com/?q=17.9726028794887,-96.707306977082297" TargetMode="External"/><Relationship Id="rId11796" Type="http://schemas.openxmlformats.org/officeDocument/2006/relationships/hyperlink" Target="https://maps.google.com/?q=16.274360105222257,-98.35017741716194" TargetMode="External"/><Relationship Id="rId12847" Type="http://schemas.openxmlformats.org/officeDocument/2006/relationships/hyperlink" Target="https://maps.google.com/?q=17.517219,-97.685934000000003" TargetMode="External"/><Relationship Id="rId1508" Type="http://schemas.openxmlformats.org/officeDocument/2006/relationships/hyperlink" Target="https://maps.google.com/?q=17.06115,-96.755579999999995" TargetMode="External"/><Relationship Id="rId1855" Type="http://schemas.openxmlformats.org/officeDocument/2006/relationships/hyperlink" Target="https://maps.google.com/?q=15.770726946355866,-96.150833108665992" TargetMode="External"/><Relationship Id="rId2906" Type="http://schemas.openxmlformats.org/officeDocument/2006/relationships/hyperlink" Target="https://maps.google.com/?q=17.762199,-96.073646999999994" TargetMode="External"/><Relationship Id="rId7484" Type="http://schemas.openxmlformats.org/officeDocument/2006/relationships/hyperlink" Target="https://maps.google.com/?q=16.9899262675191,-95.014804107374403" TargetMode="External"/><Relationship Id="rId8535" Type="http://schemas.openxmlformats.org/officeDocument/2006/relationships/hyperlink" Target="https://maps.google.com/?q=16.937551729959,-96.609309626983702" TargetMode="External"/><Relationship Id="rId8882" Type="http://schemas.openxmlformats.org/officeDocument/2006/relationships/hyperlink" Target="https://maps.google.com/?q=17.379257505,-96.161830030999994" TargetMode="External"/><Relationship Id="rId9933" Type="http://schemas.openxmlformats.org/officeDocument/2006/relationships/hyperlink" Target="https://maps.google.com/?q=0,-96.711450999999997" TargetMode="External"/><Relationship Id="rId11449" Type="http://schemas.openxmlformats.org/officeDocument/2006/relationships/hyperlink" Target="https://maps.google.com/?q=15.983869,-97.549715000000006" TargetMode="External"/><Relationship Id="rId11863" Type="http://schemas.openxmlformats.org/officeDocument/2006/relationships/hyperlink" Target="https://maps.google.com/?q=16.5118727999673,-98.34353321593858" TargetMode="External"/><Relationship Id="rId12914" Type="http://schemas.openxmlformats.org/officeDocument/2006/relationships/hyperlink" Target="https://maps.google.com/?q=16.533702,-97.524304999999998" TargetMode="External"/><Relationship Id="rId1922" Type="http://schemas.openxmlformats.org/officeDocument/2006/relationships/hyperlink" Target="https://maps.google.com/?q=15.776920645297855,-96.136962310668437" TargetMode="External"/><Relationship Id="rId6086" Type="http://schemas.openxmlformats.org/officeDocument/2006/relationships/hyperlink" Target="https://maps.google.com/?q=16.6555934268026,-97.336912186508101" TargetMode="External"/><Relationship Id="rId7137" Type="http://schemas.openxmlformats.org/officeDocument/2006/relationships/hyperlink" Target="https://maps.google.com/?q=17.3403495623231,-97.706162340471096" TargetMode="External"/><Relationship Id="rId10465" Type="http://schemas.openxmlformats.org/officeDocument/2006/relationships/hyperlink" Target="https://maps.google.com/?q=17.0425637,-96.779371100000006" TargetMode="External"/><Relationship Id="rId11516" Type="http://schemas.openxmlformats.org/officeDocument/2006/relationships/hyperlink" Target="https://maps.google.com/?q=16.6122489843038,-96.857937246770405" TargetMode="External"/><Relationship Id="rId11930" Type="http://schemas.openxmlformats.org/officeDocument/2006/relationships/hyperlink" Target="https://maps.google.com/?q=16.3318072970309,-95.240232842744106" TargetMode="External"/><Relationship Id="rId7551" Type="http://schemas.openxmlformats.org/officeDocument/2006/relationships/hyperlink" Target="https://maps.google.com/?q=17.9806214825861,-96.704160936003703" TargetMode="External"/><Relationship Id="rId8602" Type="http://schemas.openxmlformats.org/officeDocument/2006/relationships/hyperlink" Target="https://maps.google.com/?q=17.8849138335603,-96.727797654417998" TargetMode="External"/><Relationship Id="rId10118" Type="http://schemas.openxmlformats.org/officeDocument/2006/relationships/hyperlink" Target="https://maps.google.com/?q=17.027210028763,-96.136558704418306" TargetMode="External"/><Relationship Id="rId10532" Type="http://schemas.openxmlformats.org/officeDocument/2006/relationships/hyperlink" Target="https://maps.google.com/?q=17.1323247837159,-97.7566576555963" TargetMode="External"/><Relationship Id="rId13688" Type="http://schemas.openxmlformats.org/officeDocument/2006/relationships/hyperlink" Target="https://maps.google.com/?q=15.92183,-96.175140" TargetMode="External"/><Relationship Id="rId2696" Type="http://schemas.openxmlformats.org/officeDocument/2006/relationships/hyperlink" Target="https://maps.google.com/?q=16.5703929092415,-97.013670518431397" TargetMode="External"/><Relationship Id="rId3747" Type="http://schemas.openxmlformats.org/officeDocument/2006/relationships/hyperlink" Target="https://maps.google.com/?q=15.761995836799521,-96.146152326537532" TargetMode="External"/><Relationship Id="rId6153" Type="http://schemas.openxmlformats.org/officeDocument/2006/relationships/hyperlink" Target="https://maps.google.com/?q=16.1408286963308,-96.417477874834006" TargetMode="External"/><Relationship Id="rId7204" Type="http://schemas.openxmlformats.org/officeDocument/2006/relationships/hyperlink" Target="https://maps.google.com/?q=16.1749701425312,-97.966191035582" TargetMode="External"/><Relationship Id="rId13755" Type="http://schemas.openxmlformats.org/officeDocument/2006/relationships/hyperlink" Target="https://maps.google.com/?q=17.001259,-96.603601" TargetMode="External"/><Relationship Id="rId668" Type="http://schemas.openxmlformats.org/officeDocument/2006/relationships/hyperlink" Target="https://maps.google.com/?q=16.055584,-97.392645000000002" TargetMode="External"/><Relationship Id="rId1298" Type="http://schemas.openxmlformats.org/officeDocument/2006/relationships/hyperlink" Target="https://maps.google.com/?q=17.080188,-96.726730" TargetMode="External"/><Relationship Id="rId2349" Type="http://schemas.openxmlformats.org/officeDocument/2006/relationships/hyperlink" Target="https://maps.google.com/?q=17.102368,-97.667550000000006" TargetMode="External"/><Relationship Id="rId2763" Type="http://schemas.openxmlformats.org/officeDocument/2006/relationships/hyperlink" Target="https://maps.google.com/?q=18.0199401913855,-96.616427440475405" TargetMode="External"/><Relationship Id="rId3814" Type="http://schemas.openxmlformats.org/officeDocument/2006/relationships/hyperlink" Target="https://maps.google.com/?q=15.773677705481708,-96.234608971743924" TargetMode="External"/><Relationship Id="rId6220" Type="http://schemas.openxmlformats.org/officeDocument/2006/relationships/hyperlink" Target="https://maps.google.com/?q=16.096501,-97.080397000000005" TargetMode="External"/><Relationship Id="rId9376" Type="http://schemas.openxmlformats.org/officeDocument/2006/relationships/hyperlink" Target="https://maps.google.com/?q=16.81972047771,-95.142807526746395" TargetMode="External"/><Relationship Id="rId9790" Type="http://schemas.openxmlformats.org/officeDocument/2006/relationships/hyperlink" Target="https://maps.google.com/?q=16.6409551726082,-96.752688095582002" TargetMode="External"/><Relationship Id="rId12357" Type="http://schemas.openxmlformats.org/officeDocument/2006/relationships/hyperlink" Target="https://maps.google.com/?q=17.07153714962142,-96.7157940912962%20" TargetMode="External"/><Relationship Id="rId13408" Type="http://schemas.openxmlformats.org/officeDocument/2006/relationships/hyperlink" Target="https://maps.google.com/?q=16.3280400883762,-96.666361812654401" TargetMode="External"/><Relationship Id="rId735" Type="http://schemas.openxmlformats.org/officeDocument/2006/relationships/hyperlink" Target="https://maps.google.com/?q=15.68200244410338,-96.507891378514429" TargetMode="External"/><Relationship Id="rId1365" Type="http://schemas.openxmlformats.org/officeDocument/2006/relationships/hyperlink" Target="https://maps.google.com/?q=17.048275,-96.71147" TargetMode="External"/><Relationship Id="rId2416" Type="http://schemas.openxmlformats.org/officeDocument/2006/relationships/hyperlink" Target="https://maps.google.com/?q=17.05112421,-96.624509829999994" TargetMode="External"/><Relationship Id="rId8392" Type="http://schemas.openxmlformats.org/officeDocument/2006/relationships/hyperlink" Target="https://maps.google.com/?q=16.0895594053604,-96.245142139881096" TargetMode="External"/><Relationship Id="rId9029" Type="http://schemas.openxmlformats.org/officeDocument/2006/relationships/hyperlink" Target="https://maps.google.com/?q=16.053909,-95.4833" TargetMode="External"/><Relationship Id="rId9443" Type="http://schemas.openxmlformats.org/officeDocument/2006/relationships/hyperlink" Target="https://maps.google.com/?q=15.8340060898703,-96.657901619160498" TargetMode="External"/><Relationship Id="rId11373" Type="http://schemas.openxmlformats.org/officeDocument/2006/relationships/hyperlink" Target="https://maps.google.com/?q=16.3717750927884,-94.195407597553199" TargetMode="External"/><Relationship Id="rId12771" Type="http://schemas.openxmlformats.org/officeDocument/2006/relationships/hyperlink" Target="https://maps.google.com/?q=17.081248,-96.74993600" TargetMode="External"/><Relationship Id="rId13822" Type="http://schemas.openxmlformats.org/officeDocument/2006/relationships/hyperlink" Target="https://maps.google.com/?q=17.090069,-97.785489999999996" TargetMode="External"/><Relationship Id="rId1018" Type="http://schemas.openxmlformats.org/officeDocument/2006/relationships/hyperlink" Target="https://maps.google.com/?q=15.700170840833536,-96.524879505370137" TargetMode="External"/><Relationship Id="rId1432" Type="http://schemas.openxmlformats.org/officeDocument/2006/relationships/hyperlink" Target="https://maps.google.com/?q=17.317177277717942,-96.4938154673257" TargetMode="External"/><Relationship Id="rId2830" Type="http://schemas.openxmlformats.org/officeDocument/2006/relationships/hyperlink" Target="https://maps.google.com/?q=16.9925753924918,-97.717977920177603" TargetMode="External"/><Relationship Id="rId4588" Type="http://schemas.openxmlformats.org/officeDocument/2006/relationships/hyperlink" Target="https://maps.google.com/?q=16.556862,-96.820757999999998" TargetMode="External"/><Relationship Id="rId5639" Type="http://schemas.openxmlformats.org/officeDocument/2006/relationships/hyperlink" Target="https://maps.google.com/?q=17.5629619255817,-96.182650431164205" TargetMode="External"/><Relationship Id="rId5986" Type="http://schemas.openxmlformats.org/officeDocument/2006/relationships/hyperlink" Target="https://maps.google.com/?q=18.154715239677856,-96.576058977550389" TargetMode="External"/><Relationship Id="rId8045" Type="http://schemas.openxmlformats.org/officeDocument/2006/relationships/hyperlink" Target="https://maps.google.com/?q=16.4949799144466,-97.376866653135195" TargetMode="External"/><Relationship Id="rId11026" Type="http://schemas.openxmlformats.org/officeDocument/2006/relationships/hyperlink" Target="https://maps.google.com/?q=17.160177,-97.186633" TargetMode="External"/><Relationship Id="rId12424" Type="http://schemas.openxmlformats.org/officeDocument/2006/relationships/hyperlink" Target="https://maps.google.com/?q=16.5591154187322,-96.817235460730501" TargetMode="External"/><Relationship Id="rId71" Type="http://schemas.openxmlformats.org/officeDocument/2006/relationships/hyperlink" Target="https://maps.google.com/?q=15.912306,-96.450056000000004" TargetMode="External"/><Relationship Id="rId802" Type="http://schemas.openxmlformats.org/officeDocument/2006/relationships/hyperlink" Target="https://maps.google.com/?q=15.69506575957169,-96.522834112853943" TargetMode="External"/><Relationship Id="rId7061" Type="http://schemas.openxmlformats.org/officeDocument/2006/relationships/hyperlink" Target="https://maps.google.com/?q=16.5692370956899,-97.034756763564502" TargetMode="External"/><Relationship Id="rId8112" Type="http://schemas.openxmlformats.org/officeDocument/2006/relationships/hyperlink" Target="https://maps.google.com/?q=17.355125832454,-96.306570551163901" TargetMode="External"/><Relationship Id="rId9510" Type="http://schemas.openxmlformats.org/officeDocument/2006/relationships/hyperlink" Target="https://maps.google.com/?q=16.925042,-96.467301" TargetMode="External"/><Relationship Id="rId11440" Type="http://schemas.openxmlformats.org/officeDocument/2006/relationships/hyperlink" Target="https://maps.google.com/?q=16.07233,-97.302329999999998" TargetMode="External"/><Relationship Id="rId4655" Type="http://schemas.openxmlformats.org/officeDocument/2006/relationships/hyperlink" Target="https://maps.google.com/?q=17.072359,-96.742718999999994" TargetMode="External"/><Relationship Id="rId5706" Type="http://schemas.openxmlformats.org/officeDocument/2006/relationships/hyperlink" Target="https://maps.google.com/?q=17.4299901,-96.283797890000002" TargetMode="External"/><Relationship Id="rId10042" Type="http://schemas.openxmlformats.org/officeDocument/2006/relationships/hyperlink" Target="https://maps.google.com/?q=16.9234583552576,-96.365969832648801" TargetMode="External"/><Relationship Id="rId13198" Type="http://schemas.openxmlformats.org/officeDocument/2006/relationships/hyperlink" Target="https://maps.google.com/?q=17.3354162297291,-97.373640455463004" TargetMode="External"/><Relationship Id="rId178" Type="http://schemas.openxmlformats.org/officeDocument/2006/relationships/hyperlink" Target="https://maps.google.com/?q=17.096245,-97.496556999999996" TargetMode="External"/><Relationship Id="rId3257" Type="http://schemas.openxmlformats.org/officeDocument/2006/relationships/hyperlink" Target="https://maps.google.com/?q=17.0586721058049,-96.8179874809854" TargetMode="External"/><Relationship Id="rId3671" Type="http://schemas.openxmlformats.org/officeDocument/2006/relationships/hyperlink" Target="https://maps.google.com/?q=15.774686,-96.146301" TargetMode="External"/><Relationship Id="rId4308" Type="http://schemas.openxmlformats.org/officeDocument/2006/relationships/hyperlink" Target="https://maps.google.com/?q=16.0265651686915,-96.639229750669799" TargetMode="External"/><Relationship Id="rId4722" Type="http://schemas.openxmlformats.org/officeDocument/2006/relationships/hyperlink" Target="https://maps.google.com/?q=17.056291,-96.746252900000002" TargetMode="External"/><Relationship Id="rId7878" Type="http://schemas.openxmlformats.org/officeDocument/2006/relationships/hyperlink" Target="https://maps.google.com/?q=16.3176866821341,-96.405744655259596" TargetMode="External"/><Relationship Id="rId8929" Type="http://schemas.openxmlformats.org/officeDocument/2006/relationships/hyperlink" Target="https://maps.google.com/?q=17.381028331,-96.161242032000004" TargetMode="External"/><Relationship Id="rId10859" Type="http://schemas.openxmlformats.org/officeDocument/2006/relationships/hyperlink" Target="https://maps.google.com/?q=16.3482319057563,-94.487629144844007" TargetMode="External"/><Relationship Id="rId13265" Type="http://schemas.openxmlformats.org/officeDocument/2006/relationships/hyperlink" Target="https://maps.google.com/?q=17.1587261004353,-96.745878052113198" TargetMode="External"/><Relationship Id="rId592" Type="http://schemas.openxmlformats.org/officeDocument/2006/relationships/hyperlink" Target="https://maps.google.com/?q=16.054164,-97.399693999999997" TargetMode="External"/><Relationship Id="rId2273" Type="http://schemas.openxmlformats.org/officeDocument/2006/relationships/hyperlink" Target="https://maps.google.com/?q=18.0980676612788,-96.929944508326003" TargetMode="External"/><Relationship Id="rId3324" Type="http://schemas.openxmlformats.org/officeDocument/2006/relationships/hyperlink" Target="https://maps.google.com/?q=17.0652824639517,-96.819065557043103" TargetMode="External"/><Relationship Id="rId6894" Type="http://schemas.openxmlformats.org/officeDocument/2006/relationships/hyperlink" Target="https://maps.google.com/?q=16.9739795774738,-97.087246560678594" TargetMode="External"/><Relationship Id="rId7945" Type="http://schemas.openxmlformats.org/officeDocument/2006/relationships/hyperlink" Target="https://maps.google.com/?q=16.3260058842359,-96.412324322009397" TargetMode="External"/><Relationship Id="rId12281" Type="http://schemas.openxmlformats.org/officeDocument/2006/relationships/hyperlink" Target="https://maps.google.com/?q=16.4882936880129,-94.341943494720596" TargetMode="External"/><Relationship Id="rId13332" Type="http://schemas.openxmlformats.org/officeDocument/2006/relationships/hyperlink" Target="https://maps.google.com/?q=17.4583769133196,-98.009360434358598" TargetMode="External"/><Relationship Id="rId245" Type="http://schemas.openxmlformats.org/officeDocument/2006/relationships/hyperlink" Target="https://maps.google.com/?q=16.88323,-97.677350000000004" TargetMode="External"/><Relationship Id="rId2340" Type="http://schemas.openxmlformats.org/officeDocument/2006/relationships/hyperlink" Target="https://maps.google.com/?q=17.090221,-97.665160999999998" TargetMode="External"/><Relationship Id="rId5496" Type="http://schemas.openxmlformats.org/officeDocument/2006/relationships/hyperlink" Target="https://maps.google.com/?q=16.332637,-96.492700999999997" TargetMode="External"/><Relationship Id="rId6547" Type="http://schemas.openxmlformats.org/officeDocument/2006/relationships/hyperlink" Target="https://maps.google.com/?q=17.759545,-96.878887" TargetMode="External"/><Relationship Id="rId10926" Type="http://schemas.openxmlformats.org/officeDocument/2006/relationships/hyperlink" Target="https://maps.google.com/?q=16.1921001946282,-95.213744559447704" TargetMode="External"/><Relationship Id="rId312" Type="http://schemas.openxmlformats.org/officeDocument/2006/relationships/hyperlink" Target="https://maps.google.com/?q=16.058445,-97.389632000000006" TargetMode="External"/><Relationship Id="rId4098" Type="http://schemas.openxmlformats.org/officeDocument/2006/relationships/hyperlink" Target="https://maps.google.com/?q=17.0563329179,-96.7461488" TargetMode="External"/><Relationship Id="rId5149" Type="http://schemas.openxmlformats.org/officeDocument/2006/relationships/hyperlink" Target="https://maps.google.com/?q=17.254693,-96.151157999999995" TargetMode="External"/><Relationship Id="rId5563" Type="http://schemas.openxmlformats.org/officeDocument/2006/relationships/hyperlink" Target="https://maps.google.com/?q=17.6011263388838,-96.122424830688502" TargetMode="External"/><Relationship Id="rId6961" Type="http://schemas.openxmlformats.org/officeDocument/2006/relationships/hyperlink" Target="https://maps.google.com/?q=16.3371785,-95.221772009999995" TargetMode="External"/><Relationship Id="rId9020" Type="http://schemas.openxmlformats.org/officeDocument/2006/relationships/hyperlink" Target="https://maps.google.com/?q=16.053348,-95.469937000000002" TargetMode="External"/><Relationship Id="rId12001" Type="http://schemas.openxmlformats.org/officeDocument/2006/relationships/hyperlink" Target="https://maps.google.com/?q=16.8021672995302,-96.713048132387598" TargetMode="External"/><Relationship Id="rId4165" Type="http://schemas.openxmlformats.org/officeDocument/2006/relationships/hyperlink" Target="https://maps.google.com/?q=15.7778837459203,&#160;-96.435111" TargetMode="External"/><Relationship Id="rId5216" Type="http://schemas.openxmlformats.org/officeDocument/2006/relationships/hyperlink" Target="https://maps.google.com/?q=17.2773622689505,-97.364217883101503" TargetMode="External"/><Relationship Id="rId6614" Type="http://schemas.openxmlformats.org/officeDocument/2006/relationships/hyperlink" Target="https://maps.google.com/?q=16.881637,-96.614733" TargetMode="External"/><Relationship Id="rId1759" Type="http://schemas.openxmlformats.org/officeDocument/2006/relationships/hyperlink" Target="https://maps.google.com/?q=18.06137019,-96.849113919999994" TargetMode="External"/><Relationship Id="rId3181" Type="http://schemas.openxmlformats.org/officeDocument/2006/relationships/hyperlink" Target="https://maps.google.com/?q=16.551335,-97.495969000000002" TargetMode="External"/><Relationship Id="rId5630" Type="http://schemas.openxmlformats.org/officeDocument/2006/relationships/hyperlink" Target="https://maps.google.com/?q=17.5625323186945,-96.182744305582005" TargetMode="External"/><Relationship Id="rId8786" Type="http://schemas.openxmlformats.org/officeDocument/2006/relationships/hyperlink" Target="https://maps.google.com/?q=17.211779,-96.251277999999999" TargetMode="External"/><Relationship Id="rId9837" Type="http://schemas.openxmlformats.org/officeDocument/2006/relationships/hyperlink" Target="https://maps.google.com/?q=16.6328613926069,-96.850530971163906" TargetMode="External"/><Relationship Id="rId11767" Type="http://schemas.openxmlformats.org/officeDocument/2006/relationships/hyperlink" Target="https://maps.google.com/?q=16.02716344035445,-96.90703244428444" TargetMode="External"/><Relationship Id="rId12818" Type="http://schemas.openxmlformats.org/officeDocument/2006/relationships/hyperlink" Target="https://maps.google.com/?q=17.8507175546246,-97.433847936176306" TargetMode="External"/><Relationship Id="rId14173" Type="http://schemas.openxmlformats.org/officeDocument/2006/relationships/hyperlink" Target="https://maps.google.com/?q=15.723463140924428,-96.15228659537196" TargetMode="External"/><Relationship Id="rId1826" Type="http://schemas.openxmlformats.org/officeDocument/2006/relationships/hyperlink" Target="https://maps.google.com/?q=18.0356747177243,-96.897433739999002" TargetMode="External"/><Relationship Id="rId4232" Type="http://schemas.openxmlformats.org/officeDocument/2006/relationships/hyperlink" Target="https://maps.google.com/?q=17.07454514109642,-96.72608824567996" TargetMode="External"/><Relationship Id="rId7388" Type="http://schemas.openxmlformats.org/officeDocument/2006/relationships/hyperlink" Target="https://maps.google.com/?q=17.0456337162518,-97.298148151958699" TargetMode="External"/><Relationship Id="rId8439" Type="http://schemas.openxmlformats.org/officeDocument/2006/relationships/hyperlink" Target="https://maps.google.com/?q=17.0614065201765,-96.820512462642398" TargetMode="External"/><Relationship Id="rId8853" Type="http://schemas.openxmlformats.org/officeDocument/2006/relationships/hyperlink" Target="https://maps.google.com/?q=17.218996,-96.243916999999996" TargetMode="External"/><Relationship Id="rId9904" Type="http://schemas.openxmlformats.org/officeDocument/2006/relationships/hyperlink" Target="https://maps.google.com/?q=16.5520263611608,-96.724352480719801" TargetMode="External"/><Relationship Id="rId10369" Type="http://schemas.openxmlformats.org/officeDocument/2006/relationships/hyperlink" Target="https://maps.google.com/?q=17.4367742863097,-96.654188527032005" TargetMode="External"/><Relationship Id="rId10783" Type="http://schemas.openxmlformats.org/officeDocument/2006/relationships/hyperlink" Target="https://maps.google.com/?q=16.4612538308813,-94.999060400138902" TargetMode="External"/><Relationship Id="rId11834" Type="http://schemas.openxmlformats.org/officeDocument/2006/relationships/hyperlink" Target="https://maps.google.com/?q=17.784261888110816,-98.1469062460022" TargetMode="External"/><Relationship Id="rId3998" Type="http://schemas.openxmlformats.org/officeDocument/2006/relationships/hyperlink" Target="https://maps.google.com/?q=17.094465,-96.7552640" TargetMode="External"/><Relationship Id="rId7455" Type="http://schemas.openxmlformats.org/officeDocument/2006/relationships/hyperlink" Target="https://maps.google.com/?q=16.3254657846972,-96.675832416196698" TargetMode="External"/><Relationship Id="rId8506" Type="http://schemas.openxmlformats.org/officeDocument/2006/relationships/hyperlink" Target="https://maps.google.com/?q=17.1480934752585,-97.540649502208893" TargetMode="External"/><Relationship Id="rId8920" Type="http://schemas.openxmlformats.org/officeDocument/2006/relationships/hyperlink" Target="https://maps.google.com/?q=17.380511438,-96.161526776000002" TargetMode="External"/><Relationship Id="rId10436" Type="http://schemas.openxmlformats.org/officeDocument/2006/relationships/hyperlink" Target="https://maps.google.com/?q=17.0417006,-96.778520499999999" TargetMode="External"/><Relationship Id="rId6057" Type="http://schemas.openxmlformats.org/officeDocument/2006/relationships/hyperlink" Target="https://maps.google.com/?q=18.15855240105864,-96.576348230629208" TargetMode="External"/><Relationship Id="rId6471" Type="http://schemas.openxmlformats.org/officeDocument/2006/relationships/hyperlink" Target="https://maps.google.com/?q=17.2626831805248,-97.531404595913799" TargetMode="External"/><Relationship Id="rId7108" Type="http://schemas.openxmlformats.org/officeDocument/2006/relationships/hyperlink" Target="https://maps.google.com/?q=17.3592728780351,-97.658705625147107" TargetMode="External"/><Relationship Id="rId7522" Type="http://schemas.openxmlformats.org/officeDocument/2006/relationships/hyperlink" Target="https://maps.google.com/?q=17.97497914021,-96.7027772240736" TargetMode="External"/><Relationship Id="rId10850" Type="http://schemas.openxmlformats.org/officeDocument/2006/relationships/hyperlink" Target="https://maps.google.com/?q=16.3448681479857,-94.481109402273006" TargetMode="External"/><Relationship Id="rId11901" Type="http://schemas.openxmlformats.org/officeDocument/2006/relationships/hyperlink" Target="https://maps.google.com/?q=16.874790812693554,-97.50495937549782" TargetMode="External"/><Relationship Id="rId986" Type="http://schemas.openxmlformats.org/officeDocument/2006/relationships/hyperlink" Target="https://maps.google.com/?q=15.6896698309402,-96.516259004689999" TargetMode="External"/><Relationship Id="rId2667" Type="http://schemas.openxmlformats.org/officeDocument/2006/relationships/hyperlink" Target="https://maps.google.com/?q=17.27445,-97.692145999999994" TargetMode="External"/><Relationship Id="rId3718" Type="http://schemas.openxmlformats.org/officeDocument/2006/relationships/hyperlink" Target="https://maps.google.com/?q=15.758159999047098,-96.143576183252236" TargetMode="External"/><Relationship Id="rId5073" Type="http://schemas.openxmlformats.org/officeDocument/2006/relationships/hyperlink" Target="https://maps.google.com/?q=17.252672,-96.154439999999994" TargetMode="External"/><Relationship Id="rId6124" Type="http://schemas.openxmlformats.org/officeDocument/2006/relationships/hyperlink" Target="https://maps.google.com/?q=16.95010501,-96.610757699999994" TargetMode="External"/><Relationship Id="rId9694" Type="http://schemas.openxmlformats.org/officeDocument/2006/relationships/hyperlink" Target="https://maps.google.com/?q=18.0773936425691,-96.127486333873506" TargetMode="External"/><Relationship Id="rId10503" Type="http://schemas.openxmlformats.org/officeDocument/2006/relationships/hyperlink" Target="https://maps.google.com/?q=17.8460866821948,-96.744657919881206" TargetMode="External"/><Relationship Id="rId13659" Type="http://schemas.openxmlformats.org/officeDocument/2006/relationships/hyperlink" Target="https://maps.google.com/?q=17.860099,-96.211252" TargetMode="External"/><Relationship Id="rId639" Type="http://schemas.openxmlformats.org/officeDocument/2006/relationships/hyperlink" Target="https://maps.google.com/?q=16.054392,-97.395160000000004" TargetMode="External"/><Relationship Id="rId1269" Type="http://schemas.openxmlformats.org/officeDocument/2006/relationships/hyperlink" Target="https://maps.google.com/?q=17.058593,-96.743078999999994" TargetMode="External"/><Relationship Id="rId5140" Type="http://schemas.openxmlformats.org/officeDocument/2006/relationships/hyperlink" Target="https://maps.google.com/?q=17.254557,-96.150474000000003" TargetMode="External"/><Relationship Id="rId8296" Type="http://schemas.openxmlformats.org/officeDocument/2006/relationships/hyperlink" Target="https://maps.google.com/?q=16.536914,-98.036893000000006" TargetMode="External"/><Relationship Id="rId9347" Type="http://schemas.openxmlformats.org/officeDocument/2006/relationships/hyperlink" Target="https://maps.google.com/?q=16.8176888170713,-95.137433273417798" TargetMode="External"/><Relationship Id="rId12675" Type="http://schemas.openxmlformats.org/officeDocument/2006/relationships/hyperlink" Target="https://maps.google.com/?q=16.9218711044844,-97.893191249500205" TargetMode="External"/><Relationship Id="rId13726" Type="http://schemas.openxmlformats.org/officeDocument/2006/relationships/hyperlink" Target="https://maps.google.com/?q=17.331381,-96.487408" TargetMode="External"/><Relationship Id="rId1683" Type="http://schemas.openxmlformats.org/officeDocument/2006/relationships/hyperlink" Target="https://maps.google.com/?q=18.0058768549565,-96.894051966599207" TargetMode="External"/><Relationship Id="rId2734" Type="http://schemas.openxmlformats.org/officeDocument/2006/relationships/hyperlink" Target="https://maps.google.com/?q=18.0312613591735,-96.246276234368395" TargetMode="External"/><Relationship Id="rId9761" Type="http://schemas.openxmlformats.org/officeDocument/2006/relationships/hyperlink" Target="https://maps.google.com/?q=17.2806881099018,-96.792967865737097" TargetMode="External"/><Relationship Id="rId11277" Type="http://schemas.openxmlformats.org/officeDocument/2006/relationships/hyperlink" Target="https://maps.google.com/?q=17.865895930462,-96.308893856176297" TargetMode="External"/><Relationship Id="rId11691" Type="http://schemas.openxmlformats.org/officeDocument/2006/relationships/hyperlink" Target="https://maps.google.com/?q=17.17937734,-97.708050200000002" TargetMode="External"/><Relationship Id="rId12328" Type="http://schemas.openxmlformats.org/officeDocument/2006/relationships/hyperlink" Target="https://maps.google.com/?q=16.798286,-96.436214" TargetMode="External"/><Relationship Id="rId12742" Type="http://schemas.openxmlformats.org/officeDocument/2006/relationships/hyperlink" Target="https://maps.google.com/?q=16.6011520091414,-96.959763622395201" TargetMode="External"/><Relationship Id="rId706" Type="http://schemas.openxmlformats.org/officeDocument/2006/relationships/hyperlink" Target="https://maps.google.com/?q=16.062811,-97.382633999999996" TargetMode="External"/><Relationship Id="rId1336" Type="http://schemas.openxmlformats.org/officeDocument/2006/relationships/hyperlink" Target="https://maps.google.com/?q=17.01889115,-96.71833177" TargetMode="External"/><Relationship Id="rId1750" Type="http://schemas.openxmlformats.org/officeDocument/2006/relationships/hyperlink" Target="https://maps.google.com/?q=18.06078067,-96.850373660000002" TargetMode="External"/><Relationship Id="rId2801" Type="http://schemas.openxmlformats.org/officeDocument/2006/relationships/hyperlink" Target="https://maps.google.com/?q=16.9832297427198,-97.7178613571471" TargetMode="External"/><Relationship Id="rId5957" Type="http://schemas.openxmlformats.org/officeDocument/2006/relationships/hyperlink" Target="https://maps.google.com/?q=18.15404610541096,-96.573427705763947" TargetMode="External"/><Relationship Id="rId8016" Type="http://schemas.openxmlformats.org/officeDocument/2006/relationships/hyperlink" Target="https://maps.google.com/?q=18.1645675923788,-96.876024508479404" TargetMode="External"/><Relationship Id="rId8363" Type="http://schemas.openxmlformats.org/officeDocument/2006/relationships/hyperlink" Target="https://maps.google.com/?q=16.8443845342541,-97.199397798084604" TargetMode="External"/><Relationship Id="rId9414" Type="http://schemas.openxmlformats.org/officeDocument/2006/relationships/hyperlink" Target="https://maps.google.com/?q=16.7759109820804,-95.188619488112906" TargetMode="External"/><Relationship Id="rId10293" Type="http://schemas.openxmlformats.org/officeDocument/2006/relationships/hyperlink" Target="https://maps.google.com/?q=0,-97.271184779999999" TargetMode="External"/><Relationship Id="rId11344" Type="http://schemas.openxmlformats.org/officeDocument/2006/relationships/hyperlink" Target="https://maps.google.com/?q=16.3621208438818,-94.192765792659699" TargetMode="External"/><Relationship Id="rId42" Type="http://schemas.openxmlformats.org/officeDocument/2006/relationships/hyperlink" Target="https://maps.google.com/?q=17.221686,-97.121823000000006" TargetMode="External"/><Relationship Id="rId1403" Type="http://schemas.openxmlformats.org/officeDocument/2006/relationships/hyperlink" Target="https://maps.google.com/?q=17.026216,-97.928115000000005" TargetMode="External"/><Relationship Id="rId4559" Type="http://schemas.openxmlformats.org/officeDocument/2006/relationships/hyperlink" Target="https://maps.google.com/?q=17.1856498142577,-97.303438798776696" TargetMode="External"/><Relationship Id="rId4973" Type="http://schemas.openxmlformats.org/officeDocument/2006/relationships/hyperlink" Target="https://maps.google.com/?q=17.9686002201708,-96.745463826312005" TargetMode="External"/><Relationship Id="rId8430" Type="http://schemas.openxmlformats.org/officeDocument/2006/relationships/hyperlink" Target="https://maps.google.com/?q=16.2020872185559,-96.825010064120804" TargetMode="External"/><Relationship Id="rId10360" Type="http://schemas.openxmlformats.org/officeDocument/2006/relationships/hyperlink" Target="https://maps.google.com/?q=17.4343534698888,-96.657282278368001" TargetMode="External"/><Relationship Id="rId11411" Type="http://schemas.openxmlformats.org/officeDocument/2006/relationships/hyperlink" Target="https://maps.google.com/?q=17.3759949630568,-98.187563588779696" TargetMode="External"/><Relationship Id="rId3575" Type="http://schemas.openxmlformats.org/officeDocument/2006/relationships/hyperlink" Target="https://maps.google.com/?q=15.775825779569278,-96.13542953722839" TargetMode="External"/><Relationship Id="rId4626" Type="http://schemas.openxmlformats.org/officeDocument/2006/relationships/hyperlink" Target="https://maps.google.com/?q=17.035962,-96.710431" TargetMode="External"/><Relationship Id="rId7032" Type="http://schemas.openxmlformats.org/officeDocument/2006/relationships/hyperlink" Target="https://maps.google.com/?q=17.0442514024826,-97.295425684515294" TargetMode="External"/><Relationship Id="rId10013" Type="http://schemas.openxmlformats.org/officeDocument/2006/relationships/hyperlink" Target="https://maps.google.com/?q=17.0098483680466,-96.075059281656806" TargetMode="External"/><Relationship Id="rId13169" Type="http://schemas.openxmlformats.org/officeDocument/2006/relationships/hyperlink" Target="https://maps.google.com/?q=16.5683507966025,-97.009683798801404" TargetMode="External"/><Relationship Id="rId13583" Type="http://schemas.openxmlformats.org/officeDocument/2006/relationships/hyperlink" Target="https://maps.google.com/?q=16.866371,-96.785623000000001" TargetMode="External"/><Relationship Id="rId496" Type="http://schemas.openxmlformats.org/officeDocument/2006/relationships/hyperlink" Target="https://maps.google.com/?q=16.054818,-97.408604999999994" TargetMode="External"/><Relationship Id="rId2177" Type="http://schemas.openxmlformats.org/officeDocument/2006/relationships/hyperlink" Target="https://maps.google.com/?q=16.9960343268965,-97.233437039067397" TargetMode="External"/><Relationship Id="rId2591" Type="http://schemas.openxmlformats.org/officeDocument/2006/relationships/hyperlink" Target="https://maps.google.com/?q=18.170387,-96.283382000000003" TargetMode="External"/><Relationship Id="rId3228" Type="http://schemas.openxmlformats.org/officeDocument/2006/relationships/hyperlink" Target="https://maps.google.com/?q=17.9339723935685,-96.210703476351995" TargetMode="External"/><Relationship Id="rId3642" Type="http://schemas.openxmlformats.org/officeDocument/2006/relationships/hyperlink" Target="https://maps.google.com/?q=15.778338907065399,-96.13767917241988" TargetMode="External"/><Relationship Id="rId6798" Type="http://schemas.openxmlformats.org/officeDocument/2006/relationships/hyperlink" Target="https://maps.google.com/?q=16.6485419482923,-97.040673578464407" TargetMode="External"/><Relationship Id="rId7849" Type="http://schemas.openxmlformats.org/officeDocument/2006/relationships/hyperlink" Target="https://maps.google.com/?q=16.3097622030008,-96.4050020240077" TargetMode="External"/><Relationship Id="rId12185" Type="http://schemas.openxmlformats.org/officeDocument/2006/relationships/hyperlink" Target="https://maps.google.com/?q=17.4169803358572,-95.949034787192005" TargetMode="External"/><Relationship Id="rId13236" Type="http://schemas.openxmlformats.org/officeDocument/2006/relationships/hyperlink" Target="https://maps.google.com/?q=17.140186112949,-96.750889715583995" TargetMode="External"/><Relationship Id="rId149" Type="http://schemas.openxmlformats.org/officeDocument/2006/relationships/hyperlink" Target="https://maps.google.com/?q=17.095346,-97.497557" TargetMode="External"/><Relationship Id="rId563" Type="http://schemas.openxmlformats.org/officeDocument/2006/relationships/hyperlink" Target="https://maps.google.com/?q=16.052147,-97.401859999999999" TargetMode="External"/><Relationship Id="rId1193" Type="http://schemas.openxmlformats.org/officeDocument/2006/relationships/hyperlink" Target="https://maps.google.com/?q=17.245195,-97.673714" TargetMode="External"/><Relationship Id="rId2244" Type="http://schemas.openxmlformats.org/officeDocument/2006/relationships/hyperlink" Target="https://maps.google.com/?q=16.518622,-96.975441000000004" TargetMode="External"/><Relationship Id="rId9271" Type="http://schemas.openxmlformats.org/officeDocument/2006/relationships/hyperlink" Target="https://maps.google.com/?q=17.3783910225953,-96.300581960703497" TargetMode="External"/><Relationship Id="rId13650" Type="http://schemas.openxmlformats.org/officeDocument/2006/relationships/hyperlink" Target="https://maps.google.com/?q=16.588496,-94.768595" TargetMode="External"/><Relationship Id="rId216" Type="http://schemas.openxmlformats.org/officeDocument/2006/relationships/hyperlink" Target="https://maps.google.com/?q=17.088631,-97.501046000000002" TargetMode="External"/><Relationship Id="rId1260" Type="http://schemas.openxmlformats.org/officeDocument/2006/relationships/hyperlink" Target="https://maps.google.com/?q=17.058588,-96.743084999999994" TargetMode="External"/><Relationship Id="rId6865" Type="http://schemas.openxmlformats.org/officeDocument/2006/relationships/hyperlink" Target="https://maps.google.com/?q=16.9693025,-97.083715999999995" TargetMode="External"/><Relationship Id="rId7916" Type="http://schemas.openxmlformats.org/officeDocument/2006/relationships/hyperlink" Target="https://maps.google.com/?q=16.3199926690337,-96.403745963082102" TargetMode="External"/><Relationship Id="rId12252" Type="http://schemas.openxmlformats.org/officeDocument/2006/relationships/hyperlink" Target="https://maps.google.com/?q=16.4253944997279,-97.229652889951595" TargetMode="External"/><Relationship Id="rId13303" Type="http://schemas.openxmlformats.org/officeDocument/2006/relationships/hyperlink" Target="https://maps.google.com/?q=16.1332086742348,-96.331998811104597" TargetMode="External"/><Relationship Id="rId630" Type="http://schemas.openxmlformats.org/officeDocument/2006/relationships/hyperlink" Target="https://maps.google.com/?q=16.054514,-97.394467000000006" TargetMode="External"/><Relationship Id="rId2311" Type="http://schemas.openxmlformats.org/officeDocument/2006/relationships/hyperlink" Target="https://maps.google.com/?q=18.1059965725827,-96.869919154363203" TargetMode="External"/><Relationship Id="rId4069" Type="http://schemas.openxmlformats.org/officeDocument/2006/relationships/hyperlink" Target="https://maps.google.com/?q=17.082948,-96.727685" TargetMode="External"/><Relationship Id="rId5467" Type="http://schemas.openxmlformats.org/officeDocument/2006/relationships/hyperlink" Target="https://maps.google.com/?q=16.0108401231924,-97.430560100852105" TargetMode="External"/><Relationship Id="rId5881" Type="http://schemas.openxmlformats.org/officeDocument/2006/relationships/hyperlink" Target="https://maps.google.com/?q=18.144981786917356,-96.56670126787958" TargetMode="External"/><Relationship Id="rId6518" Type="http://schemas.openxmlformats.org/officeDocument/2006/relationships/hyperlink" Target="https://maps.google.com/?q=17.252317362942,-97.568161147913202" TargetMode="External"/><Relationship Id="rId6932" Type="http://schemas.openxmlformats.org/officeDocument/2006/relationships/hyperlink" Target="https://maps.google.com/?q=16.3171162,-95.232816" TargetMode="External"/><Relationship Id="rId4483" Type="http://schemas.openxmlformats.org/officeDocument/2006/relationships/hyperlink" Target="https://maps.google.com/?q=17.1711342149757,-97.306310144952604" TargetMode="External"/><Relationship Id="rId5534" Type="http://schemas.openxmlformats.org/officeDocument/2006/relationships/hyperlink" Target="https://maps.google.com/?q=17.2877228080414,-97.374171987790902" TargetMode="External"/><Relationship Id="rId14077" Type="http://schemas.openxmlformats.org/officeDocument/2006/relationships/hyperlink" Target="https://maps.google.com/?q=16.428378011370416,-96.2530027642048" TargetMode="External"/><Relationship Id="rId3085" Type="http://schemas.openxmlformats.org/officeDocument/2006/relationships/hyperlink" Target="https://maps.google.com/?q=16.966444198597,-96.936397060538098" TargetMode="External"/><Relationship Id="rId4136" Type="http://schemas.openxmlformats.org/officeDocument/2006/relationships/hyperlink" Target="https://maps.google.com/?q=17.668715,-95.879745" TargetMode="External"/><Relationship Id="rId4550" Type="http://schemas.openxmlformats.org/officeDocument/2006/relationships/hyperlink" Target="https://maps.google.com/?q=17.1850460418039,-97.303116746288893" TargetMode="External"/><Relationship Id="rId5601" Type="http://schemas.openxmlformats.org/officeDocument/2006/relationships/hyperlink" Target="https://maps.google.com/?q=17.4614182734397,-96.2316851511045" TargetMode="External"/><Relationship Id="rId8757" Type="http://schemas.openxmlformats.org/officeDocument/2006/relationships/hyperlink" Target="https://maps.google.com/?q=17.202981,-96.254627999999997" TargetMode="External"/><Relationship Id="rId9808" Type="http://schemas.openxmlformats.org/officeDocument/2006/relationships/hyperlink" Target="https://maps.google.com/?q=16.6429835427628,-96.752956027790603" TargetMode="External"/><Relationship Id="rId10687" Type="http://schemas.openxmlformats.org/officeDocument/2006/relationships/hyperlink" Target="https://maps.google.com/?q=16.998578692020914,-96.60595288636506" TargetMode="External"/><Relationship Id="rId13093" Type="http://schemas.openxmlformats.org/officeDocument/2006/relationships/hyperlink" Target="https://maps.google.com/?q=16.5646851,-97.532388699999998" TargetMode="External"/><Relationship Id="rId14144" Type="http://schemas.openxmlformats.org/officeDocument/2006/relationships/hyperlink" Target="https://maps.google.com/?q=16.4553169827103,-98.07428341281054" TargetMode="External"/><Relationship Id="rId3152" Type="http://schemas.openxmlformats.org/officeDocument/2006/relationships/hyperlink" Target="https://maps.google.com/?q=16.588369,-97.444394000000003" TargetMode="External"/><Relationship Id="rId4203" Type="http://schemas.openxmlformats.org/officeDocument/2006/relationships/hyperlink" Target="https://maps.google.com/?q=16.332014,-95.231966" TargetMode="External"/><Relationship Id="rId7359" Type="http://schemas.openxmlformats.org/officeDocument/2006/relationships/hyperlink" Target="https://maps.google.com/?q=16.566566,-97.652057999999997" TargetMode="External"/><Relationship Id="rId7773" Type="http://schemas.openxmlformats.org/officeDocument/2006/relationships/hyperlink" Target="https://maps.google.com/?q=16.1055803919334,-96.189404399388295" TargetMode="External"/><Relationship Id="rId8824" Type="http://schemas.openxmlformats.org/officeDocument/2006/relationships/hyperlink" Target="https://maps.google.com/?q=17.216101,-96.249409" TargetMode="External"/><Relationship Id="rId11738" Type="http://schemas.openxmlformats.org/officeDocument/2006/relationships/hyperlink" Target="https://maps.google.com/?q=17.18910185,-97.712107590000002" TargetMode="External"/><Relationship Id="rId13160" Type="http://schemas.openxmlformats.org/officeDocument/2006/relationships/hyperlink" Target="https://maps.google.com/?q=16.5666637358828,-97.014063077384805" TargetMode="External"/><Relationship Id="rId6375" Type="http://schemas.openxmlformats.org/officeDocument/2006/relationships/hyperlink" Target="https://maps.google.com/?q=17.855102,-97.577194" TargetMode="External"/><Relationship Id="rId7426" Type="http://schemas.openxmlformats.org/officeDocument/2006/relationships/hyperlink" Target="https://maps.google.com/?q=17.2087934397291,-97.585920449762099" TargetMode="External"/><Relationship Id="rId10754" Type="http://schemas.openxmlformats.org/officeDocument/2006/relationships/hyperlink" Target="https://maps.google.com/?q=17.452003,-97.225561999999996" TargetMode="External"/><Relationship Id="rId11805" Type="http://schemas.openxmlformats.org/officeDocument/2006/relationships/hyperlink" Target="https://maps.google.com/?q=17.884687730208196,-96.87885508102036" TargetMode="External"/><Relationship Id="rId140" Type="http://schemas.openxmlformats.org/officeDocument/2006/relationships/hyperlink" Target="https://maps.google.com/?q=17.097933,-97.491698999999997" TargetMode="External"/><Relationship Id="rId3969" Type="http://schemas.openxmlformats.org/officeDocument/2006/relationships/hyperlink" Target="https://maps.google.com/?q=17.061861,-96.753832000000003" TargetMode="External"/><Relationship Id="rId5391" Type="http://schemas.openxmlformats.org/officeDocument/2006/relationships/hyperlink" Target="https://maps.google.com/?q=16.0919924259017,-97.689029005871106" TargetMode="External"/><Relationship Id="rId6028" Type="http://schemas.openxmlformats.org/officeDocument/2006/relationships/hyperlink" Target="https://maps.google.com/?q=18.156177913777203,-96.577258778268671" TargetMode="External"/><Relationship Id="rId7840" Type="http://schemas.openxmlformats.org/officeDocument/2006/relationships/hyperlink" Target="https://maps.google.com/?q=16.8525214093663,-95.090567142802797" TargetMode="External"/><Relationship Id="rId9598" Type="http://schemas.openxmlformats.org/officeDocument/2006/relationships/hyperlink" Target="https://maps.google.com/?q=17.9956649109906,-96.743459120412794" TargetMode="External"/><Relationship Id="rId10407" Type="http://schemas.openxmlformats.org/officeDocument/2006/relationships/hyperlink" Target="https://maps.google.com/?q=17.044739,-96.784182000000001" TargetMode="External"/><Relationship Id="rId10821" Type="http://schemas.openxmlformats.org/officeDocument/2006/relationships/hyperlink" Target="https://maps.google.com/?q=16.4040946677618,-94.462995578743602" TargetMode="External"/><Relationship Id="rId13977" Type="http://schemas.openxmlformats.org/officeDocument/2006/relationships/hyperlink" Target="https://maps.google.com/?q=18.59281479,-96.68858707" TargetMode="External"/><Relationship Id="rId6" Type="http://schemas.openxmlformats.org/officeDocument/2006/relationships/hyperlink" Target="https://maps.google.com/?q=17.223523,-97.120254000000003" TargetMode="External"/><Relationship Id="rId2985" Type="http://schemas.openxmlformats.org/officeDocument/2006/relationships/hyperlink" Target="https://maps.google.com/?q=17.9140319604376,-97.996245973611295" TargetMode="External"/><Relationship Id="rId5044" Type="http://schemas.openxmlformats.org/officeDocument/2006/relationships/hyperlink" Target="https://maps.google.com/?q=17.251551,-96.151835000000005" TargetMode="External"/><Relationship Id="rId6442" Type="http://schemas.openxmlformats.org/officeDocument/2006/relationships/hyperlink" Target="https://maps.google.com/?q=17.34696943,-97.555901250000005" TargetMode="External"/><Relationship Id="rId12579" Type="http://schemas.openxmlformats.org/officeDocument/2006/relationships/hyperlink" Target="https://maps.google.com/?q=16.625449197727,-96.9570153477909" TargetMode="External"/><Relationship Id="rId12993" Type="http://schemas.openxmlformats.org/officeDocument/2006/relationships/hyperlink" Target="https://maps.google.com/?q=16.5021841,-97.558238099999997" TargetMode="External"/><Relationship Id="rId957" Type="http://schemas.openxmlformats.org/officeDocument/2006/relationships/hyperlink" Target="https://maps.google.com/?q=15.685884824753419,-96.511851260798025" TargetMode="External"/><Relationship Id="rId1587" Type="http://schemas.openxmlformats.org/officeDocument/2006/relationships/hyperlink" Target="https://maps.google.com/?q=16.520485,-96.596945000000005" TargetMode="External"/><Relationship Id="rId2638" Type="http://schemas.openxmlformats.org/officeDocument/2006/relationships/hyperlink" Target="https://maps.google.com/?q=18.084461,-96.167237" TargetMode="External"/><Relationship Id="rId9665" Type="http://schemas.openxmlformats.org/officeDocument/2006/relationships/hyperlink" Target="https://maps.google.com/?q=16.4629920950303,-96.645302799719204" TargetMode="External"/><Relationship Id="rId11595" Type="http://schemas.openxmlformats.org/officeDocument/2006/relationships/hyperlink" Target="https://maps.google.com/?q=16.8352079149847,-96.727756084655695" TargetMode="External"/><Relationship Id="rId12646" Type="http://schemas.openxmlformats.org/officeDocument/2006/relationships/hyperlink" Target="https://maps.google.com/?q=17.119139,-96.855322000000001" TargetMode="External"/><Relationship Id="rId1654" Type="http://schemas.openxmlformats.org/officeDocument/2006/relationships/hyperlink" Target="https://maps.google.com/?q=16.8935917007616,-96.936506932540794" TargetMode="External"/><Relationship Id="rId2705" Type="http://schemas.openxmlformats.org/officeDocument/2006/relationships/hyperlink" Target="https://maps.google.com/?q=15.91421,-96.420213000000004" TargetMode="External"/><Relationship Id="rId4060" Type="http://schemas.openxmlformats.org/officeDocument/2006/relationships/hyperlink" Target="https://maps.google.com/?q=17.0802,-96.726955000000004" TargetMode="External"/><Relationship Id="rId5111" Type="http://schemas.openxmlformats.org/officeDocument/2006/relationships/hyperlink" Target="https://maps.google.com/?q=17.253714,-96.154718000000003" TargetMode="External"/><Relationship Id="rId8267" Type="http://schemas.openxmlformats.org/officeDocument/2006/relationships/hyperlink" Target="https://maps.google.com/?q=17.027113,-96.759709999999998" TargetMode="External"/><Relationship Id="rId8681" Type="http://schemas.openxmlformats.org/officeDocument/2006/relationships/hyperlink" Target="https://maps.google.com/?q=16.184486,-96.614784999999998" TargetMode="External"/><Relationship Id="rId9318" Type="http://schemas.openxmlformats.org/officeDocument/2006/relationships/hyperlink" Target="https://maps.google.com/?q=16.8159172396412,-95.133678180796394" TargetMode="External"/><Relationship Id="rId9732" Type="http://schemas.openxmlformats.org/officeDocument/2006/relationships/hyperlink" Target="https://maps.google.com/?q=17.2706981600418,-96.805922366068103" TargetMode="External"/><Relationship Id="rId10197" Type="http://schemas.openxmlformats.org/officeDocument/2006/relationships/hyperlink" Target="https://maps.google.com/?q=17.220914760483637,-97.32682608654144" TargetMode="External"/><Relationship Id="rId11248" Type="http://schemas.openxmlformats.org/officeDocument/2006/relationships/hyperlink" Target="https://maps.google.com/?q=17.863436041231,-96.308188815453207" TargetMode="External"/><Relationship Id="rId11662" Type="http://schemas.openxmlformats.org/officeDocument/2006/relationships/hyperlink" Target="https://maps.google.com/?q=17.17386619,-97.707460459999993" TargetMode="External"/><Relationship Id="rId1307" Type="http://schemas.openxmlformats.org/officeDocument/2006/relationships/hyperlink" Target="https://maps.google.com/?q=17.080069,-96.725792" TargetMode="External"/><Relationship Id="rId1721" Type="http://schemas.openxmlformats.org/officeDocument/2006/relationships/hyperlink" Target="https://maps.google.com/?q=18.0585901030123,-96.836292364418" TargetMode="External"/><Relationship Id="rId4877" Type="http://schemas.openxmlformats.org/officeDocument/2006/relationships/hyperlink" Target="https://maps.google.com/?q=16.7933335404317,-96.393279688139003" TargetMode="External"/><Relationship Id="rId5928" Type="http://schemas.openxmlformats.org/officeDocument/2006/relationships/hyperlink" Target="https://maps.google.com/?q=18.152756675799438,-96.570528789300724" TargetMode="External"/><Relationship Id="rId7283" Type="http://schemas.openxmlformats.org/officeDocument/2006/relationships/hyperlink" Target="https://maps.google.com/?q=16.3045733082141,-97.919086790000094" TargetMode="External"/><Relationship Id="rId8334" Type="http://schemas.openxmlformats.org/officeDocument/2006/relationships/hyperlink" Target="https://maps.google.com/?q=16.8420742386148,-97.202112682614896" TargetMode="External"/><Relationship Id="rId10264" Type="http://schemas.openxmlformats.org/officeDocument/2006/relationships/hyperlink" Target="https://maps.google.com/?q=16.244761,-95.146981999999994" TargetMode="External"/><Relationship Id="rId11315" Type="http://schemas.openxmlformats.org/officeDocument/2006/relationships/hyperlink" Target="https://maps.google.com/?q=17.8689534487066,-96.308834898955297" TargetMode="External"/><Relationship Id="rId12713" Type="http://schemas.openxmlformats.org/officeDocument/2006/relationships/hyperlink" Target="https://maps.google.com/?q=16.2850369941223,-96.504135553114395" TargetMode="External"/><Relationship Id="rId13" Type="http://schemas.openxmlformats.org/officeDocument/2006/relationships/hyperlink" Target="https://maps.google.com/?q=17.22247,-97.120756999999998" TargetMode="External"/><Relationship Id="rId3479" Type="http://schemas.openxmlformats.org/officeDocument/2006/relationships/hyperlink" Target="https://maps.google.com/?q=16.746951,-97.263445000000004" TargetMode="External"/><Relationship Id="rId7350" Type="http://schemas.openxmlformats.org/officeDocument/2006/relationships/hyperlink" Target="https://maps.google.com/?q=16.562774,-97.654818000000006" TargetMode="External"/><Relationship Id="rId8401" Type="http://schemas.openxmlformats.org/officeDocument/2006/relationships/hyperlink" Target="https://maps.google.com/?q=16.0899702111211,-96.243707915344203" TargetMode="External"/><Relationship Id="rId2495" Type="http://schemas.openxmlformats.org/officeDocument/2006/relationships/hyperlink" Target="https://maps.google.com/?q=17.052082328280168,-96.623651905623149" TargetMode="External"/><Relationship Id="rId3893" Type="http://schemas.openxmlformats.org/officeDocument/2006/relationships/hyperlink" Target="https://maps.google.com/?q=17.0924646458801,-96.066203841594898" TargetMode="External"/><Relationship Id="rId4944" Type="http://schemas.openxmlformats.org/officeDocument/2006/relationships/hyperlink" Target="https://maps.google.com/?q=15.9304418141118,-96.416510298074698" TargetMode="External"/><Relationship Id="rId7003" Type="http://schemas.openxmlformats.org/officeDocument/2006/relationships/hyperlink" Target="https://maps.google.com/?q=17.0383845576769,-97.304416322052106" TargetMode="External"/><Relationship Id="rId10331" Type="http://schemas.openxmlformats.org/officeDocument/2006/relationships/hyperlink" Target="https://maps.google.com/?q=16.231489,-97.266329999999996" TargetMode="External"/><Relationship Id="rId12089" Type="http://schemas.openxmlformats.org/officeDocument/2006/relationships/hyperlink" Target="https://maps.google.com/?q=16.24659114,-95.325402999999994" TargetMode="External"/><Relationship Id="rId13487" Type="http://schemas.openxmlformats.org/officeDocument/2006/relationships/hyperlink" Target="https://maps.google.com/?q=17.6896584010404,-97.043788975532607" TargetMode="External"/><Relationship Id="rId467" Type="http://schemas.openxmlformats.org/officeDocument/2006/relationships/hyperlink" Target="https://maps.google.com/?q=16.05364,-97.409344000000004" TargetMode="External"/><Relationship Id="rId1097" Type="http://schemas.openxmlformats.org/officeDocument/2006/relationships/hyperlink" Target="https://maps.google.com/?q=16.88639,-97.678100000000001" TargetMode="External"/><Relationship Id="rId2148" Type="http://schemas.openxmlformats.org/officeDocument/2006/relationships/hyperlink" Target="https://maps.google.com/?q=15.764719,-96.143772999999996" TargetMode="External"/><Relationship Id="rId3546" Type="http://schemas.openxmlformats.org/officeDocument/2006/relationships/hyperlink" Target="https://maps.google.com/?q=15.758039332738857,-96.149527506061418" TargetMode="External"/><Relationship Id="rId3960" Type="http://schemas.openxmlformats.org/officeDocument/2006/relationships/hyperlink" Target="https://maps.google.com/?q=17.061239,-96.756981999999994" TargetMode="External"/><Relationship Id="rId9175" Type="http://schemas.openxmlformats.org/officeDocument/2006/relationships/hyperlink" Target="https://maps.google.com/?q=17.3733062031531,-96.2989128708344" TargetMode="External"/><Relationship Id="rId13554" Type="http://schemas.openxmlformats.org/officeDocument/2006/relationships/hyperlink" Target="https://maps.google.com/?q=17.307067073503113,-97.4866715816841" TargetMode="External"/><Relationship Id="rId881" Type="http://schemas.openxmlformats.org/officeDocument/2006/relationships/hyperlink" Target="https://maps.google.com/?q=17.093496,-97.492895000000004" TargetMode="External"/><Relationship Id="rId2562" Type="http://schemas.openxmlformats.org/officeDocument/2006/relationships/hyperlink" Target="https://maps.google.com/?q=18.126556403507774,-96.88297545769232" TargetMode="External"/><Relationship Id="rId3613" Type="http://schemas.openxmlformats.org/officeDocument/2006/relationships/hyperlink" Target="https://maps.google.com/?q=15.776905165034224,-96.137158379201296" TargetMode="External"/><Relationship Id="rId6769" Type="http://schemas.openxmlformats.org/officeDocument/2006/relationships/hyperlink" Target="https://maps.google.com/?q=16.7120783899901,-97.022262732185894" TargetMode="External"/><Relationship Id="rId12156" Type="http://schemas.openxmlformats.org/officeDocument/2006/relationships/hyperlink" Target="https://maps.google.com/?q=16.129581,-96.367764" TargetMode="External"/><Relationship Id="rId12570" Type="http://schemas.openxmlformats.org/officeDocument/2006/relationships/hyperlink" Target="https://maps.google.com/?q=16.5780849319703,-96.950752972622098" TargetMode="External"/><Relationship Id="rId13207" Type="http://schemas.openxmlformats.org/officeDocument/2006/relationships/hyperlink" Target="https://maps.google.com/?q=17.3400072569052,-97.378965887200593" TargetMode="External"/><Relationship Id="rId13621" Type="http://schemas.openxmlformats.org/officeDocument/2006/relationships/hyperlink" Target="https://maps.google.com/?q=16.352335,-94.483882" TargetMode="External"/><Relationship Id="rId534" Type="http://schemas.openxmlformats.org/officeDocument/2006/relationships/hyperlink" Target="https://maps.google.com/?q=16.05269,-97.403136000000003" TargetMode="External"/><Relationship Id="rId1164" Type="http://schemas.openxmlformats.org/officeDocument/2006/relationships/hyperlink" Target="https://maps.google.com/?q=17.746769,-97.8185504" TargetMode="External"/><Relationship Id="rId2215" Type="http://schemas.openxmlformats.org/officeDocument/2006/relationships/hyperlink" Target="https://maps.google.com/?q=16.9930168790639,-97.251109571539104" TargetMode="External"/><Relationship Id="rId5785" Type="http://schemas.openxmlformats.org/officeDocument/2006/relationships/hyperlink" Target="https://maps.google.com/?q=17.3006447962763,-97.487721703079103" TargetMode="External"/><Relationship Id="rId6836" Type="http://schemas.openxmlformats.org/officeDocument/2006/relationships/hyperlink" Target="https://maps.google.com/?q=17.0070915526709,-96.978119976686401" TargetMode="External"/><Relationship Id="rId8191" Type="http://schemas.openxmlformats.org/officeDocument/2006/relationships/hyperlink" Target="https://maps.google.com/?q=16.668574,-96.300512999999995" TargetMode="External"/><Relationship Id="rId9242" Type="http://schemas.openxmlformats.org/officeDocument/2006/relationships/hyperlink" Target="https://maps.google.com/?q=17.3768894723764,-96.301279544680796" TargetMode="External"/><Relationship Id="rId11172" Type="http://schemas.openxmlformats.org/officeDocument/2006/relationships/hyperlink" Target="https://maps.google.com/?q=16.843374,-96.008842999999999" TargetMode="External"/><Relationship Id="rId12223" Type="http://schemas.openxmlformats.org/officeDocument/2006/relationships/hyperlink" Target="https://maps.google.com/?q=17.422520899163,-95.9513864752968" TargetMode="External"/><Relationship Id="rId601" Type="http://schemas.openxmlformats.org/officeDocument/2006/relationships/hyperlink" Target="https://maps.google.com/?q=16.054939,-97.395771999999994" TargetMode="External"/><Relationship Id="rId1231" Type="http://schemas.openxmlformats.org/officeDocument/2006/relationships/hyperlink" Target="https://maps.google.com/?q=17.05386,-96.73539000" TargetMode="External"/><Relationship Id="rId4387" Type="http://schemas.openxmlformats.org/officeDocument/2006/relationships/hyperlink" Target="https://maps.google.com/?q=15.99874023,-96.689012649999995" TargetMode="External"/><Relationship Id="rId5438" Type="http://schemas.openxmlformats.org/officeDocument/2006/relationships/hyperlink" Target="https://maps.google.com/?q=16.0062275189523,-97.425102187790898" TargetMode="External"/><Relationship Id="rId5852" Type="http://schemas.openxmlformats.org/officeDocument/2006/relationships/hyperlink" Target="https://maps.google.com/?q=16.0942848677655,-97.693585056072905" TargetMode="External"/><Relationship Id="rId4454" Type="http://schemas.openxmlformats.org/officeDocument/2006/relationships/hyperlink" Target="https://maps.google.com/?q=17.610213,-98.008121000000003" TargetMode="External"/><Relationship Id="rId5505" Type="http://schemas.openxmlformats.org/officeDocument/2006/relationships/hyperlink" Target="https://maps.google.com/?q=16.343415,-96.486073000000005" TargetMode="External"/><Relationship Id="rId6903" Type="http://schemas.openxmlformats.org/officeDocument/2006/relationships/hyperlink" Target="https://maps.google.com/?q=16.9755908879257,-97.089695769761903" TargetMode="External"/><Relationship Id="rId11989" Type="http://schemas.openxmlformats.org/officeDocument/2006/relationships/hyperlink" Target="https://maps.google.com/?q=16.800886135792,-96.709662504417594" TargetMode="External"/><Relationship Id="rId14048" Type="http://schemas.openxmlformats.org/officeDocument/2006/relationships/hyperlink" Target="https://maps.google.com/?q=17.667316,-97.473573" TargetMode="External"/><Relationship Id="rId3056" Type="http://schemas.openxmlformats.org/officeDocument/2006/relationships/hyperlink" Target="https://maps.google.com/?q=16.9636836430425,-96.939546285246493" TargetMode="External"/><Relationship Id="rId3470" Type="http://schemas.openxmlformats.org/officeDocument/2006/relationships/hyperlink" Target="https://maps.google.com/?q=17.914675638239,-97.996235543309098" TargetMode="External"/><Relationship Id="rId4107" Type="http://schemas.openxmlformats.org/officeDocument/2006/relationships/hyperlink" Target="https://maps.google.com/?q=17.058588,-96.743084899999999" TargetMode="External"/><Relationship Id="rId13064" Type="http://schemas.openxmlformats.org/officeDocument/2006/relationships/hyperlink" Target="https://maps.google.com/?q=16.56298647,-97.531682399999994" TargetMode="External"/><Relationship Id="rId391" Type="http://schemas.openxmlformats.org/officeDocument/2006/relationships/hyperlink" Target="https://maps.google.com/?q=16.063259,-97.380872999999994" TargetMode="External"/><Relationship Id="rId2072" Type="http://schemas.openxmlformats.org/officeDocument/2006/relationships/hyperlink" Target="https://maps.google.com/?q=15.7720349303156,-96.246075143754652" TargetMode="External"/><Relationship Id="rId3123" Type="http://schemas.openxmlformats.org/officeDocument/2006/relationships/hyperlink" Target="https://maps.google.com/?q=16.583266,-97.443721999999994" TargetMode="External"/><Relationship Id="rId4521" Type="http://schemas.openxmlformats.org/officeDocument/2006/relationships/hyperlink" Target="https://maps.google.com/?q=17.181304408524,-97.304788044145695" TargetMode="External"/><Relationship Id="rId6279" Type="http://schemas.openxmlformats.org/officeDocument/2006/relationships/hyperlink" Target="https://maps.google.com/?q=16.4189382162804,-96.723439637432605" TargetMode="External"/><Relationship Id="rId7677" Type="http://schemas.openxmlformats.org/officeDocument/2006/relationships/hyperlink" Target="https://maps.google.com/?q=17.200099839466,-97.5118806722096" TargetMode="External"/><Relationship Id="rId8728" Type="http://schemas.openxmlformats.org/officeDocument/2006/relationships/hyperlink" Target="https://maps.google.com/?q=17.0580924553369,-96.825045683185195" TargetMode="External"/><Relationship Id="rId10658" Type="http://schemas.openxmlformats.org/officeDocument/2006/relationships/hyperlink" Target="https://maps.google.com/?q=17.1249406126887,-97.792621012208798" TargetMode="External"/><Relationship Id="rId11709" Type="http://schemas.openxmlformats.org/officeDocument/2006/relationships/hyperlink" Target="https://maps.google.com/?q=17.18300816,-97.707083949999998" TargetMode="External"/><Relationship Id="rId14115" Type="http://schemas.openxmlformats.org/officeDocument/2006/relationships/hyperlink" Target="https://maps.google.com/?q=17.47050871663904,-96.04363326723019" TargetMode="External"/><Relationship Id="rId6693" Type="http://schemas.openxmlformats.org/officeDocument/2006/relationships/hyperlink" Target="https://maps.google.com/?q=16.9388422109549,-96.968809907095405" TargetMode="External"/><Relationship Id="rId7744" Type="http://schemas.openxmlformats.org/officeDocument/2006/relationships/hyperlink" Target="https://maps.google.com/?q=16.6319748806792,-96.799555651240198" TargetMode="External"/><Relationship Id="rId10725" Type="http://schemas.openxmlformats.org/officeDocument/2006/relationships/hyperlink" Target="https://maps.google.com/?q=18.13222,-97.070751000000001" TargetMode="External"/><Relationship Id="rId12080" Type="http://schemas.openxmlformats.org/officeDocument/2006/relationships/hyperlink" Target="https://maps.google.com/?q=16.24498938,-95.325451839999999" TargetMode="External"/><Relationship Id="rId13131" Type="http://schemas.openxmlformats.org/officeDocument/2006/relationships/hyperlink" Target="https://maps.google.com/?q=17.1852201577681,-96.513419463789006" TargetMode="External"/><Relationship Id="rId2889" Type="http://schemas.openxmlformats.org/officeDocument/2006/relationships/hyperlink" Target="https://maps.google.com/?q=17.532861,-95.943583000000004" TargetMode="External"/><Relationship Id="rId5295" Type="http://schemas.openxmlformats.org/officeDocument/2006/relationships/hyperlink" Target="https://maps.google.com/?q=15.7167676526466,-96.471191927303806" TargetMode="External"/><Relationship Id="rId6346" Type="http://schemas.openxmlformats.org/officeDocument/2006/relationships/hyperlink" Target="https://maps.google.com/?q=18.0626124369145,-96.401840300592696" TargetMode="External"/><Relationship Id="rId6760" Type="http://schemas.openxmlformats.org/officeDocument/2006/relationships/hyperlink" Target="https://maps.google.com/?q=16.7065089,-97.018410700000004" TargetMode="External"/><Relationship Id="rId7811" Type="http://schemas.openxmlformats.org/officeDocument/2006/relationships/hyperlink" Target="https://maps.google.com/?q=17.8462317967932,-96.743757558895496" TargetMode="External"/><Relationship Id="rId12897" Type="http://schemas.openxmlformats.org/officeDocument/2006/relationships/hyperlink" Target="https://maps.google.com/?q=16.505998,-97.517892000000003" TargetMode="External"/><Relationship Id="rId111" Type="http://schemas.openxmlformats.org/officeDocument/2006/relationships/hyperlink" Target="https://maps.google.com/?q=17.096421,-97.496446000000006" TargetMode="External"/><Relationship Id="rId2956" Type="http://schemas.openxmlformats.org/officeDocument/2006/relationships/hyperlink" Target="https://maps.google.com/?q=17.08254522,-96.693841579999997" TargetMode="External"/><Relationship Id="rId5362" Type="http://schemas.openxmlformats.org/officeDocument/2006/relationships/hyperlink" Target="https://maps.google.com/?q=16.1260383004568,-97.6056382986269" TargetMode="External"/><Relationship Id="rId6413" Type="http://schemas.openxmlformats.org/officeDocument/2006/relationships/hyperlink" Target="https://maps.google.com/?q=17.2207302469496,-97.592472219745304" TargetMode="External"/><Relationship Id="rId9569" Type="http://schemas.openxmlformats.org/officeDocument/2006/relationships/hyperlink" Target="https://maps.google.com/?q=17.360781,-96.294319999999999" TargetMode="External"/><Relationship Id="rId9983" Type="http://schemas.openxmlformats.org/officeDocument/2006/relationships/hyperlink" Target="https://maps.google.com/?q=16.0946333190567,-95.529698782373501" TargetMode="External"/><Relationship Id="rId11499" Type="http://schemas.openxmlformats.org/officeDocument/2006/relationships/hyperlink" Target="https://maps.google.com/?q=16.6088360102221,-96.848798760735605" TargetMode="External"/><Relationship Id="rId13948" Type="http://schemas.openxmlformats.org/officeDocument/2006/relationships/hyperlink" Target="https://maps.google.com/?q=17.062548,-97.976092" TargetMode="External"/><Relationship Id="rId928" Type="http://schemas.openxmlformats.org/officeDocument/2006/relationships/hyperlink" Target="https://maps.google.com/?q=15.710367984837037,-96.529521333099581" TargetMode="External"/><Relationship Id="rId1558" Type="http://schemas.openxmlformats.org/officeDocument/2006/relationships/hyperlink" Target="https://maps.google.com/?q=16.9552759213522,-97.449215626983602" TargetMode="External"/><Relationship Id="rId2609" Type="http://schemas.openxmlformats.org/officeDocument/2006/relationships/hyperlink" Target="https://maps.google.com/?q=18.228747,-96.280123000000003" TargetMode="External"/><Relationship Id="rId5015" Type="http://schemas.openxmlformats.org/officeDocument/2006/relationships/hyperlink" Target="https://maps.google.com/?q=17.37380316024234,-96.33246999999999" TargetMode="External"/><Relationship Id="rId8585" Type="http://schemas.openxmlformats.org/officeDocument/2006/relationships/hyperlink" Target="https://maps.google.com/?q=16.934447696947,-96.606745126032607" TargetMode="External"/><Relationship Id="rId9636" Type="http://schemas.openxmlformats.org/officeDocument/2006/relationships/hyperlink" Target="https://maps.google.com/?q=17.1551466557815,-96.753728883885898" TargetMode="External"/><Relationship Id="rId12964" Type="http://schemas.openxmlformats.org/officeDocument/2006/relationships/hyperlink" Target="https://maps.google.com/?q=16.510439,-97.485135999999997" TargetMode="External"/><Relationship Id="rId1972" Type="http://schemas.openxmlformats.org/officeDocument/2006/relationships/hyperlink" Target="https://maps.google.com/?q=15.773401,-96.144668" TargetMode="External"/><Relationship Id="rId4031" Type="http://schemas.openxmlformats.org/officeDocument/2006/relationships/hyperlink" Target="https://maps.google.com/?q=17.02036688529484,-96.718112242423189" TargetMode="External"/><Relationship Id="rId7187" Type="http://schemas.openxmlformats.org/officeDocument/2006/relationships/hyperlink" Target="https://maps.google.com/?q=16.2222471002479,-97.920863970936693" TargetMode="External"/><Relationship Id="rId8238" Type="http://schemas.openxmlformats.org/officeDocument/2006/relationships/hyperlink" Target="https://maps.google.com/?q=16.424208,-97.641098" TargetMode="External"/><Relationship Id="rId10168" Type="http://schemas.openxmlformats.org/officeDocument/2006/relationships/hyperlink" Target="https://maps.google.com/?q=17.1096579229706,-97.494499940562704" TargetMode="External"/><Relationship Id="rId11566" Type="http://schemas.openxmlformats.org/officeDocument/2006/relationships/hyperlink" Target="https://maps.google.com/?q=16.8468318836124,-96.748437603670098" TargetMode="External"/><Relationship Id="rId11980" Type="http://schemas.openxmlformats.org/officeDocument/2006/relationships/hyperlink" Target="https://maps.google.com/?q=16.800195694211,-96.725437702447294" TargetMode="External"/><Relationship Id="rId12617" Type="http://schemas.openxmlformats.org/officeDocument/2006/relationships/hyperlink" Target="https://maps.google.com/?q=17.118856,-96.850493999999998" TargetMode="External"/><Relationship Id="rId1625" Type="http://schemas.openxmlformats.org/officeDocument/2006/relationships/hyperlink" Target="https://maps.google.com/?q=15.9191849574021,-96.414989697091798" TargetMode="External"/><Relationship Id="rId7254" Type="http://schemas.openxmlformats.org/officeDocument/2006/relationships/hyperlink" Target="https://maps.google.com/?q=16.0976045895598,-97.922815280000606" TargetMode="External"/><Relationship Id="rId8305" Type="http://schemas.openxmlformats.org/officeDocument/2006/relationships/hyperlink" Target="https://maps.google.com/?q=16.538495,-98.032702999999998" TargetMode="External"/><Relationship Id="rId8652" Type="http://schemas.openxmlformats.org/officeDocument/2006/relationships/hyperlink" Target="https://maps.google.com/?q=17.032183208,-97.802932832" TargetMode="External"/><Relationship Id="rId9703" Type="http://schemas.openxmlformats.org/officeDocument/2006/relationships/hyperlink" Target="https://maps.google.com/?q=16.4256545958882,-95.033112432294701" TargetMode="External"/><Relationship Id="rId10582" Type="http://schemas.openxmlformats.org/officeDocument/2006/relationships/hyperlink" Target="https://maps.google.com/?q=17.101214856646,-97.772691530094804" TargetMode="External"/><Relationship Id="rId11219" Type="http://schemas.openxmlformats.org/officeDocument/2006/relationships/hyperlink" Target="https://maps.google.com/?q=16.54035,-98.168492" TargetMode="External"/><Relationship Id="rId11633" Type="http://schemas.openxmlformats.org/officeDocument/2006/relationships/hyperlink" Target="https://maps.google.com/?q=16.8416635549966,-96.7284554429569" TargetMode="External"/><Relationship Id="rId3797" Type="http://schemas.openxmlformats.org/officeDocument/2006/relationships/hyperlink" Target="https://maps.google.com/?q=15.771128396407276,-96.234419697304276" TargetMode="External"/><Relationship Id="rId4848" Type="http://schemas.openxmlformats.org/officeDocument/2006/relationships/hyperlink" Target="https://maps.google.com/?q=17.3384972051496,-96.168347988317805" TargetMode="External"/><Relationship Id="rId10235" Type="http://schemas.openxmlformats.org/officeDocument/2006/relationships/hyperlink" Target="https://maps.google.com/?q=17.195729074694746,-97.39998856264076" TargetMode="External"/><Relationship Id="rId11700" Type="http://schemas.openxmlformats.org/officeDocument/2006/relationships/hyperlink" Target="https://maps.google.com/?q=17.18197773,-97.710234479999997" TargetMode="External"/><Relationship Id="rId2399" Type="http://schemas.openxmlformats.org/officeDocument/2006/relationships/hyperlink" Target="https://maps.google.com/?q=16.6037949692958,-97.217273478504595" TargetMode="External"/><Relationship Id="rId3864" Type="http://schemas.openxmlformats.org/officeDocument/2006/relationships/hyperlink" Target="https://maps.google.com/?q=17.1024663379069,-95.938444749070598" TargetMode="External"/><Relationship Id="rId4915" Type="http://schemas.openxmlformats.org/officeDocument/2006/relationships/hyperlink" Target="https://maps.google.com/?q=18.031918,-96.674605" TargetMode="External"/><Relationship Id="rId6270" Type="http://schemas.openxmlformats.org/officeDocument/2006/relationships/hyperlink" Target="https://maps.google.com/?q=16.4053629857035,-96.719486792658103" TargetMode="External"/><Relationship Id="rId7321" Type="http://schemas.openxmlformats.org/officeDocument/2006/relationships/hyperlink" Target="https://maps.google.com/?q=16.72816209,-96.472929750000006" TargetMode="External"/><Relationship Id="rId10302" Type="http://schemas.openxmlformats.org/officeDocument/2006/relationships/hyperlink" Target="https://maps.google.com/?q=16.22293711,-97.269649240000007" TargetMode="External"/><Relationship Id="rId13458" Type="http://schemas.openxmlformats.org/officeDocument/2006/relationships/hyperlink" Target="https://maps.google.com/?q=17.6863438718312,-97.031378337231601" TargetMode="External"/><Relationship Id="rId13872" Type="http://schemas.openxmlformats.org/officeDocument/2006/relationships/hyperlink" Target="https://maps.google.com/?q=16.2699898011233,-96.581066421060996" TargetMode="External"/><Relationship Id="rId785" Type="http://schemas.openxmlformats.org/officeDocument/2006/relationships/hyperlink" Target="https://maps.google.com/?q=15.690438623982743,-96.517606626107607" TargetMode="External"/><Relationship Id="rId2466" Type="http://schemas.openxmlformats.org/officeDocument/2006/relationships/hyperlink" Target="https://maps.google.com/?q=17.05170859,-96.624558969999995" TargetMode="External"/><Relationship Id="rId2880" Type="http://schemas.openxmlformats.org/officeDocument/2006/relationships/hyperlink" Target="https://maps.google.com/?q=18.228409,-96.278225000000006" TargetMode="External"/><Relationship Id="rId3517" Type="http://schemas.openxmlformats.org/officeDocument/2006/relationships/hyperlink" Target="https://maps.google.com/?q=15.761112,-96.149671" TargetMode="External"/><Relationship Id="rId3931" Type="http://schemas.openxmlformats.org/officeDocument/2006/relationships/hyperlink" Target="https://maps.google.com/?q=17.058951,-96.751512000000005" TargetMode="External"/><Relationship Id="rId9079" Type="http://schemas.openxmlformats.org/officeDocument/2006/relationships/hyperlink" Target="https://maps.google.com/?q=16.061398,-95.497805999999997" TargetMode="External"/><Relationship Id="rId9493" Type="http://schemas.openxmlformats.org/officeDocument/2006/relationships/hyperlink" Target="https://maps.google.com/?q=16.777975,-96.959224" TargetMode="External"/><Relationship Id="rId12474" Type="http://schemas.openxmlformats.org/officeDocument/2006/relationships/hyperlink" Target="https://maps.google.com/?q=17.2219951356936,-97.270976010381105" TargetMode="External"/><Relationship Id="rId13525" Type="http://schemas.openxmlformats.org/officeDocument/2006/relationships/hyperlink" Target="https://maps.google.com/?q=18.09695057796257,-96.9253461790638" TargetMode="External"/><Relationship Id="rId438" Type="http://schemas.openxmlformats.org/officeDocument/2006/relationships/hyperlink" Target="https://maps.google.com/?q=16.053419,-97.410045999999994" TargetMode="External"/><Relationship Id="rId852" Type="http://schemas.openxmlformats.org/officeDocument/2006/relationships/hyperlink" Target="https://maps.google.com/?q=15.707866927748464,-96.52544528184788" TargetMode="External"/><Relationship Id="rId1068" Type="http://schemas.openxmlformats.org/officeDocument/2006/relationships/hyperlink" Target="https://maps.google.com/?q=17.090118,-97.492348000000007" TargetMode="External"/><Relationship Id="rId1482" Type="http://schemas.openxmlformats.org/officeDocument/2006/relationships/hyperlink" Target="https://maps.google.com/?q=17.058717,-96.753580999999997" TargetMode="External"/><Relationship Id="rId2119" Type="http://schemas.openxmlformats.org/officeDocument/2006/relationships/hyperlink" Target="https://maps.google.com/?q=15.761799,-96.142854" TargetMode="External"/><Relationship Id="rId2533" Type="http://schemas.openxmlformats.org/officeDocument/2006/relationships/hyperlink" Target="https://maps.google.com/?q=17.05272689,-96.624382319999995" TargetMode="External"/><Relationship Id="rId5689" Type="http://schemas.openxmlformats.org/officeDocument/2006/relationships/hyperlink" Target="https://maps.google.com/?q=16.43493,-97.901736" TargetMode="External"/><Relationship Id="rId8095" Type="http://schemas.openxmlformats.org/officeDocument/2006/relationships/hyperlink" Target="https://maps.google.com/?q=17.354727732596,-96.305503029999997" TargetMode="External"/><Relationship Id="rId9146" Type="http://schemas.openxmlformats.org/officeDocument/2006/relationships/hyperlink" Target="https://maps.google.com/?q=16.9737972641343,-97.087619574239895" TargetMode="External"/><Relationship Id="rId9560" Type="http://schemas.openxmlformats.org/officeDocument/2006/relationships/hyperlink" Target="https://maps.google.com/?q=17.358483,-96.294044" TargetMode="External"/><Relationship Id="rId11076" Type="http://schemas.openxmlformats.org/officeDocument/2006/relationships/hyperlink" Target="https://maps.google.com/?q=17.289278926623,-97.381602507018101" TargetMode="External"/><Relationship Id="rId12127" Type="http://schemas.openxmlformats.org/officeDocument/2006/relationships/hyperlink" Target="https://maps.google.com/?q=16.2834055548517,-97.673635881969105" TargetMode="External"/><Relationship Id="rId505" Type="http://schemas.openxmlformats.org/officeDocument/2006/relationships/hyperlink" Target="https://maps.google.com/?q=16.053499,-97.405055000000004" TargetMode="External"/><Relationship Id="rId1135" Type="http://schemas.openxmlformats.org/officeDocument/2006/relationships/hyperlink" Target="https://maps.google.com/?q=17.095534,-97.497962000000001" TargetMode="External"/><Relationship Id="rId8162" Type="http://schemas.openxmlformats.org/officeDocument/2006/relationships/hyperlink" Target="https://maps.google.com/?q=17.3578132255333,-96.302583200517603" TargetMode="External"/><Relationship Id="rId9213" Type="http://schemas.openxmlformats.org/officeDocument/2006/relationships/hyperlink" Target="https://maps.google.com/?q=17.3750391151026,-96.300255912057295" TargetMode="External"/><Relationship Id="rId10092" Type="http://schemas.openxmlformats.org/officeDocument/2006/relationships/hyperlink" Target="https://maps.google.com/?q=17.0175793195464,-96.126092140267602" TargetMode="External"/><Relationship Id="rId11143" Type="http://schemas.openxmlformats.org/officeDocument/2006/relationships/hyperlink" Target="https://maps.google.com/?q=16.836996,-96.012319000000005" TargetMode="External"/><Relationship Id="rId11490" Type="http://schemas.openxmlformats.org/officeDocument/2006/relationships/hyperlink" Target="https://maps.google.com/?q=16.3077972794894,-96.638453699464094" TargetMode="External"/><Relationship Id="rId12541" Type="http://schemas.openxmlformats.org/officeDocument/2006/relationships/hyperlink" Target="https://maps.google.com/?q=16.9699776053209,-97.911966847919601" TargetMode="External"/><Relationship Id="rId1202" Type="http://schemas.openxmlformats.org/officeDocument/2006/relationships/hyperlink" Target="https://maps.google.com/?q=17.9545,-96.163658" TargetMode="External"/><Relationship Id="rId2600" Type="http://schemas.openxmlformats.org/officeDocument/2006/relationships/hyperlink" Target="https://maps.google.com/?q=18.251062,-96.288667000000004" TargetMode="External"/><Relationship Id="rId4358" Type="http://schemas.openxmlformats.org/officeDocument/2006/relationships/hyperlink" Target="https://maps.google.com/?q=15.9596256,-96.637671220000001" TargetMode="External"/><Relationship Id="rId5409" Type="http://schemas.openxmlformats.org/officeDocument/2006/relationships/hyperlink" Target="https://maps.google.com/?q=16.0962969956556,-97.703310201854094" TargetMode="External"/><Relationship Id="rId5756" Type="http://schemas.openxmlformats.org/officeDocument/2006/relationships/hyperlink" Target="https://maps.google.com/?q=18.050525,-96.764820999999998" TargetMode="External"/><Relationship Id="rId6807" Type="http://schemas.openxmlformats.org/officeDocument/2006/relationships/hyperlink" Target="https://maps.google.com/?q=16.3628263873371,-97.045592725413499" TargetMode="External"/><Relationship Id="rId4772" Type="http://schemas.openxmlformats.org/officeDocument/2006/relationships/hyperlink" Target="https://maps.google.com/?q=17.9570319307922,-96.658390495700999" TargetMode="External"/><Relationship Id="rId5823" Type="http://schemas.openxmlformats.org/officeDocument/2006/relationships/hyperlink" Target="https://maps.google.com/?q=17.1191733618447,-96.803635058283803" TargetMode="External"/><Relationship Id="rId8979" Type="http://schemas.openxmlformats.org/officeDocument/2006/relationships/hyperlink" Target="https://maps.google.com/?q=17.381786998,-96.162325281999998" TargetMode="External"/><Relationship Id="rId11210" Type="http://schemas.openxmlformats.org/officeDocument/2006/relationships/hyperlink" Target="https://maps.google.com/?q=16.99921,-97.798141999999999" TargetMode="External"/><Relationship Id="rId295" Type="http://schemas.openxmlformats.org/officeDocument/2006/relationships/hyperlink" Target="https://maps.google.com/?q=16.88422,-97.677009999999996" TargetMode="External"/><Relationship Id="rId3374" Type="http://schemas.openxmlformats.org/officeDocument/2006/relationships/hyperlink" Target="https://maps.google.com/?q=17.0696895395054,-97.7879016705524" TargetMode="External"/><Relationship Id="rId4425" Type="http://schemas.openxmlformats.org/officeDocument/2006/relationships/hyperlink" Target="https://maps.google.com/?q=16.0087537,-96.682226240000006" TargetMode="External"/><Relationship Id="rId7995" Type="http://schemas.openxmlformats.org/officeDocument/2006/relationships/hyperlink" Target="https://maps.google.com/?q=18.1634965912688,-96.873400028053496" TargetMode="External"/><Relationship Id="rId10976" Type="http://schemas.openxmlformats.org/officeDocument/2006/relationships/hyperlink" Target="https://maps.google.com/?q=16.220827327975,-95.215204089999901" TargetMode="External"/><Relationship Id="rId13382" Type="http://schemas.openxmlformats.org/officeDocument/2006/relationships/hyperlink" Target="https://maps.google.com/?q=16.3238678729791,-96.680529923942601" TargetMode="External"/><Relationship Id="rId14019" Type="http://schemas.openxmlformats.org/officeDocument/2006/relationships/hyperlink" Target="https://maps.google.com/?q=17.816345,-97.434696" TargetMode="External"/><Relationship Id="rId2390" Type="http://schemas.openxmlformats.org/officeDocument/2006/relationships/hyperlink" Target="https://maps.google.com/?q=16.593729,-97.222324999999998" TargetMode="External"/><Relationship Id="rId3027" Type="http://schemas.openxmlformats.org/officeDocument/2006/relationships/hyperlink" Target="https://maps.google.com/?q=16.9394128,-97.016477300000005" TargetMode="External"/><Relationship Id="rId3441" Type="http://schemas.openxmlformats.org/officeDocument/2006/relationships/hyperlink" Target="https://maps.google.com/?q=17.0679238693336,-96.973622647581095" TargetMode="External"/><Relationship Id="rId6597" Type="http://schemas.openxmlformats.org/officeDocument/2006/relationships/hyperlink" Target="https://maps.google.com/?q=17.103001,-96.065696" TargetMode="External"/><Relationship Id="rId7648" Type="http://schemas.openxmlformats.org/officeDocument/2006/relationships/hyperlink" Target="https://maps.google.com/?q=17.2318070683987,-95.057995145938605" TargetMode="External"/><Relationship Id="rId10629" Type="http://schemas.openxmlformats.org/officeDocument/2006/relationships/hyperlink" Target="https://maps.google.com/?q=17.1181275793006,-97.787386570000095" TargetMode="External"/><Relationship Id="rId13035" Type="http://schemas.openxmlformats.org/officeDocument/2006/relationships/hyperlink" Target="https://maps.google.com/?q=16.5613468,-97.541234579999994" TargetMode="External"/><Relationship Id="rId362" Type="http://schemas.openxmlformats.org/officeDocument/2006/relationships/hyperlink" Target="https://maps.google.com/?q=16.05364,-97.409344000000004" TargetMode="External"/><Relationship Id="rId2043" Type="http://schemas.openxmlformats.org/officeDocument/2006/relationships/hyperlink" Target="https://maps.google.com/?q=15.76031852973088,-96.141522339402442" TargetMode="External"/><Relationship Id="rId5199" Type="http://schemas.openxmlformats.org/officeDocument/2006/relationships/hyperlink" Target="https://maps.google.com/?q=17.317174,-95.969849999999994" TargetMode="External"/><Relationship Id="rId6664" Type="http://schemas.openxmlformats.org/officeDocument/2006/relationships/hyperlink" Target="https://maps.google.com/?q=16.939042,-97.013976" TargetMode="External"/><Relationship Id="rId7715" Type="http://schemas.openxmlformats.org/officeDocument/2006/relationships/hyperlink" Target="https://maps.google.com/?q=16.628875898564,-96.800547589617494" TargetMode="External"/><Relationship Id="rId9070" Type="http://schemas.openxmlformats.org/officeDocument/2006/relationships/hyperlink" Target="https://maps.google.com/?q=16.058959,-95.492211999999995" TargetMode="External"/><Relationship Id="rId12051" Type="http://schemas.openxmlformats.org/officeDocument/2006/relationships/hyperlink" Target="https://maps.google.com/?q=16.107236,-97.204859999999996" TargetMode="External"/><Relationship Id="rId13102" Type="http://schemas.openxmlformats.org/officeDocument/2006/relationships/hyperlink" Target="https://maps.google.com/?q=16.565453,-97.533929000000001" TargetMode="External"/><Relationship Id="rId2110" Type="http://schemas.openxmlformats.org/officeDocument/2006/relationships/hyperlink" Target="https://maps.google.com/?q=15.769558,-96.151931" TargetMode="External"/><Relationship Id="rId5266" Type="http://schemas.openxmlformats.org/officeDocument/2006/relationships/hyperlink" Target="https://maps.google.com/?q=15.7219660361391,-96.392287755594595" TargetMode="External"/><Relationship Id="rId5680" Type="http://schemas.openxmlformats.org/officeDocument/2006/relationships/hyperlink" Target="https://maps.google.com/?q=16.433769,-97.897542000000001" TargetMode="External"/><Relationship Id="rId6317" Type="http://schemas.openxmlformats.org/officeDocument/2006/relationships/hyperlink" Target="https://maps.google.com/?q=18.0583951781737,-96.3994380252485" TargetMode="External"/><Relationship Id="rId9887" Type="http://schemas.openxmlformats.org/officeDocument/2006/relationships/hyperlink" Target="https://maps.google.com/?q=16.6375456727703,-96.850264403373004" TargetMode="External"/><Relationship Id="rId4282" Type="http://schemas.openxmlformats.org/officeDocument/2006/relationships/hyperlink" Target="https://maps.google.com/?q=16.06075168,-96.609172180000002" TargetMode="External"/><Relationship Id="rId5333" Type="http://schemas.openxmlformats.org/officeDocument/2006/relationships/hyperlink" Target="https://maps.google.com/?q=15.8104353626746,-96.3574417108603" TargetMode="External"/><Relationship Id="rId6731" Type="http://schemas.openxmlformats.org/officeDocument/2006/relationships/hyperlink" Target="https://maps.google.com/?q=17.0380315060836,-96.9842496228013" TargetMode="External"/><Relationship Id="rId8489" Type="http://schemas.openxmlformats.org/officeDocument/2006/relationships/hyperlink" Target="https://maps.google.com/?q=17.155522945079,-97.5336103840841" TargetMode="External"/><Relationship Id="rId12868" Type="http://schemas.openxmlformats.org/officeDocument/2006/relationships/hyperlink" Target="https://maps.google.com/?q=17.519019,-97.685715000000002" TargetMode="External"/><Relationship Id="rId13919" Type="http://schemas.openxmlformats.org/officeDocument/2006/relationships/hyperlink" Target="https://maps.google.com/?q=16.8575597459038,-96.814925701045098" TargetMode="External"/><Relationship Id="rId1876" Type="http://schemas.openxmlformats.org/officeDocument/2006/relationships/hyperlink" Target="https://maps.google.com/?q=15.775495382559859,-96.135713964030813" TargetMode="External"/><Relationship Id="rId2927" Type="http://schemas.openxmlformats.org/officeDocument/2006/relationships/hyperlink" Target="https://maps.google.com/?q=17.07681315,-96.681491809999997" TargetMode="External"/><Relationship Id="rId9954" Type="http://schemas.openxmlformats.org/officeDocument/2006/relationships/hyperlink" Target="https://maps.google.com/?q=17.610427924810683,-98.01434426012715" TargetMode="External"/><Relationship Id="rId11884" Type="http://schemas.openxmlformats.org/officeDocument/2006/relationships/hyperlink" Target="https://maps.google.com/?q=18.282715685608096,-97.79691834491348" TargetMode="External"/><Relationship Id="rId12935" Type="http://schemas.openxmlformats.org/officeDocument/2006/relationships/hyperlink" Target="https://maps.google.com/?q=16.543009,-97.547246999999999" TargetMode="External"/><Relationship Id="rId1529" Type="http://schemas.openxmlformats.org/officeDocument/2006/relationships/hyperlink" Target="https://maps.google.com/?q=17.062009,-96.757019999999997" TargetMode="External"/><Relationship Id="rId1943" Type="http://schemas.openxmlformats.org/officeDocument/2006/relationships/hyperlink" Target="https://maps.google.com/?q=15.777483405351116,-96.137178238471165" TargetMode="External"/><Relationship Id="rId5400" Type="http://schemas.openxmlformats.org/officeDocument/2006/relationships/hyperlink" Target="https://maps.google.com/?q=16.0936515265107,-97.6968666855404" TargetMode="External"/><Relationship Id="rId8556" Type="http://schemas.openxmlformats.org/officeDocument/2006/relationships/hyperlink" Target="https://maps.google.com/?q=16.9251458328138,-96.606000568122795" TargetMode="External"/><Relationship Id="rId8970" Type="http://schemas.openxmlformats.org/officeDocument/2006/relationships/hyperlink" Target="https://maps.google.com/?q=17.381615068,-96.161030127999993" TargetMode="External"/><Relationship Id="rId9607" Type="http://schemas.openxmlformats.org/officeDocument/2006/relationships/hyperlink" Target="https://maps.google.com/?q=17.9969255347977,-96.741346714790197" TargetMode="External"/><Relationship Id="rId10486" Type="http://schemas.openxmlformats.org/officeDocument/2006/relationships/hyperlink" Target="https://maps.google.com/?q=17.844686726084,-96.745689335789805" TargetMode="External"/><Relationship Id="rId11537" Type="http://schemas.openxmlformats.org/officeDocument/2006/relationships/hyperlink" Target="https://maps.google.com/?q=16.6174358164248,-96.856133051499199" TargetMode="External"/><Relationship Id="rId11951" Type="http://schemas.openxmlformats.org/officeDocument/2006/relationships/hyperlink" Target="https://maps.google.com/?q=16.7958688810365,-96.715969517790597" TargetMode="External"/><Relationship Id="rId4002" Type="http://schemas.openxmlformats.org/officeDocument/2006/relationships/hyperlink" Target="https://maps.google.com/?q=17.01772643230838,-96.71859303846837" TargetMode="External"/><Relationship Id="rId7158" Type="http://schemas.openxmlformats.org/officeDocument/2006/relationships/hyperlink" Target="https://maps.google.com/?q=16.1940270525343,-97.924021431045702" TargetMode="External"/><Relationship Id="rId7572" Type="http://schemas.openxmlformats.org/officeDocument/2006/relationships/hyperlink" Target="https://maps.google.com/?q=17.3290268705758,-95.269792596152897" TargetMode="External"/><Relationship Id="rId8209" Type="http://schemas.openxmlformats.org/officeDocument/2006/relationships/hyperlink" Target="https://maps.google.com/?q=16.3721402769336,-97.675294462184297" TargetMode="External"/><Relationship Id="rId8623" Type="http://schemas.openxmlformats.org/officeDocument/2006/relationships/hyperlink" Target="https://maps.google.com/?q=17.8987447965607,-96.715110021681497" TargetMode="External"/><Relationship Id="rId10139" Type="http://schemas.openxmlformats.org/officeDocument/2006/relationships/hyperlink" Target="https://maps.google.com/?q=17.0973671453386,-97.496457008895504" TargetMode="External"/><Relationship Id="rId10553" Type="http://schemas.openxmlformats.org/officeDocument/2006/relationships/hyperlink" Target="https://maps.google.com/?q=17.0926235955894,-97.788259428583004" TargetMode="External"/><Relationship Id="rId11604" Type="http://schemas.openxmlformats.org/officeDocument/2006/relationships/hyperlink" Target="https://maps.google.com/?q=16.8361072250504,-96.726031023313496" TargetMode="External"/><Relationship Id="rId14010" Type="http://schemas.openxmlformats.org/officeDocument/2006/relationships/hyperlink" Target="https://maps.google.com/?q=17.066508,-96.710516" TargetMode="External"/><Relationship Id="rId3768" Type="http://schemas.openxmlformats.org/officeDocument/2006/relationships/hyperlink" Target="https://maps.google.com/?q=15.763132,-96.141874999999999" TargetMode="External"/><Relationship Id="rId4819" Type="http://schemas.openxmlformats.org/officeDocument/2006/relationships/hyperlink" Target="https://maps.google.com/?q=16.9079880026527,-96.501942329447701" TargetMode="External"/><Relationship Id="rId6174" Type="http://schemas.openxmlformats.org/officeDocument/2006/relationships/hyperlink" Target="https://maps.google.com/?q=16.1429466527145,-96.4168312711639" TargetMode="External"/><Relationship Id="rId7225" Type="http://schemas.openxmlformats.org/officeDocument/2006/relationships/hyperlink" Target="https://maps.google.com/?q=16.229117572794,-97.943410492063606" TargetMode="External"/><Relationship Id="rId10206" Type="http://schemas.openxmlformats.org/officeDocument/2006/relationships/hyperlink" Target="https://maps.google.com/?q=17.18380012,-97.38104711" TargetMode="External"/><Relationship Id="rId689" Type="http://schemas.openxmlformats.org/officeDocument/2006/relationships/hyperlink" Target="https://maps.google.com/?q=16.059803,-97.387564999999995" TargetMode="External"/><Relationship Id="rId2784" Type="http://schemas.openxmlformats.org/officeDocument/2006/relationships/hyperlink" Target="https://maps.google.com/?q=16.9928311746045,-97.703674706099605" TargetMode="External"/><Relationship Id="rId5190" Type="http://schemas.openxmlformats.org/officeDocument/2006/relationships/hyperlink" Target="https://maps.google.com/?q=17.316302,-95.966555" TargetMode="External"/><Relationship Id="rId6241" Type="http://schemas.openxmlformats.org/officeDocument/2006/relationships/hyperlink" Target="https://maps.google.com/?q=16.23992153,-96.402450799999997" TargetMode="External"/><Relationship Id="rId9397" Type="http://schemas.openxmlformats.org/officeDocument/2006/relationships/hyperlink" Target="https://maps.google.com/?q=16.8212830989043,-95.139511415532596" TargetMode="External"/><Relationship Id="rId10620" Type="http://schemas.openxmlformats.org/officeDocument/2006/relationships/hyperlink" Target="https://maps.google.com/?q=17.1108681291995,-97.784852214418294" TargetMode="External"/><Relationship Id="rId12378" Type="http://schemas.openxmlformats.org/officeDocument/2006/relationships/hyperlink" Target="https://maps.google.com/?q=17.224611,-97.273248" TargetMode="External"/><Relationship Id="rId13776" Type="http://schemas.openxmlformats.org/officeDocument/2006/relationships/hyperlink" Target="https://maps.google.com/?q=15.982669,-97.083816" TargetMode="External"/><Relationship Id="rId756" Type="http://schemas.openxmlformats.org/officeDocument/2006/relationships/hyperlink" Target="https://maps.google.com/?q=15.684176572724429,-96.51158688995919" TargetMode="External"/><Relationship Id="rId1386" Type="http://schemas.openxmlformats.org/officeDocument/2006/relationships/hyperlink" Target="https://maps.google.com/?q=17.267449,-97.680485000000004" TargetMode="External"/><Relationship Id="rId2437" Type="http://schemas.openxmlformats.org/officeDocument/2006/relationships/hyperlink" Target="https://maps.google.com/?q=17.05126113,-96.624369209999998" TargetMode="External"/><Relationship Id="rId3835" Type="http://schemas.openxmlformats.org/officeDocument/2006/relationships/hyperlink" Target="https://maps.google.com/?q=16.9099807,-96.720373" TargetMode="External"/><Relationship Id="rId9464" Type="http://schemas.openxmlformats.org/officeDocument/2006/relationships/hyperlink" Target="https://maps.google.com/?q=15.8347521352321,-96.675385294477394" TargetMode="External"/><Relationship Id="rId12792" Type="http://schemas.openxmlformats.org/officeDocument/2006/relationships/hyperlink" Target="https://maps.google.com/?q=16.23532,-97.288240000000002" TargetMode="External"/><Relationship Id="rId13429" Type="http://schemas.openxmlformats.org/officeDocument/2006/relationships/hyperlink" Target="https://maps.google.com/?q=17.6817397357636,-97.038527476196407" TargetMode="External"/><Relationship Id="rId13843" Type="http://schemas.openxmlformats.org/officeDocument/2006/relationships/hyperlink" Target="https://maps.google.com/?q=17.09179,-97.784577999999996" TargetMode="External"/><Relationship Id="rId409" Type="http://schemas.openxmlformats.org/officeDocument/2006/relationships/hyperlink" Target="https://maps.google.com/?q=16.053109,-97.410973999999996" TargetMode="External"/><Relationship Id="rId1039" Type="http://schemas.openxmlformats.org/officeDocument/2006/relationships/hyperlink" Target="https://maps.google.com/?q=15.705284761083343,-96.524012244445572" TargetMode="External"/><Relationship Id="rId2851" Type="http://schemas.openxmlformats.org/officeDocument/2006/relationships/hyperlink" Target="https://maps.google.com/?q=16.9642745839556,-97.728763081756298" TargetMode="External"/><Relationship Id="rId3902" Type="http://schemas.openxmlformats.org/officeDocument/2006/relationships/hyperlink" Target="https://maps.google.com/?q=18.107513321354055,-95.88118314847945" TargetMode="External"/><Relationship Id="rId8066" Type="http://schemas.openxmlformats.org/officeDocument/2006/relationships/hyperlink" Target="https://maps.google.com/?q=16.4975331237114,-97.373384091495794" TargetMode="External"/><Relationship Id="rId9117" Type="http://schemas.openxmlformats.org/officeDocument/2006/relationships/hyperlink" Target="https://maps.google.com/?q=17.041004,-96.728756000000004" TargetMode="External"/><Relationship Id="rId11394" Type="http://schemas.openxmlformats.org/officeDocument/2006/relationships/hyperlink" Target="https://maps.google.com/?q=17.1928709389017,-97.891706503026597" TargetMode="External"/><Relationship Id="rId12445" Type="http://schemas.openxmlformats.org/officeDocument/2006/relationships/hyperlink" Target="https://maps.google.com/?q=17.2208424516506,-97.271208673610701" TargetMode="External"/><Relationship Id="rId13910" Type="http://schemas.openxmlformats.org/officeDocument/2006/relationships/hyperlink" Target="https://maps.google.com/?q=16.8557392192663,-96.814738074418003" TargetMode="External"/><Relationship Id="rId92" Type="http://schemas.openxmlformats.org/officeDocument/2006/relationships/hyperlink" Target="https://maps.google.com/?q=15.789271,-96.460057000000006" TargetMode="External"/><Relationship Id="rId823" Type="http://schemas.openxmlformats.org/officeDocument/2006/relationships/hyperlink" Target="https://maps.google.com/?q=15.698751531377344,-96.524870970538132" TargetMode="External"/><Relationship Id="rId1453" Type="http://schemas.openxmlformats.org/officeDocument/2006/relationships/hyperlink" Target="https://maps.google.com/?q=17.005213197575458,-95.02868469848633" TargetMode="External"/><Relationship Id="rId2504" Type="http://schemas.openxmlformats.org/officeDocument/2006/relationships/hyperlink" Target="https://maps.google.com/?q=17.05211778,-96.623747710000004" TargetMode="External"/><Relationship Id="rId7082" Type="http://schemas.openxmlformats.org/officeDocument/2006/relationships/hyperlink" Target="https://maps.google.com/?q=0,&#160;-98.075525" TargetMode="External"/><Relationship Id="rId8480" Type="http://schemas.openxmlformats.org/officeDocument/2006/relationships/hyperlink" Target="https://maps.google.com/?q=17.1525172783244,-97.536465126074802" TargetMode="External"/><Relationship Id="rId9531" Type="http://schemas.openxmlformats.org/officeDocument/2006/relationships/hyperlink" Target="https://maps.google.com/?q=17.270658,-96.794679" TargetMode="External"/><Relationship Id="rId11047" Type="http://schemas.openxmlformats.org/officeDocument/2006/relationships/hyperlink" Target="https://maps.google.com/?q=17.539442,-95.882856" TargetMode="External"/><Relationship Id="rId11461" Type="http://schemas.openxmlformats.org/officeDocument/2006/relationships/hyperlink" Target="https://maps.google.com/?q=16.0034498393412,-97.425143930785097" TargetMode="External"/><Relationship Id="rId12512" Type="http://schemas.openxmlformats.org/officeDocument/2006/relationships/hyperlink" Target="https://maps.google.com/?q=17.2255697801961,-97.272539242021907" TargetMode="External"/><Relationship Id="rId1106" Type="http://schemas.openxmlformats.org/officeDocument/2006/relationships/hyperlink" Target="https://maps.google.com/?q=15.877053,-96.458371" TargetMode="External"/><Relationship Id="rId1520" Type="http://schemas.openxmlformats.org/officeDocument/2006/relationships/hyperlink" Target="https://maps.google.com/?q=17.06147,-96.757279999999994" TargetMode="External"/><Relationship Id="rId4676" Type="http://schemas.openxmlformats.org/officeDocument/2006/relationships/hyperlink" Target="https://maps.google.com/?q=16.1005772,-97.1441745" TargetMode="External"/><Relationship Id="rId5727" Type="http://schemas.openxmlformats.org/officeDocument/2006/relationships/hyperlink" Target="https://maps.google.com/?q=16.3862365016,-96.363125845599996" TargetMode="External"/><Relationship Id="rId8133" Type="http://schemas.openxmlformats.org/officeDocument/2006/relationships/hyperlink" Target="https://maps.google.com/?q=17.3555802427041,-96.30261161" TargetMode="External"/><Relationship Id="rId10063" Type="http://schemas.openxmlformats.org/officeDocument/2006/relationships/hyperlink" Target="https://maps.google.com/?q=17.00536066,-96.122789490000002" TargetMode="External"/><Relationship Id="rId11114" Type="http://schemas.openxmlformats.org/officeDocument/2006/relationships/hyperlink" Target="https://maps.google.com/?q=16.047668,-96.882901" TargetMode="External"/><Relationship Id="rId3278" Type="http://schemas.openxmlformats.org/officeDocument/2006/relationships/hyperlink" Target="https://maps.google.com/?q=17.061483543943,-96.820382294477398" TargetMode="External"/><Relationship Id="rId3692" Type="http://schemas.openxmlformats.org/officeDocument/2006/relationships/hyperlink" Target="https://maps.google.com/?q=15.757586013138095,-96.143192547642755" TargetMode="External"/><Relationship Id="rId4329" Type="http://schemas.openxmlformats.org/officeDocument/2006/relationships/hyperlink" Target="https://maps.google.com/?q=16.0167954477253,-96.617635000000107" TargetMode="External"/><Relationship Id="rId4743" Type="http://schemas.openxmlformats.org/officeDocument/2006/relationships/hyperlink" Target="https://maps.google.com/?q=17.9503111391649,-96.657481262565696" TargetMode="External"/><Relationship Id="rId7899" Type="http://schemas.openxmlformats.org/officeDocument/2006/relationships/hyperlink" Target="https://maps.google.com/?q=16.3191345767018,-96.406941682208995" TargetMode="External"/><Relationship Id="rId8200" Type="http://schemas.openxmlformats.org/officeDocument/2006/relationships/hyperlink" Target="https://maps.google.com/?q=16.676335,-96.309617000000003" TargetMode="External"/><Relationship Id="rId10130" Type="http://schemas.openxmlformats.org/officeDocument/2006/relationships/hyperlink" Target="https://maps.google.com/?q=17.0908065867031,-97.494145422270805" TargetMode="External"/><Relationship Id="rId13286" Type="http://schemas.openxmlformats.org/officeDocument/2006/relationships/hyperlink" Target="https://maps.google.com/?q=16.1303432908319,-96.328164976687006" TargetMode="External"/><Relationship Id="rId199" Type="http://schemas.openxmlformats.org/officeDocument/2006/relationships/hyperlink" Target="https://maps.google.com/?q=17.095035,-97.494039000000001" TargetMode="External"/><Relationship Id="rId2294" Type="http://schemas.openxmlformats.org/officeDocument/2006/relationships/hyperlink" Target="https://maps.google.com/?q=18.0995370069188,-96.927639174974004" TargetMode="External"/><Relationship Id="rId3345" Type="http://schemas.openxmlformats.org/officeDocument/2006/relationships/hyperlink" Target="https://maps.google.com/?q=17.1428485538985,-97.812027789024498" TargetMode="External"/><Relationship Id="rId13353" Type="http://schemas.openxmlformats.org/officeDocument/2006/relationships/hyperlink" Target="https://maps.google.com/?q=16.3196536654131,-96.6754410297508" TargetMode="External"/><Relationship Id="rId266" Type="http://schemas.openxmlformats.org/officeDocument/2006/relationships/hyperlink" Target="https://maps.google.com/?q=16.88214,-97.676140000000004" TargetMode="External"/><Relationship Id="rId680" Type="http://schemas.openxmlformats.org/officeDocument/2006/relationships/hyperlink" Target="https://maps.google.com/?q=16.061124,-97.384180000000001" TargetMode="External"/><Relationship Id="rId2361" Type="http://schemas.openxmlformats.org/officeDocument/2006/relationships/hyperlink" Target="https://maps.google.com/?q=17.0979990693683,-97.852065452709098" TargetMode="External"/><Relationship Id="rId3412" Type="http://schemas.openxmlformats.org/officeDocument/2006/relationships/hyperlink" Target="https://maps.google.com/?q=17.8181615749271,-96.241959084103399" TargetMode="External"/><Relationship Id="rId4810" Type="http://schemas.openxmlformats.org/officeDocument/2006/relationships/hyperlink" Target="https://maps.google.com/?q=16.9044593000255,-96.500525249681502" TargetMode="External"/><Relationship Id="rId6568" Type="http://schemas.openxmlformats.org/officeDocument/2006/relationships/hyperlink" Target="https://maps.google.com/?q=17.762741,-96.880424" TargetMode="External"/><Relationship Id="rId7619" Type="http://schemas.openxmlformats.org/officeDocument/2006/relationships/hyperlink" Target="https://maps.google.com/?q=17.2302580551322,-95.053450850260504" TargetMode="External"/><Relationship Id="rId7966" Type="http://schemas.openxmlformats.org/officeDocument/2006/relationships/hyperlink" Target="https://maps.google.com/?q=18.1616269877429,-96.877531422704195" TargetMode="External"/><Relationship Id="rId10947" Type="http://schemas.openxmlformats.org/officeDocument/2006/relationships/hyperlink" Target="https://maps.google.com/?q=16.2058623390888,-95.218549351104599" TargetMode="External"/><Relationship Id="rId13006" Type="http://schemas.openxmlformats.org/officeDocument/2006/relationships/hyperlink" Target="https://maps.google.com/?q=16.5037418,-97.557563599999995" TargetMode="External"/><Relationship Id="rId333" Type="http://schemas.openxmlformats.org/officeDocument/2006/relationships/hyperlink" Target="https://maps.google.com/?q=16.054164,-97.399693999999997" TargetMode="External"/><Relationship Id="rId2014" Type="http://schemas.openxmlformats.org/officeDocument/2006/relationships/hyperlink" Target="https://maps.google.com/?q=15.757907848855227,-96.139504509512363" TargetMode="External"/><Relationship Id="rId6982" Type="http://schemas.openxmlformats.org/officeDocument/2006/relationships/hyperlink" Target="https://maps.google.com/?q=17.0970638,-97.493368899999993" TargetMode="External"/><Relationship Id="rId9041" Type="http://schemas.openxmlformats.org/officeDocument/2006/relationships/hyperlink" Target="https://maps.google.com/?q=16.054402,-95.484307999999999" TargetMode="External"/><Relationship Id="rId13420" Type="http://schemas.openxmlformats.org/officeDocument/2006/relationships/hyperlink" Target="https://maps.google.com/?q=16.3347832455669,-96.676674171792897" TargetMode="External"/><Relationship Id="rId1030" Type="http://schemas.openxmlformats.org/officeDocument/2006/relationships/hyperlink" Target="https://maps.google.com/?q=15.704804452625236,-96.523672660931183" TargetMode="External"/><Relationship Id="rId4186" Type="http://schemas.openxmlformats.org/officeDocument/2006/relationships/hyperlink" Target="https://maps.google.com/?q=16.391886,-98.111464999999995" TargetMode="External"/><Relationship Id="rId5584" Type="http://schemas.openxmlformats.org/officeDocument/2006/relationships/hyperlink" Target="https://maps.google.com/?q=17.4456152143748,-96.185745049689501" TargetMode="External"/><Relationship Id="rId6635" Type="http://schemas.openxmlformats.org/officeDocument/2006/relationships/hyperlink" Target="https://maps.google.com/?q=16.526426,-98.030682" TargetMode="External"/><Relationship Id="rId12022" Type="http://schemas.openxmlformats.org/officeDocument/2006/relationships/hyperlink" Target="https://maps.google.com/?q=16.8039858825368,-96.718290571104205" TargetMode="External"/><Relationship Id="rId400" Type="http://schemas.openxmlformats.org/officeDocument/2006/relationships/hyperlink" Target="https://maps.google.com/?q=16.051959,-97.414291000000006" TargetMode="External"/><Relationship Id="rId5237" Type="http://schemas.openxmlformats.org/officeDocument/2006/relationships/hyperlink" Target="https://maps.google.com/?q=17.293153161272,-97.370900046627" TargetMode="External"/><Relationship Id="rId5651" Type="http://schemas.openxmlformats.org/officeDocument/2006/relationships/hyperlink" Target="https://maps.google.com/?q=16.421583,-97.882576" TargetMode="External"/><Relationship Id="rId6702" Type="http://schemas.openxmlformats.org/officeDocument/2006/relationships/hyperlink" Target="https://maps.google.com/?q=16.9390589610783,-96.966731643551199" TargetMode="External"/><Relationship Id="rId9858" Type="http://schemas.openxmlformats.org/officeDocument/2006/relationships/hyperlink" Target="https://maps.google.com/?q=16.6350175426546,-96.852043504418006" TargetMode="External"/><Relationship Id="rId11788" Type="http://schemas.openxmlformats.org/officeDocument/2006/relationships/hyperlink" Target="https://maps.google.com/?q=17.273185741261987,-97.33705033862304" TargetMode="External"/><Relationship Id="rId12839" Type="http://schemas.openxmlformats.org/officeDocument/2006/relationships/hyperlink" Target="https://maps.google.com/?q=17.516682,-97.686283000000003" TargetMode="External"/><Relationship Id="rId1847" Type="http://schemas.openxmlformats.org/officeDocument/2006/relationships/hyperlink" Target="https://maps.google.com/?q=18.0379791884455,-96.899855945018004" TargetMode="External"/><Relationship Id="rId4253" Type="http://schemas.openxmlformats.org/officeDocument/2006/relationships/hyperlink" Target="https://maps.google.com/?q=15.93302248,-96.6343107" TargetMode="External"/><Relationship Id="rId5304" Type="http://schemas.openxmlformats.org/officeDocument/2006/relationships/hyperlink" Target="https://maps.google.com/?q=15.7188936616428,-96.4678861191814" TargetMode="External"/><Relationship Id="rId8874" Type="http://schemas.openxmlformats.org/officeDocument/2006/relationships/hyperlink" Target="https://maps.google.com/?q=17.222995,-96.243052000000006" TargetMode="External"/><Relationship Id="rId9925" Type="http://schemas.openxmlformats.org/officeDocument/2006/relationships/hyperlink" Target="https://maps.google.com/?q=16.7094180026197,-96.710204271163903" TargetMode="External"/><Relationship Id="rId4320" Type="http://schemas.openxmlformats.org/officeDocument/2006/relationships/hyperlink" Target="https://maps.google.com/?q=16.0314374445845,-96.649881924080901" TargetMode="External"/><Relationship Id="rId7476" Type="http://schemas.openxmlformats.org/officeDocument/2006/relationships/hyperlink" Target="https://maps.google.com/?q=16.9872375774821,-95.012199532209195" TargetMode="External"/><Relationship Id="rId7890" Type="http://schemas.openxmlformats.org/officeDocument/2006/relationships/hyperlink" Target="https://maps.google.com/?q=16.3184822343114,-96.408965811911798" TargetMode="External"/><Relationship Id="rId8527" Type="http://schemas.openxmlformats.org/officeDocument/2006/relationships/hyperlink" Target="https://maps.google.com/?q=16.9330180352098,-96.602377656414106" TargetMode="External"/><Relationship Id="rId10457" Type="http://schemas.openxmlformats.org/officeDocument/2006/relationships/hyperlink" Target="https://maps.google.com/?q=17.039255,-96.780536999999995" TargetMode="External"/><Relationship Id="rId11855" Type="http://schemas.openxmlformats.org/officeDocument/2006/relationships/hyperlink" Target="https://maps.google.com/?q=17.140278,-96.050278" TargetMode="External"/><Relationship Id="rId12906" Type="http://schemas.openxmlformats.org/officeDocument/2006/relationships/hyperlink" Target="https://maps.google.com/?q=16.479938,-97.476296000000005" TargetMode="External"/><Relationship Id="rId190" Type="http://schemas.openxmlformats.org/officeDocument/2006/relationships/hyperlink" Target="https://maps.google.com/?q=17.091356,-97.491883000000001" TargetMode="External"/><Relationship Id="rId1914" Type="http://schemas.openxmlformats.org/officeDocument/2006/relationships/hyperlink" Target="https://maps.google.com/?q=15.77671199035803,-96.136890630801432" TargetMode="External"/><Relationship Id="rId6078" Type="http://schemas.openxmlformats.org/officeDocument/2006/relationships/hyperlink" Target="https://maps.google.com/?q=18.16353963454549,-96.57835978219677" TargetMode="External"/><Relationship Id="rId6492" Type="http://schemas.openxmlformats.org/officeDocument/2006/relationships/hyperlink" Target="https://maps.google.com/?q=17.2023838561891,-97.595594279965397" TargetMode="External"/><Relationship Id="rId7129" Type="http://schemas.openxmlformats.org/officeDocument/2006/relationships/hyperlink" Target="https://maps.google.com/?q=17.340949129986,-97.666350978009106" TargetMode="External"/><Relationship Id="rId7543" Type="http://schemas.openxmlformats.org/officeDocument/2006/relationships/hyperlink" Target="https://maps.google.com/?q=17.9795472266921,-96.702463038895502" TargetMode="External"/><Relationship Id="rId8941" Type="http://schemas.openxmlformats.org/officeDocument/2006/relationships/hyperlink" Target="https://maps.google.com/?q=17.381220022,-96.163196971000005" TargetMode="External"/><Relationship Id="rId10871" Type="http://schemas.openxmlformats.org/officeDocument/2006/relationships/hyperlink" Target="https://maps.google.com/?q=16.3464214298785,-94.482237271163896" TargetMode="External"/><Relationship Id="rId11508" Type="http://schemas.openxmlformats.org/officeDocument/2006/relationships/hyperlink" Target="https://maps.google.com/?q=16.6109601058126,-96.848866489300704" TargetMode="External"/><Relationship Id="rId11922" Type="http://schemas.openxmlformats.org/officeDocument/2006/relationships/hyperlink" Target="https://maps.google.com/?q=16.406572,-97.22542" TargetMode="External"/><Relationship Id="rId5094" Type="http://schemas.openxmlformats.org/officeDocument/2006/relationships/hyperlink" Target="https://maps.google.com/?q=17.253185,-96.152411999999998" TargetMode="External"/><Relationship Id="rId6145" Type="http://schemas.openxmlformats.org/officeDocument/2006/relationships/hyperlink" Target="https://maps.google.com/?q=16.95445599,-96.623602860000005" TargetMode="External"/><Relationship Id="rId10524" Type="http://schemas.openxmlformats.org/officeDocument/2006/relationships/hyperlink" Target="https://maps.google.com/?q=17.0903157623471,-97.769843008737695" TargetMode="External"/><Relationship Id="rId2688" Type="http://schemas.openxmlformats.org/officeDocument/2006/relationships/hyperlink" Target="https://maps.google.com/?q=16.5644435246458,-97.009928215463006" TargetMode="External"/><Relationship Id="rId3739" Type="http://schemas.openxmlformats.org/officeDocument/2006/relationships/hyperlink" Target="https://maps.google.com/?q=15.760753885529866,-96.150617995601024" TargetMode="External"/><Relationship Id="rId5161" Type="http://schemas.openxmlformats.org/officeDocument/2006/relationships/hyperlink" Target="https://maps.google.com/?q=17.254962085642564,-96.15389504662703" TargetMode="External"/><Relationship Id="rId7610" Type="http://schemas.openxmlformats.org/officeDocument/2006/relationships/hyperlink" Target="https://maps.google.com/?q=17.2296233947018,-95.050730695058306" TargetMode="External"/><Relationship Id="rId12696" Type="http://schemas.openxmlformats.org/officeDocument/2006/relationships/hyperlink" Target="https://maps.google.com/?q=16.2833881082395,-96.503265777380605" TargetMode="External"/><Relationship Id="rId13747" Type="http://schemas.openxmlformats.org/officeDocument/2006/relationships/hyperlink" Target="https://maps.google.com/?q=15.92183,-96.17514" TargetMode="External"/><Relationship Id="rId2755" Type="http://schemas.openxmlformats.org/officeDocument/2006/relationships/hyperlink" Target="https://maps.google.com/?q=17.994146,-96.487088999999997" TargetMode="External"/><Relationship Id="rId3806" Type="http://schemas.openxmlformats.org/officeDocument/2006/relationships/hyperlink" Target="https://maps.google.com/?q=15.772436661415954,-96.235026847964846" TargetMode="External"/><Relationship Id="rId6212" Type="http://schemas.openxmlformats.org/officeDocument/2006/relationships/hyperlink" Target="https://maps.google.com/?q=16.095908,-97.085104000000001" TargetMode="External"/><Relationship Id="rId9368" Type="http://schemas.openxmlformats.org/officeDocument/2006/relationships/hyperlink" Target="https://maps.google.com/?q=16.8189520186925,-95.136591059786994" TargetMode="External"/><Relationship Id="rId9782" Type="http://schemas.openxmlformats.org/officeDocument/2006/relationships/hyperlink" Target="https://maps.google.com/?q=16.639499642823,-96.753213766627098" TargetMode="External"/><Relationship Id="rId11298" Type="http://schemas.openxmlformats.org/officeDocument/2006/relationships/hyperlink" Target="https://maps.google.com/?q=17.8675219628131,-96.308859527791299" TargetMode="External"/><Relationship Id="rId12349" Type="http://schemas.openxmlformats.org/officeDocument/2006/relationships/hyperlink" Target="https://maps.google.com/?q=17.0784475941075,-96.71122686043876" TargetMode="External"/><Relationship Id="rId12763" Type="http://schemas.openxmlformats.org/officeDocument/2006/relationships/hyperlink" Target="https://maps.google.com/?q=17.4562131255255,-97.286004031040605" TargetMode="External"/><Relationship Id="rId13814" Type="http://schemas.openxmlformats.org/officeDocument/2006/relationships/hyperlink" Target="https://maps.google.com/?q=16.997795,-97.798809000000006" TargetMode="External"/><Relationship Id="rId727" Type="http://schemas.openxmlformats.org/officeDocument/2006/relationships/hyperlink" Target="https://maps.google.com/?q=17.22127,-97.122124999999997" TargetMode="External"/><Relationship Id="rId1357" Type="http://schemas.openxmlformats.org/officeDocument/2006/relationships/hyperlink" Target="https://maps.google.com/?q=17.02079444,-96.71796345" TargetMode="External"/><Relationship Id="rId1771" Type="http://schemas.openxmlformats.org/officeDocument/2006/relationships/hyperlink" Target="https://maps.google.com/?q=18.06196887,-96.848416990000004" TargetMode="External"/><Relationship Id="rId2408" Type="http://schemas.openxmlformats.org/officeDocument/2006/relationships/hyperlink" Target="https://maps.google.com/?q=17.050229455761144,-96.624159704155417" TargetMode="External"/><Relationship Id="rId2822" Type="http://schemas.openxmlformats.org/officeDocument/2006/relationships/hyperlink" Target="https://maps.google.com/?q=16.9910137734754,-97.717280329185201" TargetMode="External"/><Relationship Id="rId5978" Type="http://schemas.openxmlformats.org/officeDocument/2006/relationships/hyperlink" Target="https://maps.google.com/?q=18.154525656753062,-96.574383225908562" TargetMode="External"/><Relationship Id="rId8384" Type="http://schemas.openxmlformats.org/officeDocument/2006/relationships/hyperlink" Target="https://maps.google.com/?q=16.8463834906851,-97.199648242580295" TargetMode="External"/><Relationship Id="rId9435" Type="http://schemas.openxmlformats.org/officeDocument/2006/relationships/hyperlink" Target="https://maps.google.com/?q=16.4756715740188,-94.344709632381395" TargetMode="External"/><Relationship Id="rId11365" Type="http://schemas.openxmlformats.org/officeDocument/2006/relationships/hyperlink" Target="https://maps.google.com/?q=16.362601500717,-94.188374203704797" TargetMode="External"/><Relationship Id="rId12416" Type="http://schemas.openxmlformats.org/officeDocument/2006/relationships/hyperlink" Target="https://maps.google.com/?q=16.5580474363057,-96.816685743551304" TargetMode="External"/><Relationship Id="rId63" Type="http://schemas.openxmlformats.org/officeDocument/2006/relationships/hyperlink" Target="https://maps.google.com/?q=15.85074,-96.462868999999998" TargetMode="External"/><Relationship Id="rId1424" Type="http://schemas.openxmlformats.org/officeDocument/2006/relationships/hyperlink" Target="https://maps.google.com/?q=18.082556,-96.152877" TargetMode="External"/><Relationship Id="rId4994" Type="http://schemas.openxmlformats.org/officeDocument/2006/relationships/hyperlink" Target="https://maps.google.com/?q=16.457534043664385,-98.15621354232788" TargetMode="External"/><Relationship Id="rId8037" Type="http://schemas.openxmlformats.org/officeDocument/2006/relationships/hyperlink" Target="https://maps.google.com/?q=16.4913020963247,-97.382175285700896" TargetMode="External"/><Relationship Id="rId8451" Type="http://schemas.openxmlformats.org/officeDocument/2006/relationships/hyperlink" Target="https://maps.google.com/?q=17.1496632856447,-97.537106297791496" TargetMode="External"/><Relationship Id="rId9502" Type="http://schemas.openxmlformats.org/officeDocument/2006/relationships/hyperlink" Target="https://maps.google.com/?q=16.916353,-97.521990" TargetMode="External"/><Relationship Id="rId10381" Type="http://schemas.openxmlformats.org/officeDocument/2006/relationships/hyperlink" Target="https://maps.google.com/?q=17.4394803672694,-96.655722624675505" TargetMode="External"/><Relationship Id="rId11018" Type="http://schemas.openxmlformats.org/officeDocument/2006/relationships/hyperlink" Target="https://maps.google.com/?q=17.158117,-97.186025999999998" TargetMode="External"/><Relationship Id="rId11432" Type="http://schemas.openxmlformats.org/officeDocument/2006/relationships/hyperlink" Target="https://maps.google.com/?q=16.199422,-96.607681999999997" TargetMode="External"/><Relationship Id="rId12830" Type="http://schemas.openxmlformats.org/officeDocument/2006/relationships/hyperlink" Target="https://maps.google.com/?q=17.514729,-97.681116000000003" TargetMode="External"/><Relationship Id="rId3596" Type="http://schemas.openxmlformats.org/officeDocument/2006/relationships/hyperlink" Target="https://maps.google.com/?q=15.77657360485209,-96.136668744618348" TargetMode="External"/><Relationship Id="rId4647" Type="http://schemas.openxmlformats.org/officeDocument/2006/relationships/hyperlink" Target="https://maps.google.com/?q=17.082793,-96.74481200" TargetMode="External"/><Relationship Id="rId7053" Type="http://schemas.openxmlformats.org/officeDocument/2006/relationships/hyperlink" Target="https://maps.google.com/?q=16.1465465179162,-96.347607912542998" TargetMode="External"/><Relationship Id="rId8104" Type="http://schemas.openxmlformats.org/officeDocument/2006/relationships/hyperlink" Target="https://maps.google.com/?q=17.3549645440776,-96.302633070213005" TargetMode="External"/><Relationship Id="rId10034" Type="http://schemas.openxmlformats.org/officeDocument/2006/relationships/hyperlink" Target="https://maps.google.com/?q=16.9047996881345,-96.326617500936607" TargetMode="External"/><Relationship Id="rId2198" Type="http://schemas.openxmlformats.org/officeDocument/2006/relationships/hyperlink" Target="https://maps.google.com/?q=16.9677820128108,-97.226243183045895" TargetMode="External"/><Relationship Id="rId3249" Type="http://schemas.openxmlformats.org/officeDocument/2006/relationships/hyperlink" Target="https://maps.google.com/?q=17.0563787883365,-96.825154717179203" TargetMode="External"/><Relationship Id="rId7120" Type="http://schemas.openxmlformats.org/officeDocument/2006/relationships/hyperlink" Target="https://maps.google.com/?q=17.3181430816877,-97.691505282794196" TargetMode="External"/><Relationship Id="rId584" Type="http://schemas.openxmlformats.org/officeDocument/2006/relationships/hyperlink" Target="https://maps.google.com/?q=16.054417,-97.398411999999993" TargetMode="External"/><Relationship Id="rId2265" Type="http://schemas.openxmlformats.org/officeDocument/2006/relationships/hyperlink" Target="https://maps.google.com/?q=18.0952265853137,-96.930185281783196" TargetMode="External"/><Relationship Id="rId3663" Type="http://schemas.openxmlformats.org/officeDocument/2006/relationships/hyperlink" Target="https://maps.google.com/?q=15.784713248958457,-96.135509822313992" TargetMode="External"/><Relationship Id="rId4714" Type="http://schemas.openxmlformats.org/officeDocument/2006/relationships/hyperlink" Target="https://maps.google.com/?q=17.080069,-96.725792" TargetMode="External"/><Relationship Id="rId9292" Type="http://schemas.openxmlformats.org/officeDocument/2006/relationships/hyperlink" Target="https://maps.google.com/?q=16.8119837650643,-95.132680399042698" TargetMode="External"/><Relationship Id="rId10101" Type="http://schemas.openxmlformats.org/officeDocument/2006/relationships/hyperlink" Target="https://maps.google.com/?q=17.020167449771,-96.130336416686504" TargetMode="External"/><Relationship Id="rId13257" Type="http://schemas.openxmlformats.org/officeDocument/2006/relationships/hyperlink" Target="https://maps.google.com/?q=17.1537058765407,-96.747069175047002" TargetMode="External"/><Relationship Id="rId13671" Type="http://schemas.openxmlformats.org/officeDocument/2006/relationships/hyperlink" Target="https://maps.google.com/?q=16.60821,-95.980503" TargetMode="External"/><Relationship Id="rId237" Type="http://schemas.openxmlformats.org/officeDocument/2006/relationships/hyperlink" Target="https://maps.google.com/?q=16.88351,-97.675939999999997" TargetMode="External"/><Relationship Id="rId3316" Type="http://schemas.openxmlformats.org/officeDocument/2006/relationships/hyperlink" Target="https://maps.google.com/?q=17.0646478473769,-96.8080868844132" TargetMode="External"/><Relationship Id="rId3730" Type="http://schemas.openxmlformats.org/officeDocument/2006/relationships/hyperlink" Target="https://maps.google.com/?q=15.759344679691674,-96.140948472749599" TargetMode="External"/><Relationship Id="rId6886" Type="http://schemas.openxmlformats.org/officeDocument/2006/relationships/hyperlink" Target="https://maps.google.com/?q=16.9727005990678,-97.085118761180297" TargetMode="External"/><Relationship Id="rId7937" Type="http://schemas.openxmlformats.org/officeDocument/2006/relationships/hyperlink" Target="https://maps.google.com/?q=16.3249365740631,-96.411552945879194" TargetMode="External"/><Relationship Id="rId10918" Type="http://schemas.openxmlformats.org/officeDocument/2006/relationships/hyperlink" Target="https://maps.google.com/?q=16.1907369362778,-95.185550288895399" TargetMode="External"/><Relationship Id="rId12273" Type="http://schemas.openxmlformats.org/officeDocument/2006/relationships/hyperlink" Target="https://maps.google.com/?q=16.4838849615721,-94.344716498641304" TargetMode="External"/><Relationship Id="rId13324" Type="http://schemas.openxmlformats.org/officeDocument/2006/relationships/hyperlink" Target="https://maps.google.com/?q=17.4508249218129,-98.002937588955007" TargetMode="External"/><Relationship Id="rId651" Type="http://schemas.openxmlformats.org/officeDocument/2006/relationships/hyperlink" Target="https://maps.google.com/?q=16.058445,-97.389632000000006" TargetMode="External"/><Relationship Id="rId1281" Type="http://schemas.openxmlformats.org/officeDocument/2006/relationships/hyperlink" Target="https://maps.google.com/?q=17.080069,-96.725792" TargetMode="External"/><Relationship Id="rId2332" Type="http://schemas.openxmlformats.org/officeDocument/2006/relationships/hyperlink" Target="https://maps.google.com/?q=17.062012,-97.675686999999996" TargetMode="External"/><Relationship Id="rId5488" Type="http://schemas.openxmlformats.org/officeDocument/2006/relationships/hyperlink" Target="https://maps.google.com/?q=16.324775,-96.494662000000005" TargetMode="External"/><Relationship Id="rId6539" Type="http://schemas.openxmlformats.org/officeDocument/2006/relationships/hyperlink" Target="https://maps.google.com/?q=16.04100121791066,-96.58595570287348" TargetMode="External"/><Relationship Id="rId6953" Type="http://schemas.openxmlformats.org/officeDocument/2006/relationships/hyperlink" Target="https://maps.google.com/?q=16.327438,-95.241681999999997" TargetMode="External"/><Relationship Id="rId12340" Type="http://schemas.openxmlformats.org/officeDocument/2006/relationships/hyperlink" Target="https://maps.google.com/?q=17.667989,-97.298307" TargetMode="External"/><Relationship Id="rId304" Type="http://schemas.openxmlformats.org/officeDocument/2006/relationships/hyperlink" Target="https://maps.google.com/?q=16.062358,-97.383600000000001" TargetMode="External"/><Relationship Id="rId5555" Type="http://schemas.openxmlformats.org/officeDocument/2006/relationships/hyperlink" Target="https://maps.google.com/?q=18.170618,-96.283225000000002" TargetMode="External"/><Relationship Id="rId6606" Type="http://schemas.openxmlformats.org/officeDocument/2006/relationships/hyperlink" Target="https://maps.google.com/?q=16.279716,-97.497910" TargetMode="External"/><Relationship Id="rId9012" Type="http://schemas.openxmlformats.org/officeDocument/2006/relationships/hyperlink" Target="https://maps.google.com/?q=17.382771783,-96.162373857000006" TargetMode="External"/><Relationship Id="rId14098" Type="http://schemas.openxmlformats.org/officeDocument/2006/relationships/hyperlink" Target="https://maps.google.com/?q=17.74831896642979,-97.81851620077263" TargetMode="External"/><Relationship Id="rId1001" Type="http://schemas.openxmlformats.org/officeDocument/2006/relationships/hyperlink" Target="https://maps.google.com/?q=15.694561321745887,-96.522674455133924" TargetMode="External"/><Relationship Id="rId4157" Type="http://schemas.openxmlformats.org/officeDocument/2006/relationships/hyperlink" Target="https://maps.google.com/?q=16.4244974623611,-98.169809691648595" TargetMode="External"/><Relationship Id="rId4571" Type="http://schemas.openxmlformats.org/officeDocument/2006/relationships/hyperlink" Target="https://maps.google.com/?q=16.553305,-96.819693999999998" TargetMode="External"/><Relationship Id="rId5208" Type="http://schemas.openxmlformats.org/officeDocument/2006/relationships/hyperlink" Target="https://maps.google.com/?q=17.317973,-95.968321000000003" TargetMode="External"/><Relationship Id="rId5622" Type="http://schemas.openxmlformats.org/officeDocument/2006/relationships/hyperlink" Target="https://maps.google.com/?q=17.5517611356897,-96.221993717543199" TargetMode="External"/><Relationship Id="rId8778" Type="http://schemas.openxmlformats.org/officeDocument/2006/relationships/hyperlink" Target="https://maps.google.com/?q=17.208977,-96.252521999999999" TargetMode="External"/><Relationship Id="rId9829" Type="http://schemas.openxmlformats.org/officeDocument/2006/relationships/hyperlink" Target="https://maps.google.com/?q=16.6325427825786,-96.849915935582104" TargetMode="External"/><Relationship Id="rId14165" Type="http://schemas.openxmlformats.org/officeDocument/2006/relationships/hyperlink" Target="https://maps.google.com/?q=17.101481923168652,-97.76058431415558" TargetMode="External"/><Relationship Id="rId3173" Type="http://schemas.openxmlformats.org/officeDocument/2006/relationships/hyperlink" Target="https://maps.google.com/?q=16.549621,-97.500459000000006" TargetMode="External"/><Relationship Id="rId4224" Type="http://schemas.openxmlformats.org/officeDocument/2006/relationships/hyperlink" Target="https://maps.google.com/?q=17.048248254105737,-96.72089070428943" TargetMode="External"/><Relationship Id="rId11759" Type="http://schemas.openxmlformats.org/officeDocument/2006/relationships/hyperlink" Target="https://maps.google.com/?q=17.19526008836849,-98.20014695602798" TargetMode="External"/><Relationship Id="rId1818" Type="http://schemas.openxmlformats.org/officeDocument/2006/relationships/hyperlink" Target="https://maps.google.com/?q=18.034971186307,-96.895697444037694" TargetMode="External"/><Relationship Id="rId3240" Type="http://schemas.openxmlformats.org/officeDocument/2006/relationships/hyperlink" Target="https://maps.google.com/?q=17.9516699183771,-96.205547839398605" TargetMode="External"/><Relationship Id="rId6396" Type="http://schemas.openxmlformats.org/officeDocument/2006/relationships/hyperlink" Target="https://maps.google.com/?q=17.2684831870519,-97.534401761695506" TargetMode="External"/><Relationship Id="rId7794" Type="http://schemas.openxmlformats.org/officeDocument/2006/relationships/hyperlink" Target="https://maps.google.com/?q=17.8448415027518,-96.745895535760297" TargetMode="External"/><Relationship Id="rId8845" Type="http://schemas.openxmlformats.org/officeDocument/2006/relationships/hyperlink" Target="https://maps.google.com/?q=17.218452,-96.243883999999994" TargetMode="External"/><Relationship Id="rId10775" Type="http://schemas.openxmlformats.org/officeDocument/2006/relationships/hyperlink" Target="https://maps.google.com/?q=16.906127,-96.563909" TargetMode="External"/><Relationship Id="rId11826" Type="http://schemas.openxmlformats.org/officeDocument/2006/relationships/hyperlink" Target="https://maps.google.com/?q=16.450311620765742,-98.01923673743438" TargetMode="External"/><Relationship Id="rId13181" Type="http://schemas.openxmlformats.org/officeDocument/2006/relationships/hyperlink" Target="https://maps.google.com/?q=16.5707505777235,-97.013069533729606" TargetMode="External"/><Relationship Id="rId161" Type="http://schemas.openxmlformats.org/officeDocument/2006/relationships/hyperlink" Target="https://maps.google.com/?q=17.092675,-97.498296999999994" TargetMode="External"/><Relationship Id="rId6049" Type="http://schemas.openxmlformats.org/officeDocument/2006/relationships/hyperlink" Target="https://maps.google.com/?q=18.1573515951134,-96.576540810963323" TargetMode="External"/><Relationship Id="rId7447" Type="http://schemas.openxmlformats.org/officeDocument/2006/relationships/hyperlink" Target="https://maps.google.com/?q=16.3216503118083,-96.672715013041397" TargetMode="External"/><Relationship Id="rId7861" Type="http://schemas.openxmlformats.org/officeDocument/2006/relationships/hyperlink" Target="https://maps.google.com/?q=16.3156957477698,-96.411129708003898" TargetMode="External"/><Relationship Id="rId8912" Type="http://schemas.openxmlformats.org/officeDocument/2006/relationships/hyperlink" Target="https://maps.google.com/?q=17.380315873,-96.161122208999998" TargetMode="External"/><Relationship Id="rId10428" Type="http://schemas.openxmlformats.org/officeDocument/2006/relationships/hyperlink" Target="https://maps.google.com/?q=17.0395201,-96.777999199999996" TargetMode="External"/><Relationship Id="rId10842" Type="http://schemas.openxmlformats.org/officeDocument/2006/relationships/hyperlink" Target="https://maps.google.com/?q=16.4045681040553,-94.457690169311405" TargetMode="External"/><Relationship Id="rId13998" Type="http://schemas.openxmlformats.org/officeDocument/2006/relationships/hyperlink" Target="https://maps.google.com/?q=16.237076,-97.292351999999994" TargetMode="External"/><Relationship Id="rId6463" Type="http://schemas.openxmlformats.org/officeDocument/2006/relationships/hyperlink" Target="https://maps.google.com/?q=16.379108,-97.278149999999997" TargetMode="External"/><Relationship Id="rId7514" Type="http://schemas.openxmlformats.org/officeDocument/2006/relationships/hyperlink" Target="https://maps.google.com/?q=17.9731641656815,-96.702878450903697" TargetMode="External"/><Relationship Id="rId978" Type="http://schemas.openxmlformats.org/officeDocument/2006/relationships/hyperlink" Target="https://maps.google.com/?q=15.689484991156524,-96.51546031493524" TargetMode="External"/><Relationship Id="rId2659" Type="http://schemas.openxmlformats.org/officeDocument/2006/relationships/hyperlink" Target="https://maps.google.com/?q=17.6267354250918,-97.237689211237495" TargetMode="External"/><Relationship Id="rId5065" Type="http://schemas.openxmlformats.org/officeDocument/2006/relationships/hyperlink" Target="https://maps.google.com/?q=17.252219,-96.155641000000003" TargetMode="External"/><Relationship Id="rId6116" Type="http://schemas.openxmlformats.org/officeDocument/2006/relationships/hyperlink" Target="https://maps.google.com/?q=17.978705,-96.702555000000004" TargetMode="External"/><Relationship Id="rId6530" Type="http://schemas.openxmlformats.org/officeDocument/2006/relationships/hyperlink" Target="https://maps.google.com/?q=17.2588068419906,-97.577678144299" TargetMode="External"/><Relationship Id="rId9686" Type="http://schemas.openxmlformats.org/officeDocument/2006/relationships/hyperlink" Target="https://maps.google.com/?q=16.3198563865562,-96.586830070979403" TargetMode="External"/><Relationship Id="rId12667" Type="http://schemas.openxmlformats.org/officeDocument/2006/relationships/hyperlink" Target="https://maps.google.com/?q=16.9208540503344,-97.893319145403296" TargetMode="External"/><Relationship Id="rId1675" Type="http://schemas.openxmlformats.org/officeDocument/2006/relationships/hyperlink" Target="https://maps.google.com/?q=18.0045974768631,-96.896470069004494" TargetMode="External"/><Relationship Id="rId2726" Type="http://schemas.openxmlformats.org/officeDocument/2006/relationships/hyperlink" Target="https://maps.google.com/?q=15.9286927505362,-96.418942171389105" TargetMode="External"/><Relationship Id="rId4081" Type="http://schemas.openxmlformats.org/officeDocument/2006/relationships/hyperlink" Target="https://maps.google.com/?q=17.0558127189,-96.7456976" TargetMode="External"/><Relationship Id="rId5132" Type="http://schemas.openxmlformats.org/officeDocument/2006/relationships/hyperlink" Target="https://maps.google.com/?q=17.254236261951096,-96.15610430919266" TargetMode="External"/><Relationship Id="rId8288" Type="http://schemas.openxmlformats.org/officeDocument/2006/relationships/hyperlink" Target="https://maps.google.com/?q=17.627286618529,-97.034278985284701" TargetMode="External"/><Relationship Id="rId9339" Type="http://schemas.openxmlformats.org/officeDocument/2006/relationships/hyperlink" Target="https://maps.google.com/?q=16.8171855880645,-95.140946967227805" TargetMode="External"/><Relationship Id="rId9753" Type="http://schemas.openxmlformats.org/officeDocument/2006/relationships/hyperlink" Target="https://maps.google.com/?q=17.2762454304842,-96.795911398598406" TargetMode="External"/><Relationship Id="rId11269" Type="http://schemas.openxmlformats.org/officeDocument/2006/relationships/hyperlink" Target="https://maps.google.com/?q=17.8655443628128,-96.309502762149606" TargetMode="External"/><Relationship Id="rId13718" Type="http://schemas.openxmlformats.org/officeDocument/2006/relationships/hyperlink" Target="https://maps.google.com/?q=16.704364,-97.019527" TargetMode="External"/><Relationship Id="rId1328" Type="http://schemas.openxmlformats.org/officeDocument/2006/relationships/hyperlink" Target="https://maps.google.com/?q=17.01805232,-96.71851994" TargetMode="External"/><Relationship Id="rId8355" Type="http://schemas.openxmlformats.org/officeDocument/2006/relationships/hyperlink" Target="https://maps.google.com/?q=16.8439924721652,-97.197271550390795" TargetMode="External"/><Relationship Id="rId9406" Type="http://schemas.openxmlformats.org/officeDocument/2006/relationships/hyperlink" Target="https://maps.google.com/?q=16.7756307549593,-95.192000625497101" TargetMode="External"/><Relationship Id="rId11683" Type="http://schemas.openxmlformats.org/officeDocument/2006/relationships/hyperlink" Target="https://maps.google.com/?q=17.17792929,-97.708486890000003" TargetMode="External"/><Relationship Id="rId12734" Type="http://schemas.openxmlformats.org/officeDocument/2006/relationships/hyperlink" Target="https://maps.google.com/?q=16.2872946129455,-96.504166378731298" TargetMode="External"/><Relationship Id="rId1742" Type="http://schemas.openxmlformats.org/officeDocument/2006/relationships/hyperlink" Target="https://maps.google.com/?q=18.0643047335265,-96.836228994256899" TargetMode="External"/><Relationship Id="rId4898" Type="http://schemas.openxmlformats.org/officeDocument/2006/relationships/hyperlink" Target="https://maps.google.com/?q=18.0293894350891,-96.666717989616899" TargetMode="External"/><Relationship Id="rId5949" Type="http://schemas.openxmlformats.org/officeDocument/2006/relationships/hyperlink" Target="https://maps.google.com/?q=18.153844644538992,-96.571885907393749" TargetMode="External"/><Relationship Id="rId7371" Type="http://schemas.openxmlformats.org/officeDocument/2006/relationships/hyperlink" Target="https://maps.google.com/?q=17.036808985309,-97.299421872523595" TargetMode="External"/><Relationship Id="rId8008" Type="http://schemas.openxmlformats.org/officeDocument/2006/relationships/hyperlink" Target="https://maps.google.com/?q=18.1639972065879,-96.878642976686606" TargetMode="External"/><Relationship Id="rId9820" Type="http://schemas.openxmlformats.org/officeDocument/2006/relationships/hyperlink" Target="https://maps.google.com/?q=16.6318477876192,-96.851230089892198" TargetMode="External"/><Relationship Id="rId10285" Type="http://schemas.openxmlformats.org/officeDocument/2006/relationships/hyperlink" Target="https://maps.google.com/?q=16.2461611539512,-95.150507131384302" TargetMode="External"/><Relationship Id="rId11336" Type="http://schemas.openxmlformats.org/officeDocument/2006/relationships/hyperlink" Target="https://maps.google.com/?q=16.64892048,-97.52984558" TargetMode="External"/><Relationship Id="rId11750" Type="http://schemas.openxmlformats.org/officeDocument/2006/relationships/hyperlink" Target="https://maps.google.com/?q=17.19307956,-97.713481650000006" TargetMode="External"/><Relationship Id="rId12801" Type="http://schemas.openxmlformats.org/officeDocument/2006/relationships/hyperlink" Target="https://maps.google.com/?q=16.112672,-97.290458999999998" TargetMode="External"/><Relationship Id="rId34" Type="http://schemas.openxmlformats.org/officeDocument/2006/relationships/hyperlink" Target="https://maps.google.com/?q=17.222093,-97.119546" TargetMode="External"/><Relationship Id="rId4965" Type="http://schemas.openxmlformats.org/officeDocument/2006/relationships/hyperlink" Target="https://maps.google.com/?q=17.9674450722819,-96.745279681271398" TargetMode="External"/><Relationship Id="rId7024" Type="http://schemas.openxmlformats.org/officeDocument/2006/relationships/hyperlink" Target="https://maps.google.com/?q=17.0428283400752,-97.297189928036801" TargetMode="External"/><Relationship Id="rId8422" Type="http://schemas.openxmlformats.org/officeDocument/2006/relationships/hyperlink" Target="https://maps.google.com/?q=16.1978123163002,-96.8283765208581" TargetMode="External"/><Relationship Id="rId10352" Type="http://schemas.openxmlformats.org/officeDocument/2006/relationships/hyperlink" Target="https://maps.google.com/?q=17.4335936188166,-96.656899835376393" TargetMode="External"/><Relationship Id="rId11403" Type="http://schemas.openxmlformats.org/officeDocument/2006/relationships/hyperlink" Target="https://maps.google.com/?q=17.1998093990596,-97.771060617285997" TargetMode="External"/><Relationship Id="rId3567" Type="http://schemas.openxmlformats.org/officeDocument/2006/relationships/hyperlink" Target="https://maps.google.com/?q=15.775466076783605,-96.136917452146292" TargetMode="External"/><Relationship Id="rId3981" Type="http://schemas.openxmlformats.org/officeDocument/2006/relationships/hyperlink" Target="https://maps.google.com/?q=17.06218,-96.753029999999995" TargetMode="External"/><Relationship Id="rId4618" Type="http://schemas.openxmlformats.org/officeDocument/2006/relationships/hyperlink" Target="https://maps.google.com/?q=16.5479191618764,-96.710974884534593" TargetMode="External"/><Relationship Id="rId10005" Type="http://schemas.openxmlformats.org/officeDocument/2006/relationships/hyperlink" Target="https://maps.google.com/?q=17.0955957652895,-97.498540191104496" TargetMode="External"/><Relationship Id="rId13575" Type="http://schemas.openxmlformats.org/officeDocument/2006/relationships/hyperlink" Target="https://maps.google.com/?q=17.36537318509107,-96.52868569301293" TargetMode="External"/><Relationship Id="rId488" Type="http://schemas.openxmlformats.org/officeDocument/2006/relationships/hyperlink" Target="https://maps.google.com/?q=16.055149,-97.408117000000004" TargetMode="External"/><Relationship Id="rId2169" Type="http://schemas.openxmlformats.org/officeDocument/2006/relationships/hyperlink" Target="https://maps.google.com/?q=15.761431554309501,-96.148575549187569" TargetMode="External"/><Relationship Id="rId2583" Type="http://schemas.openxmlformats.org/officeDocument/2006/relationships/hyperlink" Target="https://maps.google.com/?q=16.5886785761677,-97.228861364417995" TargetMode="External"/><Relationship Id="rId3634" Type="http://schemas.openxmlformats.org/officeDocument/2006/relationships/hyperlink" Target="https://maps.google.com/?q=15.777437031361409,-96.137085626950324" TargetMode="External"/><Relationship Id="rId6040" Type="http://schemas.openxmlformats.org/officeDocument/2006/relationships/hyperlink" Target="https://maps.google.com/?q=18.156760200425957,-96.573106030025016" TargetMode="External"/><Relationship Id="rId9196" Type="http://schemas.openxmlformats.org/officeDocument/2006/relationships/hyperlink" Target="https://maps.google.com/?q=17.3744287384574,-96.300303621136806" TargetMode="External"/><Relationship Id="rId12177" Type="http://schemas.openxmlformats.org/officeDocument/2006/relationships/hyperlink" Target="https://maps.google.com/?q=17.4165701657065,-95.947241210940007" TargetMode="External"/><Relationship Id="rId12591" Type="http://schemas.openxmlformats.org/officeDocument/2006/relationships/hyperlink" Target="https://maps.google.com/?q=16.5213016979415,-96.9851169112886" TargetMode="External"/><Relationship Id="rId13228" Type="http://schemas.openxmlformats.org/officeDocument/2006/relationships/hyperlink" Target="https://maps.google.com/?q=17.1379456421289,-96.753109583458894" TargetMode="External"/><Relationship Id="rId13642" Type="http://schemas.openxmlformats.org/officeDocument/2006/relationships/hyperlink" Target="https://maps.google.com/?q=16.866635,-96.785594" TargetMode="External"/><Relationship Id="rId555" Type="http://schemas.openxmlformats.org/officeDocument/2006/relationships/hyperlink" Target="https://maps.google.com/?q=16.052824,-97.400602000000006" TargetMode="External"/><Relationship Id="rId1185" Type="http://schemas.openxmlformats.org/officeDocument/2006/relationships/hyperlink" Target="https://maps.google.com/?q=15.738731,-96.480640" TargetMode="External"/><Relationship Id="rId2236" Type="http://schemas.openxmlformats.org/officeDocument/2006/relationships/hyperlink" Target="https://maps.google.com/?q=16.8035363651384,-96.443146985284798" TargetMode="External"/><Relationship Id="rId2650" Type="http://schemas.openxmlformats.org/officeDocument/2006/relationships/hyperlink" Target="https://maps.google.com/?q=17.6215993744168,-97.226330884586702" TargetMode="External"/><Relationship Id="rId3701" Type="http://schemas.openxmlformats.org/officeDocument/2006/relationships/hyperlink" Target="https://maps.google.com/?q=15.757720719992061,-96.140383717784914" TargetMode="External"/><Relationship Id="rId6857" Type="http://schemas.openxmlformats.org/officeDocument/2006/relationships/hyperlink" Target="https://maps.google.com/?q=17.0099939413432,-96.979726111863698" TargetMode="External"/><Relationship Id="rId7908" Type="http://schemas.openxmlformats.org/officeDocument/2006/relationships/hyperlink" Target="https://maps.google.com/?q=16.3196464883199,-96.408874028853305" TargetMode="External"/><Relationship Id="rId9263" Type="http://schemas.openxmlformats.org/officeDocument/2006/relationships/hyperlink" Target="https://maps.google.com/?q=17.3778569050437,-96.300224716311803" TargetMode="External"/><Relationship Id="rId11193" Type="http://schemas.openxmlformats.org/officeDocument/2006/relationships/hyperlink" Target="https://maps.google.com/?q=16.845779,-96.010323999999997" TargetMode="External"/><Relationship Id="rId12244" Type="http://schemas.openxmlformats.org/officeDocument/2006/relationships/hyperlink" Target="https://maps.google.com/?q=16.42259943,-97.232487230000004" TargetMode="External"/><Relationship Id="rId208" Type="http://schemas.openxmlformats.org/officeDocument/2006/relationships/hyperlink" Target="https://maps.google.com/?q=17.097239,-97.495690999999994" TargetMode="External"/><Relationship Id="rId622" Type="http://schemas.openxmlformats.org/officeDocument/2006/relationships/hyperlink" Target="https://maps.google.com/?q=16.054752,-97.397278" TargetMode="External"/><Relationship Id="rId1252" Type="http://schemas.openxmlformats.org/officeDocument/2006/relationships/hyperlink" Target="https://maps.google.com/?q=17.056332918,-96.7461488" TargetMode="External"/><Relationship Id="rId2303" Type="http://schemas.openxmlformats.org/officeDocument/2006/relationships/hyperlink" Target="https://maps.google.com/?q=18.1045616639029,-96.877328457810705" TargetMode="External"/><Relationship Id="rId5459" Type="http://schemas.openxmlformats.org/officeDocument/2006/relationships/hyperlink" Target="https://maps.google.com/?q=16.0091889350831,-97.426714267578106" TargetMode="External"/><Relationship Id="rId9330" Type="http://schemas.openxmlformats.org/officeDocument/2006/relationships/hyperlink" Target="https://maps.google.com/?q=16.8165950625263,-95.134992463213905" TargetMode="External"/><Relationship Id="rId4475" Type="http://schemas.openxmlformats.org/officeDocument/2006/relationships/hyperlink" Target="https://maps.google.com/?q=17.1694079079603,-97.308961603670099" TargetMode="External"/><Relationship Id="rId5873" Type="http://schemas.openxmlformats.org/officeDocument/2006/relationships/hyperlink" Target="https://maps.google.com/?q=18.1432195872761,-96.561477051423566" TargetMode="External"/><Relationship Id="rId6924" Type="http://schemas.openxmlformats.org/officeDocument/2006/relationships/hyperlink" Target="https://maps.google.com/?q=16.311344,-95.237279000000001" TargetMode="External"/><Relationship Id="rId11260" Type="http://schemas.openxmlformats.org/officeDocument/2006/relationships/hyperlink" Target="https://maps.google.com/?q=17.8651969145939,-96.30896645" TargetMode="External"/><Relationship Id="rId12311" Type="http://schemas.openxmlformats.org/officeDocument/2006/relationships/hyperlink" Target="https://maps.google.com/?q=17.157311,-96.249285" TargetMode="External"/><Relationship Id="rId14069" Type="http://schemas.openxmlformats.org/officeDocument/2006/relationships/hyperlink" Target="https://maps.google.com/?q=17.1467430592298,-96.1122127871453" TargetMode="External"/><Relationship Id="rId3077" Type="http://schemas.openxmlformats.org/officeDocument/2006/relationships/hyperlink" Target="https://maps.google.com/?q=16.964312812754,-96.941598706134201" TargetMode="External"/><Relationship Id="rId4128" Type="http://schemas.openxmlformats.org/officeDocument/2006/relationships/hyperlink" Target="https://maps.google.com/?q=16.347194300288393,-98.0483391602138" TargetMode="External"/><Relationship Id="rId5526" Type="http://schemas.openxmlformats.org/officeDocument/2006/relationships/hyperlink" Target="https://maps.google.com/?q=17.2831181834194,-97.364267542327894" TargetMode="External"/><Relationship Id="rId5940" Type="http://schemas.openxmlformats.org/officeDocument/2006/relationships/hyperlink" Target="https://maps.google.com/?q=18.15369186801919,-96.574529459247842" TargetMode="External"/><Relationship Id="rId2093" Type="http://schemas.openxmlformats.org/officeDocument/2006/relationships/hyperlink" Target="https://maps.google.com/?q=15.762328,-96.150167" TargetMode="External"/><Relationship Id="rId3491" Type="http://schemas.openxmlformats.org/officeDocument/2006/relationships/hyperlink" Target="https://maps.google.com/?q=16.496908,-96.5504581" TargetMode="External"/><Relationship Id="rId4542" Type="http://schemas.openxmlformats.org/officeDocument/2006/relationships/hyperlink" Target="https://maps.google.com/?q=17.1843834895685,-97.303644187018193" TargetMode="External"/><Relationship Id="rId7698" Type="http://schemas.openxmlformats.org/officeDocument/2006/relationships/hyperlink" Target="https://maps.google.com/?q=16.6262752579011,-96.796176701892406" TargetMode="External"/><Relationship Id="rId8749" Type="http://schemas.openxmlformats.org/officeDocument/2006/relationships/hyperlink" Target="https://maps.google.com/?q=18.0771846153311,-96.127283547167394" TargetMode="External"/><Relationship Id="rId10679" Type="http://schemas.openxmlformats.org/officeDocument/2006/relationships/hyperlink" Target="https://maps.google.com/?q=17.194935,-96.795505" TargetMode="External"/><Relationship Id="rId13085" Type="http://schemas.openxmlformats.org/officeDocument/2006/relationships/hyperlink" Target="https://maps.google.com/?q=16.5643405,-97.530359300000001" TargetMode="External"/><Relationship Id="rId14136" Type="http://schemas.openxmlformats.org/officeDocument/2006/relationships/hyperlink" Target="https://maps.google.com/?q=16.50951469,-95.47225103" TargetMode="External"/><Relationship Id="rId3144" Type="http://schemas.openxmlformats.org/officeDocument/2006/relationships/hyperlink" Target="https://maps.google.com/?q=16.587184,-97.443484999999995" TargetMode="External"/><Relationship Id="rId7765" Type="http://schemas.openxmlformats.org/officeDocument/2006/relationships/hyperlink" Target="https://maps.google.com/?q=16.0986352354903,-96.193736196686402" TargetMode="External"/><Relationship Id="rId8816" Type="http://schemas.openxmlformats.org/officeDocument/2006/relationships/hyperlink" Target="https://maps.google.com/?q=17.215925,-96.246872999999994" TargetMode="External"/><Relationship Id="rId10746" Type="http://schemas.openxmlformats.org/officeDocument/2006/relationships/hyperlink" Target="https://maps.google.com/?q=18.225515,-96.863356" TargetMode="External"/><Relationship Id="rId13152" Type="http://schemas.openxmlformats.org/officeDocument/2006/relationships/hyperlink" Target="https://maps.google.com/?q=16.559807195616,-97.004170995386303" TargetMode="External"/><Relationship Id="rId2160" Type="http://schemas.openxmlformats.org/officeDocument/2006/relationships/hyperlink" Target="https://maps.google.com/?q=15.758384157904617,-96.149653247912909" TargetMode="External"/><Relationship Id="rId3211" Type="http://schemas.openxmlformats.org/officeDocument/2006/relationships/hyperlink" Target="https://maps.google.com/?q=17.8004300960012,-96.004906535478497" TargetMode="External"/><Relationship Id="rId6367" Type="http://schemas.openxmlformats.org/officeDocument/2006/relationships/hyperlink" Target="https://maps.google.com/?q=17.08393,-96.71855" TargetMode="External"/><Relationship Id="rId6781" Type="http://schemas.openxmlformats.org/officeDocument/2006/relationships/hyperlink" Target="https://maps.google.com/?q=16.6364769162331,-97.0399178676101" TargetMode="External"/><Relationship Id="rId7418" Type="http://schemas.openxmlformats.org/officeDocument/2006/relationships/hyperlink" Target="https://maps.google.com/?q=17.036143,-97.054670000000002" TargetMode="External"/><Relationship Id="rId7832" Type="http://schemas.openxmlformats.org/officeDocument/2006/relationships/hyperlink" Target="https://maps.google.com/?q=16.8510699607563,-95.092888961971695" TargetMode="External"/><Relationship Id="rId132" Type="http://schemas.openxmlformats.org/officeDocument/2006/relationships/hyperlink" Target="https://maps.google.com/?q=17.09193,-97.498749000000004" TargetMode="External"/><Relationship Id="rId5383" Type="http://schemas.openxmlformats.org/officeDocument/2006/relationships/hyperlink" Target="https://maps.google.com/?q=15.9766173169236,-97.245195285880499" TargetMode="External"/><Relationship Id="rId6434" Type="http://schemas.openxmlformats.org/officeDocument/2006/relationships/hyperlink" Target="https://maps.google.com/?q=17.34391867,-97.562285520000003" TargetMode="External"/><Relationship Id="rId10813" Type="http://schemas.openxmlformats.org/officeDocument/2006/relationships/hyperlink" Target="https://maps.google.com/?q=16.395476733973,-94.460118084655704" TargetMode="External"/><Relationship Id="rId13969" Type="http://schemas.openxmlformats.org/officeDocument/2006/relationships/hyperlink" Target="https://maps.google.com/?q=16.375996506962828,-95.25348623569698" TargetMode="External"/><Relationship Id="rId1579" Type="http://schemas.openxmlformats.org/officeDocument/2006/relationships/hyperlink" Target="https://maps.google.com/?q=16.56553,-96.699560000000005" TargetMode="External"/><Relationship Id="rId2977" Type="http://schemas.openxmlformats.org/officeDocument/2006/relationships/hyperlink" Target="https://maps.google.com/?q=17.9092238926192,-98.011935753303504" TargetMode="External"/><Relationship Id="rId5036" Type="http://schemas.openxmlformats.org/officeDocument/2006/relationships/hyperlink" Target="https://maps.google.com/?q=17.251484,-96.156514999999999" TargetMode="External"/><Relationship Id="rId5450" Type="http://schemas.openxmlformats.org/officeDocument/2006/relationships/hyperlink" Target="https://maps.google.com/?q=16.0077245307698,-97.4306291951048" TargetMode="External"/><Relationship Id="rId12985" Type="http://schemas.openxmlformats.org/officeDocument/2006/relationships/hyperlink" Target="https://maps.google.com/?q=16.50129945,-97.556993599999998" TargetMode="External"/><Relationship Id="rId949" Type="http://schemas.openxmlformats.org/officeDocument/2006/relationships/hyperlink" Target="https://maps.google.com/?q=15.683013070530075,-96.510417379450118" TargetMode="External"/><Relationship Id="rId1993" Type="http://schemas.openxmlformats.org/officeDocument/2006/relationships/hyperlink" Target="https://maps.google.com/?q=15.776498,-96.143273" TargetMode="External"/><Relationship Id="rId4052" Type="http://schemas.openxmlformats.org/officeDocument/2006/relationships/hyperlink" Target="https://maps.google.com/?q=17.080164,-96.726157000000001" TargetMode="External"/><Relationship Id="rId5103" Type="http://schemas.openxmlformats.org/officeDocument/2006/relationships/hyperlink" Target="https://maps.google.com/?q=17.253499,-96.154149000000004" TargetMode="External"/><Relationship Id="rId6501" Type="http://schemas.openxmlformats.org/officeDocument/2006/relationships/hyperlink" Target="https://maps.google.com/?q=17.2081088964443,-97.572823941955704" TargetMode="External"/><Relationship Id="rId8259" Type="http://schemas.openxmlformats.org/officeDocument/2006/relationships/hyperlink" Target="https://maps.google.com/?q=17.024983,-96.750117000000003" TargetMode="External"/><Relationship Id="rId9657" Type="http://schemas.openxmlformats.org/officeDocument/2006/relationships/hyperlink" Target="https://maps.google.com/?q=16.3175498350468,-96.584984690807303" TargetMode="External"/><Relationship Id="rId11587" Type="http://schemas.openxmlformats.org/officeDocument/2006/relationships/hyperlink" Target="https://maps.google.com/?q=16.8338344062774,-96.723621650297105" TargetMode="External"/><Relationship Id="rId12638" Type="http://schemas.openxmlformats.org/officeDocument/2006/relationships/hyperlink" Target="https://maps.google.com/?q=17.11776,-96.847368000000003" TargetMode="External"/><Relationship Id="rId1646" Type="http://schemas.openxmlformats.org/officeDocument/2006/relationships/hyperlink" Target="https://maps.google.com/?q=16.8933443025642,-96.938397584338503" TargetMode="External"/><Relationship Id="rId8673" Type="http://schemas.openxmlformats.org/officeDocument/2006/relationships/hyperlink" Target="https://maps.google.com/?q=16.2798785953995,-96.300143722417999" TargetMode="External"/><Relationship Id="rId9724" Type="http://schemas.openxmlformats.org/officeDocument/2006/relationships/hyperlink" Target="https://maps.google.com/?q=16.5150920070473,-96.97603082" TargetMode="External"/><Relationship Id="rId10189" Type="http://schemas.openxmlformats.org/officeDocument/2006/relationships/hyperlink" Target="https://maps.google.com/?q=17.282203140415664,-97.33476348052714" TargetMode="External"/><Relationship Id="rId11654" Type="http://schemas.openxmlformats.org/officeDocument/2006/relationships/hyperlink" Target="https://maps.google.com/?q=17.17374835,-97.708729419999997" TargetMode="External"/><Relationship Id="rId12705" Type="http://schemas.openxmlformats.org/officeDocument/2006/relationships/hyperlink" Target="https://maps.google.com/?q=16.2839391973653,-96.504930914190297" TargetMode="External"/><Relationship Id="rId14060" Type="http://schemas.openxmlformats.org/officeDocument/2006/relationships/hyperlink" Target="https://maps.google.com/?q=17.719706101624755,-96.85248437532026" TargetMode="External"/><Relationship Id="rId1713" Type="http://schemas.openxmlformats.org/officeDocument/2006/relationships/hyperlink" Target="https://maps.google.com/?q=18.0756218682546,-96.896856328479998" TargetMode="External"/><Relationship Id="rId4869" Type="http://schemas.openxmlformats.org/officeDocument/2006/relationships/hyperlink" Target="https://maps.google.com/?q=16.7914030954706,-96.391091017578603" TargetMode="External"/><Relationship Id="rId7275" Type="http://schemas.openxmlformats.org/officeDocument/2006/relationships/hyperlink" Target="https://maps.google.com/?q=16.3022218084863,-97.908435798572299" TargetMode="External"/><Relationship Id="rId8326" Type="http://schemas.openxmlformats.org/officeDocument/2006/relationships/hyperlink" Target="https://maps.google.com/?q=16.542139,-98.030103999999994" TargetMode="External"/><Relationship Id="rId8740" Type="http://schemas.openxmlformats.org/officeDocument/2006/relationships/hyperlink" Target="https://maps.google.com/?q=18.060627731884,-96.134943170196394" TargetMode="External"/><Relationship Id="rId10256" Type="http://schemas.openxmlformats.org/officeDocument/2006/relationships/hyperlink" Target="https://maps.google.com/?q=16.24264,-95.150834000000003" TargetMode="External"/><Relationship Id="rId10670" Type="http://schemas.openxmlformats.org/officeDocument/2006/relationships/hyperlink" Target="https://maps.google.com/?q=15.703445925103,-96.265069526628494" TargetMode="External"/><Relationship Id="rId11307" Type="http://schemas.openxmlformats.org/officeDocument/2006/relationships/hyperlink" Target="https://maps.google.com/?q=17.8682024356455,-96.308808085582299" TargetMode="External"/><Relationship Id="rId11721" Type="http://schemas.openxmlformats.org/officeDocument/2006/relationships/hyperlink" Target="https://maps.google.com/?q=17.1847924,-97.710441189999997" TargetMode="External"/><Relationship Id="rId3885" Type="http://schemas.openxmlformats.org/officeDocument/2006/relationships/hyperlink" Target="https://maps.google.com/?q=17.1070181601456,-95.929330334523101" TargetMode="External"/><Relationship Id="rId4936" Type="http://schemas.openxmlformats.org/officeDocument/2006/relationships/hyperlink" Target="https://maps.google.com/?q=18.033728,-96.673451" TargetMode="External"/><Relationship Id="rId6291" Type="http://schemas.openxmlformats.org/officeDocument/2006/relationships/hyperlink" Target="https://maps.google.com/?q=18.0551343,-96.389044200000001" TargetMode="External"/><Relationship Id="rId7342" Type="http://schemas.openxmlformats.org/officeDocument/2006/relationships/hyperlink" Target="https://maps.google.com/?q=16.549446,-97.680835999999999" TargetMode="External"/><Relationship Id="rId10323" Type="http://schemas.openxmlformats.org/officeDocument/2006/relationships/hyperlink" Target="https://maps.google.com/?q=16.22834302,-97.267498059999994" TargetMode="External"/><Relationship Id="rId13479" Type="http://schemas.openxmlformats.org/officeDocument/2006/relationships/hyperlink" Target="https://maps.google.com/?q=17.6885221696823,-97.034748277280798" TargetMode="External"/><Relationship Id="rId2487" Type="http://schemas.openxmlformats.org/officeDocument/2006/relationships/hyperlink" Target="https://maps.google.com/?q=17.05193788,-96.624422629999998" TargetMode="External"/><Relationship Id="rId3538" Type="http://schemas.openxmlformats.org/officeDocument/2006/relationships/hyperlink" Target="https://maps.google.com/?q=15.770188,-96.151036" TargetMode="External"/><Relationship Id="rId12495" Type="http://schemas.openxmlformats.org/officeDocument/2006/relationships/hyperlink" Target="https://maps.google.com/?q=17.2232589427146,-97.273003222501401" TargetMode="External"/><Relationship Id="rId13893" Type="http://schemas.openxmlformats.org/officeDocument/2006/relationships/hyperlink" Target="https://maps.google.com/?q=18.030266478726194,-96.67029001259213" TargetMode="External"/><Relationship Id="rId459" Type="http://schemas.openxmlformats.org/officeDocument/2006/relationships/hyperlink" Target="https://maps.google.com/?q=16.054064,-97.409265000000005" TargetMode="External"/><Relationship Id="rId873" Type="http://schemas.openxmlformats.org/officeDocument/2006/relationships/hyperlink" Target="https://maps.google.com/?q=17.09539,-97.497460000000004" TargetMode="External"/><Relationship Id="rId1089" Type="http://schemas.openxmlformats.org/officeDocument/2006/relationships/hyperlink" Target="https://maps.google.com/?q=17.094537,-97.498720000000006" TargetMode="External"/><Relationship Id="rId2554" Type="http://schemas.openxmlformats.org/officeDocument/2006/relationships/hyperlink" Target="https://maps.google.com/?q=17.9093311241717,-98.011371254315904" TargetMode="External"/><Relationship Id="rId3952" Type="http://schemas.openxmlformats.org/officeDocument/2006/relationships/hyperlink" Target="https://maps.google.com/?q=17.061054,-96.756463999999994" TargetMode="External"/><Relationship Id="rId6011" Type="http://schemas.openxmlformats.org/officeDocument/2006/relationships/hyperlink" Target="https://maps.google.com/?q=18.15538507447465,-96.574056375702327" TargetMode="External"/><Relationship Id="rId9167" Type="http://schemas.openxmlformats.org/officeDocument/2006/relationships/hyperlink" Target="https://maps.google.com/?q=17.0036996119129,-96.964423468566295" TargetMode="External"/><Relationship Id="rId9581" Type="http://schemas.openxmlformats.org/officeDocument/2006/relationships/hyperlink" Target="https://maps.google.com/?q=17.9990966747155,-96.754254547775503" TargetMode="External"/><Relationship Id="rId11097" Type="http://schemas.openxmlformats.org/officeDocument/2006/relationships/hyperlink" Target="https://maps.google.com/?q=17.254745,-96.154831" TargetMode="External"/><Relationship Id="rId12148" Type="http://schemas.openxmlformats.org/officeDocument/2006/relationships/hyperlink" Target="https://maps.google.com/?q=16.2917648110032,-97.683515589457699" TargetMode="External"/><Relationship Id="rId13546" Type="http://schemas.openxmlformats.org/officeDocument/2006/relationships/hyperlink" Target="https://maps.google.com/?q=17.407460021337737,-96.53830773628044" TargetMode="External"/><Relationship Id="rId13960" Type="http://schemas.openxmlformats.org/officeDocument/2006/relationships/hyperlink" Target="https://maps.google.com/?q=17.0979994471275,-96.049368020485502" TargetMode="External"/><Relationship Id="rId526" Type="http://schemas.openxmlformats.org/officeDocument/2006/relationships/hyperlink" Target="https://maps.google.com/?q=16.055035,-97.407435000000007" TargetMode="External"/><Relationship Id="rId1156" Type="http://schemas.openxmlformats.org/officeDocument/2006/relationships/hyperlink" Target="https://maps.google.com/?q=18.136674498272065,-97.09738125124109" TargetMode="External"/><Relationship Id="rId2207" Type="http://schemas.openxmlformats.org/officeDocument/2006/relationships/hyperlink" Target="https://maps.google.com/?q=16.9857730745118,-97.231959456902203" TargetMode="External"/><Relationship Id="rId3605" Type="http://schemas.openxmlformats.org/officeDocument/2006/relationships/hyperlink" Target="https://maps.google.com/?q=15.776666352999394,-96.136853966738471" TargetMode="External"/><Relationship Id="rId8183" Type="http://schemas.openxmlformats.org/officeDocument/2006/relationships/hyperlink" Target="https://maps.google.com/?q=16.666212,-96.306571000000005" TargetMode="External"/><Relationship Id="rId9234" Type="http://schemas.openxmlformats.org/officeDocument/2006/relationships/hyperlink" Target="https://maps.google.com/?q=17.376285420871,-96.302381943106596" TargetMode="External"/><Relationship Id="rId12562" Type="http://schemas.openxmlformats.org/officeDocument/2006/relationships/hyperlink" Target="https://maps.google.com/?q=16.5321683412634,-96.985615548954797" TargetMode="External"/><Relationship Id="rId13613" Type="http://schemas.openxmlformats.org/officeDocument/2006/relationships/hyperlink" Target="https://maps.google.com/?q=17.29276,-96.153721" TargetMode="External"/><Relationship Id="rId940" Type="http://schemas.openxmlformats.org/officeDocument/2006/relationships/hyperlink" Target="https://maps.google.com/?q=15.68267251526627,-96.510265999047704" TargetMode="External"/><Relationship Id="rId1570" Type="http://schemas.openxmlformats.org/officeDocument/2006/relationships/hyperlink" Target="https://maps.google.com/?q=16.549474,-96.723628000000005" TargetMode="External"/><Relationship Id="rId2621" Type="http://schemas.openxmlformats.org/officeDocument/2006/relationships/hyperlink" Target="https://maps.google.com/?q=18.079849,-96.168902000000003" TargetMode="External"/><Relationship Id="rId5777" Type="http://schemas.openxmlformats.org/officeDocument/2006/relationships/hyperlink" Target="https://maps.google.com/?q=17.000274,-97.231842999999998" TargetMode="External"/><Relationship Id="rId6828" Type="http://schemas.openxmlformats.org/officeDocument/2006/relationships/hyperlink" Target="https://maps.google.com/?q=16.0630662912576,-97.172683224536897" TargetMode="External"/><Relationship Id="rId11164" Type="http://schemas.openxmlformats.org/officeDocument/2006/relationships/hyperlink" Target="https://maps.google.com/?q=16.84201,-96.008199000000005" TargetMode="External"/><Relationship Id="rId12215" Type="http://schemas.openxmlformats.org/officeDocument/2006/relationships/hyperlink" Target="https://maps.google.com/?q=17.4185412660434,-95.946724182239507" TargetMode="External"/><Relationship Id="rId1223" Type="http://schemas.openxmlformats.org/officeDocument/2006/relationships/hyperlink" Target="https://maps.google.com/?q=18.111112,-96.623361" TargetMode="External"/><Relationship Id="rId4379" Type="http://schemas.openxmlformats.org/officeDocument/2006/relationships/hyperlink" Target="https://maps.google.com/?q=15.99728691,-96.680472570000006" TargetMode="External"/><Relationship Id="rId4793" Type="http://schemas.openxmlformats.org/officeDocument/2006/relationships/hyperlink" Target="https://maps.google.com/?q=17.9585570120018,-96.658939618717199" TargetMode="External"/><Relationship Id="rId5844" Type="http://schemas.openxmlformats.org/officeDocument/2006/relationships/hyperlink" Target="https://maps.google.com/?q=16.0101356368251,-97.431760597553193" TargetMode="External"/><Relationship Id="rId8250" Type="http://schemas.openxmlformats.org/officeDocument/2006/relationships/hyperlink" Target="https://maps.google.com/?q=16.427432,-97.643902999999995" TargetMode="External"/><Relationship Id="rId9301" Type="http://schemas.openxmlformats.org/officeDocument/2006/relationships/hyperlink" Target="https://maps.google.com/?q=16.8143561837791,-95.137207967860505" TargetMode="External"/><Relationship Id="rId10180" Type="http://schemas.openxmlformats.org/officeDocument/2006/relationships/hyperlink" Target="https://maps.google.com/?q=17.279036204476714,-97.32432086945293" TargetMode="External"/><Relationship Id="rId11231" Type="http://schemas.openxmlformats.org/officeDocument/2006/relationships/hyperlink" Target="https://maps.google.com/?q=17.1150787552589,-97.496558791163906" TargetMode="External"/><Relationship Id="rId3395" Type="http://schemas.openxmlformats.org/officeDocument/2006/relationships/hyperlink" Target="https://maps.google.com/?q=18.0050754645273,-96.642973312251101" TargetMode="External"/><Relationship Id="rId4446" Type="http://schemas.openxmlformats.org/officeDocument/2006/relationships/hyperlink" Target="https://maps.google.com/?q=16.6486574328398,-96.771462449073795" TargetMode="External"/><Relationship Id="rId4860" Type="http://schemas.openxmlformats.org/officeDocument/2006/relationships/hyperlink" Target="https://maps.google.com/?q=16.7901371425424,-96.386399834011698" TargetMode="External"/><Relationship Id="rId5911" Type="http://schemas.openxmlformats.org/officeDocument/2006/relationships/hyperlink" Target="https://maps.google.com/?q=18.146234183349733,-96.565628514502706" TargetMode="External"/><Relationship Id="rId3048" Type="http://schemas.openxmlformats.org/officeDocument/2006/relationships/hyperlink" Target="https://maps.google.com/?q=16.9635271471252,-96.939900336835507" TargetMode="External"/><Relationship Id="rId3462" Type="http://schemas.openxmlformats.org/officeDocument/2006/relationships/hyperlink" Target="https://maps.google.com/?q=16.4029450195082,-96.964502084655805" TargetMode="External"/><Relationship Id="rId4513" Type="http://schemas.openxmlformats.org/officeDocument/2006/relationships/hyperlink" Target="https://maps.google.com/?q=17.1801508771483,-97.304297635581904" TargetMode="External"/><Relationship Id="rId7669" Type="http://schemas.openxmlformats.org/officeDocument/2006/relationships/hyperlink" Target="https://maps.google.com/?q=17.1892951578089,-97.544263749801502" TargetMode="External"/><Relationship Id="rId10997" Type="http://schemas.openxmlformats.org/officeDocument/2006/relationships/hyperlink" Target="https://maps.google.com/?q=17.154662,-97.185122000000007" TargetMode="External"/><Relationship Id="rId13056" Type="http://schemas.openxmlformats.org/officeDocument/2006/relationships/hyperlink" Target="https://maps.google.com/?q=16.5626277,-97.539375800000002" TargetMode="External"/><Relationship Id="rId14107" Type="http://schemas.openxmlformats.org/officeDocument/2006/relationships/hyperlink" Target="https://maps.google.com/?q=16.38272168,-95.20012109" TargetMode="External"/><Relationship Id="rId383" Type="http://schemas.openxmlformats.org/officeDocument/2006/relationships/hyperlink" Target="https://maps.google.com/?q=16.88335,-97.676419999999993" TargetMode="External"/><Relationship Id="rId2064" Type="http://schemas.openxmlformats.org/officeDocument/2006/relationships/hyperlink" Target="https://maps.google.com/?q=15.770604655647452,-96.23442679830454" TargetMode="External"/><Relationship Id="rId3115" Type="http://schemas.openxmlformats.org/officeDocument/2006/relationships/hyperlink" Target="https://maps.google.com/?q=16.581524,-97.441866000000005" TargetMode="External"/><Relationship Id="rId6685" Type="http://schemas.openxmlformats.org/officeDocument/2006/relationships/hyperlink" Target="https://maps.google.com/?q=16.937896,-96.966295799999997" TargetMode="External"/><Relationship Id="rId9091" Type="http://schemas.openxmlformats.org/officeDocument/2006/relationships/hyperlink" Target="https://maps.google.com/?q=16.06519,-95.501649999999998" TargetMode="External"/><Relationship Id="rId12072" Type="http://schemas.openxmlformats.org/officeDocument/2006/relationships/hyperlink" Target="https://maps.google.com/?q=16.24411097,-95.325682459999996" TargetMode="External"/><Relationship Id="rId13123" Type="http://schemas.openxmlformats.org/officeDocument/2006/relationships/hyperlink" Target="https://maps.google.com/?q=16.5681925,-97.531188400000005" TargetMode="External"/><Relationship Id="rId13470" Type="http://schemas.openxmlformats.org/officeDocument/2006/relationships/hyperlink" Target="https://maps.google.com/?q=17.687716934421,-97.036255647437898" TargetMode="External"/><Relationship Id="rId450" Type="http://schemas.openxmlformats.org/officeDocument/2006/relationships/hyperlink" Target="https://maps.google.com/?q=16.052971,-97.410639000000003" TargetMode="External"/><Relationship Id="rId1080" Type="http://schemas.openxmlformats.org/officeDocument/2006/relationships/hyperlink" Target="https://maps.google.com/?q=17.092124,-97.499320999999995" TargetMode="External"/><Relationship Id="rId2131" Type="http://schemas.openxmlformats.org/officeDocument/2006/relationships/hyperlink" Target="https://maps.google.com/?q=15.762884,-96.143677999999994" TargetMode="External"/><Relationship Id="rId5287" Type="http://schemas.openxmlformats.org/officeDocument/2006/relationships/hyperlink" Target="https://maps.google.com/?q=15.8305368360891,-96.456514086284898" TargetMode="External"/><Relationship Id="rId6338" Type="http://schemas.openxmlformats.org/officeDocument/2006/relationships/hyperlink" Target="https://maps.google.com/?q=18.060593,-96.395431000000002" TargetMode="External"/><Relationship Id="rId7736" Type="http://schemas.openxmlformats.org/officeDocument/2006/relationships/hyperlink" Target="https://maps.google.com/?q=16.6310566266445,-96.799105040125298" TargetMode="External"/><Relationship Id="rId10717" Type="http://schemas.openxmlformats.org/officeDocument/2006/relationships/hyperlink" Target="https://maps.google.com/?q=17.361766,-95.922253999999995" TargetMode="External"/><Relationship Id="rId103" Type="http://schemas.openxmlformats.org/officeDocument/2006/relationships/hyperlink" Target="https://maps.google.com/?q=17.097171,-97.493083999999996" TargetMode="External"/><Relationship Id="rId6752" Type="http://schemas.openxmlformats.org/officeDocument/2006/relationships/hyperlink" Target="https://maps.google.com/?q=16.7024729654262,-97.0204200545909" TargetMode="External"/><Relationship Id="rId7803" Type="http://schemas.openxmlformats.org/officeDocument/2006/relationships/hyperlink" Target="https://maps.google.com/?q=17.8458903564654,-96.744355748970506" TargetMode="External"/><Relationship Id="rId12889" Type="http://schemas.openxmlformats.org/officeDocument/2006/relationships/hyperlink" Target="https://maps.google.com/?q=16.533213,-97.443477000000001" TargetMode="External"/><Relationship Id="rId1897" Type="http://schemas.openxmlformats.org/officeDocument/2006/relationships/hyperlink" Target="https://maps.google.com/?q=15.776498301086013,-96.136436646576598" TargetMode="External"/><Relationship Id="rId2948" Type="http://schemas.openxmlformats.org/officeDocument/2006/relationships/hyperlink" Target="https://maps.google.com/?q=17.08362739,-96.662374299999996" TargetMode="External"/><Relationship Id="rId5354" Type="http://schemas.openxmlformats.org/officeDocument/2006/relationships/hyperlink" Target="https://maps.google.com/?q=16.52476528561604,-97.16688835714723" TargetMode="External"/><Relationship Id="rId6405" Type="http://schemas.openxmlformats.org/officeDocument/2006/relationships/hyperlink" Target="https://maps.google.com/?q=17.2585827169357,-97.572893088836096" TargetMode="External"/><Relationship Id="rId9975" Type="http://schemas.openxmlformats.org/officeDocument/2006/relationships/hyperlink" Target="https://maps.google.com/?q=17.101137,-97.498332" TargetMode="External"/><Relationship Id="rId12956" Type="http://schemas.openxmlformats.org/officeDocument/2006/relationships/hyperlink" Target="https://maps.google.com/?q=16.506159,-97.483226000000002" TargetMode="External"/><Relationship Id="rId1964" Type="http://schemas.openxmlformats.org/officeDocument/2006/relationships/hyperlink" Target="https://maps.google.com/?q=15.7807116734263,-96.139557773523606" TargetMode="External"/><Relationship Id="rId4370" Type="http://schemas.openxmlformats.org/officeDocument/2006/relationships/hyperlink" Target="https://maps.google.com/?q=15.96393618,-96.632137970000002" TargetMode="External"/><Relationship Id="rId5007" Type="http://schemas.openxmlformats.org/officeDocument/2006/relationships/hyperlink" Target="https://maps.google.com/?q=17.335316,-98.012051" TargetMode="External"/><Relationship Id="rId5421" Type="http://schemas.openxmlformats.org/officeDocument/2006/relationships/hyperlink" Target="https://maps.google.com/?q=16.1001863368325,-97.700654052744" TargetMode="External"/><Relationship Id="rId8577" Type="http://schemas.openxmlformats.org/officeDocument/2006/relationships/hyperlink" Target="https://maps.google.com/?q=16.931171886445,-96.601944274222404" TargetMode="External"/><Relationship Id="rId8991" Type="http://schemas.openxmlformats.org/officeDocument/2006/relationships/hyperlink" Target="https://maps.google.com/?q=17.38201932,-96.160787275999994" TargetMode="External"/><Relationship Id="rId9628" Type="http://schemas.openxmlformats.org/officeDocument/2006/relationships/hyperlink" Target="https://maps.google.com/?q=18.000082887277,-96.747965837725502" TargetMode="External"/><Relationship Id="rId11558" Type="http://schemas.openxmlformats.org/officeDocument/2006/relationships/hyperlink" Target="https://maps.google.com/?q=16.834466362504,-96.707903122684499" TargetMode="External"/><Relationship Id="rId12609" Type="http://schemas.openxmlformats.org/officeDocument/2006/relationships/hyperlink" Target="https://maps.google.com/?q=17.113675,-96.854106999999999" TargetMode="External"/><Relationship Id="rId1617" Type="http://schemas.openxmlformats.org/officeDocument/2006/relationships/hyperlink" Target="https://maps.google.com/?q=17.759308,-96.079195999999996" TargetMode="External"/><Relationship Id="rId4023" Type="http://schemas.openxmlformats.org/officeDocument/2006/relationships/hyperlink" Target="https://maps.google.com/?q=17.0197253004008,-96.718037502299168" TargetMode="External"/><Relationship Id="rId7179" Type="http://schemas.openxmlformats.org/officeDocument/2006/relationships/hyperlink" Target="https://maps.google.com/?q=16.2208262063265,-97.919877543561697" TargetMode="External"/><Relationship Id="rId7593" Type="http://schemas.openxmlformats.org/officeDocument/2006/relationships/hyperlink" Target="https://maps.google.com/?q=17.094348715255,-95.855791830000001" TargetMode="External"/><Relationship Id="rId8644" Type="http://schemas.openxmlformats.org/officeDocument/2006/relationships/hyperlink" Target="https://maps.google.com/?q=16.2741416810359,-94.532397690611703" TargetMode="External"/><Relationship Id="rId11972" Type="http://schemas.openxmlformats.org/officeDocument/2006/relationships/hyperlink" Target="https://maps.google.com/?q=16.7997772008252,-96.722112262059994" TargetMode="External"/><Relationship Id="rId14031" Type="http://schemas.openxmlformats.org/officeDocument/2006/relationships/hyperlink" Target="https://maps.google.com/?q=17.0593116415592,-96.726123443802607" TargetMode="External"/><Relationship Id="rId3789" Type="http://schemas.openxmlformats.org/officeDocument/2006/relationships/hyperlink" Target="https://maps.google.com/?q=15.768468537682882,-96.256886235124" TargetMode="External"/><Relationship Id="rId6195" Type="http://schemas.openxmlformats.org/officeDocument/2006/relationships/hyperlink" Target="https://maps.google.com/?q=16.092833,-97.082453999999998" TargetMode="External"/><Relationship Id="rId7246" Type="http://schemas.openxmlformats.org/officeDocument/2006/relationships/hyperlink" Target="https://maps.google.com/?q=16.0969506195684,-97.924032703373001" TargetMode="External"/><Relationship Id="rId7660" Type="http://schemas.openxmlformats.org/officeDocument/2006/relationships/hyperlink" Target="https://maps.google.com/?q=17.232449657293,-95.054749939021804" TargetMode="External"/><Relationship Id="rId10227" Type="http://schemas.openxmlformats.org/officeDocument/2006/relationships/hyperlink" Target="https://maps.google.com/?q=17.18810953310664,-97.40294279407283" TargetMode="External"/><Relationship Id="rId10574" Type="http://schemas.openxmlformats.org/officeDocument/2006/relationships/hyperlink" Target="https://maps.google.com/?q=17.0944145622053,-97.769526580356001" TargetMode="External"/><Relationship Id="rId11625" Type="http://schemas.openxmlformats.org/officeDocument/2006/relationships/hyperlink" Target="https://maps.google.com/?q=16.8386101813745,-96.719217023313504" TargetMode="External"/><Relationship Id="rId6262" Type="http://schemas.openxmlformats.org/officeDocument/2006/relationships/hyperlink" Target="https://maps.google.com/?q=16.3916756163707,-96.736196169309906" TargetMode="External"/><Relationship Id="rId7313" Type="http://schemas.openxmlformats.org/officeDocument/2006/relationships/hyperlink" Target="https://maps.google.com/?q=16.72704213,-96.473273070000005" TargetMode="External"/><Relationship Id="rId8711" Type="http://schemas.openxmlformats.org/officeDocument/2006/relationships/hyperlink" Target="https://maps.google.com/?q=17.0559089296488,-96.828960640000005" TargetMode="External"/><Relationship Id="rId10641" Type="http://schemas.openxmlformats.org/officeDocument/2006/relationships/hyperlink" Target="https://maps.google.com/?q=17.1202063512479,-97.785115460505097" TargetMode="External"/><Relationship Id="rId13797" Type="http://schemas.openxmlformats.org/officeDocument/2006/relationships/hyperlink" Target="https://maps.google.com/?q=17.130409,-97.748687000000004" TargetMode="External"/><Relationship Id="rId3856" Type="http://schemas.openxmlformats.org/officeDocument/2006/relationships/hyperlink" Target="https://maps.google.com/?q=17.0919130741091,-95.922103295345906" TargetMode="External"/><Relationship Id="rId4907" Type="http://schemas.openxmlformats.org/officeDocument/2006/relationships/hyperlink" Target="https://maps.google.com/?q=18.031283,-96.671795000000003" TargetMode="External"/><Relationship Id="rId12399" Type="http://schemas.openxmlformats.org/officeDocument/2006/relationships/hyperlink" Target="https://maps.google.com/?q=16.5565231973253,-96.822701451397705" TargetMode="External"/><Relationship Id="rId13864" Type="http://schemas.openxmlformats.org/officeDocument/2006/relationships/hyperlink" Target="https://maps.google.com/?q=16.2649974645953,-96.589666900188305" TargetMode="External"/><Relationship Id="rId777" Type="http://schemas.openxmlformats.org/officeDocument/2006/relationships/hyperlink" Target="https://maps.google.com/?q=15.688162532207457,-96.513300257989059" TargetMode="External"/><Relationship Id="rId2458" Type="http://schemas.openxmlformats.org/officeDocument/2006/relationships/hyperlink" Target="https://maps.google.com/?q=17.05160429,-96.624345430000005" TargetMode="External"/><Relationship Id="rId2872" Type="http://schemas.openxmlformats.org/officeDocument/2006/relationships/hyperlink" Target="https://maps.google.com/?q=16.9888589510762,-97.682594693288706" TargetMode="External"/><Relationship Id="rId3509" Type="http://schemas.openxmlformats.org/officeDocument/2006/relationships/hyperlink" Target="https://maps.google.com/?q=15.772679432319741,-96.148213166927562" TargetMode="External"/><Relationship Id="rId3923" Type="http://schemas.openxmlformats.org/officeDocument/2006/relationships/hyperlink" Target="https://maps.google.com/?q=17.047,-96.71366" TargetMode="External"/><Relationship Id="rId8087" Type="http://schemas.openxmlformats.org/officeDocument/2006/relationships/hyperlink" Target="https://maps.google.com/?q=17.3544538028088,-96.303327766627007" TargetMode="External"/><Relationship Id="rId9485" Type="http://schemas.openxmlformats.org/officeDocument/2006/relationships/hyperlink" Target="https://maps.google.com/?q=17.806621,-97.776161999999999" TargetMode="External"/><Relationship Id="rId12466" Type="http://schemas.openxmlformats.org/officeDocument/2006/relationships/hyperlink" Target="https://maps.google.com/?q=17.2216171773662,-97.270590971474107" TargetMode="External"/><Relationship Id="rId12880" Type="http://schemas.openxmlformats.org/officeDocument/2006/relationships/hyperlink" Target="https://maps.google.com/?q=16.513874,-97.465052" TargetMode="External"/><Relationship Id="rId13517" Type="http://schemas.openxmlformats.org/officeDocument/2006/relationships/hyperlink" Target="https://maps.google.com/?q=17.132802517932948,-96.83147817497522" TargetMode="External"/><Relationship Id="rId13931" Type="http://schemas.openxmlformats.org/officeDocument/2006/relationships/hyperlink" Target="https://maps.google.com/?q=18.03462148194912,-96.54888047154282" TargetMode="External"/><Relationship Id="rId844" Type="http://schemas.openxmlformats.org/officeDocument/2006/relationships/hyperlink" Target="https://maps.google.com/?q=15.707213707158798,-96.525099685420784" TargetMode="External"/><Relationship Id="rId1474" Type="http://schemas.openxmlformats.org/officeDocument/2006/relationships/hyperlink" Target="https://maps.google.com/?q=17.08063341764641,-96.71026254475612" TargetMode="External"/><Relationship Id="rId2525" Type="http://schemas.openxmlformats.org/officeDocument/2006/relationships/hyperlink" Target="https://maps.google.com/?q=17.05234013,-96.624114789999993" TargetMode="External"/><Relationship Id="rId9138" Type="http://schemas.openxmlformats.org/officeDocument/2006/relationships/hyperlink" Target="https://maps.google.com/?q=16.9711849140349,-97.083792446015295" TargetMode="External"/><Relationship Id="rId9552" Type="http://schemas.openxmlformats.org/officeDocument/2006/relationships/hyperlink" Target="https://maps.google.com/?q=17.357661,-96.294629999999998" TargetMode="External"/><Relationship Id="rId11068" Type="http://schemas.openxmlformats.org/officeDocument/2006/relationships/hyperlink" Target="https://maps.google.com/?q=17.28559654,-97.379890739999993" TargetMode="External"/><Relationship Id="rId11482" Type="http://schemas.openxmlformats.org/officeDocument/2006/relationships/hyperlink" Target="https://maps.google.com/?q=16.3027710742685,-96.642440146251204" TargetMode="External"/><Relationship Id="rId12119" Type="http://schemas.openxmlformats.org/officeDocument/2006/relationships/hyperlink" Target="https://maps.google.com/?q=16.319936487179,-97.664178740237801" TargetMode="External"/><Relationship Id="rId12533" Type="http://schemas.openxmlformats.org/officeDocument/2006/relationships/hyperlink" Target="https://maps.google.com/?q=17.02092197,-97.862459779999995" TargetMode="External"/><Relationship Id="rId911" Type="http://schemas.openxmlformats.org/officeDocument/2006/relationships/hyperlink" Target="https://maps.google.com/?q=16.88291,-97.6751" TargetMode="External"/><Relationship Id="rId1127" Type="http://schemas.openxmlformats.org/officeDocument/2006/relationships/hyperlink" Target="https://maps.google.com/?q=17.095534,-97.497962000000001" TargetMode="External"/><Relationship Id="rId1541" Type="http://schemas.openxmlformats.org/officeDocument/2006/relationships/hyperlink" Target="https://maps.google.com/?q=17.062461,-96.757001000000002" TargetMode="External"/><Relationship Id="rId4697" Type="http://schemas.openxmlformats.org/officeDocument/2006/relationships/hyperlink" Target="https://maps.google.com/?q=17.05386,-96.735390" TargetMode="External"/><Relationship Id="rId5748" Type="http://schemas.openxmlformats.org/officeDocument/2006/relationships/hyperlink" Target="https://maps.google.com/?q=18.04907,-96.766503" TargetMode="External"/><Relationship Id="rId8154" Type="http://schemas.openxmlformats.org/officeDocument/2006/relationships/hyperlink" Target="https://maps.google.com/?q=17.3566196422372,-96.302069809881104" TargetMode="External"/><Relationship Id="rId9205" Type="http://schemas.openxmlformats.org/officeDocument/2006/relationships/hyperlink" Target="https://maps.google.com/?q=17.3746493819102,-96.300383715762607" TargetMode="External"/><Relationship Id="rId10084" Type="http://schemas.openxmlformats.org/officeDocument/2006/relationships/hyperlink" Target="https://maps.google.com/?q=16.9948396891769,-96.109810401045095" TargetMode="External"/><Relationship Id="rId11135" Type="http://schemas.openxmlformats.org/officeDocument/2006/relationships/hyperlink" Target="https://maps.google.com/?q=16.835087,-96.007763999999995" TargetMode="External"/><Relationship Id="rId3299" Type="http://schemas.openxmlformats.org/officeDocument/2006/relationships/hyperlink" Target="https://maps.google.com/?q=17.063074142598,-96.810383722390497" TargetMode="External"/><Relationship Id="rId4764" Type="http://schemas.openxmlformats.org/officeDocument/2006/relationships/hyperlink" Target="https://maps.google.com/?q=17.9566005182699,-96.661747753967305" TargetMode="External"/><Relationship Id="rId7170" Type="http://schemas.openxmlformats.org/officeDocument/2006/relationships/hyperlink" Target="https://maps.google.com/?q=16.2181657800739,-97.958908474809604" TargetMode="External"/><Relationship Id="rId8221" Type="http://schemas.openxmlformats.org/officeDocument/2006/relationships/hyperlink" Target="https://maps.google.com/?q=16.373585,-97.676551099999998" TargetMode="External"/><Relationship Id="rId10151" Type="http://schemas.openxmlformats.org/officeDocument/2006/relationships/hyperlink" Target="https://maps.google.com/?q=17.1279376880567,-97.502284066626999" TargetMode="External"/><Relationship Id="rId11202" Type="http://schemas.openxmlformats.org/officeDocument/2006/relationships/hyperlink" Target="https://maps.google.com/?q=16.857851,-96.690049" TargetMode="External"/><Relationship Id="rId12600" Type="http://schemas.openxmlformats.org/officeDocument/2006/relationships/hyperlink" Target="https://maps.google.com/?q=16.5227122575057,-96.984056644657301" TargetMode="External"/><Relationship Id="rId3366" Type="http://schemas.openxmlformats.org/officeDocument/2006/relationships/hyperlink" Target="https://maps.google.com/?q=17.059184,-96.824611000000004" TargetMode="External"/><Relationship Id="rId4417" Type="http://schemas.openxmlformats.org/officeDocument/2006/relationships/hyperlink" Target="https://maps.google.com/?q=16.00667535,-96.6804731" TargetMode="External"/><Relationship Id="rId5815" Type="http://schemas.openxmlformats.org/officeDocument/2006/relationships/hyperlink" Target="https://maps.google.com/?q=16.014659143567,-97.431390163194607" TargetMode="External"/><Relationship Id="rId287" Type="http://schemas.openxmlformats.org/officeDocument/2006/relationships/hyperlink" Target="https://maps.google.com/?q=16.88552,-97.678430000000006" TargetMode="External"/><Relationship Id="rId2382" Type="http://schemas.openxmlformats.org/officeDocument/2006/relationships/hyperlink" Target="https://maps.google.com/?q=17.1740732337118,-97.823670645179703" TargetMode="External"/><Relationship Id="rId3019" Type="http://schemas.openxmlformats.org/officeDocument/2006/relationships/hyperlink" Target="https://maps.google.com/?q=16.939114568499,-97.0165609153444" TargetMode="External"/><Relationship Id="rId3780" Type="http://schemas.openxmlformats.org/officeDocument/2006/relationships/hyperlink" Target="https://maps.google.com/?q=15.764316,-96.141251999999994" TargetMode="External"/><Relationship Id="rId4831" Type="http://schemas.openxmlformats.org/officeDocument/2006/relationships/hyperlink" Target="https://maps.google.com/?q=17.3346029389698,&#160;-96.16437371483539" TargetMode="External"/><Relationship Id="rId7987" Type="http://schemas.openxmlformats.org/officeDocument/2006/relationships/hyperlink" Target="https://maps.google.com/?q=18.1632025514241,-96.880085953372998" TargetMode="External"/><Relationship Id="rId10968" Type="http://schemas.openxmlformats.org/officeDocument/2006/relationships/hyperlink" Target="https://maps.google.com/?q=16.2137876592453,-95.222956080000003" TargetMode="External"/><Relationship Id="rId13374" Type="http://schemas.openxmlformats.org/officeDocument/2006/relationships/hyperlink" Target="https://maps.google.com/?q=16.3234012896011,-96.671180169311498" TargetMode="External"/><Relationship Id="rId354" Type="http://schemas.openxmlformats.org/officeDocument/2006/relationships/hyperlink" Target="https://maps.google.com/?q=16.055127,-97.407696000000001" TargetMode="External"/><Relationship Id="rId2035" Type="http://schemas.openxmlformats.org/officeDocument/2006/relationships/hyperlink" Target="https://maps.google.com/?q=15.759178967969467,-96.140708331860182" TargetMode="External"/><Relationship Id="rId3433" Type="http://schemas.openxmlformats.org/officeDocument/2006/relationships/hyperlink" Target="https://maps.google.com/?q=17.0671316702917,-96.974643306041202" TargetMode="External"/><Relationship Id="rId6589" Type="http://schemas.openxmlformats.org/officeDocument/2006/relationships/hyperlink" Target="https://maps.google.com/?q=17.259204,-97.687626" TargetMode="External"/><Relationship Id="rId9062" Type="http://schemas.openxmlformats.org/officeDocument/2006/relationships/hyperlink" Target="https://maps.google.com/?q=16.056286,-95.455246000000002" TargetMode="External"/><Relationship Id="rId12390" Type="http://schemas.openxmlformats.org/officeDocument/2006/relationships/hyperlink" Target="https://maps.google.com/?q=16.5540659360239,-96.818473787902306" TargetMode="External"/><Relationship Id="rId13027" Type="http://schemas.openxmlformats.org/officeDocument/2006/relationships/hyperlink" Target="https://maps.google.com/?q=16.5067249,-97.554365000000004" TargetMode="External"/><Relationship Id="rId13441" Type="http://schemas.openxmlformats.org/officeDocument/2006/relationships/hyperlink" Target="https://maps.google.com/?q=17.6843536708893,-97.031325644180299" TargetMode="External"/><Relationship Id="rId3500" Type="http://schemas.openxmlformats.org/officeDocument/2006/relationships/hyperlink" Target="https://maps.google.com/?q=15.770099907817526,-96.152604487923114" TargetMode="External"/><Relationship Id="rId6656" Type="http://schemas.openxmlformats.org/officeDocument/2006/relationships/hyperlink" Target="https://maps.google.com/?q=18.214216,-96.334783999999999" TargetMode="External"/><Relationship Id="rId7707" Type="http://schemas.openxmlformats.org/officeDocument/2006/relationships/hyperlink" Target="https://maps.google.com/?q=16.6284442000699,-96.795977845873693" TargetMode="External"/><Relationship Id="rId12043" Type="http://schemas.openxmlformats.org/officeDocument/2006/relationships/hyperlink" Target="https://maps.google.com/?q=16.8069796164539,-96.717560318895707" TargetMode="External"/><Relationship Id="rId421" Type="http://schemas.openxmlformats.org/officeDocument/2006/relationships/hyperlink" Target="https://maps.google.com/?q=16.053029,-97.412347999999994" TargetMode="External"/><Relationship Id="rId1051" Type="http://schemas.openxmlformats.org/officeDocument/2006/relationships/hyperlink" Target="https://maps.google.com/?q=15.707540519959768,-96.525176375999976" TargetMode="External"/><Relationship Id="rId2102" Type="http://schemas.openxmlformats.org/officeDocument/2006/relationships/hyperlink" Target="https://maps.google.com/?q=15.764202,-96.150495" TargetMode="External"/><Relationship Id="rId5258" Type="http://schemas.openxmlformats.org/officeDocument/2006/relationships/hyperlink" Target="https://maps.google.com/?q=15.8868455814311,-96.320301081810399" TargetMode="External"/><Relationship Id="rId5672" Type="http://schemas.openxmlformats.org/officeDocument/2006/relationships/hyperlink" Target="https://maps.google.com/?q=16.431986,-97.897417000000004" TargetMode="External"/><Relationship Id="rId6309" Type="http://schemas.openxmlformats.org/officeDocument/2006/relationships/hyperlink" Target="https://maps.google.com/?q=18.0577228903457,-96.405357855559402" TargetMode="External"/><Relationship Id="rId6723" Type="http://schemas.openxmlformats.org/officeDocument/2006/relationships/hyperlink" Target="https://maps.google.com/?q=17.0356311297773,-96.984405190924207" TargetMode="External"/><Relationship Id="rId9879" Type="http://schemas.openxmlformats.org/officeDocument/2006/relationships/hyperlink" Target="https://maps.google.com/?q=16.6365603435667,-96.850521515171394" TargetMode="External"/><Relationship Id="rId12110" Type="http://schemas.openxmlformats.org/officeDocument/2006/relationships/hyperlink" Target="https://maps.google.com/?q=16.3185654969761,-97.664011294133005" TargetMode="External"/><Relationship Id="rId1868" Type="http://schemas.openxmlformats.org/officeDocument/2006/relationships/hyperlink" Target="https://maps.google.com/?q=15.775228435324351,-96.136016151003531" TargetMode="External"/><Relationship Id="rId4274" Type="http://schemas.openxmlformats.org/officeDocument/2006/relationships/hyperlink" Target="https://maps.google.com/?q=16.05868076,-96.611972940000001" TargetMode="External"/><Relationship Id="rId5325" Type="http://schemas.openxmlformats.org/officeDocument/2006/relationships/hyperlink" Target="https://maps.google.com/?q=15.8075214052254,-96.3617480346863" TargetMode="External"/><Relationship Id="rId8895" Type="http://schemas.openxmlformats.org/officeDocument/2006/relationships/hyperlink" Target="https://maps.google.com/?q=17.379943864,-96.162889750000005" TargetMode="External"/><Relationship Id="rId2919" Type="http://schemas.openxmlformats.org/officeDocument/2006/relationships/hyperlink" Target="https://maps.google.com/?q=17.07167455,-96.685920679999995" TargetMode="External"/><Relationship Id="rId3290" Type="http://schemas.openxmlformats.org/officeDocument/2006/relationships/hyperlink" Target="https://maps.google.com/?q=17.062507131469,-96.812493378556198" TargetMode="External"/><Relationship Id="rId4341" Type="http://schemas.openxmlformats.org/officeDocument/2006/relationships/hyperlink" Target="https://maps.google.com/?q=16.0174760617848,-96.616830337295795" TargetMode="External"/><Relationship Id="rId7497" Type="http://schemas.openxmlformats.org/officeDocument/2006/relationships/hyperlink" Target="https://maps.google.com/?q=17.34315174,-97.371569859999994" TargetMode="External"/><Relationship Id="rId8548" Type="http://schemas.openxmlformats.org/officeDocument/2006/relationships/hyperlink" Target="https://maps.google.com/?q=16.9218383263429,-96.609678279762207" TargetMode="External"/><Relationship Id="rId9946" Type="http://schemas.openxmlformats.org/officeDocument/2006/relationships/hyperlink" Target="https://maps.google.com/?q=16.708174,-96.709447999999995" TargetMode="External"/><Relationship Id="rId11876" Type="http://schemas.openxmlformats.org/officeDocument/2006/relationships/hyperlink" Target="https://maps.google.com/?q=17.7127984404411,-97.06630009573557" TargetMode="External"/><Relationship Id="rId12927" Type="http://schemas.openxmlformats.org/officeDocument/2006/relationships/hyperlink" Target="https://maps.google.com/?q=16.558164,-97.410950999999997" TargetMode="External"/><Relationship Id="rId1935" Type="http://schemas.openxmlformats.org/officeDocument/2006/relationships/hyperlink" Target="https://maps.google.com/?q=15.777300487631983,-96.137003607970797" TargetMode="External"/><Relationship Id="rId6099" Type="http://schemas.openxmlformats.org/officeDocument/2006/relationships/hyperlink" Target="https://maps.google.com/?q=17.980458,-96.702078" TargetMode="External"/><Relationship Id="rId8962" Type="http://schemas.openxmlformats.org/officeDocument/2006/relationships/hyperlink" Target="https://maps.google.com/?q=17.381501546,-96.162553037999999" TargetMode="External"/><Relationship Id="rId10478" Type="http://schemas.openxmlformats.org/officeDocument/2006/relationships/hyperlink" Target="https://maps.google.com/?q=17.8432022917361,-96.744999059280502" TargetMode="External"/><Relationship Id="rId10892" Type="http://schemas.openxmlformats.org/officeDocument/2006/relationships/hyperlink" Target="https://maps.google.com/?q=16.1842666884464,-95.187225782208898" TargetMode="External"/><Relationship Id="rId11529" Type="http://schemas.openxmlformats.org/officeDocument/2006/relationships/hyperlink" Target="https://maps.google.com/?q=16.6154801848094,-96.8490766567066" TargetMode="External"/><Relationship Id="rId11943" Type="http://schemas.openxmlformats.org/officeDocument/2006/relationships/hyperlink" Target="https://maps.google.com/?q=17.238161721844,-97.916973419643298" TargetMode="External"/><Relationship Id="rId3010" Type="http://schemas.openxmlformats.org/officeDocument/2006/relationships/hyperlink" Target="https://maps.google.com/?q=16.937615,-97.018112000000002" TargetMode="External"/><Relationship Id="rId6166" Type="http://schemas.openxmlformats.org/officeDocument/2006/relationships/hyperlink" Target="https://maps.google.com/?q=16.1424098163678,-96.4186186832788" TargetMode="External"/><Relationship Id="rId7564" Type="http://schemas.openxmlformats.org/officeDocument/2006/relationships/hyperlink" Target="https://maps.google.com/?q=17.3276022798759,-95.268707178175802" TargetMode="External"/><Relationship Id="rId8615" Type="http://schemas.openxmlformats.org/officeDocument/2006/relationships/hyperlink" Target="https://maps.google.com/?q=17.8952847930464,-96.710292988836102" TargetMode="External"/><Relationship Id="rId10545" Type="http://schemas.openxmlformats.org/officeDocument/2006/relationships/hyperlink" Target="https://maps.google.com/?q=17.1208927517313,-97.787032179545406" TargetMode="External"/><Relationship Id="rId14002" Type="http://schemas.openxmlformats.org/officeDocument/2006/relationships/hyperlink" Target="https://maps.google.com/?q=17.026216,-97.928115000000005" TargetMode="External"/><Relationship Id="rId6580" Type="http://schemas.openxmlformats.org/officeDocument/2006/relationships/hyperlink" Target="https://maps.google.com/?q=17.766558,-96.882491" TargetMode="External"/><Relationship Id="rId7217" Type="http://schemas.openxmlformats.org/officeDocument/2006/relationships/hyperlink" Target="https://maps.google.com/?q=16.2283236027855,-97.943128720236103" TargetMode="External"/><Relationship Id="rId7631" Type="http://schemas.openxmlformats.org/officeDocument/2006/relationships/hyperlink" Target="https://maps.google.com/?q=17.2308051488894,-95.055439505016196" TargetMode="External"/><Relationship Id="rId10612" Type="http://schemas.openxmlformats.org/officeDocument/2006/relationships/hyperlink" Target="https://maps.google.com/?q=17.132644228282,-97.753063069029494" TargetMode="External"/><Relationship Id="rId13768" Type="http://schemas.openxmlformats.org/officeDocument/2006/relationships/hyperlink" Target="https://maps.google.com/?q=17.185565,-96.178961" TargetMode="External"/><Relationship Id="rId2776" Type="http://schemas.openxmlformats.org/officeDocument/2006/relationships/hyperlink" Target="https://maps.google.com/?q=18.0225964805634,-96.618221163194605" TargetMode="External"/><Relationship Id="rId3827" Type="http://schemas.openxmlformats.org/officeDocument/2006/relationships/hyperlink" Target="https://maps.google.com/?q=17.79772974,-96.96320345" TargetMode="External"/><Relationship Id="rId5182" Type="http://schemas.openxmlformats.org/officeDocument/2006/relationships/hyperlink" Target="https://maps.google.com/?q=17.315009,-95.965434999999999" TargetMode="External"/><Relationship Id="rId6233" Type="http://schemas.openxmlformats.org/officeDocument/2006/relationships/hyperlink" Target="https://maps.google.com/?q=17.0099156736515,-97.267789290320906" TargetMode="External"/><Relationship Id="rId9389" Type="http://schemas.openxmlformats.org/officeDocument/2006/relationships/hyperlink" Target="https://maps.google.com/?q=16.8206685495639,-95.139443556755097" TargetMode="External"/><Relationship Id="rId748" Type="http://schemas.openxmlformats.org/officeDocument/2006/relationships/hyperlink" Target="https://maps.google.com/?q=15.683553878476394,-96.511397332295729" TargetMode="External"/><Relationship Id="rId1378" Type="http://schemas.openxmlformats.org/officeDocument/2006/relationships/hyperlink" Target="https://maps.google.com/?q=16.433347,-95.021687" TargetMode="External"/><Relationship Id="rId1792" Type="http://schemas.openxmlformats.org/officeDocument/2006/relationships/hyperlink" Target="https://maps.google.com/?q=18.0653754327718,-96.896475015581998" TargetMode="External"/><Relationship Id="rId2429" Type="http://schemas.openxmlformats.org/officeDocument/2006/relationships/hyperlink" Target="https://maps.google.com/?q=17.05119624,-96.624621320000003" TargetMode="External"/><Relationship Id="rId2843" Type="http://schemas.openxmlformats.org/officeDocument/2006/relationships/hyperlink" Target="https://maps.google.com/?q=16.9542825170594,-97.712316154596394" TargetMode="External"/><Relationship Id="rId5999" Type="http://schemas.openxmlformats.org/officeDocument/2006/relationships/hyperlink" Target="https://maps.google.com/?q=18.1551790511865,-96.576175303250011" TargetMode="External"/><Relationship Id="rId6300" Type="http://schemas.openxmlformats.org/officeDocument/2006/relationships/hyperlink" Target="https://maps.google.com/?q=18.0570438420275,-96.397380324700507" TargetMode="External"/><Relationship Id="rId9456" Type="http://schemas.openxmlformats.org/officeDocument/2006/relationships/hyperlink" Target="https://maps.google.com/?q=15.831561,-96.616816" TargetMode="External"/><Relationship Id="rId9870" Type="http://schemas.openxmlformats.org/officeDocument/2006/relationships/hyperlink" Target="https://maps.google.com/?q=16.6359006526667,-96.850567125582003" TargetMode="External"/><Relationship Id="rId11386" Type="http://schemas.openxmlformats.org/officeDocument/2006/relationships/hyperlink" Target="https://maps.google.com/?q=17.3442682373544,-97.55738389513597" TargetMode="External"/><Relationship Id="rId12437" Type="http://schemas.openxmlformats.org/officeDocument/2006/relationships/hyperlink" Target="https://maps.google.com/?q=17.2205708002406,-97.272511405505099" TargetMode="External"/><Relationship Id="rId12784" Type="http://schemas.openxmlformats.org/officeDocument/2006/relationships/hyperlink" Target="https://maps.google.com/?q=17.019262,%20-96.724385" TargetMode="External"/><Relationship Id="rId13835" Type="http://schemas.openxmlformats.org/officeDocument/2006/relationships/hyperlink" Target="https://maps.google.com/?q=17.090999,-97.784592000000004" TargetMode="External"/><Relationship Id="rId84" Type="http://schemas.openxmlformats.org/officeDocument/2006/relationships/hyperlink" Target="https://maps.google.com/?q=15.906573,-96.448515999999998" TargetMode="External"/><Relationship Id="rId815" Type="http://schemas.openxmlformats.org/officeDocument/2006/relationships/hyperlink" Target="https://maps.google.com/?q=15.697621332945317,-96.524453141704328" TargetMode="External"/><Relationship Id="rId1445" Type="http://schemas.openxmlformats.org/officeDocument/2006/relationships/hyperlink" Target="https://maps.google.com/?q=17.08437,-96.71825" TargetMode="External"/><Relationship Id="rId8058" Type="http://schemas.openxmlformats.org/officeDocument/2006/relationships/hyperlink" Target="https://maps.google.com/?q=16.4967078597795,-97.37952464" TargetMode="External"/><Relationship Id="rId8472" Type="http://schemas.openxmlformats.org/officeDocument/2006/relationships/hyperlink" Target="https://maps.google.com/?q=17.1492984700083,-97.532624477243601" TargetMode="External"/><Relationship Id="rId9109" Type="http://schemas.openxmlformats.org/officeDocument/2006/relationships/hyperlink" Target="https://maps.google.com/?q=17.113600670138855,-96.85573855203555" TargetMode="External"/><Relationship Id="rId9523" Type="http://schemas.openxmlformats.org/officeDocument/2006/relationships/hyperlink" Target="https://maps.google.com/?q=18.1202394,-95.8855837" TargetMode="External"/><Relationship Id="rId11039" Type="http://schemas.openxmlformats.org/officeDocument/2006/relationships/hyperlink" Target="https://maps.google.com/?q=17.446985,-96.175319" TargetMode="External"/><Relationship Id="rId12851" Type="http://schemas.openxmlformats.org/officeDocument/2006/relationships/hyperlink" Target="https://maps.google.com/?q=17.517489,-97.686555999999996" TargetMode="External"/><Relationship Id="rId13902" Type="http://schemas.openxmlformats.org/officeDocument/2006/relationships/hyperlink" Target="https://maps.google.com/?q=16.847055658407,-96.784247898147598" TargetMode="External"/><Relationship Id="rId2910" Type="http://schemas.openxmlformats.org/officeDocument/2006/relationships/hyperlink" Target="https://maps.google.com/?q=17.0876678021684,-96.690971458269303" TargetMode="External"/><Relationship Id="rId7074" Type="http://schemas.openxmlformats.org/officeDocument/2006/relationships/hyperlink" Target="https://maps.google.com/?q=16.376532,-98.140310999999997" TargetMode="External"/><Relationship Id="rId8125" Type="http://schemas.openxmlformats.org/officeDocument/2006/relationships/hyperlink" Target="https://maps.google.com/?q=17.3553421624142,-96.303716685582003" TargetMode="External"/><Relationship Id="rId11453" Type="http://schemas.openxmlformats.org/officeDocument/2006/relationships/hyperlink" Target="https://maps.google.com/?q=15.9854362,-97.548850000000002" TargetMode="External"/><Relationship Id="rId12504" Type="http://schemas.openxmlformats.org/officeDocument/2006/relationships/hyperlink" Target="https://maps.google.com/?q=17.2246426892486,-97.273990180679803" TargetMode="External"/><Relationship Id="rId1512" Type="http://schemas.openxmlformats.org/officeDocument/2006/relationships/hyperlink" Target="https://maps.google.com/?q=17.061239,-96.756981999999994" TargetMode="External"/><Relationship Id="rId4668" Type="http://schemas.openxmlformats.org/officeDocument/2006/relationships/hyperlink" Target="https://maps.google.com/?q=17.31661977660524,-96.48224521495084" TargetMode="External"/><Relationship Id="rId5719" Type="http://schemas.openxmlformats.org/officeDocument/2006/relationships/hyperlink" Target="https://maps.google.com/?q=16.3820320031,-96.361458281300003" TargetMode="External"/><Relationship Id="rId6090" Type="http://schemas.openxmlformats.org/officeDocument/2006/relationships/hyperlink" Target="https://maps.google.com/?q=17.974135,-96.706571999999994" TargetMode="External"/><Relationship Id="rId7141" Type="http://schemas.openxmlformats.org/officeDocument/2006/relationships/hyperlink" Target="https://maps.google.com/?q=17.3446549666597,-97.699694326389206" TargetMode="External"/><Relationship Id="rId10055" Type="http://schemas.openxmlformats.org/officeDocument/2006/relationships/hyperlink" Target="https://maps.google.com/?q=16.9270033262717,-96.369240115990706" TargetMode="External"/><Relationship Id="rId11106" Type="http://schemas.openxmlformats.org/officeDocument/2006/relationships/hyperlink" Target="https://maps.google.com/?q=17.362141,-96.245708" TargetMode="External"/><Relationship Id="rId11520" Type="http://schemas.openxmlformats.org/officeDocument/2006/relationships/hyperlink" Target="https://maps.google.com/?q=16.6134238924811,-96.8562988903644" TargetMode="External"/><Relationship Id="rId3684" Type="http://schemas.openxmlformats.org/officeDocument/2006/relationships/hyperlink" Target="https://maps.google.com/?q=15.776155,-96.146738" TargetMode="External"/><Relationship Id="rId4735" Type="http://schemas.openxmlformats.org/officeDocument/2006/relationships/hyperlink" Target="https://maps.google.com/?q=16.340524008748204,-98.4505333649635" TargetMode="External"/><Relationship Id="rId10122" Type="http://schemas.openxmlformats.org/officeDocument/2006/relationships/hyperlink" Target="https://maps.google.com/?q=17.1192200608552,-97.515968113431995" TargetMode="External"/><Relationship Id="rId13278" Type="http://schemas.openxmlformats.org/officeDocument/2006/relationships/hyperlink" Target="https://maps.google.com/?q=16.1345611556473,-96.373653542327901" TargetMode="External"/><Relationship Id="rId13692" Type="http://schemas.openxmlformats.org/officeDocument/2006/relationships/hyperlink" Target="https://maps.google.com/?q=16.791653,-96.675106" TargetMode="External"/><Relationship Id="rId2286" Type="http://schemas.openxmlformats.org/officeDocument/2006/relationships/hyperlink" Target="https://maps.google.com/?q=18.0986837881404,-96.928164692208995" TargetMode="External"/><Relationship Id="rId3337" Type="http://schemas.openxmlformats.org/officeDocument/2006/relationships/hyperlink" Target="https://maps.google.com/?q=17.0677688082594,-96.812286427891493" TargetMode="External"/><Relationship Id="rId3751" Type="http://schemas.openxmlformats.org/officeDocument/2006/relationships/hyperlink" Target="https://maps.google.com/?q=15.76174,-96.143851999999995" TargetMode="External"/><Relationship Id="rId4802" Type="http://schemas.openxmlformats.org/officeDocument/2006/relationships/hyperlink" Target="https://maps.google.com/?q=16.8984837854403,-96.505469376687003" TargetMode="External"/><Relationship Id="rId7958" Type="http://schemas.openxmlformats.org/officeDocument/2006/relationships/hyperlink" Target="https://maps.google.com/?q=15.9481143448189,-96.553414748849804" TargetMode="External"/><Relationship Id="rId12294" Type="http://schemas.openxmlformats.org/officeDocument/2006/relationships/hyperlink" Target="https://maps.google.com/?q=16.4843456713789,-94.345630087248793" TargetMode="External"/><Relationship Id="rId13345" Type="http://schemas.openxmlformats.org/officeDocument/2006/relationships/hyperlink" Target="https://maps.google.com/?q=16.3149968135148,-96.6733464262296" TargetMode="External"/><Relationship Id="rId258" Type="http://schemas.openxmlformats.org/officeDocument/2006/relationships/hyperlink" Target="https://maps.google.com/?q=16.88696,-97.679270000000002" TargetMode="External"/><Relationship Id="rId672" Type="http://schemas.openxmlformats.org/officeDocument/2006/relationships/hyperlink" Target="https://maps.google.com/?q=16.055021,-97.393434999999997" TargetMode="External"/><Relationship Id="rId2353" Type="http://schemas.openxmlformats.org/officeDocument/2006/relationships/hyperlink" Target="https://maps.google.com/?q=17.060573,-97.696802000000005" TargetMode="External"/><Relationship Id="rId3404" Type="http://schemas.openxmlformats.org/officeDocument/2006/relationships/hyperlink" Target="https://maps.google.com/?q=18.0063420702026,-96.644107423278797" TargetMode="External"/><Relationship Id="rId6974" Type="http://schemas.openxmlformats.org/officeDocument/2006/relationships/hyperlink" Target="https://maps.google.com/?q=17.0168247,-96.519726370000001" TargetMode="External"/><Relationship Id="rId9380" Type="http://schemas.openxmlformats.org/officeDocument/2006/relationships/hyperlink" Target="https://maps.google.com/?q=16.8201293840528,-95.140162388771202" TargetMode="External"/><Relationship Id="rId10939" Type="http://schemas.openxmlformats.org/officeDocument/2006/relationships/hyperlink" Target="https://maps.google.com/?q=16.1962355261132,-95.216675339003302" TargetMode="External"/><Relationship Id="rId12361" Type="http://schemas.openxmlformats.org/officeDocument/2006/relationships/hyperlink" Target="https://maps.google.com/?q=17.649934765890137,-97.7497749988854" TargetMode="External"/><Relationship Id="rId13412" Type="http://schemas.openxmlformats.org/officeDocument/2006/relationships/hyperlink" Target="https://maps.google.com/?q=16.3290269753833,-96.666878451528405" TargetMode="External"/><Relationship Id="rId325" Type="http://schemas.openxmlformats.org/officeDocument/2006/relationships/hyperlink" Target="https://maps.google.com/?q=16.054878,-97.396080999999995" TargetMode="External"/><Relationship Id="rId2006" Type="http://schemas.openxmlformats.org/officeDocument/2006/relationships/hyperlink" Target="https://maps.google.com/?q=15.757713577715739,-96.139152867202782" TargetMode="External"/><Relationship Id="rId2420" Type="http://schemas.openxmlformats.org/officeDocument/2006/relationships/hyperlink" Target="https://maps.google.com/?q=17.05114814,-96.624454869999994" TargetMode="External"/><Relationship Id="rId5576" Type="http://schemas.openxmlformats.org/officeDocument/2006/relationships/hyperlink" Target="https://maps.google.com/?q=17.4438707218848,-96.182297070000203" TargetMode="External"/><Relationship Id="rId6627" Type="http://schemas.openxmlformats.org/officeDocument/2006/relationships/hyperlink" Target="https://maps.google.com/?q=17.883026,-96.750803" TargetMode="External"/><Relationship Id="rId9033" Type="http://schemas.openxmlformats.org/officeDocument/2006/relationships/hyperlink" Target="https://maps.google.com/?q=16.054001,-95.483435999999998" TargetMode="External"/><Relationship Id="rId12014" Type="http://schemas.openxmlformats.org/officeDocument/2006/relationships/hyperlink" Target="https://maps.google.com/?q=16.8034386532761,-96.714677049108403" TargetMode="External"/><Relationship Id="rId1022" Type="http://schemas.openxmlformats.org/officeDocument/2006/relationships/hyperlink" Target="https://maps.google.com/?q=15.697960908020072,-96.52508140813849" TargetMode="External"/><Relationship Id="rId4178" Type="http://schemas.openxmlformats.org/officeDocument/2006/relationships/hyperlink" Target="https://maps.google.com/?q=16.3204060971303,&#160;-97.7976463" TargetMode="External"/><Relationship Id="rId4592" Type="http://schemas.openxmlformats.org/officeDocument/2006/relationships/hyperlink" Target="https://maps.google.com/?q=16.55705,-96.816535999999999" TargetMode="External"/><Relationship Id="rId5229" Type="http://schemas.openxmlformats.org/officeDocument/2006/relationships/hyperlink" Target="https://maps.google.com/?q=17.283921810342,-97.367287946983694" TargetMode="External"/><Relationship Id="rId5990" Type="http://schemas.openxmlformats.org/officeDocument/2006/relationships/hyperlink" Target="https://maps.google.com/?q=18.154973219231735,-96.572196347123992" TargetMode="External"/><Relationship Id="rId9100" Type="http://schemas.openxmlformats.org/officeDocument/2006/relationships/hyperlink" Target="https://maps.google.com/?q=16.320714667579434,-97.74955615844652" TargetMode="External"/><Relationship Id="rId3194" Type="http://schemas.openxmlformats.org/officeDocument/2006/relationships/hyperlink" Target="https://maps.google.com/?q=17.036349,-97.051760000000002" TargetMode="External"/><Relationship Id="rId4245" Type="http://schemas.openxmlformats.org/officeDocument/2006/relationships/hyperlink" Target="https://maps.google.com/?q=16.06465516304,-96.613769073408704" TargetMode="External"/><Relationship Id="rId5643" Type="http://schemas.openxmlformats.org/officeDocument/2006/relationships/hyperlink" Target="https://maps.google.com/?q=17.563227874292,-96.182411713373597" TargetMode="External"/><Relationship Id="rId8799" Type="http://schemas.openxmlformats.org/officeDocument/2006/relationships/hyperlink" Target="https://maps.google.com/?q=17.213813,-96.249121000000002" TargetMode="External"/><Relationship Id="rId11030" Type="http://schemas.openxmlformats.org/officeDocument/2006/relationships/hyperlink" Target="https://maps.google.com/?q=17.120787,-96.823700" TargetMode="External"/><Relationship Id="rId1839" Type="http://schemas.openxmlformats.org/officeDocument/2006/relationships/hyperlink" Target="https://maps.google.com/?q=18.0369144080406,-96.897980498895294" TargetMode="External"/><Relationship Id="rId5710" Type="http://schemas.openxmlformats.org/officeDocument/2006/relationships/hyperlink" Target="https://maps.google.com/?q=17.430887144181,-96.281655670000106" TargetMode="External"/><Relationship Id="rId8866" Type="http://schemas.openxmlformats.org/officeDocument/2006/relationships/hyperlink" Target="https://maps.google.com/?q=17.221604,-96.244031000000007" TargetMode="External"/><Relationship Id="rId9917" Type="http://schemas.openxmlformats.org/officeDocument/2006/relationships/hyperlink" Target="https://maps.google.com/?q=16.70707,-96.710255000000004" TargetMode="External"/><Relationship Id="rId10796" Type="http://schemas.openxmlformats.org/officeDocument/2006/relationships/hyperlink" Target="https://maps.google.com/?q=16.3877349590517,-96.36303624" TargetMode="External"/><Relationship Id="rId11847" Type="http://schemas.openxmlformats.org/officeDocument/2006/relationships/hyperlink" Target="https://maps.google.com/?q=17.72300490181563,-97.32434134358597" TargetMode="External"/><Relationship Id="rId182" Type="http://schemas.openxmlformats.org/officeDocument/2006/relationships/hyperlink" Target="https://maps.google.com/?q=17.097922,-97.492137999999997" TargetMode="External"/><Relationship Id="rId1906" Type="http://schemas.openxmlformats.org/officeDocument/2006/relationships/hyperlink" Target="https://maps.google.com/?q=15.776607511596938,-96.136500396334625" TargetMode="External"/><Relationship Id="rId3261" Type="http://schemas.openxmlformats.org/officeDocument/2006/relationships/hyperlink" Target="https://maps.google.com/?q=17.0597652811823,-96.820264435038695" TargetMode="External"/><Relationship Id="rId4312" Type="http://schemas.openxmlformats.org/officeDocument/2006/relationships/hyperlink" Target="https://maps.google.com/?q=16.026938204074,-96.640515486151699" TargetMode="External"/><Relationship Id="rId7468" Type="http://schemas.openxmlformats.org/officeDocument/2006/relationships/hyperlink" Target="https://maps.google.com/?q=17.0729445532699,-96.749760511248198" TargetMode="External"/><Relationship Id="rId7882" Type="http://schemas.openxmlformats.org/officeDocument/2006/relationships/hyperlink" Target="https://maps.google.com/?q=16.3179991221808,-96.403049737434401" TargetMode="External"/><Relationship Id="rId8519" Type="http://schemas.openxmlformats.org/officeDocument/2006/relationships/hyperlink" Target="https://maps.google.com/?q=16.921171132328,-96.614062653615306" TargetMode="External"/><Relationship Id="rId8933" Type="http://schemas.openxmlformats.org/officeDocument/2006/relationships/hyperlink" Target="https://maps.google.com/?q=17.381125142,-96.161737935000005" TargetMode="External"/><Relationship Id="rId10449" Type="http://schemas.openxmlformats.org/officeDocument/2006/relationships/hyperlink" Target="https://maps.google.com/?q=17.0368556,-96.780114800000007" TargetMode="External"/><Relationship Id="rId6484" Type="http://schemas.openxmlformats.org/officeDocument/2006/relationships/hyperlink" Target="https://maps.google.com/?q=17.1992486668544,-97.588619174375594" TargetMode="External"/><Relationship Id="rId7535" Type="http://schemas.openxmlformats.org/officeDocument/2006/relationships/hyperlink" Target="https://maps.google.com/?q=17.9763086576552,-96.704521576366602" TargetMode="External"/><Relationship Id="rId10516" Type="http://schemas.openxmlformats.org/officeDocument/2006/relationships/hyperlink" Target="https://maps.google.com/?q=17.8468869695923,-96.745678496881098" TargetMode="External"/><Relationship Id="rId10863" Type="http://schemas.openxmlformats.org/officeDocument/2006/relationships/hyperlink" Target="https://maps.google.com/?q=16.3530589187763,-94.490299644180297" TargetMode="External"/><Relationship Id="rId11914" Type="http://schemas.openxmlformats.org/officeDocument/2006/relationships/hyperlink" Target="https://maps.google.com/?q=17.984757539042132,-96.69941270518085" TargetMode="External"/><Relationship Id="rId999" Type="http://schemas.openxmlformats.org/officeDocument/2006/relationships/hyperlink" Target="https://maps.google.com/?q=15.69506575957169,-96.522834112853943" TargetMode="External"/><Relationship Id="rId5086" Type="http://schemas.openxmlformats.org/officeDocument/2006/relationships/hyperlink" Target="https://maps.google.com/?q=17.252956,-96.156699000000003" TargetMode="External"/><Relationship Id="rId6137" Type="http://schemas.openxmlformats.org/officeDocument/2006/relationships/hyperlink" Target="https://maps.google.com/?q=16.95287555,-96.622621170000002" TargetMode="External"/><Relationship Id="rId6551" Type="http://schemas.openxmlformats.org/officeDocument/2006/relationships/hyperlink" Target="https://maps.google.com/?q=17.760835,-96.877920" TargetMode="External"/><Relationship Id="rId7602" Type="http://schemas.openxmlformats.org/officeDocument/2006/relationships/hyperlink" Target="https://maps.google.com/?q=17.2290046914535,-95.049607519049005" TargetMode="External"/><Relationship Id="rId10930" Type="http://schemas.openxmlformats.org/officeDocument/2006/relationships/hyperlink" Target="https://maps.google.com/?q=16.1939781104279,-95.215841072208804" TargetMode="External"/><Relationship Id="rId1696" Type="http://schemas.openxmlformats.org/officeDocument/2006/relationships/hyperlink" Target="https://maps.google.com/?q=18.0719556621848,-96.899653955581996" TargetMode="External"/><Relationship Id="rId5153" Type="http://schemas.openxmlformats.org/officeDocument/2006/relationships/hyperlink" Target="https://maps.google.com/?q=17.25479,-96.151606999999998" TargetMode="External"/><Relationship Id="rId6204" Type="http://schemas.openxmlformats.org/officeDocument/2006/relationships/hyperlink" Target="https://maps.google.com/?q=16.09461,-97.082089999999994" TargetMode="External"/><Relationship Id="rId12688" Type="http://schemas.openxmlformats.org/officeDocument/2006/relationships/hyperlink" Target="https://maps.google.com/?q=16.2829641406159,-96.503265999999996" TargetMode="External"/><Relationship Id="rId13739" Type="http://schemas.openxmlformats.org/officeDocument/2006/relationships/hyperlink" Target="https://maps.google.com/?q=16.339383,-94.514989" TargetMode="External"/><Relationship Id="rId1349" Type="http://schemas.openxmlformats.org/officeDocument/2006/relationships/hyperlink" Target="https://maps.google.com/?q=17.02002153,-96.71813893" TargetMode="External"/><Relationship Id="rId2747" Type="http://schemas.openxmlformats.org/officeDocument/2006/relationships/hyperlink" Target="https://maps.google.com/?q=17.991442,-96.490131000000005" TargetMode="External"/><Relationship Id="rId5220" Type="http://schemas.openxmlformats.org/officeDocument/2006/relationships/hyperlink" Target="https://maps.google.com/?q=17.2797060315582,-97.370810813491801" TargetMode="External"/><Relationship Id="rId8376" Type="http://schemas.openxmlformats.org/officeDocument/2006/relationships/hyperlink" Target="https://maps.google.com/?q=16.8460552676791,-97.200193442816499" TargetMode="External"/><Relationship Id="rId9774" Type="http://schemas.openxmlformats.org/officeDocument/2006/relationships/hyperlink" Target="https://maps.google.com/?q=17.2859373921934,-96.794229496592607" TargetMode="External"/><Relationship Id="rId12755" Type="http://schemas.openxmlformats.org/officeDocument/2006/relationships/hyperlink" Target="https://maps.google.com/?q=17.4534197057244,-97.288787805900895" TargetMode="External"/><Relationship Id="rId13806" Type="http://schemas.openxmlformats.org/officeDocument/2006/relationships/hyperlink" Target="https://maps.google.com/?q=16.996595,-97.800584000000001" TargetMode="External"/><Relationship Id="rId719" Type="http://schemas.openxmlformats.org/officeDocument/2006/relationships/hyperlink" Target="https://maps.google.com/?q=16.06207,-97.383854999999997" TargetMode="External"/><Relationship Id="rId1763" Type="http://schemas.openxmlformats.org/officeDocument/2006/relationships/hyperlink" Target="https://maps.google.com/?q=18.06146443,-96.847612780000006" TargetMode="External"/><Relationship Id="rId2814" Type="http://schemas.openxmlformats.org/officeDocument/2006/relationships/hyperlink" Target="https://maps.google.com/?q=16.9898531426888,-97.714113092676996" TargetMode="External"/><Relationship Id="rId8029" Type="http://schemas.openxmlformats.org/officeDocument/2006/relationships/hyperlink" Target="https://maps.google.com/?q=16.4865246715302,-97.378828213798897" TargetMode="External"/><Relationship Id="rId8790" Type="http://schemas.openxmlformats.org/officeDocument/2006/relationships/hyperlink" Target="https://maps.google.com/?q=17.212966,-96.250493000000006" TargetMode="External"/><Relationship Id="rId9427" Type="http://schemas.openxmlformats.org/officeDocument/2006/relationships/hyperlink" Target="https://maps.google.com/?q=16.7761663712848,-95.191484018833094" TargetMode="External"/><Relationship Id="rId9841" Type="http://schemas.openxmlformats.org/officeDocument/2006/relationships/hyperlink" Target="https://maps.google.com/?q=16.6332096526533,-96.849894066627101" TargetMode="External"/><Relationship Id="rId11357" Type="http://schemas.openxmlformats.org/officeDocument/2006/relationships/hyperlink" Target="https://maps.google.com/?q=16.3774874564808,-94.190675029430395" TargetMode="External"/><Relationship Id="rId11771" Type="http://schemas.openxmlformats.org/officeDocument/2006/relationships/hyperlink" Target="https://maps.google.com/?q=17.33064096701787,-95.85517031317521" TargetMode="External"/><Relationship Id="rId12408" Type="http://schemas.openxmlformats.org/officeDocument/2006/relationships/hyperlink" Target="https://maps.google.com/?q=16.557226988884,-96.820156341104493" TargetMode="External"/><Relationship Id="rId12822" Type="http://schemas.openxmlformats.org/officeDocument/2006/relationships/hyperlink" Target="https://maps.google.com/?q=17.8544024081144,-97.436044271163894" TargetMode="External"/><Relationship Id="rId55" Type="http://schemas.openxmlformats.org/officeDocument/2006/relationships/hyperlink" Target="https://maps.google.com/?q=15.907728,-96.449153999999993" TargetMode="External"/><Relationship Id="rId1416" Type="http://schemas.openxmlformats.org/officeDocument/2006/relationships/hyperlink" Target="https://maps.google.com/?q=16.339653,-98.051551" TargetMode="External"/><Relationship Id="rId1830" Type="http://schemas.openxmlformats.org/officeDocument/2006/relationships/hyperlink" Target="https://maps.google.com/?q=18.0360088218758,-96.897541028359697" TargetMode="External"/><Relationship Id="rId4986" Type="http://schemas.openxmlformats.org/officeDocument/2006/relationships/hyperlink" Target="https://maps.google.com/?q=17.25769751,-96.026896935" TargetMode="External"/><Relationship Id="rId7392" Type="http://schemas.openxmlformats.org/officeDocument/2006/relationships/hyperlink" Target="https://maps.google.com/?q=17.103552,-97.001615000000001" TargetMode="External"/><Relationship Id="rId8443" Type="http://schemas.openxmlformats.org/officeDocument/2006/relationships/hyperlink" Target="https://maps.google.com/?q=16.773017,-96.660683000000006" TargetMode="External"/><Relationship Id="rId10373" Type="http://schemas.openxmlformats.org/officeDocument/2006/relationships/hyperlink" Target="https://maps.google.com/?q=17.4369162514447,-96.654416307624004" TargetMode="External"/><Relationship Id="rId11424" Type="http://schemas.openxmlformats.org/officeDocument/2006/relationships/hyperlink" Target="https://maps.google.com/?q=17.3817070194895,-98.187925796641593" TargetMode="External"/><Relationship Id="rId3588" Type="http://schemas.openxmlformats.org/officeDocument/2006/relationships/hyperlink" Target="https://maps.google.com/?q=15.776480979368383,-96.13649284718467" TargetMode="External"/><Relationship Id="rId4639" Type="http://schemas.openxmlformats.org/officeDocument/2006/relationships/hyperlink" Target="https://maps.google.com/?q=17.061721,-96.73765700" TargetMode="External"/><Relationship Id="rId7045" Type="http://schemas.openxmlformats.org/officeDocument/2006/relationships/hyperlink" Target="https://maps.google.com/?q=17.0341633305654,-97.294911093096303" TargetMode="External"/><Relationship Id="rId8510" Type="http://schemas.openxmlformats.org/officeDocument/2006/relationships/hyperlink" Target="https://maps.google.com/?q=17.1492806656502,-97.535379059999997" TargetMode="External"/><Relationship Id="rId10026" Type="http://schemas.openxmlformats.org/officeDocument/2006/relationships/hyperlink" Target="https://maps.google.com/?q=17.0024986463997,-96.073674656015399" TargetMode="External"/><Relationship Id="rId10440" Type="http://schemas.openxmlformats.org/officeDocument/2006/relationships/hyperlink" Target="https://maps.google.com/?q=17.042257,-96.781040000000004" TargetMode="External"/><Relationship Id="rId13596" Type="http://schemas.openxmlformats.org/officeDocument/2006/relationships/hyperlink" Target="https://maps.google.com/?q=18.057536,-96.397849" TargetMode="External"/><Relationship Id="rId3655" Type="http://schemas.openxmlformats.org/officeDocument/2006/relationships/hyperlink" Target="https://maps.google.com/?q=15.780003832493458,-96.139297240901627" TargetMode="External"/><Relationship Id="rId4706" Type="http://schemas.openxmlformats.org/officeDocument/2006/relationships/hyperlink" Target="https://maps.google.com/?q=17.02036688529484,-96.718112242423189" TargetMode="External"/><Relationship Id="rId6061" Type="http://schemas.openxmlformats.org/officeDocument/2006/relationships/hyperlink" Target="https://maps.google.com/?q=18.159283686987216,-96.57664670731333" TargetMode="External"/><Relationship Id="rId7112" Type="http://schemas.openxmlformats.org/officeDocument/2006/relationships/hyperlink" Target="https://maps.google.com/?q=17.3509218509172,-97.634750426952706" TargetMode="External"/><Relationship Id="rId12198" Type="http://schemas.openxmlformats.org/officeDocument/2006/relationships/hyperlink" Target="https://maps.google.com/?q=17.4176998634773,-95.9478202423239" TargetMode="External"/><Relationship Id="rId13249" Type="http://schemas.openxmlformats.org/officeDocument/2006/relationships/hyperlink" Target="https://maps.google.com/?q=17.1483281926772,-96.763878883430706" TargetMode="External"/><Relationship Id="rId576" Type="http://schemas.openxmlformats.org/officeDocument/2006/relationships/hyperlink" Target="https://maps.google.com/?q=16.052507,-97.402904000000007" TargetMode="External"/><Relationship Id="rId990" Type="http://schemas.openxmlformats.org/officeDocument/2006/relationships/hyperlink" Target="https://maps.google.com/?q=15.691739865855851,-96.519052208928542" TargetMode="External"/><Relationship Id="rId2257" Type="http://schemas.openxmlformats.org/officeDocument/2006/relationships/hyperlink" Target="https://maps.google.com/?q=18.0931349161997,-96.931104005487796" TargetMode="External"/><Relationship Id="rId2671" Type="http://schemas.openxmlformats.org/officeDocument/2006/relationships/hyperlink" Target="https://maps.google.com/?q=17.278175,-97.694277" TargetMode="External"/><Relationship Id="rId3308" Type="http://schemas.openxmlformats.org/officeDocument/2006/relationships/hyperlink" Target="https://maps.google.com/?q=17.0638615795391,-96.812029451642402" TargetMode="External"/><Relationship Id="rId9284" Type="http://schemas.openxmlformats.org/officeDocument/2006/relationships/hyperlink" Target="https://maps.google.com/?q=16.923424096288,-95.212302499533905" TargetMode="External"/><Relationship Id="rId13663" Type="http://schemas.openxmlformats.org/officeDocument/2006/relationships/hyperlink" Target="https://maps.google.com/?q=17.318033,-96.49369" TargetMode="External"/><Relationship Id="rId229" Type="http://schemas.openxmlformats.org/officeDocument/2006/relationships/hyperlink" Target="https://maps.google.com/?q=17.095144,-97.503765999999999" TargetMode="External"/><Relationship Id="rId643" Type="http://schemas.openxmlformats.org/officeDocument/2006/relationships/hyperlink" Target="https://maps.google.com/?q=16.054601,-97.39528" TargetMode="External"/><Relationship Id="rId1273" Type="http://schemas.openxmlformats.org/officeDocument/2006/relationships/hyperlink" Target="https://maps.google.com/?q=17.058657,-96.743072999999995" TargetMode="External"/><Relationship Id="rId2324" Type="http://schemas.openxmlformats.org/officeDocument/2006/relationships/hyperlink" Target="https://maps.google.com/?q=18.1092970142382,-96.872354965259703" TargetMode="External"/><Relationship Id="rId3722" Type="http://schemas.openxmlformats.org/officeDocument/2006/relationships/hyperlink" Target="https://maps.google.com/?q=15.758494139680273,-96.139449667022291" TargetMode="External"/><Relationship Id="rId6878" Type="http://schemas.openxmlformats.org/officeDocument/2006/relationships/hyperlink" Target="https://maps.google.com/?q=16.9713219351481,-97.083159638813598" TargetMode="External"/><Relationship Id="rId7929" Type="http://schemas.openxmlformats.org/officeDocument/2006/relationships/hyperlink" Target="https://maps.google.com/?q=16.3223836462567,-96.406919213729594" TargetMode="External"/><Relationship Id="rId9351" Type="http://schemas.openxmlformats.org/officeDocument/2006/relationships/hyperlink" Target="https://maps.google.com/?q=16.8179609709776,-95.142416817768193" TargetMode="External"/><Relationship Id="rId12265" Type="http://schemas.openxmlformats.org/officeDocument/2006/relationships/hyperlink" Target="https://maps.google.com/?q=16.4763797322412,-94.356477177909795" TargetMode="External"/><Relationship Id="rId13316" Type="http://schemas.openxmlformats.org/officeDocument/2006/relationships/hyperlink" Target="https://maps.google.com/?q=17.0470398473654,-96.747559695238493" TargetMode="External"/><Relationship Id="rId13730" Type="http://schemas.openxmlformats.org/officeDocument/2006/relationships/hyperlink" Target="https://maps.google.com/?q=16.60821,-95.980503" TargetMode="External"/><Relationship Id="rId5894" Type="http://schemas.openxmlformats.org/officeDocument/2006/relationships/hyperlink" Target="https://maps.google.com/?q=18.14538804069382,-96.565825489552864" TargetMode="External"/><Relationship Id="rId6945" Type="http://schemas.openxmlformats.org/officeDocument/2006/relationships/hyperlink" Target="https://maps.google.com/?q=16.3200221,-95.250756300000006" TargetMode="External"/><Relationship Id="rId9004" Type="http://schemas.openxmlformats.org/officeDocument/2006/relationships/hyperlink" Target="https://maps.google.com/?q=17.382308414,-96.162021941999996" TargetMode="External"/><Relationship Id="rId11281" Type="http://schemas.openxmlformats.org/officeDocument/2006/relationships/hyperlink" Target="https://maps.google.com/?q=17.8661129221063,-96.308970296686496" TargetMode="External"/><Relationship Id="rId12332" Type="http://schemas.openxmlformats.org/officeDocument/2006/relationships/hyperlink" Target="https://maps.google.com/?q=17.770644,-97.283101" TargetMode="External"/><Relationship Id="rId710" Type="http://schemas.openxmlformats.org/officeDocument/2006/relationships/hyperlink" Target="https://maps.google.com/?q=16.062679,-97.383121000000003" TargetMode="External"/><Relationship Id="rId1340" Type="http://schemas.openxmlformats.org/officeDocument/2006/relationships/hyperlink" Target="https://maps.google.com/?q=17.0189468,-96.718225" TargetMode="External"/><Relationship Id="rId3098" Type="http://schemas.openxmlformats.org/officeDocument/2006/relationships/hyperlink" Target="https://maps.google.com/?q=17.30346272,-97.490972999999997" TargetMode="External"/><Relationship Id="rId4496" Type="http://schemas.openxmlformats.org/officeDocument/2006/relationships/hyperlink" Target="https://maps.google.com/?q=17.1778259416559,-97.3046029447747" TargetMode="External"/><Relationship Id="rId5547" Type="http://schemas.openxmlformats.org/officeDocument/2006/relationships/hyperlink" Target="https://maps.google.com/?q=17.292792543841,-97.385605904418" TargetMode="External"/><Relationship Id="rId5961" Type="http://schemas.openxmlformats.org/officeDocument/2006/relationships/hyperlink" Target="https://maps.google.com/?q=18.154175132566753,-96.573846813346321" TargetMode="External"/><Relationship Id="rId4149" Type="http://schemas.openxmlformats.org/officeDocument/2006/relationships/hyperlink" Target="https://maps.google.com/?q=16.42274,-98.169923999999995" TargetMode="External"/><Relationship Id="rId4563" Type="http://schemas.openxmlformats.org/officeDocument/2006/relationships/hyperlink" Target="https://maps.google.com/?q=17.1859711822286,-97.303702239829093" TargetMode="External"/><Relationship Id="rId5614" Type="http://schemas.openxmlformats.org/officeDocument/2006/relationships/hyperlink" Target="https://maps.google.com/?q=17.5507771675017,-96.221782267528496" TargetMode="External"/><Relationship Id="rId8020" Type="http://schemas.openxmlformats.org/officeDocument/2006/relationships/hyperlink" Target="https://maps.google.com/?q=18.1595661008289,-96.884041939833807" TargetMode="External"/><Relationship Id="rId11001" Type="http://schemas.openxmlformats.org/officeDocument/2006/relationships/hyperlink" Target="https://maps.google.com/?q=17.155913,-97.195171999999999" TargetMode="External"/><Relationship Id="rId14157" Type="http://schemas.openxmlformats.org/officeDocument/2006/relationships/hyperlink" Target="https://maps.google.com/?q=16.99264548037001,-96.75452003571242" TargetMode="External"/><Relationship Id="rId3165" Type="http://schemas.openxmlformats.org/officeDocument/2006/relationships/hyperlink" Target="https://maps.google.com/?q=16.545195,-97.495180000000005" TargetMode="External"/><Relationship Id="rId4216" Type="http://schemas.openxmlformats.org/officeDocument/2006/relationships/hyperlink" Target="https://maps.google.com/?q=17.458341,-97.225285" TargetMode="External"/><Relationship Id="rId4630" Type="http://schemas.openxmlformats.org/officeDocument/2006/relationships/hyperlink" Target="https://maps.google.com/?q=16.576399593330667,-96.73622019377473" TargetMode="External"/><Relationship Id="rId7786" Type="http://schemas.openxmlformats.org/officeDocument/2006/relationships/hyperlink" Target="https://maps.google.com/?q=17.8445031987382,-96.747162743830799" TargetMode="External"/><Relationship Id="rId8837" Type="http://schemas.openxmlformats.org/officeDocument/2006/relationships/hyperlink" Target="https://maps.google.com/?q=17.216616,-96.245119000000003" TargetMode="External"/><Relationship Id="rId13173" Type="http://schemas.openxmlformats.org/officeDocument/2006/relationships/hyperlink" Target="https://maps.google.com/?q=16.5691917001995,-97.014059955252307" TargetMode="External"/><Relationship Id="rId2181" Type="http://schemas.openxmlformats.org/officeDocument/2006/relationships/hyperlink" Target="https://maps.google.com/?q=16.997519492785,-97.233505435397802" TargetMode="External"/><Relationship Id="rId3232" Type="http://schemas.openxmlformats.org/officeDocument/2006/relationships/hyperlink" Target="https://maps.google.com/?q=17.935163,-96.208948000000007" TargetMode="External"/><Relationship Id="rId6388" Type="http://schemas.openxmlformats.org/officeDocument/2006/relationships/hyperlink" Target="https://maps.google.com/?q=16.461682200573,-95.001980634949106" TargetMode="External"/><Relationship Id="rId7439" Type="http://schemas.openxmlformats.org/officeDocument/2006/relationships/hyperlink" Target="https://maps.google.com/?q=16.3161553986856,-96.668807408970594" TargetMode="External"/><Relationship Id="rId10767" Type="http://schemas.openxmlformats.org/officeDocument/2006/relationships/hyperlink" Target="https://maps.google.com/?q=17.459288,-97.220415000000003" TargetMode="External"/><Relationship Id="rId11818" Type="http://schemas.openxmlformats.org/officeDocument/2006/relationships/hyperlink" Target="https://maps.google.com/?q=17.397192272766013,-97.60182598280335" TargetMode="External"/><Relationship Id="rId153" Type="http://schemas.openxmlformats.org/officeDocument/2006/relationships/hyperlink" Target="https://maps.google.com/?q=17.091851,-97.493825999999999" TargetMode="External"/><Relationship Id="rId6455" Type="http://schemas.openxmlformats.org/officeDocument/2006/relationships/hyperlink" Target="https://maps.google.com/?q=16.374868,-97.284293000000005" TargetMode="External"/><Relationship Id="rId7853" Type="http://schemas.openxmlformats.org/officeDocument/2006/relationships/hyperlink" Target="https://maps.google.com/?q=16.313096963549,-96.406682543583898" TargetMode="External"/><Relationship Id="rId8904" Type="http://schemas.openxmlformats.org/officeDocument/2006/relationships/hyperlink" Target="https://maps.google.com/?q=17.380006064,-96.162183467999995" TargetMode="External"/><Relationship Id="rId10834" Type="http://schemas.openxmlformats.org/officeDocument/2006/relationships/hyperlink" Target="https://maps.google.com/?q=16.3997200931505,-94.457862481618207" TargetMode="External"/><Relationship Id="rId13240" Type="http://schemas.openxmlformats.org/officeDocument/2006/relationships/hyperlink" Target="https://maps.google.com/?q=17.142954531486,-96.757149472149607" TargetMode="External"/><Relationship Id="rId220" Type="http://schemas.openxmlformats.org/officeDocument/2006/relationships/hyperlink" Target="https://maps.google.com/?q=17.092675,-97.498296999999994" TargetMode="External"/><Relationship Id="rId2998" Type="http://schemas.openxmlformats.org/officeDocument/2006/relationships/hyperlink" Target="https://maps.google.com/?q=16.935104,-97.008394999999993" TargetMode="External"/><Relationship Id="rId5057" Type="http://schemas.openxmlformats.org/officeDocument/2006/relationships/hyperlink" Target="https://maps.google.com/?q=17.251992,-96.153604999999999" TargetMode="External"/><Relationship Id="rId6108" Type="http://schemas.openxmlformats.org/officeDocument/2006/relationships/hyperlink" Target="https://maps.google.com/?q=17.975638,-96.706018" TargetMode="External"/><Relationship Id="rId7506" Type="http://schemas.openxmlformats.org/officeDocument/2006/relationships/hyperlink" Target="https://maps.google.com/?q=17.3441924,-97.374087520000003" TargetMode="External"/><Relationship Id="rId7920" Type="http://schemas.openxmlformats.org/officeDocument/2006/relationships/hyperlink" Target="https://maps.google.com/?q=16.3201720057977,-96.411376980322004" TargetMode="External"/><Relationship Id="rId10901" Type="http://schemas.openxmlformats.org/officeDocument/2006/relationships/hyperlink" Target="https://maps.google.com/?q=16.1872823344389,-95.184792736686603" TargetMode="External"/><Relationship Id="rId4073" Type="http://schemas.openxmlformats.org/officeDocument/2006/relationships/hyperlink" Target="https://maps.google.com/?q=17.085681,-96.731653" TargetMode="External"/><Relationship Id="rId5471" Type="http://schemas.openxmlformats.org/officeDocument/2006/relationships/hyperlink" Target="https://maps.google.com/?q=16.0124454706485,-97.431664887790902" TargetMode="External"/><Relationship Id="rId6522" Type="http://schemas.openxmlformats.org/officeDocument/2006/relationships/hyperlink" Target="https://maps.google.com/?q=17.2564448832172,-97.575137163132993" TargetMode="External"/><Relationship Id="rId9678" Type="http://schemas.openxmlformats.org/officeDocument/2006/relationships/hyperlink" Target="https://maps.google.com/?q=16.4669987739869,-96.648090827052997" TargetMode="External"/><Relationship Id="rId12659" Type="http://schemas.openxmlformats.org/officeDocument/2006/relationships/hyperlink" Target="https://maps.google.com/?q=16.9198147809953,-97.892456815205307" TargetMode="External"/><Relationship Id="rId1667" Type="http://schemas.openxmlformats.org/officeDocument/2006/relationships/hyperlink" Target="https://maps.google.com/?q=18.0465802381835,-96.894088987711896" TargetMode="External"/><Relationship Id="rId2718" Type="http://schemas.openxmlformats.org/officeDocument/2006/relationships/hyperlink" Target="https://maps.google.com/?q=15.902445,-96.473326999999998" TargetMode="External"/><Relationship Id="rId5124" Type="http://schemas.openxmlformats.org/officeDocument/2006/relationships/hyperlink" Target="https://maps.google.com/?q=17.253976,-96.153452000000001" TargetMode="External"/><Relationship Id="rId8694" Type="http://schemas.openxmlformats.org/officeDocument/2006/relationships/hyperlink" Target="https://maps.google.com/?q=16.1424853732581,-96.606072626984002" TargetMode="External"/><Relationship Id="rId9745" Type="http://schemas.openxmlformats.org/officeDocument/2006/relationships/hyperlink" Target="https://maps.google.com/?q=17.2745928129432,-96.804862972209094" TargetMode="External"/><Relationship Id="rId11675" Type="http://schemas.openxmlformats.org/officeDocument/2006/relationships/hyperlink" Target="https://maps.google.com/?q=17.1766108,-97.710066699999999" TargetMode="External"/><Relationship Id="rId12726" Type="http://schemas.openxmlformats.org/officeDocument/2006/relationships/hyperlink" Target="https://maps.google.com/?q=16.2864974720371,-96.504325201223395" TargetMode="External"/><Relationship Id="rId14081" Type="http://schemas.openxmlformats.org/officeDocument/2006/relationships/hyperlink" Target="https://maps.google.com/?q=16.9316703,-96.86228" TargetMode="External"/><Relationship Id="rId1734" Type="http://schemas.openxmlformats.org/officeDocument/2006/relationships/hyperlink" Target="https://maps.google.com/?q=18.0638138905862,-96.841591284456698" TargetMode="External"/><Relationship Id="rId4140" Type="http://schemas.openxmlformats.org/officeDocument/2006/relationships/hyperlink" Target="https://maps.google.com/?q=16.4254595476635,-98.187304682209003" TargetMode="External"/><Relationship Id="rId7296" Type="http://schemas.openxmlformats.org/officeDocument/2006/relationships/hyperlink" Target="https://maps.google.com/?q=17.6073070266072,-96.140254948956297" TargetMode="External"/><Relationship Id="rId8347" Type="http://schemas.openxmlformats.org/officeDocument/2006/relationships/hyperlink" Target="https://maps.google.com/?q=16.8435317594767,-97.197484085302705" TargetMode="External"/><Relationship Id="rId8761" Type="http://schemas.openxmlformats.org/officeDocument/2006/relationships/hyperlink" Target="https://maps.google.com/?q=17.203708,-96.254926999999995" TargetMode="External"/><Relationship Id="rId9812" Type="http://schemas.openxmlformats.org/officeDocument/2006/relationships/hyperlink" Target="https://maps.google.com/?q=16.6440490429458,-96.751538827790995" TargetMode="External"/><Relationship Id="rId10277" Type="http://schemas.openxmlformats.org/officeDocument/2006/relationships/hyperlink" Target="https://maps.google.com/?q=16.245636,-95.144405000000006" TargetMode="External"/><Relationship Id="rId11328" Type="http://schemas.openxmlformats.org/officeDocument/2006/relationships/hyperlink" Target="https://maps.google.com/?q=17.000816,-96.762067999999999" TargetMode="External"/><Relationship Id="rId26" Type="http://schemas.openxmlformats.org/officeDocument/2006/relationships/hyperlink" Target="https://maps.google.com/?q=17.221854,-97.121139999999997" TargetMode="External"/><Relationship Id="rId7363" Type="http://schemas.openxmlformats.org/officeDocument/2006/relationships/hyperlink" Target="https://maps.google.com/?q=16.567771,-97.652270999999999" TargetMode="External"/><Relationship Id="rId8414" Type="http://schemas.openxmlformats.org/officeDocument/2006/relationships/hyperlink" Target="https://maps.google.com/?q=16.0905649790416,-96.243289665012398" TargetMode="External"/><Relationship Id="rId10691" Type="http://schemas.openxmlformats.org/officeDocument/2006/relationships/hyperlink" Target="https://maps.google.com/?q=17.65395175361828,-97.81064279107356" TargetMode="External"/><Relationship Id="rId11742" Type="http://schemas.openxmlformats.org/officeDocument/2006/relationships/hyperlink" Target="https://maps.google.com/?q=17.1892445,-97.71442424" TargetMode="External"/><Relationship Id="rId1801" Type="http://schemas.openxmlformats.org/officeDocument/2006/relationships/hyperlink" Target="https://maps.google.com/?q=18.0678666025914,-96.900594409999997" TargetMode="External"/><Relationship Id="rId3559" Type="http://schemas.openxmlformats.org/officeDocument/2006/relationships/hyperlink" Target="https://maps.google.com/?q=15.761599627195036,-96.145551702548488" TargetMode="External"/><Relationship Id="rId4957" Type="http://schemas.openxmlformats.org/officeDocument/2006/relationships/hyperlink" Target="https://maps.google.com/?q=17.26798317,-97.590315009999998" TargetMode="External"/><Relationship Id="rId7016" Type="http://schemas.openxmlformats.org/officeDocument/2006/relationships/hyperlink" Target="https://maps.google.com/?q=17.0411261019414,-97.305700241063803" TargetMode="External"/><Relationship Id="rId7430" Type="http://schemas.openxmlformats.org/officeDocument/2006/relationships/hyperlink" Target="https://maps.google.com/?q=17.2101185511507,-97.582675606529705" TargetMode="External"/><Relationship Id="rId10344" Type="http://schemas.openxmlformats.org/officeDocument/2006/relationships/hyperlink" Target="https://maps.google.com/?q=17.4333249366045,-96.656771355900702" TargetMode="External"/><Relationship Id="rId3973" Type="http://schemas.openxmlformats.org/officeDocument/2006/relationships/hyperlink" Target="https://maps.google.com/?q=17.062009,-96.757019999999997" TargetMode="External"/><Relationship Id="rId6032" Type="http://schemas.openxmlformats.org/officeDocument/2006/relationships/hyperlink" Target="https://maps.google.com/?q=18.156275714558962,-96.572697213955209" TargetMode="External"/><Relationship Id="rId9188" Type="http://schemas.openxmlformats.org/officeDocument/2006/relationships/hyperlink" Target="https://maps.google.com/?q=17.3742146513194,-96.303396948510695" TargetMode="External"/><Relationship Id="rId10411" Type="http://schemas.openxmlformats.org/officeDocument/2006/relationships/hyperlink" Target="https://maps.google.com/?q=17.043608,-96.780096" TargetMode="External"/><Relationship Id="rId13567" Type="http://schemas.openxmlformats.org/officeDocument/2006/relationships/hyperlink" Target="https://maps.google.com/?q=17.923728435499815,-96.73355525364875" TargetMode="External"/><Relationship Id="rId13981" Type="http://schemas.openxmlformats.org/officeDocument/2006/relationships/hyperlink" Target="https://maps.google.com/?q=16.16719952297813,-95.21673426122338" TargetMode="External"/><Relationship Id="rId894" Type="http://schemas.openxmlformats.org/officeDocument/2006/relationships/hyperlink" Target="https://maps.google.com/?q=16.88479,-97.677760000000006" TargetMode="External"/><Relationship Id="rId1177" Type="http://schemas.openxmlformats.org/officeDocument/2006/relationships/hyperlink" Target="https://maps.google.com/?q=18.073318,-96.118581" TargetMode="External"/><Relationship Id="rId2575" Type="http://schemas.openxmlformats.org/officeDocument/2006/relationships/hyperlink" Target="https://maps.google.com/?q=17.777199,-96.297676999999993" TargetMode="External"/><Relationship Id="rId3626" Type="http://schemas.openxmlformats.org/officeDocument/2006/relationships/hyperlink" Target="https://maps.google.com/?q=15.777200552002629,-96.136958380036518" TargetMode="External"/><Relationship Id="rId12169" Type="http://schemas.openxmlformats.org/officeDocument/2006/relationships/hyperlink" Target="https://maps.google.com/?q=17.4158994419141,-95.945553690512199" TargetMode="External"/><Relationship Id="rId12583" Type="http://schemas.openxmlformats.org/officeDocument/2006/relationships/hyperlink" Target="https://maps.google.com/?q=16.6268820137488,-96.947451586320497" TargetMode="External"/><Relationship Id="rId13634" Type="http://schemas.openxmlformats.org/officeDocument/2006/relationships/hyperlink" Target="https://maps.google.com/?q=16.514762,-96.978094" TargetMode="External"/><Relationship Id="rId547" Type="http://schemas.openxmlformats.org/officeDocument/2006/relationships/hyperlink" Target="https://maps.google.com/?q=16.053555,-97.404110000000003" TargetMode="External"/><Relationship Id="rId961" Type="http://schemas.openxmlformats.org/officeDocument/2006/relationships/hyperlink" Target="https://maps.google.com/?q=15.685045748211799,-96.511313529118382" TargetMode="External"/><Relationship Id="rId1591" Type="http://schemas.openxmlformats.org/officeDocument/2006/relationships/hyperlink" Target="https://maps.google.com/?q=16.523888,-96.596277000000001" TargetMode="External"/><Relationship Id="rId2228" Type="http://schemas.openxmlformats.org/officeDocument/2006/relationships/hyperlink" Target="https://maps.google.com/?q=17.4093162988788,-97.091450765570897" TargetMode="External"/><Relationship Id="rId2642" Type="http://schemas.openxmlformats.org/officeDocument/2006/relationships/hyperlink" Target="https://maps.google.com/?q=18.087322,-96.161587999999995" TargetMode="External"/><Relationship Id="rId5798" Type="http://schemas.openxmlformats.org/officeDocument/2006/relationships/hyperlink" Target="https://maps.google.com/?q=17.3071107138935,-97.489762169311604" TargetMode="External"/><Relationship Id="rId6849" Type="http://schemas.openxmlformats.org/officeDocument/2006/relationships/hyperlink" Target="https://maps.google.com/?q=17.0088614,-96.978118800000004" TargetMode="External"/><Relationship Id="rId9255" Type="http://schemas.openxmlformats.org/officeDocument/2006/relationships/hyperlink" Target="https://maps.google.com/?q=17.3774377342273,-96.300928926114906" TargetMode="External"/><Relationship Id="rId11185" Type="http://schemas.openxmlformats.org/officeDocument/2006/relationships/hyperlink" Target="https://maps.google.com/?q=16.844963,-96.011921999999998" TargetMode="External"/><Relationship Id="rId12236" Type="http://schemas.openxmlformats.org/officeDocument/2006/relationships/hyperlink" Target="https://maps.google.com/?q=16.4194198000446,-97.221920401943805" TargetMode="External"/><Relationship Id="rId12650" Type="http://schemas.openxmlformats.org/officeDocument/2006/relationships/hyperlink" Target="https://maps.google.com/?q=16.9980016766993,-97.899497338646995" TargetMode="External"/><Relationship Id="rId13701" Type="http://schemas.openxmlformats.org/officeDocument/2006/relationships/hyperlink" Target="https://maps.google.com/?q=16.284223,-95.881125" TargetMode="External"/><Relationship Id="rId614" Type="http://schemas.openxmlformats.org/officeDocument/2006/relationships/hyperlink" Target="https://maps.google.com/?q=16.05472,-97.396662000000006" TargetMode="External"/><Relationship Id="rId1244" Type="http://schemas.openxmlformats.org/officeDocument/2006/relationships/hyperlink" Target="https://maps.google.com/?q=17.0561157,-96.745782180000006" TargetMode="External"/><Relationship Id="rId5865" Type="http://schemas.openxmlformats.org/officeDocument/2006/relationships/hyperlink" Target="https://maps.google.com/?q=15.9761341846821,-97.241612822090303" TargetMode="External"/><Relationship Id="rId6916" Type="http://schemas.openxmlformats.org/officeDocument/2006/relationships/hyperlink" Target="https://maps.google.com/?q=16.305069,-95.241939000000002" TargetMode="External"/><Relationship Id="rId8271" Type="http://schemas.openxmlformats.org/officeDocument/2006/relationships/hyperlink" Target="https://maps.google.com/?q=17.027329,-96.760096000000004" TargetMode="External"/><Relationship Id="rId9322" Type="http://schemas.openxmlformats.org/officeDocument/2006/relationships/hyperlink" Target="https://maps.google.com/?q=16.8161791260432,-95.134600860697603" TargetMode="External"/><Relationship Id="rId11252" Type="http://schemas.openxmlformats.org/officeDocument/2006/relationships/hyperlink" Target="https://maps.google.com/?q=17.8639715483185,-96.308707497676806" TargetMode="External"/><Relationship Id="rId12303" Type="http://schemas.openxmlformats.org/officeDocument/2006/relationships/hyperlink" Target="https://maps.google.com/?q=18.134834449892942,-96.805268" TargetMode="External"/><Relationship Id="rId1311" Type="http://schemas.openxmlformats.org/officeDocument/2006/relationships/hyperlink" Target="https://maps.google.com/?q=17.081197,-96.727012" TargetMode="External"/><Relationship Id="rId4467" Type="http://schemas.openxmlformats.org/officeDocument/2006/relationships/hyperlink" Target="https://maps.google.com/?q=17.6214,-98.002206000000001" TargetMode="External"/><Relationship Id="rId4881" Type="http://schemas.openxmlformats.org/officeDocument/2006/relationships/hyperlink" Target="https://maps.google.com/?q=16.7944802826338,-96.392674392149601" TargetMode="External"/><Relationship Id="rId5518" Type="http://schemas.openxmlformats.org/officeDocument/2006/relationships/hyperlink" Target="https://maps.google.com/?q=17.2792707221363,-97.370310996364495" TargetMode="External"/><Relationship Id="rId3069" Type="http://schemas.openxmlformats.org/officeDocument/2006/relationships/hyperlink" Target="https://maps.google.com/?q=16.9639401934458,-96.941144881818005" TargetMode="External"/><Relationship Id="rId3483" Type="http://schemas.openxmlformats.org/officeDocument/2006/relationships/hyperlink" Target="https://maps.google.com/?q=16.747606,-97.259159999999994" TargetMode="External"/><Relationship Id="rId4534" Type="http://schemas.openxmlformats.org/officeDocument/2006/relationships/hyperlink" Target="https://maps.google.com/?q=17.1832767053369,-97.302804887790103" TargetMode="External"/><Relationship Id="rId5932" Type="http://schemas.openxmlformats.org/officeDocument/2006/relationships/hyperlink" Target="https://maps.google.com/?q=18.15338796734447,-96.571197636561635" TargetMode="External"/><Relationship Id="rId13077" Type="http://schemas.openxmlformats.org/officeDocument/2006/relationships/hyperlink" Target="https://maps.google.com/?q=16.5640437,-97.535398200000003" TargetMode="External"/><Relationship Id="rId14128" Type="http://schemas.openxmlformats.org/officeDocument/2006/relationships/hyperlink" Target="https://maps.google.com/?q=16.9348573,-95.62310601" TargetMode="External"/><Relationship Id="rId2085" Type="http://schemas.openxmlformats.org/officeDocument/2006/relationships/hyperlink" Target="https://maps.google.com/?q=15.773979923080974,-96.239202984038627" TargetMode="External"/><Relationship Id="rId3136" Type="http://schemas.openxmlformats.org/officeDocument/2006/relationships/hyperlink" Target="https://maps.google.com/?q=16.58515,-97.441041999999996" TargetMode="External"/><Relationship Id="rId13491" Type="http://schemas.openxmlformats.org/officeDocument/2006/relationships/hyperlink" Target="https://maps.google.com/?q=17.690310451542,-97.0403605524276" TargetMode="External"/><Relationship Id="rId471" Type="http://schemas.openxmlformats.org/officeDocument/2006/relationships/hyperlink" Target="https://maps.google.com/?q=16.053732,-97.409566999999996" TargetMode="External"/><Relationship Id="rId2152" Type="http://schemas.openxmlformats.org/officeDocument/2006/relationships/hyperlink" Target="https://maps.google.com/?q=15.765023,-96.141503" TargetMode="External"/><Relationship Id="rId3550" Type="http://schemas.openxmlformats.org/officeDocument/2006/relationships/hyperlink" Target="https://maps.google.com/?q=15.759485314938383,-96.146159452508698" TargetMode="External"/><Relationship Id="rId4601" Type="http://schemas.openxmlformats.org/officeDocument/2006/relationships/hyperlink" Target="https://maps.google.com/?q=16.557516,-96.816880999999995" TargetMode="External"/><Relationship Id="rId7757" Type="http://schemas.openxmlformats.org/officeDocument/2006/relationships/hyperlink" Target="https://maps.google.com/?q=16.070122,-96.306140999999997" TargetMode="External"/><Relationship Id="rId8808" Type="http://schemas.openxmlformats.org/officeDocument/2006/relationships/hyperlink" Target="https://maps.google.com/?q=17.215716,-96.248385999999996" TargetMode="External"/><Relationship Id="rId10738" Type="http://schemas.openxmlformats.org/officeDocument/2006/relationships/hyperlink" Target="https://maps.google.com/?q=16.420299,-95.037950" TargetMode="External"/><Relationship Id="rId12093" Type="http://schemas.openxmlformats.org/officeDocument/2006/relationships/hyperlink" Target="https://maps.google.com/?q=16.24702619,-95.325001330000006" TargetMode="External"/><Relationship Id="rId13144" Type="http://schemas.openxmlformats.org/officeDocument/2006/relationships/hyperlink" Target="https://maps.google.com/?q=17.1907233770081,-96.514354069940595" TargetMode="External"/><Relationship Id="rId124" Type="http://schemas.openxmlformats.org/officeDocument/2006/relationships/hyperlink" Target="https://maps.google.com/?q=17.094127,-97.495258000000007" TargetMode="External"/><Relationship Id="rId3203" Type="http://schemas.openxmlformats.org/officeDocument/2006/relationships/hyperlink" Target="https://maps.google.com/?q=16.4901172734348,-96.943549768762395" TargetMode="External"/><Relationship Id="rId6359" Type="http://schemas.openxmlformats.org/officeDocument/2006/relationships/hyperlink" Target="https://maps.google.com/?q=17.0089,-97.629000" TargetMode="External"/><Relationship Id="rId6773" Type="http://schemas.openxmlformats.org/officeDocument/2006/relationships/hyperlink" Target="https://maps.google.com/?q=16.6310005401063,-97.041800424661901" TargetMode="External"/><Relationship Id="rId7824" Type="http://schemas.openxmlformats.org/officeDocument/2006/relationships/hyperlink" Target="https://maps.google.com/?q=17.011218,-96.890127000000007" TargetMode="External"/><Relationship Id="rId10805" Type="http://schemas.openxmlformats.org/officeDocument/2006/relationships/hyperlink" Target="https://maps.google.com/?q=16.3691176636588,-96.377894522475998" TargetMode="External"/><Relationship Id="rId12160" Type="http://schemas.openxmlformats.org/officeDocument/2006/relationships/hyperlink" Target="https://maps.google.com/?q=17.4149250308458,-95.946557661079694" TargetMode="External"/><Relationship Id="rId13211" Type="http://schemas.openxmlformats.org/officeDocument/2006/relationships/hyperlink" Target="https://maps.google.com/?q=17.3416332538764,-97.371906609881094" TargetMode="External"/><Relationship Id="rId2969" Type="http://schemas.openxmlformats.org/officeDocument/2006/relationships/hyperlink" Target="https://maps.google.com/?q=16.4580817193012,-97.027310575287999" TargetMode="External"/><Relationship Id="rId5375" Type="http://schemas.openxmlformats.org/officeDocument/2006/relationships/hyperlink" Target="https://maps.google.com/?q=15.9738292245111,-97.2399746162518" TargetMode="External"/><Relationship Id="rId6426" Type="http://schemas.openxmlformats.org/officeDocument/2006/relationships/hyperlink" Target="https://maps.google.com/?q=17.2545976927105,-97.584533367731495" TargetMode="External"/><Relationship Id="rId6840" Type="http://schemas.openxmlformats.org/officeDocument/2006/relationships/hyperlink" Target="https://maps.google.com/?q=17.0075286139218,-96.978229230365201" TargetMode="External"/><Relationship Id="rId9996" Type="http://schemas.openxmlformats.org/officeDocument/2006/relationships/hyperlink" Target="https://maps.google.com/?q=17.1198166175516,-97.515810927790994" TargetMode="External"/><Relationship Id="rId1985" Type="http://schemas.openxmlformats.org/officeDocument/2006/relationships/hyperlink" Target="https://maps.google.com/?q=15.775419,-96.144332" TargetMode="External"/><Relationship Id="rId4391" Type="http://schemas.openxmlformats.org/officeDocument/2006/relationships/hyperlink" Target="https://maps.google.com/?q=15.99951327,-96.689529949999994" TargetMode="External"/><Relationship Id="rId5028" Type="http://schemas.openxmlformats.org/officeDocument/2006/relationships/hyperlink" Target="https://maps.google.com/?q=17.250983,-96.152493000000007" TargetMode="External"/><Relationship Id="rId5442" Type="http://schemas.openxmlformats.org/officeDocument/2006/relationships/hyperlink" Target="https://maps.google.com/?q=16.0068972135827,-97.447271531163906" TargetMode="External"/><Relationship Id="rId8598" Type="http://schemas.openxmlformats.org/officeDocument/2006/relationships/hyperlink" Target="https://maps.google.com/?q=17.8832150823502,-96.728356900628896" TargetMode="External"/><Relationship Id="rId9649" Type="http://schemas.openxmlformats.org/officeDocument/2006/relationships/hyperlink" Target="https://maps.google.com/?q=16.4754957865717,-96.677432690985896" TargetMode="External"/><Relationship Id="rId11579" Type="http://schemas.openxmlformats.org/officeDocument/2006/relationships/hyperlink" Target="https://maps.google.com/?q=16.8509106925456,-96.747935294477401" TargetMode="External"/><Relationship Id="rId12977" Type="http://schemas.openxmlformats.org/officeDocument/2006/relationships/hyperlink" Target="https://maps.google.com/?q=16.511549,-97.453267999999994" TargetMode="External"/><Relationship Id="rId1638" Type="http://schemas.openxmlformats.org/officeDocument/2006/relationships/hyperlink" Target="https://maps.google.com/?q=16.892044118303,-96.936286991401701" TargetMode="External"/><Relationship Id="rId4044" Type="http://schemas.openxmlformats.org/officeDocument/2006/relationships/hyperlink" Target="https://maps.google.com/?q=17.080124,-96.725837999999996" TargetMode="External"/><Relationship Id="rId8665" Type="http://schemas.openxmlformats.org/officeDocument/2006/relationships/hyperlink" Target="https://maps.google.com/?q=16.2759614939116,-96.304492162853407" TargetMode="External"/><Relationship Id="rId11993" Type="http://schemas.openxmlformats.org/officeDocument/2006/relationships/hyperlink" Target="https://maps.google.com/?q=16.8013642806136,-96.7071408956417" TargetMode="External"/><Relationship Id="rId14052" Type="http://schemas.openxmlformats.org/officeDocument/2006/relationships/hyperlink" Target="https://maps.google.com/?q=17.72650740161207,-97.3667265504529" TargetMode="External"/><Relationship Id="rId3060" Type="http://schemas.openxmlformats.org/officeDocument/2006/relationships/hyperlink" Target="https://maps.google.com/?q=16.9637549,-96.940877999999998" TargetMode="External"/><Relationship Id="rId4111" Type="http://schemas.openxmlformats.org/officeDocument/2006/relationships/hyperlink" Target="https://maps.google.com/?q=17.0585929,-96.743018000000006" TargetMode="External"/><Relationship Id="rId7267" Type="http://schemas.openxmlformats.org/officeDocument/2006/relationships/hyperlink" Target="https://maps.google.com/?q=16.3008830707163,-97.915453737098602" TargetMode="External"/><Relationship Id="rId8318" Type="http://schemas.openxmlformats.org/officeDocument/2006/relationships/hyperlink" Target="https://maps.google.com/?q=16.539766,-98.033777999999998" TargetMode="External"/><Relationship Id="rId9716" Type="http://schemas.openxmlformats.org/officeDocument/2006/relationships/hyperlink" Target="https://maps.google.com/?q=16.4383251320187,-95.029481623042102" TargetMode="External"/><Relationship Id="rId10595" Type="http://schemas.openxmlformats.org/officeDocument/2006/relationships/hyperlink" Target="https://maps.google.com/?q=17.0819702624732,-97.766803326389294" TargetMode="External"/><Relationship Id="rId11646" Type="http://schemas.openxmlformats.org/officeDocument/2006/relationships/hyperlink" Target="https://maps.google.com/?q=17.17341941,-97.7116872" TargetMode="External"/><Relationship Id="rId1705" Type="http://schemas.openxmlformats.org/officeDocument/2006/relationships/hyperlink" Target="https://maps.google.com/?q=18.0731534827282,-96.898114083759793" TargetMode="External"/><Relationship Id="rId6283" Type="http://schemas.openxmlformats.org/officeDocument/2006/relationships/hyperlink" Target="https://maps.google.com/?q=18.050732,-96.389146999999994" TargetMode="External"/><Relationship Id="rId7681" Type="http://schemas.openxmlformats.org/officeDocument/2006/relationships/hyperlink" Target="https://maps.google.com/?q=17.2011109792571,-97.511937891164905" TargetMode="External"/><Relationship Id="rId8732" Type="http://schemas.openxmlformats.org/officeDocument/2006/relationships/hyperlink" Target="https://maps.google.com/?q=17.0608716485033,-96.824654491811998" TargetMode="External"/><Relationship Id="rId10248" Type="http://schemas.openxmlformats.org/officeDocument/2006/relationships/hyperlink" Target="https://maps.google.com/?q=16.238558,-95.153296999999995" TargetMode="External"/><Relationship Id="rId10662" Type="http://schemas.openxmlformats.org/officeDocument/2006/relationships/hyperlink" Target="https://maps.google.com/?q=16.0626479059446,-95.392659542904894" TargetMode="External"/><Relationship Id="rId11713" Type="http://schemas.openxmlformats.org/officeDocument/2006/relationships/hyperlink" Target="https://maps.google.com/?q=17.18309567,-97.708811220000001" TargetMode="External"/><Relationship Id="rId3877" Type="http://schemas.openxmlformats.org/officeDocument/2006/relationships/hyperlink" Target="https://maps.google.com/?q=17.10552,-95.936977999999996" TargetMode="External"/><Relationship Id="rId4928" Type="http://schemas.openxmlformats.org/officeDocument/2006/relationships/hyperlink" Target="https://maps.google.com/?q=18.03278,-96.674968000000007" TargetMode="External"/><Relationship Id="rId7334" Type="http://schemas.openxmlformats.org/officeDocument/2006/relationships/hyperlink" Target="https://maps.google.com/?q=16.584982002599,-97.655737682208795" TargetMode="External"/><Relationship Id="rId10315" Type="http://schemas.openxmlformats.org/officeDocument/2006/relationships/hyperlink" Target="https://maps.google.com/?q=16.227362,-97.262808000000007" TargetMode="External"/><Relationship Id="rId13885" Type="http://schemas.openxmlformats.org/officeDocument/2006/relationships/hyperlink" Target="https://maps.google.com/?q=16.2766717325613,-96.566909335701595" TargetMode="External"/><Relationship Id="rId798" Type="http://schemas.openxmlformats.org/officeDocument/2006/relationships/hyperlink" Target="https://maps.google.com/?q=15.692788880353797,-96.521241620374226" TargetMode="External"/><Relationship Id="rId2479" Type="http://schemas.openxmlformats.org/officeDocument/2006/relationships/hyperlink" Target="https://maps.google.com/?q=17.05189164,-96.624462280000003" TargetMode="External"/><Relationship Id="rId2893" Type="http://schemas.openxmlformats.org/officeDocument/2006/relationships/hyperlink" Target="https://maps.google.com/?q=17.534904,-95.945376999999993" TargetMode="External"/><Relationship Id="rId3944" Type="http://schemas.openxmlformats.org/officeDocument/2006/relationships/hyperlink" Target="https://maps.google.com/?q=17.059207,-96.749972" TargetMode="External"/><Relationship Id="rId6350" Type="http://schemas.openxmlformats.org/officeDocument/2006/relationships/hyperlink" Target="https://maps.google.com/?q=18.063314,-96.396150000000006" TargetMode="External"/><Relationship Id="rId7401" Type="http://schemas.openxmlformats.org/officeDocument/2006/relationships/hyperlink" Target="https://maps.google.com/?q=17.078151,&#160;-97.001193" TargetMode="External"/><Relationship Id="rId12487" Type="http://schemas.openxmlformats.org/officeDocument/2006/relationships/hyperlink" Target="https://maps.google.com/?q=17.2225136562825,-97.272434533002198" TargetMode="External"/><Relationship Id="rId13538" Type="http://schemas.openxmlformats.org/officeDocument/2006/relationships/hyperlink" Target="https://maps.google.com/?q=17.028312462317214,-96.70327325893021" TargetMode="External"/><Relationship Id="rId865" Type="http://schemas.openxmlformats.org/officeDocument/2006/relationships/hyperlink" Target="https://maps.google.com/?q=17.093445,-97.497759000000002" TargetMode="External"/><Relationship Id="rId1495" Type="http://schemas.openxmlformats.org/officeDocument/2006/relationships/hyperlink" Target="https://maps.google.com/?q=17.059171,-96.750380000000007" TargetMode="External"/><Relationship Id="rId2546" Type="http://schemas.openxmlformats.org/officeDocument/2006/relationships/hyperlink" Target="https://maps.google.com/?q=17.7550779791995,-96.1992128111323" TargetMode="External"/><Relationship Id="rId2960" Type="http://schemas.openxmlformats.org/officeDocument/2006/relationships/hyperlink" Target="https://maps.google.com/?q=16.5106734867577,-96.980623353338402" TargetMode="External"/><Relationship Id="rId6003" Type="http://schemas.openxmlformats.org/officeDocument/2006/relationships/hyperlink" Target="https://maps.google.com/?q=18.155214378689227,-96.576326734052714" TargetMode="External"/><Relationship Id="rId9159" Type="http://schemas.openxmlformats.org/officeDocument/2006/relationships/hyperlink" Target="https://maps.google.com/?q=17.00256333181,-96.958588508723594" TargetMode="External"/><Relationship Id="rId9573" Type="http://schemas.openxmlformats.org/officeDocument/2006/relationships/hyperlink" Target="https://maps.google.com/?q=16.225292,-97.143073" TargetMode="External"/><Relationship Id="rId11089" Type="http://schemas.openxmlformats.org/officeDocument/2006/relationships/hyperlink" Target="https://maps.google.com/?q=17.254342,-96.15573" TargetMode="External"/><Relationship Id="rId13952" Type="http://schemas.openxmlformats.org/officeDocument/2006/relationships/hyperlink" Target="https://maps.google.com/?q=17.073594,-98.049824" TargetMode="External"/><Relationship Id="rId518" Type="http://schemas.openxmlformats.org/officeDocument/2006/relationships/hyperlink" Target="https://maps.google.com/?q=16.054372,-97.406460999999993" TargetMode="External"/><Relationship Id="rId932" Type="http://schemas.openxmlformats.org/officeDocument/2006/relationships/hyperlink" Target="https://maps.google.com/?q=15.68200244410338,-96.507891378514429" TargetMode="External"/><Relationship Id="rId1148" Type="http://schemas.openxmlformats.org/officeDocument/2006/relationships/hyperlink" Target="https://maps.google.com/?q=16.927989,-97.146196000000003" TargetMode="External"/><Relationship Id="rId1562" Type="http://schemas.openxmlformats.org/officeDocument/2006/relationships/hyperlink" Target="https://maps.google.com/?q=16.9563016580255,-97.453768016183503" TargetMode="External"/><Relationship Id="rId2613" Type="http://schemas.openxmlformats.org/officeDocument/2006/relationships/hyperlink" Target="https://maps.google.com/?q=18.229663,-96.279358999999999" TargetMode="External"/><Relationship Id="rId5769" Type="http://schemas.openxmlformats.org/officeDocument/2006/relationships/hyperlink" Target="https://maps.google.com/?q=16.999048,-97.234239000000002" TargetMode="External"/><Relationship Id="rId8175" Type="http://schemas.openxmlformats.org/officeDocument/2006/relationships/hyperlink" Target="https://maps.google.com/?q=17.9591976200495,-96.1587151603318" TargetMode="External"/><Relationship Id="rId9226" Type="http://schemas.openxmlformats.org/officeDocument/2006/relationships/hyperlink" Target="https://maps.google.com/?q=17.3757422775148,-96.301635264063705" TargetMode="External"/><Relationship Id="rId9640" Type="http://schemas.openxmlformats.org/officeDocument/2006/relationships/hyperlink" Target="https://maps.google.com/?q=16.472364084087,-96.686507375225901" TargetMode="External"/><Relationship Id="rId11156" Type="http://schemas.openxmlformats.org/officeDocument/2006/relationships/hyperlink" Target="https://maps.google.com/?q=16.841003,-96.007858999999996" TargetMode="External"/><Relationship Id="rId12207" Type="http://schemas.openxmlformats.org/officeDocument/2006/relationships/hyperlink" Target="https://maps.google.com/?q=17.4181628023048,-95.949816081676701" TargetMode="External"/><Relationship Id="rId12554" Type="http://schemas.openxmlformats.org/officeDocument/2006/relationships/hyperlink" Target="https://maps.google.com/?q=17.050305,-96.73241900" TargetMode="External"/><Relationship Id="rId13605" Type="http://schemas.openxmlformats.org/officeDocument/2006/relationships/hyperlink" Target="https://maps.google.com/?q=17.185565,-96.178961" TargetMode="External"/><Relationship Id="rId1215" Type="http://schemas.openxmlformats.org/officeDocument/2006/relationships/hyperlink" Target="https://maps.google.com/?q=17.005213197575458,-95.02868469848633" TargetMode="External"/><Relationship Id="rId7191" Type="http://schemas.openxmlformats.org/officeDocument/2006/relationships/hyperlink" Target="https://maps.google.com/?q=16.172651697392,-97.963074308706297" TargetMode="External"/><Relationship Id="rId8242" Type="http://schemas.openxmlformats.org/officeDocument/2006/relationships/hyperlink" Target="https://maps.google.com/?q=16.425113,-97.640990000000002" TargetMode="External"/><Relationship Id="rId11570" Type="http://schemas.openxmlformats.org/officeDocument/2006/relationships/hyperlink" Target="https://maps.google.com/?q=16.8481849765471,-96.749479655837007" TargetMode="External"/><Relationship Id="rId12621" Type="http://schemas.openxmlformats.org/officeDocument/2006/relationships/hyperlink" Target="https://maps.google.com/?q=17.112365,-96.850119100000001" TargetMode="External"/><Relationship Id="rId3387" Type="http://schemas.openxmlformats.org/officeDocument/2006/relationships/hyperlink" Target="https://maps.google.com/?q=16.390571,-96.842175999999995" TargetMode="External"/><Relationship Id="rId4785" Type="http://schemas.openxmlformats.org/officeDocument/2006/relationships/hyperlink" Target="https://maps.google.com/?q=17.9580405266777,-96.660826128028702" TargetMode="External"/><Relationship Id="rId5836" Type="http://schemas.openxmlformats.org/officeDocument/2006/relationships/hyperlink" Target="https://maps.google.com/?q=16.1305244748834,-97.603773817850495" TargetMode="External"/><Relationship Id="rId10172" Type="http://schemas.openxmlformats.org/officeDocument/2006/relationships/hyperlink" Target="https://maps.google.com/?q=17.267275698792,-97.725648744532805" TargetMode="External"/><Relationship Id="rId11223" Type="http://schemas.openxmlformats.org/officeDocument/2006/relationships/hyperlink" Target="https://maps.google.com/?q=17.431356,-96.653920" TargetMode="External"/><Relationship Id="rId4438" Type="http://schemas.openxmlformats.org/officeDocument/2006/relationships/hyperlink" Target="https://maps.google.com/?q=16.5644546735984,-96.698199276474298" TargetMode="External"/><Relationship Id="rId4852" Type="http://schemas.openxmlformats.org/officeDocument/2006/relationships/hyperlink" Target="https://maps.google.com/?q=17.3389682554698,-96.166199227665203" TargetMode="External"/><Relationship Id="rId5903" Type="http://schemas.openxmlformats.org/officeDocument/2006/relationships/hyperlink" Target="https://maps.google.com/?q=18.14576480690793,-96.565615081623946" TargetMode="External"/><Relationship Id="rId10989" Type="http://schemas.openxmlformats.org/officeDocument/2006/relationships/hyperlink" Target="https://maps.google.com/?q=17.1599736548957,-97.588118887987903" TargetMode="External"/><Relationship Id="rId13395" Type="http://schemas.openxmlformats.org/officeDocument/2006/relationships/hyperlink" Target="https://maps.google.com/?q=16.3265363111843,-96.678955401006206" TargetMode="External"/><Relationship Id="rId3454" Type="http://schemas.openxmlformats.org/officeDocument/2006/relationships/hyperlink" Target="https://maps.google.com/?q=16.4597333703151,-96.931221126667396" TargetMode="External"/><Relationship Id="rId4505" Type="http://schemas.openxmlformats.org/officeDocument/2006/relationships/hyperlink" Target="https://maps.google.com/?q=17.1791294446305,-97.304440209821607" TargetMode="External"/><Relationship Id="rId13048" Type="http://schemas.openxmlformats.org/officeDocument/2006/relationships/hyperlink" Target="https://maps.google.com/?q=16.5621562,-97.540541000000005" TargetMode="External"/><Relationship Id="rId13462" Type="http://schemas.openxmlformats.org/officeDocument/2006/relationships/hyperlink" Target="https://maps.google.com/?q=17.6871023567893,-97.035560955302998" TargetMode="External"/><Relationship Id="rId375" Type="http://schemas.openxmlformats.org/officeDocument/2006/relationships/hyperlink" Target="https://maps.google.com/?q=16.053029,-97.412347999999994" TargetMode="External"/><Relationship Id="rId2056" Type="http://schemas.openxmlformats.org/officeDocument/2006/relationships/hyperlink" Target="https://maps.google.com/?q=15.762541689965937,-96.144391472555412" TargetMode="External"/><Relationship Id="rId2470" Type="http://schemas.openxmlformats.org/officeDocument/2006/relationships/hyperlink" Target="https://maps.google.com/?q=17.051787406634322,-96.623729633974932" TargetMode="External"/><Relationship Id="rId3107" Type="http://schemas.openxmlformats.org/officeDocument/2006/relationships/hyperlink" Target="https://maps.google.com/?q=15.9955053228,-96.466108526100001" TargetMode="External"/><Relationship Id="rId3521" Type="http://schemas.openxmlformats.org/officeDocument/2006/relationships/hyperlink" Target="https://maps.google.com/?q=15.762972,-96.150345" TargetMode="External"/><Relationship Id="rId6677" Type="http://schemas.openxmlformats.org/officeDocument/2006/relationships/hyperlink" Target="https://maps.google.com/?q=16.9372345,-96.972281699999996" TargetMode="External"/><Relationship Id="rId7728" Type="http://schemas.openxmlformats.org/officeDocument/2006/relationships/hyperlink" Target="https://maps.google.com/?q=16.6303236204833,-96.802146489237103" TargetMode="External"/><Relationship Id="rId9083" Type="http://schemas.openxmlformats.org/officeDocument/2006/relationships/hyperlink" Target="https://maps.google.com/?q=16.063154,-95.499697999999995" TargetMode="External"/><Relationship Id="rId12064" Type="http://schemas.openxmlformats.org/officeDocument/2006/relationships/hyperlink" Target="https://maps.google.com/?q=16.31626313,-95.233432289999996" TargetMode="External"/><Relationship Id="rId13115" Type="http://schemas.openxmlformats.org/officeDocument/2006/relationships/hyperlink" Target="https://maps.google.com/?q=16.5662256,-97.537445500000004" TargetMode="External"/><Relationship Id="rId442" Type="http://schemas.openxmlformats.org/officeDocument/2006/relationships/hyperlink" Target="https://maps.google.com/?q=16.053403,-97.410289000000006" TargetMode="External"/><Relationship Id="rId1072" Type="http://schemas.openxmlformats.org/officeDocument/2006/relationships/hyperlink" Target="https://maps.google.com/?q=17.094176,-97.499948000000003" TargetMode="External"/><Relationship Id="rId2123" Type="http://schemas.openxmlformats.org/officeDocument/2006/relationships/hyperlink" Target="https://maps.google.com/?q=15.762127,-96.142364000000001" TargetMode="External"/><Relationship Id="rId5279" Type="http://schemas.openxmlformats.org/officeDocument/2006/relationships/hyperlink" Target="https://maps.google.com/?q=15.828564381041,-96.471234922560797" TargetMode="External"/><Relationship Id="rId5693" Type="http://schemas.openxmlformats.org/officeDocument/2006/relationships/hyperlink" Target="https://maps.google.com/?q=17.9419080504698,-97.971588273358094" TargetMode="External"/><Relationship Id="rId6744" Type="http://schemas.openxmlformats.org/officeDocument/2006/relationships/hyperlink" Target="https://maps.google.com/?q=15.8546676,-96.651970199999994" TargetMode="External"/><Relationship Id="rId9150" Type="http://schemas.openxmlformats.org/officeDocument/2006/relationships/hyperlink" Target="https://maps.google.com/?q=16.974797,-97.086899000000003" TargetMode="External"/><Relationship Id="rId10709" Type="http://schemas.openxmlformats.org/officeDocument/2006/relationships/hyperlink" Target="https://maps.google.com/?q=17.026216,-97.928115000000005" TargetMode="External"/><Relationship Id="rId11080" Type="http://schemas.openxmlformats.org/officeDocument/2006/relationships/hyperlink" Target="https://maps.google.com/?q=17.28961967,-97.374245790000003" TargetMode="External"/><Relationship Id="rId12131" Type="http://schemas.openxmlformats.org/officeDocument/2006/relationships/hyperlink" Target="https://maps.google.com/?q=16.2843,-97.673356999999996" TargetMode="External"/><Relationship Id="rId4295" Type="http://schemas.openxmlformats.org/officeDocument/2006/relationships/hyperlink" Target="https://maps.google.com/?q=16.0086332952137,-96.570873252209594" TargetMode="External"/><Relationship Id="rId5346" Type="http://schemas.openxmlformats.org/officeDocument/2006/relationships/hyperlink" Target="https://maps.google.com/?q=16.522278560908,-97.166078463615705" TargetMode="External"/><Relationship Id="rId1889" Type="http://schemas.openxmlformats.org/officeDocument/2006/relationships/hyperlink" Target="https://maps.google.com/?q=15.776208194017277,-96.137037598507007" TargetMode="External"/><Relationship Id="rId4362" Type="http://schemas.openxmlformats.org/officeDocument/2006/relationships/hyperlink" Target="https://maps.google.com/?q=15.96042972,-96.63390656" TargetMode="External"/><Relationship Id="rId5760" Type="http://schemas.openxmlformats.org/officeDocument/2006/relationships/hyperlink" Target="https://maps.google.com/?q=16.995437,-97.232506999999998" TargetMode="External"/><Relationship Id="rId6811" Type="http://schemas.openxmlformats.org/officeDocument/2006/relationships/hyperlink" Target="https://maps.google.com/?q=15.9908478469495,-97.188044636607302" TargetMode="External"/><Relationship Id="rId9967" Type="http://schemas.openxmlformats.org/officeDocument/2006/relationships/hyperlink" Target="https://maps.google.com/?q=17.02078,-97.630341" TargetMode="External"/><Relationship Id="rId11897" Type="http://schemas.openxmlformats.org/officeDocument/2006/relationships/hyperlink" Target="https://maps.google.com/?q=18.155582543309553,-97.74250208067322" TargetMode="External"/><Relationship Id="rId12948" Type="http://schemas.openxmlformats.org/officeDocument/2006/relationships/hyperlink" Target="https://maps.google.com/?q=16.546994,-97.507895000000005" TargetMode="External"/><Relationship Id="rId1956" Type="http://schemas.openxmlformats.org/officeDocument/2006/relationships/hyperlink" Target="https://maps.google.com/?q=15.77896438068461,-96.137856917270753" TargetMode="External"/><Relationship Id="rId4015" Type="http://schemas.openxmlformats.org/officeDocument/2006/relationships/hyperlink" Target="https://maps.google.com/?q=17.018891150417932,-96.718331767274464" TargetMode="External"/><Relationship Id="rId5413" Type="http://schemas.openxmlformats.org/officeDocument/2006/relationships/hyperlink" Target="https://maps.google.com/?q=16.0984039481559,-97.701591667493901" TargetMode="External"/><Relationship Id="rId8569" Type="http://schemas.openxmlformats.org/officeDocument/2006/relationships/hyperlink" Target="https://maps.google.com/?q=16.9288158677605,-96.600280868717107" TargetMode="External"/><Relationship Id="rId8983" Type="http://schemas.openxmlformats.org/officeDocument/2006/relationships/hyperlink" Target="https://maps.google.com/?q=17.38186772,-96.161016825000004" TargetMode="External"/><Relationship Id="rId10499" Type="http://schemas.openxmlformats.org/officeDocument/2006/relationships/hyperlink" Target="https://maps.google.com/?q=17.8458994775918,-96.744334820237796" TargetMode="External"/><Relationship Id="rId11964" Type="http://schemas.openxmlformats.org/officeDocument/2006/relationships/hyperlink" Target="https://maps.google.com/?q=16.798876,-96.716493" TargetMode="External"/><Relationship Id="rId1609" Type="http://schemas.openxmlformats.org/officeDocument/2006/relationships/hyperlink" Target="https://maps.google.com/?q=17.760961,-96.081624000000005" TargetMode="External"/><Relationship Id="rId7585" Type="http://schemas.openxmlformats.org/officeDocument/2006/relationships/hyperlink" Target="https://maps.google.com/?q=17.0933933326836,-95.854528305582505" TargetMode="External"/><Relationship Id="rId8636" Type="http://schemas.openxmlformats.org/officeDocument/2006/relationships/hyperlink" Target="https://maps.google.com/?q=17.9003253604483,-96.715865059940597" TargetMode="External"/><Relationship Id="rId10566" Type="http://schemas.openxmlformats.org/officeDocument/2006/relationships/hyperlink" Target="https://maps.google.com/?q=17.1313844540937,-97.781940952551295" TargetMode="External"/><Relationship Id="rId11617" Type="http://schemas.openxmlformats.org/officeDocument/2006/relationships/hyperlink" Target="https://maps.google.com/?q=16.8373439290864,-96.735800034970197" TargetMode="External"/><Relationship Id="rId14023" Type="http://schemas.openxmlformats.org/officeDocument/2006/relationships/hyperlink" Target="https://maps.google.com/?q=17.066004,-96.711979" TargetMode="External"/><Relationship Id="rId3031" Type="http://schemas.openxmlformats.org/officeDocument/2006/relationships/hyperlink" Target="https://maps.google.com/?q=16.939574,-97.009243999999995" TargetMode="External"/><Relationship Id="rId6187" Type="http://schemas.openxmlformats.org/officeDocument/2006/relationships/hyperlink" Target="https://maps.google.com/?q=16.090289,-97.082378000000006" TargetMode="External"/><Relationship Id="rId7238" Type="http://schemas.openxmlformats.org/officeDocument/2006/relationships/hyperlink" Target="https://maps.google.com/?q=16.0964844931259,-97.922990441164401" TargetMode="External"/><Relationship Id="rId7652" Type="http://schemas.openxmlformats.org/officeDocument/2006/relationships/hyperlink" Target="https://maps.google.com/?q=17.2319684555402,-95.058072929496504" TargetMode="External"/><Relationship Id="rId8703" Type="http://schemas.openxmlformats.org/officeDocument/2006/relationships/hyperlink" Target="https://maps.google.com/?q=16.15183,-96.607207000000002" TargetMode="External"/><Relationship Id="rId10219" Type="http://schemas.openxmlformats.org/officeDocument/2006/relationships/hyperlink" Target="https://maps.google.com/?q=17.290459588117702,-97.35264966472224" TargetMode="External"/><Relationship Id="rId10980" Type="http://schemas.openxmlformats.org/officeDocument/2006/relationships/hyperlink" Target="https://maps.google.com/?q=16.2227058971273,-95.215271580000106" TargetMode="External"/><Relationship Id="rId13789" Type="http://schemas.openxmlformats.org/officeDocument/2006/relationships/hyperlink" Target="https://maps.google.com/?q=17.12951,-97.748562000000007" TargetMode="External"/><Relationship Id="rId2797" Type="http://schemas.openxmlformats.org/officeDocument/2006/relationships/hyperlink" Target="https://maps.google.com/?q=16.9810197926129,-97.712834201223401" TargetMode="External"/><Relationship Id="rId3848" Type="http://schemas.openxmlformats.org/officeDocument/2006/relationships/hyperlink" Target="https://maps.google.com/?q=17.1030314390902,-95.9475173644179" TargetMode="External"/><Relationship Id="rId6254" Type="http://schemas.openxmlformats.org/officeDocument/2006/relationships/hyperlink" Target="https://maps.google.com/?q=16.3791336390817,-96.737401273469999" TargetMode="External"/><Relationship Id="rId7305" Type="http://schemas.openxmlformats.org/officeDocument/2006/relationships/hyperlink" Target="https://maps.google.com/?q=17.6084765967489,-96.140003239251996" TargetMode="External"/><Relationship Id="rId10633" Type="http://schemas.openxmlformats.org/officeDocument/2006/relationships/hyperlink" Target="https://maps.google.com/?q=17.1187539585949,-97.781696568876498" TargetMode="External"/><Relationship Id="rId769" Type="http://schemas.openxmlformats.org/officeDocument/2006/relationships/hyperlink" Target="https://maps.google.com/?q=15.687282313109643,-96.512233237194579" TargetMode="External"/><Relationship Id="rId1399" Type="http://schemas.openxmlformats.org/officeDocument/2006/relationships/hyperlink" Target="https://maps.google.com/?q=16.564244,-96.731829000000005" TargetMode="External"/><Relationship Id="rId5270" Type="http://schemas.openxmlformats.org/officeDocument/2006/relationships/hyperlink" Target="https://maps.google.com/?q=15.7228856453306,-96.391786644833303" TargetMode="External"/><Relationship Id="rId6321" Type="http://schemas.openxmlformats.org/officeDocument/2006/relationships/hyperlink" Target="https://maps.google.com/?q=18.058951,-96.395770999999996" TargetMode="External"/><Relationship Id="rId9477" Type="http://schemas.openxmlformats.org/officeDocument/2006/relationships/hyperlink" Target="https://maps.google.com/?q=16.866371,-96.785623000000001" TargetMode="External"/><Relationship Id="rId10700" Type="http://schemas.openxmlformats.org/officeDocument/2006/relationships/hyperlink" Target="https://maps.google.com/?q=16.332014,-95.231966" TargetMode="External"/><Relationship Id="rId13856" Type="http://schemas.openxmlformats.org/officeDocument/2006/relationships/hyperlink" Target="https://maps.google.com/?q=16.2582737867095,-96.591785169062305" TargetMode="External"/><Relationship Id="rId1466" Type="http://schemas.openxmlformats.org/officeDocument/2006/relationships/hyperlink" Target="https://maps.google.com/?q=17.04938,-96.70944" TargetMode="External"/><Relationship Id="rId2864" Type="http://schemas.openxmlformats.org/officeDocument/2006/relationships/hyperlink" Target="https://maps.google.com/?q=16.9829019842255,-97.6749537186586" TargetMode="External"/><Relationship Id="rId3915" Type="http://schemas.openxmlformats.org/officeDocument/2006/relationships/hyperlink" Target="https://maps.google.com/?q=16.40418212373509,-95.60176065996397" TargetMode="External"/><Relationship Id="rId8079" Type="http://schemas.openxmlformats.org/officeDocument/2006/relationships/hyperlink" Target="https://maps.google.com/?q=17.3541798726989,-96.305280405581996" TargetMode="External"/><Relationship Id="rId8493" Type="http://schemas.openxmlformats.org/officeDocument/2006/relationships/hyperlink" Target="https://maps.google.com/?q=17.1569741520005,-97.527937452474902" TargetMode="External"/><Relationship Id="rId9891" Type="http://schemas.openxmlformats.org/officeDocument/2006/relationships/hyperlink" Target="https://maps.google.com/?q=16.638549273824,-96.850750220634794" TargetMode="External"/><Relationship Id="rId12458" Type="http://schemas.openxmlformats.org/officeDocument/2006/relationships/hyperlink" Target="https://maps.google.com/?q=17.2213223174109,-97.271855790653106" TargetMode="External"/><Relationship Id="rId12872" Type="http://schemas.openxmlformats.org/officeDocument/2006/relationships/hyperlink" Target="https://maps.google.com/?q=17.519465,-97.683874000000003" TargetMode="External"/><Relationship Id="rId13509" Type="http://schemas.openxmlformats.org/officeDocument/2006/relationships/hyperlink" Target="https://maps.google.com/?q=16.241666,-95.197975" TargetMode="External"/><Relationship Id="rId13923" Type="http://schemas.openxmlformats.org/officeDocument/2006/relationships/hyperlink" Target="https://maps.google.com/?q=17.580503149426548,-95.77471091632928" TargetMode="External"/><Relationship Id="rId836" Type="http://schemas.openxmlformats.org/officeDocument/2006/relationships/hyperlink" Target="https://maps.google.com/?q=15.703747468685028,-96.523508260284544" TargetMode="External"/><Relationship Id="rId1119" Type="http://schemas.openxmlformats.org/officeDocument/2006/relationships/hyperlink" Target="https://maps.google.com/?q=17.094081,-97.496217999999999" TargetMode="External"/><Relationship Id="rId1880" Type="http://schemas.openxmlformats.org/officeDocument/2006/relationships/hyperlink" Target="https://maps.google.com/?q=15.77562043340116,-96.136980568055193" TargetMode="External"/><Relationship Id="rId2517" Type="http://schemas.openxmlformats.org/officeDocument/2006/relationships/hyperlink" Target="https://maps.google.com/?q=17.0521888,-96.624536930000005" TargetMode="External"/><Relationship Id="rId2931" Type="http://schemas.openxmlformats.org/officeDocument/2006/relationships/hyperlink" Target="https://maps.google.com/?q=17.07832259,-96.664929029999996" TargetMode="External"/><Relationship Id="rId7095" Type="http://schemas.openxmlformats.org/officeDocument/2006/relationships/hyperlink" Target="https://maps.google.com/?q=16.346143,&#160;-98.066724" TargetMode="External"/><Relationship Id="rId8146" Type="http://schemas.openxmlformats.org/officeDocument/2006/relationships/hyperlink" Target="https://maps.google.com/?q=17.3561959447866,-96.3029871259386" TargetMode="External"/><Relationship Id="rId9544" Type="http://schemas.openxmlformats.org/officeDocument/2006/relationships/hyperlink" Target="https://maps.google.com/?q=17.27393,-96.801381" TargetMode="External"/><Relationship Id="rId11474" Type="http://schemas.openxmlformats.org/officeDocument/2006/relationships/hyperlink" Target="https://maps.google.com/?q=16.2996150500743,-96.641489000351996" TargetMode="External"/><Relationship Id="rId12525" Type="http://schemas.openxmlformats.org/officeDocument/2006/relationships/hyperlink" Target="https://maps.google.com/?q=17.2265784594619,-97.272802346932906" TargetMode="External"/><Relationship Id="rId903" Type="http://schemas.openxmlformats.org/officeDocument/2006/relationships/hyperlink" Target="https://maps.google.com/?q=16.88223,-97.676150000000007" TargetMode="External"/><Relationship Id="rId1533" Type="http://schemas.openxmlformats.org/officeDocument/2006/relationships/hyperlink" Target="https://maps.google.com/?q=17.062102,-96.753140999999999" TargetMode="External"/><Relationship Id="rId4689" Type="http://schemas.openxmlformats.org/officeDocument/2006/relationships/hyperlink" Target="https://maps.google.com/?q=17.061462,-96.754750999999999" TargetMode="External"/><Relationship Id="rId8560" Type="http://schemas.openxmlformats.org/officeDocument/2006/relationships/hyperlink" Target="https://maps.google.com/?q=16.9262600215985,-96.604287379133297" TargetMode="External"/><Relationship Id="rId9611" Type="http://schemas.openxmlformats.org/officeDocument/2006/relationships/hyperlink" Target="https://maps.google.com/?q=17.9978674837983,-96.748036695071903" TargetMode="External"/><Relationship Id="rId10076" Type="http://schemas.openxmlformats.org/officeDocument/2006/relationships/hyperlink" Target="https://maps.google.com/?q=16.9908420636811,-96.107054527238702" TargetMode="External"/><Relationship Id="rId10490" Type="http://schemas.openxmlformats.org/officeDocument/2006/relationships/hyperlink" Target="https://maps.google.com/?q=17.8449599150395,-96.746190908875505" TargetMode="External"/><Relationship Id="rId11127" Type="http://schemas.openxmlformats.org/officeDocument/2006/relationships/hyperlink" Target="https://maps.google.com/?q=16.834435,-96.006996000000001" TargetMode="External"/><Relationship Id="rId11541" Type="http://schemas.openxmlformats.org/officeDocument/2006/relationships/hyperlink" Target="https://maps.google.com/?q=16.8281946699431,-96.707771396329804" TargetMode="External"/><Relationship Id="rId1600" Type="http://schemas.openxmlformats.org/officeDocument/2006/relationships/hyperlink" Target="https://maps.google.com/?q=17.759504,-96.079621000000003" TargetMode="External"/><Relationship Id="rId4756" Type="http://schemas.openxmlformats.org/officeDocument/2006/relationships/hyperlink" Target="https://maps.google.com/?q=17.9552724512493,-96.655396635581994" TargetMode="External"/><Relationship Id="rId5807" Type="http://schemas.openxmlformats.org/officeDocument/2006/relationships/hyperlink" Target="https://maps.google.com/?q=16.0026957980741,-97.438013953373002" TargetMode="External"/><Relationship Id="rId7162" Type="http://schemas.openxmlformats.org/officeDocument/2006/relationships/hyperlink" Target="https://maps.google.com/?q=16.2032281438683,-97.932036335581998" TargetMode="External"/><Relationship Id="rId8213" Type="http://schemas.openxmlformats.org/officeDocument/2006/relationships/hyperlink" Target="https://maps.google.com/?q=16.373073,-97.678247999999996" TargetMode="External"/><Relationship Id="rId10143" Type="http://schemas.openxmlformats.org/officeDocument/2006/relationships/hyperlink" Target="https://maps.google.com/?q=17.1150928521165,-97.502654785522594" TargetMode="External"/><Relationship Id="rId13299" Type="http://schemas.openxmlformats.org/officeDocument/2006/relationships/hyperlink" Target="https://maps.google.com/?q=16.132700280817,-96.327929640000207" TargetMode="External"/><Relationship Id="rId3358" Type="http://schemas.openxmlformats.org/officeDocument/2006/relationships/hyperlink" Target="https://maps.google.com/?q=17.057528,-96.824415999999999" TargetMode="External"/><Relationship Id="rId3772" Type="http://schemas.openxmlformats.org/officeDocument/2006/relationships/hyperlink" Target="https://maps.google.com/?q=15.7635,-96.143072000000004" TargetMode="External"/><Relationship Id="rId4409" Type="http://schemas.openxmlformats.org/officeDocument/2006/relationships/hyperlink" Target="https://maps.google.com/?q=16.00432781,-96.675083610000001" TargetMode="External"/><Relationship Id="rId4823" Type="http://schemas.openxmlformats.org/officeDocument/2006/relationships/hyperlink" Target="https://maps.google.com/?q=16.9096583339255,-96.495428301045095" TargetMode="External"/><Relationship Id="rId7979" Type="http://schemas.openxmlformats.org/officeDocument/2006/relationships/hyperlink" Target="https://maps.google.com/?q=18.1629068127824,-96.873503475076902" TargetMode="External"/><Relationship Id="rId10210" Type="http://schemas.openxmlformats.org/officeDocument/2006/relationships/hyperlink" Target="https://maps.google.com/?q=17.190976899883715,-97.32925003990808" TargetMode="External"/><Relationship Id="rId13366" Type="http://schemas.openxmlformats.org/officeDocument/2006/relationships/hyperlink" Target="https://maps.google.com/?q=16.3216691665678,-96.672027550875697" TargetMode="External"/><Relationship Id="rId279" Type="http://schemas.openxmlformats.org/officeDocument/2006/relationships/hyperlink" Target="https://maps.google.com/?q=16.88323,-97.677350000000004" TargetMode="External"/><Relationship Id="rId693" Type="http://schemas.openxmlformats.org/officeDocument/2006/relationships/hyperlink" Target="https://maps.google.com/?q=16.059289,-97.388876999999994" TargetMode="External"/><Relationship Id="rId2374" Type="http://schemas.openxmlformats.org/officeDocument/2006/relationships/hyperlink" Target="https://maps.google.com/?q=17.1702089733575,-97.829494226627304" TargetMode="External"/><Relationship Id="rId3425" Type="http://schemas.openxmlformats.org/officeDocument/2006/relationships/hyperlink" Target="https://maps.google.com/?q=17.0659568658104,-96.969771861069702" TargetMode="External"/><Relationship Id="rId13019" Type="http://schemas.openxmlformats.org/officeDocument/2006/relationships/hyperlink" Target="https://maps.google.com/?q=16.5053782,-97.556824700000007" TargetMode="External"/><Relationship Id="rId13780" Type="http://schemas.openxmlformats.org/officeDocument/2006/relationships/hyperlink" Target="https://maps.google.com/?q=16.91011,-96.722124" TargetMode="External"/><Relationship Id="rId346" Type="http://schemas.openxmlformats.org/officeDocument/2006/relationships/hyperlink" Target="https://maps.google.com/?q=16.053555,-97.404110000000003" TargetMode="External"/><Relationship Id="rId760" Type="http://schemas.openxmlformats.org/officeDocument/2006/relationships/hyperlink" Target="https://maps.google.com/?q=15.685884824753419,-96.511851260798025" TargetMode="External"/><Relationship Id="rId1390" Type="http://schemas.openxmlformats.org/officeDocument/2006/relationships/hyperlink" Target="https://maps.google.com/?q=17.511838,-97.488547999999994" TargetMode="External"/><Relationship Id="rId2027" Type="http://schemas.openxmlformats.org/officeDocument/2006/relationships/hyperlink" Target="https://maps.google.com/?q=15.758462638387938,-96.144616398717588" TargetMode="External"/><Relationship Id="rId2441" Type="http://schemas.openxmlformats.org/officeDocument/2006/relationships/hyperlink" Target="https://maps.google.com/?q=17.0513814,-96.624496530000002" TargetMode="External"/><Relationship Id="rId5597" Type="http://schemas.openxmlformats.org/officeDocument/2006/relationships/hyperlink" Target="https://maps.google.com/?q=17.4597075334272,-96.230791147791706" TargetMode="External"/><Relationship Id="rId6995" Type="http://schemas.openxmlformats.org/officeDocument/2006/relationships/hyperlink" Target="https://maps.google.com/?q=17.0368466733171,-97.292479170465896" TargetMode="External"/><Relationship Id="rId9054" Type="http://schemas.openxmlformats.org/officeDocument/2006/relationships/hyperlink" Target="https://maps.google.com/?q=16.054935,-95.476693999999995" TargetMode="External"/><Relationship Id="rId12382" Type="http://schemas.openxmlformats.org/officeDocument/2006/relationships/hyperlink" Target="https://maps.google.com/?q=16.5526612960004,-96.818990682208906" TargetMode="External"/><Relationship Id="rId13433" Type="http://schemas.openxmlformats.org/officeDocument/2006/relationships/hyperlink" Target="https://maps.google.com/?q=17.6828904400569,-97.041155543655194" TargetMode="External"/><Relationship Id="rId413" Type="http://schemas.openxmlformats.org/officeDocument/2006/relationships/hyperlink" Target="https://maps.google.com/?q=16.052967,-97.411302000000006" TargetMode="External"/><Relationship Id="rId1043" Type="http://schemas.openxmlformats.org/officeDocument/2006/relationships/hyperlink" Target="https://maps.google.com/?q=15.707179290668236,-96.524808079977618" TargetMode="External"/><Relationship Id="rId4199" Type="http://schemas.openxmlformats.org/officeDocument/2006/relationships/hyperlink" Target="https://maps.google.com/?q=15.746144,-96.465182999999996" TargetMode="External"/><Relationship Id="rId6648" Type="http://schemas.openxmlformats.org/officeDocument/2006/relationships/hyperlink" Target="https://maps.google.com/?q=17.753250492121,-96.198846384902595" TargetMode="External"/><Relationship Id="rId8070" Type="http://schemas.openxmlformats.org/officeDocument/2006/relationships/hyperlink" Target="https://maps.google.com/?q=16.4980249241147,-97.374007419198307" TargetMode="External"/><Relationship Id="rId9121" Type="http://schemas.openxmlformats.org/officeDocument/2006/relationships/hyperlink" Target="https://maps.google.com/?q=17.041169,-96.727879999999999" TargetMode="External"/><Relationship Id="rId12035" Type="http://schemas.openxmlformats.org/officeDocument/2006/relationships/hyperlink" Target="https://maps.google.com/?q=16.8059639761885,-96.724795874834399" TargetMode="External"/><Relationship Id="rId13500" Type="http://schemas.openxmlformats.org/officeDocument/2006/relationships/hyperlink" Target="https://maps.google.com/?q=16.6608762937943,-97.345280355819696" TargetMode="External"/><Relationship Id="rId5664" Type="http://schemas.openxmlformats.org/officeDocument/2006/relationships/hyperlink" Target="https://maps.google.com/?q=16.437521,-97.854893000000004" TargetMode="External"/><Relationship Id="rId6715" Type="http://schemas.openxmlformats.org/officeDocument/2006/relationships/hyperlink" Target="https://maps.google.com/?q=17.0308969639743,-96.984480292776595" TargetMode="External"/><Relationship Id="rId11051" Type="http://schemas.openxmlformats.org/officeDocument/2006/relationships/hyperlink" Target="https://maps.google.com/?q=17.27742574,-97.364194569999995" TargetMode="External"/><Relationship Id="rId12102" Type="http://schemas.openxmlformats.org/officeDocument/2006/relationships/hyperlink" Target="https://maps.google.com/?q=16.3173016247232,-97.664691626899895" TargetMode="External"/><Relationship Id="rId1110" Type="http://schemas.openxmlformats.org/officeDocument/2006/relationships/hyperlink" Target="https://maps.google.com/?q=17.090793,-97.494176999999993" TargetMode="External"/><Relationship Id="rId4266" Type="http://schemas.openxmlformats.org/officeDocument/2006/relationships/hyperlink" Target="https://maps.google.com/?q=16.0154281560392,-96.649399837974102" TargetMode="External"/><Relationship Id="rId4680" Type="http://schemas.openxmlformats.org/officeDocument/2006/relationships/hyperlink" Target="https://maps.google.com/?q=17.058717,-96.753580999999997" TargetMode="External"/><Relationship Id="rId5317" Type="http://schemas.openxmlformats.org/officeDocument/2006/relationships/hyperlink" Target="https://maps.google.com/?q=15.8067306285844,-96.359236256908403" TargetMode="External"/><Relationship Id="rId5731" Type="http://schemas.openxmlformats.org/officeDocument/2006/relationships/hyperlink" Target="https://maps.google.com/?q=16.3884251126,-96.366715051" TargetMode="External"/><Relationship Id="rId8887" Type="http://schemas.openxmlformats.org/officeDocument/2006/relationships/hyperlink" Target="https://maps.google.com/?q=17.379663862,-96.162478209" TargetMode="External"/><Relationship Id="rId9938" Type="http://schemas.openxmlformats.org/officeDocument/2006/relationships/hyperlink" Target="https://maps.google.com/?q=16.706259,-96.709200999999993" TargetMode="External"/><Relationship Id="rId11868" Type="http://schemas.openxmlformats.org/officeDocument/2006/relationships/hyperlink" Target="https://maps.google.com/?q=16.21670321004508,-96.50625583928681" TargetMode="External"/><Relationship Id="rId1927" Type="http://schemas.openxmlformats.org/officeDocument/2006/relationships/hyperlink" Target="https://maps.google.com/?q=15.777028505165115,-96.136923491038857" TargetMode="External"/><Relationship Id="rId3282" Type="http://schemas.openxmlformats.org/officeDocument/2006/relationships/hyperlink" Target="https://maps.google.com/?q=17.0621740021517,-96.814117553984602" TargetMode="External"/><Relationship Id="rId4333" Type="http://schemas.openxmlformats.org/officeDocument/2006/relationships/hyperlink" Target="https://maps.google.com/?q=16.0169707576292,-96.618332374343694" TargetMode="External"/><Relationship Id="rId7489" Type="http://schemas.openxmlformats.org/officeDocument/2006/relationships/hyperlink" Target="https://maps.google.com/?q=17.34127046,-97.371738890000003" TargetMode="External"/><Relationship Id="rId8954" Type="http://schemas.openxmlformats.org/officeDocument/2006/relationships/hyperlink" Target="https://maps.google.com/?q=17.381376569,-96.161505155" TargetMode="External"/><Relationship Id="rId12919" Type="http://schemas.openxmlformats.org/officeDocument/2006/relationships/hyperlink" Target="https://maps.google.com/?q=16.537511,-97.530091999999996" TargetMode="External"/><Relationship Id="rId13290" Type="http://schemas.openxmlformats.org/officeDocument/2006/relationships/hyperlink" Target="https://maps.google.com/?q=16.1308309074387,-96.331851596686903" TargetMode="External"/><Relationship Id="rId4400" Type="http://schemas.openxmlformats.org/officeDocument/2006/relationships/hyperlink" Target="https://maps.google.com/?q=16.00169,-96.67922222" TargetMode="External"/><Relationship Id="rId7556" Type="http://schemas.openxmlformats.org/officeDocument/2006/relationships/hyperlink" Target="https://maps.google.com/?q=17.325826478487,-95.267313268100807" TargetMode="External"/><Relationship Id="rId8607" Type="http://schemas.openxmlformats.org/officeDocument/2006/relationships/hyperlink" Target="https://maps.google.com/?q=17.8863860290212,-96.726547233805405" TargetMode="External"/><Relationship Id="rId10884" Type="http://schemas.openxmlformats.org/officeDocument/2006/relationships/hyperlink" Target="https://maps.google.com/?q=16.3533577916892,-94.477813449073693" TargetMode="External"/><Relationship Id="rId11935" Type="http://schemas.openxmlformats.org/officeDocument/2006/relationships/hyperlink" Target="https://maps.google.com/?q=16.3318072970309,-95.240232842744106" TargetMode="External"/><Relationship Id="rId270" Type="http://schemas.openxmlformats.org/officeDocument/2006/relationships/hyperlink" Target="https://maps.google.com/?q=16.88276,-97.674930000000003" TargetMode="External"/><Relationship Id="rId3002" Type="http://schemas.openxmlformats.org/officeDocument/2006/relationships/hyperlink" Target="https://maps.google.com/?q=16.935742,-97.011285999999998" TargetMode="External"/><Relationship Id="rId6158" Type="http://schemas.openxmlformats.org/officeDocument/2006/relationships/hyperlink" Target="https://maps.google.com/?q=16.1418978102485,-96.418634178604805" TargetMode="External"/><Relationship Id="rId6572" Type="http://schemas.openxmlformats.org/officeDocument/2006/relationships/hyperlink" Target="https://maps.google.com/?q=17.763194,-96.879674" TargetMode="External"/><Relationship Id="rId7209" Type="http://schemas.openxmlformats.org/officeDocument/2006/relationships/hyperlink" Target="https://maps.google.com/?q=16.2274121601448,-97.941793780172802" TargetMode="External"/><Relationship Id="rId7970" Type="http://schemas.openxmlformats.org/officeDocument/2006/relationships/hyperlink" Target="https://maps.google.com/?q=18.1620582256227,-96.874963364418093" TargetMode="External"/><Relationship Id="rId10537" Type="http://schemas.openxmlformats.org/officeDocument/2006/relationships/hyperlink" Target="https://maps.google.com/?q=17.1055762500105,-97.792218078162094" TargetMode="External"/><Relationship Id="rId10951" Type="http://schemas.openxmlformats.org/officeDocument/2006/relationships/hyperlink" Target="https://maps.google.com/?q=16.2063979825363,-95.215284818895398" TargetMode="External"/><Relationship Id="rId5174" Type="http://schemas.openxmlformats.org/officeDocument/2006/relationships/hyperlink" Target="https://maps.google.com/?q=17.314162,-95.963504" TargetMode="External"/><Relationship Id="rId6225" Type="http://schemas.openxmlformats.org/officeDocument/2006/relationships/hyperlink" Target="https://maps.google.com/?q=16.096977,-97.079346999999999" TargetMode="External"/><Relationship Id="rId7623" Type="http://schemas.openxmlformats.org/officeDocument/2006/relationships/hyperlink" Target="https://maps.google.com/?q=17.2303738672165,-95.056692940824107" TargetMode="External"/><Relationship Id="rId10604" Type="http://schemas.openxmlformats.org/officeDocument/2006/relationships/hyperlink" Target="https://maps.google.com/?q=17.1288173590389,-97.745642462838404" TargetMode="External"/><Relationship Id="rId13010" Type="http://schemas.openxmlformats.org/officeDocument/2006/relationships/hyperlink" Target="https://maps.google.com/?q=16.5041602,-97.554892899999999" TargetMode="External"/><Relationship Id="rId2768" Type="http://schemas.openxmlformats.org/officeDocument/2006/relationships/hyperlink" Target="https://maps.google.com/?q=18.0208352306293,-96.615242033065698" TargetMode="External"/><Relationship Id="rId3819" Type="http://schemas.openxmlformats.org/officeDocument/2006/relationships/hyperlink" Target="https://maps.google.com/?q=15.774136438297203,-96.23517168544295" TargetMode="External"/><Relationship Id="rId9795" Type="http://schemas.openxmlformats.org/officeDocument/2006/relationships/hyperlink" Target="https://maps.google.com/?q=16.6413090836627,-96.749859246175902" TargetMode="External"/><Relationship Id="rId12776" Type="http://schemas.openxmlformats.org/officeDocument/2006/relationships/hyperlink" Target="https://maps.google.com/?q=16.999069453812503,-97.2328083447066" TargetMode="External"/><Relationship Id="rId13827" Type="http://schemas.openxmlformats.org/officeDocument/2006/relationships/hyperlink" Target="https://maps.google.com/?q=17.0905333,-97.783816599999994" TargetMode="External"/><Relationship Id="rId1784" Type="http://schemas.openxmlformats.org/officeDocument/2006/relationships/hyperlink" Target="https://maps.google.com/?q=18.0626803028943,-96.897079897791002" TargetMode="External"/><Relationship Id="rId2835" Type="http://schemas.openxmlformats.org/officeDocument/2006/relationships/hyperlink" Target="https://maps.google.com/?q=16.9937002425772,-97.713504900629005" TargetMode="External"/><Relationship Id="rId4190" Type="http://schemas.openxmlformats.org/officeDocument/2006/relationships/hyperlink" Target="https://maps.google.com/?q=16.392741,-98.111715099999998" TargetMode="External"/><Relationship Id="rId5241" Type="http://schemas.openxmlformats.org/officeDocument/2006/relationships/hyperlink" Target="https://maps.google.com/?q=15.8609825088467,-96.464583169048794" TargetMode="External"/><Relationship Id="rId8397" Type="http://schemas.openxmlformats.org/officeDocument/2006/relationships/hyperlink" Target="https://maps.google.com/?q=16.0898791825022,-96.244126031911804" TargetMode="External"/><Relationship Id="rId9448" Type="http://schemas.openxmlformats.org/officeDocument/2006/relationships/hyperlink" Target="https://maps.google.com/?q=15.8349215828993,-96.638841294477402" TargetMode="External"/><Relationship Id="rId9862" Type="http://schemas.openxmlformats.org/officeDocument/2006/relationships/hyperlink" Target="https://maps.google.com/?q=16.635224924118,-96.851841829635703" TargetMode="External"/><Relationship Id="rId11378" Type="http://schemas.openxmlformats.org/officeDocument/2006/relationships/hyperlink" Target="https://maps.google.com/?q=16.3803216186302,-94.194644317790903" TargetMode="External"/><Relationship Id="rId11792" Type="http://schemas.openxmlformats.org/officeDocument/2006/relationships/hyperlink" Target="https://maps.google.com/?q=16.655210240177865,-95.91302476322937" TargetMode="External"/><Relationship Id="rId12429" Type="http://schemas.openxmlformats.org/officeDocument/2006/relationships/hyperlink" Target="https://maps.google.com/?q=17.2201695545729,-97.271015898860895" TargetMode="External"/><Relationship Id="rId76" Type="http://schemas.openxmlformats.org/officeDocument/2006/relationships/hyperlink" Target="https://maps.google.com/?q=15.909815,-96.449912999999995" TargetMode="External"/><Relationship Id="rId807" Type="http://schemas.openxmlformats.org/officeDocument/2006/relationships/hyperlink" Target="https://maps.google.com/?q=15.693701502170835,-96.522404180238127" TargetMode="External"/><Relationship Id="rId1437" Type="http://schemas.openxmlformats.org/officeDocument/2006/relationships/hyperlink" Target="https://maps.google.com/?q=17.08295,-96.71809" TargetMode="External"/><Relationship Id="rId1851" Type="http://schemas.openxmlformats.org/officeDocument/2006/relationships/hyperlink" Target="https://maps.google.com/?q=16.67596656608471,-96.73723908027195" TargetMode="External"/><Relationship Id="rId2902" Type="http://schemas.openxmlformats.org/officeDocument/2006/relationships/hyperlink" Target="https://maps.google.com/?q=17.76191,-96.074331999999998" TargetMode="External"/><Relationship Id="rId8464" Type="http://schemas.openxmlformats.org/officeDocument/2006/relationships/hyperlink" Target="https://maps.google.com/?q=17.1541557804774,-97.532351290031102" TargetMode="External"/><Relationship Id="rId9515" Type="http://schemas.openxmlformats.org/officeDocument/2006/relationships/hyperlink" Target="https://maps.google.com/?q=17.0609,-96.72533" TargetMode="External"/><Relationship Id="rId10394" Type="http://schemas.openxmlformats.org/officeDocument/2006/relationships/hyperlink" Target="https://maps.google.com/?q=16.4331792152792,-97.063138391360994" TargetMode="External"/><Relationship Id="rId11445" Type="http://schemas.openxmlformats.org/officeDocument/2006/relationships/hyperlink" Target="https://maps.google.com/?q=16.07616,-97.302350000000004" TargetMode="External"/><Relationship Id="rId12843" Type="http://schemas.openxmlformats.org/officeDocument/2006/relationships/hyperlink" Target="https://maps.google.com/?q=17.5171069,-97.680659009999999" TargetMode="External"/><Relationship Id="rId1504" Type="http://schemas.openxmlformats.org/officeDocument/2006/relationships/hyperlink" Target="https://maps.google.com/?q=17.061054,-96.756463999999994" TargetMode="External"/><Relationship Id="rId7066" Type="http://schemas.openxmlformats.org/officeDocument/2006/relationships/hyperlink" Target="https://maps.google.com/?q=16.5714594756823,-97.037499206186197" TargetMode="External"/><Relationship Id="rId7480" Type="http://schemas.openxmlformats.org/officeDocument/2006/relationships/hyperlink" Target="https://maps.google.com/?q=16.9880504078388,-95.015976667791094" TargetMode="External"/><Relationship Id="rId8117" Type="http://schemas.openxmlformats.org/officeDocument/2006/relationships/hyperlink" Target="https://maps.google.com/?q=17.3552487131429,-96.305528510059403" TargetMode="External"/><Relationship Id="rId8531" Type="http://schemas.openxmlformats.org/officeDocument/2006/relationships/hyperlink" Target="https://maps.google.com/?q=16.9359303438136,-96.607637306134194" TargetMode="External"/><Relationship Id="rId10047" Type="http://schemas.openxmlformats.org/officeDocument/2006/relationships/hyperlink" Target="https://maps.google.com/?q=16.9259152298009,-96.358882746032705" TargetMode="External"/><Relationship Id="rId12910" Type="http://schemas.openxmlformats.org/officeDocument/2006/relationships/hyperlink" Target="https://maps.google.com/?q=16.4814959,-97.478970000000004" TargetMode="External"/><Relationship Id="rId3676" Type="http://schemas.openxmlformats.org/officeDocument/2006/relationships/hyperlink" Target="https://maps.google.com/?q=15.775145,-96.144084" TargetMode="External"/><Relationship Id="rId6082" Type="http://schemas.openxmlformats.org/officeDocument/2006/relationships/hyperlink" Target="https://maps.google.com/?q=16.6546188388907,-97.339116868717198" TargetMode="External"/><Relationship Id="rId7133" Type="http://schemas.openxmlformats.org/officeDocument/2006/relationships/hyperlink" Target="https://maps.google.com/?q=17.342560187303,-97.666600426418995" TargetMode="External"/><Relationship Id="rId10461" Type="http://schemas.openxmlformats.org/officeDocument/2006/relationships/hyperlink" Target="https://maps.google.com/?q=17.0398047,-96.782100400000004" TargetMode="External"/><Relationship Id="rId11512" Type="http://schemas.openxmlformats.org/officeDocument/2006/relationships/hyperlink" Target="https://maps.google.com/?q=16.6114453436184,-96.850438148578505" TargetMode="External"/><Relationship Id="rId597" Type="http://schemas.openxmlformats.org/officeDocument/2006/relationships/hyperlink" Target="https://maps.google.com/?q=16.053302,-97.400412000000003" TargetMode="External"/><Relationship Id="rId2278" Type="http://schemas.openxmlformats.org/officeDocument/2006/relationships/hyperlink" Target="https://maps.google.com/?q=18.0983096315792,-96.928087796983604" TargetMode="External"/><Relationship Id="rId3329" Type="http://schemas.openxmlformats.org/officeDocument/2006/relationships/hyperlink" Target="https://maps.google.com/?q=17.0663909274706,-96.806561373016194" TargetMode="External"/><Relationship Id="rId4727" Type="http://schemas.openxmlformats.org/officeDocument/2006/relationships/hyperlink" Target="https://maps.google.com/?q=17.0585929,-96.743078990000001" TargetMode="External"/><Relationship Id="rId7200" Type="http://schemas.openxmlformats.org/officeDocument/2006/relationships/hyperlink" Target="https://maps.google.com/?q=16.1739448779254,-97.959313851666806" TargetMode="External"/><Relationship Id="rId10114" Type="http://schemas.openxmlformats.org/officeDocument/2006/relationships/hyperlink" Target="https://maps.google.com/?q=17.025639569105,-96.139227978796598" TargetMode="External"/><Relationship Id="rId13684" Type="http://schemas.openxmlformats.org/officeDocument/2006/relationships/hyperlink" Target="https://maps.google.com/?q=17.354036,-96.304191" TargetMode="External"/><Relationship Id="rId1294" Type="http://schemas.openxmlformats.org/officeDocument/2006/relationships/hyperlink" Target="https://maps.google.com/?q=17.080164,-96.726157" TargetMode="External"/><Relationship Id="rId2692" Type="http://schemas.openxmlformats.org/officeDocument/2006/relationships/hyperlink" Target="https://maps.google.com/?q=16.5676265513559,-97.0112046366702" TargetMode="External"/><Relationship Id="rId3743" Type="http://schemas.openxmlformats.org/officeDocument/2006/relationships/hyperlink" Target="https://maps.google.com/?q=15.761848732100853,-96.143888260368087" TargetMode="External"/><Relationship Id="rId6899" Type="http://schemas.openxmlformats.org/officeDocument/2006/relationships/hyperlink" Target="https://maps.google.com/?q=16.9747223002879,-97.088788920597906" TargetMode="External"/><Relationship Id="rId12286" Type="http://schemas.openxmlformats.org/officeDocument/2006/relationships/hyperlink" Target="https://maps.google.com/?q=16.4766556876224,-94.351039203704801" TargetMode="External"/><Relationship Id="rId13337" Type="http://schemas.openxmlformats.org/officeDocument/2006/relationships/hyperlink" Target="https://maps.google.com/?q=18.0620637,-97.718996160000003" TargetMode="External"/><Relationship Id="rId13751" Type="http://schemas.openxmlformats.org/officeDocument/2006/relationships/hyperlink" Target="https://maps.google.com/?q=17.268429,-96.472924" TargetMode="External"/><Relationship Id="rId664" Type="http://schemas.openxmlformats.org/officeDocument/2006/relationships/hyperlink" Target="https://maps.google.com/?q=16.056448,-97.392095999999995" TargetMode="External"/><Relationship Id="rId2345" Type="http://schemas.openxmlformats.org/officeDocument/2006/relationships/hyperlink" Target="https://maps.google.com/?q=17.098018,-97.661062000000001" TargetMode="External"/><Relationship Id="rId3810" Type="http://schemas.openxmlformats.org/officeDocument/2006/relationships/hyperlink" Target="https://maps.google.com/?q=15.773167756168396,-96.234280123749244" TargetMode="External"/><Relationship Id="rId6966" Type="http://schemas.openxmlformats.org/officeDocument/2006/relationships/hyperlink" Target="https://maps.google.com/?q=16.38790299,-96.848157939999993" TargetMode="External"/><Relationship Id="rId9372" Type="http://schemas.openxmlformats.org/officeDocument/2006/relationships/hyperlink" Target="https://maps.google.com/?q=16.8195518489048,-95.142563325582501" TargetMode="External"/><Relationship Id="rId12353" Type="http://schemas.openxmlformats.org/officeDocument/2006/relationships/hyperlink" Target="https://maps.google.com/?q=17.053614,-96.073088" TargetMode="External"/><Relationship Id="rId13404" Type="http://schemas.openxmlformats.org/officeDocument/2006/relationships/hyperlink" Target="https://maps.google.com/?q=16.3273405674592,-96.669760938657703" TargetMode="External"/><Relationship Id="rId317" Type="http://schemas.openxmlformats.org/officeDocument/2006/relationships/hyperlink" Target="https://maps.google.com/?q=16.055021,-97.393434999999997" TargetMode="External"/><Relationship Id="rId731" Type="http://schemas.openxmlformats.org/officeDocument/2006/relationships/hyperlink" Target="https://maps.google.com/?q=15.710367984837037,-96.529521333099581" TargetMode="External"/><Relationship Id="rId1361" Type="http://schemas.openxmlformats.org/officeDocument/2006/relationships/hyperlink" Target="https://maps.google.com/?q=17.02079444,-96.71796345" TargetMode="External"/><Relationship Id="rId2412" Type="http://schemas.openxmlformats.org/officeDocument/2006/relationships/hyperlink" Target="https://maps.google.com/?q=17.05081939,-96.624482510000007" TargetMode="External"/><Relationship Id="rId5568" Type="http://schemas.openxmlformats.org/officeDocument/2006/relationships/hyperlink" Target="https://maps.google.com/?q=17.60228971,-96.122585380000004" TargetMode="External"/><Relationship Id="rId5982" Type="http://schemas.openxmlformats.org/officeDocument/2006/relationships/hyperlink" Target="https://maps.google.com/?q=18.15455729136751,-96.576096396323408" TargetMode="External"/><Relationship Id="rId6619" Type="http://schemas.openxmlformats.org/officeDocument/2006/relationships/hyperlink" Target="https://maps.google.com/?q=16.729106,-96.669029" TargetMode="External"/><Relationship Id="rId9025" Type="http://schemas.openxmlformats.org/officeDocument/2006/relationships/hyperlink" Target="https://maps.google.com/?q=16.053469,-95.466547000000006" TargetMode="External"/><Relationship Id="rId12006" Type="http://schemas.openxmlformats.org/officeDocument/2006/relationships/hyperlink" Target="https://maps.google.com/?q=16.8024625703328,-96.718803041104493" TargetMode="External"/><Relationship Id="rId12420" Type="http://schemas.openxmlformats.org/officeDocument/2006/relationships/hyperlink" Target="https://maps.google.com/?q=16.5587619723282,-96.818376977839193" TargetMode="External"/><Relationship Id="rId1014" Type="http://schemas.openxmlformats.org/officeDocument/2006/relationships/hyperlink" Target="https://maps.google.com/?q=15.697240831238522,-96.523795055873308" TargetMode="External"/><Relationship Id="rId4584" Type="http://schemas.openxmlformats.org/officeDocument/2006/relationships/hyperlink" Target="https://maps.google.com/?q=16.556155,-96.821871000000002" TargetMode="External"/><Relationship Id="rId5635" Type="http://schemas.openxmlformats.org/officeDocument/2006/relationships/hyperlink" Target="https://maps.google.com/?q=17.5627515427619,-96.1794532600004" TargetMode="External"/><Relationship Id="rId8041" Type="http://schemas.openxmlformats.org/officeDocument/2006/relationships/hyperlink" Target="https://maps.google.com/?q=16.493484176267,-97.381543636389296" TargetMode="External"/><Relationship Id="rId11022" Type="http://schemas.openxmlformats.org/officeDocument/2006/relationships/hyperlink" Target="https://maps.google.com/?q=17.159364,-97.185840999999996" TargetMode="External"/><Relationship Id="rId3186" Type="http://schemas.openxmlformats.org/officeDocument/2006/relationships/hyperlink" Target="https://maps.google.com/?q=17.033828,-97.051563999999999" TargetMode="External"/><Relationship Id="rId4237" Type="http://schemas.openxmlformats.org/officeDocument/2006/relationships/hyperlink" Target="https://maps.google.com/?q=15.936954,-96.472807000000003" TargetMode="External"/><Relationship Id="rId4651" Type="http://schemas.openxmlformats.org/officeDocument/2006/relationships/hyperlink" Target="https://maps.google.com/?q=17.071829,-96.742204999999998" TargetMode="External"/><Relationship Id="rId13194" Type="http://schemas.openxmlformats.org/officeDocument/2006/relationships/hyperlink" Target="https://maps.google.com/?q=16.5755124320669,-97.018356790178501" TargetMode="External"/><Relationship Id="rId3253" Type="http://schemas.openxmlformats.org/officeDocument/2006/relationships/hyperlink" Target="https://maps.google.com/?q=17.0578161471121,-96.815266470475507" TargetMode="External"/><Relationship Id="rId4304" Type="http://schemas.openxmlformats.org/officeDocument/2006/relationships/hyperlink" Target="https://maps.google.com/?q=16.010392494772,-96.575719408016099" TargetMode="External"/><Relationship Id="rId5702" Type="http://schemas.openxmlformats.org/officeDocument/2006/relationships/hyperlink" Target="https://maps.google.com/?q=17.42906947,-96.284446200000005" TargetMode="External"/><Relationship Id="rId8858" Type="http://schemas.openxmlformats.org/officeDocument/2006/relationships/hyperlink" Target="https://maps.google.com/?q=17.219902,-96.243251999999998" TargetMode="External"/><Relationship Id="rId9909" Type="http://schemas.openxmlformats.org/officeDocument/2006/relationships/hyperlink" Target="https://maps.google.com/?q=0,-96.709023000000002" TargetMode="External"/><Relationship Id="rId10788" Type="http://schemas.openxmlformats.org/officeDocument/2006/relationships/hyperlink" Target="https://maps.google.com/?q=16.4612538308813,-94.999060400138902" TargetMode="External"/><Relationship Id="rId11839" Type="http://schemas.openxmlformats.org/officeDocument/2006/relationships/hyperlink" Target="https://maps.google.com/?q=16.593327858978764,-96.54257778406145" TargetMode="External"/><Relationship Id="rId174" Type="http://schemas.openxmlformats.org/officeDocument/2006/relationships/hyperlink" Target="https://maps.google.com/?q=17.091043,-97.499135999999993" TargetMode="External"/><Relationship Id="rId7874" Type="http://schemas.openxmlformats.org/officeDocument/2006/relationships/hyperlink" Target="https://maps.google.com/?q=16.3168523954782,-96.405648025794903" TargetMode="External"/><Relationship Id="rId8925" Type="http://schemas.openxmlformats.org/officeDocument/2006/relationships/hyperlink" Target="https://maps.google.com/?q=17.380743604,-96.163883686000005" TargetMode="External"/><Relationship Id="rId10855" Type="http://schemas.openxmlformats.org/officeDocument/2006/relationships/hyperlink" Target="https://maps.google.com/?q=16.3473685814312,-94.481180480811901" TargetMode="External"/><Relationship Id="rId11906" Type="http://schemas.openxmlformats.org/officeDocument/2006/relationships/hyperlink" Target="https://maps.google.com/?q=17.077585091986553,-96.73375827499031" TargetMode="External"/><Relationship Id="rId13261" Type="http://schemas.openxmlformats.org/officeDocument/2006/relationships/hyperlink" Target="https://maps.google.com/?q=17.1547677296422,-96.745224523313496" TargetMode="External"/><Relationship Id="rId241" Type="http://schemas.openxmlformats.org/officeDocument/2006/relationships/hyperlink" Target="https://maps.google.com/?q=16.88398,-97.676609999999997" TargetMode="External"/><Relationship Id="rId3320" Type="http://schemas.openxmlformats.org/officeDocument/2006/relationships/hyperlink" Target="https://maps.google.com/?q=17.064925079751,-96.817138205419894" TargetMode="External"/><Relationship Id="rId5078" Type="http://schemas.openxmlformats.org/officeDocument/2006/relationships/hyperlink" Target="https://maps.google.com/?q=17.252817,-96.155078000000003" TargetMode="External"/><Relationship Id="rId6476" Type="http://schemas.openxmlformats.org/officeDocument/2006/relationships/hyperlink" Target="https://maps.google.com/?q=17.2361716758654,-97.550495442828193" TargetMode="External"/><Relationship Id="rId6890" Type="http://schemas.openxmlformats.org/officeDocument/2006/relationships/hyperlink" Target="https://maps.google.com/?q=16.9737334919462,-97.0864343603712" TargetMode="External"/><Relationship Id="rId7527" Type="http://schemas.openxmlformats.org/officeDocument/2006/relationships/hyperlink" Target="https://maps.google.com/?q=17.9754528275591,-96.702565316504007" TargetMode="External"/><Relationship Id="rId7941" Type="http://schemas.openxmlformats.org/officeDocument/2006/relationships/hyperlink" Target="https://maps.google.com/?q=16.3252098434452,-96.402831499064007" TargetMode="External"/><Relationship Id="rId10508" Type="http://schemas.openxmlformats.org/officeDocument/2006/relationships/hyperlink" Target="https://maps.google.com/?q=17.8463309774198,-96.7448899101189" TargetMode="External"/><Relationship Id="rId5492" Type="http://schemas.openxmlformats.org/officeDocument/2006/relationships/hyperlink" Target="https://maps.google.com/?q=16.329684,-96.492354000000006" TargetMode="External"/><Relationship Id="rId6129" Type="http://schemas.openxmlformats.org/officeDocument/2006/relationships/hyperlink" Target="https://maps.google.com/?q=16.95112169,-96.612397659999999" TargetMode="External"/><Relationship Id="rId6543" Type="http://schemas.openxmlformats.org/officeDocument/2006/relationships/hyperlink" Target="https://maps.google.com/?q=18.11820767021,-97.176188312" TargetMode="External"/><Relationship Id="rId9699" Type="http://schemas.openxmlformats.org/officeDocument/2006/relationships/hyperlink" Target="https://maps.google.com/?q=18.0828509225611,-96.137164705274898" TargetMode="External"/><Relationship Id="rId10922" Type="http://schemas.openxmlformats.org/officeDocument/2006/relationships/hyperlink" Target="https://maps.google.com/?q=16.1913829400566,-95.210586650556905" TargetMode="External"/><Relationship Id="rId1688" Type="http://schemas.openxmlformats.org/officeDocument/2006/relationships/hyperlink" Target="https://maps.google.com/?q=18.0064340907041,-96.896944820000002" TargetMode="External"/><Relationship Id="rId2739" Type="http://schemas.openxmlformats.org/officeDocument/2006/relationships/hyperlink" Target="https://maps.google.com/?q=17.990621,-96.488405999999998" TargetMode="External"/><Relationship Id="rId4094" Type="http://schemas.openxmlformats.org/officeDocument/2006/relationships/hyperlink" Target="https://maps.google.com/?q=17.056291,-96.746252900000002" TargetMode="External"/><Relationship Id="rId5145" Type="http://schemas.openxmlformats.org/officeDocument/2006/relationships/hyperlink" Target="https://maps.google.com/?q=17.254612,-96.154973999999996" TargetMode="External"/><Relationship Id="rId6610" Type="http://schemas.openxmlformats.org/officeDocument/2006/relationships/hyperlink" Target="https://maps.google.com/?q=16.155384,-97.157889" TargetMode="External"/><Relationship Id="rId9766" Type="http://schemas.openxmlformats.org/officeDocument/2006/relationships/hyperlink" Target="https://maps.google.com/?q=17.282367990518,-96.800677630435402" TargetMode="External"/><Relationship Id="rId1755" Type="http://schemas.openxmlformats.org/officeDocument/2006/relationships/hyperlink" Target="https://maps.google.com/?q=18.06126248,-96.849268570000007" TargetMode="External"/><Relationship Id="rId4161" Type="http://schemas.openxmlformats.org/officeDocument/2006/relationships/hyperlink" Target="https://maps.google.com/?q=15.774786,-96.440719000000001" TargetMode="External"/><Relationship Id="rId5212" Type="http://schemas.openxmlformats.org/officeDocument/2006/relationships/hyperlink" Target="https://maps.google.com/?q=16.580442,-96.738327" TargetMode="External"/><Relationship Id="rId8368" Type="http://schemas.openxmlformats.org/officeDocument/2006/relationships/hyperlink" Target="https://maps.google.com/?q=16.8457184375532,-97.201929624258497" TargetMode="External"/><Relationship Id="rId8782" Type="http://schemas.openxmlformats.org/officeDocument/2006/relationships/hyperlink" Target="https://maps.google.com/?q=17.210135,-96.252082999999999" TargetMode="External"/><Relationship Id="rId9419" Type="http://schemas.openxmlformats.org/officeDocument/2006/relationships/hyperlink" Target="https://maps.google.com/?q=16.7760388783638,-95.191650315792003" TargetMode="External"/><Relationship Id="rId10298" Type="http://schemas.openxmlformats.org/officeDocument/2006/relationships/hyperlink" Target="https://maps.google.com/?q=16.22176053,-97.270865189999995" TargetMode="External"/><Relationship Id="rId11349" Type="http://schemas.openxmlformats.org/officeDocument/2006/relationships/hyperlink" Target="https://maps.google.com/?q=16.3647887676644,-94.200729008598302" TargetMode="External"/><Relationship Id="rId11696" Type="http://schemas.openxmlformats.org/officeDocument/2006/relationships/hyperlink" Target="https://maps.google.com/?q=17.18169703,-97.70940392" TargetMode="External"/><Relationship Id="rId12747" Type="http://schemas.openxmlformats.org/officeDocument/2006/relationships/hyperlink" Target="https://maps.google.com/?q=17.4506836228344,-97.283127916271098" TargetMode="External"/><Relationship Id="rId1408" Type="http://schemas.openxmlformats.org/officeDocument/2006/relationships/hyperlink" Target="https://maps.google.com/?q=17.33873,-96.152553999999995" TargetMode="External"/><Relationship Id="rId2806" Type="http://schemas.openxmlformats.org/officeDocument/2006/relationships/hyperlink" Target="https://maps.google.com/?q=16.9891458154532,-97.718177139881107" TargetMode="External"/><Relationship Id="rId7384" Type="http://schemas.openxmlformats.org/officeDocument/2006/relationships/hyperlink" Target="https://maps.google.com/?q=17.0432798878849,-97.297982700038602" TargetMode="External"/><Relationship Id="rId8435" Type="http://schemas.openxmlformats.org/officeDocument/2006/relationships/hyperlink" Target="https://maps.google.com/?q=16.2031094141126,-96.8256764773501" TargetMode="External"/><Relationship Id="rId9833" Type="http://schemas.openxmlformats.org/officeDocument/2006/relationships/hyperlink" Target="https://maps.google.com/?q=16.6327055565558,-96.850309262493397" TargetMode="External"/><Relationship Id="rId11763" Type="http://schemas.openxmlformats.org/officeDocument/2006/relationships/hyperlink" Target="https://maps.google.com/?q=17.720653279175952,-97.86127539748381" TargetMode="External"/><Relationship Id="rId12814" Type="http://schemas.openxmlformats.org/officeDocument/2006/relationships/hyperlink" Target="https://maps.google.com/?q=17.848477343464,-97.431069542327904" TargetMode="External"/><Relationship Id="rId47" Type="http://schemas.openxmlformats.org/officeDocument/2006/relationships/hyperlink" Target="https://maps.google.com/?q=15.91175,-96.450361000000001" TargetMode="External"/><Relationship Id="rId1822" Type="http://schemas.openxmlformats.org/officeDocument/2006/relationships/hyperlink" Target="https://maps.google.com/?q=18.0354181059131,-96.893905428169901" TargetMode="External"/><Relationship Id="rId4978" Type="http://schemas.openxmlformats.org/officeDocument/2006/relationships/hyperlink" Target="https://maps.google.com/?q=17.242623186129393,-96.82234902783631" TargetMode="External"/><Relationship Id="rId7037" Type="http://schemas.openxmlformats.org/officeDocument/2006/relationships/hyperlink" Target="https://maps.google.com/?q=17.0450906108413,-97.303072480984198" TargetMode="External"/><Relationship Id="rId9900" Type="http://schemas.openxmlformats.org/officeDocument/2006/relationships/hyperlink" Target="https://maps.google.com/?q=16.7890973130548,-96.655528447427798" TargetMode="External"/><Relationship Id="rId10365" Type="http://schemas.openxmlformats.org/officeDocument/2006/relationships/hyperlink" Target="https://maps.google.com/?q=17.4362570278295,-96.655318876808295" TargetMode="External"/><Relationship Id="rId11416" Type="http://schemas.openxmlformats.org/officeDocument/2006/relationships/hyperlink" Target="https://maps.google.com/?q=17.3775410804616,-98.186324408215597" TargetMode="External"/><Relationship Id="rId11830" Type="http://schemas.openxmlformats.org/officeDocument/2006/relationships/hyperlink" Target="https://maps.google.com/?q=16.462612982618595,-97.95460493254089" TargetMode="External"/><Relationship Id="rId3994" Type="http://schemas.openxmlformats.org/officeDocument/2006/relationships/hyperlink" Target="https://maps.google.com/?q=17.05386,-96.735390" TargetMode="External"/><Relationship Id="rId6053" Type="http://schemas.openxmlformats.org/officeDocument/2006/relationships/hyperlink" Target="https://maps.google.com/?q=18.157726379228308,-96.576387121092395" TargetMode="External"/><Relationship Id="rId7451" Type="http://schemas.openxmlformats.org/officeDocument/2006/relationships/hyperlink" Target="https://maps.google.com/?q=16.3227452283053,-96.673987387729895" TargetMode="External"/><Relationship Id="rId8502" Type="http://schemas.openxmlformats.org/officeDocument/2006/relationships/hyperlink" Target="https://maps.google.com/?q=17.1464654605101,-97.542401195997797" TargetMode="External"/><Relationship Id="rId10018" Type="http://schemas.openxmlformats.org/officeDocument/2006/relationships/hyperlink" Target="https://maps.google.com/?q=16.9946556529969,-96.071484542149605" TargetMode="External"/><Relationship Id="rId10432" Type="http://schemas.openxmlformats.org/officeDocument/2006/relationships/hyperlink" Target="https://maps.google.com/?q=17.041216,-96.777021000000005" TargetMode="External"/><Relationship Id="rId13588" Type="http://schemas.openxmlformats.org/officeDocument/2006/relationships/hyperlink" Target="https://maps.google.com/?q=17.267449,-97.680485000000004" TargetMode="External"/><Relationship Id="rId2596" Type="http://schemas.openxmlformats.org/officeDocument/2006/relationships/hyperlink" Target="https://maps.google.com/?q=18.173226,-96.283085" TargetMode="External"/><Relationship Id="rId3647" Type="http://schemas.openxmlformats.org/officeDocument/2006/relationships/hyperlink" Target="https://maps.google.com/?q=15.77885566137247,-96.137830464666138" TargetMode="External"/><Relationship Id="rId7104" Type="http://schemas.openxmlformats.org/officeDocument/2006/relationships/hyperlink" Target="https://maps.google.com/?q=17.3568989827274,-97.657973792208793" TargetMode="External"/><Relationship Id="rId13655" Type="http://schemas.openxmlformats.org/officeDocument/2006/relationships/hyperlink" Target="https://maps.google.com/?q=16.56542,-97.652344" TargetMode="External"/><Relationship Id="rId568" Type="http://schemas.openxmlformats.org/officeDocument/2006/relationships/hyperlink" Target="https://maps.google.com/?q=16.05233,-97.402203999999998" TargetMode="External"/><Relationship Id="rId982" Type="http://schemas.openxmlformats.org/officeDocument/2006/relationships/hyperlink" Target="https://maps.google.com/?q=15.690438623982743,-96.517606626107607" TargetMode="External"/><Relationship Id="rId1198" Type="http://schemas.openxmlformats.org/officeDocument/2006/relationships/hyperlink" Target="https://maps.google.com/?q=17.03279,-96.693641" TargetMode="External"/><Relationship Id="rId2249" Type="http://schemas.openxmlformats.org/officeDocument/2006/relationships/hyperlink" Target="https://maps.google.com/?q=16.52021,-96.967778" TargetMode="External"/><Relationship Id="rId2663" Type="http://schemas.openxmlformats.org/officeDocument/2006/relationships/hyperlink" Target="https://maps.google.com/?q=17.9423170716465,-97.9724398687177" TargetMode="External"/><Relationship Id="rId3714" Type="http://schemas.openxmlformats.org/officeDocument/2006/relationships/hyperlink" Target="https://maps.google.com/?q=15.758042834654955,-96.14015539598897" TargetMode="External"/><Relationship Id="rId6120" Type="http://schemas.openxmlformats.org/officeDocument/2006/relationships/hyperlink" Target="https://maps.google.com/?q=16.9485502,-96.611669649999996" TargetMode="External"/><Relationship Id="rId9276" Type="http://schemas.openxmlformats.org/officeDocument/2006/relationships/hyperlink" Target="https://maps.google.com/?q=17.3786421198338,-96.302129130737995" TargetMode="External"/><Relationship Id="rId9690" Type="http://schemas.openxmlformats.org/officeDocument/2006/relationships/hyperlink" Target="https://maps.google.com/?q=18.0750669251924,-96.1286007917045" TargetMode="External"/><Relationship Id="rId12257" Type="http://schemas.openxmlformats.org/officeDocument/2006/relationships/hyperlink" Target="https://maps.google.com/?q=16.4264102822777,-97.225732129504294" TargetMode="External"/><Relationship Id="rId13308" Type="http://schemas.openxmlformats.org/officeDocument/2006/relationships/hyperlink" Target="https://maps.google.com/?q=16.1341051359571,-96.329030897791398" TargetMode="External"/><Relationship Id="rId635" Type="http://schemas.openxmlformats.org/officeDocument/2006/relationships/hyperlink" Target="https://maps.google.com/?q=16.054346,-97.394972999999993" TargetMode="External"/><Relationship Id="rId1265" Type="http://schemas.openxmlformats.org/officeDocument/2006/relationships/hyperlink" Target="https://maps.google.com/?q=17.058593,-96.743018000000006" TargetMode="External"/><Relationship Id="rId2316" Type="http://schemas.openxmlformats.org/officeDocument/2006/relationships/hyperlink" Target="https://maps.google.com/?q=18.1062126202993,-96.869185490009102" TargetMode="External"/><Relationship Id="rId2730" Type="http://schemas.openxmlformats.org/officeDocument/2006/relationships/hyperlink" Target="https://maps.google.com/?q=18.027233,-96.243660000000006" TargetMode="External"/><Relationship Id="rId5886" Type="http://schemas.openxmlformats.org/officeDocument/2006/relationships/hyperlink" Target="https://maps.google.com/?q=18.145099228159083,-96.56646281887258" TargetMode="External"/><Relationship Id="rId8292" Type="http://schemas.openxmlformats.org/officeDocument/2006/relationships/hyperlink" Target="https://maps.google.com/?q=17.6299326437,-97.034707713000003" TargetMode="External"/><Relationship Id="rId9343" Type="http://schemas.openxmlformats.org/officeDocument/2006/relationships/hyperlink" Target="https://maps.google.com/?q=16.8174372027349,-95.141853553874896" TargetMode="External"/><Relationship Id="rId11273" Type="http://schemas.openxmlformats.org/officeDocument/2006/relationships/hyperlink" Target="https://maps.google.com/?q=17.8657639095306,-96.309420954774694" TargetMode="External"/><Relationship Id="rId12671" Type="http://schemas.openxmlformats.org/officeDocument/2006/relationships/hyperlink" Target="https://maps.google.com/?q=16.9211568487166,-97.892446086369205" TargetMode="External"/><Relationship Id="rId13722" Type="http://schemas.openxmlformats.org/officeDocument/2006/relationships/hyperlink" Target="https://maps.google.com/?q=17.05514,-96.065353" TargetMode="External"/><Relationship Id="rId702" Type="http://schemas.openxmlformats.org/officeDocument/2006/relationships/hyperlink" Target="https://maps.google.com/?q=16.063052,-97.382220000000004" TargetMode="External"/><Relationship Id="rId1332" Type="http://schemas.openxmlformats.org/officeDocument/2006/relationships/hyperlink" Target="https://maps.google.com/?q=17.0180847,-96.71867719" TargetMode="External"/><Relationship Id="rId4488" Type="http://schemas.openxmlformats.org/officeDocument/2006/relationships/hyperlink" Target="https://maps.google.com/?q=17.1770574103155,-97.304641635581902" TargetMode="External"/><Relationship Id="rId5539" Type="http://schemas.openxmlformats.org/officeDocument/2006/relationships/hyperlink" Target="https://maps.google.com/?q=17.288918,-97.374539999999996" TargetMode="External"/><Relationship Id="rId6937" Type="http://schemas.openxmlformats.org/officeDocument/2006/relationships/hyperlink" Target="https://maps.google.com/?q=16.31782,-95.253665999999996" TargetMode="External"/><Relationship Id="rId9410" Type="http://schemas.openxmlformats.org/officeDocument/2006/relationships/hyperlink" Target="https://maps.google.com/?q=16.7757302933564,-95.191720944330598" TargetMode="External"/><Relationship Id="rId12324" Type="http://schemas.openxmlformats.org/officeDocument/2006/relationships/hyperlink" Target="https://maps.google.com/?q=16.673528,-94.451528" TargetMode="External"/><Relationship Id="rId5953" Type="http://schemas.openxmlformats.org/officeDocument/2006/relationships/hyperlink" Target="https://maps.google.com/?q=18.15394882981237,-96.575202736078424" TargetMode="External"/><Relationship Id="rId8012" Type="http://schemas.openxmlformats.org/officeDocument/2006/relationships/hyperlink" Target="https://maps.google.com/?q=18.1642006534671,-96.872732157077905" TargetMode="External"/><Relationship Id="rId11340" Type="http://schemas.openxmlformats.org/officeDocument/2006/relationships/hyperlink" Target="https://maps.google.com/?q=16.64930039,-97.532302090000002" TargetMode="External"/><Relationship Id="rId3157" Type="http://schemas.openxmlformats.org/officeDocument/2006/relationships/hyperlink" Target="https://maps.google.com/?q=16.54408,-97.497200000000007" TargetMode="External"/><Relationship Id="rId4555" Type="http://schemas.openxmlformats.org/officeDocument/2006/relationships/hyperlink" Target="https://maps.google.com/?q=17.1853326937243,-97.303341386749196" TargetMode="External"/><Relationship Id="rId5606" Type="http://schemas.openxmlformats.org/officeDocument/2006/relationships/hyperlink" Target="https://maps.google.com/?q=17.4624490520433,-96.2322051777914" TargetMode="External"/><Relationship Id="rId13098" Type="http://schemas.openxmlformats.org/officeDocument/2006/relationships/hyperlink" Target="https://maps.google.com/?q=16.5651673,-97.535159100000001" TargetMode="External"/><Relationship Id="rId14149" Type="http://schemas.openxmlformats.org/officeDocument/2006/relationships/hyperlink" Target="https://maps.google.com/?q=17.04473373,-95.88345301" TargetMode="External"/><Relationship Id="rId3571" Type="http://schemas.openxmlformats.org/officeDocument/2006/relationships/hyperlink" Target="https://maps.google.com/?q=15.775553668263662,-96.136711046245011" TargetMode="External"/><Relationship Id="rId4208" Type="http://schemas.openxmlformats.org/officeDocument/2006/relationships/hyperlink" Target="https://maps.google.com/?q=16.791625,-96.674999" TargetMode="External"/><Relationship Id="rId4622" Type="http://schemas.openxmlformats.org/officeDocument/2006/relationships/hyperlink" Target="https://maps.google.com/?q=16.5490550743167,-96.708123066275505" TargetMode="External"/><Relationship Id="rId7778" Type="http://schemas.openxmlformats.org/officeDocument/2006/relationships/hyperlink" Target="https://maps.google.com/?q=16.1827959303315,-96.385904163194596" TargetMode="External"/><Relationship Id="rId8829" Type="http://schemas.openxmlformats.org/officeDocument/2006/relationships/hyperlink" Target="https://maps.google.com/?q=17.216387,-96.244536999999994" TargetMode="External"/><Relationship Id="rId10759" Type="http://schemas.openxmlformats.org/officeDocument/2006/relationships/hyperlink" Target="https://maps.google.com/?q=17.455652,-97.222747999999996" TargetMode="External"/><Relationship Id="rId13165" Type="http://schemas.openxmlformats.org/officeDocument/2006/relationships/hyperlink" Target="https://maps.google.com/?q=16.5676080388465,-97.012711220901394" TargetMode="External"/><Relationship Id="rId492" Type="http://schemas.openxmlformats.org/officeDocument/2006/relationships/hyperlink" Target="https://maps.google.com/?q=16.055024,-97.408378999999996" TargetMode="External"/><Relationship Id="rId2173" Type="http://schemas.openxmlformats.org/officeDocument/2006/relationships/hyperlink" Target="https://maps.google.com/?q=16.433263,-95.021670" TargetMode="External"/><Relationship Id="rId3224" Type="http://schemas.openxmlformats.org/officeDocument/2006/relationships/hyperlink" Target="https://maps.google.com/?q=17.9314951276034,-96.2118866552469" TargetMode="External"/><Relationship Id="rId6794" Type="http://schemas.openxmlformats.org/officeDocument/2006/relationships/hyperlink" Target="https://maps.google.com/?q=16.6452866274161,-97.039443889247906" TargetMode="External"/><Relationship Id="rId7845" Type="http://schemas.openxmlformats.org/officeDocument/2006/relationships/hyperlink" Target="https://maps.google.com/?q=15.9694054119194,-96.0204949287319" TargetMode="External"/><Relationship Id="rId12181" Type="http://schemas.openxmlformats.org/officeDocument/2006/relationships/hyperlink" Target="https://maps.google.com/?q=17.416786993306,-95.943455948164896" TargetMode="External"/><Relationship Id="rId13232" Type="http://schemas.openxmlformats.org/officeDocument/2006/relationships/hyperlink" Target="https://maps.google.com/?q=17.139382265391,-96.750771210785999" TargetMode="External"/><Relationship Id="rId145" Type="http://schemas.openxmlformats.org/officeDocument/2006/relationships/hyperlink" Target="https://maps.google.com/?q=17.088631,-97.501046000000002" TargetMode="External"/><Relationship Id="rId2240" Type="http://schemas.openxmlformats.org/officeDocument/2006/relationships/hyperlink" Target="https://maps.google.com/?q=16.512308,-96.973887000000005" TargetMode="External"/><Relationship Id="rId5396" Type="http://schemas.openxmlformats.org/officeDocument/2006/relationships/hyperlink" Target="https://maps.google.com/?q=16.0925300616517,-97.6871807546311" TargetMode="External"/><Relationship Id="rId6447" Type="http://schemas.openxmlformats.org/officeDocument/2006/relationships/hyperlink" Target="https://maps.google.com/?q=17.35019064,-97.560773929999996" TargetMode="External"/><Relationship Id="rId6861" Type="http://schemas.openxmlformats.org/officeDocument/2006/relationships/hyperlink" Target="https://maps.google.com/?q=16.9684507574179,-97.081759107969305" TargetMode="External"/><Relationship Id="rId10826" Type="http://schemas.openxmlformats.org/officeDocument/2006/relationships/hyperlink" Target="https://maps.google.com/?q=16.4049293212446,-94.4570966937478" TargetMode="External"/><Relationship Id="rId212" Type="http://schemas.openxmlformats.org/officeDocument/2006/relationships/hyperlink" Target="https://maps.google.com/?q=17.095695,-97.495779999999996" TargetMode="External"/><Relationship Id="rId5049" Type="http://schemas.openxmlformats.org/officeDocument/2006/relationships/hyperlink" Target="https://maps.google.com/?q=17.251769,-96.152536999999995" TargetMode="External"/><Relationship Id="rId5463" Type="http://schemas.openxmlformats.org/officeDocument/2006/relationships/hyperlink" Target="https://maps.google.com/?q=16.0099683784093,-97.425553959186303" TargetMode="External"/><Relationship Id="rId6514" Type="http://schemas.openxmlformats.org/officeDocument/2006/relationships/hyperlink" Target="https://maps.google.com/?q=17.2492132189275,-97.564875979449198" TargetMode="External"/><Relationship Id="rId7912" Type="http://schemas.openxmlformats.org/officeDocument/2006/relationships/hyperlink" Target="https://maps.google.com/?q=16.3197871507955,-96.406738942531007" TargetMode="External"/><Relationship Id="rId12998" Type="http://schemas.openxmlformats.org/officeDocument/2006/relationships/hyperlink" Target="https://maps.google.com/?q=16.5026331,-97.5554889" TargetMode="External"/><Relationship Id="rId4065" Type="http://schemas.openxmlformats.org/officeDocument/2006/relationships/hyperlink" Target="https://maps.google.com/?q=17.081197,-96.727012" TargetMode="External"/><Relationship Id="rId5116" Type="http://schemas.openxmlformats.org/officeDocument/2006/relationships/hyperlink" Target="https://maps.google.com/?q=17.253846,-96.156357999999997" TargetMode="External"/><Relationship Id="rId1659" Type="http://schemas.openxmlformats.org/officeDocument/2006/relationships/hyperlink" Target="https://maps.google.com/?q=16.894457,-96.939513000000005" TargetMode="External"/><Relationship Id="rId3081" Type="http://schemas.openxmlformats.org/officeDocument/2006/relationships/hyperlink" Target="https://maps.google.com/?q=16.965938709086,-96.937086699579694" TargetMode="External"/><Relationship Id="rId4132" Type="http://schemas.openxmlformats.org/officeDocument/2006/relationships/hyperlink" Target="https://maps.google.com/?q=16.839692630613982,-96.0105795312229" TargetMode="External"/><Relationship Id="rId5530" Type="http://schemas.openxmlformats.org/officeDocument/2006/relationships/hyperlink" Target="https://maps.google.com/?q=17.2849331838615,-97.377140279762202" TargetMode="External"/><Relationship Id="rId7288" Type="http://schemas.openxmlformats.org/officeDocument/2006/relationships/hyperlink" Target="https://maps.google.com/?q=16.305695538229,-97.910829507791505" TargetMode="External"/><Relationship Id="rId8686" Type="http://schemas.openxmlformats.org/officeDocument/2006/relationships/hyperlink" Target="https://maps.google.com/?q=16.1854935315057,-96.617490930059404" TargetMode="External"/><Relationship Id="rId9737" Type="http://schemas.openxmlformats.org/officeDocument/2006/relationships/hyperlink" Target="https://maps.google.com/?q=17.272516770604,-96.804957237227597" TargetMode="External"/><Relationship Id="rId11667" Type="http://schemas.openxmlformats.org/officeDocument/2006/relationships/hyperlink" Target="https://maps.google.com/?q=17.1741915,-97.710118320000007" TargetMode="External"/><Relationship Id="rId12718" Type="http://schemas.openxmlformats.org/officeDocument/2006/relationships/hyperlink" Target="https://maps.google.com/?q=16.2857728064153,-96.503934527612699" TargetMode="External"/><Relationship Id="rId14073" Type="http://schemas.openxmlformats.org/officeDocument/2006/relationships/hyperlink" Target="https://maps.google.com/?q=17.298147195172938,-94.97558503044505" TargetMode="External"/><Relationship Id="rId1726" Type="http://schemas.openxmlformats.org/officeDocument/2006/relationships/hyperlink" Target="https://maps.google.com/?q=18.0634499028204,-96.832547112208999" TargetMode="External"/><Relationship Id="rId8339" Type="http://schemas.openxmlformats.org/officeDocument/2006/relationships/hyperlink" Target="https://maps.google.com/?q=16.8426441479999,-97.202527080021" TargetMode="External"/><Relationship Id="rId8753" Type="http://schemas.openxmlformats.org/officeDocument/2006/relationships/hyperlink" Target="https://maps.google.com/?q=17.202202,-96.254007999999999" TargetMode="External"/><Relationship Id="rId9804" Type="http://schemas.openxmlformats.org/officeDocument/2006/relationships/hyperlink" Target="https://maps.google.com/?q=16.6425472378973,-96.750781198336" TargetMode="External"/><Relationship Id="rId10269" Type="http://schemas.openxmlformats.org/officeDocument/2006/relationships/hyperlink" Target="https://maps.google.com/?q=16.245045,-95.149332000000001" TargetMode="External"/><Relationship Id="rId10683" Type="http://schemas.openxmlformats.org/officeDocument/2006/relationships/hyperlink" Target="https://maps.google.com/?q=16.230038868802893,-97.2664290756506" TargetMode="External"/><Relationship Id="rId11734" Type="http://schemas.openxmlformats.org/officeDocument/2006/relationships/hyperlink" Target="https://maps.google.com/?q=17.18882771,-97.715295819999994" TargetMode="External"/><Relationship Id="rId14140" Type="http://schemas.openxmlformats.org/officeDocument/2006/relationships/hyperlink" Target="https://maps.google.com/?q=16.8630111,-95.71853889" TargetMode="External"/><Relationship Id="rId18" Type="http://schemas.openxmlformats.org/officeDocument/2006/relationships/hyperlink" Target="https://maps.google.com/?q=17.22293,-97.120839000000004" TargetMode="External"/><Relationship Id="rId3898" Type="http://schemas.openxmlformats.org/officeDocument/2006/relationships/hyperlink" Target="https://maps.google.com/?q=17.326472,-96.490019" TargetMode="External"/><Relationship Id="rId4949" Type="http://schemas.openxmlformats.org/officeDocument/2006/relationships/hyperlink" Target="https://maps.google.com/?q=15.9343848556731,-96.416057555579997" TargetMode="External"/><Relationship Id="rId7355" Type="http://schemas.openxmlformats.org/officeDocument/2006/relationships/hyperlink" Target="https://maps.google.com/?q=16.565305,-97.656548999999998" TargetMode="External"/><Relationship Id="rId8406" Type="http://schemas.openxmlformats.org/officeDocument/2006/relationships/hyperlink" Target="https://maps.google.com/?q=16.0902470025172,-96.243194052744002" TargetMode="External"/><Relationship Id="rId8820" Type="http://schemas.openxmlformats.org/officeDocument/2006/relationships/hyperlink" Target="https://maps.google.com/?q=17.216039,-96.248065999999994" TargetMode="External"/><Relationship Id="rId10336" Type="http://schemas.openxmlformats.org/officeDocument/2006/relationships/hyperlink" Target="https://maps.google.com/?q=17.4326833810339,-96.658722798949796" TargetMode="External"/><Relationship Id="rId3965" Type="http://schemas.openxmlformats.org/officeDocument/2006/relationships/hyperlink" Target="https://maps.google.com/?q=17.06147,-96.757279999999994" TargetMode="External"/><Relationship Id="rId6371" Type="http://schemas.openxmlformats.org/officeDocument/2006/relationships/hyperlink" Target="https://maps.google.com/?q=18.597846374187306,-96.68661554301252" TargetMode="External"/><Relationship Id="rId7008" Type="http://schemas.openxmlformats.org/officeDocument/2006/relationships/hyperlink" Target="https://maps.google.com/?q=17.0392269978532,-97.3044811048253" TargetMode="External"/><Relationship Id="rId7422" Type="http://schemas.openxmlformats.org/officeDocument/2006/relationships/hyperlink" Target="https://maps.google.com/?q=17.03736,-97.051306999999994" TargetMode="External"/><Relationship Id="rId10750" Type="http://schemas.openxmlformats.org/officeDocument/2006/relationships/hyperlink" Target="https://maps.google.com/?q=16.5521855199029,-94.941361979168306" TargetMode="External"/><Relationship Id="rId11801" Type="http://schemas.openxmlformats.org/officeDocument/2006/relationships/hyperlink" Target="https://maps.google.com/?q=16.694456092673963,-94.95793088591385" TargetMode="External"/><Relationship Id="rId13559" Type="http://schemas.openxmlformats.org/officeDocument/2006/relationships/hyperlink" Target="https://maps.google.com/?q=17.3209972323591,-96.56905568832588" TargetMode="External"/><Relationship Id="rId886" Type="http://schemas.openxmlformats.org/officeDocument/2006/relationships/hyperlink" Target="https://maps.google.com/?q=17.09539,-97.497460000000004" TargetMode="External"/><Relationship Id="rId2567" Type="http://schemas.openxmlformats.org/officeDocument/2006/relationships/hyperlink" Target="https://maps.google.com/?q=16.0106243470529,-97.201759318449703" TargetMode="External"/><Relationship Id="rId3618" Type="http://schemas.openxmlformats.org/officeDocument/2006/relationships/hyperlink" Target="https://maps.google.com/?q=15.776976416867589,-96.137082768721996" TargetMode="External"/><Relationship Id="rId6024" Type="http://schemas.openxmlformats.org/officeDocument/2006/relationships/hyperlink" Target="https://maps.google.com/?q=18.156101919591638,-96.572624033899373" TargetMode="External"/><Relationship Id="rId9594" Type="http://schemas.openxmlformats.org/officeDocument/2006/relationships/hyperlink" Target="https://maps.google.com/?q=17.9935898036411,-96.744734290528896" TargetMode="External"/><Relationship Id="rId10403" Type="http://schemas.openxmlformats.org/officeDocument/2006/relationships/hyperlink" Target="https://maps.google.com/?q=17.978581,-96.702771999999996" TargetMode="External"/><Relationship Id="rId13973" Type="http://schemas.openxmlformats.org/officeDocument/2006/relationships/hyperlink" Target="https://maps.google.com/?q=16.58758822,-97.22747773" TargetMode="External"/><Relationship Id="rId2" Type="http://schemas.openxmlformats.org/officeDocument/2006/relationships/hyperlink" Target="https://maps.google.com/?q=17.221801,-97.118673000000001" TargetMode="External"/><Relationship Id="rId539" Type="http://schemas.openxmlformats.org/officeDocument/2006/relationships/hyperlink" Target="https://maps.google.com/?q=16.052547,-97.403398999999993" TargetMode="External"/><Relationship Id="rId1169" Type="http://schemas.openxmlformats.org/officeDocument/2006/relationships/hyperlink" Target="https://maps.google.com/?q=16.712381,-94.145556" TargetMode="External"/><Relationship Id="rId1583" Type="http://schemas.openxmlformats.org/officeDocument/2006/relationships/hyperlink" Target="https://maps.google.com/?q=16.56648,-96.703860000000006" TargetMode="External"/><Relationship Id="rId2981" Type="http://schemas.openxmlformats.org/officeDocument/2006/relationships/hyperlink" Target="https://maps.google.com/?q=17.9087640769361,-97.9965890932543" TargetMode="External"/><Relationship Id="rId5040" Type="http://schemas.openxmlformats.org/officeDocument/2006/relationships/hyperlink" Target="https://maps.google.com/?q=17.251515,-96.155688999999995" TargetMode="External"/><Relationship Id="rId8196" Type="http://schemas.openxmlformats.org/officeDocument/2006/relationships/hyperlink" Target="https://maps.google.com/?q=16.670212,-96.308357000000001" TargetMode="External"/><Relationship Id="rId9247" Type="http://schemas.openxmlformats.org/officeDocument/2006/relationships/hyperlink" Target="https://maps.google.com/?q=17.3771476940874,-96.300666161061699" TargetMode="External"/><Relationship Id="rId12575" Type="http://schemas.openxmlformats.org/officeDocument/2006/relationships/hyperlink" Target="https://maps.google.com/?q=16.6236381053812,-96.952514824179005" TargetMode="External"/><Relationship Id="rId13626" Type="http://schemas.openxmlformats.org/officeDocument/2006/relationships/hyperlink" Target="https://maps.google.com/?q=16.564287,-96.731918" TargetMode="External"/><Relationship Id="rId953" Type="http://schemas.openxmlformats.org/officeDocument/2006/relationships/hyperlink" Target="https://maps.google.com/?q=15.684176572724429,-96.51158688995919" TargetMode="External"/><Relationship Id="rId1236" Type="http://schemas.openxmlformats.org/officeDocument/2006/relationships/hyperlink" Target="https://maps.google.com/?q=17.055812719,-96.7456976" TargetMode="External"/><Relationship Id="rId2634" Type="http://schemas.openxmlformats.org/officeDocument/2006/relationships/hyperlink" Target="https://maps.google.com/?q=18.083264,-96.165047000000001" TargetMode="External"/><Relationship Id="rId8263" Type="http://schemas.openxmlformats.org/officeDocument/2006/relationships/hyperlink" Target="https://maps.google.com/?q=17.026611,-96.759039000000001" TargetMode="External"/><Relationship Id="rId9661" Type="http://schemas.openxmlformats.org/officeDocument/2006/relationships/hyperlink" Target="https://maps.google.com/?q=16.3183016963723,-96.585432574239704" TargetMode="External"/><Relationship Id="rId11177" Type="http://schemas.openxmlformats.org/officeDocument/2006/relationships/hyperlink" Target="https://maps.google.com/?q=16.844103,-96.009900999999999" TargetMode="External"/><Relationship Id="rId11591" Type="http://schemas.openxmlformats.org/officeDocument/2006/relationships/hyperlink" Target="https://maps.google.com/?q=16.8344874533077,-96.727271341104398" TargetMode="External"/><Relationship Id="rId12228" Type="http://schemas.openxmlformats.org/officeDocument/2006/relationships/hyperlink" Target="https://maps.google.com/?q=16.41387554,-97.220929510000005" TargetMode="External"/><Relationship Id="rId12642" Type="http://schemas.openxmlformats.org/officeDocument/2006/relationships/hyperlink" Target="https://maps.google.com/?q=17.118657,-96.851423999999994" TargetMode="External"/><Relationship Id="rId606" Type="http://schemas.openxmlformats.org/officeDocument/2006/relationships/hyperlink" Target="https://maps.google.com/?q=16.054878,-97.396080999999995" TargetMode="External"/><Relationship Id="rId1650" Type="http://schemas.openxmlformats.org/officeDocument/2006/relationships/hyperlink" Target="https://maps.google.com/?q=16.8934556782683,-96.940334444803895" TargetMode="External"/><Relationship Id="rId2701" Type="http://schemas.openxmlformats.org/officeDocument/2006/relationships/hyperlink" Target="https://maps.google.com/?q=15.883693827906,-96.404505921047004" TargetMode="External"/><Relationship Id="rId5857" Type="http://schemas.openxmlformats.org/officeDocument/2006/relationships/hyperlink" Target="https://maps.google.com/?q=15.9708228711331,-97.245962991426396" TargetMode="External"/><Relationship Id="rId6908" Type="http://schemas.openxmlformats.org/officeDocument/2006/relationships/hyperlink" Target="https://maps.google.com/?q=17.1648145873405,-94.787544315136401" TargetMode="External"/><Relationship Id="rId9314" Type="http://schemas.openxmlformats.org/officeDocument/2006/relationships/hyperlink" Target="https://maps.google.com/?q=16.8155013016709,-95.138023359401103" TargetMode="External"/><Relationship Id="rId10193" Type="http://schemas.openxmlformats.org/officeDocument/2006/relationships/hyperlink" Target="https://maps.google.com/?q=17.2911612676066,-97.3384309686829" TargetMode="External"/><Relationship Id="rId11244" Type="http://schemas.openxmlformats.org/officeDocument/2006/relationships/hyperlink" Target="https://maps.google.com/?q=17.8626592578131,-96.307711433783695" TargetMode="External"/><Relationship Id="rId1303" Type="http://schemas.openxmlformats.org/officeDocument/2006/relationships/hyperlink" Target="https://maps.google.com/?q=17.0802,-96.726955" TargetMode="External"/><Relationship Id="rId4459" Type="http://schemas.openxmlformats.org/officeDocument/2006/relationships/hyperlink" Target="https://maps.google.com/?q=17.613607,-98.003966000000005" TargetMode="External"/><Relationship Id="rId4873" Type="http://schemas.openxmlformats.org/officeDocument/2006/relationships/hyperlink" Target="https://maps.google.com/?q=16.7921318671053,-96.383728540977302" TargetMode="External"/><Relationship Id="rId5924" Type="http://schemas.openxmlformats.org/officeDocument/2006/relationships/hyperlink" Target="https://maps.google.com/?q=18.151266807037842,-96.569416739462" TargetMode="External"/><Relationship Id="rId8330" Type="http://schemas.openxmlformats.org/officeDocument/2006/relationships/hyperlink" Target="https://maps.google.com/?q=17.203282322702,-97.591397488895495" TargetMode="External"/><Relationship Id="rId10260" Type="http://schemas.openxmlformats.org/officeDocument/2006/relationships/hyperlink" Target="https://maps.google.com/?q=16.244192,-95.153356000000002" TargetMode="External"/><Relationship Id="rId11311" Type="http://schemas.openxmlformats.org/officeDocument/2006/relationships/hyperlink" Target="https://maps.google.com/?q=17.8686274853729,-96.308930128420002" TargetMode="External"/><Relationship Id="rId3475" Type="http://schemas.openxmlformats.org/officeDocument/2006/relationships/hyperlink" Target="https://maps.google.com/?q=16.746538,-97.263938999999993" TargetMode="External"/><Relationship Id="rId4526" Type="http://schemas.openxmlformats.org/officeDocument/2006/relationships/hyperlink" Target="https://maps.google.com/?q=17.1818099743336,-97.304806203576106" TargetMode="External"/><Relationship Id="rId4940" Type="http://schemas.openxmlformats.org/officeDocument/2006/relationships/hyperlink" Target="https://maps.google.com/?q=18.034147,-96.674389000000005" TargetMode="External"/><Relationship Id="rId13069" Type="http://schemas.openxmlformats.org/officeDocument/2006/relationships/hyperlink" Target="https://maps.google.com/?q=16.563367,-97.538702900000004" TargetMode="External"/><Relationship Id="rId13483" Type="http://schemas.openxmlformats.org/officeDocument/2006/relationships/hyperlink" Target="https://maps.google.com/?q=17.6893641808866,-97.044842524150994" TargetMode="External"/><Relationship Id="rId396" Type="http://schemas.openxmlformats.org/officeDocument/2006/relationships/hyperlink" Target="https://maps.google.com/?q=16.063314,-97.380975000000007" TargetMode="External"/><Relationship Id="rId2077" Type="http://schemas.openxmlformats.org/officeDocument/2006/relationships/hyperlink" Target="https://maps.google.com/?q=15.772809520058567,-96.234518149866986" TargetMode="External"/><Relationship Id="rId2491" Type="http://schemas.openxmlformats.org/officeDocument/2006/relationships/hyperlink" Target="https://maps.google.com/?q=17.0519856,-96.624594999999999" TargetMode="External"/><Relationship Id="rId3128" Type="http://schemas.openxmlformats.org/officeDocument/2006/relationships/hyperlink" Target="https://maps.google.com/?q=16.584522,-97.441533000000007" TargetMode="External"/><Relationship Id="rId3542" Type="http://schemas.openxmlformats.org/officeDocument/2006/relationships/hyperlink" Target="https://maps.google.com/?q=15.757354296880038,-96.147560080299925" TargetMode="External"/><Relationship Id="rId6698" Type="http://schemas.openxmlformats.org/officeDocument/2006/relationships/hyperlink" Target="https://maps.google.com/?q=16.938945,-96.966828899999996" TargetMode="External"/><Relationship Id="rId7749" Type="http://schemas.openxmlformats.org/officeDocument/2006/relationships/hyperlink" Target="https://maps.google.com/?q=16.06882,-96.299661999999998" TargetMode="External"/><Relationship Id="rId12085" Type="http://schemas.openxmlformats.org/officeDocument/2006/relationships/hyperlink" Target="https://maps.google.com/?q=16.24609668,-95.325210440000006" TargetMode="External"/><Relationship Id="rId13136" Type="http://schemas.openxmlformats.org/officeDocument/2006/relationships/hyperlink" Target="https://maps.google.com/?q=17.1864701590339,-96.514351115938595" TargetMode="External"/><Relationship Id="rId463" Type="http://schemas.openxmlformats.org/officeDocument/2006/relationships/hyperlink" Target="https://maps.google.com/?q=16.053892,-97.409295" TargetMode="External"/><Relationship Id="rId1093" Type="http://schemas.openxmlformats.org/officeDocument/2006/relationships/hyperlink" Target="https://maps.google.com/?q=16.883656,-97.676331000000005" TargetMode="External"/><Relationship Id="rId2144" Type="http://schemas.openxmlformats.org/officeDocument/2006/relationships/hyperlink" Target="https://maps.google.com/?q=15.764239,-96.144340" TargetMode="External"/><Relationship Id="rId9171" Type="http://schemas.openxmlformats.org/officeDocument/2006/relationships/hyperlink" Target="https://maps.google.com/?q=17.3726683389969,-96.300271601522198" TargetMode="External"/><Relationship Id="rId13550" Type="http://schemas.openxmlformats.org/officeDocument/2006/relationships/hyperlink" Target="https://maps.google.com/?q=17.25195753596826,-97.54333798014832" TargetMode="External"/><Relationship Id="rId116" Type="http://schemas.openxmlformats.org/officeDocument/2006/relationships/hyperlink" Target="https://maps.google.com/?q=17.094916,-97.496458000000004" TargetMode="External"/><Relationship Id="rId530" Type="http://schemas.openxmlformats.org/officeDocument/2006/relationships/hyperlink" Target="https://maps.google.com/?q=16.052697,-97.402968000000001" TargetMode="External"/><Relationship Id="rId1160" Type="http://schemas.openxmlformats.org/officeDocument/2006/relationships/hyperlink" Target="https://maps.google.com/?q=17.024985,-95.874973" TargetMode="External"/><Relationship Id="rId2211" Type="http://schemas.openxmlformats.org/officeDocument/2006/relationships/hyperlink" Target="https://maps.google.com/?q=16.9870089657561,-97.233580444309396" TargetMode="External"/><Relationship Id="rId5367" Type="http://schemas.openxmlformats.org/officeDocument/2006/relationships/hyperlink" Target="https://maps.google.com/?q=16.1309035644172,-97.603248078712596" TargetMode="External"/><Relationship Id="rId6765" Type="http://schemas.openxmlformats.org/officeDocument/2006/relationships/hyperlink" Target="https://maps.google.com/?q=16.709242283897,-97.021525124706997" TargetMode="External"/><Relationship Id="rId7816" Type="http://schemas.openxmlformats.org/officeDocument/2006/relationships/hyperlink" Target="https://maps.google.com/?q=17.8464743407864,-96.742061488077297" TargetMode="External"/><Relationship Id="rId12152" Type="http://schemas.openxmlformats.org/officeDocument/2006/relationships/hyperlink" Target="https://maps.google.com/?q=16.32906,-98.446000" TargetMode="External"/><Relationship Id="rId13203" Type="http://schemas.openxmlformats.org/officeDocument/2006/relationships/hyperlink" Target="https://maps.google.com/?q=17.3365513796646,-97.369914471104494" TargetMode="External"/><Relationship Id="rId5781" Type="http://schemas.openxmlformats.org/officeDocument/2006/relationships/hyperlink" Target="https://maps.google.com/?q=17.001292,-97.236243999999999" TargetMode="External"/><Relationship Id="rId6418" Type="http://schemas.openxmlformats.org/officeDocument/2006/relationships/hyperlink" Target="https://maps.google.com/?q=17.2250397503188,-97.594063370314501" TargetMode="External"/><Relationship Id="rId6832" Type="http://schemas.openxmlformats.org/officeDocument/2006/relationships/hyperlink" Target="https://maps.google.com/?q=17.0069233921564,-96.9761205889547" TargetMode="External"/><Relationship Id="rId9988" Type="http://schemas.openxmlformats.org/officeDocument/2006/relationships/hyperlink" Target="https://maps.google.com/?q=16.0289159411581,-95.423893150960794" TargetMode="External"/><Relationship Id="rId12969" Type="http://schemas.openxmlformats.org/officeDocument/2006/relationships/hyperlink" Target="https://maps.google.com/?q=16.508352,-97.461212000000003" TargetMode="External"/><Relationship Id="rId1977" Type="http://schemas.openxmlformats.org/officeDocument/2006/relationships/hyperlink" Target="https://maps.google.com/?q=15.774462,-96.145036" TargetMode="External"/><Relationship Id="rId4383" Type="http://schemas.openxmlformats.org/officeDocument/2006/relationships/hyperlink" Target="https://maps.google.com/?q=15.99805139,-96.680227149999993" TargetMode="External"/><Relationship Id="rId5434" Type="http://schemas.openxmlformats.org/officeDocument/2006/relationships/hyperlink" Target="https://maps.google.com/?q=16.0058275309759,-97.4256520384547" TargetMode="External"/><Relationship Id="rId4036" Type="http://schemas.openxmlformats.org/officeDocument/2006/relationships/hyperlink" Target="https://maps.google.com/?q=17.020794443824677,-96.717963454893138" TargetMode="External"/><Relationship Id="rId4450" Type="http://schemas.openxmlformats.org/officeDocument/2006/relationships/hyperlink" Target="https://maps.google.com/?q=17.607928,-98.007031999999995" TargetMode="External"/><Relationship Id="rId5501" Type="http://schemas.openxmlformats.org/officeDocument/2006/relationships/hyperlink" Target="https://maps.google.com/?q=16.340111,-96.488376000000002" TargetMode="External"/><Relationship Id="rId8657" Type="http://schemas.openxmlformats.org/officeDocument/2006/relationships/hyperlink" Target="https://maps.google.com/?q=17.033326463588065,-97.80710205433394" TargetMode="External"/><Relationship Id="rId9708" Type="http://schemas.openxmlformats.org/officeDocument/2006/relationships/hyperlink" Target="https://maps.google.com/?q=16.4360174831142,-95.031481284663101" TargetMode="External"/><Relationship Id="rId10587" Type="http://schemas.openxmlformats.org/officeDocument/2006/relationships/hyperlink" Target="https://maps.google.com/?q=17.142036294547,-97.769825880480298" TargetMode="External"/><Relationship Id="rId11638" Type="http://schemas.openxmlformats.org/officeDocument/2006/relationships/hyperlink" Target="https://maps.google.com/?q=16.2167987727199,-95.125214601899003" TargetMode="External"/><Relationship Id="rId11985" Type="http://schemas.openxmlformats.org/officeDocument/2006/relationships/hyperlink" Target="https://maps.google.com/?q=16.8005767351268,-96.719137451104501" TargetMode="External"/><Relationship Id="rId14044" Type="http://schemas.openxmlformats.org/officeDocument/2006/relationships/hyperlink" Target="https://maps.google.com/?q=17.0596449,-96.7163324" TargetMode="External"/><Relationship Id="rId3052" Type="http://schemas.openxmlformats.org/officeDocument/2006/relationships/hyperlink" Target="https://maps.google.com/?q=16.9635784572766,-96.939414857003896" TargetMode="External"/><Relationship Id="rId4103" Type="http://schemas.openxmlformats.org/officeDocument/2006/relationships/hyperlink" Target="https://maps.google.com/?q=17.058568,-96.743064000000004" TargetMode="External"/><Relationship Id="rId7259" Type="http://schemas.openxmlformats.org/officeDocument/2006/relationships/hyperlink" Target="https://maps.google.com/?q=16.2977438836955,-97.909040277791803" TargetMode="External"/><Relationship Id="rId7673" Type="http://schemas.openxmlformats.org/officeDocument/2006/relationships/hyperlink" Target="https://maps.google.com/?q=17.1993233130931,-97.516500768717904" TargetMode="External"/><Relationship Id="rId8724" Type="http://schemas.openxmlformats.org/officeDocument/2006/relationships/hyperlink" Target="https://maps.google.com/?q=17.0573599386038,-96.822128950378101" TargetMode="External"/><Relationship Id="rId13060" Type="http://schemas.openxmlformats.org/officeDocument/2006/relationships/hyperlink" Target="https://maps.google.com/?q=16.5628137,-97.536947799999993" TargetMode="External"/><Relationship Id="rId14111" Type="http://schemas.openxmlformats.org/officeDocument/2006/relationships/hyperlink" Target="https://maps.google.com/?q=17.740132,-98.031383" TargetMode="External"/><Relationship Id="rId6275" Type="http://schemas.openxmlformats.org/officeDocument/2006/relationships/hyperlink" Target="https://maps.google.com/?q=16.4111682958266,-96.7265371033223" TargetMode="External"/><Relationship Id="rId7326" Type="http://schemas.openxmlformats.org/officeDocument/2006/relationships/hyperlink" Target="https://maps.google.com/?q=16.72913954,-96.467088070000003" TargetMode="External"/><Relationship Id="rId10654" Type="http://schemas.openxmlformats.org/officeDocument/2006/relationships/hyperlink" Target="https://maps.google.com/?q=17.123511379889,-97.7821522405998" TargetMode="External"/><Relationship Id="rId11705" Type="http://schemas.openxmlformats.org/officeDocument/2006/relationships/hyperlink" Target="https://maps.google.com/?q=17.18231012,-97.70989908" TargetMode="External"/><Relationship Id="rId3869" Type="http://schemas.openxmlformats.org/officeDocument/2006/relationships/hyperlink" Target="https://maps.google.com/?q=17.103905462004,-95.938761232101697" TargetMode="External"/><Relationship Id="rId5291" Type="http://schemas.openxmlformats.org/officeDocument/2006/relationships/hyperlink" Target="https://maps.google.com/?q=15.7149379470959,-96.470075149631896" TargetMode="External"/><Relationship Id="rId6342" Type="http://schemas.openxmlformats.org/officeDocument/2006/relationships/hyperlink" Target="https://maps.google.com/?q=18.061844,-96.395775" TargetMode="External"/><Relationship Id="rId7740" Type="http://schemas.openxmlformats.org/officeDocument/2006/relationships/hyperlink" Target="https://maps.google.com/?q=16.631473207559,-96.795537624348" TargetMode="External"/><Relationship Id="rId9498" Type="http://schemas.openxmlformats.org/officeDocument/2006/relationships/hyperlink" Target="https://maps.google.com/?q=17.31543593772475,-96.48463667494343" TargetMode="External"/><Relationship Id="rId10307" Type="http://schemas.openxmlformats.org/officeDocument/2006/relationships/hyperlink" Target="https://maps.google.com/?q=16.224068,-97.272009999999995" TargetMode="External"/><Relationship Id="rId10721" Type="http://schemas.openxmlformats.org/officeDocument/2006/relationships/hyperlink" Target="https://maps.google.com/?q=17.724615,-97.323898" TargetMode="External"/><Relationship Id="rId13877" Type="http://schemas.openxmlformats.org/officeDocument/2006/relationships/hyperlink" Target="https://maps.google.com/?q=16.2727028205638,-96.584813234086894" TargetMode="External"/><Relationship Id="rId2885" Type="http://schemas.openxmlformats.org/officeDocument/2006/relationships/hyperlink" Target="https://maps.google.com/?q=18.229311,-96.279127000000003" TargetMode="External"/><Relationship Id="rId3936" Type="http://schemas.openxmlformats.org/officeDocument/2006/relationships/hyperlink" Target="https://maps.google.com/?q=17.058954,-96.752435000000006" TargetMode="External"/><Relationship Id="rId12479" Type="http://schemas.openxmlformats.org/officeDocument/2006/relationships/hyperlink" Target="https://maps.google.com/?q=17.222082171941,-97.270708988670705" TargetMode="External"/><Relationship Id="rId12893" Type="http://schemas.openxmlformats.org/officeDocument/2006/relationships/hyperlink" Target="https://maps.google.com/?q=16.504876,-97.510748000000007" TargetMode="External"/><Relationship Id="rId13944" Type="http://schemas.openxmlformats.org/officeDocument/2006/relationships/hyperlink" Target="https://maps.google.com/?q=16.309609,-97.552420" TargetMode="External"/><Relationship Id="rId857" Type="http://schemas.openxmlformats.org/officeDocument/2006/relationships/hyperlink" Target="https://maps.google.com/?q=15.709442730944568,-96.527661606384854" TargetMode="External"/><Relationship Id="rId1487" Type="http://schemas.openxmlformats.org/officeDocument/2006/relationships/hyperlink" Target="https://maps.google.com/?q=17.058951,-96.751512000000005" TargetMode="External"/><Relationship Id="rId2538" Type="http://schemas.openxmlformats.org/officeDocument/2006/relationships/hyperlink" Target="https://maps.google.com/?q=17.942086,-97.969908000000004" TargetMode="External"/><Relationship Id="rId2952" Type="http://schemas.openxmlformats.org/officeDocument/2006/relationships/hyperlink" Target="https://maps.google.com/?q=17.08525889,-96.680608079999999" TargetMode="External"/><Relationship Id="rId9565" Type="http://schemas.openxmlformats.org/officeDocument/2006/relationships/hyperlink" Target="https://maps.google.com/?q=17.359611,-96.293980000000005" TargetMode="External"/><Relationship Id="rId11495" Type="http://schemas.openxmlformats.org/officeDocument/2006/relationships/hyperlink" Target="https://maps.google.com/?q=16.3098335922466,-96.634498618406496" TargetMode="External"/><Relationship Id="rId12546" Type="http://schemas.openxmlformats.org/officeDocument/2006/relationships/hyperlink" Target="https://maps.google.com/?q=16.9709832461148,-97.9113680412284" TargetMode="External"/><Relationship Id="rId924" Type="http://schemas.openxmlformats.org/officeDocument/2006/relationships/hyperlink" Target="https://maps.google.com/?q=17.221108,-97.121893999999998" TargetMode="External"/><Relationship Id="rId1554" Type="http://schemas.openxmlformats.org/officeDocument/2006/relationships/hyperlink" Target="https://maps.google.com/?q=16.493371291148573,-97.8388832418583" TargetMode="External"/><Relationship Id="rId2605" Type="http://schemas.openxmlformats.org/officeDocument/2006/relationships/hyperlink" Target="https://maps.google.com/?q=18.256394,-96.284037999999995" TargetMode="External"/><Relationship Id="rId5011" Type="http://schemas.openxmlformats.org/officeDocument/2006/relationships/hyperlink" Target="https://maps.google.com/?q=18.13222,-97.070751000000001" TargetMode="External"/><Relationship Id="rId8167" Type="http://schemas.openxmlformats.org/officeDocument/2006/relationships/hyperlink" Target="https://maps.google.com/?q=17.9245124281187,-96.186502503046" TargetMode="External"/><Relationship Id="rId8581" Type="http://schemas.openxmlformats.org/officeDocument/2006/relationships/hyperlink" Target="https://maps.google.com/?q=16.9328818900637,-96.601741271163903" TargetMode="External"/><Relationship Id="rId9218" Type="http://schemas.openxmlformats.org/officeDocument/2006/relationships/hyperlink" Target="https://maps.google.com/?q=17.3752325021551,-96.301277284087604" TargetMode="External"/><Relationship Id="rId9632" Type="http://schemas.openxmlformats.org/officeDocument/2006/relationships/hyperlink" Target="https://maps.google.com/?q=17.1532843541446,-96.753342139999802" TargetMode="External"/><Relationship Id="rId10097" Type="http://schemas.openxmlformats.org/officeDocument/2006/relationships/hyperlink" Target="https://maps.google.com/?q=17.0193956641386,-96.120189563238796" TargetMode="External"/><Relationship Id="rId11148" Type="http://schemas.openxmlformats.org/officeDocument/2006/relationships/hyperlink" Target="https://maps.google.com/?q=16.840093,-96.009259999999998" TargetMode="External"/><Relationship Id="rId11562" Type="http://schemas.openxmlformats.org/officeDocument/2006/relationships/hyperlink" Target="https://maps.google.com/?q=16.8465081519912,-96.747759775463095" TargetMode="External"/><Relationship Id="rId12960" Type="http://schemas.openxmlformats.org/officeDocument/2006/relationships/hyperlink" Target="https://maps.google.com/?q=16.509315,-97.477040000000002" TargetMode="External"/><Relationship Id="rId1207" Type="http://schemas.openxmlformats.org/officeDocument/2006/relationships/hyperlink" Target="https://maps.google.com/?q=16.295142,-97.909982" TargetMode="External"/><Relationship Id="rId1621" Type="http://schemas.openxmlformats.org/officeDocument/2006/relationships/hyperlink" Target="https://maps.google.com/?q=17.760125,-96.081281000000004" TargetMode="External"/><Relationship Id="rId4777" Type="http://schemas.openxmlformats.org/officeDocument/2006/relationships/hyperlink" Target="https://maps.google.com/?q=17.9575557491484,-96.658494601044595" TargetMode="External"/><Relationship Id="rId5828" Type="http://schemas.openxmlformats.org/officeDocument/2006/relationships/hyperlink" Target="https://maps.google.com/?q=17.1195159605925,-96.803793623925202" TargetMode="External"/><Relationship Id="rId7183" Type="http://schemas.openxmlformats.org/officeDocument/2006/relationships/hyperlink" Target="https://maps.google.com/?q=16.2216328631235,-97.920394583255003" TargetMode="External"/><Relationship Id="rId8234" Type="http://schemas.openxmlformats.org/officeDocument/2006/relationships/hyperlink" Target="https://maps.google.com/?q=16.423648,-97.641474000000002" TargetMode="External"/><Relationship Id="rId10164" Type="http://schemas.openxmlformats.org/officeDocument/2006/relationships/hyperlink" Target="https://maps.google.com/?q=17.1081805074,-97.497365073373004" TargetMode="External"/><Relationship Id="rId11215" Type="http://schemas.openxmlformats.org/officeDocument/2006/relationships/hyperlink" Target="https://maps.google.com/?q=17.000171,-97.797083999999998" TargetMode="External"/><Relationship Id="rId12613" Type="http://schemas.openxmlformats.org/officeDocument/2006/relationships/hyperlink" Target="https://maps.google.com/?q=17.1170804482484,-96.8499948062214" TargetMode="External"/><Relationship Id="rId3379" Type="http://schemas.openxmlformats.org/officeDocument/2006/relationships/hyperlink" Target="https://maps.google.com/?q=17.071920743501,%20-97.79038435333833" TargetMode="External"/><Relationship Id="rId3793" Type="http://schemas.openxmlformats.org/officeDocument/2006/relationships/hyperlink" Target="https://maps.google.com/?q=15.76984814976972,-96.234595606751242" TargetMode="External"/><Relationship Id="rId7250" Type="http://schemas.openxmlformats.org/officeDocument/2006/relationships/hyperlink" Target="https://maps.google.com/?q=16.0973552430705,-97.924385700545102" TargetMode="External"/><Relationship Id="rId8301" Type="http://schemas.openxmlformats.org/officeDocument/2006/relationships/hyperlink" Target="https://maps.google.com/?q=16.537798,-98.034972999999994" TargetMode="External"/><Relationship Id="rId2395" Type="http://schemas.openxmlformats.org/officeDocument/2006/relationships/hyperlink" Target="https://maps.google.com/?q=16.5996001820463,-97.220665775463203" TargetMode="External"/><Relationship Id="rId3446" Type="http://schemas.openxmlformats.org/officeDocument/2006/relationships/hyperlink" Target="https://maps.google.com/?q=16.4568128747946,-96.9296557926601" TargetMode="External"/><Relationship Id="rId4844" Type="http://schemas.openxmlformats.org/officeDocument/2006/relationships/hyperlink" Target="https://maps.google.com/?q=17.33798012922112,-96.167615488858004" TargetMode="External"/><Relationship Id="rId10231" Type="http://schemas.openxmlformats.org/officeDocument/2006/relationships/hyperlink" Target="https://maps.google.com/?q=17.19296483352391,-97.39990047496863" TargetMode="External"/><Relationship Id="rId13387" Type="http://schemas.openxmlformats.org/officeDocument/2006/relationships/hyperlink" Target="https://maps.google.com/?q=16.3242969561796,-96.668407177909899" TargetMode="External"/><Relationship Id="rId367" Type="http://schemas.openxmlformats.org/officeDocument/2006/relationships/hyperlink" Target="https://maps.google.com/?q=16.053419,-97.410045999999994" TargetMode="External"/><Relationship Id="rId2048" Type="http://schemas.openxmlformats.org/officeDocument/2006/relationships/hyperlink" Target="https://maps.google.com/?q=15.76147752428582,-96.143128757378634" TargetMode="External"/><Relationship Id="rId3860" Type="http://schemas.openxmlformats.org/officeDocument/2006/relationships/hyperlink" Target="https://maps.google.com/?q=17.0931776364519,-95.925847341329103" TargetMode="External"/><Relationship Id="rId4911" Type="http://schemas.openxmlformats.org/officeDocument/2006/relationships/hyperlink" Target="https://maps.google.com/?q=18.0317373667304,-96.670625877313796" TargetMode="External"/><Relationship Id="rId9075" Type="http://schemas.openxmlformats.org/officeDocument/2006/relationships/hyperlink" Target="https://maps.google.com/?q=16.060628,-95.495787000000007" TargetMode="External"/><Relationship Id="rId13454" Type="http://schemas.openxmlformats.org/officeDocument/2006/relationships/hyperlink" Target="https://maps.google.com/?q=17.686128570054,-97.041350600034903" TargetMode="External"/><Relationship Id="rId781" Type="http://schemas.openxmlformats.org/officeDocument/2006/relationships/hyperlink" Target="https://maps.google.com/?q=15.689484991156524,-96.51546031493524" TargetMode="External"/><Relationship Id="rId2462" Type="http://schemas.openxmlformats.org/officeDocument/2006/relationships/hyperlink" Target="https://maps.google.com/?q=17.05166542,-96.624412649999996" TargetMode="External"/><Relationship Id="rId3513" Type="http://schemas.openxmlformats.org/officeDocument/2006/relationships/hyperlink" Target="https://maps.google.com/?q=15.775051875860163,-96.150073217165726" TargetMode="External"/><Relationship Id="rId6669" Type="http://schemas.openxmlformats.org/officeDocument/2006/relationships/hyperlink" Target="https://maps.google.com/?q=16.939252,-97.010789000000003" TargetMode="External"/><Relationship Id="rId8091" Type="http://schemas.openxmlformats.org/officeDocument/2006/relationships/hyperlink" Target="https://maps.google.com/?q=17.3545920522733,-96.303107824418007" TargetMode="External"/><Relationship Id="rId12056" Type="http://schemas.openxmlformats.org/officeDocument/2006/relationships/hyperlink" Target="https://maps.google.com/?q=16.110074,-97.203456000000003" TargetMode="External"/><Relationship Id="rId12470" Type="http://schemas.openxmlformats.org/officeDocument/2006/relationships/hyperlink" Target="https://maps.google.com/?q=17.2217213866608,-97.272245440187007" TargetMode="External"/><Relationship Id="rId13107" Type="http://schemas.openxmlformats.org/officeDocument/2006/relationships/hyperlink" Target="https://maps.google.com/?q=16.5658072,-97.537547900000007" TargetMode="External"/><Relationship Id="rId13521" Type="http://schemas.openxmlformats.org/officeDocument/2006/relationships/hyperlink" Target="https://maps.google.com/?q=16.952077680873487,-96.61436035499233" TargetMode="External"/><Relationship Id="rId434" Type="http://schemas.openxmlformats.org/officeDocument/2006/relationships/hyperlink" Target="https://maps.google.com/?q=16.053417,-97.409794000000005" TargetMode="External"/><Relationship Id="rId1064" Type="http://schemas.openxmlformats.org/officeDocument/2006/relationships/hyperlink" Target="https://maps.google.com/?q=15.776157,-96.459543999999994" TargetMode="External"/><Relationship Id="rId2115" Type="http://schemas.openxmlformats.org/officeDocument/2006/relationships/hyperlink" Target="https://maps.google.com/?q=15.770486,-96.150370" TargetMode="External"/><Relationship Id="rId5685" Type="http://schemas.openxmlformats.org/officeDocument/2006/relationships/hyperlink" Target="https://maps.google.com/?q=16.434129,-97.897231000000005" TargetMode="External"/><Relationship Id="rId6736" Type="http://schemas.openxmlformats.org/officeDocument/2006/relationships/hyperlink" Target="https://maps.google.com/?q=15.8488923728,-96.641049970500006" TargetMode="External"/><Relationship Id="rId9142" Type="http://schemas.openxmlformats.org/officeDocument/2006/relationships/hyperlink" Target="https://maps.google.com/?q=16.972627917953,-97.085119232425399" TargetMode="External"/><Relationship Id="rId11072" Type="http://schemas.openxmlformats.org/officeDocument/2006/relationships/hyperlink" Target="https://maps.google.com/?q=17.28732321,-97.366342849999995" TargetMode="External"/><Relationship Id="rId12123" Type="http://schemas.openxmlformats.org/officeDocument/2006/relationships/hyperlink" Target="https://maps.google.com/?q=16.3203138898215,-97.664570107037903" TargetMode="External"/><Relationship Id="rId501" Type="http://schemas.openxmlformats.org/officeDocument/2006/relationships/hyperlink" Target="https://maps.google.com/?q=16.054298,-97.409160999999997" TargetMode="External"/><Relationship Id="rId1131" Type="http://schemas.openxmlformats.org/officeDocument/2006/relationships/hyperlink" Target="https://maps.google.com/?q=17.092172,-97.493604000000005" TargetMode="External"/><Relationship Id="rId4287" Type="http://schemas.openxmlformats.org/officeDocument/2006/relationships/hyperlink" Target="https://maps.google.com/?q=16.01083562,-96.659256959999993" TargetMode="External"/><Relationship Id="rId5338" Type="http://schemas.openxmlformats.org/officeDocument/2006/relationships/hyperlink" Target="https://maps.google.com/?q=15.8131336964142,-96.359341966906896" TargetMode="External"/><Relationship Id="rId5752" Type="http://schemas.openxmlformats.org/officeDocument/2006/relationships/hyperlink" Target="https://maps.google.com/?q=18.049611,-96.762085999999996" TargetMode="External"/><Relationship Id="rId6803" Type="http://schemas.openxmlformats.org/officeDocument/2006/relationships/hyperlink" Target="https://maps.google.com/?q=16.3624982968651,-97.048033038028706" TargetMode="External"/><Relationship Id="rId9959" Type="http://schemas.openxmlformats.org/officeDocument/2006/relationships/hyperlink" Target="https://maps.google.com/?q=17.946801,-98.055365" TargetMode="External"/><Relationship Id="rId4354" Type="http://schemas.openxmlformats.org/officeDocument/2006/relationships/hyperlink" Target="https://maps.google.com/?q=15.95917723,-96.63810857" TargetMode="External"/><Relationship Id="rId5405" Type="http://schemas.openxmlformats.org/officeDocument/2006/relationships/hyperlink" Target="https://maps.google.com/?q=16.0946882079055,-97.698535093254094" TargetMode="External"/><Relationship Id="rId11889" Type="http://schemas.openxmlformats.org/officeDocument/2006/relationships/hyperlink" Target="https://maps.google.com/?q=16.614877462487975,-96.85537550926209" TargetMode="External"/><Relationship Id="rId1948" Type="http://schemas.openxmlformats.org/officeDocument/2006/relationships/hyperlink" Target="https://maps.google.com/?q=15.778012012579548,-96.137543867568411" TargetMode="External"/><Relationship Id="rId3370" Type="http://schemas.openxmlformats.org/officeDocument/2006/relationships/hyperlink" Target="https://maps.google.com/?q=17.0691192293146,-97.78849655092631" TargetMode="External"/><Relationship Id="rId4007" Type="http://schemas.openxmlformats.org/officeDocument/2006/relationships/hyperlink" Target="https://maps.google.com/?q=17.018052318891478,-96.718519935406704" TargetMode="External"/><Relationship Id="rId4421" Type="http://schemas.openxmlformats.org/officeDocument/2006/relationships/hyperlink" Target="https://maps.google.com/?q=16.0073908,-96.681802399999995" TargetMode="External"/><Relationship Id="rId7577" Type="http://schemas.openxmlformats.org/officeDocument/2006/relationships/hyperlink" Target="https://maps.google.com/?q=17.0923148489409,-95.855053696627607" TargetMode="External"/><Relationship Id="rId8975" Type="http://schemas.openxmlformats.org/officeDocument/2006/relationships/hyperlink" Target="https://maps.google.com/?q=17.381697211,-96.160647136999998" TargetMode="External"/><Relationship Id="rId11956" Type="http://schemas.openxmlformats.org/officeDocument/2006/relationships/hyperlink" Target="https://maps.google.com/?q=16.7972535191603,-96.722344487102603" TargetMode="External"/><Relationship Id="rId291" Type="http://schemas.openxmlformats.org/officeDocument/2006/relationships/hyperlink" Target="https://maps.google.com/?q=16.88636,-97.677700000000002" TargetMode="External"/><Relationship Id="rId3023" Type="http://schemas.openxmlformats.org/officeDocument/2006/relationships/hyperlink" Target="https://maps.google.com/?q=16.939221,-97.005673999999999" TargetMode="External"/><Relationship Id="rId6179" Type="http://schemas.openxmlformats.org/officeDocument/2006/relationships/hyperlink" Target="https://maps.google.com/?q=18.13086480912559,-97.07527897536153" TargetMode="External"/><Relationship Id="rId7991" Type="http://schemas.openxmlformats.org/officeDocument/2006/relationships/hyperlink" Target="https://maps.google.com/?q=18.1634343529319,-96.874196399999207" TargetMode="External"/><Relationship Id="rId8628" Type="http://schemas.openxmlformats.org/officeDocument/2006/relationships/hyperlink" Target="https://maps.google.com/?q=17.8995008518868,-96.713949099447703" TargetMode="External"/><Relationship Id="rId10558" Type="http://schemas.openxmlformats.org/officeDocument/2006/relationships/hyperlink" Target="https://maps.google.com/?q=17.0943408833798,-97.788319956510406" TargetMode="External"/><Relationship Id="rId10972" Type="http://schemas.openxmlformats.org/officeDocument/2006/relationships/hyperlink" Target="https://maps.google.com/?q=16.2163288945184,-95.222385944417994" TargetMode="External"/><Relationship Id="rId11609" Type="http://schemas.openxmlformats.org/officeDocument/2006/relationships/hyperlink" Target="https://maps.google.com/?q=16.8366460186837,-96.7287554740563" TargetMode="External"/><Relationship Id="rId14015" Type="http://schemas.openxmlformats.org/officeDocument/2006/relationships/hyperlink" Target="https://maps.google.com/?q=15.747343,-96.467338" TargetMode="External"/><Relationship Id="rId5195" Type="http://schemas.openxmlformats.org/officeDocument/2006/relationships/hyperlink" Target="https://maps.google.com/?q=17.316712,-95.970001999999994" TargetMode="External"/><Relationship Id="rId6593" Type="http://schemas.openxmlformats.org/officeDocument/2006/relationships/hyperlink" Target="https://maps.google.com/?q=17.269945,-97.688524" TargetMode="External"/><Relationship Id="rId7644" Type="http://schemas.openxmlformats.org/officeDocument/2006/relationships/hyperlink" Target="https://maps.google.com/?q=17.2315982682483,-95.050841308479406" TargetMode="External"/><Relationship Id="rId10625" Type="http://schemas.openxmlformats.org/officeDocument/2006/relationships/hyperlink" Target="https://maps.google.com/?q=17.1157392622967,-97.780589139560007" TargetMode="External"/><Relationship Id="rId13031" Type="http://schemas.openxmlformats.org/officeDocument/2006/relationships/hyperlink" Target="https://maps.google.com/?q=16.561135,-97.540538999999995" TargetMode="External"/><Relationship Id="rId2789" Type="http://schemas.openxmlformats.org/officeDocument/2006/relationships/hyperlink" Target="https://maps.google.com/?q=16.9942380440809,-97.702896903398994" TargetMode="External"/><Relationship Id="rId6246" Type="http://schemas.openxmlformats.org/officeDocument/2006/relationships/hyperlink" Target="https://maps.google.com/?q=16.2034647732352,-96.413485837435005" TargetMode="External"/><Relationship Id="rId6660" Type="http://schemas.openxmlformats.org/officeDocument/2006/relationships/hyperlink" Target="https://maps.google.com/?q=18.2183033538968,-96.336075548444796" TargetMode="External"/><Relationship Id="rId7711" Type="http://schemas.openxmlformats.org/officeDocument/2006/relationships/hyperlink" Target="https://maps.google.com/?q=16.6285773837601,-96.795151494542196" TargetMode="External"/><Relationship Id="rId12797" Type="http://schemas.openxmlformats.org/officeDocument/2006/relationships/hyperlink" Target="https://maps.google.com/?q=16.111798,-97.289551000000003" TargetMode="External"/><Relationship Id="rId13848" Type="http://schemas.openxmlformats.org/officeDocument/2006/relationships/hyperlink" Target="https://maps.google.com/?q=17.6577819,-97.33891609" TargetMode="External"/><Relationship Id="rId2856" Type="http://schemas.openxmlformats.org/officeDocument/2006/relationships/hyperlink" Target="https://maps.google.com/?q=16.9652714428782,-97.730675674697494" TargetMode="External"/><Relationship Id="rId3907" Type="http://schemas.openxmlformats.org/officeDocument/2006/relationships/hyperlink" Target="https://maps.google.com/?q=15.867338,-97.076072" TargetMode="External"/><Relationship Id="rId5262" Type="http://schemas.openxmlformats.org/officeDocument/2006/relationships/hyperlink" Target="https://maps.google.com/?q=15.7212119093544,-96.383991754788894" TargetMode="External"/><Relationship Id="rId6313" Type="http://schemas.openxmlformats.org/officeDocument/2006/relationships/hyperlink" Target="https://maps.google.com/?q=18.0581372569672,-96.391668484619402" TargetMode="External"/><Relationship Id="rId9469" Type="http://schemas.openxmlformats.org/officeDocument/2006/relationships/hyperlink" Target="https://maps.google.com/?q=15.9897487105611,-95.6754529900471" TargetMode="External"/><Relationship Id="rId9883" Type="http://schemas.openxmlformats.org/officeDocument/2006/relationships/hyperlink" Target="https://maps.google.com/?q=16.637006406809,-96.851425875438593" TargetMode="External"/><Relationship Id="rId11399" Type="http://schemas.openxmlformats.org/officeDocument/2006/relationships/hyperlink" Target="https://maps.google.com/?q=17.193708920253,-97.757800839962798" TargetMode="External"/><Relationship Id="rId97" Type="http://schemas.openxmlformats.org/officeDocument/2006/relationships/hyperlink" Target="https://maps.google.com/?q=17.095454,-97.498896000000002" TargetMode="External"/><Relationship Id="rId828" Type="http://schemas.openxmlformats.org/officeDocument/2006/relationships/hyperlink" Target="https://maps.google.com/?q=15.70200073251305,-96.523434090796371" TargetMode="External"/><Relationship Id="rId1458" Type="http://schemas.openxmlformats.org/officeDocument/2006/relationships/hyperlink" Target="https://maps.google.com/?q=18.15988,-96.716806" TargetMode="External"/><Relationship Id="rId1872" Type="http://schemas.openxmlformats.org/officeDocument/2006/relationships/hyperlink" Target="https://maps.google.com/?q=15.775427627121921,-96.136740794690326" TargetMode="External"/><Relationship Id="rId2509" Type="http://schemas.openxmlformats.org/officeDocument/2006/relationships/hyperlink" Target="https://maps.google.com/?q=17.05214214,-96.624363329999994" TargetMode="External"/><Relationship Id="rId8485" Type="http://schemas.openxmlformats.org/officeDocument/2006/relationships/hyperlink" Target="https://maps.google.com/?q=17.1544117698072,-97.532477304477396" TargetMode="External"/><Relationship Id="rId9536" Type="http://schemas.openxmlformats.org/officeDocument/2006/relationships/hyperlink" Target="https://maps.google.com/?q=17.271015,-96.796724" TargetMode="External"/><Relationship Id="rId12864" Type="http://schemas.openxmlformats.org/officeDocument/2006/relationships/hyperlink" Target="https://maps.google.com/?q=17.51847372,-97.681868069999993" TargetMode="External"/><Relationship Id="rId13915" Type="http://schemas.openxmlformats.org/officeDocument/2006/relationships/hyperlink" Target="https://maps.google.com/?q=16.8562059549439,-96.812958793999499" TargetMode="External"/><Relationship Id="rId1525" Type="http://schemas.openxmlformats.org/officeDocument/2006/relationships/hyperlink" Target="https://maps.google.com/?q=17.061861,-96.753832000000003" TargetMode="External"/><Relationship Id="rId2923" Type="http://schemas.openxmlformats.org/officeDocument/2006/relationships/hyperlink" Target="https://maps.google.com/?q=17.0741166,-96.685483899999994" TargetMode="External"/><Relationship Id="rId7087" Type="http://schemas.openxmlformats.org/officeDocument/2006/relationships/hyperlink" Target="https://maps.google.com/?q=16.32699,-98.053674000000001" TargetMode="External"/><Relationship Id="rId8138" Type="http://schemas.openxmlformats.org/officeDocument/2006/relationships/hyperlink" Target="https://maps.google.com/?q=17.35580169257,-96.305397083432396" TargetMode="External"/><Relationship Id="rId8552" Type="http://schemas.openxmlformats.org/officeDocument/2006/relationships/hyperlink" Target="https://maps.google.com/?q=16.9231294929784,-96.613264565641501" TargetMode="External"/><Relationship Id="rId9950" Type="http://schemas.openxmlformats.org/officeDocument/2006/relationships/hyperlink" Target="https://maps.google.com/?q=16.7120891814706,-96.7129720514166" TargetMode="External"/><Relationship Id="rId10068" Type="http://schemas.openxmlformats.org/officeDocument/2006/relationships/hyperlink" Target="https://maps.google.com/?q=16.9701906086522,-96.1678168695788" TargetMode="External"/><Relationship Id="rId11466" Type="http://schemas.openxmlformats.org/officeDocument/2006/relationships/hyperlink" Target="https://maps.google.com/?q=16.007585,-97.449239000000006" TargetMode="External"/><Relationship Id="rId11880" Type="http://schemas.openxmlformats.org/officeDocument/2006/relationships/hyperlink" Target="https://maps.google.com/?q=17.281426136337387,-97.37487890922738" TargetMode="External"/><Relationship Id="rId12517" Type="http://schemas.openxmlformats.org/officeDocument/2006/relationships/hyperlink" Target="https://maps.google.com/?q=17.2258388964334,-97.2739894715573" TargetMode="External"/><Relationship Id="rId12931" Type="http://schemas.openxmlformats.org/officeDocument/2006/relationships/hyperlink" Target="https://maps.google.com/?q=16.558973,-97.410850999999994" TargetMode="External"/><Relationship Id="rId7154" Type="http://schemas.openxmlformats.org/officeDocument/2006/relationships/hyperlink" Target="https://maps.google.com/?q=16.2052318728246,-97.922022893229396" TargetMode="External"/><Relationship Id="rId8205" Type="http://schemas.openxmlformats.org/officeDocument/2006/relationships/hyperlink" Target="https://maps.google.com/?q=16.3717,-97.676085999999998" TargetMode="External"/><Relationship Id="rId9603" Type="http://schemas.openxmlformats.org/officeDocument/2006/relationships/hyperlink" Target="https://maps.google.com/?q=17.9963814956391,-96.742462413551294" TargetMode="External"/><Relationship Id="rId10482" Type="http://schemas.openxmlformats.org/officeDocument/2006/relationships/hyperlink" Target="https://maps.google.com/?q=17.8439652353014,-96.747918317152099" TargetMode="External"/><Relationship Id="rId11119" Type="http://schemas.openxmlformats.org/officeDocument/2006/relationships/hyperlink" Target="https://maps.google.com/?q=16.83332,-96.006113999999997" TargetMode="External"/><Relationship Id="rId11533" Type="http://schemas.openxmlformats.org/officeDocument/2006/relationships/hyperlink" Target="https://maps.google.com/?q=16.6157892909661,-96.853982574059003" TargetMode="External"/><Relationship Id="rId2299" Type="http://schemas.openxmlformats.org/officeDocument/2006/relationships/hyperlink" Target="https://maps.google.com/?q=18.1028659227639,-96.876306503577098" TargetMode="External"/><Relationship Id="rId3697" Type="http://schemas.openxmlformats.org/officeDocument/2006/relationships/hyperlink" Target="https://maps.google.com/?q=15.757704058278325,-96.139115699091022" TargetMode="External"/><Relationship Id="rId4748" Type="http://schemas.openxmlformats.org/officeDocument/2006/relationships/hyperlink" Target="https://maps.google.com/?q=17.9529300597181,-96.6570416659671" TargetMode="External"/><Relationship Id="rId10135" Type="http://schemas.openxmlformats.org/officeDocument/2006/relationships/hyperlink" Target="https://maps.google.com/?q=17.0951851552781,-97.498970404418003" TargetMode="External"/><Relationship Id="rId11600" Type="http://schemas.openxmlformats.org/officeDocument/2006/relationships/hyperlink" Target="https://maps.google.com/?q=16.8358110785802,-96.729944201223006" TargetMode="External"/><Relationship Id="rId3764" Type="http://schemas.openxmlformats.org/officeDocument/2006/relationships/hyperlink" Target="https://maps.google.com/?q=15.762867,-96.142363000000003" TargetMode="External"/><Relationship Id="rId4815" Type="http://schemas.openxmlformats.org/officeDocument/2006/relationships/hyperlink" Target="https://maps.google.com/?q=16.9065601452754,-96.497756005854299" TargetMode="External"/><Relationship Id="rId6170" Type="http://schemas.openxmlformats.org/officeDocument/2006/relationships/hyperlink" Target="https://maps.google.com/?q=16.142698157343,-96.415966381058794" TargetMode="External"/><Relationship Id="rId7221" Type="http://schemas.openxmlformats.org/officeDocument/2006/relationships/hyperlink" Target="https://maps.google.com/?q=16.2287192191659,-97.942638720236104" TargetMode="External"/><Relationship Id="rId10202" Type="http://schemas.openxmlformats.org/officeDocument/2006/relationships/hyperlink" Target="https://maps.google.com/?q=17.18024147,-97.38153975" TargetMode="External"/><Relationship Id="rId13358" Type="http://schemas.openxmlformats.org/officeDocument/2006/relationships/hyperlink" Target="https://maps.google.com/?q=16.3205416271896,-96.673135119625996" TargetMode="External"/><Relationship Id="rId13772" Type="http://schemas.openxmlformats.org/officeDocument/2006/relationships/hyperlink" Target="https://maps.google.com/?q=16.564287,-96.731918" TargetMode="External"/><Relationship Id="rId685" Type="http://schemas.openxmlformats.org/officeDocument/2006/relationships/hyperlink" Target="https://maps.google.com/?q=16.060273,-97.386354999999995" TargetMode="External"/><Relationship Id="rId2366" Type="http://schemas.openxmlformats.org/officeDocument/2006/relationships/hyperlink" Target="https://maps.google.com/?q=17.0990600117332,-97.851243961873607" TargetMode="External"/><Relationship Id="rId2780" Type="http://schemas.openxmlformats.org/officeDocument/2006/relationships/hyperlink" Target="https://maps.google.com/?q=16.9915516526023,-97.701483233135406" TargetMode="External"/><Relationship Id="rId3417" Type="http://schemas.openxmlformats.org/officeDocument/2006/relationships/hyperlink" Target="https://maps.google.com/?q=17.634454207013,-97.081019721061196" TargetMode="External"/><Relationship Id="rId3831" Type="http://schemas.openxmlformats.org/officeDocument/2006/relationships/hyperlink" Target="https://maps.google.com/?q=17.307082717503665,-97.48666180489404" TargetMode="External"/><Relationship Id="rId6987" Type="http://schemas.openxmlformats.org/officeDocument/2006/relationships/hyperlink" Target="https://maps.google.com/?q=17.0353909684484,-97.293813542391305" TargetMode="External"/><Relationship Id="rId9393" Type="http://schemas.openxmlformats.org/officeDocument/2006/relationships/hyperlink" Target="https://maps.google.com/?q=16.8210600699219,-95.1424638373406" TargetMode="External"/><Relationship Id="rId12374" Type="http://schemas.openxmlformats.org/officeDocument/2006/relationships/hyperlink" Target="https://maps.google.com/?q=17.317565,-96.492877" TargetMode="External"/><Relationship Id="rId13425" Type="http://schemas.openxmlformats.org/officeDocument/2006/relationships/hyperlink" Target="https://maps.google.com/?q=17.6802425569824,-97.032921203704902" TargetMode="External"/><Relationship Id="rId338" Type="http://schemas.openxmlformats.org/officeDocument/2006/relationships/hyperlink" Target="https://maps.google.com/?q=16.052147,-97.401859999999999" TargetMode="External"/><Relationship Id="rId752" Type="http://schemas.openxmlformats.org/officeDocument/2006/relationships/hyperlink" Target="https://maps.google.com/?q=15.683013070530075,-96.510417379450118" TargetMode="External"/><Relationship Id="rId1382" Type="http://schemas.openxmlformats.org/officeDocument/2006/relationships/hyperlink" Target="https://maps.google.com/?q=16.95558,-96.479206000000005" TargetMode="External"/><Relationship Id="rId2019" Type="http://schemas.openxmlformats.org/officeDocument/2006/relationships/hyperlink" Target="https://maps.google.com/?q=15.757999648113918,-96.140305207392842" TargetMode="External"/><Relationship Id="rId2433" Type="http://schemas.openxmlformats.org/officeDocument/2006/relationships/hyperlink" Target="https://maps.google.com/?q=17.05120684,-96.624662509999993" TargetMode="External"/><Relationship Id="rId5589" Type="http://schemas.openxmlformats.org/officeDocument/2006/relationships/hyperlink" Target="https://maps.google.com/?q=17.4588215534209,-96.229557808896104" TargetMode="External"/><Relationship Id="rId9046" Type="http://schemas.openxmlformats.org/officeDocument/2006/relationships/hyperlink" Target="https://maps.google.com/?q=16.05447,-95.474162000000007" TargetMode="External"/><Relationship Id="rId9460" Type="http://schemas.openxmlformats.org/officeDocument/2006/relationships/hyperlink" Target="https://maps.google.com/?q=15.83240022,-96.667123799999999" TargetMode="External"/><Relationship Id="rId11390" Type="http://schemas.openxmlformats.org/officeDocument/2006/relationships/hyperlink" Target="https://maps.google.com/?q=17.192288,-97.892238000000006" TargetMode="External"/><Relationship Id="rId12027" Type="http://schemas.openxmlformats.org/officeDocument/2006/relationships/hyperlink" Target="https://maps.google.com/?q=16.8053150819187,-96.720481289628196" TargetMode="External"/><Relationship Id="rId405" Type="http://schemas.openxmlformats.org/officeDocument/2006/relationships/hyperlink" Target="https://maps.google.com/?q=16.050431,-97.415443999999994" TargetMode="External"/><Relationship Id="rId1035" Type="http://schemas.openxmlformats.org/officeDocument/2006/relationships/hyperlink" Target="https://maps.google.com/?q=15.706254978720555,-96.524258669808304" TargetMode="External"/><Relationship Id="rId2500" Type="http://schemas.openxmlformats.org/officeDocument/2006/relationships/hyperlink" Target="https://maps.google.com/?q=17.05209417,-96.623807360000001" TargetMode="External"/><Relationship Id="rId5656" Type="http://schemas.openxmlformats.org/officeDocument/2006/relationships/hyperlink" Target="https://maps.google.com/?q=16.436002,-97.857856999999996" TargetMode="External"/><Relationship Id="rId8062" Type="http://schemas.openxmlformats.org/officeDocument/2006/relationships/hyperlink" Target="https://maps.google.com/?q=16.4969879013085,-97.380923774061401" TargetMode="External"/><Relationship Id="rId9113" Type="http://schemas.openxmlformats.org/officeDocument/2006/relationships/hyperlink" Target="https://maps.google.com/?q=17.039737,-96.728532999999999" TargetMode="External"/><Relationship Id="rId11043" Type="http://schemas.openxmlformats.org/officeDocument/2006/relationships/hyperlink" Target="https://maps.google.com/?q=16.446277,-97.943455" TargetMode="External"/><Relationship Id="rId12441" Type="http://schemas.openxmlformats.org/officeDocument/2006/relationships/hyperlink" Target="https://maps.google.com/?q=17.2206751058531,-97.2710149914016" TargetMode="External"/><Relationship Id="rId1102" Type="http://schemas.openxmlformats.org/officeDocument/2006/relationships/hyperlink" Target="https://maps.google.com/?q=17.222173,-97.116714000000002" TargetMode="External"/><Relationship Id="rId4258" Type="http://schemas.openxmlformats.org/officeDocument/2006/relationships/hyperlink" Target="https://maps.google.com/?q=16.01431315,-96.637119029999994" TargetMode="External"/><Relationship Id="rId5309" Type="http://schemas.openxmlformats.org/officeDocument/2006/relationships/hyperlink" Target="https://maps.google.com/?q=15.7225263992031,-96.468682663040696" TargetMode="External"/><Relationship Id="rId6707" Type="http://schemas.openxmlformats.org/officeDocument/2006/relationships/hyperlink" Target="https://maps.google.com/?q=17.0272346993437,-96.984866530874797" TargetMode="External"/><Relationship Id="rId3274" Type="http://schemas.openxmlformats.org/officeDocument/2006/relationships/hyperlink" Target="https://maps.google.com/?q=17.0609517220575,-96.820420023635506" TargetMode="External"/><Relationship Id="rId4672" Type="http://schemas.openxmlformats.org/officeDocument/2006/relationships/hyperlink" Target="https://maps.google.com/?q=17.315442740351056,-96.48471824243596" TargetMode="External"/><Relationship Id="rId5723" Type="http://schemas.openxmlformats.org/officeDocument/2006/relationships/hyperlink" Target="https://maps.google.com/?q=16.3838451809,-96.364024925099997" TargetMode="External"/><Relationship Id="rId8879" Type="http://schemas.openxmlformats.org/officeDocument/2006/relationships/hyperlink" Target="https://maps.google.com/?q=17.379017465,-96.160177833000006" TargetMode="External"/><Relationship Id="rId11110" Type="http://schemas.openxmlformats.org/officeDocument/2006/relationships/hyperlink" Target="https://maps.google.com/?q=16.036037,-96.862381999999997" TargetMode="External"/><Relationship Id="rId195" Type="http://schemas.openxmlformats.org/officeDocument/2006/relationships/hyperlink" Target="https://maps.google.com/?q=17.090076,-97.503742000000003" TargetMode="External"/><Relationship Id="rId1919" Type="http://schemas.openxmlformats.org/officeDocument/2006/relationships/hyperlink" Target="https://maps.google.com/?q=15.776829125024479,-96.136870333430466" TargetMode="External"/><Relationship Id="rId4325" Type="http://schemas.openxmlformats.org/officeDocument/2006/relationships/hyperlink" Target="https://maps.google.com/?q=16.0143403638067,-96.611599976156597" TargetMode="External"/><Relationship Id="rId7895" Type="http://schemas.openxmlformats.org/officeDocument/2006/relationships/hyperlink" Target="https://maps.google.com/?q=16.3190160215947,-96.413259334987501" TargetMode="External"/><Relationship Id="rId8946" Type="http://schemas.openxmlformats.org/officeDocument/2006/relationships/hyperlink" Target="https://maps.google.com/?q=17.381299454,-96.160381676" TargetMode="External"/><Relationship Id="rId10876" Type="http://schemas.openxmlformats.org/officeDocument/2006/relationships/hyperlink" Target="https://maps.google.com/?q=16.3475384505175,-94.482510856483501" TargetMode="External"/><Relationship Id="rId11927" Type="http://schemas.openxmlformats.org/officeDocument/2006/relationships/hyperlink" Target="https://maps.google.com/?q=16.3316888913536,-95.240192609608897" TargetMode="External"/><Relationship Id="rId13282" Type="http://schemas.openxmlformats.org/officeDocument/2006/relationships/hyperlink" Target="https://maps.google.com/?q=16.1283671058816,-96.329112050000404" TargetMode="External"/><Relationship Id="rId2290" Type="http://schemas.openxmlformats.org/officeDocument/2006/relationships/hyperlink" Target="https://maps.google.com/?q=18.0991036664668,-96.927712844774604" TargetMode="External"/><Relationship Id="rId3341" Type="http://schemas.openxmlformats.org/officeDocument/2006/relationships/hyperlink" Target="https://maps.google.com/?q=17.1376688624448,-97.813806279358403" TargetMode="External"/><Relationship Id="rId6497" Type="http://schemas.openxmlformats.org/officeDocument/2006/relationships/hyperlink" Target="https://maps.google.com/?q=17.2060356005397,-97.573540231164003" TargetMode="External"/><Relationship Id="rId7548" Type="http://schemas.openxmlformats.org/officeDocument/2006/relationships/hyperlink" Target="https://maps.google.com/?q=17.9800783811531,-96.703639148840793" TargetMode="External"/><Relationship Id="rId7962" Type="http://schemas.openxmlformats.org/officeDocument/2006/relationships/hyperlink" Target="https://maps.google.com/?q=15.9487739221102,-96.553251857844202" TargetMode="External"/><Relationship Id="rId10529" Type="http://schemas.openxmlformats.org/officeDocument/2006/relationships/hyperlink" Target="https://maps.google.com/?q=17.131776436619,-97.754790097237006" TargetMode="External"/><Relationship Id="rId262" Type="http://schemas.openxmlformats.org/officeDocument/2006/relationships/hyperlink" Target="https://maps.google.com/?q=16.88644,-97.678719999999998" TargetMode="External"/><Relationship Id="rId5099" Type="http://schemas.openxmlformats.org/officeDocument/2006/relationships/hyperlink" Target="https://maps.google.com/?q=17.253394,-96.152530999999996" TargetMode="External"/><Relationship Id="rId6564" Type="http://schemas.openxmlformats.org/officeDocument/2006/relationships/hyperlink" Target="https://maps.google.com/?q=17.762402,-96.878269" TargetMode="External"/><Relationship Id="rId7615" Type="http://schemas.openxmlformats.org/officeDocument/2006/relationships/hyperlink" Target="https://maps.google.com/?q=17.230079734914,-95.0550056531671" TargetMode="External"/><Relationship Id="rId10943" Type="http://schemas.openxmlformats.org/officeDocument/2006/relationships/hyperlink" Target="https://maps.google.com/?q=16.2052497319963,-95.215976311925502" TargetMode="External"/><Relationship Id="rId13002" Type="http://schemas.openxmlformats.org/officeDocument/2006/relationships/hyperlink" Target="https://maps.google.com/?q=16.5030861,-97.557032300000003" TargetMode="External"/><Relationship Id="rId2010" Type="http://schemas.openxmlformats.org/officeDocument/2006/relationships/hyperlink" Target="https://maps.google.com/?q=15.757802351073364,-96.140410550492106" TargetMode="External"/><Relationship Id="rId5166" Type="http://schemas.openxmlformats.org/officeDocument/2006/relationships/hyperlink" Target="https://maps.google.com/?q=17.254984,-96.153201999999993" TargetMode="External"/><Relationship Id="rId5580" Type="http://schemas.openxmlformats.org/officeDocument/2006/relationships/hyperlink" Target="https://maps.google.com/?q=17.444636973319,-96.1824206077914" TargetMode="External"/><Relationship Id="rId6217" Type="http://schemas.openxmlformats.org/officeDocument/2006/relationships/hyperlink" Target="https://maps.google.com/?q=16.096357,-97.078654999999998" TargetMode="External"/><Relationship Id="rId6631" Type="http://schemas.openxmlformats.org/officeDocument/2006/relationships/hyperlink" Target="https://maps.google.com/?q=16.184324,-96.453038" TargetMode="External"/><Relationship Id="rId9787" Type="http://schemas.openxmlformats.org/officeDocument/2006/relationships/hyperlink" Target="https://maps.google.com/?q=16.6402219784326,-96.752595615433705" TargetMode="External"/><Relationship Id="rId4182" Type="http://schemas.openxmlformats.org/officeDocument/2006/relationships/hyperlink" Target="https://maps.google.com/?q=16.390392,-98.113365999999999" TargetMode="External"/><Relationship Id="rId5233" Type="http://schemas.openxmlformats.org/officeDocument/2006/relationships/hyperlink" Target="https://maps.google.com/?q=17.2871779663787,-97.370962682208997" TargetMode="External"/><Relationship Id="rId8389" Type="http://schemas.openxmlformats.org/officeDocument/2006/relationships/hyperlink" Target="https://maps.google.com/?q=16.8469442540694,-97.201260885790902" TargetMode="External"/><Relationship Id="rId12768" Type="http://schemas.openxmlformats.org/officeDocument/2006/relationships/hyperlink" Target="https://maps.google.com/?q=16.511904982993514,-97.20162793258821" TargetMode="External"/><Relationship Id="rId13819" Type="http://schemas.openxmlformats.org/officeDocument/2006/relationships/hyperlink" Target="https://maps.google.com/?q=16.998115,-97.798304999999999" TargetMode="External"/><Relationship Id="rId1776" Type="http://schemas.openxmlformats.org/officeDocument/2006/relationships/hyperlink" Target="https://maps.google.com/?q=18.06243093,-96.848639680000005" TargetMode="External"/><Relationship Id="rId2827" Type="http://schemas.openxmlformats.org/officeDocument/2006/relationships/hyperlink" Target="https://maps.google.com/?q=16.9917954189048,-97.717593947833095" TargetMode="External"/><Relationship Id="rId9854" Type="http://schemas.openxmlformats.org/officeDocument/2006/relationships/hyperlink" Target="https://maps.google.com/?q=16.6347206526507,-96.851677370000104" TargetMode="External"/><Relationship Id="rId11784" Type="http://schemas.openxmlformats.org/officeDocument/2006/relationships/hyperlink" Target="https://maps.google.com/?q=17.09788567399231,-97.77259175347709" TargetMode="External"/><Relationship Id="rId12835" Type="http://schemas.openxmlformats.org/officeDocument/2006/relationships/hyperlink" Target="https://maps.google.com/?q=17.516231,-97.684843000000001" TargetMode="External"/><Relationship Id="rId68" Type="http://schemas.openxmlformats.org/officeDocument/2006/relationships/hyperlink" Target="https://maps.google.com/?q=15.789271,-96.460057000000006" TargetMode="External"/><Relationship Id="rId1429" Type="http://schemas.openxmlformats.org/officeDocument/2006/relationships/hyperlink" Target="https://maps.google.com/?q=17.04637,-96.71330" TargetMode="External"/><Relationship Id="rId1843" Type="http://schemas.openxmlformats.org/officeDocument/2006/relationships/hyperlink" Target="https://maps.google.com/?q=18.0372957304405,-96.896272591918205" TargetMode="External"/><Relationship Id="rId4999" Type="http://schemas.openxmlformats.org/officeDocument/2006/relationships/hyperlink" Target="https://maps.google.com/?q=16.519807,-96.983885000000001" TargetMode="External"/><Relationship Id="rId5300" Type="http://schemas.openxmlformats.org/officeDocument/2006/relationships/hyperlink" Target="https://maps.google.com/?q=15.7175786470654,-96.471220810148594" TargetMode="External"/><Relationship Id="rId7058" Type="http://schemas.openxmlformats.org/officeDocument/2006/relationships/hyperlink" Target="https://maps.google.com/?q=16.147115948972818,-96.34985749096697" TargetMode="External"/><Relationship Id="rId8456" Type="http://schemas.openxmlformats.org/officeDocument/2006/relationships/hyperlink" Target="https://maps.google.com/?q=17.1501469542875,-97.5327659491183" TargetMode="External"/><Relationship Id="rId8870" Type="http://schemas.openxmlformats.org/officeDocument/2006/relationships/hyperlink" Target="https://maps.google.com/?q=17.222188,-96.244617000000005" TargetMode="External"/><Relationship Id="rId9507" Type="http://schemas.openxmlformats.org/officeDocument/2006/relationships/hyperlink" Target="https://maps.google.com/?q=17.246550434157307,-96.88871635857369" TargetMode="External"/><Relationship Id="rId9921" Type="http://schemas.openxmlformats.org/officeDocument/2006/relationships/hyperlink" Target="https://maps.google.com/?q=16.707869,&#160;-96.709917" TargetMode="External"/><Relationship Id="rId10386" Type="http://schemas.openxmlformats.org/officeDocument/2006/relationships/hyperlink" Target="https://maps.google.com/?q=16.5070371224508,-97.163040974205003" TargetMode="External"/><Relationship Id="rId11437" Type="http://schemas.openxmlformats.org/officeDocument/2006/relationships/hyperlink" Target="https://maps.google.com/?q=16.07063,-97.304839999999999" TargetMode="External"/><Relationship Id="rId11851" Type="http://schemas.openxmlformats.org/officeDocument/2006/relationships/hyperlink" Target="https://maps.google.com/?q=17.238466262697887,-96.24099566501236" TargetMode="External"/><Relationship Id="rId1910" Type="http://schemas.openxmlformats.org/officeDocument/2006/relationships/hyperlink" Target="https://maps.google.com/?q=15.776627411966654,-96.136640010280772" TargetMode="External"/><Relationship Id="rId7472" Type="http://schemas.openxmlformats.org/officeDocument/2006/relationships/hyperlink" Target="https://maps.google.com/?q=16.9868215268273,-95.013550159623904" TargetMode="External"/><Relationship Id="rId8109" Type="http://schemas.openxmlformats.org/officeDocument/2006/relationships/hyperlink" Target="https://maps.google.com/?q=17.3551015128021,-96.305682743372998" TargetMode="External"/><Relationship Id="rId8523" Type="http://schemas.openxmlformats.org/officeDocument/2006/relationships/hyperlink" Target="https://maps.google.com/?q=16.9231087993117,-96.604433306711201" TargetMode="External"/><Relationship Id="rId10039" Type="http://schemas.openxmlformats.org/officeDocument/2006/relationships/hyperlink" Target="https://maps.google.com/?q=16.9193271847273,-96.348058544635606" TargetMode="External"/><Relationship Id="rId10453" Type="http://schemas.openxmlformats.org/officeDocument/2006/relationships/hyperlink" Target="https://maps.google.com/?q=17.0379012,-96.779592500000007" TargetMode="External"/><Relationship Id="rId11504" Type="http://schemas.openxmlformats.org/officeDocument/2006/relationships/hyperlink" Target="https://maps.google.com/?q=16.6103896771957,-96.848546733583007" TargetMode="External"/><Relationship Id="rId12902" Type="http://schemas.openxmlformats.org/officeDocument/2006/relationships/hyperlink" Target="https://maps.google.com/?q=16.4783493,-97.477118000000004" TargetMode="External"/><Relationship Id="rId3668" Type="http://schemas.openxmlformats.org/officeDocument/2006/relationships/hyperlink" Target="https://maps.google.com/?q=15.77381,-96.144196" TargetMode="External"/><Relationship Id="rId4719" Type="http://schemas.openxmlformats.org/officeDocument/2006/relationships/hyperlink" Target="https://maps.google.com/?q=17.0558127189,-96.7456976" TargetMode="External"/><Relationship Id="rId6074" Type="http://schemas.openxmlformats.org/officeDocument/2006/relationships/hyperlink" Target="https://maps.google.com/?q=18.16262308318722,-96.577866100391802" TargetMode="External"/><Relationship Id="rId7125" Type="http://schemas.openxmlformats.org/officeDocument/2006/relationships/hyperlink" Target="https://maps.google.com/?q=17.3570119629836,-97.657558807374897" TargetMode="External"/><Relationship Id="rId10106" Type="http://schemas.openxmlformats.org/officeDocument/2006/relationships/hyperlink" Target="https://maps.google.com/?q=17.0205302590315,-96.126554725581997" TargetMode="External"/><Relationship Id="rId589" Type="http://schemas.openxmlformats.org/officeDocument/2006/relationships/hyperlink" Target="https://maps.google.com/?q=16.054164,-97.399693999999997" TargetMode="External"/><Relationship Id="rId2684" Type="http://schemas.openxmlformats.org/officeDocument/2006/relationships/hyperlink" Target="https://maps.google.com/?q=17.941397,-96.101062999999996" TargetMode="External"/><Relationship Id="rId3735" Type="http://schemas.openxmlformats.org/officeDocument/2006/relationships/hyperlink" Target="https://maps.google.com/?q=15.760014349911666,-96.141741085810125" TargetMode="External"/><Relationship Id="rId5090" Type="http://schemas.openxmlformats.org/officeDocument/2006/relationships/hyperlink" Target="https://maps.google.com/?q=17.253053,-96.153946000000005" TargetMode="External"/><Relationship Id="rId6141" Type="http://schemas.openxmlformats.org/officeDocument/2006/relationships/hyperlink" Target="https://maps.google.com/?q=16.95341939,-96.613272260000002" TargetMode="External"/><Relationship Id="rId9297" Type="http://schemas.openxmlformats.org/officeDocument/2006/relationships/hyperlink" Target="https://maps.google.com/?q=16.8136680827058,-95.137680036647197" TargetMode="External"/><Relationship Id="rId10520" Type="http://schemas.openxmlformats.org/officeDocument/2006/relationships/hyperlink" Target="https://maps.google.com/?q=17.8477338421543,-96.746418786568995" TargetMode="External"/><Relationship Id="rId12278" Type="http://schemas.openxmlformats.org/officeDocument/2006/relationships/hyperlink" Target="https://maps.google.com/?q=16.4861471490434,-94.349436267181005" TargetMode="External"/><Relationship Id="rId13329" Type="http://schemas.openxmlformats.org/officeDocument/2006/relationships/hyperlink" Target="https://maps.google.com/?q=17.4550070433621,-98.007723067459196" TargetMode="External"/><Relationship Id="rId13676" Type="http://schemas.openxmlformats.org/officeDocument/2006/relationships/hyperlink" Target="https://maps.google.com/?q=16.95834,-96.70759" TargetMode="External"/><Relationship Id="rId656" Type="http://schemas.openxmlformats.org/officeDocument/2006/relationships/hyperlink" Target="https://maps.google.com/?q=16.057852,-97.390187999999995" TargetMode="External"/><Relationship Id="rId1286" Type="http://schemas.openxmlformats.org/officeDocument/2006/relationships/hyperlink" Target="https://maps.google.com/?q=17.080124,-96.725838" TargetMode="External"/><Relationship Id="rId2337" Type="http://schemas.openxmlformats.org/officeDocument/2006/relationships/hyperlink" Target="https://maps.google.com/?q=17.067494,-97.680957000000006" TargetMode="External"/><Relationship Id="rId9364" Type="http://schemas.openxmlformats.org/officeDocument/2006/relationships/hyperlink" Target="https://maps.google.com/?q=16.818536087381,-95.136167270762499" TargetMode="External"/><Relationship Id="rId12692" Type="http://schemas.openxmlformats.org/officeDocument/2006/relationships/hyperlink" Target="https://maps.google.com/?q=16.2831122116744,-96.505506944774694" TargetMode="External"/><Relationship Id="rId13743" Type="http://schemas.openxmlformats.org/officeDocument/2006/relationships/hyperlink" Target="https://maps.google.com/?q=17.354036,-96.304191" TargetMode="External"/><Relationship Id="rId309" Type="http://schemas.openxmlformats.org/officeDocument/2006/relationships/hyperlink" Target="https://maps.google.com/?q=16.060273,-97.386354999999995" TargetMode="External"/><Relationship Id="rId2751" Type="http://schemas.openxmlformats.org/officeDocument/2006/relationships/hyperlink" Target="https://maps.google.com/?q=17.9922436032436,-96.4888138859137" TargetMode="External"/><Relationship Id="rId3802" Type="http://schemas.openxmlformats.org/officeDocument/2006/relationships/hyperlink" Target="https://maps.google.com/?q=15.772018285377353,-96.247614285994672" TargetMode="External"/><Relationship Id="rId6958" Type="http://schemas.openxmlformats.org/officeDocument/2006/relationships/hyperlink" Target="https://maps.google.com/?q=16.331308,-95.242337000000006" TargetMode="External"/><Relationship Id="rId8380" Type="http://schemas.openxmlformats.org/officeDocument/2006/relationships/hyperlink" Target="https://maps.google.com/?q=16.8462221295607,-97.200248428101304" TargetMode="External"/><Relationship Id="rId9017" Type="http://schemas.openxmlformats.org/officeDocument/2006/relationships/hyperlink" Target="https://maps.google.com/?q=17.383888784,-96.161731512000003" TargetMode="External"/><Relationship Id="rId11294" Type="http://schemas.openxmlformats.org/officeDocument/2006/relationships/hyperlink" Target="https://maps.google.com/?q=17.8672818563904,-96.308997742209002" TargetMode="External"/><Relationship Id="rId12345" Type="http://schemas.openxmlformats.org/officeDocument/2006/relationships/hyperlink" Target="https://maps.google.com/?q=17.05483025886047,-96.6532398807323" TargetMode="External"/><Relationship Id="rId13810" Type="http://schemas.openxmlformats.org/officeDocument/2006/relationships/hyperlink" Target="https://maps.google.com/?q=16.99721,-97.799234999999996" TargetMode="External"/><Relationship Id="rId723" Type="http://schemas.openxmlformats.org/officeDocument/2006/relationships/hyperlink" Target="https://maps.google.com/?q=17.222139,-97.118387999999996" TargetMode="External"/><Relationship Id="rId1006" Type="http://schemas.openxmlformats.org/officeDocument/2006/relationships/hyperlink" Target="https://maps.google.com/?q=15.69597129731844,-96.523529163475075" TargetMode="External"/><Relationship Id="rId1353" Type="http://schemas.openxmlformats.org/officeDocument/2006/relationships/hyperlink" Target="https://maps.google.com/?q=17.02036689,-96.71811224" TargetMode="External"/><Relationship Id="rId2404" Type="http://schemas.openxmlformats.org/officeDocument/2006/relationships/hyperlink" Target="https://maps.google.com/?q=17.049483241568065,-96.624862623357984" TargetMode="External"/><Relationship Id="rId5974" Type="http://schemas.openxmlformats.org/officeDocument/2006/relationships/hyperlink" Target="https://maps.google.com/?q=18.154501682234475,-96.576342140079518" TargetMode="External"/><Relationship Id="rId8033" Type="http://schemas.openxmlformats.org/officeDocument/2006/relationships/hyperlink" Target="https://maps.google.com/?q=16.4889625896992,-97.385201612778602" TargetMode="External"/><Relationship Id="rId9431" Type="http://schemas.openxmlformats.org/officeDocument/2006/relationships/hyperlink" Target="https://maps.google.com/?q=16.7763678664794,-95.191727273206297" TargetMode="External"/><Relationship Id="rId11361" Type="http://schemas.openxmlformats.org/officeDocument/2006/relationships/hyperlink" Target="https://maps.google.com/?q=16.3589837647231,-94.190335326736701" TargetMode="External"/><Relationship Id="rId12412" Type="http://schemas.openxmlformats.org/officeDocument/2006/relationships/hyperlink" Target="https://maps.google.com/?q=16.5574581430383,-96.819429480985804" TargetMode="External"/><Relationship Id="rId1420" Type="http://schemas.openxmlformats.org/officeDocument/2006/relationships/hyperlink" Target="https://maps.google.com/?q=17.070529,-96.732887" TargetMode="External"/><Relationship Id="rId4576" Type="http://schemas.openxmlformats.org/officeDocument/2006/relationships/hyperlink" Target="https://maps.google.com/?q=16.554018,-96.818657000000002" TargetMode="External"/><Relationship Id="rId4990" Type="http://schemas.openxmlformats.org/officeDocument/2006/relationships/hyperlink" Target="https://maps.google.com/?q=17.055042265226106,-96.6538552129442" TargetMode="External"/><Relationship Id="rId5627" Type="http://schemas.openxmlformats.org/officeDocument/2006/relationships/hyperlink" Target="https://maps.google.com/?q=17.5621719227619,-96.182657638895904" TargetMode="External"/><Relationship Id="rId11014" Type="http://schemas.openxmlformats.org/officeDocument/2006/relationships/hyperlink" Target="https://maps.google.com/?q=17.157219,-97.192635999999993" TargetMode="External"/><Relationship Id="rId3178" Type="http://schemas.openxmlformats.org/officeDocument/2006/relationships/hyperlink" Target="https://maps.google.com/?q=16.551028,-97.495705000000001" TargetMode="External"/><Relationship Id="rId3592" Type="http://schemas.openxmlformats.org/officeDocument/2006/relationships/hyperlink" Target="https://maps.google.com/?q=15.776534540862151,-96.13644546382325" TargetMode="External"/><Relationship Id="rId4229" Type="http://schemas.openxmlformats.org/officeDocument/2006/relationships/hyperlink" Target="https://maps.google.com/?q=16.955844493449096,-96.47945364885257" TargetMode="External"/><Relationship Id="rId4643" Type="http://schemas.openxmlformats.org/officeDocument/2006/relationships/hyperlink" Target="https://maps.google.com/?q=17.081888,-96.74696500" TargetMode="External"/><Relationship Id="rId7799" Type="http://schemas.openxmlformats.org/officeDocument/2006/relationships/hyperlink" Target="https://maps.google.com/?q=17.8457278837363,-96.7476468867455" TargetMode="External"/><Relationship Id="rId8100" Type="http://schemas.openxmlformats.org/officeDocument/2006/relationships/hyperlink" Target="https://maps.google.com/?q=17.3548967017795,-96.302863744418005" TargetMode="External"/><Relationship Id="rId10030" Type="http://schemas.openxmlformats.org/officeDocument/2006/relationships/hyperlink" Target="https://maps.google.com/?q=17.0036924827513,-96.069046399940603" TargetMode="External"/><Relationship Id="rId13186" Type="http://schemas.openxmlformats.org/officeDocument/2006/relationships/hyperlink" Target="https://maps.google.com/?q=16.5722776172954,-97.011776884817294" TargetMode="External"/><Relationship Id="rId2194" Type="http://schemas.openxmlformats.org/officeDocument/2006/relationships/hyperlink" Target="https://maps.google.com/?q=16.9663174717772,-97.224246321346101" TargetMode="External"/><Relationship Id="rId3245" Type="http://schemas.openxmlformats.org/officeDocument/2006/relationships/hyperlink" Target="https://maps.google.com/?q=17.9531188172711,-96.2052034969429" TargetMode="External"/><Relationship Id="rId4710" Type="http://schemas.openxmlformats.org/officeDocument/2006/relationships/hyperlink" Target="https://maps.google.com/?q=17.080154,-96.726937000000007" TargetMode="External"/><Relationship Id="rId7866" Type="http://schemas.openxmlformats.org/officeDocument/2006/relationships/hyperlink" Target="https://maps.google.com/?q=16.3163464487737,-96.409558542887495" TargetMode="External"/><Relationship Id="rId13253" Type="http://schemas.openxmlformats.org/officeDocument/2006/relationships/hyperlink" Target="https://maps.google.com/?q=17.1527935639671,-96.747517144417998" TargetMode="External"/><Relationship Id="rId166" Type="http://schemas.openxmlformats.org/officeDocument/2006/relationships/hyperlink" Target="https://maps.google.com/?q=17.091969,-97.501902999999999" TargetMode="External"/><Relationship Id="rId580" Type="http://schemas.openxmlformats.org/officeDocument/2006/relationships/hyperlink" Target="https://maps.google.com/?q=16.054648,-97.397980000000004" TargetMode="External"/><Relationship Id="rId2261" Type="http://schemas.openxmlformats.org/officeDocument/2006/relationships/hyperlink" Target="https://maps.google.com/?q=18.0946076783078,-96.930316186483395" TargetMode="External"/><Relationship Id="rId3312" Type="http://schemas.openxmlformats.org/officeDocument/2006/relationships/hyperlink" Target="https://maps.google.com/?q=17.0643991560365,-96.812322119630196" TargetMode="External"/><Relationship Id="rId6468" Type="http://schemas.openxmlformats.org/officeDocument/2006/relationships/hyperlink" Target="https://maps.google.com/?q=16.38146,-97.280990000000003" TargetMode="External"/><Relationship Id="rId7519" Type="http://schemas.openxmlformats.org/officeDocument/2006/relationships/hyperlink" Target="https://maps.google.com/?q=17.974337022448,-96.704368190436199" TargetMode="External"/><Relationship Id="rId8917" Type="http://schemas.openxmlformats.org/officeDocument/2006/relationships/hyperlink" Target="https://maps.google.com/?q=17.380451832,-96.161761204000001" TargetMode="External"/><Relationship Id="rId10847" Type="http://schemas.openxmlformats.org/officeDocument/2006/relationships/hyperlink" Target="https://maps.google.com/?q=16.3431459689313,-94.480621728835999" TargetMode="External"/><Relationship Id="rId233" Type="http://schemas.openxmlformats.org/officeDocument/2006/relationships/hyperlink" Target="https://maps.google.com/?q=16.8824,-97.6768" TargetMode="External"/><Relationship Id="rId5484" Type="http://schemas.openxmlformats.org/officeDocument/2006/relationships/hyperlink" Target="https://maps.google.com/?q=16.3244139933554,-96.4948185687674" TargetMode="External"/><Relationship Id="rId6882" Type="http://schemas.openxmlformats.org/officeDocument/2006/relationships/hyperlink" Target="https://maps.google.com/?q=16.971794758133,-97.083756903687402" TargetMode="External"/><Relationship Id="rId7933" Type="http://schemas.openxmlformats.org/officeDocument/2006/relationships/hyperlink" Target="https://maps.google.com/?q=16.323591485297,-96.4100635559534" TargetMode="External"/><Relationship Id="rId10914" Type="http://schemas.openxmlformats.org/officeDocument/2006/relationships/hyperlink" Target="https://maps.google.com/?q=16.1903492791964,-95.186192682208898" TargetMode="External"/><Relationship Id="rId13320" Type="http://schemas.openxmlformats.org/officeDocument/2006/relationships/hyperlink" Target="https://maps.google.com/?q=17.4493186057915,-98.006541026557699" TargetMode="External"/><Relationship Id="rId300" Type="http://schemas.openxmlformats.org/officeDocument/2006/relationships/hyperlink" Target="https://maps.google.com/?q=16.063372,-97.381553999999994" TargetMode="External"/><Relationship Id="rId4086" Type="http://schemas.openxmlformats.org/officeDocument/2006/relationships/hyperlink" Target="https://maps.google.com/?q=17.05601879,-96.745880600000007" TargetMode="External"/><Relationship Id="rId5137" Type="http://schemas.openxmlformats.org/officeDocument/2006/relationships/hyperlink" Target="https://maps.google.com/?q=17.254457,-96.154950999999997" TargetMode="External"/><Relationship Id="rId6535" Type="http://schemas.openxmlformats.org/officeDocument/2006/relationships/hyperlink" Target="https://maps.google.com/?q=17.0784475941075,%09-96.711226860438761075" TargetMode="External"/><Relationship Id="rId5551" Type="http://schemas.openxmlformats.org/officeDocument/2006/relationships/hyperlink" Target="https://maps.google.com/?q=18.2525245150425,-96.285022933695004" TargetMode="External"/><Relationship Id="rId6602" Type="http://schemas.openxmlformats.org/officeDocument/2006/relationships/hyperlink" Target="https://maps.google.com/?q=16.218634,-97.261699" TargetMode="External"/><Relationship Id="rId9758" Type="http://schemas.openxmlformats.org/officeDocument/2006/relationships/hyperlink" Target="https://maps.google.com/?q=17.2789720692074,-96.804697476409501" TargetMode="External"/><Relationship Id="rId11688" Type="http://schemas.openxmlformats.org/officeDocument/2006/relationships/hyperlink" Target="https://maps.google.com/?q=17.17896053,-97.707938069999997" TargetMode="External"/><Relationship Id="rId12739" Type="http://schemas.openxmlformats.org/officeDocument/2006/relationships/hyperlink" Target="https://maps.google.com/?q=16.5988057333775,-96.956948156862396" TargetMode="External"/><Relationship Id="rId14094" Type="http://schemas.openxmlformats.org/officeDocument/2006/relationships/hyperlink" Target="https://maps.google.com/?q=16.38786994,-98.10882619" TargetMode="External"/><Relationship Id="rId1747" Type="http://schemas.openxmlformats.org/officeDocument/2006/relationships/hyperlink" Target="https://maps.google.com/?q=18.06059436,-96.849249799999996" TargetMode="External"/><Relationship Id="rId4153" Type="http://schemas.openxmlformats.org/officeDocument/2006/relationships/hyperlink" Target="https://maps.google.com/?q=16.4230723923863,-98.171674376074805" TargetMode="External"/><Relationship Id="rId5204" Type="http://schemas.openxmlformats.org/officeDocument/2006/relationships/hyperlink" Target="https://maps.google.com/?q=17.317563,-95.969178999999997" TargetMode="External"/><Relationship Id="rId8774" Type="http://schemas.openxmlformats.org/officeDocument/2006/relationships/hyperlink" Target="https://maps.google.com/?q=17.207447,-96.251856000000004" TargetMode="External"/><Relationship Id="rId9825" Type="http://schemas.openxmlformats.org/officeDocument/2006/relationships/hyperlink" Target="https://maps.google.com/?q=16.6324192327083,-96.850140671094493" TargetMode="External"/><Relationship Id="rId14161" Type="http://schemas.openxmlformats.org/officeDocument/2006/relationships/hyperlink" Target="https://maps.google.com/?q=17.842004463185255,-97.42694809157382" TargetMode="External"/><Relationship Id="rId39" Type="http://schemas.openxmlformats.org/officeDocument/2006/relationships/hyperlink" Target="https://maps.google.com/?q=17.221106,-97.122146000000001" TargetMode="External"/><Relationship Id="rId1814" Type="http://schemas.openxmlformats.org/officeDocument/2006/relationships/hyperlink" Target="https://maps.google.com/?q=18.0348879126934,-96.895676893093693" TargetMode="External"/><Relationship Id="rId4220" Type="http://schemas.openxmlformats.org/officeDocument/2006/relationships/hyperlink" Target="https://maps.google.com/?q=17.801687,-96.959688" TargetMode="External"/><Relationship Id="rId7376" Type="http://schemas.openxmlformats.org/officeDocument/2006/relationships/hyperlink" Target="https://maps.google.com/?q=17.0395056551698,-97.303472929514101" TargetMode="External"/><Relationship Id="rId7790" Type="http://schemas.openxmlformats.org/officeDocument/2006/relationships/hyperlink" Target="https://maps.google.com/?q=17.8446797479748,-96.745706810778103" TargetMode="External"/><Relationship Id="rId8427" Type="http://schemas.openxmlformats.org/officeDocument/2006/relationships/hyperlink" Target="https://maps.google.com/?q=16.2010468922221,-96.8236678552217" TargetMode="External"/><Relationship Id="rId8841" Type="http://schemas.openxmlformats.org/officeDocument/2006/relationships/hyperlink" Target="https://maps.google.com/?q=17.217798,-96.243919000000005" TargetMode="External"/><Relationship Id="rId10357" Type="http://schemas.openxmlformats.org/officeDocument/2006/relationships/hyperlink" Target="https://maps.google.com/?q=17.4340432222502,-96.658221430736901" TargetMode="External"/><Relationship Id="rId11755" Type="http://schemas.openxmlformats.org/officeDocument/2006/relationships/hyperlink" Target="https://maps.google.com/?q=16.99577434419765,-96.78093431432916" TargetMode="External"/><Relationship Id="rId12806" Type="http://schemas.openxmlformats.org/officeDocument/2006/relationships/hyperlink" Target="https://maps.google.com/?q=17.8470624496741,-97.431798953373004" TargetMode="External"/><Relationship Id="rId6392" Type="http://schemas.openxmlformats.org/officeDocument/2006/relationships/hyperlink" Target="https://maps.google.com/?q=17.2092877714291,-97.572883010510196" TargetMode="External"/><Relationship Id="rId7029" Type="http://schemas.openxmlformats.org/officeDocument/2006/relationships/hyperlink" Target="https://maps.google.com/?q=17.0438724108088,-97.300223098010804" TargetMode="External"/><Relationship Id="rId7443" Type="http://schemas.openxmlformats.org/officeDocument/2006/relationships/hyperlink" Target="https://maps.google.com/?q=16.3197661264356,-96.673822878560699" TargetMode="External"/><Relationship Id="rId10771" Type="http://schemas.openxmlformats.org/officeDocument/2006/relationships/hyperlink" Target="https://maps.google.com/?q=16.905074,-96.562502" TargetMode="External"/><Relationship Id="rId11408" Type="http://schemas.openxmlformats.org/officeDocument/2006/relationships/hyperlink" Target="https://maps.google.com/?q=17.2014729960379,-97.770719619712693" TargetMode="External"/><Relationship Id="rId11822" Type="http://schemas.openxmlformats.org/officeDocument/2006/relationships/hyperlink" Target="https://maps.google.com/?q=17.88883261813554,-96.5199896625309" TargetMode="External"/><Relationship Id="rId2588" Type="http://schemas.openxmlformats.org/officeDocument/2006/relationships/hyperlink" Target="https://maps.google.com/?q=16.6050098806974,-97.216182504299198" TargetMode="External"/><Relationship Id="rId3986" Type="http://schemas.openxmlformats.org/officeDocument/2006/relationships/hyperlink" Target="https://maps.google.com/?q=17.062461,-96.757001000000002" TargetMode="External"/><Relationship Id="rId6045" Type="http://schemas.openxmlformats.org/officeDocument/2006/relationships/hyperlink" Target="https://maps.google.com/?q=18.157040741730988,-96.576514205388435" TargetMode="External"/><Relationship Id="rId10424" Type="http://schemas.openxmlformats.org/officeDocument/2006/relationships/hyperlink" Target="https://maps.google.com/?q=17.061155,-96.797179999999997" TargetMode="External"/><Relationship Id="rId13994" Type="http://schemas.openxmlformats.org/officeDocument/2006/relationships/hyperlink" Target="https://maps.google.com/?q=17.0784475941075,-96.711226860438761075" TargetMode="External"/><Relationship Id="rId3639" Type="http://schemas.openxmlformats.org/officeDocument/2006/relationships/hyperlink" Target="https://maps.google.com/?q=15.778002246756156,-96.137488046893978" TargetMode="External"/><Relationship Id="rId5061" Type="http://schemas.openxmlformats.org/officeDocument/2006/relationships/hyperlink" Target="https://maps.google.com/?q=17.252037,-96.156170000000003" TargetMode="External"/><Relationship Id="rId6112" Type="http://schemas.openxmlformats.org/officeDocument/2006/relationships/hyperlink" Target="https://maps.google.com/?q=17.976745,-96.706220999999999" TargetMode="External"/><Relationship Id="rId7510" Type="http://schemas.openxmlformats.org/officeDocument/2006/relationships/hyperlink" Target="https://maps.google.com/?q=17.34521621,-97.37330369" TargetMode="External"/><Relationship Id="rId9268" Type="http://schemas.openxmlformats.org/officeDocument/2006/relationships/hyperlink" Target="https://maps.google.com/?q=17.3781017694983,-96.3003030128969" TargetMode="External"/><Relationship Id="rId12596" Type="http://schemas.openxmlformats.org/officeDocument/2006/relationships/hyperlink" Target="https://maps.google.com/?q=16.5223531869208,-96.982009465435894" TargetMode="External"/><Relationship Id="rId13647" Type="http://schemas.openxmlformats.org/officeDocument/2006/relationships/hyperlink" Target="https://maps.google.com/?q=18.108241,-96.819405" TargetMode="External"/><Relationship Id="rId974" Type="http://schemas.openxmlformats.org/officeDocument/2006/relationships/hyperlink" Target="https://maps.google.com/?q=15.688162532207457,-96.513300257989059" TargetMode="External"/><Relationship Id="rId2655" Type="http://schemas.openxmlformats.org/officeDocument/2006/relationships/hyperlink" Target="https://maps.google.com/?q=17.6236736410689,-97.232874638546306" TargetMode="External"/><Relationship Id="rId3706" Type="http://schemas.openxmlformats.org/officeDocument/2006/relationships/hyperlink" Target="https://maps.google.com/?q=15.757874340435496,-96.140390891295851" TargetMode="External"/><Relationship Id="rId9682" Type="http://schemas.openxmlformats.org/officeDocument/2006/relationships/hyperlink" Target="https://maps.google.com/?q=16.3186418738547,-96.586035854924205" TargetMode="External"/><Relationship Id="rId11198" Type="http://schemas.openxmlformats.org/officeDocument/2006/relationships/hyperlink" Target="https://maps.google.com/?q=16.846118,-96.011238000000006" TargetMode="External"/><Relationship Id="rId12249" Type="http://schemas.openxmlformats.org/officeDocument/2006/relationships/hyperlink" Target="https://maps.google.com/?q=16.42423,-97.229190000000003" TargetMode="External"/><Relationship Id="rId12663" Type="http://schemas.openxmlformats.org/officeDocument/2006/relationships/hyperlink" Target="https://maps.google.com/?q=16.9201579971205,-97.892769963107895" TargetMode="External"/><Relationship Id="rId13714" Type="http://schemas.openxmlformats.org/officeDocument/2006/relationships/hyperlink" Target="https://maps.google.com/?q=16.341,-98.44752" TargetMode="External"/><Relationship Id="rId627" Type="http://schemas.openxmlformats.org/officeDocument/2006/relationships/hyperlink" Target="https://maps.google.com/?q=16.054565,-97.394046000000003" TargetMode="External"/><Relationship Id="rId1257" Type="http://schemas.openxmlformats.org/officeDocument/2006/relationships/hyperlink" Target="https://maps.google.com/?q=17.058568,-96.743064000000004" TargetMode="External"/><Relationship Id="rId1671" Type="http://schemas.openxmlformats.org/officeDocument/2006/relationships/hyperlink" Target="https://maps.google.com/?q=18.0475523707484,-96.895612628945003" TargetMode="External"/><Relationship Id="rId2308" Type="http://schemas.openxmlformats.org/officeDocument/2006/relationships/hyperlink" Target="https://maps.google.com/?q=18.1056358340924,-96.872809164418001" TargetMode="External"/><Relationship Id="rId2722" Type="http://schemas.openxmlformats.org/officeDocument/2006/relationships/hyperlink" Target="https://maps.google.com/?q=15.9278024615106,-96.418894043568599" TargetMode="External"/><Relationship Id="rId5878" Type="http://schemas.openxmlformats.org/officeDocument/2006/relationships/hyperlink" Target="https://maps.google.com/?q=18.14483410611468,-96.567022855276676" TargetMode="External"/><Relationship Id="rId6929" Type="http://schemas.openxmlformats.org/officeDocument/2006/relationships/hyperlink" Target="https://maps.google.com/?q=16.315789,-95.232119999999995" TargetMode="External"/><Relationship Id="rId8284" Type="http://schemas.openxmlformats.org/officeDocument/2006/relationships/hyperlink" Target="https://maps.google.com/?q=17.6251384466,-97.035221902399996" TargetMode="External"/><Relationship Id="rId9335" Type="http://schemas.openxmlformats.org/officeDocument/2006/relationships/hyperlink" Target="https://maps.google.com/?q=16.8170007280938,-95.142744047267996" TargetMode="External"/><Relationship Id="rId11265" Type="http://schemas.openxmlformats.org/officeDocument/2006/relationships/hyperlink" Target="https://maps.google.com/?q=17.8654230735534,-96.307315983804799" TargetMode="External"/><Relationship Id="rId12316" Type="http://schemas.openxmlformats.org/officeDocument/2006/relationships/hyperlink" Target="https://maps.google.com/?q=17.197764,-96.149592" TargetMode="External"/><Relationship Id="rId1324" Type="http://schemas.openxmlformats.org/officeDocument/2006/relationships/hyperlink" Target="https://maps.google.com/?q=17.01772643,-96.71859304" TargetMode="External"/><Relationship Id="rId4894" Type="http://schemas.openxmlformats.org/officeDocument/2006/relationships/hyperlink" Target="https://maps.google.com/?q=16.8080171364473,-96.390670987791395" TargetMode="External"/><Relationship Id="rId5945" Type="http://schemas.openxmlformats.org/officeDocument/2006/relationships/hyperlink" Target="https://maps.google.com/?q=18.153779937958557,-96.573843011915201" TargetMode="External"/><Relationship Id="rId8351" Type="http://schemas.openxmlformats.org/officeDocument/2006/relationships/hyperlink" Target="https://maps.google.com/?q=16.8437389110632,-97.199071527798907" TargetMode="External"/><Relationship Id="rId9402" Type="http://schemas.openxmlformats.org/officeDocument/2006/relationships/hyperlink" Target="https://maps.google.com/?q=16.8217083644323,-95.139719824283901" TargetMode="External"/><Relationship Id="rId10281" Type="http://schemas.openxmlformats.org/officeDocument/2006/relationships/hyperlink" Target="https://maps.google.com/?q=16.245836,-95.148798999999997" TargetMode="External"/><Relationship Id="rId11332" Type="http://schemas.openxmlformats.org/officeDocument/2006/relationships/hyperlink" Target="https://maps.google.com/?q=16.64865473,-97.531097470000006" TargetMode="External"/><Relationship Id="rId12730" Type="http://schemas.openxmlformats.org/officeDocument/2006/relationships/hyperlink" Target="https://maps.google.com/?q=16.2869322,-96.504155900000001" TargetMode="External"/><Relationship Id="rId30" Type="http://schemas.openxmlformats.org/officeDocument/2006/relationships/hyperlink" Target="https://maps.google.com/?q=17.222541,-97.118333000000007" TargetMode="External"/><Relationship Id="rId3496" Type="http://schemas.openxmlformats.org/officeDocument/2006/relationships/hyperlink" Target="https://maps.google.com/?q=17.07154412050349,-96.7159122707850" TargetMode="External"/><Relationship Id="rId4547" Type="http://schemas.openxmlformats.org/officeDocument/2006/relationships/hyperlink" Target="https://maps.google.com/?q=17.1848809108486,-97.304086440475302" TargetMode="External"/><Relationship Id="rId8004" Type="http://schemas.openxmlformats.org/officeDocument/2006/relationships/hyperlink" Target="https://maps.google.com/?q=18.1638749941477,-96.873911897958607" TargetMode="External"/><Relationship Id="rId2098" Type="http://schemas.openxmlformats.org/officeDocument/2006/relationships/hyperlink" Target="https://maps.google.com/?q=15.763878,-96.150574" TargetMode="External"/><Relationship Id="rId3149" Type="http://schemas.openxmlformats.org/officeDocument/2006/relationships/hyperlink" Target="https://maps.google.com/?q=16.587998,-97.445475999999999" TargetMode="External"/><Relationship Id="rId3563" Type="http://schemas.openxmlformats.org/officeDocument/2006/relationships/hyperlink" Target="https://maps.google.com/?q=15.775341820944572,-96.136396931300723" TargetMode="External"/><Relationship Id="rId4961" Type="http://schemas.openxmlformats.org/officeDocument/2006/relationships/hyperlink" Target="https://maps.google.com/?q=17.9666496039803,-96.744166453919703" TargetMode="External"/><Relationship Id="rId7020" Type="http://schemas.openxmlformats.org/officeDocument/2006/relationships/hyperlink" Target="https://maps.google.com/?q=17.0414830097547,-97.302731969271804" TargetMode="External"/><Relationship Id="rId484" Type="http://schemas.openxmlformats.org/officeDocument/2006/relationships/hyperlink" Target="https://maps.google.com/?q=16.055127,-97.407696000000001" TargetMode="External"/><Relationship Id="rId2165" Type="http://schemas.openxmlformats.org/officeDocument/2006/relationships/hyperlink" Target="https://maps.google.com/?q=15.760192343398451,-96.149115092811627" TargetMode="External"/><Relationship Id="rId3216" Type="http://schemas.openxmlformats.org/officeDocument/2006/relationships/hyperlink" Target="https://maps.google.com/?q=17.8023711401129,-96.001322658895504" TargetMode="External"/><Relationship Id="rId4614" Type="http://schemas.openxmlformats.org/officeDocument/2006/relationships/hyperlink" Target="https://maps.google.com/?q=16.559005,-96.816484000000003" TargetMode="External"/><Relationship Id="rId9192" Type="http://schemas.openxmlformats.org/officeDocument/2006/relationships/hyperlink" Target="https://maps.google.com/?q=17.3743234441781,-96.300095149212893" TargetMode="External"/><Relationship Id="rId10001" Type="http://schemas.openxmlformats.org/officeDocument/2006/relationships/hyperlink" Target="https://maps.google.com/?q=17.0916742608077,-97.496700509999997" TargetMode="External"/><Relationship Id="rId13157" Type="http://schemas.openxmlformats.org/officeDocument/2006/relationships/hyperlink" Target="https://maps.google.com/?q=16.565129172829,-97.009935879796799" TargetMode="External"/><Relationship Id="rId13571" Type="http://schemas.openxmlformats.org/officeDocument/2006/relationships/hyperlink" Target="https://maps.google.com/?q=17.120141652820312,-97.78587726480072" TargetMode="External"/><Relationship Id="rId137" Type="http://schemas.openxmlformats.org/officeDocument/2006/relationships/hyperlink" Target="https://maps.google.com/?q=17.093053,-97.497435999999993" TargetMode="External"/><Relationship Id="rId3630" Type="http://schemas.openxmlformats.org/officeDocument/2006/relationships/hyperlink" Target="https://maps.google.com/?q=15.777382364760527,-96.13704908952937" TargetMode="External"/><Relationship Id="rId6786" Type="http://schemas.openxmlformats.org/officeDocument/2006/relationships/hyperlink" Target="https://maps.google.com/?q=16.6403073531862,-97.039368988863799" TargetMode="External"/><Relationship Id="rId7837" Type="http://schemas.openxmlformats.org/officeDocument/2006/relationships/hyperlink" Target="https://maps.google.com/?q=16.8517385696729,-95.092946093254298" TargetMode="External"/><Relationship Id="rId10818" Type="http://schemas.openxmlformats.org/officeDocument/2006/relationships/hyperlink" Target="https://maps.google.com/?q=16.4017991942882,-94.460597533729498" TargetMode="External"/><Relationship Id="rId12173" Type="http://schemas.openxmlformats.org/officeDocument/2006/relationships/hyperlink" Target="https://maps.google.com/?q=17.4161172699368,-95.949109451660604" TargetMode="External"/><Relationship Id="rId13224" Type="http://schemas.openxmlformats.org/officeDocument/2006/relationships/hyperlink" Target="https://maps.google.com/?q=17.346767764525,-97.385139798776606" TargetMode="External"/><Relationship Id="rId551" Type="http://schemas.openxmlformats.org/officeDocument/2006/relationships/hyperlink" Target="https://maps.google.com/?q=16.053514,-97.404672000000005" TargetMode="External"/><Relationship Id="rId1181" Type="http://schemas.openxmlformats.org/officeDocument/2006/relationships/hyperlink" Target="https://maps.google.com/?q=17.458601,-97.212481" TargetMode="External"/><Relationship Id="rId2232" Type="http://schemas.openxmlformats.org/officeDocument/2006/relationships/hyperlink" Target="https://maps.google.com/?q=17.4097505620718,-97.089936303075703" TargetMode="External"/><Relationship Id="rId5388" Type="http://schemas.openxmlformats.org/officeDocument/2006/relationships/hyperlink" Target="https://maps.google.com/?q=16.0906639771474,-97.690682205799106" TargetMode="External"/><Relationship Id="rId6439" Type="http://schemas.openxmlformats.org/officeDocument/2006/relationships/hyperlink" Target="https://maps.google.com/?q=17.3464234,-97.558481270000001" TargetMode="External"/><Relationship Id="rId6853" Type="http://schemas.openxmlformats.org/officeDocument/2006/relationships/hyperlink" Target="https://maps.google.com/?q=17.0097050941076,-96.979832104910798" TargetMode="External"/><Relationship Id="rId7904" Type="http://schemas.openxmlformats.org/officeDocument/2006/relationships/hyperlink" Target="https://maps.google.com/?q=16.3193304541714,-96.410004054081895" TargetMode="External"/><Relationship Id="rId12240" Type="http://schemas.openxmlformats.org/officeDocument/2006/relationships/hyperlink" Target="https://maps.google.com/?q=16.4204341331675,-97.223432497275496" TargetMode="External"/><Relationship Id="rId204" Type="http://schemas.openxmlformats.org/officeDocument/2006/relationships/hyperlink" Target="https://maps.google.com/?q=17.095454,-97.498896000000002" TargetMode="External"/><Relationship Id="rId1998" Type="http://schemas.openxmlformats.org/officeDocument/2006/relationships/hyperlink" Target="https://maps.google.com/?q=15.757462054964257,-96.140629800865852" TargetMode="External"/><Relationship Id="rId5455" Type="http://schemas.openxmlformats.org/officeDocument/2006/relationships/hyperlink" Target="https://maps.google.com/?q=16.0085003952842,-97.426816805582007" TargetMode="External"/><Relationship Id="rId6506" Type="http://schemas.openxmlformats.org/officeDocument/2006/relationships/hyperlink" Target="https://maps.google.com/?q=17.2208693137758,-97.570258106745896" TargetMode="External"/><Relationship Id="rId6920" Type="http://schemas.openxmlformats.org/officeDocument/2006/relationships/hyperlink" Target="https://maps.google.com/?q=16.3085095,-95.260307879999999" TargetMode="External"/><Relationship Id="rId4057" Type="http://schemas.openxmlformats.org/officeDocument/2006/relationships/hyperlink" Target="https://maps.google.com/?q=17.0802,-96.726955000000004" TargetMode="External"/><Relationship Id="rId4471" Type="http://schemas.openxmlformats.org/officeDocument/2006/relationships/hyperlink" Target="https://maps.google.com/?q=17.1679921586476,-97.309354233135295" TargetMode="External"/><Relationship Id="rId5108" Type="http://schemas.openxmlformats.org/officeDocument/2006/relationships/hyperlink" Target="https://maps.google.com/?q=17.253617,-96.156756000000001" TargetMode="External"/><Relationship Id="rId5522" Type="http://schemas.openxmlformats.org/officeDocument/2006/relationships/hyperlink" Target="https://maps.google.com/?q=17.280702925787,&#160;-97.3742330463893" TargetMode="External"/><Relationship Id="rId8678" Type="http://schemas.openxmlformats.org/officeDocument/2006/relationships/hyperlink" Target="https://maps.google.com/?q=16.184096,-96.626384999999999" TargetMode="External"/><Relationship Id="rId9729" Type="http://schemas.openxmlformats.org/officeDocument/2006/relationships/hyperlink" Target="https://maps.google.com/?q=17.2681135446928,-96.800277040794199" TargetMode="External"/><Relationship Id="rId14065" Type="http://schemas.openxmlformats.org/officeDocument/2006/relationships/hyperlink" Target="https://maps.google.com/?q=16.878824900186004,-96.63638302732802" TargetMode="External"/><Relationship Id="rId3073" Type="http://schemas.openxmlformats.org/officeDocument/2006/relationships/hyperlink" Target="https://maps.google.com/?q=16.9641239726682,-96.941264560361702" TargetMode="External"/><Relationship Id="rId4124" Type="http://schemas.openxmlformats.org/officeDocument/2006/relationships/hyperlink" Target="https://maps.google.com/?q=17.0587419,-96.743148000000005" TargetMode="External"/><Relationship Id="rId7694" Type="http://schemas.openxmlformats.org/officeDocument/2006/relationships/hyperlink" Target="https://maps.google.com/?q=16.6254354323619,-96.795672203741205" TargetMode="External"/><Relationship Id="rId11659" Type="http://schemas.openxmlformats.org/officeDocument/2006/relationships/hyperlink" Target="https://maps.google.com/?q=17.17381007,-97.707871049999994" TargetMode="External"/><Relationship Id="rId13081" Type="http://schemas.openxmlformats.org/officeDocument/2006/relationships/hyperlink" Target="https://maps.google.com/?q=16.5642023,-97.537195699999998" TargetMode="External"/><Relationship Id="rId1718" Type="http://schemas.openxmlformats.org/officeDocument/2006/relationships/hyperlink" Target="https://maps.google.com/?q=18.0562383643162,-96.827714334718806" TargetMode="External"/><Relationship Id="rId3140" Type="http://schemas.openxmlformats.org/officeDocument/2006/relationships/hyperlink" Target="https://maps.google.com/?q=16.586641,-97.443955000000003" TargetMode="External"/><Relationship Id="rId6296" Type="http://schemas.openxmlformats.org/officeDocument/2006/relationships/hyperlink" Target="https://maps.google.com/?q=18.056150801906,-96.395212868715504" TargetMode="External"/><Relationship Id="rId7347" Type="http://schemas.openxmlformats.org/officeDocument/2006/relationships/hyperlink" Target="https://maps.google.com/?q=16.550029,-97.679687999999999" TargetMode="External"/><Relationship Id="rId8745" Type="http://schemas.openxmlformats.org/officeDocument/2006/relationships/hyperlink" Target="https://maps.google.com/?q=18.0660294594414,-96.1247642743092" TargetMode="External"/><Relationship Id="rId10675" Type="http://schemas.openxmlformats.org/officeDocument/2006/relationships/hyperlink" Target="https://maps.google.com/?q=15.7038721068893,-96.263639646661801" TargetMode="External"/><Relationship Id="rId11726" Type="http://schemas.openxmlformats.org/officeDocument/2006/relationships/hyperlink" Target="https://maps.google.com/?q=17.18583108,-97.713375569999997" TargetMode="External"/><Relationship Id="rId14132" Type="http://schemas.openxmlformats.org/officeDocument/2006/relationships/hyperlink" Target="https://maps.google.com/?q=17.564885915319675,-97.88802272159928" TargetMode="External"/><Relationship Id="rId7761" Type="http://schemas.openxmlformats.org/officeDocument/2006/relationships/hyperlink" Target="https://maps.google.com/?q=16.071382,-96.304329999999993" TargetMode="External"/><Relationship Id="rId8812" Type="http://schemas.openxmlformats.org/officeDocument/2006/relationships/hyperlink" Target="https://maps.google.com/?q=17.215822,-96.249354999999994" TargetMode="External"/><Relationship Id="rId10328" Type="http://schemas.openxmlformats.org/officeDocument/2006/relationships/hyperlink" Target="https://maps.google.com/?q=16.23057516,-97.266933300000005" TargetMode="External"/><Relationship Id="rId10742" Type="http://schemas.openxmlformats.org/officeDocument/2006/relationships/hyperlink" Target="https://maps.google.com/?q=16.734101,-94.899785%20" TargetMode="External"/><Relationship Id="rId13898" Type="http://schemas.openxmlformats.org/officeDocument/2006/relationships/hyperlink" Target="https://maps.google.com/?q=17.3293333941011,-98.021515385582006" TargetMode="External"/><Relationship Id="rId3957" Type="http://schemas.openxmlformats.org/officeDocument/2006/relationships/hyperlink" Target="https://maps.google.com/?q=17.061239,-96.756981999999994" TargetMode="External"/><Relationship Id="rId6363" Type="http://schemas.openxmlformats.org/officeDocument/2006/relationships/hyperlink" Target="https://maps.google.com/?q=17.08354,-96.71879" TargetMode="External"/><Relationship Id="rId7414" Type="http://schemas.openxmlformats.org/officeDocument/2006/relationships/hyperlink" Target="https://maps.google.com/?q=17.035851,&#160;-97.051977" TargetMode="External"/><Relationship Id="rId878" Type="http://schemas.openxmlformats.org/officeDocument/2006/relationships/hyperlink" Target="https://maps.google.com/?q=17.093707,-97.497219999999999" TargetMode="External"/><Relationship Id="rId2559" Type="http://schemas.openxmlformats.org/officeDocument/2006/relationships/hyperlink" Target="https://maps.google.com/?q=17.797597357297015,-96.96111602575672" TargetMode="External"/><Relationship Id="rId2973" Type="http://schemas.openxmlformats.org/officeDocument/2006/relationships/hyperlink" Target="https://maps.google.com/?q=16.4644836934415,-97.033528418244202" TargetMode="External"/><Relationship Id="rId6016" Type="http://schemas.openxmlformats.org/officeDocument/2006/relationships/hyperlink" Target="https://maps.google.com/?q=18.155733000512313,-96.57341366499908" TargetMode="External"/><Relationship Id="rId6430" Type="http://schemas.openxmlformats.org/officeDocument/2006/relationships/hyperlink" Target="https://maps.google.com/?q=17.34347252,-97.556140110000001" TargetMode="External"/><Relationship Id="rId9586" Type="http://schemas.openxmlformats.org/officeDocument/2006/relationships/hyperlink" Target="https://maps.google.com/?q=17.9916152929739,-96.746805572437495" TargetMode="External"/><Relationship Id="rId12567" Type="http://schemas.openxmlformats.org/officeDocument/2006/relationships/hyperlink" Target="https://maps.google.com/?q=16.5500783255222,-96.979684759219296" TargetMode="External"/><Relationship Id="rId13618" Type="http://schemas.openxmlformats.org/officeDocument/2006/relationships/hyperlink" Target="https://maps.google.com/?q=16.320614,-94.756942" TargetMode="External"/><Relationship Id="rId13965" Type="http://schemas.openxmlformats.org/officeDocument/2006/relationships/hyperlink" Target="https://maps.google.com/?q=17.0994373505645,-96.047708989696304" TargetMode="External"/><Relationship Id="rId945" Type="http://schemas.openxmlformats.org/officeDocument/2006/relationships/hyperlink" Target="https://maps.google.com/?q=15.683553878476394,-96.511397332295729" TargetMode="External"/><Relationship Id="rId1575" Type="http://schemas.openxmlformats.org/officeDocument/2006/relationships/hyperlink" Target="https://maps.google.com/?q=16.5644,-96.700140000000005" TargetMode="External"/><Relationship Id="rId2626" Type="http://schemas.openxmlformats.org/officeDocument/2006/relationships/hyperlink" Target="https://maps.google.com/?q=18.080944,-96.164761999999996" TargetMode="External"/><Relationship Id="rId5032" Type="http://schemas.openxmlformats.org/officeDocument/2006/relationships/hyperlink" Target="https://maps.google.com/?q=17.251263,-96.152517000000003" TargetMode="External"/><Relationship Id="rId8188" Type="http://schemas.openxmlformats.org/officeDocument/2006/relationships/hyperlink" Target="https://maps.google.com/?q=16.667042,-96.307766000000001" TargetMode="External"/><Relationship Id="rId9239" Type="http://schemas.openxmlformats.org/officeDocument/2006/relationships/hyperlink" Target="https://maps.google.com/?q=17.3763515116071,-96.300994216109103" TargetMode="External"/><Relationship Id="rId9653" Type="http://schemas.openxmlformats.org/officeDocument/2006/relationships/hyperlink" Target="https://maps.google.com/?q=16.3162254187218,-96.586481673610706" TargetMode="External"/><Relationship Id="rId11169" Type="http://schemas.openxmlformats.org/officeDocument/2006/relationships/hyperlink" Target="https://maps.google.com/?q=16.843205,-96.008386000000002" TargetMode="External"/><Relationship Id="rId12981" Type="http://schemas.openxmlformats.org/officeDocument/2006/relationships/hyperlink" Target="https://maps.google.com/?q=16.51341,-97.453603999999999" TargetMode="External"/><Relationship Id="rId1228" Type="http://schemas.openxmlformats.org/officeDocument/2006/relationships/hyperlink" Target="https://maps.google.com/?q=17.05386,-96.73539000" TargetMode="External"/><Relationship Id="rId4798" Type="http://schemas.openxmlformats.org/officeDocument/2006/relationships/hyperlink" Target="https://maps.google.com/?q=16.8956304090841,-96.499210814477493" TargetMode="External"/><Relationship Id="rId8255" Type="http://schemas.openxmlformats.org/officeDocument/2006/relationships/hyperlink" Target="https://maps.google.com/?q=17.022178,-96.748543999999995" TargetMode="External"/><Relationship Id="rId9306" Type="http://schemas.openxmlformats.org/officeDocument/2006/relationships/hyperlink" Target="https://maps.google.com/?q=16.8147567190748,-95.134482843500905" TargetMode="External"/><Relationship Id="rId10185" Type="http://schemas.openxmlformats.org/officeDocument/2006/relationships/hyperlink" Target="https://maps.google.com/?q=17.242856697426703,-97.39725285412139" TargetMode="External"/><Relationship Id="rId11583" Type="http://schemas.openxmlformats.org/officeDocument/2006/relationships/hyperlink" Target="https://maps.google.com/?q=16.8512848415592,-96.751992717312802" TargetMode="External"/><Relationship Id="rId12634" Type="http://schemas.openxmlformats.org/officeDocument/2006/relationships/hyperlink" Target="https://maps.google.com/?q=17.116783,-96.849712999999994" TargetMode="External"/><Relationship Id="rId1642" Type="http://schemas.openxmlformats.org/officeDocument/2006/relationships/hyperlink" Target="https://maps.google.com/?q=16.8926539223295,-96.938915250678306" TargetMode="External"/><Relationship Id="rId5849" Type="http://schemas.openxmlformats.org/officeDocument/2006/relationships/hyperlink" Target="https://maps.google.com/?q=16.0941126023271,-97.698216827053002" TargetMode="External"/><Relationship Id="rId7271" Type="http://schemas.openxmlformats.org/officeDocument/2006/relationships/hyperlink" Target="https://maps.google.com/?q=16.3013474969327,-97.912219487791603" TargetMode="External"/><Relationship Id="rId8322" Type="http://schemas.openxmlformats.org/officeDocument/2006/relationships/hyperlink" Target="https://maps.google.com/?q=16.540926,-98.034575000000004" TargetMode="External"/><Relationship Id="rId9720" Type="http://schemas.openxmlformats.org/officeDocument/2006/relationships/hyperlink" Target="https://maps.google.com/?q=16.4397784482101,-95.015344668547996" TargetMode="External"/><Relationship Id="rId11236" Type="http://schemas.openxmlformats.org/officeDocument/2006/relationships/hyperlink" Target="https://maps.google.com/?q=17.1274682629015,-97.497451557742707" TargetMode="External"/><Relationship Id="rId11650" Type="http://schemas.openxmlformats.org/officeDocument/2006/relationships/hyperlink" Target="https://maps.google.com/?q=17.17359518,-97.710989490000003" TargetMode="External"/><Relationship Id="rId12701" Type="http://schemas.openxmlformats.org/officeDocument/2006/relationships/hyperlink" Target="https://maps.google.com/?q=16.2837595357428,-96.503626301568403" TargetMode="External"/><Relationship Id="rId4865" Type="http://schemas.openxmlformats.org/officeDocument/2006/relationships/hyperlink" Target="https://maps.google.com/?q=16.7907132743592,-96.396928375648699" TargetMode="External"/><Relationship Id="rId5916" Type="http://schemas.openxmlformats.org/officeDocument/2006/relationships/hyperlink" Target="https://maps.google.com/?q=18.14809487742675,-96.566651761536576" TargetMode="External"/><Relationship Id="rId10252" Type="http://schemas.openxmlformats.org/officeDocument/2006/relationships/hyperlink" Target="https://maps.google.com/?q=16.241414,-95.153329999999997" TargetMode="External"/><Relationship Id="rId11303" Type="http://schemas.openxmlformats.org/officeDocument/2006/relationships/hyperlink" Target="https://maps.google.com/?q=17.8680229436891,-96.310060677038393" TargetMode="External"/><Relationship Id="rId388" Type="http://schemas.openxmlformats.org/officeDocument/2006/relationships/hyperlink" Target="https://maps.google.com/?q=16.33906,-98.0504" TargetMode="External"/><Relationship Id="rId2069" Type="http://schemas.openxmlformats.org/officeDocument/2006/relationships/hyperlink" Target="https://maps.google.com/?q=15.771723290092305,-96.235036518673311" TargetMode="External"/><Relationship Id="rId3467" Type="http://schemas.openxmlformats.org/officeDocument/2006/relationships/hyperlink" Target="https://maps.google.com/?q=17.9112625004115,-97.996285766864901" TargetMode="External"/><Relationship Id="rId3881" Type="http://schemas.openxmlformats.org/officeDocument/2006/relationships/hyperlink" Target="https://maps.google.com/?q=17.1064957611916,-95.932062347439697" TargetMode="External"/><Relationship Id="rId4518" Type="http://schemas.openxmlformats.org/officeDocument/2006/relationships/hyperlink" Target="https://maps.google.com/?q=17.1809262949515,-97.305420196815703" TargetMode="External"/><Relationship Id="rId4932" Type="http://schemas.openxmlformats.org/officeDocument/2006/relationships/hyperlink" Target="https://maps.google.com/?q=18.033204,-96.671439000000007" TargetMode="External"/><Relationship Id="rId9096" Type="http://schemas.openxmlformats.org/officeDocument/2006/relationships/hyperlink" Target="https://maps.google.com/?q=16.160077544287443,-97.16058208851268" TargetMode="External"/><Relationship Id="rId13475" Type="http://schemas.openxmlformats.org/officeDocument/2006/relationships/hyperlink" Target="https://maps.google.com/?q=17.6881212257523,-97.035235766864801" TargetMode="External"/><Relationship Id="rId2483" Type="http://schemas.openxmlformats.org/officeDocument/2006/relationships/hyperlink" Target="https://maps.google.com/?q=17.05191266,-96.624382760000003" TargetMode="External"/><Relationship Id="rId3534" Type="http://schemas.openxmlformats.org/officeDocument/2006/relationships/hyperlink" Target="https://maps.google.com/?q=15.76705,-96.152106" TargetMode="External"/><Relationship Id="rId12077" Type="http://schemas.openxmlformats.org/officeDocument/2006/relationships/hyperlink" Target="https://maps.google.com/?q=16.24495687,-95.324232440000003" TargetMode="External"/><Relationship Id="rId12491" Type="http://schemas.openxmlformats.org/officeDocument/2006/relationships/hyperlink" Target="https://maps.google.com/?q=17.2226173925819,-97.272458567968201" TargetMode="External"/><Relationship Id="rId13128" Type="http://schemas.openxmlformats.org/officeDocument/2006/relationships/hyperlink" Target="https://maps.google.com/?q=17.1848256581974,-96.5143005595245" TargetMode="External"/><Relationship Id="rId13542" Type="http://schemas.openxmlformats.org/officeDocument/2006/relationships/hyperlink" Target="https://maps.google.com/?q=16.44150605021013,-98.12509214484406" TargetMode="External"/><Relationship Id="rId455" Type="http://schemas.openxmlformats.org/officeDocument/2006/relationships/hyperlink" Target="https://maps.google.com/?q=16.052963,-97.410798" TargetMode="External"/><Relationship Id="rId1085" Type="http://schemas.openxmlformats.org/officeDocument/2006/relationships/hyperlink" Target="https://maps.google.com/?q=17.09063,-97.493195999999998" TargetMode="External"/><Relationship Id="rId2136" Type="http://schemas.openxmlformats.org/officeDocument/2006/relationships/hyperlink" Target="https://maps.google.com/?q=15.763314,-96.143383" TargetMode="External"/><Relationship Id="rId2550" Type="http://schemas.openxmlformats.org/officeDocument/2006/relationships/hyperlink" Target="https://maps.google.com/?q=17.757591,-96.198869000000002" TargetMode="External"/><Relationship Id="rId3601" Type="http://schemas.openxmlformats.org/officeDocument/2006/relationships/hyperlink" Target="https://maps.google.com/?q=15.776617645979819,-96.13658419005867" TargetMode="External"/><Relationship Id="rId6757" Type="http://schemas.openxmlformats.org/officeDocument/2006/relationships/hyperlink" Target="https://maps.google.com/?q=16.7060584,-97.017197100000004" TargetMode="External"/><Relationship Id="rId7808" Type="http://schemas.openxmlformats.org/officeDocument/2006/relationships/hyperlink" Target="https://maps.google.com/?q=17.8461295196683,-96.745922690615302" TargetMode="External"/><Relationship Id="rId9163" Type="http://schemas.openxmlformats.org/officeDocument/2006/relationships/hyperlink" Target="https://maps.google.com/?q=17.0028454787536,-96.965108062584804" TargetMode="External"/><Relationship Id="rId11093" Type="http://schemas.openxmlformats.org/officeDocument/2006/relationships/hyperlink" Target="https://maps.google.com/?q=17.254558,-96.149882" TargetMode="External"/><Relationship Id="rId12144" Type="http://schemas.openxmlformats.org/officeDocument/2006/relationships/hyperlink" Target="https://maps.google.com/?q=16.2866678189465,-97.672430159579505" TargetMode="External"/><Relationship Id="rId108" Type="http://schemas.openxmlformats.org/officeDocument/2006/relationships/hyperlink" Target="https://maps.google.com/?q=17.096421,-97.496446000000006" TargetMode="External"/><Relationship Id="rId522" Type="http://schemas.openxmlformats.org/officeDocument/2006/relationships/hyperlink" Target="https://maps.google.com/?q=16.054679,-97.406904999999995" TargetMode="External"/><Relationship Id="rId1152" Type="http://schemas.openxmlformats.org/officeDocument/2006/relationships/hyperlink" Target="https://maps.google.com/?q=16.929567,&#160;-97.142671" TargetMode="External"/><Relationship Id="rId2203" Type="http://schemas.openxmlformats.org/officeDocument/2006/relationships/hyperlink" Target="https://maps.google.com/?q=16.9700225394466,-97.224474763103601" TargetMode="External"/><Relationship Id="rId5359" Type="http://schemas.openxmlformats.org/officeDocument/2006/relationships/hyperlink" Target="https://maps.google.com/?q=16.1104560889261,-97.596586166253104" TargetMode="External"/><Relationship Id="rId5773" Type="http://schemas.openxmlformats.org/officeDocument/2006/relationships/hyperlink" Target="https://maps.google.com/?q=16.999562,-97.236258000000007" TargetMode="External"/><Relationship Id="rId9230" Type="http://schemas.openxmlformats.org/officeDocument/2006/relationships/hyperlink" Target="https://maps.google.com/?q=17.3760525677916,-96.300451839952203" TargetMode="External"/><Relationship Id="rId11160" Type="http://schemas.openxmlformats.org/officeDocument/2006/relationships/hyperlink" Target="https://maps.google.com/?q=16.841359,-96.009371999999999" TargetMode="External"/><Relationship Id="rId4375" Type="http://schemas.openxmlformats.org/officeDocument/2006/relationships/hyperlink" Target="https://maps.google.com/?q=15.99527846,-96.681896050000006" TargetMode="External"/><Relationship Id="rId5426" Type="http://schemas.openxmlformats.org/officeDocument/2006/relationships/hyperlink" Target="https://maps.google.com/?q=16.1026529067251,-97.705012106023105" TargetMode="External"/><Relationship Id="rId6824" Type="http://schemas.openxmlformats.org/officeDocument/2006/relationships/hyperlink" Target="https://maps.google.com/?q=16.062879,-97.172331" TargetMode="External"/><Relationship Id="rId12211" Type="http://schemas.openxmlformats.org/officeDocument/2006/relationships/hyperlink" Target="https://maps.google.com/?q=17.4184299000673,-95.946474216517899" TargetMode="External"/><Relationship Id="rId1969" Type="http://schemas.openxmlformats.org/officeDocument/2006/relationships/hyperlink" Target="https://maps.google.com/?q=15.784613316409274,-96.136835603283473" TargetMode="External"/><Relationship Id="rId4028" Type="http://schemas.openxmlformats.org/officeDocument/2006/relationships/hyperlink" Target="https://maps.google.com/?q=17.020021533143613,-96.718138934852632" TargetMode="External"/><Relationship Id="rId5840" Type="http://schemas.openxmlformats.org/officeDocument/2006/relationships/hyperlink" Target="https://maps.google.com/?q=16.1137310214338,-97.599411096889597" TargetMode="External"/><Relationship Id="rId8996" Type="http://schemas.openxmlformats.org/officeDocument/2006/relationships/hyperlink" Target="https://maps.google.com/?q=17.38213025,-96.162206006999995" TargetMode="External"/><Relationship Id="rId11977" Type="http://schemas.openxmlformats.org/officeDocument/2006/relationships/hyperlink" Target="https://maps.google.com/?q=16.799950004727,-96.718466885331793" TargetMode="External"/><Relationship Id="rId3391" Type="http://schemas.openxmlformats.org/officeDocument/2006/relationships/hyperlink" Target="https://maps.google.com/?q=16.396623,-96.841024000000004" TargetMode="External"/><Relationship Id="rId4442" Type="http://schemas.openxmlformats.org/officeDocument/2006/relationships/hyperlink" Target="https://maps.google.com/?q=16.64582,-96.774657000000005" TargetMode="External"/><Relationship Id="rId7598" Type="http://schemas.openxmlformats.org/officeDocument/2006/relationships/hyperlink" Target="https://maps.google.com/?q=17.0950024612847,-95.855689906057407" TargetMode="External"/><Relationship Id="rId8649" Type="http://schemas.openxmlformats.org/officeDocument/2006/relationships/hyperlink" Target="https://maps.google.com/?q=16.2762167354135,-94.531601130158705" TargetMode="External"/><Relationship Id="rId10579" Type="http://schemas.openxmlformats.org/officeDocument/2006/relationships/hyperlink" Target="https://maps.google.com/?q=17.0988663845986,-97.768877373016295" TargetMode="External"/><Relationship Id="rId10993" Type="http://schemas.openxmlformats.org/officeDocument/2006/relationships/hyperlink" Target="https://maps.google.com/?q=17.1615158244375,-97.590242606740304" TargetMode="External"/><Relationship Id="rId14036" Type="http://schemas.openxmlformats.org/officeDocument/2006/relationships/hyperlink" Target="https://maps.google.com/?q=17.06025,-96.72591" TargetMode="External"/><Relationship Id="rId3044" Type="http://schemas.openxmlformats.org/officeDocument/2006/relationships/hyperlink" Target="https://maps.google.com/?q=16.963498926536,-96.940965173814106" TargetMode="External"/><Relationship Id="rId7665" Type="http://schemas.openxmlformats.org/officeDocument/2006/relationships/hyperlink" Target="https://maps.google.com/?q=17.2329027046843,-95.057542389952104" TargetMode="External"/><Relationship Id="rId8716" Type="http://schemas.openxmlformats.org/officeDocument/2006/relationships/hyperlink" Target="https://maps.google.com/?q=17.056273201153,-96.818955797791205" TargetMode="External"/><Relationship Id="rId10646" Type="http://schemas.openxmlformats.org/officeDocument/2006/relationships/hyperlink" Target="https://maps.google.com/?q=17.1212250693117,-97.779902937790197" TargetMode="External"/><Relationship Id="rId13052" Type="http://schemas.openxmlformats.org/officeDocument/2006/relationships/hyperlink" Target="https://maps.google.com/?q=16.56243,-97.531300999999999" TargetMode="External"/><Relationship Id="rId14103" Type="http://schemas.openxmlformats.org/officeDocument/2006/relationships/hyperlink" Target="https://maps.google.com/?q=18.16387690415671,-96.75609400797927" TargetMode="External"/><Relationship Id="rId2060" Type="http://schemas.openxmlformats.org/officeDocument/2006/relationships/hyperlink" Target="https://maps.google.com/?q=15.769293029994568,-96.234976194726144" TargetMode="External"/><Relationship Id="rId3111" Type="http://schemas.openxmlformats.org/officeDocument/2006/relationships/hyperlink" Target="https://maps.google.com/?q=15.9966307749,&#160;-96.4656646205" TargetMode="External"/><Relationship Id="rId6267" Type="http://schemas.openxmlformats.org/officeDocument/2006/relationships/hyperlink" Target="https://maps.google.com/?q=16.4035453820359,-96.734137753301795" TargetMode="External"/><Relationship Id="rId6681" Type="http://schemas.openxmlformats.org/officeDocument/2006/relationships/hyperlink" Target="https://maps.google.com/?q=16.9373232246796,-96.972168032780999" TargetMode="External"/><Relationship Id="rId7318" Type="http://schemas.openxmlformats.org/officeDocument/2006/relationships/hyperlink" Target="https://maps.google.com/?q=16.72789495,-96.471953429999999" TargetMode="External"/><Relationship Id="rId7732" Type="http://schemas.openxmlformats.org/officeDocument/2006/relationships/hyperlink" Target="https://maps.google.com/?q=16.6307358765626,-96.799891241559806" TargetMode="External"/><Relationship Id="rId2877" Type="http://schemas.openxmlformats.org/officeDocument/2006/relationships/hyperlink" Target="https://maps.google.com/?q=18.227521,-96.280073000000002" TargetMode="External"/><Relationship Id="rId5283" Type="http://schemas.openxmlformats.org/officeDocument/2006/relationships/hyperlink" Target="https://maps.google.com/?q=15.8291351646986,-96.471405316705201" TargetMode="External"/><Relationship Id="rId6334" Type="http://schemas.openxmlformats.org/officeDocument/2006/relationships/hyperlink" Target="https://maps.google.com/?q=18.060417,-96.397651999999994" TargetMode="External"/><Relationship Id="rId10713" Type="http://schemas.openxmlformats.org/officeDocument/2006/relationships/hyperlink" Target="https://maps.google.com/?q=17.267449,-97.680485000000004" TargetMode="External"/><Relationship Id="rId13869" Type="http://schemas.openxmlformats.org/officeDocument/2006/relationships/hyperlink" Target="https://maps.google.com/?q=16.2682973,-96.578577100000004" TargetMode="External"/><Relationship Id="rId849" Type="http://schemas.openxmlformats.org/officeDocument/2006/relationships/hyperlink" Target="https://maps.google.com/?q=15.706721663535014,-96.524052410103295" TargetMode="External"/><Relationship Id="rId1479" Type="http://schemas.openxmlformats.org/officeDocument/2006/relationships/hyperlink" Target="https://maps.google.com/?q=17.724872728167533,-97.32406098973402" TargetMode="External"/><Relationship Id="rId3928" Type="http://schemas.openxmlformats.org/officeDocument/2006/relationships/hyperlink" Target="https://maps.google.com/?q=17.058717,-96.753580999999997" TargetMode="External"/><Relationship Id="rId5350" Type="http://schemas.openxmlformats.org/officeDocument/2006/relationships/hyperlink" Target="https://maps.google.com/?q=16.5234485779191,-97.165698794794594" TargetMode="External"/><Relationship Id="rId6401" Type="http://schemas.openxmlformats.org/officeDocument/2006/relationships/hyperlink" Target="https://maps.google.com/?q=17.2590208410005,-97.539760238816996" TargetMode="External"/><Relationship Id="rId9557" Type="http://schemas.openxmlformats.org/officeDocument/2006/relationships/hyperlink" Target="https://maps.google.com/?q=17.358085,-96.293955999999994" TargetMode="External"/><Relationship Id="rId12885" Type="http://schemas.openxmlformats.org/officeDocument/2006/relationships/hyperlink" Target="https://maps.google.com/?q=16.523207,-97.463838999999993" TargetMode="External"/><Relationship Id="rId13936" Type="http://schemas.openxmlformats.org/officeDocument/2006/relationships/hyperlink" Target="https://maps.google.com/?q=17.58693092676259,-97.89034329109164" TargetMode="External"/><Relationship Id="rId1893" Type="http://schemas.openxmlformats.org/officeDocument/2006/relationships/hyperlink" Target="https://maps.google.com/?q=15.776410100265586,-96.135225477508385" TargetMode="External"/><Relationship Id="rId2944" Type="http://schemas.openxmlformats.org/officeDocument/2006/relationships/hyperlink" Target="https://maps.google.com/?q=17.08309039,-96.677961600000003" TargetMode="External"/><Relationship Id="rId5003" Type="http://schemas.openxmlformats.org/officeDocument/2006/relationships/hyperlink" Target="https://maps.google.com/?q=17.026216,-97.928115000000005" TargetMode="External"/><Relationship Id="rId8159" Type="http://schemas.openxmlformats.org/officeDocument/2006/relationships/hyperlink" Target="https://maps.google.com/?q=17.3571802438996,-96.301002249014402" TargetMode="External"/><Relationship Id="rId9971" Type="http://schemas.openxmlformats.org/officeDocument/2006/relationships/hyperlink" Target="https://maps.google.com/?q=16.630235,-95.932523" TargetMode="External"/><Relationship Id="rId11487" Type="http://schemas.openxmlformats.org/officeDocument/2006/relationships/hyperlink" Target="https://maps.google.com/?q=16.3062872661018,-96.638872873683397" TargetMode="External"/><Relationship Id="rId12538" Type="http://schemas.openxmlformats.org/officeDocument/2006/relationships/hyperlink" Target="https://maps.google.com/?q=16.9684856178648,-97.912675411446898" TargetMode="External"/><Relationship Id="rId12952" Type="http://schemas.openxmlformats.org/officeDocument/2006/relationships/hyperlink" Target="https://maps.google.com/?q=16.551102,-97.500612000000004" TargetMode="External"/><Relationship Id="rId916" Type="http://schemas.openxmlformats.org/officeDocument/2006/relationships/hyperlink" Target="https://maps.google.com/?q=16.89082,-97.679609999999997" TargetMode="External"/><Relationship Id="rId1546" Type="http://schemas.openxmlformats.org/officeDocument/2006/relationships/hyperlink" Target="https://maps.google.com/?q=17.06286,-96.757170000000002" TargetMode="External"/><Relationship Id="rId1960" Type="http://schemas.openxmlformats.org/officeDocument/2006/relationships/hyperlink" Target="https://maps.google.com/?q=15.779777681144346,-96.138582282611196" TargetMode="External"/><Relationship Id="rId7175" Type="http://schemas.openxmlformats.org/officeDocument/2006/relationships/hyperlink" Target="https://maps.google.com/?q=16.220664231662,-97.9211531500007" TargetMode="External"/><Relationship Id="rId8573" Type="http://schemas.openxmlformats.org/officeDocument/2006/relationships/hyperlink" Target="https://maps.google.com/?q=16.9301648133444,-96.605102303075697" TargetMode="External"/><Relationship Id="rId9624" Type="http://schemas.openxmlformats.org/officeDocument/2006/relationships/hyperlink" Target="https://maps.google.com/?q=17.9988098938512,-96.7497041681128" TargetMode="External"/><Relationship Id="rId10089" Type="http://schemas.openxmlformats.org/officeDocument/2006/relationships/hyperlink" Target="https://maps.google.com/?q=16.9963383318353,-96.111085674601995" TargetMode="External"/><Relationship Id="rId11554" Type="http://schemas.openxmlformats.org/officeDocument/2006/relationships/hyperlink" Target="https://maps.google.com/?q=16.83128,-96.707209000000006" TargetMode="External"/><Relationship Id="rId12605" Type="http://schemas.openxmlformats.org/officeDocument/2006/relationships/hyperlink" Target="https://maps.google.com/?q=17.113067,-96.853031999999999" TargetMode="External"/><Relationship Id="rId1613" Type="http://schemas.openxmlformats.org/officeDocument/2006/relationships/hyperlink" Target="https://maps.google.com/?q=17.761442,-96.079718999999997" TargetMode="External"/><Relationship Id="rId4769" Type="http://schemas.openxmlformats.org/officeDocument/2006/relationships/hyperlink" Target="https://maps.google.com/?q=17.9569853142363,-96.6587215084951" TargetMode="External"/><Relationship Id="rId8226" Type="http://schemas.openxmlformats.org/officeDocument/2006/relationships/hyperlink" Target="https://maps.google.com/?q=16.421832,-97.639388999999994" TargetMode="External"/><Relationship Id="rId8640" Type="http://schemas.openxmlformats.org/officeDocument/2006/relationships/hyperlink" Target="https://maps.google.com/?q=16.2737644256905,-94.531734149447701" TargetMode="External"/><Relationship Id="rId10156" Type="http://schemas.openxmlformats.org/officeDocument/2006/relationships/hyperlink" Target="https://maps.google.com/?q=17.1020877036654,-97.494661136745904" TargetMode="External"/><Relationship Id="rId10570" Type="http://schemas.openxmlformats.org/officeDocument/2006/relationships/hyperlink" Target="https://maps.google.com/?q=17.0895842166425,-97.769346717582295" TargetMode="External"/><Relationship Id="rId11207" Type="http://schemas.openxmlformats.org/officeDocument/2006/relationships/hyperlink" Target="https://maps.google.com/?q=16.998415,-97.798137999999994" TargetMode="External"/><Relationship Id="rId11621" Type="http://schemas.openxmlformats.org/officeDocument/2006/relationships/hyperlink" Target="https://maps.google.com/?q=16.8377484648847,-96.722574271163893" TargetMode="External"/><Relationship Id="rId3785" Type="http://schemas.openxmlformats.org/officeDocument/2006/relationships/hyperlink" Target="https://maps.google.com/?q=15.76494,-96.142735000000002" TargetMode="External"/><Relationship Id="rId4836" Type="http://schemas.openxmlformats.org/officeDocument/2006/relationships/hyperlink" Target="https://maps.google.com/?q=17.3357537804351,-96.163913743870395" TargetMode="External"/><Relationship Id="rId6191" Type="http://schemas.openxmlformats.org/officeDocument/2006/relationships/hyperlink" Target="https://maps.google.com/?q=16.0915952,-97.0813682" TargetMode="External"/><Relationship Id="rId7242" Type="http://schemas.openxmlformats.org/officeDocument/2006/relationships/hyperlink" Target="https://maps.google.com/?q=16.0966866578785,-97.9240383388114" TargetMode="External"/><Relationship Id="rId10223" Type="http://schemas.openxmlformats.org/officeDocument/2006/relationships/hyperlink" Target="https://maps.google.com/?q=17.29504962959054,-97.35469870645392" TargetMode="External"/><Relationship Id="rId13379" Type="http://schemas.openxmlformats.org/officeDocument/2006/relationships/hyperlink" Target="https://maps.google.com/?q=16.3237680955829,-96.678374707419493" TargetMode="External"/><Relationship Id="rId2387" Type="http://schemas.openxmlformats.org/officeDocument/2006/relationships/hyperlink" Target="https://maps.google.com/?q=16.5867104562129,-97.228372174274796" TargetMode="External"/><Relationship Id="rId3438" Type="http://schemas.openxmlformats.org/officeDocument/2006/relationships/hyperlink" Target="https://maps.google.com/?q=17.0672964427288,&#160;-96.9712725809613" TargetMode="External"/><Relationship Id="rId3852" Type="http://schemas.openxmlformats.org/officeDocument/2006/relationships/hyperlink" Target="https://maps.google.com/?q=17.1038112927767,-95.945183268761994" TargetMode="External"/><Relationship Id="rId12395" Type="http://schemas.openxmlformats.org/officeDocument/2006/relationships/hyperlink" Target="https://maps.google.com/?q=16.5563466016625,-96.822214110008005" TargetMode="External"/><Relationship Id="rId13793" Type="http://schemas.openxmlformats.org/officeDocument/2006/relationships/hyperlink" Target="https://maps.google.com/?q=17.13033778736009,-97.74781800000001" TargetMode="External"/><Relationship Id="rId359" Type="http://schemas.openxmlformats.org/officeDocument/2006/relationships/hyperlink" Target="https://maps.google.com/?q=16.054298,-97.409160999999997" TargetMode="External"/><Relationship Id="rId773" Type="http://schemas.openxmlformats.org/officeDocument/2006/relationships/hyperlink" Target="https://maps.google.com/?q=15.688516923380316,-96.514191642246573" TargetMode="External"/><Relationship Id="rId2454" Type="http://schemas.openxmlformats.org/officeDocument/2006/relationships/hyperlink" Target="https://maps.google.com/?q=17.05149063,-96.624736859999999" TargetMode="External"/><Relationship Id="rId3505" Type="http://schemas.openxmlformats.org/officeDocument/2006/relationships/hyperlink" Target="https://maps.google.com/?q=15.771040737292195,-96.148590469997757" TargetMode="External"/><Relationship Id="rId4903" Type="http://schemas.openxmlformats.org/officeDocument/2006/relationships/hyperlink" Target="https://maps.google.com/?q=18.0305265194111,-96.672687706042197" TargetMode="External"/><Relationship Id="rId9067" Type="http://schemas.openxmlformats.org/officeDocument/2006/relationships/hyperlink" Target="https://maps.google.com/?q=16.05729,-95.489131999999998" TargetMode="External"/><Relationship Id="rId9481" Type="http://schemas.openxmlformats.org/officeDocument/2006/relationships/hyperlink" Target="https://maps.google.com/?q=17.267449,-97.680485000000004" TargetMode="External"/><Relationship Id="rId12048" Type="http://schemas.openxmlformats.org/officeDocument/2006/relationships/hyperlink" Target="https://maps.google.com/?q=16.8107955508459,-96.7208299011657" TargetMode="External"/><Relationship Id="rId13446" Type="http://schemas.openxmlformats.org/officeDocument/2006/relationships/hyperlink" Target="https://maps.google.com/?q=17.685144910726,-97.033747743377504" TargetMode="External"/><Relationship Id="rId13860" Type="http://schemas.openxmlformats.org/officeDocument/2006/relationships/hyperlink" Target="https://maps.google.com/?q=16.2600025886777,-96.591366955561696" TargetMode="External"/><Relationship Id="rId426" Type="http://schemas.openxmlformats.org/officeDocument/2006/relationships/hyperlink" Target="https://maps.google.com/?q=16.052933,-97.412751" TargetMode="External"/><Relationship Id="rId1056" Type="http://schemas.openxmlformats.org/officeDocument/2006/relationships/hyperlink" Target="https://maps.google.com/?q=15.70866967897745,-96.526473390800248" TargetMode="External"/><Relationship Id="rId2107" Type="http://schemas.openxmlformats.org/officeDocument/2006/relationships/hyperlink" Target="https://maps.google.com/?q=15.766916,-96.150159" TargetMode="External"/><Relationship Id="rId8083" Type="http://schemas.openxmlformats.org/officeDocument/2006/relationships/hyperlink" Target="https://maps.google.com/?q=17.354330912589,-96.304870034418002" TargetMode="External"/><Relationship Id="rId9134" Type="http://schemas.openxmlformats.org/officeDocument/2006/relationships/hyperlink" Target="https://maps.google.com/?q=17.042394,-96.727869999999996" TargetMode="External"/><Relationship Id="rId12462" Type="http://schemas.openxmlformats.org/officeDocument/2006/relationships/hyperlink" Target="https://maps.google.com/?q=17.2215242296319,-97.270210617808303" TargetMode="External"/><Relationship Id="rId13513" Type="http://schemas.openxmlformats.org/officeDocument/2006/relationships/hyperlink" Target="https://maps.google.com/?q=17.350692114296745,-96.61610899942322" TargetMode="External"/><Relationship Id="rId840" Type="http://schemas.openxmlformats.org/officeDocument/2006/relationships/hyperlink" Target="https://maps.google.com/?q=15.70549959228639,-96.524313305372075" TargetMode="External"/><Relationship Id="rId1470" Type="http://schemas.openxmlformats.org/officeDocument/2006/relationships/hyperlink" Target="https://maps.google.com/?q=17.05,-96.70830" TargetMode="External"/><Relationship Id="rId2521" Type="http://schemas.openxmlformats.org/officeDocument/2006/relationships/hyperlink" Target="https://maps.google.com/?q=17.05221482,-96.623719629999997" TargetMode="External"/><Relationship Id="rId4279" Type="http://schemas.openxmlformats.org/officeDocument/2006/relationships/hyperlink" Target="https://maps.google.com/?q=16.05959062,-96.606035160000005" TargetMode="External"/><Relationship Id="rId5677" Type="http://schemas.openxmlformats.org/officeDocument/2006/relationships/hyperlink" Target="https://maps.google.com/?q=16.432971,-97.899437000000006" TargetMode="External"/><Relationship Id="rId6728" Type="http://schemas.openxmlformats.org/officeDocument/2006/relationships/hyperlink" Target="https://maps.google.com/?q=17.0366723224295,-96.983965308645693" TargetMode="External"/><Relationship Id="rId11064" Type="http://schemas.openxmlformats.org/officeDocument/2006/relationships/hyperlink" Target="https://maps.google.com/?q=17.28030464,-97.373585919999996" TargetMode="External"/><Relationship Id="rId12115" Type="http://schemas.openxmlformats.org/officeDocument/2006/relationships/hyperlink" Target="https://maps.google.com/?q=16.3193287166653,-97.661517566270305" TargetMode="External"/><Relationship Id="rId1123" Type="http://schemas.openxmlformats.org/officeDocument/2006/relationships/hyperlink" Target="https://maps.google.com/?q=17.094055,-97.492358999999993" TargetMode="External"/><Relationship Id="rId4693" Type="http://schemas.openxmlformats.org/officeDocument/2006/relationships/hyperlink" Target="https://maps.google.com/?q=17.062102,-96.753140999999999" TargetMode="External"/><Relationship Id="rId5744" Type="http://schemas.openxmlformats.org/officeDocument/2006/relationships/hyperlink" Target="https://maps.google.com/?q=18.0509179340792,-96.7748995862995" TargetMode="External"/><Relationship Id="rId8150" Type="http://schemas.openxmlformats.org/officeDocument/2006/relationships/hyperlink" Target="https://maps.google.com/?q=17.3564942019061,-96.302785959999994" TargetMode="External"/><Relationship Id="rId9201" Type="http://schemas.openxmlformats.org/officeDocument/2006/relationships/hyperlink" Target="https://maps.google.com/?q=17.3746097045928,-96.300146340264803" TargetMode="External"/><Relationship Id="rId10080" Type="http://schemas.openxmlformats.org/officeDocument/2006/relationships/hyperlink" Target="https://maps.google.com/?q=16.9937213408841,-96.109595699157197" TargetMode="External"/><Relationship Id="rId11131" Type="http://schemas.openxmlformats.org/officeDocument/2006/relationships/hyperlink" Target="https://maps.google.com/?q=16.834812,-96.007450000000006" TargetMode="External"/><Relationship Id="rId3295" Type="http://schemas.openxmlformats.org/officeDocument/2006/relationships/hyperlink" Target="https://maps.google.com/?q=17.0628685693824,-96.813284030349607" TargetMode="External"/><Relationship Id="rId4346" Type="http://schemas.openxmlformats.org/officeDocument/2006/relationships/hyperlink" Target="https://maps.google.com/?q=15.9567244,-96.644197030000001" TargetMode="External"/><Relationship Id="rId4760" Type="http://schemas.openxmlformats.org/officeDocument/2006/relationships/hyperlink" Target="https://maps.google.com/?q=17.9558337976547,-96.653465445090404" TargetMode="External"/><Relationship Id="rId5811" Type="http://schemas.openxmlformats.org/officeDocument/2006/relationships/hyperlink" Target="https://maps.google.com/?q=16.0089862592711,-97.425610717315493" TargetMode="External"/><Relationship Id="rId8967" Type="http://schemas.openxmlformats.org/officeDocument/2006/relationships/hyperlink" Target="https://maps.google.com/?q=17.381584549,-96.160693828000007" TargetMode="External"/><Relationship Id="rId3362" Type="http://schemas.openxmlformats.org/officeDocument/2006/relationships/hyperlink" Target="https://maps.google.com/?q=17.058707,-96.824539999999999" TargetMode="External"/><Relationship Id="rId4413" Type="http://schemas.openxmlformats.org/officeDocument/2006/relationships/hyperlink" Target="https://maps.google.com/?q=16.0045283,-96.679553900000002" TargetMode="External"/><Relationship Id="rId7569" Type="http://schemas.openxmlformats.org/officeDocument/2006/relationships/hyperlink" Target="https://maps.google.com/?q=17.3286967438734,-95.269016410231202" TargetMode="External"/><Relationship Id="rId7983" Type="http://schemas.openxmlformats.org/officeDocument/2006/relationships/hyperlink" Target="https://maps.google.com/?q=18.1630640570001,-96.871909056787104" TargetMode="External"/><Relationship Id="rId10897" Type="http://schemas.openxmlformats.org/officeDocument/2006/relationships/hyperlink" Target="https://maps.google.com/?q=16.1865656689815,-95.188129091897196" TargetMode="External"/><Relationship Id="rId11948" Type="http://schemas.openxmlformats.org/officeDocument/2006/relationships/hyperlink" Target="https://maps.google.com/?q=17.2409553728406,-97.919546131282701" TargetMode="External"/><Relationship Id="rId13370" Type="http://schemas.openxmlformats.org/officeDocument/2006/relationships/hyperlink" Target="https://maps.google.com/?q=16.3225014658918,-96.672055609787094" TargetMode="External"/><Relationship Id="rId14007" Type="http://schemas.openxmlformats.org/officeDocument/2006/relationships/hyperlink" Target="https://maps.google.com/?q=17.054894947417342,-96.65427327264973" TargetMode="External"/><Relationship Id="rId283" Type="http://schemas.openxmlformats.org/officeDocument/2006/relationships/hyperlink" Target="https://maps.google.com/?q=16.88466,-97.67765" TargetMode="External"/><Relationship Id="rId3015" Type="http://schemas.openxmlformats.org/officeDocument/2006/relationships/hyperlink" Target="https://maps.google.com/?q=16.938967,-97.016085000000004" TargetMode="External"/><Relationship Id="rId6585" Type="http://schemas.openxmlformats.org/officeDocument/2006/relationships/hyperlink" Target="https://maps.google.com/?q=17.258764,-97.686595" TargetMode="External"/><Relationship Id="rId7636" Type="http://schemas.openxmlformats.org/officeDocument/2006/relationships/hyperlink" Target="https://maps.google.com/?q=17.2309653767833,-95.049054596562897" TargetMode="External"/><Relationship Id="rId10964" Type="http://schemas.openxmlformats.org/officeDocument/2006/relationships/hyperlink" Target="https://maps.google.com/?q=16.2078863237473,-95.219066117791002" TargetMode="External"/><Relationship Id="rId13023" Type="http://schemas.openxmlformats.org/officeDocument/2006/relationships/hyperlink" Target="https://maps.google.com/?q=16.506033,-97.560884999999999" TargetMode="External"/><Relationship Id="rId350" Type="http://schemas.openxmlformats.org/officeDocument/2006/relationships/hyperlink" Target="https://maps.google.com/?q=16.054274,-97.406011000000007" TargetMode="External"/><Relationship Id="rId2031" Type="http://schemas.openxmlformats.org/officeDocument/2006/relationships/hyperlink" Target="https://maps.google.com/?q=15.758630159059898,-96.144306315359898" TargetMode="External"/><Relationship Id="rId5187" Type="http://schemas.openxmlformats.org/officeDocument/2006/relationships/hyperlink" Target="https://maps.google.com/?q=17.316174,-95.966082999999998" TargetMode="External"/><Relationship Id="rId6238" Type="http://schemas.openxmlformats.org/officeDocument/2006/relationships/hyperlink" Target="https://maps.google.com/?q=16.23923653,-96.402517860000003" TargetMode="External"/><Relationship Id="rId10617" Type="http://schemas.openxmlformats.org/officeDocument/2006/relationships/hyperlink" Target="https://maps.google.com/?q=17.1353675658401,-97.754353682209697" TargetMode="External"/><Relationship Id="rId5254" Type="http://schemas.openxmlformats.org/officeDocument/2006/relationships/hyperlink" Target="https://maps.google.com/?q=15.8833480784811,-96.329956063842005" TargetMode="External"/><Relationship Id="rId6652" Type="http://schemas.openxmlformats.org/officeDocument/2006/relationships/hyperlink" Target="https://maps.google.com/?q=17.755038,-96.200192999999999" TargetMode="External"/><Relationship Id="rId7703" Type="http://schemas.openxmlformats.org/officeDocument/2006/relationships/hyperlink" Target="https://maps.google.com/?q=16.6276406455373,-96.796439519365606" TargetMode="External"/><Relationship Id="rId12789" Type="http://schemas.openxmlformats.org/officeDocument/2006/relationships/hyperlink" Target="https://maps.google.com/?q=16.234314,-97.2926372284698" TargetMode="External"/><Relationship Id="rId1797" Type="http://schemas.openxmlformats.org/officeDocument/2006/relationships/hyperlink" Target="https://maps.google.com/?q=18.0675964527524,-96.900286440000002" TargetMode="External"/><Relationship Id="rId2848" Type="http://schemas.openxmlformats.org/officeDocument/2006/relationships/hyperlink" Target="https://maps.google.com/?q=16.9627644854155,-97.729228211552794" TargetMode="External"/><Relationship Id="rId6305" Type="http://schemas.openxmlformats.org/officeDocument/2006/relationships/hyperlink" Target="https://maps.google.com/?q=18.057444,-96.397126" TargetMode="External"/><Relationship Id="rId9875" Type="http://schemas.openxmlformats.org/officeDocument/2006/relationships/hyperlink" Target="https://maps.google.com/?q=16.6362647127357,-96.848344299999994" TargetMode="External"/><Relationship Id="rId12856" Type="http://schemas.openxmlformats.org/officeDocument/2006/relationships/hyperlink" Target="https://maps.google.com/?q=17.517821,-97.686459999999997" TargetMode="External"/><Relationship Id="rId13907" Type="http://schemas.openxmlformats.org/officeDocument/2006/relationships/hyperlink" Target="https://maps.google.com/?q=16.8501444834515,-96.783420822090207" TargetMode="External"/><Relationship Id="rId89" Type="http://schemas.openxmlformats.org/officeDocument/2006/relationships/hyperlink" Target="https://maps.google.com/?q=15.832642,-96.463256999999999" TargetMode="External"/><Relationship Id="rId1864" Type="http://schemas.openxmlformats.org/officeDocument/2006/relationships/hyperlink" Target="https://maps.google.com/?q=15.7744542129831,-96.149260862719515" TargetMode="External"/><Relationship Id="rId2915" Type="http://schemas.openxmlformats.org/officeDocument/2006/relationships/hyperlink" Target="https://maps.google.com/?q=17.06975368,-96.687090749999996" TargetMode="External"/><Relationship Id="rId4270" Type="http://schemas.openxmlformats.org/officeDocument/2006/relationships/hyperlink" Target="https://maps.google.com/?q=16.016818404641473,-96.64814638525033" TargetMode="External"/><Relationship Id="rId5321" Type="http://schemas.openxmlformats.org/officeDocument/2006/relationships/hyperlink" Target="https://maps.google.com/?q=15.8070336255362,-96.358040194781296" TargetMode="External"/><Relationship Id="rId8477" Type="http://schemas.openxmlformats.org/officeDocument/2006/relationships/hyperlink" Target="https://maps.google.com/?q=17.1508301997571,-97.533926064417898" TargetMode="External"/><Relationship Id="rId8891" Type="http://schemas.openxmlformats.org/officeDocument/2006/relationships/hyperlink" Target="https://maps.google.com/?q=17.379796135,-96.161619626000004" TargetMode="External"/><Relationship Id="rId9528" Type="http://schemas.openxmlformats.org/officeDocument/2006/relationships/hyperlink" Target="https://maps.google.com/?q=17.27048,-96.793261" TargetMode="External"/><Relationship Id="rId9942" Type="http://schemas.openxmlformats.org/officeDocument/2006/relationships/hyperlink" Target="https://maps.google.com/?q=16.707365,-96.712118000000004" TargetMode="External"/><Relationship Id="rId11458" Type="http://schemas.openxmlformats.org/officeDocument/2006/relationships/hyperlink" Target="https://maps.google.com/?q=16.0018998322796,-97.424542383709607" TargetMode="External"/><Relationship Id="rId12509" Type="http://schemas.openxmlformats.org/officeDocument/2006/relationships/hyperlink" Target="https://maps.google.com/?q=17.2254707194126,-97.273801166252994" TargetMode="External"/><Relationship Id="rId1517" Type="http://schemas.openxmlformats.org/officeDocument/2006/relationships/hyperlink" Target="https://maps.google.com/?q=17.061462,-96.754750999999999" TargetMode="External"/><Relationship Id="rId7079" Type="http://schemas.openxmlformats.org/officeDocument/2006/relationships/hyperlink" Target="https://maps.google.com/?q=16.37761,-98.142995999999997" TargetMode="External"/><Relationship Id="rId7493" Type="http://schemas.openxmlformats.org/officeDocument/2006/relationships/hyperlink" Target="https://maps.google.com/?q=17.34206302,-97.372485299999994" TargetMode="External"/><Relationship Id="rId8544" Type="http://schemas.openxmlformats.org/officeDocument/2006/relationships/hyperlink" Target="https://maps.google.com/?q=16.9207706297132,-96.608630391192506" TargetMode="External"/><Relationship Id="rId10474" Type="http://schemas.openxmlformats.org/officeDocument/2006/relationships/hyperlink" Target="https://maps.google.com/?q=17.8423771501835,-96.746864209009601" TargetMode="External"/><Relationship Id="rId11872" Type="http://schemas.openxmlformats.org/officeDocument/2006/relationships/hyperlink" Target="https://maps.google.com/?q=17.999811282750855,-96.7559510242939" TargetMode="External"/><Relationship Id="rId12923" Type="http://schemas.openxmlformats.org/officeDocument/2006/relationships/hyperlink" Target="https://maps.google.com/?q=16.556431,-97.409811899999994" TargetMode="External"/><Relationship Id="rId1931" Type="http://schemas.openxmlformats.org/officeDocument/2006/relationships/hyperlink" Target="https://maps.google.com/?q=15.777109891179562,-96.13693167440168" TargetMode="External"/><Relationship Id="rId3689" Type="http://schemas.openxmlformats.org/officeDocument/2006/relationships/hyperlink" Target="https://maps.google.com/?q=15.756518363586299,-96.148550925334533" TargetMode="External"/><Relationship Id="rId6095" Type="http://schemas.openxmlformats.org/officeDocument/2006/relationships/hyperlink" Target="https://maps.google.com/?q=17.976164,-96.704222999999999" TargetMode="External"/><Relationship Id="rId7146" Type="http://schemas.openxmlformats.org/officeDocument/2006/relationships/hyperlink" Target="https://maps.google.com/?q=17.3643808280597,-97.665937807849602" TargetMode="External"/><Relationship Id="rId7560" Type="http://schemas.openxmlformats.org/officeDocument/2006/relationships/hyperlink" Target="https://maps.google.com/?q=17.3272237470224,-95.268308861020301" TargetMode="External"/><Relationship Id="rId8611" Type="http://schemas.openxmlformats.org/officeDocument/2006/relationships/hyperlink" Target="https://maps.google.com/?q=17.8882793946656,-96.723255336924197" TargetMode="External"/><Relationship Id="rId10127" Type="http://schemas.openxmlformats.org/officeDocument/2006/relationships/hyperlink" Target="https://maps.google.com/?q=17.1224027538111,-97.515658782925001" TargetMode="External"/><Relationship Id="rId11525" Type="http://schemas.openxmlformats.org/officeDocument/2006/relationships/hyperlink" Target="https://maps.google.com/?q=16.614854051904,-96.855117554133599" TargetMode="External"/><Relationship Id="rId6162" Type="http://schemas.openxmlformats.org/officeDocument/2006/relationships/hyperlink" Target="https://maps.google.com/?q=16.1419672018754,-96.4185470900693" TargetMode="External"/><Relationship Id="rId7213" Type="http://schemas.openxmlformats.org/officeDocument/2006/relationships/hyperlink" Target="https://maps.google.com/?q=16.2275772464347,-97.945092008596603" TargetMode="External"/><Relationship Id="rId10541" Type="http://schemas.openxmlformats.org/officeDocument/2006/relationships/hyperlink" Target="https://maps.google.com/?q=17.1181094211612,-97.789440890938295" TargetMode="External"/><Relationship Id="rId13697" Type="http://schemas.openxmlformats.org/officeDocument/2006/relationships/hyperlink" Target="https://maps.google.com/?q=17.268429,-96.472924" TargetMode="External"/><Relationship Id="rId677" Type="http://schemas.openxmlformats.org/officeDocument/2006/relationships/hyperlink" Target="https://maps.google.com/?q=16.061124,-97.384180000000001" TargetMode="External"/><Relationship Id="rId2358" Type="http://schemas.openxmlformats.org/officeDocument/2006/relationships/hyperlink" Target="https://maps.google.com/?q=17.062379,-97.694586999999999" TargetMode="External"/><Relationship Id="rId3756" Type="http://schemas.openxmlformats.org/officeDocument/2006/relationships/hyperlink" Target="https://maps.google.com/?q=15.762059,-96.144071999999994" TargetMode="External"/><Relationship Id="rId4807" Type="http://schemas.openxmlformats.org/officeDocument/2006/relationships/hyperlink" Target="https://maps.google.com/?q=16.9030104163184,-96.4997652688958" TargetMode="External"/><Relationship Id="rId9385" Type="http://schemas.openxmlformats.org/officeDocument/2006/relationships/hyperlink" Target="https://maps.google.com/?q=16.820545311868,-95.138563792198099" TargetMode="External"/><Relationship Id="rId12299" Type="http://schemas.openxmlformats.org/officeDocument/2006/relationships/hyperlink" Target="https://maps.google.com/?q=16.4866340025827,-94.359224542327794" TargetMode="External"/><Relationship Id="rId13764" Type="http://schemas.openxmlformats.org/officeDocument/2006/relationships/hyperlink" Target="https://maps.google.com/?q=16.341,-98.44752" TargetMode="External"/><Relationship Id="rId2772" Type="http://schemas.openxmlformats.org/officeDocument/2006/relationships/hyperlink" Target="https://maps.google.com/?q=18.0212966224881,-96.618703401623307" TargetMode="External"/><Relationship Id="rId3409" Type="http://schemas.openxmlformats.org/officeDocument/2006/relationships/hyperlink" Target="https://maps.google.com/?q=17.8162231,-96.242368099999993" TargetMode="External"/><Relationship Id="rId3823" Type="http://schemas.openxmlformats.org/officeDocument/2006/relationships/hyperlink" Target="https://maps.google.com/?q=16.48602178,-95.04293229" TargetMode="External"/><Relationship Id="rId6979" Type="http://schemas.openxmlformats.org/officeDocument/2006/relationships/hyperlink" Target="https://maps.google.com/?q=17.0956704,-97.495727500000001" TargetMode="External"/><Relationship Id="rId9038" Type="http://schemas.openxmlformats.org/officeDocument/2006/relationships/hyperlink" Target="https://maps.google.com/?q=16.054273,-95.472219999999993" TargetMode="External"/><Relationship Id="rId12366" Type="http://schemas.openxmlformats.org/officeDocument/2006/relationships/hyperlink" Target="https://maps.google.com/?q=17.04827,-96.70951" TargetMode="External"/><Relationship Id="rId12780" Type="http://schemas.openxmlformats.org/officeDocument/2006/relationships/hyperlink" Target="https://maps.google.com/?q=16.887266675584797,-96.74118868349007" TargetMode="External"/><Relationship Id="rId13417" Type="http://schemas.openxmlformats.org/officeDocument/2006/relationships/hyperlink" Target="https://maps.google.com/?q=16.3329384316454,-96.677626353338297" TargetMode="External"/><Relationship Id="rId13831" Type="http://schemas.openxmlformats.org/officeDocument/2006/relationships/hyperlink" Target="https://maps.google.com/?q=17.090755,-97.784863999999999" TargetMode="External"/><Relationship Id="rId744" Type="http://schemas.openxmlformats.org/officeDocument/2006/relationships/hyperlink" Target="https://maps.google.com/?q=15.682525652328792,-96.51016296562247" TargetMode="External"/><Relationship Id="rId1374" Type="http://schemas.openxmlformats.org/officeDocument/2006/relationships/hyperlink" Target="https://maps.google.com/?q=15.746144,-96.465182999999996" TargetMode="External"/><Relationship Id="rId2425" Type="http://schemas.openxmlformats.org/officeDocument/2006/relationships/hyperlink" Target="https://maps.google.com/?q=17.05117228,-96.624132470000006" TargetMode="External"/><Relationship Id="rId5995" Type="http://schemas.openxmlformats.org/officeDocument/2006/relationships/hyperlink" Target="https://maps.google.com/?q=18.15506377397803,-96.574676325560972" TargetMode="External"/><Relationship Id="rId9452" Type="http://schemas.openxmlformats.org/officeDocument/2006/relationships/hyperlink" Target="https://maps.google.com/?q=15.8304919707919,-96.618392542327797" TargetMode="External"/><Relationship Id="rId11382" Type="http://schemas.openxmlformats.org/officeDocument/2006/relationships/hyperlink" Target="https://maps.google.com/?q=17.3427681780092,-97.55733353897799" TargetMode="External"/><Relationship Id="rId12019" Type="http://schemas.openxmlformats.org/officeDocument/2006/relationships/hyperlink" Target="https://maps.google.com/?q=16.8037996587133,-96.709557962596506" TargetMode="External"/><Relationship Id="rId12433" Type="http://schemas.openxmlformats.org/officeDocument/2006/relationships/hyperlink" Target="https://maps.google.com/?q=17.2204645465148,-97.271658005129595" TargetMode="External"/><Relationship Id="rId80" Type="http://schemas.openxmlformats.org/officeDocument/2006/relationships/hyperlink" Target="https://maps.google.com/?q=15.907911,-96.449386000000004" TargetMode="External"/><Relationship Id="rId811" Type="http://schemas.openxmlformats.org/officeDocument/2006/relationships/hyperlink" Target="https://maps.google.com/?q=15.695781695858319,-96.523145909358618" TargetMode="External"/><Relationship Id="rId1027" Type="http://schemas.openxmlformats.org/officeDocument/2006/relationships/hyperlink" Target="https://maps.google.com/?q=15.701302818816085,-96.523577339817919" TargetMode="External"/><Relationship Id="rId1441" Type="http://schemas.openxmlformats.org/officeDocument/2006/relationships/hyperlink" Target="https://maps.google.com/?q=17.08393,-96.71855" TargetMode="External"/><Relationship Id="rId4597" Type="http://schemas.openxmlformats.org/officeDocument/2006/relationships/hyperlink" Target="https://maps.google.com/?q=16.557368,-96.818251000000004" TargetMode="External"/><Relationship Id="rId5648" Type="http://schemas.openxmlformats.org/officeDocument/2006/relationships/hyperlink" Target="https://maps.google.com/?q=17.5635038012442,-96.178590570000694" TargetMode="External"/><Relationship Id="rId8054" Type="http://schemas.openxmlformats.org/officeDocument/2006/relationships/hyperlink" Target="https://maps.google.com/?q=16.4965783443848,-97.374252267790993" TargetMode="External"/><Relationship Id="rId9105" Type="http://schemas.openxmlformats.org/officeDocument/2006/relationships/hyperlink" Target="https://maps.google.com/?q=17.939085562952478,-96.75493178064744" TargetMode="External"/><Relationship Id="rId11035" Type="http://schemas.openxmlformats.org/officeDocument/2006/relationships/hyperlink" Target="https://maps.google.com/?q=17.362373,-96.131903" TargetMode="External"/><Relationship Id="rId3199" Type="http://schemas.openxmlformats.org/officeDocument/2006/relationships/hyperlink" Target="https://maps.google.com/?q=17.03806,-97.053535999999994" TargetMode="External"/><Relationship Id="rId4664" Type="http://schemas.openxmlformats.org/officeDocument/2006/relationships/hyperlink" Target="https://maps.google.com/?q=17.073996,-96.743902000000006" TargetMode="External"/><Relationship Id="rId5715" Type="http://schemas.openxmlformats.org/officeDocument/2006/relationships/hyperlink" Target="https://maps.google.com/?q=17.4321982638,-96.281524942067904" TargetMode="External"/><Relationship Id="rId7070" Type="http://schemas.openxmlformats.org/officeDocument/2006/relationships/hyperlink" Target="https://maps.google.com/?q=16.5729098632885,-97.033713271163904" TargetMode="External"/><Relationship Id="rId8121" Type="http://schemas.openxmlformats.org/officeDocument/2006/relationships/hyperlink" Target="https://maps.google.com/?q=17.355308873382,-96.305317960118899" TargetMode="External"/><Relationship Id="rId10051" Type="http://schemas.openxmlformats.org/officeDocument/2006/relationships/hyperlink" Target="https://maps.google.com/?q=16.9266146454818,-96.357738295152203" TargetMode="External"/><Relationship Id="rId11102" Type="http://schemas.openxmlformats.org/officeDocument/2006/relationships/hyperlink" Target="https://maps.google.com/?q=17.254968,-96.153963" TargetMode="External"/><Relationship Id="rId12500" Type="http://schemas.openxmlformats.org/officeDocument/2006/relationships/hyperlink" Target="https://maps.google.com/?q=17.223443255979,-97.272602925964506" TargetMode="External"/><Relationship Id="rId3266" Type="http://schemas.openxmlformats.org/officeDocument/2006/relationships/hyperlink" Target="https://maps.google.com/?q=17.060008,-96.822118000000003" TargetMode="External"/><Relationship Id="rId4317" Type="http://schemas.openxmlformats.org/officeDocument/2006/relationships/hyperlink" Target="https://maps.google.com/?q=16.0293959887275,-96.649945629742405" TargetMode="External"/><Relationship Id="rId187" Type="http://schemas.openxmlformats.org/officeDocument/2006/relationships/hyperlink" Target="https://maps.google.com/?q=17.094734,-97.497703000000001" TargetMode="External"/><Relationship Id="rId2282" Type="http://schemas.openxmlformats.org/officeDocument/2006/relationships/hyperlink" Target="https://maps.google.com/?q=18.0984633151667,-96.929020107512798" TargetMode="External"/><Relationship Id="rId3680" Type="http://schemas.openxmlformats.org/officeDocument/2006/relationships/hyperlink" Target="https://maps.google.com/?q=15.775669,-96.142743" TargetMode="External"/><Relationship Id="rId4731" Type="http://schemas.openxmlformats.org/officeDocument/2006/relationships/hyperlink" Target="https://maps.google.com/?q=16.898493,-96.466697" TargetMode="External"/><Relationship Id="rId6489" Type="http://schemas.openxmlformats.org/officeDocument/2006/relationships/hyperlink" Target="https://maps.google.com/?q=17.2011110632611,-97.595415588637493" TargetMode="External"/><Relationship Id="rId7887" Type="http://schemas.openxmlformats.org/officeDocument/2006/relationships/hyperlink" Target="https://maps.google.com/?q=16.3183008637916,-96.412714428241699" TargetMode="External"/><Relationship Id="rId8938" Type="http://schemas.openxmlformats.org/officeDocument/2006/relationships/hyperlink" Target="https://maps.google.com/?q=17.381185561,-96.160322776000001" TargetMode="External"/><Relationship Id="rId10868" Type="http://schemas.openxmlformats.org/officeDocument/2006/relationships/hyperlink" Target="https://maps.google.com/?q=16.3440121770253,-94.482736795600303" TargetMode="External"/><Relationship Id="rId11919" Type="http://schemas.openxmlformats.org/officeDocument/2006/relationships/hyperlink" Target="https://maps.google.com/?q=16.405872,-97.224968000000004" TargetMode="External"/><Relationship Id="rId13274" Type="http://schemas.openxmlformats.org/officeDocument/2006/relationships/hyperlink" Target="https://maps.google.com/?q=16.1326647974037,-96.375193130302605" TargetMode="External"/><Relationship Id="rId254" Type="http://schemas.openxmlformats.org/officeDocument/2006/relationships/hyperlink" Target="https://maps.google.com/?q=16.88581,-97.678659999999994" TargetMode="External"/><Relationship Id="rId3333" Type="http://schemas.openxmlformats.org/officeDocument/2006/relationships/hyperlink" Target="https://maps.google.com/?q=17.0668252131553,-96.819453654942706" TargetMode="External"/><Relationship Id="rId7954" Type="http://schemas.openxmlformats.org/officeDocument/2006/relationships/hyperlink" Target="https://maps.google.com/?q=15.9476784978684,-96.553790258111803" TargetMode="External"/><Relationship Id="rId10935" Type="http://schemas.openxmlformats.org/officeDocument/2006/relationships/hyperlink" Target="https://maps.google.com/?q=16.1945884004239,-95.215863219999804" TargetMode="External"/><Relationship Id="rId12290" Type="http://schemas.openxmlformats.org/officeDocument/2006/relationships/hyperlink" Target="https://maps.google.com/?q=16.4800144372869,-94.352296717756204" TargetMode="External"/><Relationship Id="rId13341" Type="http://schemas.openxmlformats.org/officeDocument/2006/relationships/hyperlink" Target="https://maps.google.com/?q=16.3136123892658,-96.673340038028698" TargetMode="External"/><Relationship Id="rId3400" Type="http://schemas.openxmlformats.org/officeDocument/2006/relationships/hyperlink" Target="https://maps.google.com/?q=18.0056606802567,-96.642668075343195" TargetMode="External"/><Relationship Id="rId6556" Type="http://schemas.openxmlformats.org/officeDocument/2006/relationships/hyperlink" Target="https://maps.google.com/?q=17.761081,-96.878124" TargetMode="External"/><Relationship Id="rId6970" Type="http://schemas.openxmlformats.org/officeDocument/2006/relationships/hyperlink" Target="https://maps.google.com/?q=17.01411847,-96.51962417" TargetMode="External"/><Relationship Id="rId7607" Type="http://schemas.openxmlformats.org/officeDocument/2006/relationships/hyperlink" Target="https://maps.google.com/?q=17.2292442192095,-95.049382211297598" TargetMode="External"/><Relationship Id="rId321" Type="http://schemas.openxmlformats.org/officeDocument/2006/relationships/hyperlink" Target="https://maps.google.com/?q=16.054392,-97.395160000000004" TargetMode="External"/><Relationship Id="rId2002" Type="http://schemas.openxmlformats.org/officeDocument/2006/relationships/hyperlink" Target="https://maps.google.com/?q=15.75770307794821,-96.13904110980323" TargetMode="External"/><Relationship Id="rId5158" Type="http://schemas.openxmlformats.org/officeDocument/2006/relationships/hyperlink" Target="https://maps.google.com/?q=17.254863,-96.152292000000003" TargetMode="External"/><Relationship Id="rId5572" Type="http://schemas.openxmlformats.org/officeDocument/2006/relationships/hyperlink" Target="https://maps.google.com/?q=17.443321772742,-96.183656017791407" TargetMode="External"/><Relationship Id="rId6209" Type="http://schemas.openxmlformats.org/officeDocument/2006/relationships/hyperlink" Target="https://maps.google.com/?q=16.095242,-97.081740999999994" TargetMode="External"/><Relationship Id="rId6623" Type="http://schemas.openxmlformats.org/officeDocument/2006/relationships/hyperlink" Target="https://maps.google.com/?q=16.370027,-97.678989" TargetMode="External"/><Relationship Id="rId9779" Type="http://schemas.openxmlformats.org/officeDocument/2006/relationships/hyperlink" Target="https://maps.google.com/?q=16.6390355927092,-96.751744835582102" TargetMode="External"/><Relationship Id="rId12010" Type="http://schemas.openxmlformats.org/officeDocument/2006/relationships/hyperlink" Target="https://maps.google.com/?q=16.802904044221,-96.722670743551504" TargetMode="External"/><Relationship Id="rId1768" Type="http://schemas.openxmlformats.org/officeDocument/2006/relationships/hyperlink" Target="https://maps.google.com/?q=18.06161743,-96.847407590000003" TargetMode="External"/><Relationship Id="rId2819" Type="http://schemas.openxmlformats.org/officeDocument/2006/relationships/hyperlink" Target="https://maps.google.com/?q=16.9905920042544,-97.716444384673096" TargetMode="External"/><Relationship Id="rId4174" Type="http://schemas.openxmlformats.org/officeDocument/2006/relationships/hyperlink" Target="https://maps.google.com/?q=16.3197072516773,-97.797468985284695" TargetMode="External"/><Relationship Id="rId5225" Type="http://schemas.openxmlformats.org/officeDocument/2006/relationships/hyperlink" Target="https://maps.google.com/?q=17.2805095998669,-97.370203000000004" TargetMode="External"/><Relationship Id="rId8795" Type="http://schemas.openxmlformats.org/officeDocument/2006/relationships/hyperlink" Target="https://maps.google.com/?q=17.213247,-96.250653" TargetMode="External"/><Relationship Id="rId9846" Type="http://schemas.openxmlformats.org/officeDocument/2006/relationships/hyperlink" Target="https://maps.google.com/?q=16.633573702579,-96.852218427791101" TargetMode="External"/><Relationship Id="rId3190" Type="http://schemas.openxmlformats.org/officeDocument/2006/relationships/hyperlink" Target="https://maps.google.com/?q=17.035351,-97.052132999999998" TargetMode="External"/><Relationship Id="rId4241" Type="http://schemas.openxmlformats.org/officeDocument/2006/relationships/hyperlink" Target="https://maps.google.com/?q=16.5675273121086,-96.699065291015202" TargetMode="External"/><Relationship Id="rId7397" Type="http://schemas.openxmlformats.org/officeDocument/2006/relationships/hyperlink" Target="https://maps.google.com/?q=17.106851,-97.002511999999996" TargetMode="External"/><Relationship Id="rId8448" Type="http://schemas.openxmlformats.org/officeDocument/2006/relationships/hyperlink" Target="https://maps.google.com/?q=17.1450415734515,-97.540872242058796" TargetMode="External"/><Relationship Id="rId11776" Type="http://schemas.openxmlformats.org/officeDocument/2006/relationships/hyperlink" Target="https://maps.google.com/?q=16.95987599677426,-96.58499597668644" TargetMode="External"/><Relationship Id="rId12827" Type="http://schemas.openxmlformats.org/officeDocument/2006/relationships/hyperlink" Target="https://maps.google.com/?q=17.514256,-97.683124000000007" TargetMode="External"/><Relationship Id="rId1835" Type="http://schemas.openxmlformats.org/officeDocument/2006/relationships/hyperlink" Target="https://maps.google.com/?q=18.0364959496931,-96.897975546220096" TargetMode="External"/><Relationship Id="rId7464" Type="http://schemas.openxmlformats.org/officeDocument/2006/relationships/hyperlink" Target="https://maps.google.com/?q=17.070793724699,-96.750347854477496" TargetMode="External"/><Relationship Id="rId8862" Type="http://schemas.openxmlformats.org/officeDocument/2006/relationships/hyperlink" Target="https://maps.google.com/?q=17.220466,-96.243380000000002" TargetMode="External"/><Relationship Id="rId9913" Type="http://schemas.openxmlformats.org/officeDocument/2006/relationships/hyperlink" Target="https://maps.google.com/?q=16.70622,-96.709524999999999" TargetMode="External"/><Relationship Id="rId10378" Type="http://schemas.openxmlformats.org/officeDocument/2006/relationships/hyperlink" Target="https://maps.google.com/?q=17.4373045172488,-96.655048952334496" TargetMode="External"/><Relationship Id="rId10792" Type="http://schemas.openxmlformats.org/officeDocument/2006/relationships/hyperlink" Target="https://maps.google.com/?q=16.36831628785,-96.393960626631795" TargetMode="External"/><Relationship Id="rId11429" Type="http://schemas.openxmlformats.org/officeDocument/2006/relationships/hyperlink" Target="https://maps.google.com/?q=16.197707,-96.607982000000007" TargetMode="External"/><Relationship Id="rId11843" Type="http://schemas.openxmlformats.org/officeDocument/2006/relationships/hyperlink" Target="https://maps.google.com/?q=17.448416160801703,-98.27887748843003" TargetMode="External"/><Relationship Id="rId1902" Type="http://schemas.openxmlformats.org/officeDocument/2006/relationships/hyperlink" Target="https://maps.google.com/?q=15.77655480962861,-96.136613051213573" TargetMode="External"/><Relationship Id="rId6066" Type="http://schemas.openxmlformats.org/officeDocument/2006/relationships/hyperlink" Target="https://maps.google.com/?q=18.160338662104675,-96.576614483476021" TargetMode="External"/><Relationship Id="rId7117" Type="http://schemas.openxmlformats.org/officeDocument/2006/relationships/hyperlink" Target="https://maps.google.com/?q=17.353606436568,-97.6338639083815" TargetMode="External"/><Relationship Id="rId8515" Type="http://schemas.openxmlformats.org/officeDocument/2006/relationships/hyperlink" Target="https://maps.google.com/?q=17.1505577697533,-97.535704438893205" TargetMode="External"/><Relationship Id="rId10445" Type="http://schemas.openxmlformats.org/officeDocument/2006/relationships/hyperlink" Target="https://maps.google.com/?q=17.0427472,-96.780271400000004" TargetMode="External"/><Relationship Id="rId11910" Type="http://schemas.openxmlformats.org/officeDocument/2006/relationships/hyperlink" Target="https://maps.google.com/?q=17.286190799084597,-96.62379245518932" TargetMode="External"/><Relationship Id="rId6480" Type="http://schemas.openxmlformats.org/officeDocument/2006/relationships/hyperlink" Target="https://maps.google.com/?q=17.2559649592867,-97.541537748115701" TargetMode="External"/><Relationship Id="rId7531" Type="http://schemas.openxmlformats.org/officeDocument/2006/relationships/hyperlink" Target="https://maps.google.com/?q=17.9755907042194,-96.705891152279904" TargetMode="External"/><Relationship Id="rId10512" Type="http://schemas.openxmlformats.org/officeDocument/2006/relationships/hyperlink" Target="https://maps.google.com/?q=17.8464686,-96.74470291" TargetMode="External"/><Relationship Id="rId13668" Type="http://schemas.openxmlformats.org/officeDocument/2006/relationships/hyperlink" Target="https://maps.google.com/?q=16.398881,-95.603144" TargetMode="External"/><Relationship Id="rId995" Type="http://schemas.openxmlformats.org/officeDocument/2006/relationships/hyperlink" Target="https://maps.google.com/?q=15.692788880353797,-96.521241620374226" TargetMode="External"/><Relationship Id="rId2676" Type="http://schemas.openxmlformats.org/officeDocument/2006/relationships/hyperlink" Target="https://maps.google.com/?q=17.280624,-97.701707999999996" TargetMode="External"/><Relationship Id="rId3727" Type="http://schemas.openxmlformats.org/officeDocument/2006/relationships/hyperlink" Target="https://maps.google.com/?q=15.7589602693279,-96.139872105262356" TargetMode="External"/><Relationship Id="rId5082" Type="http://schemas.openxmlformats.org/officeDocument/2006/relationships/hyperlink" Target="https://maps.google.com/?q=17.25286,-96.154972999999998" TargetMode="External"/><Relationship Id="rId6133" Type="http://schemas.openxmlformats.org/officeDocument/2006/relationships/hyperlink" Target="https://maps.google.com/?q=16.95224032,-96.615039629999998" TargetMode="External"/><Relationship Id="rId9289" Type="http://schemas.openxmlformats.org/officeDocument/2006/relationships/hyperlink" Target="https://maps.google.com/?q=16.9266830888799,-95.206805376335097" TargetMode="External"/><Relationship Id="rId12684" Type="http://schemas.openxmlformats.org/officeDocument/2006/relationships/hyperlink" Target="https://maps.google.com/?q=17.068498,-96.720205" TargetMode="External"/><Relationship Id="rId648" Type="http://schemas.openxmlformats.org/officeDocument/2006/relationships/hyperlink" Target="https://maps.google.com/?q=16.05481,-97.395390000000006" TargetMode="External"/><Relationship Id="rId1278" Type="http://schemas.openxmlformats.org/officeDocument/2006/relationships/hyperlink" Target="https://maps.google.com/?q=17.058742,-96.743148000000005" TargetMode="External"/><Relationship Id="rId1692" Type="http://schemas.openxmlformats.org/officeDocument/2006/relationships/hyperlink" Target="https://maps.google.com/?q=18.0716108033699,-96.897667495959595" TargetMode="External"/><Relationship Id="rId2329" Type="http://schemas.openxmlformats.org/officeDocument/2006/relationships/hyperlink" Target="https://maps.google.com/?q=17.056389,-97.669613999999996" TargetMode="External"/><Relationship Id="rId2743" Type="http://schemas.openxmlformats.org/officeDocument/2006/relationships/hyperlink" Target="https://maps.google.com/?q=17.9910752209743,-96.487952896820204" TargetMode="External"/><Relationship Id="rId5899" Type="http://schemas.openxmlformats.org/officeDocument/2006/relationships/hyperlink" Target="https://maps.google.com/?q=18.145592508823736,-96.565724503084411" TargetMode="External"/><Relationship Id="rId6200" Type="http://schemas.openxmlformats.org/officeDocument/2006/relationships/hyperlink" Target="https://maps.google.com/?q=16.093969,-97.083291000000003" TargetMode="External"/><Relationship Id="rId9356" Type="http://schemas.openxmlformats.org/officeDocument/2006/relationships/hyperlink" Target="https://maps.google.com/?q=16.8181869097727,-95.136419398409998" TargetMode="External"/><Relationship Id="rId9770" Type="http://schemas.openxmlformats.org/officeDocument/2006/relationships/hyperlink" Target="https://maps.google.com/?q=17.2847234439911,-96.793840576285703" TargetMode="External"/><Relationship Id="rId11286" Type="http://schemas.openxmlformats.org/officeDocument/2006/relationships/hyperlink" Target="https://maps.google.com/?q=17.8668057456653,-96.308046290534904" TargetMode="External"/><Relationship Id="rId12337" Type="http://schemas.openxmlformats.org/officeDocument/2006/relationships/hyperlink" Target="https://maps.google.com/?q=16.767836,-96.481687" TargetMode="External"/><Relationship Id="rId13735" Type="http://schemas.openxmlformats.org/officeDocument/2006/relationships/hyperlink" Target="https://maps.google.com/?q=16.500622,-96.106727" TargetMode="External"/><Relationship Id="rId715" Type="http://schemas.openxmlformats.org/officeDocument/2006/relationships/hyperlink" Target="https://maps.google.com/?q=16.062358,-97.383600000000001" TargetMode="External"/><Relationship Id="rId1345" Type="http://schemas.openxmlformats.org/officeDocument/2006/relationships/hyperlink" Target="https://maps.google.com/?q=17.0197253,-96.7180375" TargetMode="External"/><Relationship Id="rId8372" Type="http://schemas.openxmlformats.org/officeDocument/2006/relationships/hyperlink" Target="https://maps.google.com/?q=16.845934893884,-97.200961360566495" TargetMode="External"/><Relationship Id="rId9009" Type="http://schemas.openxmlformats.org/officeDocument/2006/relationships/hyperlink" Target="https://maps.google.com/?q=17.382628662,-96.166371736000002" TargetMode="External"/><Relationship Id="rId9423" Type="http://schemas.openxmlformats.org/officeDocument/2006/relationships/hyperlink" Target="https://maps.google.com/?q=16.7760758781196,-95.189731172682599" TargetMode="External"/><Relationship Id="rId12751" Type="http://schemas.openxmlformats.org/officeDocument/2006/relationships/hyperlink" Target="https://maps.google.com/?q=17.4525045022253,-97.282120611163904" TargetMode="External"/><Relationship Id="rId13802" Type="http://schemas.openxmlformats.org/officeDocument/2006/relationships/hyperlink" Target="https://maps.google.com/?q=17.131064,-97.748919999999998" TargetMode="External"/><Relationship Id="rId2810" Type="http://schemas.openxmlformats.org/officeDocument/2006/relationships/hyperlink" Target="https://maps.google.com/?q=16.9895453613779,-97.711978725776007" TargetMode="External"/><Relationship Id="rId4568" Type="http://schemas.openxmlformats.org/officeDocument/2006/relationships/hyperlink" Target="https://maps.google.com/?q=16.55189,-96.817926999999997" TargetMode="External"/><Relationship Id="rId5966" Type="http://schemas.openxmlformats.org/officeDocument/2006/relationships/hyperlink" Target="https://maps.google.com/?q=18.154307225279126,-96.574108104581924" TargetMode="External"/><Relationship Id="rId8025" Type="http://schemas.openxmlformats.org/officeDocument/2006/relationships/hyperlink" Target="https://maps.google.com/?q=16.4846029683535,-97.379778314725101" TargetMode="External"/><Relationship Id="rId11353" Type="http://schemas.openxmlformats.org/officeDocument/2006/relationships/hyperlink" Target="https://maps.google.com/?q=16.3717750927884,-94.195407597553199" TargetMode="External"/><Relationship Id="rId12404" Type="http://schemas.openxmlformats.org/officeDocument/2006/relationships/hyperlink" Target="https://maps.google.com/?q=16.556762720103,-96.8207193877316" TargetMode="External"/><Relationship Id="rId51" Type="http://schemas.openxmlformats.org/officeDocument/2006/relationships/hyperlink" Target="https://maps.google.com/?q=15.909585,-96.449561000000003" TargetMode="External"/><Relationship Id="rId1412" Type="http://schemas.openxmlformats.org/officeDocument/2006/relationships/hyperlink" Target="https://maps.google.com/?q=17.801687,-96.959688" TargetMode="External"/><Relationship Id="rId4982" Type="http://schemas.openxmlformats.org/officeDocument/2006/relationships/hyperlink" Target="https://maps.google.com/?q=15.83598594,-96.32214197" TargetMode="External"/><Relationship Id="rId5619" Type="http://schemas.openxmlformats.org/officeDocument/2006/relationships/hyperlink" Target="https://maps.google.com/?q=17.5514503489551,-96.226078221881494" TargetMode="External"/><Relationship Id="rId7041" Type="http://schemas.openxmlformats.org/officeDocument/2006/relationships/hyperlink" Target="https://maps.google.com/?q=17.0453170306203,-97.297734694906495" TargetMode="External"/><Relationship Id="rId11006" Type="http://schemas.openxmlformats.org/officeDocument/2006/relationships/hyperlink" Target="https://maps.google.com/?q=17.156475,-97.189760000000007" TargetMode="External"/><Relationship Id="rId11420" Type="http://schemas.openxmlformats.org/officeDocument/2006/relationships/hyperlink" Target="https://maps.google.com/?q=17.3805807357195,-98.185731749668093" TargetMode="External"/><Relationship Id="rId3584" Type="http://schemas.openxmlformats.org/officeDocument/2006/relationships/hyperlink" Target="https://maps.google.com/?q=15.776260839135468,-96.136234804994501" TargetMode="External"/><Relationship Id="rId4635" Type="http://schemas.openxmlformats.org/officeDocument/2006/relationships/hyperlink" Target="https://maps.google.com/?q=17.050433,-96.72848" TargetMode="External"/><Relationship Id="rId10022" Type="http://schemas.openxmlformats.org/officeDocument/2006/relationships/hyperlink" Target="https://maps.google.com/?q=16.9973750565419,-96.074075518835997" TargetMode="External"/><Relationship Id="rId13178" Type="http://schemas.openxmlformats.org/officeDocument/2006/relationships/hyperlink" Target="https://maps.google.com/?q=16.5700152710904,-97.011978473670197" TargetMode="External"/><Relationship Id="rId13592" Type="http://schemas.openxmlformats.org/officeDocument/2006/relationships/hyperlink" Target="https://maps.google.com/?q=17.806621,-97.776161999999999" TargetMode="External"/><Relationship Id="rId158" Type="http://schemas.openxmlformats.org/officeDocument/2006/relationships/hyperlink" Target="https://maps.google.com/?q=17.094224,-97.493933999999996" TargetMode="External"/><Relationship Id="rId2186" Type="http://schemas.openxmlformats.org/officeDocument/2006/relationships/hyperlink" Target="https://maps.google.com/?q=16.9994772517709,-97.235791348029394" TargetMode="External"/><Relationship Id="rId3237" Type="http://schemas.openxmlformats.org/officeDocument/2006/relationships/hyperlink" Target="https://maps.google.com/?q=17.9355232433649,-96.208784181259801" TargetMode="External"/><Relationship Id="rId3651" Type="http://schemas.openxmlformats.org/officeDocument/2006/relationships/hyperlink" Target="https://maps.google.com/?q=15.779013700390266,-96.138173320678121" TargetMode="External"/><Relationship Id="rId4702" Type="http://schemas.openxmlformats.org/officeDocument/2006/relationships/hyperlink" Target="https://maps.google.com/?q=17.018891150417932,-96.718331767274464" TargetMode="External"/><Relationship Id="rId7858" Type="http://schemas.openxmlformats.org/officeDocument/2006/relationships/hyperlink" Target="https://maps.google.com/?q=16.3149530248057,-96.410872644180301" TargetMode="External"/><Relationship Id="rId8909" Type="http://schemas.openxmlformats.org/officeDocument/2006/relationships/hyperlink" Target="https://maps.google.com/?q=17.380242136,-96.161004288000001" TargetMode="External"/><Relationship Id="rId12194" Type="http://schemas.openxmlformats.org/officeDocument/2006/relationships/hyperlink" Target="https://maps.google.com/?q=17.4174790175626,-95.951912122593498" TargetMode="External"/><Relationship Id="rId13245" Type="http://schemas.openxmlformats.org/officeDocument/2006/relationships/hyperlink" Target="https://maps.google.com/?q=17.1471812676246,-96.760234436864806" TargetMode="External"/><Relationship Id="rId572" Type="http://schemas.openxmlformats.org/officeDocument/2006/relationships/hyperlink" Target="https://maps.google.com/?q=16.052225,-97.402579000000003" TargetMode="External"/><Relationship Id="rId2253" Type="http://schemas.openxmlformats.org/officeDocument/2006/relationships/hyperlink" Target="https://maps.google.com/?q=17.5049149057386,-96.548771588954907" TargetMode="External"/><Relationship Id="rId3304" Type="http://schemas.openxmlformats.org/officeDocument/2006/relationships/hyperlink" Target="https://maps.google.com/?q=17.063520028272,-96.8135047669589" TargetMode="External"/><Relationship Id="rId6874" Type="http://schemas.openxmlformats.org/officeDocument/2006/relationships/hyperlink" Target="https://maps.google.com/?q=16.9703791289702,-97.084431142939593" TargetMode="External"/><Relationship Id="rId7925" Type="http://schemas.openxmlformats.org/officeDocument/2006/relationships/hyperlink" Target="https://maps.google.com/?q=16.3210263338608,-96.411101597696899" TargetMode="External"/><Relationship Id="rId9280" Type="http://schemas.openxmlformats.org/officeDocument/2006/relationships/hyperlink" Target="https://maps.google.com/?q=16.8671178471063,-95.227758593097505" TargetMode="External"/><Relationship Id="rId10839" Type="http://schemas.openxmlformats.org/officeDocument/2006/relationships/hyperlink" Target="https://maps.google.com/?q=16.4018827559153,-94.461516991401595" TargetMode="External"/><Relationship Id="rId12261" Type="http://schemas.openxmlformats.org/officeDocument/2006/relationships/hyperlink" Target="https://maps.google.com/?q=16.426578,-97.224919999999997" TargetMode="External"/><Relationship Id="rId13312" Type="http://schemas.openxmlformats.org/officeDocument/2006/relationships/hyperlink" Target="https://maps.google.com/?q=16.1356868573447,-96.325766463373995" TargetMode="External"/><Relationship Id="rId225" Type="http://schemas.openxmlformats.org/officeDocument/2006/relationships/hyperlink" Target="https://maps.google.com/?q=17.094734,-97.497703000000001" TargetMode="External"/><Relationship Id="rId2320" Type="http://schemas.openxmlformats.org/officeDocument/2006/relationships/hyperlink" Target="https://maps.google.com/?q=18.1073826122668,-96.869592722208907" TargetMode="External"/><Relationship Id="rId5476" Type="http://schemas.openxmlformats.org/officeDocument/2006/relationships/hyperlink" Target="https://maps.google.com/?q=16.342093,-96.482927000000004" TargetMode="External"/><Relationship Id="rId6527" Type="http://schemas.openxmlformats.org/officeDocument/2006/relationships/hyperlink" Target="https://maps.google.com/?q=17.2569715278713,-97.569993278861503" TargetMode="External"/><Relationship Id="rId10906" Type="http://schemas.openxmlformats.org/officeDocument/2006/relationships/hyperlink" Target="https://maps.google.com/?q=16.1886220628997,-95.183949681351294" TargetMode="External"/><Relationship Id="rId4078" Type="http://schemas.openxmlformats.org/officeDocument/2006/relationships/hyperlink" Target="https://maps.google.com/?q=17.055754,-96.745626290000004" TargetMode="External"/><Relationship Id="rId4492" Type="http://schemas.openxmlformats.org/officeDocument/2006/relationships/hyperlink" Target="https://maps.google.com/?q=17.1775145886278,-97.305140888222098" TargetMode="External"/><Relationship Id="rId5129" Type="http://schemas.openxmlformats.org/officeDocument/2006/relationships/hyperlink" Target="https://maps.google.com/?q=17.254085,-96.154917999999995" TargetMode="External"/><Relationship Id="rId5543" Type="http://schemas.openxmlformats.org/officeDocument/2006/relationships/hyperlink" Target="https://maps.google.com/?q=17.2905843802465,&#160;-97.38312636441802" TargetMode="External"/><Relationship Id="rId5890" Type="http://schemas.openxmlformats.org/officeDocument/2006/relationships/hyperlink" Target="https://maps.google.com/?q=18.145183916308618,-96.566103508729242" TargetMode="External"/><Relationship Id="rId6941" Type="http://schemas.openxmlformats.org/officeDocument/2006/relationships/hyperlink" Target="https://maps.google.com/?q=16.319295,-95.238089000000002" TargetMode="External"/><Relationship Id="rId8699" Type="http://schemas.openxmlformats.org/officeDocument/2006/relationships/hyperlink" Target="https://maps.google.com/?q=16.149425,-96.607445999999996" TargetMode="External"/><Relationship Id="rId9000" Type="http://schemas.openxmlformats.org/officeDocument/2006/relationships/hyperlink" Target="https://maps.google.com/?q=17.382171093,-96.166307027000002" TargetMode="External"/><Relationship Id="rId14086" Type="http://schemas.openxmlformats.org/officeDocument/2006/relationships/hyperlink" Target="https://maps.google.com/?q=16.32119184479025,-97.66106886350654" TargetMode="External"/><Relationship Id="rId3094" Type="http://schemas.openxmlformats.org/officeDocument/2006/relationships/hyperlink" Target="https://maps.google.com/?q=17.298159,-97.484210680000004" TargetMode="External"/><Relationship Id="rId4145" Type="http://schemas.openxmlformats.org/officeDocument/2006/relationships/hyperlink" Target="https://maps.google.com/?q=17.178746,%20-97.851610" TargetMode="External"/><Relationship Id="rId1739" Type="http://schemas.openxmlformats.org/officeDocument/2006/relationships/hyperlink" Target="https://maps.google.com/?q=18.0639483851985,-96.839689178585402" TargetMode="External"/><Relationship Id="rId5610" Type="http://schemas.openxmlformats.org/officeDocument/2006/relationships/hyperlink" Target="https://maps.google.com/?q=17.5484824451566,-96.223312703041003" TargetMode="External"/><Relationship Id="rId8766" Type="http://schemas.openxmlformats.org/officeDocument/2006/relationships/hyperlink" Target="https://maps.google.com/?q=17.204975,-96.253079999999997" TargetMode="External"/><Relationship Id="rId9817" Type="http://schemas.openxmlformats.org/officeDocument/2006/relationships/hyperlink" Target="https://maps.google.com/?q=16.6317025524875,-96.851111892253698" TargetMode="External"/><Relationship Id="rId10696" Type="http://schemas.openxmlformats.org/officeDocument/2006/relationships/hyperlink" Target="https://maps.google.com/?q=15.746144,-96.465182999999996" TargetMode="External"/><Relationship Id="rId11747" Type="http://schemas.openxmlformats.org/officeDocument/2006/relationships/hyperlink" Target="https://maps.google.com/?q=17.19106577,-97.712663620000001" TargetMode="External"/><Relationship Id="rId14153" Type="http://schemas.openxmlformats.org/officeDocument/2006/relationships/hyperlink" Target="https://maps.google.com/?q=16.461043,-96.788933" TargetMode="External"/><Relationship Id="rId1806" Type="http://schemas.openxmlformats.org/officeDocument/2006/relationships/hyperlink" Target="https://maps.google.com/?q=18.0681854937328,-96.899886785449397" TargetMode="External"/><Relationship Id="rId3161" Type="http://schemas.openxmlformats.org/officeDocument/2006/relationships/hyperlink" Target="https://maps.google.com/?q=16.54463,-97.496195999999998" TargetMode="External"/><Relationship Id="rId4212" Type="http://schemas.openxmlformats.org/officeDocument/2006/relationships/hyperlink" Target="https://maps.google.com/?q=17.267449,-97.680485000000004" TargetMode="External"/><Relationship Id="rId7368" Type="http://schemas.openxmlformats.org/officeDocument/2006/relationships/hyperlink" Target="https://maps.google.com/?q=16.568288,-97.655551000000003" TargetMode="External"/><Relationship Id="rId7782" Type="http://schemas.openxmlformats.org/officeDocument/2006/relationships/hyperlink" Target="https://maps.google.com/?q=17.8436839773085,-96.744949019864293" TargetMode="External"/><Relationship Id="rId8419" Type="http://schemas.openxmlformats.org/officeDocument/2006/relationships/hyperlink" Target="https://maps.google.com/?q=16.0909336195438,-96.243510965029699" TargetMode="External"/><Relationship Id="rId8833" Type="http://schemas.openxmlformats.org/officeDocument/2006/relationships/hyperlink" Target="https://maps.google.com/?q=17.216466,-96.245920999999996" TargetMode="External"/><Relationship Id="rId10349" Type="http://schemas.openxmlformats.org/officeDocument/2006/relationships/hyperlink" Target="https://maps.google.com/?q=17.4335508847367,-96.657617728836101" TargetMode="External"/><Relationship Id="rId10763" Type="http://schemas.openxmlformats.org/officeDocument/2006/relationships/hyperlink" Target="https://maps.google.com/?q=17.456304,-97.224744000000001" TargetMode="External"/><Relationship Id="rId3978" Type="http://schemas.openxmlformats.org/officeDocument/2006/relationships/hyperlink" Target="https://maps.google.com/?q=17.062102,-96.753140999999999" TargetMode="External"/><Relationship Id="rId6384" Type="http://schemas.openxmlformats.org/officeDocument/2006/relationships/hyperlink" Target="https://maps.google.com/?q=16.579837,-96.875440999999995" TargetMode="External"/><Relationship Id="rId7435" Type="http://schemas.openxmlformats.org/officeDocument/2006/relationships/hyperlink" Target="https://maps.google.com/?q=17.2118786317186,-97.5828289058575" TargetMode="External"/><Relationship Id="rId8900" Type="http://schemas.openxmlformats.org/officeDocument/2006/relationships/hyperlink" Target="https://maps.google.com/?q=17.379990742,-96.163011284000007" TargetMode="External"/><Relationship Id="rId10416" Type="http://schemas.openxmlformats.org/officeDocument/2006/relationships/hyperlink" Target="https://maps.google.com/?q=17.044648,-96.782978" TargetMode="External"/><Relationship Id="rId11814" Type="http://schemas.openxmlformats.org/officeDocument/2006/relationships/hyperlink" Target="https://maps.google.com/?q=16.600029954528974,-96.96011399388313" TargetMode="External"/><Relationship Id="rId899" Type="http://schemas.openxmlformats.org/officeDocument/2006/relationships/hyperlink" Target="https://maps.google.com/?q=17.095612,-97.498558000000003" TargetMode="External"/><Relationship Id="rId6037" Type="http://schemas.openxmlformats.org/officeDocument/2006/relationships/hyperlink" Target="https://maps.google.com/?q=18.156632863062658,-96.572956814859253" TargetMode="External"/><Relationship Id="rId6451" Type="http://schemas.openxmlformats.org/officeDocument/2006/relationships/hyperlink" Target="https://maps.google.com/?q=16.14335,-97.355620000000002" TargetMode="External"/><Relationship Id="rId7502" Type="http://schemas.openxmlformats.org/officeDocument/2006/relationships/hyperlink" Target="https://maps.google.com/?q=17.34381367,-97.375283100000004" TargetMode="External"/><Relationship Id="rId10830" Type="http://schemas.openxmlformats.org/officeDocument/2006/relationships/hyperlink" Target="https://maps.google.com/?q=16.39203,-94.455669999999998" TargetMode="External"/><Relationship Id="rId13986" Type="http://schemas.openxmlformats.org/officeDocument/2006/relationships/hyperlink" Target="https://maps.google.com/?q=16.37125506,-98.24779272" TargetMode="External"/><Relationship Id="rId966" Type="http://schemas.openxmlformats.org/officeDocument/2006/relationships/hyperlink" Target="https://maps.google.com/?q=15.687282313109643,-96.512233237194579" TargetMode="External"/><Relationship Id="rId1596" Type="http://schemas.openxmlformats.org/officeDocument/2006/relationships/hyperlink" Target="https://maps.google.com/?q=17.674183,-96.129579000000007" TargetMode="External"/><Relationship Id="rId2647" Type="http://schemas.openxmlformats.org/officeDocument/2006/relationships/hyperlink" Target="https://maps.google.com/?q=17.6206665951866,-97.226683936176101" TargetMode="External"/><Relationship Id="rId2994" Type="http://schemas.openxmlformats.org/officeDocument/2006/relationships/hyperlink" Target="https://maps.google.com/?q=17.952506,-96.742110999999994" TargetMode="External"/><Relationship Id="rId5053" Type="http://schemas.openxmlformats.org/officeDocument/2006/relationships/hyperlink" Target="https://maps.google.com/?q=17.251868,-96.153174000000007" TargetMode="External"/><Relationship Id="rId6104" Type="http://schemas.openxmlformats.org/officeDocument/2006/relationships/hyperlink" Target="https://maps.google.com/?q=17.971591,-96.708352000000005" TargetMode="External"/><Relationship Id="rId9674" Type="http://schemas.openxmlformats.org/officeDocument/2006/relationships/hyperlink" Target="https://maps.google.com/?q=16.4662363015628,-96.647662772030699" TargetMode="External"/><Relationship Id="rId12588" Type="http://schemas.openxmlformats.org/officeDocument/2006/relationships/hyperlink" Target="https://maps.google.com/?q=16.5206562575076,-96.980868292209493" TargetMode="External"/><Relationship Id="rId13639" Type="http://schemas.openxmlformats.org/officeDocument/2006/relationships/hyperlink" Target="https://maps.google.com/?q=17.027232,-96.077046" TargetMode="External"/><Relationship Id="rId619" Type="http://schemas.openxmlformats.org/officeDocument/2006/relationships/hyperlink" Target="https://maps.google.com/?q=16.05464,-97.396859000000006" TargetMode="External"/><Relationship Id="rId1249" Type="http://schemas.openxmlformats.org/officeDocument/2006/relationships/hyperlink" Target="https://maps.google.com/?q=17.056291,-96.746252999999996" TargetMode="External"/><Relationship Id="rId5120" Type="http://schemas.openxmlformats.org/officeDocument/2006/relationships/hyperlink" Target="https://maps.google.com/?q=17.25392,-96.154589999999999" TargetMode="External"/><Relationship Id="rId8276" Type="http://schemas.openxmlformats.org/officeDocument/2006/relationships/hyperlink" Target="https://maps.google.com/?q=17.027772,-96.759330000000006" TargetMode="External"/><Relationship Id="rId9327" Type="http://schemas.openxmlformats.org/officeDocument/2006/relationships/hyperlink" Target="https://maps.google.com/?q=16.8164769571979,-95.140823585613106" TargetMode="External"/><Relationship Id="rId12655" Type="http://schemas.openxmlformats.org/officeDocument/2006/relationships/hyperlink" Target="https://maps.google.com/?q=16.999920314245,-97.901742347591806" TargetMode="External"/><Relationship Id="rId13706" Type="http://schemas.openxmlformats.org/officeDocument/2006/relationships/hyperlink" Target="https://maps.google.com/?q=17.26753,-97.68053" TargetMode="External"/><Relationship Id="rId1663" Type="http://schemas.openxmlformats.org/officeDocument/2006/relationships/hyperlink" Target="https://maps.google.com/?q=16.648038,-96.776764999999997" TargetMode="External"/><Relationship Id="rId2714" Type="http://schemas.openxmlformats.org/officeDocument/2006/relationships/hyperlink" Target="https://maps.google.com/?q=15.9357055974714,-96.411592111604804" TargetMode="External"/><Relationship Id="rId8690" Type="http://schemas.openxmlformats.org/officeDocument/2006/relationships/hyperlink" Target="https://maps.google.com/?q=16.1878412593977,-96.618334364418004" TargetMode="External"/><Relationship Id="rId9741" Type="http://schemas.openxmlformats.org/officeDocument/2006/relationships/hyperlink" Target="https://maps.google.com/?q=17.2728074183035,-96.806659145828903" TargetMode="External"/><Relationship Id="rId11257" Type="http://schemas.openxmlformats.org/officeDocument/2006/relationships/hyperlink" Target="https://maps.google.com/?q=17.8650909917924,-96.3069761348046" TargetMode="External"/><Relationship Id="rId11671" Type="http://schemas.openxmlformats.org/officeDocument/2006/relationships/hyperlink" Target="https://maps.google.com/?q=17.17471759,-97.706059519999997" TargetMode="External"/><Relationship Id="rId12308" Type="http://schemas.openxmlformats.org/officeDocument/2006/relationships/hyperlink" Target="https://maps.google.com/?q=17.145011,-96.408737" TargetMode="External"/><Relationship Id="rId12722" Type="http://schemas.openxmlformats.org/officeDocument/2006/relationships/hyperlink" Target="https://maps.google.com/?q=16.2862774493447,-96.504637946101994" TargetMode="External"/><Relationship Id="rId1316" Type="http://schemas.openxmlformats.org/officeDocument/2006/relationships/hyperlink" Target="https://maps.google.com/?q=17.085681,-96.731653" TargetMode="External"/><Relationship Id="rId1730" Type="http://schemas.openxmlformats.org/officeDocument/2006/relationships/hyperlink" Target="https://maps.google.com/?q=18.0636687747263,-96.838516244200903" TargetMode="External"/><Relationship Id="rId4886" Type="http://schemas.openxmlformats.org/officeDocument/2006/relationships/hyperlink" Target="https://maps.google.com/?q=16.7978361403945,-96.399029565582893" TargetMode="External"/><Relationship Id="rId5937" Type="http://schemas.openxmlformats.org/officeDocument/2006/relationships/hyperlink" Target="https://maps.google.com/?q=18.15360069434556,-96.571385536108551" TargetMode="External"/><Relationship Id="rId7292" Type="http://schemas.openxmlformats.org/officeDocument/2006/relationships/hyperlink" Target="https://maps.google.com/?q=16.3060423039149,-97.909896565582301" TargetMode="External"/><Relationship Id="rId8343" Type="http://schemas.openxmlformats.org/officeDocument/2006/relationships/hyperlink" Target="https://maps.google.com/?q=16.8431158821396,-97.197657087784094" TargetMode="External"/><Relationship Id="rId10273" Type="http://schemas.openxmlformats.org/officeDocument/2006/relationships/hyperlink" Target="https://maps.google.com/?q=16.245268,-95.152187999999995" TargetMode="External"/><Relationship Id="rId11324" Type="http://schemas.openxmlformats.org/officeDocument/2006/relationships/hyperlink" Target="https://maps.google.com/?q=16.999531,-96.761324999999999" TargetMode="External"/><Relationship Id="rId22" Type="http://schemas.openxmlformats.org/officeDocument/2006/relationships/hyperlink" Target="https://maps.google.com/?q=17.222208,-97.119236999999998" TargetMode="External"/><Relationship Id="rId3488" Type="http://schemas.openxmlformats.org/officeDocument/2006/relationships/hyperlink" Target="https://maps.google.com/?q=16.495966,-96.549633" TargetMode="External"/><Relationship Id="rId4539" Type="http://schemas.openxmlformats.org/officeDocument/2006/relationships/hyperlink" Target="https://maps.google.com/?q=17.1841314427122,-97.303964029430404" TargetMode="External"/><Relationship Id="rId4953" Type="http://schemas.openxmlformats.org/officeDocument/2006/relationships/hyperlink" Target="https://maps.google.com/?q=17.26463019,-97.592012389999994" TargetMode="External"/><Relationship Id="rId8410" Type="http://schemas.openxmlformats.org/officeDocument/2006/relationships/hyperlink" Target="https://maps.google.com/?q=16.0903523510121,-96.244896860118899" TargetMode="External"/><Relationship Id="rId10340" Type="http://schemas.openxmlformats.org/officeDocument/2006/relationships/hyperlink" Target="https://maps.google.com/?q=17.4331705268637,-96.656122814193793" TargetMode="External"/><Relationship Id="rId13496" Type="http://schemas.openxmlformats.org/officeDocument/2006/relationships/hyperlink" Target="https://maps.google.com/?q=17.6907895830299,-97.041904836532893" TargetMode="External"/><Relationship Id="rId3555" Type="http://schemas.openxmlformats.org/officeDocument/2006/relationships/hyperlink" Target="https://maps.google.com/?q=15.760806217630273,-96.149097192936509" TargetMode="External"/><Relationship Id="rId4606" Type="http://schemas.openxmlformats.org/officeDocument/2006/relationships/hyperlink" Target="https://maps.google.com/?q=16.557997,-96.818960000000004" TargetMode="External"/><Relationship Id="rId7012" Type="http://schemas.openxmlformats.org/officeDocument/2006/relationships/hyperlink" Target="https://maps.google.com/?q=17.0401246302878,-97.306215977443799" TargetMode="External"/><Relationship Id="rId12098" Type="http://schemas.openxmlformats.org/officeDocument/2006/relationships/hyperlink" Target="https://maps.google.com/?q=16.24805907,-95.327537849999999" TargetMode="External"/><Relationship Id="rId13149" Type="http://schemas.openxmlformats.org/officeDocument/2006/relationships/hyperlink" Target="https://maps.google.com/?q=0,&#160;-97.02014830307589" TargetMode="External"/><Relationship Id="rId476" Type="http://schemas.openxmlformats.org/officeDocument/2006/relationships/hyperlink" Target="https://maps.google.com/?q=16.053678,-97.409670000000006" TargetMode="External"/><Relationship Id="rId890" Type="http://schemas.openxmlformats.org/officeDocument/2006/relationships/hyperlink" Target="https://maps.google.com/?q=16.88293,-97.674790000000002" TargetMode="External"/><Relationship Id="rId2157" Type="http://schemas.openxmlformats.org/officeDocument/2006/relationships/hyperlink" Target="https://maps.google.com/?q=15.757935718242084,-96.147822394432325" TargetMode="External"/><Relationship Id="rId2571" Type="http://schemas.openxmlformats.org/officeDocument/2006/relationships/hyperlink" Target="https://maps.google.com/?q=17.776291,-96.304624000000004" TargetMode="External"/><Relationship Id="rId3208" Type="http://schemas.openxmlformats.org/officeDocument/2006/relationships/hyperlink" Target="https://maps.google.com/?q=17.234831,-96.205147" TargetMode="External"/><Relationship Id="rId6778" Type="http://schemas.openxmlformats.org/officeDocument/2006/relationships/hyperlink" Target="https://maps.google.com/?q=16.6338472141746,-97.040061365792297" TargetMode="External"/><Relationship Id="rId9184" Type="http://schemas.openxmlformats.org/officeDocument/2006/relationships/hyperlink" Target="https://maps.google.com/?q=17.3740026487177,-96.300498464573707" TargetMode="External"/><Relationship Id="rId12165" Type="http://schemas.openxmlformats.org/officeDocument/2006/relationships/hyperlink" Target="https://maps.google.com/?q=17.4156189122503,-95.946253037519796" TargetMode="External"/><Relationship Id="rId13563" Type="http://schemas.openxmlformats.org/officeDocument/2006/relationships/hyperlink" Target="https://maps.google.com/?q=17.22125536555368,-96.24222489947512" TargetMode="External"/><Relationship Id="rId129" Type="http://schemas.openxmlformats.org/officeDocument/2006/relationships/hyperlink" Target="https://maps.google.com/?q=17.095695,-97.495779999999996" TargetMode="External"/><Relationship Id="rId543" Type="http://schemas.openxmlformats.org/officeDocument/2006/relationships/hyperlink" Target="https://maps.google.com/?q=16.052602,-97.403557000000006" TargetMode="External"/><Relationship Id="rId1173" Type="http://schemas.openxmlformats.org/officeDocument/2006/relationships/hyperlink" Target="https://maps.google.com/?q=16.35155,-98.051334" TargetMode="External"/><Relationship Id="rId2224" Type="http://schemas.openxmlformats.org/officeDocument/2006/relationships/hyperlink" Target="https://maps.google.com/?q=17.4066264744417,-97.089924786542795" TargetMode="External"/><Relationship Id="rId3622" Type="http://schemas.openxmlformats.org/officeDocument/2006/relationships/hyperlink" Target="https://maps.google.com/?q=15.777066586589411,-96.137072176304585" TargetMode="External"/><Relationship Id="rId7829" Type="http://schemas.openxmlformats.org/officeDocument/2006/relationships/hyperlink" Target="https://maps.google.com/?q=17.013861,&#160;-96.890143" TargetMode="External"/><Relationship Id="rId9251" Type="http://schemas.openxmlformats.org/officeDocument/2006/relationships/hyperlink" Target="https://maps.google.com/?q=17.3772488058324,-96.300066687346998" TargetMode="External"/><Relationship Id="rId13216" Type="http://schemas.openxmlformats.org/officeDocument/2006/relationships/hyperlink" Target="https://maps.google.com/?q=17.343282010684,-97.381182547731498" TargetMode="External"/><Relationship Id="rId13630" Type="http://schemas.openxmlformats.org/officeDocument/2006/relationships/hyperlink" Target="https://maps.google.com/?q=16.714487,-94.748193" TargetMode="External"/><Relationship Id="rId5794" Type="http://schemas.openxmlformats.org/officeDocument/2006/relationships/hyperlink" Target="https://maps.google.com/?q=17.306443,-97.488692999999998" TargetMode="External"/><Relationship Id="rId6845" Type="http://schemas.openxmlformats.org/officeDocument/2006/relationships/hyperlink" Target="https://maps.google.com/?q=17.0082236516376,-96.977483763806305" TargetMode="External"/><Relationship Id="rId11181" Type="http://schemas.openxmlformats.org/officeDocument/2006/relationships/hyperlink" Target="https://maps.google.com/?q=16.844586,-96.010259000000005" TargetMode="External"/><Relationship Id="rId12232" Type="http://schemas.openxmlformats.org/officeDocument/2006/relationships/hyperlink" Target="https://maps.google.com/?q=16.41748182,-97.219891140000001" TargetMode="External"/><Relationship Id="rId610" Type="http://schemas.openxmlformats.org/officeDocument/2006/relationships/hyperlink" Target="https://maps.google.com/?q=16.054745,-97.396428" TargetMode="External"/><Relationship Id="rId1240" Type="http://schemas.openxmlformats.org/officeDocument/2006/relationships/hyperlink" Target="https://maps.google.com/?q=17.05601879,-96.745880600000007" TargetMode="External"/><Relationship Id="rId4049" Type="http://schemas.openxmlformats.org/officeDocument/2006/relationships/hyperlink" Target="https://maps.google.com/?q=17.080164,-96.726157000000001" TargetMode="External"/><Relationship Id="rId4396" Type="http://schemas.openxmlformats.org/officeDocument/2006/relationships/hyperlink" Target="https://maps.google.com/?q=16.00031721,-96.687958760000001" TargetMode="External"/><Relationship Id="rId5447" Type="http://schemas.openxmlformats.org/officeDocument/2006/relationships/hyperlink" Target="https://maps.google.com/?q=16.0073858583673,-97.447026811753702" TargetMode="External"/><Relationship Id="rId5861" Type="http://schemas.openxmlformats.org/officeDocument/2006/relationships/hyperlink" Target="https://maps.google.com/?q=15.9739017947278,-97.246252665012307" TargetMode="External"/><Relationship Id="rId6912" Type="http://schemas.openxmlformats.org/officeDocument/2006/relationships/hyperlink" Target="https://maps.google.com/?q=17.1662958467793,-94.788748626983704" TargetMode="External"/><Relationship Id="rId11998" Type="http://schemas.openxmlformats.org/officeDocument/2006/relationships/hyperlink" Target="https://maps.google.com/?q=16.801806106041,-96.715495152090398" TargetMode="External"/><Relationship Id="rId4463" Type="http://schemas.openxmlformats.org/officeDocument/2006/relationships/hyperlink" Target="https://maps.google.com/?q=17.6156307620243,-98.015292444494406" TargetMode="External"/><Relationship Id="rId5514" Type="http://schemas.openxmlformats.org/officeDocument/2006/relationships/hyperlink" Target="https://maps.google.com/?q=17.276548304207,-97.365532093254004" TargetMode="External"/><Relationship Id="rId14057" Type="http://schemas.openxmlformats.org/officeDocument/2006/relationships/hyperlink" Target="https://maps.google.com/?q=16.36666438049169,-96.63944683424614" TargetMode="External"/><Relationship Id="rId3065" Type="http://schemas.openxmlformats.org/officeDocument/2006/relationships/hyperlink" Target="https://maps.google.com/?q=16.9638015,-96.940661800000001" TargetMode="External"/><Relationship Id="rId4116" Type="http://schemas.openxmlformats.org/officeDocument/2006/relationships/hyperlink" Target="https://maps.google.com/?q=17.0585929,-96.743078990000001" TargetMode="External"/><Relationship Id="rId4530" Type="http://schemas.openxmlformats.org/officeDocument/2006/relationships/hyperlink" Target="https://maps.google.com/?q=17.1819800852498,-97.304769604110902" TargetMode="External"/><Relationship Id="rId7686" Type="http://schemas.openxmlformats.org/officeDocument/2006/relationships/hyperlink" Target="https://maps.google.com/?q=17.2039052487601,-97.517816181906696" TargetMode="External"/><Relationship Id="rId8737" Type="http://schemas.openxmlformats.org/officeDocument/2006/relationships/hyperlink" Target="https://maps.google.com/?q=17.2715540383096,-97.719824518546403" TargetMode="External"/><Relationship Id="rId13073" Type="http://schemas.openxmlformats.org/officeDocument/2006/relationships/hyperlink" Target="https://maps.google.com/?q=16.563756,-97.535972299999997" TargetMode="External"/><Relationship Id="rId14124" Type="http://schemas.openxmlformats.org/officeDocument/2006/relationships/hyperlink" Target="https://maps.google.com/?q=16.34922057,-96.18120001" TargetMode="External"/><Relationship Id="rId2081" Type="http://schemas.openxmlformats.org/officeDocument/2006/relationships/hyperlink" Target="https://maps.google.com/?q=15.77341287081371,-96.234379393992441" TargetMode="External"/><Relationship Id="rId3132" Type="http://schemas.openxmlformats.org/officeDocument/2006/relationships/hyperlink" Target="https://maps.google.com/?q=16.584682,-97.442584999999994" TargetMode="External"/><Relationship Id="rId6288" Type="http://schemas.openxmlformats.org/officeDocument/2006/relationships/hyperlink" Target="https://maps.google.com/?q=18.054899,-96.389026999999999" TargetMode="External"/><Relationship Id="rId7339" Type="http://schemas.openxmlformats.org/officeDocument/2006/relationships/hyperlink" Target="https://maps.google.com/?q=16.547571,-97.678696000000002" TargetMode="External"/><Relationship Id="rId7753" Type="http://schemas.openxmlformats.org/officeDocument/2006/relationships/hyperlink" Target="https://maps.google.com/?q=16.069317,-96.298602000000002" TargetMode="External"/><Relationship Id="rId10667" Type="http://schemas.openxmlformats.org/officeDocument/2006/relationships/hyperlink" Target="https://maps.google.com/?q=16.125225492182,-95.424396975711105" TargetMode="External"/><Relationship Id="rId11718" Type="http://schemas.openxmlformats.org/officeDocument/2006/relationships/hyperlink" Target="https://maps.google.com/?q=17.18389711,-97.710097210000001" TargetMode="External"/><Relationship Id="rId13140" Type="http://schemas.openxmlformats.org/officeDocument/2006/relationships/hyperlink" Target="https://maps.google.com/?q=17.1887673211965,-96.513622148479399" TargetMode="External"/><Relationship Id="rId6355" Type="http://schemas.openxmlformats.org/officeDocument/2006/relationships/hyperlink" Target="https://maps.google.com/?q=18.064615,-96.398931000000005" TargetMode="External"/><Relationship Id="rId7406" Type="http://schemas.openxmlformats.org/officeDocument/2006/relationships/hyperlink" Target="https://maps.google.com/?q=17.079775,-96.999202999999994" TargetMode="External"/><Relationship Id="rId8804" Type="http://schemas.openxmlformats.org/officeDocument/2006/relationships/hyperlink" Target="https://maps.google.com/?q=17.214668,-96.249268000000001" TargetMode="External"/><Relationship Id="rId10734" Type="http://schemas.openxmlformats.org/officeDocument/2006/relationships/hyperlink" Target="https://maps.google.com/?q=17.076568,-96.7150299" TargetMode="External"/><Relationship Id="rId120" Type="http://schemas.openxmlformats.org/officeDocument/2006/relationships/hyperlink" Target="https://maps.google.com/?q=17.091677,-97.496729000000002" TargetMode="External"/><Relationship Id="rId2898" Type="http://schemas.openxmlformats.org/officeDocument/2006/relationships/hyperlink" Target="https://maps.google.com/?q=17.537188,-95.942902000000004" TargetMode="External"/><Relationship Id="rId3949" Type="http://schemas.openxmlformats.org/officeDocument/2006/relationships/hyperlink" Target="https://maps.google.com/?q=17.061054,-96.756463999999994" TargetMode="External"/><Relationship Id="rId6008" Type="http://schemas.openxmlformats.org/officeDocument/2006/relationships/hyperlink" Target="https://maps.google.com/?q=18.155291698817148,-96.572447787842094" TargetMode="External"/><Relationship Id="rId7820" Type="http://schemas.openxmlformats.org/officeDocument/2006/relationships/hyperlink" Target="https://maps.google.com/?q=17.007984,-96.891715000000005" TargetMode="External"/><Relationship Id="rId10801" Type="http://schemas.openxmlformats.org/officeDocument/2006/relationships/hyperlink" Target="https://maps.google.com/?q=16.3583222500617,-96.374198251485893" TargetMode="External"/><Relationship Id="rId13957" Type="http://schemas.openxmlformats.org/officeDocument/2006/relationships/hyperlink" Target="https://maps.google.com/?q=16.279215,-97.978440" TargetMode="External"/><Relationship Id="rId2965" Type="http://schemas.openxmlformats.org/officeDocument/2006/relationships/hyperlink" Target="https://maps.google.com/?q=16.5117017167872,-96.982012271163896" TargetMode="External"/><Relationship Id="rId5024" Type="http://schemas.openxmlformats.org/officeDocument/2006/relationships/hyperlink" Target="https://maps.google.com/?q=17.250737,-96.152365000000003" TargetMode="External"/><Relationship Id="rId5371" Type="http://schemas.openxmlformats.org/officeDocument/2006/relationships/hyperlink" Target="https://maps.google.com/?q=15.9730762595686,-97.242900906287403" TargetMode="External"/><Relationship Id="rId6422" Type="http://schemas.openxmlformats.org/officeDocument/2006/relationships/hyperlink" Target="https://maps.google.com/?q=17.2501848130832,-97.582462248786001" TargetMode="External"/><Relationship Id="rId9578" Type="http://schemas.openxmlformats.org/officeDocument/2006/relationships/hyperlink" Target="https://maps.google.com/?q=15.899917,-96.692018" TargetMode="External"/><Relationship Id="rId9992" Type="http://schemas.openxmlformats.org/officeDocument/2006/relationships/hyperlink" Target="https://maps.google.com/?q=17.1008190840741,-97.490924874256905" TargetMode="External"/><Relationship Id="rId12559" Type="http://schemas.openxmlformats.org/officeDocument/2006/relationships/hyperlink" Target="https://maps.google.com/?q=16.345071,-96.583455" TargetMode="External"/><Relationship Id="rId12973" Type="http://schemas.openxmlformats.org/officeDocument/2006/relationships/hyperlink" Target="https://maps.google.com/?q=16.5103642,-97.456928899999994" TargetMode="External"/><Relationship Id="rId937" Type="http://schemas.openxmlformats.org/officeDocument/2006/relationships/hyperlink" Target="https://maps.google.com/?q=15.682183471887004,-96.508571507289886" TargetMode="External"/><Relationship Id="rId1567" Type="http://schemas.openxmlformats.org/officeDocument/2006/relationships/hyperlink" Target="https://maps.google.com/?q=16.548485,-96.722316000000006" TargetMode="External"/><Relationship Id="rId1981" Type="http://schemas.openxmlformats.org/officeDocument/2006/relationships/hyperlink" Target="https://maps.google.com/?q=15.77489,-96.145328" TargetMode="External"/><Relationship Id="rId2618" Type="http://schemas.openxmlformats.org/officeDocument/2006/relationships/hyperlink" Target="https://maps.google.com/?q=18.079462,-96.168728000000002" TargetMode="External"/><Relationship Id="rId8594" Type="http://schemas.openxmlformats.org/officeDocument/2006/relationships/hyperlink" Target="https://maps.google.com/?q=17.8819068564979,-96.726790487731506" TargetMode="External"/><Relationship Id="rId9645" Type="http://schemas.openxmlformats.org/officeDocument/2006/relationships/hyperlink" Target="https://maps.google.com/?q=16.4749089771998,-96.676756597672394" TargetMode="External"/><Relationship Id="rId11575" Type="http://schemas.openxmlformats.org/officeDocument/2006/relationships/hyperlink" Target="https://maps.google.com/?q=16.8497727551066,-96.747407343452906" TargetMode="External"/><Relationship Id="rId12626" Type="http://schemas.openxmlformats.org/officeDocument/2006/relationships/hyperlink" Target="https://maps.google.com/?q=17.113632,-96.849350999999999" TargetMode="External"/><Relationship Id="rId1634" Type="http://schemas.openxmlformats.org/officeDocument/2006/relationships/hyperlink" Target="https://maps.google.com/?q=16.891456392949,-96.935385769172996" TargetMode="External"/><Relationship Id="rId4040" Type="http://schemas.openxmlformats.org/officeDocument/2006/relationships/hyperlink" Target="https://maps.google.com/?q=17.080069,-96.725791999999998" TargetMode="External"/><Relationship Id="rId7196" Type="http://schemas.openxmlformats.org/officeDocument/2006/relationships/hyperlink" Target="https://maps.google.com/?q=16.1731514534224,-97.961202126813603" TargetMode="External"/><Relationship Id="rId8247" Type="http://schemas.openxmlformats.org/officeDocument/2006/relationships/hyperlink" Target="https://maps.google.com/?q=16.426036,-97.645156" TargetMode="External"/><Relationship Id="rId8661" Type="http://schemas.openxmlformats.org/officeDocument/2006/relationships/hyperlink" Target="https://maps.google.com/?q=16.2754921010714,-96.301937187067495" TargetMode="External"/><Relationship Id="rId9712" Type="http://schemas.openxmlformats.org/officeDocument/2006/relationships/hyperlink" Target="https://maps.google.com/?q=16.4377694748503,-95.032943332191493" TargetMode="External"/><Relationship Id="rId10177" Type="http://schemas.openxmlformats.org/officeDocument/2006/relationships/hyperlink" Target="https://maps.google.com/?q=17.2295157657404,-97.38266932875983" TargetMode="External"/><Relationship Id="rId10591" Type="http://schemas.openxmlformats.org/officeDocument/2006/relationships/hyperlink" Target="https://maps.google.com/?q=17.1488094732728,-97.7694840799996" TargetMode="External"/><Relationship Id="rId11228" Type="http://schemas.openxmlformats.org/officeDocument/2006/relationships/hyperlink" Target="https://maps.google.com/?q=16.508746,-98.159470" TargetMode="External"/><Relationship Id="rId4857" Type="http://schemas.openxmlformats.org/officeDocument/2006/relationships/hyperlink" Target="https://maps.google.com/?q=16.7897673610628,-96.389002916454402" TargetMode="External"/><Relationship Id="rId7263" Type="http://schemas.openxmlformats.org/officeDocument/2006/relationships/hyperlink" Target="https://maps.google.com/?q=16.2988261469654,-97.912381720000596" TargetMode="External"/><Relationship Id="rId8314" Type="http://schemas.openxmlformats.org/officeDocument/2006/relationships/hyperlink" Target="https://maps.google.com/?q=16.539208,-98.029763000000003" TargetMode="External"/><Relationship Id="rId10244" Type="http://schemas.openxmlformats.org/officeDocument/2006/relationships/hyperlink" Target="https://maps.google.com/?q=17.289059783612938,-97.30385009795742" TargetMode="External"/><Relationship Id="rId11642" Type="http://schemas.openxmlformats.org/officeDocument/2006/relationships/hyperlink" Target="https://maps.google.com/?q=16.2192669884407,-95.127713000000298" TargetMode="External"/><Relationship Id="rId1701" Type="http://schemas.openxmlformats.org/officeDocument/2006/relationships/hyperlink" Target="https://maps.google.com/?q=18.0729339160595,-96.898827141035596" TargetMode="External"/><Relationship Id="rId3459" Type="http://schemas.openxmlformats.org/officeDocument/2006/relationships/hyperlink" Target="https://maps.google.com/?q=16.5727589355397,-96.985530228171797" TargetMode="External"/><Relationship Id="rId5908" Type="http://schemas.openxmlformats.org/officeDocument/2006/relationships/hyperlink" Target="https://maps.google.com/?q=18.145939956780584,-96.565374211442048" TargetMode="External"/><Relationship Id="rId7330" Type="http://schemas.openxmlformats.org/officeDocument/2006/relationships/hyperlink" Target="https://maps.google.com/?q=16.5845864623639,-97.655727960430795" TargetMode="External"/><Relationship Id="rId3873" Type="http://schemas.openxmlformats.org/officeDocument/2006/relationships/hyperlink" Target="https://maps.google.com/?q=17.1049132968281,-95.930366075076705" TargetMode="External"/><Relationship Id="rId4924" Type="http://schemas.openxmlformats.org/officeDocument/2006/relationships/hyperlink" Target="https://maps.google.com/?q=18.03259,-96.672984999999997" TargetMode="External"/><Relationship Id="rId9088" Type="http://schemas.openxmlformats.org/officeDocument/2006/relationships/hyperlink" Target="https://maps.google.com/?q=16.064469,-95.500788999999997" TargetMode="External"/><Relationship Id="rId10311" Type="http://schemas.openxmlformats.org/officeDocument/2006/relationships/hyperlink" Target="https://maps.google.com/?q=16.22617677,-97.268348439999997" TargetMode="External"/><Relationship Id="rId13467" Type="http://schemas.openxmlformats.org/officeDocument/2006/relationships/hyperlink" Target="https://maps.google.com/?q=17.6873992120941,-97.0438564253013" TargetMode="External"/><Relationship Id="rId13881" Type="http://schemas.openxmlformats.org/officeDocument/2006/relationships/hyperlink" Target="https://maps.google.com/?q=16.2753780375946,-96.5844044341368" TargetMode="External"/><Relationship Id="rId447" Type="http://schemas.openxmlformats.org/officeDocument/2006/relationships/hyperlink" Target="https://maps.google.com/?q=16.053052,-97.410488000000001" TargetMode="External"/><Relationship Id="rId794" Type="http://schemas.openxmlformats.org/officeDocument/2006/relationships/hyperlink" Target="https://maps.google.com/?q=15.69154266336971,-96.518509250476697" TargetMode="External"/><Relationship Id="rId1077" Type="http://schemas.openxmlformats.org/officeDocument/2006/relationships/hyperlink" Target="https://maps.google.com/?q=17.095612,-97.498558000000003" TargetMode="External"/><Relationship Id="rId2128" Type="http://schemas.openxmlformats.org/officeDocument/2006/relationships/hyperlink" Target="https://maps.google.com/?q=15.762483,-96.143384999999995" TargetMode="External"/><Relationship Id="rId2475" Type="http://schemas.openxmlformats.org/officeDocument/2006/relationships/hyperlink" Target="https://maps.google.com/?q=17.05187326,-96.624397060000007" TargetMode="External"/><Relationship Id="rId3526" Type="http://schemas.openxmlformats.org/officeDocument/2006/relationships/hyperlink" Target="https://maps.google.com/?q=15.763933,-96.150611" TargetMode="External"/><Relationship Id="rId3940" Type="http://schemas.openxmlformats.org/officeDocument/2006/relationships/hyperlink" Target="https://maps.google.com/?q=17.059171,-96.750380000000007" TargetMode="External"/><Relationship Id="rId9155" Type="http://schemas.openxmlformats.org/officeDocument/2006/relationships/hyperlink" Target="https://maps.google.com/?q=17.0015694016901,-96.959243236686106" TargetMode="External"/><Relationship Id="rId12069" Type="http://schemas.openxmlformats.org/officeDocument/2006/relationships/hyperlink" Target="https://maps.google.com/?q=16.31901952,-95.237137779999998" TargetMode="External"/><Relationship Id="rId12483" Type="http://schemas.openxmlformats.org/officeDocument/2006/relationships/hyperlink" Target="https://maps.google.com/?q=17.2223701873411,-97.273068875430795" TargetMode="External"/><Relationship Id="rId13534" Type="http://schemas.openxmlformats.org/officeDocument/2006/relationships/hyperlink" Target="https://maps.google.com/?q=16.143500437268802,-96.44781208598326" TargetMode="External"/><Relationship Id="rId861" Type="http://schemas.openxmlformats.org/officeDocument/2006/relationships/hyperlink" Target="https://maps.google.com/?q=15.708623314728468,-96.525956339585193" TargetMode="External"/><Relationship Id="rId1491" Type="http://schemas.openxmlformats.org/officeDocument/2006/relationships/hyperlink" Target="https://maps.google.com/?q=17.058954,-96.752435000000006" TargetMode="External"/><Relationship Id="rId2542" Type="http://schemas.openxmlformats.org/officeDocument/2006/relationships/hyperlink" Target="https://maps.google.com/?q=17.503212898741204,-98.14127074793232" TargetMode="External"/><Relationship Id="rId5698" Type="http://schemas.openxmlformats.org/officeDocument/2006/relationships/hyperlink" Target="https://maps.google.com/?q=17.9437144863163,-97.966201152114905" TargetMode="External"/><Relationship Id="rId6749" Type="http://schemas.openxmlformats.org/officeDocument/2006/relationships/hyperlink" Target="https://maps.google.com/?q=15.8596569218,-96.648639214100001" TargetMode="External"/><Relationship Id="rId11085" Type="http://schemas.openxmlformats.org/officeDocument/2006/relationships/hyperlink" Target="https://maps.google.com/?q=17.253616,-96.15669" TargetMode="External"/><Relationship Id="rId12136" Type="http://schemas.openxmlformats.org/officeDocument/2006/relationships/hyperlink" Target="https://maps.google.com/?q=16.2854463173477,-97.672525728836206" TargetMode="External"/><Relationship Id="rId12550" Type="http://schemas.openxmlformats.org/officeDocument/2006/relationships/hyperlink" Target="https://maps.google.com/?q=17.08276,-96.743864000000002" TargetMode="External"/><Relationship Id="rId13601" Type="http://schemas.openxmlformats.org/officeDocument/2006/relationships/hyperlink" Target="https://maps.google.com/?q=16.896861,-96.766546" TargetMode="External"/><Relationship Id="rId514" Type="http://schemas.openxmlformats.org/officeDocument/2006/relationships/hyperlink" Target="https://maps.google.com/?q=16.054274,-97.406011000000007" TargetMode="External"/><Relationship Id="rId1144" Type="http://schemas.openxmlformats.org/officeDocument/2006/relationships/hyperlink" Target="https://maps.google.com/?q=17.236985629742115,-96.02500793495543" TargetMode="External"/><Relationship Id="rId5765" Type="http://schemas.openxmlformats.org/officeDocument/2006/relationships/hyperlink" Target="https://maps.google.com/?q=16.997404,-97.232641999999998" TargetMode="External"/><Relationship Id="rId6816" Type="http://schemas.openxmlformats.org/officeDocument/2006/relationships/hyperlink" Target="https://maps.google.com/?q=15.9919604268431,-97.189922596864804" TargetMode="External"/><Relationship Id="rId8171" Type="http://schemas.openxmlformats.org/officeDocument/2006/relationships/hyperlink" Target="https://maps.google.com/?q=17.9578062653666,-96.158625929500303" TargetMode="External"/><Relationship Id="rId9222" Type="http://schemas.openxmlformats.org/officeDocument/2006/relationships/hyperlink" Target="https://maps.google.com/?q=17.3755496585651,-96.303744515780906" TargetMode="External"/><Relationship Id="rId11152" Type="http://schemas.openxmlformats.org/officeDocument/2006/relationships/hyperlink" Target="https://maps.google.com/?q=16.840733,-96.009146999999999" TargetMode="External"/><Relationship Id="rId12203" Type="http://schemas.openxmlformats.org/officeDocument/2006/relationships/hyperlink" Target="https://maps.google.com/?q=17.4178810334218,-95.951594467596394" TargetMode="External"/><Relationship Id="rId1211" Type="http://schemas.openxmlformats.org/officeDocument/2006/relationships/hyperlink" Target="https://maps.google.com/?q=16.48428517241651,-97.98183862708996" TargetMode="External"/><Relationship Id="rId4367" Type="http://schemas.openxmlformats.org/officeDocument/2006/relationships/hyperlink" Target="https://maps.google.com/?q=15.96215145,-96.634237339999999" TargetMode="External"/><Relationship Id="rId4781" Type="http://schemas.openxmlformats.org/officeDocument/2006/relationships/hyperlink" Target="https://maps.google.com/?q=17.9578617998371,-96.658798680742294" TargetMode="External"/><Relationship Id="rId5418" Type="http://schemas.openxmlformats.org/officeDocument/2006/relationships/hyperlink" Target="https://maps.google.com/?q=16.1000204691691,-97.700037457671996" TargetMode="External"/><Relationship Id="rId5832" Type="http://schemas.openxmlformats.org/officeDocument/2006/relationships/hyperlink" Target="https://maps.google.com/?q=17.1198495538364,-96.804007107909896" TargetMode="External"/><Relationship Id="rId8988" Type="http://schemas.openxmlformats.org/officeDocument/2006/relationships/hyperlink" Target="https://maps.google.com/?q=17.381926567,-96.160075477999996" TargetMode="External"/><Relationship Id="rId3383" Type="http://schemas.openxmlformats.org/officeDocument/2006/relationships/hyperlink" Target="https://maps.google.com/?q=16.385803,-96.837928000000005" TargetMode="External"/><Relationship Id="rId4434" Type="http://schemas.openxmlformats.org/officeDocument/2006/relationships/hyperlink" Target="https://maps.google.com/?q=17.2713201678719,-97.533956256524306" TargetMode="External"/><Relationship Id="rId11969" Type="http://schemas.openxmlformats.org/officeDocument/2006/relationships/hyperlink" Target="https://maps.google.com/?q=16.799538976796,-96.722130466270301" TargetMode="External"/><Relationship Id="rId14028" Type="http://schemas.openxmlformats.org/officeDocument/2006/relationships/hyperlink" Target="https://maps.google.com/?q=17.0583910928916,-96.726308516209798" TargetMode="External"/><Relationship Id="rId3036" Type="http://schemas.openxmlformats.org/officeDocument/2006/relationships/hyperlink" Target="https://maps.google.com/?q=16.940013,-97.016698000000005" TargetMode="External"/><Relationship Id="rId10985" Type="http://schemas.openxmlformats.org/officeDocument/2006/relationships/hyperlink" Target="https://maps.google.com/?q=16.2234005133443,-95.212416669999797" TargetMode="External"/><Relationship Id="rId13391" Type="http://schemas.openxmlformats.org/officeDocument/2006/relationships/hyperlink" Target="https://maps.google.com/?q=16.3255783916287,-96.676875504299204" TargetMode="External"/><Relationship Id="rId371" Type="http://schemas.openxmlformats.org/officeDocument/2006/relationships/hyperlink" Target="https://maps.google.com/?q=16.052963,-97.410798" TargetMode="External"/><Relationship Id="rId2052" Type="http://schemas.openxmlformats.org/officeDocument/2006/relationships/hyperlink" Target="https://maps.google.com/?q=15.761976433129382,-96.146050016011785" TargetMode="External"/><Relationship Id="rId3450" Type="http://schemas.openxmlformats.org/officeDocument/2006/relationships/hyperlink" Target="https://maps.google.com/?q=16.457455993221,-96.929131825725904" TargetMode="External"/><Relationship Id="rId4501" Type="http://schemas.openxmlformats.org/officeDocument/2006/relationships/hyperlink" Target="https://maps.google.com/?q=17.1783525341988,-97.305964752149507" TargetMode="External"/><Relationship Id="rId6259" Type="http://schemas.openxmlformats.org/officeDocument/2006/relationships/hyperlink" Target="https://maps.google.com/?q=16.3860166619514,-96.730667835649598" TargetMode="External"/><Relationship Id="rId7657" Type="http://schemas.openxmlformats.org/officeDocument/2006/relationships/hyperlink" Target="https://maps.google.com/?q=17.2321352463139,-95.053161038518994" TargetMode="External"/><Relationship Id="rId8708" Type="http://schemas.openxmlformats.org/officeDocument/2006/relationships/hyperlink" Target="https://maps.google.com/?q=17.0557704604864,-96.825961930320304" TargetMode="External"/><Relationship Id="rId10638" Type="http://schemas.openxmlformats.org/officeDocument/2006/relationships/hyperlink" Target="https://maps.google.com/?q=17.1197707726879,-97.7798721677907" TargetMode="External"/><Relationship Id="rId13044" Type="http://schemas.openxmlformats.org/officeDocument/2006/relationships/hyperlink" Target="https://maps.google.com/?q=16.5620655,-97.539948899999999" TargetMode="External"/><Relationship Id="rId3103" Type="http://schemas.openxmlformats.org/officeDocument/2006/relationships/hyperlink" Target="https://maps.google.com/?q=17.31015616,-97.487322950000006" TargetMode="External"/><Relationship Id="rId6673" Type="http://schemas.openxmlformats.org/officeDocument/2006/relationships/hyperlink" Target="https://maps.google.com/?q=16.941468,-97.014095999999995" TargetMode="External"/><Relationship Id="rId7724" Type="http://schemas.openxmlformats.org/officeDocument/2006/relationships/hyperlink" Target="https://maps.google.com/?q=16.6301025990196,-96.8014102228626" TargetMode="External"/><Relationship Id="rId10705" Type="http://schemas.openxmlformats.org/officeDocument/2006/relationships/hyperlink" Target="https://maps.google.com/?q=16.791625,-96.674999" TargetMode="External"/><Relationship Id="rId12060" Type="http://schemas.openxmlformats.org/officeDocument/2006/relationships/hyperlink" Target="https://maps.google.com/?q=16.31178404,-95.234600220000004" TargetMode="External"/><Relationship Id="rId13111" Type="http://schemas.openxmlformats.org/officeDocument/2006/relationships/hyperlink" Target="https://maps.google.com/?q=16.5659735,-97.537848100000005" TargetMode="External"/><Relationship Id="rId2869" Type="http://schemas.openxmlformats.org/officeDocument/2006/relationships/hyperlink" Target="https://maps.google.com/?q=16.9868250162557,-97.680509055224903" TargetMode="External"/><Relationship Id="rId5275" Type="http://schemas.openxmlformats.org/officeDocument/2006/relationships/hyperlink" Target="https://maps.google.com/?q=15.8241743338564,-96.463797251069195" TargetMode="External"/><Relationship Id="rId6326" Type="http://schemas.openxmlformats.org/officeDocument/2006/relationships/hyperlink" Target="https://maps.google.com/?q=18.0594584146959,-96.401699746030999" TargetMode="External"/><Relationship Id="rId6740" Type="http://schemas.openxmlformats.org/officeDocument/2006/relationships/hyperlink" Target="https://maps.google.com/?q=15.8494365333,&#160;-96.6478660625" TargetMode="External"/><Relationship Id="rId9896" Type="http://schemas.openxmlformats.org/officeDocument/2006/relationships/hyperlink" Target="https://maps.google.com/?q=16.6391767230207,-96.849780635581993" TargetMode="External"/><Relationship Id="rId1885" Type="http://schemas.openxmlformats.org/officeDocument/2006/relationships/hyperlink" Target="https://maps.google.com/?q=15.775998622665842,-96.136210509318573" TargetMode="External"/><Relationship Id="rId2936" Type="http://schemas.openxmlformats.org/officeDocument/2006/relationships/hyperlink" Target="https://maps.google.com/?q=17.07978999,-96.662906210000003" TargetMode="External"/><Relationship Id="rId4291" Type="http://schemas.openxmlformats.org/officeDocument/2006/relationships/hyperlink" Target="https://maps.google.com/?q=16.01301164,-96.662214570000003" TargetMode="External"/><Relationship Id="rId5342" Type="http://schemas.openxmlformats.org/officeDocument/2006/relationships/hyperlink" Target="https://maps.google.com/?q=17.9132773656581,-97.996882297562706" TargetMode="External"/><Relationship Id="rId8498" Type="http://schemas.openxmlformats.org/officeDocument/2006/relationships/hyperlink" Target="https://maps.google.com/?q=17.1453801847151,-97.543222226542397" TargetMode="External"/><Relationship Id="rId9549" Type="http://schemas.openxmlformats.org/officeDocument/2006/relationships/hyperlink" Target="https://maps.google.com/?q=17.274469,-96.804459" TargetMode="External"/><Relationship Id="rId9963" Type="http://schemas.openxmlformats.org/officeDocument/2006/relationships/hyperlink" Target="https://maps.google.com/?q=17.015642,-96.121594" TargetMode="External"/><Relationship Id="rId11479" Type="http://schemas.openxmlformats.org/officeDocument/2006/relationships/hyperlink" Target="https://maps.google.com/?q=16.3020193898886,-96.641484149167397" TargetMode="External"/><Relationship Id="rId12877" Type="http://schemas.openxmlformats.org/officeDocument/2006/relationships/hyperlink" Target="https://maps.google.com/?q=16.534768,-97.4957165" TargetMode="External"/><Relationship Id="rId13928" Type="http://schemas.openxmlformats.org/officeDocument/2006/relationships/hyperlink" Target="https://maps.google.com/?q=17.370015084098785,-96.33743208362402" TargetMode="External"/><Relationship Id="rId908" Type="http://schemas.openxmlformats.org/officeDocument/2006/relationships/hyperlink" Target="https://maps.google.com/?q=16.88639,-97.678100000000001" TargetMode="External"/><Relationship Id="rId1538" Type="http://schemas.openxmlformats.org/officeDocument/2006/relationships/hyperlink" Target="https://maps.google.com/?q=17.06218,-96.753029999999995" TargetMode="External"/><Relationship Id="rId8565" Type="http://schemas.openxmlformats.org/officeDocument/2006/relationships/hyperlink" Target="https://maps.google.com/?q=16.9278933225454,-96.6040621484795" TargetMode="External"/><Relationship Id="rId9616" Type="http://schemas.openxmlformats.org/officeDocument/2006/relationships/hyperlink" Target="https://maps.google.com/?q=17.9981616033287,-96.744165901626602" TargetMode="External"/><Relationship Id="rId11893" Type="http://schemas.openxmlformats.org/officeDocument/2006/relationships/hyperlink" Target="https://maps.google.com/?q=16.40006046738449,-97.81039065277862" TargetMode="External"/><Relationship Id="rId12944" Type="http://schemas.openxmlformats.org/officeDocument/2006/relationships/hyperlink" Target="https://maps.google.com/?q=16.546497,-97.547188000000006" TargetMode="External"/><Relationship Id="rId1952" Type="http://schemas.openxmlformats.org/officeDocument/2006/relationships/hyperlink" Target="https://maps.google.com/?q=15.778583678960496,-96.137750346330279" TargetMode="External"/><Relationship Id="rId4011" Type="http://schemas.openxmlformats.org/officeDocument/2006/relationships/hyperlink" Target="https://maps.google.com/?q=17.01808469863598,-96.718677193270977" TargetMode="External"/><Relationship Id="rId7167" Type="http://schemas.openxmlformats.org/officeDocument/2006/relationships/hyperlink" Target="https://maps.google.com/?q=16.2172428125381,-97.958190437672599" TargetMode="External"/><Relationship Id="rId8218" Type="http://schemas.openxmlformats.org/officeDocument/2006/relationships/hyperlink" Target="https://maps.google.com/?q=16.373311,-97.677639999999997" TargetMode="External"/><Relationship Id="rId10495" Type="http://schemas.openxmlformats.org/officeDocument/2006/relationships/hyperlink" Target="https://maps.google.com/?q=17.845660755433,-96.743422437927194" TargetMode="External"/><Relationship Id="rId11546" Type="http://schemas.openxmlformats.org/officeDocument/2006/relationships/hyperlink" Target="https://maps.google.com/?q=16.8286897332698,-96.707696580356597" TargetMode="External"/><Relationship Id="rId11960" Type="http://schemas.openxmlformats.org/officeDocument/2006/relationships/hyperlink" Target="https://maps.google.com/?q=16.7984901353598,-96.723316047731601" TargetMode="External"/><Relationship Id="rId1605" Type="http://schemas.openxmlformats.org/officeDocument/2006/relationships/hyperlink" Target="https://maps.google.com/?q=17.760467,-96.078631000000001" TargetMode="External"/><Relationship Id="rId6183" Type="http://schemas.openxmlformats.org/officeDocument/2006/relationships/hyperlink" Target="https://maps.google.com/?q=16.089353,-97.081225000000003" TargetMode="External"/><Relationship Id="rId7234" Type="http://schemas.openxmlformats.org/officeDocument/2006/relationships/hyperlink" Target="https://maps.google.com/?q=16.0952728079102,-97.922285122665301" TargetMode="External"/><Relationship Id="rId7581" Type="http://schemas.openxmlformats.org/officeDocument/2006/relationships/hyperlink" Target="https://maps.google.com/?q=17.0931052630372,-95.854907070451105" TargetMode="External"/><Relationship Id="rId8632" Type="http://schemas.openxmlformats.org/officeDocument/2006/relationships/hyperlink" Target="https://maps.google.com/?q=17.8997709816767,-96.714330446171601" TargetMode="External"/><Relationship Id="rId10148" Type="http://schemas.openxmlformats.org/officeDocument/2006/relationships/hyperlink" Target="https://maps.google.com/?q=17.1252701490764,-97.494322820752103" TargetMode="External"/><Relationship Id="rId10562" Type="http://schemas.openxmlformats.org/officeDocument/2006/relationships/hyperlink" Target="https://maps.google.com/?q=17.0972610642358,-97.784570477671494" TargetMode="External"/><Relationship Id="rId11613" Type="http://schemas.openxmlformats.org/officeDocument/2006/relationships/hyperlink" Target="https://maps.google.com/?q=16.8369595818909,-96.719337224690406" TargetMode="External"/><Relationship Id="rId3777" Type="http://schemas.openxmlformats.org/officeDocument/2006/relationships/hyperlink" Target="https://maps.google.com/?q=15.764041,-96.141628999999995" TargetMode="External"/><Relationship Id="rId4828" Type="http://schemas.openxmlformats.org/officeDocument/2006/relationships/hyperlink" Target="https://maps.google.com/?q=17.334269757077,-96.162499409877896" TargetMode="External"/><Relationship Id="rId10215" Type="http://schemas.openxmlformats.org/officeDocument/2006/relationships/hyperlink" Target="https://maps.google.com/?q=17.19674731919903,-97.333386464776" TargetMode="External"/><Relationship Id="rId13785" Type="http://schemas.openxmlformats.org/officeDocument/2006/relationships/hyperlink" Target="https://maps.google.com/?q=17.129261,-97.748521999999994" TargetMode="External"/><Relationship Id="rId698" Type="http://schemas.openxmlformats.org/officeDocument/2006/relationships/hyperlink" Target="https://maps.google.com/?q=16.063372,-97.381553999999994" TargetMode="External"/><Relationship Id="rId2379" Type="http://schemas.openxmlformats.org/officeDocument/2006/relationships/hyperlink" Target="https://maps.google.com/?q=17.1712671267516,-97.8283250006983" TargetMode="External"/><Relationship Id="rId2793" Type="http://schemas.openxmlformats.org/officeDocument/2006/relationships/hyperlink" Target="https://maps.google.com/?q=16.995006491553,-97.701413492642402" TargetMode="External"/><Relationship Id="rId3844" Type="http://schemas.openxmlformats.org/officeDocument/2006/relationships/hyperlink" Target="https://maps.google.com/?q=17.1023410520666,-95.947890999364702" TargetMode="External"/><Relationship Id="rId6250" Type="http://schemas.openxmlformats.org/officeDocument/2006/relationships/hyperlink" Target="https://maps.google.com/?q=17.004873806503024,-97.51023850678074" TargetMode="External"/><Relationship Id="rId7301" Type="http://schemas.openxmlformats.org/officeDocument/2006/relationships/hyperlink" Target="https://maps.google.com/?q=17.607829245418,-96.139777105487994" TargetMode="External"/><Relationship Id="rId12387" Type="http://schemas.openxmlformats.org/officeDocument/2006/relationships/hyperlink" Target="https://maps.google.com/?q=16.5533467184158,-96.818766690807394" TargetMode="External"/><Relationship Id="rId13438" Type="http://schemas.openxmlformats.org/officeDocument/2006/relationships/hyperlink" Target="https://maps.google.com/?q=17.6836383410523,-97.032863101852399" TargetMode="External"/><Relationship Id="rId765" Type="http://schemas.openxmlformats.org/officeDocument/2006/relationships/hyperlink" Target="https://maps.google.com/?q=15.684655146195983,-96.511561915081558" TargetMode="External"/><Relationship Id="rId1395" Type="http://schemas.openxmlformats.org/officeDocument/2006/relationships/hyperlink" Target="https://maps.google.com/?q=16.279058,-97.820240999999996" TargetMode="External"/><Relationship Id="rId2446" Type="http://schemas.openxmlformats.org/officeDocument/2006/relationships/hyperlink" Target="https://maps.google.com/?q=17.05140975,-96.624602659999994" TargetMode="External"/><Relationship Id="rId2860" Type="http://schemas.openxmlformats.org/officeDocument/2006/relationships/hyperlink" Target="https://maps.google.com/?q=16.9660151783592,-97.731694097290998" TargetMode="External"/><Relationship Id="rId9059" Type="http://schemas.openxmlformats.org/officeDocument/2006/relationships/hyperlink" Target="https://maps.google.com/?q=16.056001,-95.460448999999997" TargetMode="External"/><Relationship Id="rId9473" Type="http://schemas.openxmlformats.org/officeDocument/2006/relationships/hyperlink" Target="https://maps.google.com/?q=16.332014,-95.231966" TargetMode="External"/><Relationship Id="rId12454" Type="http://schemas.openxmlformats.org/officeDocument/2006/relationships/hyperlink" Target="https://maps.google.com/?q=17.22126523476,-97.272130024458505" TargetMode="External"/><Relationship Id="rId13852" Type="http://schemas.openxmlformats.org/officeDocument/2006/relationships/hyperlink" Target="https://maps.google.com/?q=16.321695750228958,-96.41053007809116" TargetMode="External"/><Relationship Id="rId418" Type="http://schemas.openxmlformats.org/officeDocument/2006/relationships/hyperlink" Target="https://maps.google.com/?q=16.053025,-97.411844000000002" TargetMode="External"/><Relationship Id="rId832" Type="http://schemas.openxmlformats.org/officeDocument/2006/relationships/hyperlink" Target="https://maps.google.com/?q=15.70514247224545,-96.523615187636764" TargetMode="External"/><Relationship Id="rId1048" Type="http://schemas.openxmlformats.org/officeDocument/2006/relationships/hyperlink" Target="https://maps.google.com/?q=15.708113698968699,-96.525660977768524" TargetMode="External"/><Relationship Id="rId1462" Type="http://schemas.openxmlformats.org/officeDocument/2006/relationships/hyperlink" Target="https://maps.google.com/?q=16.157825272497256,-97.12473411044955" TargetMode="External"/><Relationship Id="rId2513" Type="http://schemas.openxmlformats.org/officeDocument/2006/relationships/hyperlink" Target="https://maps.google.com/?q=17.05216841,-96.624075930000004" TargetMode="External"/><Relationship Id="rId3911" Type="http://schemas.openxmlformats.org/officeDocument/2006/relationships/hyperlink" Target="https://maps.google.com/?q=16.28114670102987,-94.52278721343117" TargetMode="External"/><Relationship Id="rId5669" Type="http://schemas.openxmlformats.org/officeDocument/2006/relationships/hyperlink" Target="https://maps.google.com/?q=16.438137,-97.854951999999997" TargetMode="External"/><Relationship Id="rId8075" Type="http://schemas.openxmlformats.org/officeDocument/2006/relationships/hyperlink" Target="https://maps.google.com/?q=17.353465602819,-96.305245544418" TargetMode="External"/><Relationship Id="rId9126" Type="http://schemas.openxmlformats.org/officeDocument/2006/relationships/hyperlink" Target="https://maps.google.com/?q=17.04148,-96.727817000000002" TargetMode="External"/><Relationship Id="rId9540" Type="http://schemas.openxmlformats.org/officeDocument/2006/relationships/hyperlink" Target="https://maps.google.com/?q=17.273624,-96.799928" TargetMode="External"/><Relationship Id="rId11056" Type="http://schemas.openxmlformats.org/officeDocument/2006/relationships/hyperlink" Target="https://maps.google.com/?q=17.27829131,-97.365226640000003" TargetMode="External"/><Relationship Id="rId12107" Type="http://schemas.openxmlformats.org/officeDocument/2006/relationships/hyperlink" Target="https://maps.google.com/?q=16.3180381809834,-97.665372239388404" TargetMode="External"/><Relationship Id="rId13505" Type="http://schemas.openxmlformats.org/officeDocument/2006/relationships/hyperlink" Target="https://maps.google.com/?q=17.253323967535362,-96.15668719533313" TargetMode="External"/><Relationship Id="rId1115" Type="http://schemas.openxmlformats.org/officeDocument/2006/relationships/hyperlink" Target="https://maps.google.com/?q=17.092172,-97.493604000000005" TargetMode="External"/><Relationship Id="rId7091" Type="http://schemas.openxmlformats.org/officeDocument/2006/relationships/hyperlink" Target="https://maps.google.com/?q=16.329157,&#160;-98.055247" TargetMode="External"/><Relationship Id="rId8142" Type="http://schemas.openxmlformats.org/officeDocument/2006/relationships/hyperlink" Target="https://maps.google.com/?q=17.355995,-96.301002999999994" TargetMode="External"/><Relationship Id="rId10072" Type="http://schemas.openxmlformats.org/officeDocument/2006/relationships/hyperlink" Target="https://maps.google.com/?q=16.9902997452374,-96.107282897791094" TargetMode="External"/><Relationship Id="rId11470" Type="http://schemas.openxmlformats.org/officeDocument/2006/relationships/hyperlink" Target="https://maps.google.com/?q=16.01133,-97.431441000000007" TargetMode="External"/><Relationship Id="rId12521" Type="http://schemas.openxmlformats.org/officeDocument/2006/relationships/hyperlink" Target="https://maps.google.com/?q=17.226390481415,-97.273280286226907" TargetMode="External"/><Relationship Id="rId3287" Type="http://schemas.openxmlformats.org/officeDocument/2006/relationships/hyperlink" Target="https://maps.google.com/?q=17.0623965574727,-96.810514992954296" TargetMode="External"/><Relationship Id="rId4338" Type="http://schemas.openxmlformats.org/officeDocument/2006/relationships/hyperlink" Target="https://maps.google.com/?q=16.0173832509134,-96.613960373650798" TargetMode="External"/><Relationship Id="rId4685" Type="http://schemas.openxmlformats.org/officeDocument/2006/relationships/hyperlink" Target="https://maps.google.com/?q=17.061036,-96.755902000000006" TargetMode="External"/><Relationship Id="rId5736" Type="http://schemas.openxmlformats.org/officeDocument/2006/relationships/hyperlink" Target="https://maps.google.com/?q=16.38711,-96.366209999999995" TargetMode="External"/><Relationship Id="rId11123" Type="http://schemas.openxmlformats.org/officeDocument/2006/relationships/hyperlink" Target="https://maps.google.com/?q=16.834075,-96.009533000000005" TargetMode="External"/><Relationship Id="rId4752" Type="http://schemas.openxmlformats.org/officeDocument/2006/relationships/hyperlink" Target="https://maps.google.com/?q=17.9539610704029,-96.654490084655905" TargetMode="External"/><Relationship Id="rId5803" Type="http://schemas.openxmlformats.org/officeDocument/2006/relationships/hyperlink" Target="https://maps.google.com/?q=17.3090840644938,-97.488837796772103" TargetMode="External"/><Relationship Id="rId8959" Type="http://schemas.openxmlformats.org/officeDocument/2006/relationships/hyperlink" Target="https://maps.google.com/?q=17.381483794,-96.161323689" TargetMode="External"/><Relationship Id="rId10889" Type="http://schemas.openxmlformats.org/officeDocument/2006/relationships/hyperlink" Target="https://maps.google.com/?q=16.1804402502751,-95.204656167003193" TargetMode="External"/><Relationship Id="rId13295" Type="http://schemas.openxmlformats.org/officeDocument/2006/relationships/hyperlink" Target="https://maps.google.com/?q=16.131597604224,-96.329395146687006" TargetMode="External"/><Relationship Id="rId3354" Type="http://schemas.openxmlformats.org/officeDocument/2006/relationships/hyperlink" Target="https://maps.google.com/?q=17.1550554010975,-97.848410811183697" TargetMode="External"/><Relationship Id="rId4405" Type="http://schemas.openxmlformats.org/officeDocument/2006/relationships/hyperlink" Target="https://maps.google.com/?q=16.00240789,-96.682477349999999" TargetMode="External"/><Relationship Id="rId7975" Type="http://schemas.openxmlformats.org/officeDocument/2006/relationships/hyperlink" Target="https://maps.google.com/?q=18.1624336127464,-96.873616738647598" TargetMode="External"/><Relationship Id="rId13362" Type="http://schemas.openxmlformats.org/officeDocument/2006/relationships/hyperlink" Target="https://maps.google.com/?q=16.3208594850453,-96.679994533729499" TargetMode="External"/><Relationship Id="rId275" Type="http://schemas.openxmlformats.org/officeDocument/2006/relationships/hyperlink" Target="https://maps.google.com/?q=16.88384,-97.676360000000003" TargetMode="External"/><Relationship Id="rId2370" Type="http://schemas.openxmlformats.org/officeDocument/2006/relationships/hyperlink" Target="https://maps.google.com/?q=17.0996630119722,-97.853216824398302" TargetMode="External"/><Relationship Id="rId3007" Type="http://schemas.openxmlformats.org/officeDocument/2006/relationships/hyperlink" Target="https://maps.google.com/?q=16.936762,-97.007970999999998" TargetMode="External"/><Relationship Id="rId3421" Type="http://schemas.openxmlformats.org/officeDocument/2006/relationships/hyperlink" Target="https://maps.google.com/?q=16.194505,-96.629741899999999" TargetMode="External"/><Relationship Id="rId6577" Type="http://schemas.openxmlformats.org/officeDocument/2006/relationships/hyperlink" Target="https://maps.google.com/?q=17.765149,-96.881659" TargetMode="External"/><Relationship Id="rId6991" Type="http://schemas.openxmlformats.org/officeDocument/2006/relationships/hyperlink" Target="https://maps.google.com/?q=17.036355988654,-97.301356842037094" TargetMode="External"/><Relationship Id="rId7628" Type="http://schemas.openxmlformats.org/officeDocument/2006/relationships/hyperlink" Target="https://maps.google.com/?q=17.2304605825104,-95.055520637297903" TargetMode="External"/><Relationship Id="rId10956" Type="http://schemas.openxmlformats.org/officeDocument/2006/relationships/hyperlink" Target="https://maps.google.com/?q=16.2070666254448,-95.218849172444607" TargetMode="External"/><Relationship Id="rId13015" Type="http://schemas.openxmlformats.org/officeDocument/2006/relationships/hyperlink" Target="https://maps.google.com/?q=16.50481586,-97.557101200000005" TargetMode="External"/><Relationship Id="rId342" Type="http://schemas.openxmlformats.org/officeDocument/2006/relationships/hyperlink" Target="https://maps.google.com/?q=16.052697,-97.402968000000001" TargetMode="External"/><Relationship Id="rId2023" Type="http://schemas.openxmlformats.org/officeDocument/2006/relationships/hyperlink" Target="https://maps.google.com/?q=15.758087320367228,-96.144920062400843" TargetMode="External"/><Relationship Id="rId5179" Type="http://schemas.openxmlformats.org/officeDocument/2006/relationships/hyperlink" Target="https://maps.google.com/?q=17.314403,-95.967399" TargetMode="External"/><Relationship Id="rId5593" Type="http://schemas.openxmlformats.org/officeDocument/2006/relationships/hyperlink" Target="https://maps.google.com/?q=17.4593101934244,-96.229619918895906" TargetMode="External"/><Relationship Id="rId6644" Type="http://schemas.openxmlformats.org/officeDocument/2006/relationships/hyperlink" Target="https://maps.google.com/?q=16.8437491645071,-97.207935368053498" TargetMode="External"/><Relationship Id="rId9050" Type="http://schemas.openxmlformats.org/officeDocument/2006/relationships/hyperlink" Target="https://maps.google.com/?q=16.054624,-95.473815999999999" TargetMode="External"/><Relationship Id="rId10609" Type="http://schemas.openxmlformats.org/officeDocument/2006/relationships/hyperlink" Target="https://maps.google.com/?q=17.1315865628247,-97.753924765360296" TargetMode="External"/><Relationship Id="rId12031" Type="http://schemas.openxmlformats.org/officeDocument/2006/relationships/hyperlink" Target="https://maps.google.com/?q=16.8055905462238,-96.721978294477196" TargetMode="External"/><Relationship Id="rId4195" Type="http://schemas.openxmlformats.org/officeDocument/2006/relationships/hyperlink" Target="https://maps.google.com/?q=17.619736,-95.931229999999999" TargetMode="External"/><Relationship Id="rId5246" Type="http://schemas.openxmlformats.org/officeDocument/2006/relationships/hyperlink" Target="https://maps.google.com/?q=15.8509689923135,-96.462219718935501" TargetMode="External"/><Relationship Id="rId1789" Type="http://schemas.openxmlformats.org/officeDocument/2006/relationships/hyperlink" Target="https://maps.google.com/?q=18.0633535528605,-96.896266999999995" TargetMode="External"/><Relationship Id="rId4262" Type="http://schemas.openxmlformats.org/officeDocument/2006/relationships/hyperlink" Target="https://maps.google.com/?q=16.01516598,-96.634119709999993" TargetMode="External"/><Relationship Id="rId5660" Type="http://schemas.openxmlformats.org/officeDocument/2006/relationships/hyperlink" Target="https://maps.google.com/?q=16.43663,-97.857133000000005" TargetMode="External"/><Relationship Id="rId6711" Type="http://schemas.openxmlformats.org/officeDocument/2006/relationships/hyperlink" Target="https://maps.google.com/?q=17.0284010965039,-96.986222938195198" TargetMode="External"/><Relationship Id="rId8469" Type="http://schemas.openxmlformats.org/officeDocument/2006/relationships/hyperlink" Target="https://maps.google.com/?q=17.1483843322989,-97.527612662462701" TargetMode="External"/><Relationship Id="rId9867" Type="http://schemas.openxmlformats.org/officeDocument/2006/relationships/hyperlink" Target="https://maps.google.com/?q=16.6357706575787,-96.851729867790894" TargetMode="External"/><Relationship Id="rId11797" Type="http://schemas.openxmlformats.org/officeDocument/2006/relationships/hyperlink" Target="https://maps.google.com/?q=18.03677666722645,-96.54842078042603" TargetMode="External"/><Relationship Id="rId12848" Type="http://schemas.openxmlformats.org/officeDocument/2006/relationships/hyperlink" Target="https://maps.google.com/?q=17.517276,-97.681674999999998" TargetMode="External"/><Relationship Id="rId1856" Type="http://schemas.openxmlformats.org/officeDocument/2006/relationships/hyperlink" Target="https://maps.google.com/?q=15.770983778687938,-96.149757023502104" TargetMode="External"/><Relationship Id="rId2907" Type="http://schemas.openxmlformats.org/officeDocument/2006/relationships/hyperlink" Target="https://maps.google.com/?q=17.762281,-96.072618000000006" TargetMode="External"/><Relationship Id="rId5313" Type="http://schemas.openxmlformats.org/officeDocument/2006/relationships/hyperlink" Target="https://maps.google.com/?q=15.7231617150619,-96.469153635271795" TargetMode="External"/><Relationship Id="rId8883" Type="http://schemas.openxmlformats.org/officeDocument/2006/relationships/hyperlink" Target="https://maps.google.com/?q=17.379319838,-96.159984422999997" TargetMode="External"/><Relationship Id="rId9934" Type="http://schemas.openxmlformats.org/officeDocument/2006/relationships/hyperlink" Target="https://maps.google.com/?q=0,-96.713018000000005" TargetMode="External"/><Relationship Id="rId10399" Type="http://schemas.openxmlformats.org/officeDocument/2006/relationships/hyperlink" Target="https://maps.google.com/?q=17.9738941474916,-96.707212694613503" TargetMode="External"/><Relationship Id="rId11864" Type="http://schemas.openxmlformats.org/officeDocument/2006/relationships/hyperlink" Target="https://maps.google.com/?q=16.683697,-96.840029" TargetMode="External"/><Relationship Id="rId12915" Type="http://schemas.openxmlformats.org/officeDocument/2006/relationships/hyperlink" Target="https://maps.google.com/?q=16.534505,-97.525998000000001" TargetMode="External"/><Relationship Id="rId1509" Type="http://schemas.openxmlformats.org/officeDocument/2006/relationships/hyperlink" Target="https://maps.google.com/?q=17.06115,-96.755579999999995" TargetMode="External"/><Relationship Id="rId1923" Type="http://schemas.openxmlformats.org/officeDocument/2006/relationships/hyperlink" Target="https://maps.google.com/?q=15.77694066818441,-96.137111249444828" TargetMode="External"/><Relationship Id="rId7485" Type="http://schemas.openxmlformats.org/officeDocument/2006/relationships/hyperlink" Target="https://maps.google.com/?q=16.9901071175218,-95.013912894418198" TargetMode="External"/><Relationship Id="rId8536" Type="http://schemas.openxmlformats.org/officeDocument/2006/relationships/hyperlink" Target="https://maps.google.com/?q=16.9376000174878,-96.613555425760296" TargetMode="External"/><Relationship Id="rId8950" Type="http://schemas.openxmlformats.org/officeDocument/2006/relationships/hyperlink" Target="https://maps.google.com/?q=17.381353544,-96.161054476000004" TargetMode="External"/><Relationship Id="rId10466" Type="http://schemas.openxmlformats.org/officeDocument/2006/relationships/hyperlink" Target="https://maps.google.com/?q=17.043313,-96.779691999999997" TargetMode="External"/><Relationship Id="rId10880" Type="http://schemas.openxmlformats.org/officeDocument/2006/relationships/hyperlink" Target="https://maps.google.com/?q=16.3485819373165,-94.487280457672099" TargetMode="External"/><Relationship Id="rId11517" Type="http://schemas.openxmlformats.org/officeDocument/2006/relationships/hyperlink" Target="https://maps.google.com/?q=16.6125086785654,-96.847552840038205" TargetMode="External"/><Relationship Id="rId6087" Type="http://schemas.openxmlformats.org/officeDocument/2006/relationships/hyperlink" Target="https://maps.google.com/?q=17.971780789074934,-96.70816639632989" TargetMode="External"/><Relationship Id="rId7138" Type="http://schemas.openxmlformats.org/officeDocument/2006/relationships/hyperlink" Target="https://maps.google.com/?q=17.3414889320162,-97.700102504299196" TargetMode="External"/><Relationship Id="rId7552" Type="http://schemas.openxmlformats.org/officeDocument/2006/relationships/hyperlink" Target="https://maps.google.com/?q=17.9806712299561,-96.704019786627001" TargetMode="External"/><Relationship Id="rId8603" Type="http://schemas.openxmlformats.org/officeDocument/2006/relationships/hyperlink" Target="https://maps.google.com/?q=17.8849470235629,-96.724953174358603" TargetMode="External"/><Relationship Id="rId10119" Type="http://schemas.openxmlformats.org/officeDocument/2006/relationships/hyperlink" Target="https://maps.google.com/?q=17.028173970854,-96.136950921144603" TargetMode="External"/><Relationship Id="rId10533" Type="http://schemas.openxmlformats.org/officeDocument/2006/relationships/hyperlink" Target="https://maps.google.com/?q=0,&#160;-97.79278611" TargetMode="External"/><Relationship Id="rId11931" Type="http://schemas.openxmlformats.org/officeDocument/2006/relationships/hyperlink" Target="https://maps.google.com/?q=16.3319771770862,-95.239353078187506" TargetMode="External"/><Relationship Id="rId13689" Type="http://schemas.openxmlformats.org/officeDocument/2006/relationships/hyperlink" Target="https://maps.google.com/?q=16.514762,-96.978094" TargetMode="External"/><Relationship Id="rId2697" Type="http://schemas.openxmlformats.org/officeDocument/2006/relationships/hyperlink" Target="https://maps.google.com/?q=16.57107922707,-97.013607687012794" TargetMode="External"/><Relationship Id="rId3748" Type="http://schemas.openxmlformats.org/officeDocument/2006/relationships/hyperlink" Target="https://maps.google.com/?q=15.76247263637186,-96.144634905297139" TargetMode="External"/><Relationship Id="rId6154" Type="http://schemas.openxmlformats.org/officeDocument/2006/relationships/hyperlink" Target="https://maps.google.com/?q=16.1416420300265,-96.4191390318276" TargetMode="External"/><Relationship Id="rId7205" Type="http://schemas.openxmlformats.org/officeDocument/2006/relationships/hyperlink" Target="https://maps.google.com/?q=16.1754389803517,-97.9651127875578" TargetMode="External"/><Relationship Id="rId669" Type="http://schemas.openxmlformats.org/officeDocument/2006/relationships/hyperlink" Target="https://maps.google.com/?q=16.055021,-97.393434999999997" TargetMode="External"/><Relationship Id="rId1299" Type="http://schemas.openxmlformats.org/officeDocument/2006/relationships/hyperlink" Target="https://maps.google.com/?q=17.080188,-96.726730" TargetMode="External"/><Relationship Id="rId5170" Type="http://schemas.openxmlformats.org/officeDocument/2006/relationships/hyperlink" Target="https://maps.google.com/?q=17.314009,-95.964093000000005" TargetMode="External"/><Relationship Id="rId6221" Type="http://schemas.openxmlformats.org/officeDocument/2006/relationships/hyperlink" Target="https://maps.google.com/?q=16.096529,-97.078264000000004" TargetMode="External"/><Relationship Id="rId9377" Type="http://schemas.openxmlformats.org/officeDocument/2006/relationships/hyperlink" Target="https://maps.google.com/?q=16.8197553775651,-95.141857011104904" TargetMode="External"/><Relationship Id="rId10600" Type="http://schemas.openxmlformats.org/officeDocument/2006/relationships/hyperlink" Target="https://maps.google.com/?q=17.0849922846037,-97.7616213898811" TargetMode="External"/><Relationship Id="rId13756" Type="http://schemas.openxmlformats.org/officeDocument/2006/relationships/hyperlink" Target="https://maps.google.com/?q=16.738141,-95.354602" TargetMode="External"/><Relationship Id="rId736" Type="http://schemas.openxmlformats.org/officeDocument/2006/relationships/hyperlink" Target="https://maps.google.com/?q=15.682425594190722,-96.509560492632517" TargetMode="External"/><Relationship Id="rId1366" Type="http://schemas.openxmlformats.org/officeDocument/2006/relationships/hyperlink" Target="https://maps.google.com/?q=17.04831,-96.711275" TargetMode="External"/><Relationship Id="rId2417" Type="http://schemas.openxmlformats.org/officeDocument/2006/relationships/hyperlink" Target="https://maps.google.com/?q=17.05112831,-96.624382069999996" TargetMode="External"/><Relationship Id="rId2764" Type="http://schemas.openxmlformats.org/officeDocument/2006/relationships/hyperlink" Target="https://maps.google.com/?q=18.0202316251785,-96.618070864373493" TargetMode="External"/><Relationship Id="rId3815" Type="http://schemas.openxmlformats.org/officeDocument/2006/relationships/hyperlink" Target="https://maps.google.com/?q=15.773890019731871,-96.234969837091015" TargetMode="External"/><Relationship Id="rId8393" Type="http://schemas.openxmlformats.org/officeDocument/2006/relationships/hyperlink" Target="https://maps.google.com/?q=16.089741519654,-96.244260116567602" TargetMode="External"/><Relationship Id="rId9444" Type="http://schemas.openxmlformats.org/officeDocument/2006/relationships/hyperlink" Target="https://maps.google.com/?q=15.8328730024748,-96.638961341105201" TargetMode="External"/><Relationship Id="rId9791" Type="http://schemas.openxmlformats.org/officeDocument/2006/relationships/hyperlink" Target="https://maps.google.com/?q=16.6409660050095,-96.749495805879207" TargetMode="External"/><Relationship Id="rId12358" Type="http://schemas.openxmlformats.org/officeDocument/2006/relationships/hyperlink" Target="https://maps.google.com/?q=17.071537149621424,-96.7157940912962%09" TargetMode="External"/><Relationship Id="rId12772" Type="http://schemas.openxmlformats.org/officeDocument/2006/relationships/hyperlink" Target="https://maps.google.com/?q=17.520349138944376,-97.67717032058583" TargetMode="External"/><Relationship Id="rId13409" Type="http://schemas.openxmlformats.org/officeDocument/2006/relationships/hyperlink" Target="https://maps.google.com/?q=16.3282752804769,-96.678608355819804" TargetMode="External"/><Relationship Id="rId13823" Type="http://schemas.openxmlformats.org/officeDocument/2006/relationships/hyperlink" Target="https://maps.google.com/?q=17.0903,-97.785381000000001" TargetMode="External"/><Relationship Id="rId1019" Type="http://schemas.openxmlformats.org/officeDocument/2006/relationships/hyperlink" Target="https://maps.google.com/?q=15.699403010978934,-96.524960152000645" TargetMode="External"/><Relationship Id="rId1780" Type="http://schemas.openxmlformats.org/officeDocument/2006/relationships/hyperlink" Target="https://maps.google.com/?q=18.0588546072803,-96.899032139598603" TargetMode="External"/><Relationship Id="rId2831" Type="http://schemas.openxmlformats.org/officeDocument/2006/relationships/hyperlink" Target="https://maps.google.com/?q=16.9926405114553,-97.715957078538906" TargetMode="External"/><Relationship Id="rId5987" Type="http://schemas.openxmlformats.org/officeDocument/2006/relationships/hyperlink" Target="https://maps.google.com/?q=18.154776970847173,-96.572126029108048" TargetMode="External"/><Relationship Id="rId8046" Type="http://schemas.openxmlformats.org/officeDocument/2006/relationships/hyperlink" Target="https://maps.google.com/?q=16.4949912695473,-97.377858281203899" TargetMode="External"/><Relationship Id="rId11374" Type="http://schemas.openxmlformats.org/officeDocument/2006/relationships/hyperlink" Target="https://maps.google.com/?q=16.3718082198561,-94.199570409217699" TargetMode="External"/><Relationship Id="rId12425" Type="http://schemas.openxmlformats.org/officeDocument/2006/relationships/hyperlink" Target="https://maps.google.com/?q=16.5591844348626,-96.822421775463198" TargetMode="External"/><Relationship Id="rId72" Type="http://schemas.openxmlformats.org/officeDocument/2006/relationships/hyperlink" Target="https://maps.google.com/?q=15.911889,-96.450166999999993" TargetMode="External"/><Relationship Id="rId803" Type="http://schemas.openxmlformats.org/officeDocument/2006/relationships/hyperlink" Target="https://maps.google.com/?q=15.694781206349498,-96.522827656667303" TargetMode="External"/><Relationship Id="rId1433" Type="http://schemas.openxmlformats.org/officeDocument/2006/relationships/hyperlink" Target="https://maps.google.com/?q=16.02776313535173,-96.90657358529246" TargetMode="External"/><Relationship Id="rId4589" Type="http://schemas.openxmlformats.org/officeDocument/2006/relationships/hyperlink" Target="https://maps.google.com/?q=16.556978,-96.822840999999997" TargetMode="External"/><Relationship Id="rId8460" Type="http://schemas.openxmlformats.org/officeDocument/2006/relationships/hyperlink" Target="https://maps.google.com/?q=17.1510580553612,-97.528717038836405" TargetMode="External"/><Relationship Id="rId9511" Type="http://schemas.openxmlformats.org/officeDocument/2006/relationships/hyperlink" Target="https://maps.google.com/?q=16.94759,-96.470642" TargetMode="External"/><Relationship Id="rId10390" Type="http://schemas.openxmlformats.org/officeDocument/2006/relationships/hyperlink" Target="https://maps.google.com/?q=16.1901254133625,-96.6306544245504" TargetMode="External"/><Relationship Id="rId11027" Type="http://schemas.openxmlformats.org/officeDocument/2006/relationships/hyperlink" Target="https://maps.google.com/?q=16.576487,-96.545920" TargetMode="External"/><Relationship Id="rId11441" Type="http://schemas.openxmlformats.org/officeDocument/2006/relationships/hyperlink" Target="https://maps.google.com/?q=16.07286,-97.300049999999999" TargetMode="External"/><Relationship Id="rId1500" Type="http://schemas.openxmlformats.org/officeDocument/2006/relationships/hyperlink" Target="https://maps.google.com/?q=17.061036,-96.755902000000006" TargetMode="External"/><Relationship Id="rId4656" Type="http://schemas.openxmlformats.org/officeDocument/2006/relationships/hyperlink" Target="https://maps.google.com/?q=17.072428,-96.742863" TargetMode="External"/><Relationship Id="rId5707" Type="http://schemas.openxmlformats.org/officeDocument/2006/relationships/hyperlink" Target="https://maps.google.com/?q=17.4303703327241,-96.2829383171199" TargetMode="External"/><Relationship Id="rId7062" Type="http://schemas.openxmlformats.org/officeDocument/2006/relationships/hyperlink" Target="https://maps.google.com/?q=16.5694716027696,-97.037345548895502" TargetMode="External"/><Relationship Id="rId8113" Type="http://schemas.openxmlformats.org/officeDocument/2006/relationships/hyperlink" Target="https://maps.google.com/?q=17.355127,-96.304130999999998" TargetMode="External"/><Relationship Id="rId10043" Type="http://schemas.openxmlformats.org/officeDocument/2006/relationships/hyperlink" Target="https://maps.google.com/?q=16.9245771490699,-96.366506274451794" TargetMode="External"/><Relationship Id="rId13199" Type="http://schemas.openxmlformats.org/officeDocument/2006/relationships/hyperlink" Target="https://maps.google.com/?q=17.335422,-97.374084999999994" TargetMode="External"/><Relationship Id="rId3258" Type="http://schemas.openxmlformats.org/officeDocument/2006/relationships/hyperlink" Target="https://maps.google.com/?q=17.0590942392145,-96.822050566733296" TargetMode="External"/><Relationship Id="rId3672" Type="http://schemas.openxmlformats.org/officeDocument/2006/relationships/hyperlink" Target="https://maps.google.com/?q=15.774699,-96.144537999999997" TargetMode="External"/><Relationship Id="rId4309" Type="http://schemas.openxmlformats.org/officeDocument/2006/relationships/hyperlink" Target="https://maps.google.com/?q=16.026660961871,-96.647628749349295" TargetMode="External"/><Relationship Id="rId4723" Type="http://schemas.openxmlformats.org/officeDocument/2006/relationships/hyperlink" Target="https://maps.google.com/?q=17.0563329179,-96.7461488" TargetMode="External"/><Relationship Id="rId7879" Type="http://schemas.openxmlformats.org/officeDocument/2006/relationships/hyperlink" Target="https://maps.google.com/?q=16.3177627356388,-96.410720395896902" TargetMode="External"/><Relationship Id="rId10110" Type="http://schemas.openxmlformats.org/officeDocument/2006/relationships/hyperlink" Target="https://maps.google.com/?q=17.023651111116,-96.133199128954899" TargetMode="External"/><Relationship Id="rId13266" Type="http://schemas.openxmlformats.org/officeDocument/2006/relationships/hyperlink" Target="https://maps.google.com/?q=16.121829043209,-96.3197726242017" TargetMode="External"/><Relationship Id="rId179" Type="http://schemas.openxmlformats.org/officeDocument/2006/relationships/hyperlink" Target="https://maps.google.com/?q=17.096245,-97.496556999999996" TargetMode="External"/><Relationship Id="rId593" Type="http://schemas.openxmlformats.org/officeDocument/2006/relationships/hyperlink" Target="https://maps.google.com/?q=16.05357,-97.399941999999996" TargetMode="External"/><Relationship Id="rId2274" Type="http://schemas.openxmlformats.org/officeDocument/2006/relationships/hyperlink" Target="https://maps.google.com/?q=18.0981469859362,-96.929280261840802" TargetMode="External"/><Relationship Id="rId3325" Type="http://schemas.openxmlformats.org/officeDocument/2006/relationships/hyperlink" Target="https://maps.google.com/?q=17.0654162464292,-96.816373662674195" TargetMode="External"/><Relationship Id="rId12282" Type="http://schemas.openxmlformats.org/officeDocument/2006/relationships/hyperlink" Target="https://maps.google.com/?q=16.4897104560075,-94.341042993883093" TargetMode="External"/><Relationship Id="rId13680" Type="http://schemas.openxmlformats.org/officeDocument/2006/relationships/hyperlink" Target="https://maps.google.com/?q=17.17233,-96.251267" TargetMode="External"/><Relationship Id="rId246" Type="http://schemas.openxmlformats.org/officeDocument/2006/relationships/hyperlink" Target="https://maps.google.com/?q=16.88358,-97.677269999999993" TargetMode="External"/><Relationship Id="rId660" Type="http://schemas.openxmlformats.org/officeDocument/2006/relationships/hyperlink" Target="https://maps.google.com/?q=16.056773,-97.390822999999997" TargetMode="External"/><Relationship Id="rId1290" Type="http://schemas.openxmlformats.org/officeDocument/2006/relationships/hyperlink" Target="https://maps.google.com/?q=17.080154,-96.726937" TargetMode="External"/><Relationship Id="rId2341" Type="http://schemas.openxmlformats.org/officeDocument/2006/relationships/hyperlink" Target="https://maps.google.com/?q=17.090596,-97.668757999999997" TargetMode="External"/><Relationship Id="rId5497" Type="http://schemas.openxmlformats.org/officeDocument/2006/relationships/hyperlink" Target="https://maps.google.com/?q=16.33539,-96.493775999999997" TargetMode="External"/><Relationship Id="rId6548" Type="http://schemas.openxmlformats.org/officeDocument/2006/relationships/hyperlink" Target="https://maps.google.com/?q=17.759794,-96.878573" TargetMode="External"/><Relationship Id="rId6895" Type="http://schemas.openxmlformats.org/officeDocument/2006/relationships/hyperlink" Target="https://maps.google.com/?q=16.9742627378051,-97.087962237755306" TargetMode="External"/><Relationship Id="rId7946" Type="http://schemas.openxmlformats.org/officeDocument/2006/relationships/hyperlink" Target="https://maps.google.com/?q=16.3260811811803,-96.412421711580095" TargetMode="External"/><Relationship Id="rId10927" Type="http://schemas.openxmlformats.org/officeDocument/2006/relationships/hyperlink" Target="https://maps.google.com/?q=16.192524530437,-95.215193307790798" TargetMode="External"/><Relationship Id="rId13333" Type="http://schemas.openxmlformats.org/officeDocument/2006/relationships/hyperlink" Target="https://maps.google.com/?q=17.4586341538077,-98.003480309192796" TargetMode="External"/><Relationship Id="rId313" Type="http://schemas.openxmlformats.org/officeDocument/2006/relationships/hyperlink" Target="https://maps.google.com/?q=16.057852,-97.390187999999995" TargetMode="External"/><Relationship Id="rId4099" Type="http://schemas.openxmlformats.org/officeDocument/2006/relationships/hyperlink" Target="https://maps.google.com/?q=17.0563329179,-96.7461488" TargetMode="External"/><Relationship Id="rId6962" Type="http://schemas.openxmlformats.org/officeDocument/2006/relationships/hyperlink" Target="https://maps.google.com/?q=16.337221413,-95.218973349999999" TargetMode="External"/><Relationship Id="rId9021" Type="http://schemas.openxmlformats.org/officeDocument/2006/relationships/hyperlink" Target="https://maps.google.com/?q=16.053415,-95.465897999999996" TargetMode="External"/><Relationship Id="rId13400" Type="http://schemas.openxmlformats.org/officeDocument/2006/relationships/hyperlink" Target="https://maps.google.com/?q=16.3269509368693,-96.674758930059397" TargetMode="External"/><Relationship Id="rId5564" Type="http://schemas.openxmlformats.org/officeDocument/2006/relationships/hyperlink" Target="https://maps.google.com/?q=17.60117023,-96.12355273" TargetMode="External"/><Relationship Id="rId6615" Type="http://schemas.openxmlformats.org/officeDocument/2006/relationships/hyperlink" Target="https://maps.google.com/?q=17.116331,-97.780120" TargetMode="External"/><Relationship Id="rId12002" Type="http://schemas.openxmlformats.org/officeDocument/2006/relationships/hyperlink" Target="https://maps.google.com/?q=16.8022911510851,-96.711380318896104" TargetMode="External"/><Relationship Id="rId1010" Type="http://schemas.openxmlformats.org/officeDocument/2006/relationships/hyperlink" Target="https://maps.google.com/?q=15.695274220202515,-96.522958125675189" TargetMode="External"/><Relationship Id="rId4166" Type="http://schemas.openxmlformats.org/officeDocument/2006/relationships/hyperlink" Target="https://maps.google.com/?q=15.7801629418612,&#160;-96.432301" TargetMode="External"/><Relationship Id="rId4580" Type="http://schemas.openxmlformats.org/officeDocument/2006/relationships/hyperlink" Target="https://maps.google.com/?q=16.554362,-96.819086999999996" TargetMode="External"/><Relationship Id="rId5217" Type="http://schemas.openxmlformats.org/officeDocument/2006/relationships/hyperlink" Target="https://maps.google.com/?q=17.2775213573308,-97.370550639217399" TargetMode="External"/><Relationship Id="rId5631" Type="http://schemas.openxmlformats.org/officeDocument/2006/relationships/hyperlink" Target="https://maps.google.com/?q=17.5625364434655,-96.180224808895801" TargetMode="External"/><Relationship Id="rId8787" Type="http://schemas.openxmlformats.org/officeDocument/2006/relationships/hyperlink" Target="https://maps.google.com/?q=17.212044,-96.250975999999994" TargetMode="External"/><Relationship Id="rId9838" Type="http://schemas.openxmlformats.org/officeDocument/2006/relationships/hyperlink" Target="https://maps.google.com/?q=16.6329543926267,-96.851256300000102" TargetMode="External"/><Relationship Id="rId11768" Type="http://schemas.openxmlformats.org/officeDocument/2006/relationships/hyperlink" Target="https://maps.google.com/?q=16.558652093355427,-98.12246223890496" TargetMode="External"/><Relationship Id="rId14174" Type="http://schemas.openxmlformats.org/officeDocument/2006/relationships/hyperlink" Target="https://maps.google.com/?q=15.784891966621863,-96.17606388532576" TargetMode="External"/><Relationship Id="rId1827" Type="http://schemas.openxmlformats.org/officeDocument/2006/relationships/hyperlink" Target="https://maps.google.com/?q=18.0356801963291,-96.895960875953094" TargetMode="External"/><Relationship Id="rId7389" Type="http://schemas.openxmlformats.org/officeDocument/2006/relationships/hyperlink" Target="https://maps.google.com/?q=17.09966,-97.002105" TargetMode="External"/><Relationship Id="rId12819" Type="http://schemas.openxmlformats.org/officeDocument/2006/relationships/hyperlink" Target="https://maps.google.com/?q=17.8512948128393,-97.4387478134921" TargetMode="External"/><Relationship Id="rId13190" Type="http://schemas.openxmlformats.org/officeDocument/2006/relationships/hyperlink" Target="https://maps.google.com/?q=16.5728534215113,-97.018014045163895" TargetMode="External"/><Relationship Id="rId3999" Type="http://schemas.openxmlformats.org/officeDocument/2006/relationships/hyperlink" Target="https://maps.google.com/?q=17.094465,-96.7552640" TargetMode="External"/><Relationship Id="rId4300" Type="http://schemas.openxmlformats.org/officeDocument/2006/relationships/hyperlink" Target="https://maps.google.com/?q=16.0095848334134,-96.568342119999997" TargetMode="External"/><Relationship Id="rId170" Type="http://schemas.openxmlformats.org/officeDocument/2006/relationships/hyperlink" Target="https://maps.google.com/?q=17.090116,-97.500977000000006" TargetMode="External"/><Relationship Id="rId6472" Type="http://schemas.openxmlformats.org/officeDocument/2006/relationships/hyperlink" Target="https://maps.google.com/?q=17.264475819988,-97.528124879999993" TargetMode="External"/><Relationship Id="rId7523" Type="http://schemas.openxmlformats.org/officeDocument/2006/relationships/hyperlink" Target="https://maps.google.com/?q=17.9751118074519,-96.702915357837895" TargetMode="External"/><Relationship Id="rId7870" Type="http://schemas.openxmlformats.org/officeDocument/2006/relationships/hyperlink" Target="https://maps.google.com/?q=16.3165812661636,-96.403063281163895" TargetMode="External"/><Relationship Id="rId8921" Type="http://schemas.openxmlformats.org/officeDocument/2006/relationships/hyperlink" Target="https://maps.google.com/?q=17.380561315,-96.161706757999994" TargetMode="External"/><Relationship Id="rId10851" Type="http://schemas.openxmlformats.org/officeDocument/2006/relationships/hyperlink" Target="https://maps.google.com/?q=16.3464214298785,-94.482237271163896" TargetMode="External"/><Relationship Id="rId11902" Type="http://schemas.openxmlformats.org/officeDocument/2006/relationships/hyperlink" Target="https://maps.google.com/?q=17.287356454857697,-96.49627690559197" TargetMode="External"/><Relationship Id="rId5074" Type="http://schemas.openxmlformats.org/officeDocument/2006/relationships/hyperlink" Target="https://maps.google.com/?q=17.2527,-96.153847999999996" TargetMode="External"/><Relationship Id="rId6125" Type="http://schemas.openxmlformats.org/officeDocument/2006/relationships/hyperlink" Target="https://maps.google.com/?q=16.95033892,-96.610989840000002" TargetMode="External"/><Relationship Id="rId10504" Type="http://schemas.openxmlformats.org/officeDocument/2006/relationships/hyperlink" Target="https://maps.google.com/?q=17.8461267256082,-96.745917196171305" TargetMode="External"/><Relationship Id="rId8297" Type="http://schemas.openxmlformats.org/officeDocument/2006/relationships/hyperlink" Target="https://maps.google.com/?q=16.536934,-98.031499999999994" TargetMode="External"/><Relationship Id="rId9695" Type="http://schemas.openxmlformats.org/officeDocument/2006/relationships/hyperlink" Target="https://maps.google.com/?q=18.082042923878,-96.1371202988052" TargetMode="External"/><Relationship Id="rId12676" Type="http://schemas.openxmlformats.org/officeDocument/2006/relationships/hyperlink" Target="https://maps.google.com/?q=16.9218764722638,-97.893420501640193" TargetMode="External"/><Relationship Id="rId13727" Type="http://schemas.openxmlformats.org/officeDocument/2006/relationships/hyperlink" Target="https://maps.google.com/?q=16.398881,-95.603144" TargetMode="External"/><Relationship Id="rId1684" Type="http://schemas.openxmlformats.org/officeDocument/2006/relationships/hyperlink" Target="https://maps.google.com/?q=18.0059468797305,-96.894841968132994" TargetMode="External"/><Relationship Id="rId2735" Type="http://schemas.openxmlformats.org/officeDocument/2006/relationships/hyperlink" Target="https://maps.google.com/?q=18.0318516718223,-96.246967271163697" TargetMode="External"/><Relationship Id="rId9348" Type="http://schemas.openxmlformats.org/officeDocument/2006/relationships/hyperlink" Target="https://maps.google.com/?q=16.8177709767823,-95.135759574992207" TargetMode="External"/><Relationship Id="rId11278" Type="http://schemas.openxmlformats.org/officeDocument/2006/relationships/hyperlink" Target="https://maps.google.com/?q=17.8659406035158,-96.308810712209393" TargetMode="External"/><Relationship Id="rId12329" Type="http://schemas.openxmlformats.org/officeDocument/2006/relationships/hyperlink" Target="https://maps.google.com/?q=16.632372,-96.749199" TargetMode="External"/><Relationship Id="rId707" Type="http://schemas.openxmlformats.org/officeDocument/2006/relationships/hyperlink" Target="https://maps.google.com/?q=16.062811,-97.382633999999996" TargetMode="External"/><Relationship Id="rId1337" Type="http://schemas.openxmlformats.org/officeDocument/2006/relationships/hyperlink" Target="https://maps.google.com/?q=17.01889115,-96.71833177" TargetMode="External"/><Relationship Id="rId5958" Type="http://schemas.openxmlformats.org/officeDocument/2006/relationships/hyperlink" Target="https://maps.google.com/?q=18.154057751792593,-96.575352866512532" TargetMode="External"/><Relationship Id="rId43" Type="http://schemas.openxmlformats.org/officeDocument/2006/relationships/hyperlink" Target="https://maps.google.com/?q=15.912785,-96.450585000000004" TargetMode="External"/><Relationship Id="rId7380" Type="http://schemas.openxmlformats.org/officeDocument/2006/relationships/hyperlink" Target="https://maps.google.com/?q=17.0410294524113,-97.306059188556304" TargetMode="External"/><Relationship Id="rId8431" Type="http://schemas.openxmlformats.org/officeDocument/2006/relationships/hyperlink" Target="https://maps.google.com/?q=16.202295841581,-96.824948949769094" TargetMode="External"/><Relationship Id="rId10361" Type="http://schemas.openxmlformats.org/officeDocument/2006/relationships/hyperlink" Target="https://maps.google.com/?q=17.4347717637884,-96.656311205279394" TargetMode="External"/><Relationship Id="rId12810" Type="http://schemas.openxmlformats.org/officeDocument/2006/relationships/hyperlink" Target="https://maps.google.com/?q=17.8474811634338,-97.430693883259195" TargetMode="External"/><Relationship Id="rId7033" Type="http://schemas.openxmlformats.org/officeDocument/2006/relationships/hyperlink" Target="https://maps.google.com/?q=17.044795687412,-97.295416031538096" TargetMode="External"/><Relationship Id="rId10014" Type="http://schemas.openxmlformats.org/officeDocument/2006/relationships/hyperlink" Target="https://maps.google.com/?q=16.9931015943561,-96.0645745588008" TargetMode="External"/><Relationship Id="rId11412" Type="http://schemas.openxmlformats.org/officeDocument/2006/relationships/hyperlink" Target="https://maps.google.com/?q=17.376102474954,-98.185348084134006" TargetMode="External"/><Relationship Id="rId3990" Type="http://schemas.openxmlformats.org/officeDocument/2006/relationships/hyperlink" Target="https://maps.google.com/?q=17.06286,-96.757170000000002" TargetMode="External"/><Relationship Id="rId13584" Type="http://schemas.openxmlformats.org/officeDocument/2006/relationships/hyperlink" Target="https://maps.google.com/?q=16.95558,-96.479206000000005" TargetMode="External"/><Relationship Id="rId1194" Type="http://schemas.openxmlformats.org/officeDocument/2006/relationships/hyperlink" Target="https://maps.google.com/?q=17.176525,-96.836717" TargetMode="External"/><Relationship Id="rId2592" Type="http://schemas.openxmlformats.org/officeDocument/2006/relationships/hyperlink" Target="https://maps.google.com/?q=18.171538,-96.284497999999999" TargetMode="External"/><Relationship Id="rId3643" Type="http://schemas.openxmlformats.org/officeDocument/2006/relationships/hyperlink" Target="https://maps.google.com/?q=15.778474836892956,-96.137714569200028" TargetMode="External"/><Relationship Id="rId12186" Type="http://schemas.openxmlformats.org/officeDocument/2006/relationships/hyperlink" Target="https://maps.google.com/?q=17.4170075916344,-95.948960526395197" TargetMode="External"/><Relationship Id="rId13237" Type="http://schemas.openxmlformats.org/officeDocument/2006/relationships/hyperlink" Target="https://maps.google.com/?q=17.1403094627114,-96.750885877423102" TargetMode="External"/><Relationship Id="rId217" Type="http://schemas.openxmlformats.org/officeDocument/2006/relationships/hyperlink" Target="https://maps.google.com/?q=17.095346,-97.497557" TargetMode="External"/><Relationship Id="rId564" Type="http://schemas.openxmlformats.org/officeDocument/2006/relationships/hyperlink" Target="https://maps.google.com/?q=16.052147,-97.401859999999999" TargetMode="External"/><Relationship Id="rId2245" Type="http://schemas.openxmlformats.org/officeDocument/2006/relationships/hyperlink" Target="https://maps.google.com/?q=16.519378,-96.973356999999993" TargetMode="External"/><Relationship Id="rId6866" Type="http://schemas.openxmlformats.org/officeDocument/2006/relationships/hyperlink" Target="https://maps.google.com/?q=16.969706293214,-97.083433030570802" TargetMode="External"/><Relationship Id="rId7917" Type="http://schemas.openxmlformats.org/officeDocument/2006/relationships/hyperlink" Target="https://maps.google.com/?q=16.3200018142844,-96.403098113194702" TargetMode="External"/><Relationship Id="rId5468" Type="http://schemas.openxmlformats.org/officeDocument/2006/relationships/hyperlink" Target="https://maps.google.com/?q=16.0109690313941,-97.427577484427204" TargetMode="External"/><Relationship Id="rId6519" Type="http://schemas.openxmlformats.org/officeDocument/2006/relationships/hyperlink" Target="https://maps.google.com/?q=17.2538787736237,-97.569047384752196" TargetMode="External"/><Relationship Id="rId12320" Type="http://schemas.openxmlformats.org/officeDocument/2006/relationships/hyperlink" Target="https://maps.google.com/?q=16.037149,-97.066881" TargetMode="External"/><Relationship Id="rId4551" Type="http://schemas.openxmlformats.org/officeDocument/2006/relationships/hyperlink" Target="https://maps.google.com/?q=17.185055744576,-97.302870755034704" TargetMode="External"/><Relationship Id="rId13094" Type="http://schemas.openxmlformats.org/officeDocument/2006/relationships/hyperlink" Target="https://maps.google.com/?q=16.5647946,-97.536946599999993" TargetMode="External"/><Relationship Id="rId14145" Type="http://schemas.openxmlformats.org/officeDocument/2006/relationships/hyperlink" Target="https://maps.google.com/?q=15.789629,-96.402458" TargetMode="External"/><Relationship Id="rId3153" Type="http://schemas.openxmlformats.org/officeDocument/2006/relationships/hyperlink" Target="https://maps.google.com/?q=16.588557,-97.445760000000007" TargetMode="External"/><Relationship Id="rId4204" Type="http://schemas.openxmlformats.org/officeDocument/2006/relationships/hyperlink" Target="https://maps.google.com/?q=16.433347,-95.021687" TargetMode="External"/><Relationship Id="rId5602" Type="http://schemas.openxmlformats.org/officeDocument/2006/relationships/hyperlink" Target="https://maps.google.com/?q=17.4619005706508,-96.231971577791299" TargetMode="External"/><Relationship Id="rId7774" Type="http://schemas.openxmlformats.org/officeDocument/2006/relationships/hyperlink" Target="https://maps.google.com/?q=16.1061128486576,-96.187874341104504" TargetMode="External"/><Relationship Id="rId8825" Type="http://schemas.openxmlformats.org/officeDocument/2006/relationships/hyperlink" Target="https://maps.google.com/?q=17.216178,-96.246364999999997" TargetMode="External"/><Relationship Id="rId10755" Type="http://schemas.openxmlformats.org/officeDocument/2006/relationships/hyperlink" Target="https://maps.google.com/?q=17.452715,-97.224541000000002" TargetMode="External"/><Relationship Id="rId11806" Type="http://schemas.openxmlformats.org/officeDocument/2006/relationships/hyperlink" Target="https://maps.google.com/?q=16.5575,-96.817778" TargetMode="External"/><Relationship Id="rId6029" Type="http://schemas.openxmlformats.org/officeDocument/2006/relationships/hyperlink" Target="https://maps.google.com/?q=18.156209098339158,-96.577454199207978" TargetMode="External"/><Relationship Id="rId6376" Type="http://schemas.openxmlformats.org/officeDocument/2006/relationships/hyperlink" Target="https://maps.google.com/?q=16.579053,-96.875595000000004" TargetMode="External"/><Relationship Id="rId7427" Type="http://schemas.openxmlformats.org/officeDocument/2006/relationships/hyperlink" Target="https://maps.google.com/?q=17.2088855073467,-97.579976420886297" TargetMode="External"/><Relationship Id="rId10408" Type="http://schemas.openxmlformats.org/officeDocument/2006/relationships/hyperlink" Target="https://maps.google.com/?q=17.044834,-96.789280000000005" TargetMode="External"/><Relationship Id="rId13978" Type="http://schemas.openxmlformats.org/officeDocument/2006/relationships/hyperlink" Target="https://maps.google.com/?q=17.86052019,-96.20485067" TargetMode="External"/><Relationship Id="rId2986" Type="http://schemas.openxmlformats.org/officeDocument/2006/relationships/hyperlink" Target="https://maps.google.com/?q=17.948843,-96.735685000000004" TargetMode="External"/><Relationship Id="rId9599" Type="http://schemas.openxmlformats.org/officeDocument/2006/relationships/hyperlink" Target="https://maps.google.com/?q=17.9956966314964,-96.7437839022258" TargetMode="External"/><Relationship Id="rId958" Type="http://schemas.openxmlformats.org/officeDocument/2006/relationships/hyperlink" Target="https://maps.google.com/?q=15.685574869469747,-96.511749400848686" TargetMode="External"/><Relationship Id="rId1588" Type="http://schemas.openxmlformats.org/officeDocument/2006/relationships/hyperlink" Target="https://maps.google.com/?q=16.520536,-96.599971999999994" TargetMode="External"/><Relationship Id="rId2639" Type="http://schemas.openxmlformats.org/officeDocument/2006/relationships/hyperlink" Target="https://maps.google.com/?q=18.084477,-96.167428000000001" TargetMode="External"/><Relationship Id="rId6510" Type="http://schemas.openxmlformats.org/officeDocument/2006/relationships/hyperlink" Target="https://maps.google.com/?q=17.2240584666926,-97.572016294802395" TargetMode="External"/><Relationship Id="rId4061" Type="http://schemas.openxmlformats.org/officeDocument/2006/relationships/hyperlink" Target="https://maps.google.com/?q=17.080069,-96.725792" TargetMode="External"/><Relationship Id="rId5112" Type="http://schemas.openxmlformats.org/officeDocument/2006/relationships/hyperlink" Target="https://maps.google.com/?q=17.253722,-96.156548000000001" TargetMode="External"/><Relationship Id="rId8682" Type="http://schemas.openxmlformats.org/officeDocument/2006/relationships/hyperlink" Target="https://maps.google.com/?q=16.1846100495821,-96.624848504299095" TargetMode="External"/><Relationship Id="rId9733" Type="http://schemas.openxmlformats.org/officeDocument/2006/relationships/hyperlink" Target="https://maps.google.com/?q=17.2708665101667,-96.805470127850498" TargetMode="External"/><Relationship Id="rId7284" Type="http://schemas.openxmlformats.org/officeDocument/2006/relationships/hyperlink" Target="https://maps.google.com/?q=16.304671843021,-97.909434271090007" TargetMode="External"/><Relationship Id="rId8335" Type="http://schemas.openxmlformats.org/officeDocument/2006/relationships/hyperlink" Target="https://maps.google.com/?q=16.8421628056487,-97.202008076463301" TargetMode="External"/><Relationship Id="rId11663" Type="http://schemas.openxmlformats.org/officeDocument/2006/relationships/hyperlink" Target="https://maps.google.com/?q=17.17387928,-97.70990243" TargetMode="External"/><Relationship Id="rId12714" Type="http://schemas.openxmlformats.org/officeDocument/2006/relationships/hyperlink" Target="https://maps.google.com/?q=16.2850951347632,-96.504328495874105" TargetMode="External"/><Relationship Id="rId1722" Type="http://schemas.openxmlformats.org/officeDocument/2006/relationships/hyperlink" Target="https://maps.google.com/?q=18.0625209928989,-96.834372247790995" TargetMode="External"/><Relationship Id="rId10265" Type="http://schemas.openxmlformats.org/officeDocument/2006/relationships/hyperlink" Target="https://maps.google.com/?q=16.244854,-95.150143999999997" TargetMode="External"/><Relationship Id="rId11316" Type="http://schemas.openxmlformats.org/officeDocument/2006/relationships/hyperlink" Target="https://maps.google.com/?q=17.8689764273224,-96.309162133501701" TargetMode="External"/><Relationship Id="rId3894" Type="http://schemas.openxmlformats.org/officeDocument/2006/relationships/hyperlink" Target="https://maps.google.com/?q=17.0928833176989,-96.066708973501704" TargetMode="External"/><Relationship Id="rId4945" Type="http://schemas.openxmlformats.org/officeDocument/2006/relationships/hyperlink" Target="https://maps.google.com/?q=15.933012,-96.417366000000001" TargetMode="External"/><Relationship Id="rId13488" Type="http://schemas.openxmlformats.org/officeDocument/2006/relationships/hyperlink" Target="https://maps.google.com/?q=17.6900364324121,-97.032633611052404" TargetMode="External"/><Relationship Id="rId2496" Type="http://schemas.openxmlformats.org/officeDocument/2006/relationships/hyperlink" Target="https://maps.google.com/?q=17.05208233,-96.623651910000007" TargetMode="External"/><Relationship Id="rId3547" Type="http://schemas.openxmlformats.org/officeDocument/2006/relationships/hyperlink" Target="https://maps.google.com/?q=15.758177688725652,-96.148369216038333" TargetMode="External"/><Relationship Id="rId468" Type="http://schemas.openxmlformats.org/officeDocument/2006/relationships/hyperlink" Target="https://maps.google.com/?q=16.05364,-97.409344000000004" TargetMode="External"/><Relationship Id="rId1098" Type="http://schemas.openxmlformats.org/officeDocument/2006/relationships/hyperlink" Target="https://maps.google.com/?q=17.223111,-97.119602999999998" TargetMode="External"/><Relationship Id="rId2149" Type="http://schemas.openxmlformats.org/officeDocument/2006/relationships/hyperlink" Target="https://maps.google.com/?q=15.764767,-96.143306999999993" TargetMode="External"/><Relationship Id="rId6020" Type="http://schemas.openxmlformats.org/officeDocument/2006/relationships/hyperlink" Target="https://maps.google.com/?q=18.155893947305103,-96.575689749020199" TargetMode="External"/><Relationship Id="rId9590" Type="http://schemas.openxmlformats.org/officeDocument/2006/relationships/hyperlink" Target="https://maps.google.com/?q=17.9923787020656,-96.739061099634696" TargetMode="External"/><Relationship Id="rId12571" Type="http://schemas.openxmlformats.org/officeDocument/2006/relationships/hyperlink" Target="https://maps.google.com/?q=16.5793934211284,-96.950128017922196" TargetMode="External"/><Relationship Id="rId2630" Type="http://schemas.openxmlformats.org/officeDocument/2006/relationships/hyperlink" Target="https://maps.google.com/?q=18.082958,-96.164914999999993" TargetMode="External"/><Relationship Id="rId8192" Type="http://schemas.openxmlformats.org/officeDocument/2006/relationships/hyperlink" Target="https://maps.google.com/?q=16.66907,-96.308723000000001" TargetMode="External"/><Relationship Id="rId9243" Type="http://schemas.openxmlformats.org/officeDocument/2006/relationships/hyperlink" Target="https://maps.google.com/?q=17.3768955399627,-96.302097065350395" TargetMode="External"/><Relationship Id="rId11173" Type="http://schemas.openxmlformats.org/officeDocument/2006/relationships/hyperlink" Target="https://maps.google.com/?q=16.843479,-96.008588000000003" TargetMode="External"/><Relationship Id="rId12224" Type="http://schemas.openxmlformats.org/officeDocument/2006/relationships/hyperlink" Target="https://maps.google.com/?q=17.4227793660378,-95.951457356398706" TargetMode="External"/><Relationship Id="rId13622" Type="http://schemas.openxmlformats.org/officeDocument/2006/relationships/hyperlink" Target="https://maps.google.com/?q=17.338601,-96.152518" TargetMode="External"/><Relationship Id="rId602" Type="http://schemas.openxmlformats.org/officeDocument/2006/relationships/hyperlink" Target="https://maps.google.com/?q=16.054939,-97.395771999999994" TargetMode="External"/><Relationship Id="rId1232" Type="http://schemas.openxmlformats.org/officeDocument/2006/relationships/hyperlink" Target="https://maps.google.com/?q=17.055754,-96.745626290000004" TargetMode="External"/><Relationship Id="rId5853" Type="http://schemas.openxmlformats.org/officeDocument/2006/relationships/hyperlink" Target="https://maps.google.com/?q=16.0958057414095,-97.704316173299304" TargetMode="External"/><Relationship Id="rId6904" Type="http://schemas.openxmlformats.org/officeDocument/2006/relationships/hyperlink" Target="https://maps.google.com/?q=16.9762568236204,-97.089405360118207" TargetMode="External"/><Relationship Id="rId3057" Type="http://schemas.openxmlformats.org/officeDocument/2006/relationships/hyperlink" Target="https://maps.google.com/?q=16.9636862085488,-96.939817188356002" TargetMode="External"/><Relationship Id="rId4108" Type="http://schemas.openxmlformats.org/officeDocument/2006/relationships/hyperlink" Target="https://maps.google.com/?q=17.058588,-96.743084899999999" TargetMode="External"/><Relationship Id="rId4455" Type="http://schemas.openxmlformats.org/officeDocument/2006/relationships/hyperlink" Target="https://maps.google.com/?q=17.610701,-98.003985" TargetMode="External"/><Relationship Id="rId5506" Type="http://schemas.openxmlformats.org/officeDocument/2006/relationships/hyperlink" Target="https://maps.google.com/?q=16.345956,-96.488777999999996" TargetMode="External"/><Relationship Id="rId14049" Type="http://schemas.openxmlformats.org/officeDocument/2006/relationships/hyperlink" Target="https://maps.google.com/?q=17.800894,-97.785366" TargetMode="External"/><Relationship Id="rId7678" Type="http://schemas.openxmlformats.org/officeDocument/2006/relationships/hyperlink" Target="https://maps.google.com/?q=17.2005280593281,-97.517356724418505" TargetMode="External"/><Relationship Id="rId8729" Type="http://schemas.openxmlformats.org/officeDocument/2006/relationships/hyperlink" Target="https://maps.google.com/?q=17.058204916883,-96.823760647086502" TargetMode="External"/><Relationship Id="rId10659" Type="http://schemas.openxmlformats.org/officeDocument/2006/relationships/hyperlink" Target="https://maps.google.com/?q=16.0608414384883,-95.393656374690707" TargetMode="External"/><Relationship Id="rId12081" Type="http://schemas.openxmlformats.org/officeDocument/2006/relationships/hyperlink" Target="https://maps.google.com/?q=16.2451294,-95.324096999999995" TargetMode="External"/><Relationship Id="rId13132" Type="http://schemas.openxmlformats.org/officeDocument/2006/relationships/hyperlink" Target="https://maps.google.com/?q=17.1854471276142,-96.513622474868697" TargetMode="External"/><Relationship Id="rId2140" Type="http://schemas.openxmlformats.org/officeDocument/2006/relationships/hyperlink" Target="https://maps.google.com/?q=15.763621,-96.141327000000004" TargetMode="External"/><Relationship Id="rId6761" Type="http://schemas.openxmlformats.org/officeDocument/2006/relationships/hyperlink" Target="https://maps.google.com/?q=16.707171694315,-97.016321639217395" TargetMode="External"/><Relationship Id="rId7812" Type="http://schemas.openxmlformats.org/officeDocument/2006/relationships/hyperlink" Target="https://maps.google.com/?q=17.8463594028662,-96.7477811798217" TargetMode="External"/><Relationship Id="rId112" Type="http://schemas.openxmlformats.org/officeDocument/2006/relationships/hyperlink" Target="https://maps.google.com/?q=17.097239,-97.495690999999994" TargetMode="External"/><Relationship Id="rId5363" Type="http://schemas.openxmlformats.org/officeDocument/2006/relationships/hyperlink" Target="https://maps.google.com/?q=16.1262760091372,-97.605611309192497" TargetMode="External"/><Relationship Id="rId6414" Type="http://schemas.openxmlformats.org/officeDocument/2006/relationships/hyperlink" Target="https://maps.google.com/?q=17.2217452267021,-97.593188953373001" TargetMode="External"/><Relationship Id="rId5016" Type="http://schemas.openxmlformats.org/officeDocument/2006/relationships/hyperlink" Target="https://maps.google.com/?q=17.249716,-96.152833000000001" TargetMode="External"/><Relationship Id="rId9984" Type="http://schemas.openxmlformats.org/officeDocument/2006/relationships/hyperlink" Target="https://maps.google.com/?q=16.0948533811471,-95.528577466315397" TargetMode="External"/><Relationship Id="rId12965" Type="http://schemas.openxmlformats.org/officeDocument/2006/relationships/hyperlink" Target="https://maps.google.com/?q=16.510647,-97.476078000000001" TargetMode="External"/><Relationship Id="rId1973" Type="http://schemas.openxmlformats.org/officeDocument/2006/relationships/hyperlink" Target="https://maps.google.com/?q=15.773417,-96.144547" TargetMode="External"/><Relationship Id="rId7188" Type="http://schemas.openxmlformats.org/officeDocument/2006/relationships/hyperlink" Target="https://maps.google.com/?q=16.1712245520777,-97.963460546804498" TargetMode="External"/><Relationship Id="rId8239" Type="http://schemas.openxmlformats.org/officeDocument/2006/relationships/hyperlink" Target="https://maps.google.com/?q=16.424495,-97.640863999999993" TargetMode="External"/><Relationship Id="rId8586" Type="http://schemas.openxmlformats.org/officeDocument/2006/relationships/hyperlink" Target="https://maps.google.com/?q=16.9346414174126,-96.6066163840961" TargetMode="External"/><Relationship Id="rId9637" Type="http://schemas.openxmlformats.org/officeDocument/2006/relationships/hyperlink" Target="https://maps.google.com/?q=17.1559065100729,-96.752934785103093" TargetMode="External"/><Relationship Id="rId11567" Type="http://schemas.openxmlformats.org/officeDocument/2006/relationships/hyperlink" Target="https://maps.google.com/?q=16.8469028899154,-96.748326370246403" TargetMode="External"/><Relationship Id="rId12618" Type="http://schemas.openxmlformats.org/officeDocument/2006/relationships/hyperlink" Target="https://maps.google.com/?q=17.110323,-96.855824999999996" TargetMode="External"/><Relationship Id="rId1626" Type="http://schemas.openxmlformats.org/officeDocument/2006/relationships/hyperlink" Target="https://maps.google.com/?q=15.9204747418821,-96.414192784061399" TargetMode="External"/><Relationship Id="rId10169" Type="http://schemas.openxmlformats.org/officeDocument/2006/relationships/hyperlink" Target="https://maps.google.com/?q=17.1101756481089,-97.493839233799704" TargetMode="External"/><Relationship Id="rId14040" Type="http://schemas.openxmlformats.org/officeDocument/2006/relationships/hyperlink" Target="https://maps.google.com/?q=16.489711272594725,-95.14250088910646" TargetMode="External"/><Relationship Id="rId3798" Type="http://schemas.openxmlformats.org/officeDocument/2006/relationships/hyperlink" Target="https://maps.google.com/?q=15.771258965941318,-96.23474435990768" TargetMode="External"/><Relationship Id="rId4849" Type="http://schemas.openxmlformats.org/officeDocument/2006/relationships/hyperlink" Target="https://maps.google.com/?q=17.3385795910875,-96.166411631114599" TargetMode="External"/><Relationship Id="rId8720" Type="http://schemas.openxmlformats.org/officeDocument/2006/relationships/hyperlink" Target="https://maps.google.com/?q=17.0566501390262,-96.818099199127602" TargetMode="External"/><Relationship Id="rId10650" Type="http://schemas.openxmlformats.org/officeDocument/2006/relationships/hyperlink" Target="https://maps.google.com/?q=17.1216552593497,-97.799166742208499" TargetMode="External"/><Relationship Id="rId6271" Type="http://schemas.openxmlformats.org/officeDocument/2006/relationships/hyperlink" Target="https://maps.google.com/?q=16.40884,-96.711737999999997" TargetMode="External"/><Relationship Id="rId7322" Type="http://schemas.openxmlformats.org/officeDocument/2006/relationships/hyperlink" Target="https://maps.google.com/?q=16.72848061,-96.473857789999997" TargetMode="External"/><Relationship Id="rId10303" Type="http://schemas.openxmlformats.org/officeDocument/2006/relationships/hyperlink" Target="https://maps.google.com/?q=16.222974,-97.270286999999996" TargetMode="External"/><Relationship Id="rId11701" Type="http://schemas.openxmlformats.org/officeDocument/2006/relationships/hyperlink" Target="https://maps.google.com/?q=17.1820192,-97.709947779999993" TargetMode="External"/><Relationship Id="rId9494" Type="http://schemas.openxmlformats.org/officeDocument/2006/relationships/hyperlink" Target="https://maps.google.com/?q=17.91915,-96.4371083" TargetMode="External"/><Relationship Id="rId13873" Type="http://schemas.openxmlformats.org/officeDocument/2006/relationships/hyperlink" Target="https://maps.google.com/?q=16.2702838416226,-96.564730999999995" TargetMode="External"/><Relationship Id="rId1483" Type="http://schemas.openxmlformats.org/officeDocument/2006/relationships/hyperlink" Target="https://maps.google.com/?q=17.058717,-96.753580999999997" TargetMode="External"/><Relationship Id="rId2881" Type="http://schemas.openxmlformats.org/officeDocument/2006/relationships/hyperlink" Target="https://maps.google.com/?q=18.228834,-96.279646" TargetMode="External"/><Relationship Id="rId3932" Type="http://schemas.openxmlformats.org/officeDocument/2006/relationships/hyperlink" Target="https://maps.google.com/?q=17.058951,-96.751512000000005" TargetMode="External"/><Relationship Id="rId8096" Type="http://schemas.openxmlformats.org/officeDocument/2006/relationships/hyperlink" Target="https://maps.google.com/?q=17.354786612597,-96.3035973266865" TargetMode="External"/><Relationship Id="rId9147" Type="http://schemas.openxmlformats.org/officeDocument/2006/relationships/hyperlink" Target="https://maps.google.com/?q=16.973876,-97.086461" TargetMode="External"/><Relationship Id="rId11077" Type="http://schemas.openxmlformats.org/officeDocument/2006/relationships/hyperlink" Target="https://maps.google.com/?q=17.289437195612,-97.370511507238703" TargetMode="External"/><Relationship Id="rId12475" Type="http://schemas.openxmlformats.org/officeDocument/2006/relationships/hyperlink" Target="https://maps.google.com/?q=17.2220103825488,-97.270547007246094" TargetMode="External"/><Relationship Id="rId13526" Type="http://schemas.openxmlformats.org/officeDocument/2006/relationships/hyperlink" Target="https://maps.google.com/?q=18.038237063686115,-96.85859026002312" TargetMode="External"/><Relationship Id="rId506" Type="http://schemas.openxmlformats.org/officeDocument/2006/relationships/hyperlink" Target="https://maps.google.com/?q=16.053499,-97.405055000000004" TargetMode="External"/><Relationship Id="rId853" Type="http://schemas.openxmlformats.org/officeDocument/2006/relationships/hyperlink" Target="https://maps.google.com/?q=15.707611008723399,-96.525378113871824" TargetMode="External"/><Relationship Id="rId1136" Type="http://schemas.openxmlformats.org/officeDocument/2006/relationships/hyperlink" Target="https://maps.google.com/?q=16.88374,-97.675719999999998" TargetMode="External"/><Relationship Id="rId2534" Type="http://schemas.openxmlformats.org/officeDocument/2006/relationships/hyperlink" Target="https://maps.google.com/?q=17.05279885052155,-96.623453244975863" TargetMode="External"/><Relationship Id="rId12128" Type="http://schemas.openxmlformats.org/officeDocument/2006/relationships/hyperlink" Target="https://maps.google.com/?q=16.2836351963665,-97.675276163194596" TargetMode="External"/><Relationship Id="rId5757" Type="http://schemas.openxmlformats.org/officeDocument/2006/relationships/hyperlink" Target="https://maps.google.com/?q=16.993973,-97.233153000000001" TargetMode="External"/><Relationship Id="rId6808" Type="http://schemas.openxmlformats.org/officeDocument/2006/relationships/hyperlink" Target="https://maps.google.com/?q=16.3629614889539,-97.047456387731501" TargetMode="External"/><Relationship Id="rId4359" Type="http://schemas.openxmlformats.org/officeDocument/2006/relationships/hyperlink" Target="https://maps.google.com/?q=15.95983706,-96.637628300000003" TargetMode="External"/><Relationship Id="rId8230" Type="http://schemas.openxmlformats.org/officeDocument/2006/relationships/hyperlink" Target="https://maps.google.com/?q=16.423272,-97.640159999999995" TargetMode="External"/><Relationship Id="rId10160" Type="http://schemas.openxmlformats.org/officeDocument/2006/relationships/hyperlink" Target="https://maps.google.com/?q=17.104655786258,-97.492577057790996" TargetMode="External"/><Relationship Id="rId11211" Type="http://schemas.openxmlformats.org/officeDocument/2006/relationships/hyperlink" Target="https://maps.google.com/?q=16.999383,-97.797476000000003" TargetMode="External"/><Relationship Id="rId4840" Type="http://schemas.openxmlformats.org/officeDocument/2006/relationships/hyperlink" Target="https://maps.google.com/?q=17.3367803383273,-96.165960992880002" TargetMode="External"/><Relationship Id="rId13383" Type="http://schemas.openxmlformats.org/officeDocument/2006/relationships/hyperlink" Target="https://maps.google.com/?q=16.3239204284719,-96.671962294477495" TargetMode="External"/><Relationship Id="rId2391" Type="http://schemas.openxmlformats.org/officeDocument/2006/relationships/hyperlink" Target="https://maps.google.com/?q=16.5951736255239,-97.2245863791332" TargetMode="External"/><Relationship Id="rId3442" Type="http://schemas.openxmlformats.org/officeDocument/2006/relationships/hyperlink" Target="https://maps.google.com/?q=17.0681068323789,-96.976040483876602" TargetMode="External"/><Relationship Id="rId13036" Type="http://schemas.openxmlformats.org/officeDocument/2006/relationships/hyperlink" Target="https://maps.google.com/?q=16.5613903,-97.540622999999997" TargetMode="External"/><Relationship Id="rId363" Type="http://schemas.openxmlformats.org/officeDocument/2006/relationships/hyperlink" Target="https://maps.google.com/?q=16.053732,-97.409566999999996" TargetMode="External"/><Relationship Id="rId2044" Type="http://schemas.openxmlformats.org/officeDocument/2006/relationships/hyperlink" Target="https://maps.google.com/?q=15.760562320787766,-96.141518925184585" TargetMode="External"/><Relationship Id="rId5267" Type="http://schemas.openxmlformats.org/officeDocument/2006/relationships/hyperlink" Target="https://maps.google.com/?q=15.722168810169,-96.386913482449401" TargetMode="External"/><Relationship Id="rId6318" Type="http://schemas.openxmlformats.org/officeDocument/2006/relationships/hyperlink" Target="https://maps.google.com/?q=18.058577,-96.393797000000006" TargetMode="External"/><Relationship Id="rId6665" Type="http://schemas.openxmlformats.org/officeDocument/2006/relationships/hyperlink" Target="https://maps.google.com/?q=16.9390772,-97.013852600000007" TargetMode="External"/><Relationship Id="rId7716" Type="http://schemas.openxmlformats.org/officeDocument/2006/relationships/hyperlink" Target="https://maps.google.com/?q=16.629046840425,-96.795231186695403" TargetMode="External"/><Relationship Id="rId9888" Type="http://schemas.openxmlformats.org/officeDocument/2006/relationships/hyperlink" Target="https://maps.google.com/?q=16.6377777530315,-96.8514866480362" TargetMode="External"/><Relationship Id="rId12869" Type="http://schemas.openxmlformats.org/officeDocument/2006/relationships/hyperlink" Target="https://maps.google.com/?q=17.51923,-97.679051999999999" TargetMode="External"/><Relationship Id="rId1877" Type="http://schemas.openxmlformats.org/officeDocument/2006/relationships/hyperlink" Target="https://maps.google.com/?q=15.775495751018237,-96.135741937368806" TargetMode="External"/><Relationship Id="rId2928" Type="http://schemas.openxmlformats.org/officeDocument/2006/relationships/hyperlink" Target="https://maps.google.com/?q=17.07691367,-96.680320910000006" TargetMode="External"/><Relationship Id="rId4350" Type="http://schemas.openxmlformats.org/officeDocument/2006/relationships/hyperlink" Target="https://maps.google.com/?q=15.95852737,-96.639835529999999" TargetMode="External"/><Relationship Id="rId5401" Type="http://schemas.openxmlformats.org/officeDocument/2006/relationships/hyperlink" Target="https://maps.google.com/?q=16.0938831862675,-97.698025723598107" TargetMode="External"/><Relationship Id="rId8971" Type="http://schemas.openxmlformats.org/officeDocument/2006/relationships/hyperlink" Target="https://maps.google.com/?q=17.381647834,-96.162064104999999" TargetMode="External"/><Relationship Id="rId4003" Type="http://schemas.openxmlformats.org/officeDocument/2006/relationships/hyperlink" Target="https://maps.google.com/?q=17.01772643230838,-96.71859303846837" TargetMode="External"/><Relationship Id="rId7573" Type="http://schemas.openxmlformats.org/officeDocument/2006/relationships/hyperlink" Target="https://maps.google.com/?q=17.3291146670225,-95.269831846696405" TargetMode="External"/><Relationship Id="rId8624" Type="http://schemas.openxmlformats.org/officeDocument/2006/relationships/hyperlink" Target="https://maps.google.com/?q=17.8987554532467,-96.714859591104599" TargetMode="External"/><Relationship Id="rId11952" Type="http://schemas.openxmlformats.org/officeDocument/2006/relationships/hyperlink" Target="https://maps.google.com/?q=16.7959753865268,-96.716542182208798" TargetMode="External"/><Relationship Id="rId6175" Type="http://schemas.openxmlformats.org/officeDocument/2006/relationships/hyperlink" Target="https://maps.google.com/?q=16.1429534484915,-96.417580536038201" TargetMode="External"/><Relationship Id="rId7226" Type="http://schemas.openxmlformats.org/officeDocument/2006/relationships/hyperlink" Target="https://maps.google.com/?q=16.2293378511016,-97.942925609612104" TargetMode="External"/><Relationship Id="rId10554" Type="http://schemas.openxmlformats.org/officeDocument/2006/relationships/hyperlink" Target="https://maps.google.com/?q=17.0929620816996,-97.789029262566203" TargetMode="External"/><Relationship Id="rId11605" Type="http://schemas.openxmlformats.org/officeDocument/2006/relationships/hyperlink" Target="https://maps.google.com/?q=16.8361401664337,-96.736022084655701" TargetMode="External"/><Relationship Id="rId9398" Type="http://schemas.openxmlformats.org/officeDocument/2006/relationships/hyperlink" Target="https://maps.google.com/?q=16.8213395826383,-95.139039346745903" TargetMode="External"/><Relationship Id="rId10207" Type="http://schemas.openxmlformats.org/officeDocument/2006/relationships/hyperlink" Target="https://maps.google.com/?q=17.18439681,-97.38184288" TargetMode="External"/><Relationship Id="rId13777" Type="http://schemas.openxmlformats.org/officeDocument/2006/relationships/hyperlink" Target="https://maps.google.com/?q=15.747155,-96.545433" TargetMode="External"/><Relationship Id="rId2785" Type="http://schemas.openxmlformats.org/officeDocument/2006/relationships/hyperlink" Target="https://maps.google.com/?q=16.9934995926745,-97.701064906745302" TargetMode="External"/><Relationship Id="rId3836" Type="http://schemas.openxmlformats.org/officeDocument/2006/relationships/hyperlink" Target="https://maps.google.com/?q=16.56848583018411,-95.09840928342153" TargetMode="External"/><Relationship Id="rId12379" Type="http://schemas.openxmlformats.org/officeDocument/2006/relationships/hyperlink" Target="https://maps.google.com/?q=16.5522907209929,-96.818837515601999" TargetMode="External"/><Relationship Id="rId757" Type="http://schemas.openxmlformats.org/officeDocument/2006/relationships/hyperlink" Target="https://maps.google.com/?q=15.683990484661729,-96.511509012396857" TargetMode="External"/><Relationship Id="rId1387" Type="http://schemas.openxmlformats.org/officeDocument/2006/relationships/hyperlink" Target="https://maps.google.com/?q=17.331248,-96.487900999999994" TargetMode="External"/><Relationship Id="rId2438" Type="http://schemas.openxmlformats.org/officeDocument/2006/relationships/hyperlink" Target="https://maps.google.com/?q=17.0513246,-96.624350570000004" TargetMode="External"/><Relationship Id="rId12860" Type="http://schemas.openxmlformats.org/officeDocument/2006/relationships/hyperlink" Target="https://maps.google.com/?q=17.518176,-97.680567999999994" TargetMode="External"/><Relationship Id="rId93" Type="http://schemas.openxmlformats.org/officeDocument/2006/relationships/hyperlink" Target="https://maps.google.com/?q=15.777654,-96.459810000000004" TargetMode="External"/><Relationship Id="rId8481" Type="http://schemas.openxmlformats.org/officeDocument/2006/relationships/hyperlink" Target="https://maps.google.com/?q=17.1526073256048,-97.533879177544506" TargetMode="External"/><Relationship Id="rId9532" Type="http://schemas.openxmlformats.org/officeDocument/2006/relationships/hyperlink" Target="https://maps.google.com/?q=17.270694,-96.794669" TargetMode="External"/><Relationship Id="rId11462" Type="http://schemas.openxmlformats.org/officeDocument/2006/relationships/hyperlink" Target="https://maps.google.com/?q=16.0045894271285,-97.425599906318396" TargetMode="External"/><Relationship Id="rId12513" Type="http://schemas.openxmlformats.org/officeDocument/2006/relationships/hyperlink" Target="https://maps.google.com/?q=17.2255983193183,-97.273443288360596" TargetMode="External"/><Relationship Id="rId13911" Type="http://schemas.openxmlformats.org/officeDocument/2006/relationships/hyperlink" Target="https://maps.google.com/?q=16.8557614386935,-96.814653394970307" TargetMode="External"/><Relationship Id="rId1521" Type="http://schemas.openxmlformats.org/officeDocument/2006/relationships/hyperlink" Target="https://maps.google.com/?q=17.06147,-96.757279999999994" TargetMode="External"/><Relationship Id="rId7083" Type="http://schemas.openxmlformats.org/officeDocument/2006/relationships/hyperlink" Target="https://maps.google.com/?q=16.326805,-98.055601999999993" TargetMode="External"/><Relationship Id="rId8134" Type="http://schemas.openxmlformats.org/officeDocument/2006/relationships/hyperlink" Target="https://maps.google.com/?q=17.3555968920089,-96.305696155344194" TargetMode="External"/><Relationship Id="rId10064" Type="http://schemas.openxmlformats.org/officeDocument/2006/relationships/hyperlink" Target="https://maps.google.com/?q=17.00725092,-96.124385239999995" TargetMode="External"/><Relationship Id="rId11115" Type="http://schemas.openxmlformats.org/officeDocument/2006/relationships/hyperlink" Target="https://maps.google.com/?q=0,-96.009974999999997" TargetMode="External"/><Relationship Id="rId3693" Type="http://schemas.openxmlformats.org/officeDocument/2006/relationships/hyperlink" Target="https://maps.google.com/?q=15.757638265286566,-96.140981697518981" TargetMode="External"/><Relationship Id="rId13287" Type="http://schemas.openxmlformats.org/officeDocument/2006/relationships/hyperlink" Target="https://maps.google.com/?q=16.1303837808317,-96.328445817791305" TargetMode="External"/><Relationship Id="rId2295" Type="http://schemas.openxmlformats.org/officeDocument/2006/relationships/hyperlink" Target="https://maps.google.com/?q=18.1001869528912,-96.875909912209096" TargetMode="External"/><Relationship Id="rId3346" Type="http://schemas.openxmlformats.org/officeDocument/2006/relationships/hyperlink" Target="https://maps.google.com/?q=17.1558675288017,-97.840622041664204" TargetMode="External"/><Relationship Id="rId4744" Type="http://schemas.openxmlformats.org/officeDocument/2006/relationships/hyperlink" Target="https://maps.google.com/?q=17.9511060952007,-96.655911099097906" TargetMode="External"/><Relationship Id="rId267" Type="http://schemas.openxmlformats.org/officeDocument/2006/relationships/hyperlink" Target="https://maps.google.com/?q=16.8824,-97.6768" TargetMode="External"/><Relationship Id="rId7967" Type="http://schemas.openxmlformats.org/officeDocument/2006/relationships/hyperlink" Target="https://maps.google.com/?q=18.1618061623191,-96.877179522568198" TargetMode="External"/><Relationship Id="rId10948" Type="http://schemas.openxmlformats.org/officeDocument/2006/relationships/hyperlink" Target="https://maps.google.com/?q=16.2058823840296,-95.217574186932893" TargetMode="External"/><Relationship Id="rId6569" Type="http://schemas.openxmlformats.org/officeDocument/2006/relationships/hyperlink" Target="https://maps.google.com/?q=17.762896,-96.879696" TargetMode="External"/><Relationship Id="rId12370" Type="http://schemas.openxmlformats.org/officeDocument/2006/relationships/hyperlink" Target="https://maps.google.com/?q=16.51249430039617,-98.3493975167124" TargetMode="External"/><Relationship Id="rId13421" Type="http://schemas.openxmlformats.org/officeDocument/2006/relationships/hyperlink" Target="https://maps.google.com/?q=17.6787344461921,-97.037846195106496" TargetMode="External"/><Relationship Id="rId9042" Type="http://schemas.openxmlformats.org/officeDocument/2006/relationships/hyperlink" Target="https://maps.google.com/?q=16.05444,-95.478347999999997" TargetMode="External"/><Relationship Id="rId12023" Type="http://schemas.openxmlformats.org/officeDocument/2006/relationships/hyperlink" Target="https://maps.google.com/?q=16.8044032226355,-96.711603847790698" TargetMode="External"/><Relationship Id="rId401" Type="http://schemas.openxmlformats.org/officeDocument/2006/relationships/hyperlink" Target="https://maps.google.com/?q=16.051294,-97.414839000000001" TargetMode="External"/><Relationship Id="rId1031" Type="http://schemas.openxmlformats.org/officeDocument/2006/relationships/hyperlink" Target="https://maps.google.com/?q=15.704509445798909,-96.523629384244288" TargetMode="External"/><Relationship Id="rId5652" Type="http://schemas.openxmlformats.org/officeDocument/2006/relationships/hyperlink" Target="https://maps.google.com/?q=16.42193,-97.882437999999993" TargetMode="External"/><Relationship Id="rId6703" Type="http://schemas.openxmlformats.org/officeDocument/2006/relationships/hyperlink" Target="https://maps.google.com/?q=16.9391578,-96.966126799999998" TargetMode="External"/><Relationship Id="rId4254" Type="http://schemas.openxmlformats.org/officeDocument/2006/relationships/hyperlink" Target="https://maps.google.com/?q=15.93308115,-96.634485170000005" TargetMode="External"/><Relationship Id="rId5305" Type="http://schemas.openxmlformats.org/officeDocument/2006/relationships/hyperlink" Target="https://maps.google.com/?q=15.719282120882,-96.468775444418796" TargetMode="External"/><Relationship Id="rId7477" Type="http://schemas.openxmlformats.org/officeDocument/2006/relationships/hyperlink" Target="https://maps.google.com/?q=16.9872988178488,-95.016126367789894" TargetMode="External"/><Relationship Id="rId8528" Type="http://schemas.openxmlformats.org/officeDocument/2006/relationships/hyperlink" Target="https://maps.google.com/?q=16.9346965492137,-96.601488209821696" TargetMode="External"/><Relationship Id="rId8875" Type="http://schemas.openxmlformats.org/officeDocument/2006/relationships/hyperlink" Target="https://maps.google.com/?q=17.377944919,-96.160129870000006" TargetMode="External"/><Relationship Id="rId9926" Type="http://schemas.openxmlformats.org/officeDocument/2006/relationships/hyperlink" Target="https://maps.google.com/?q=16.709452,&#160;-96.708868" TargetMode="External"/><Relationship Id="rId11856" Type="http://schemas.openxmlformats.org/officeDocument/2006/relationships/hyperlink" Target="https://maps.google.com/?q=17.41841301071779,-96.2489627607479" TargetMode="External"/><Relationship Id="rId12907" Type="http://schemas.openxmlformats.org/officeDocument/2006/relationships/hyperlink" Target="https://maps.google.com/?q=16.479976,-97.479178000000005" TargetMode="External"/><Relationship Id="rId1915" Type="http://schemas.openxmlformats.org/officeDocument/2006/relationships/hyperlink" Target="https://maps.google.com/?q=15.776752158846119,-96.137197832587105" TargetMode="External"/><Relationship Id="rId6079" Type="http://schemas.openxmlformats.org/officeDocument/2006/relationships/hyperlink" Target="https://maps.google.com/?q=16.6534851420204,-97.333943309192705" TargetMode="External"/><Relationship Id="rId10458" Type="http://schemas.openxmlformats.org/officeDocument/2006/relationships/hyperlink" Target="https://maps.google.com/?q=17.039377,-96.781852999999998" TargetMode="External"/><Relationship Id="rId11509" Type="http://schemas.openxmlformats.org/officeDocument/2006/relationships/hyperlink" Target="https://maps.google.com/?q=16.6112757507757,-96.847639952431393" TargetMode="External"/><Relationship Id="rId2689" Type="http://schemas.openxmlformats.org/officeDocument/2006/relationships/hyperlink" Target="https://maps.google.com/?q=16.566618709309747,-97.01483788343239" TargetMode="External"/><Relationship Id="rId6560" Type="http://schemas.openxmlformats.org/officeDocument/2006/relationships/hyperlink" Target="https://maps.google.com/?q=17.762191,-96.878781" TargetMode="External"/><Relationship Id="rId7611" Type="http://schemas.openxmlformats.org/officeDocument/2006/relationships/hyperlink" Target="https://maps.google.com/?q=17.2298418656503,-95.054339016492506" TargetMode="External"/><Relationship Id="rId5162" Type="http://schemas.openxmlformats.org/officeDocument/2006/relationships/hyperlink" Target="https://maps.google.com/?q=17.25496520863034,-96.15551221593857" TargetMode="External"/><Relationship Id="rId6213" Type="http://schemas.openxmlformats.org/officeDocument/2006/relationships/hyperlink" Target="https://maps.google.com/?q=16.096053,-97.084923000000003" TargetMode="External"/><Relationship Id="rId9783" Type="http://schemas.openxmlformats.org/officeDocument/2006/relationships/hyperlink" Target="https://maps.google.com/?q=16.6397566324972,-96.7523004722091" TargetMode="External"/><Relationship Id="rId1772" Type="http://schemas.openxmlformats.org/officeDocument/2006/relationships/hyperlink" Target="https://maps.google.com/?q=18.06200843,-96.847039440000003" TargetMode="External"/><Relationship Id="rId8385" Type="http://schemas.openxmlformats.org/officeDocument/2006/relationships/hyperlink" Target="https://maps.google.com/?q=16.8464217265295,-97.199373986708594" TargetMode="External"/><Relationship Id="rId9436" Type="http://schemas.openxmlformats.org/officeDocument/2006/relationships/hyperlink" Target="https://maps.google.com/?q=16.4761602656738,-94.339854834064496" TargetMode="External"/><Relationship Id="rId11366" Type="http://schemas.openxmlformats.org/officeDocument/2006/relationships/hyperlink" Target="https://maps.google.com/?q=16.3627656682582,-94.188189559524503" TargetMode="External"/><Relationship Id="rId12764" Type="http://schemas.openxmlformats.org/officeDocument/2006/relationships/hyperlink" Target="https://maps.google.com/?q=17.4567945767173,-97.285979836567805" TargetMode="External"/><Relationship Id="rId13815" Type="http://schemas.openxmlformats.org/officeDocument/2006/relationships/hyperlink" Target="https://maps.google.com/?q=16.997847,-97.798389" TargetMode="External"/><Relationship Id="rId1425" Type="http://schemas.openxmlformats.org/officeDocument/2006/relationships/hyperlink" Target="https://maps.google.com/?q=18.082556,-96.152877" TargetMode="External"/><Relationship Id="rId2823" Type="http://schemas.openxmlformats.org/officeDocument/2006/relationships/hyperlink" Target="https://maps.google.com/?q=16.9911048979828,-97.717560521460001" TargetMode="External"/><Relationship Id="rId8038" Type="http://schemas.openxmlformats.org/officeDocument/2006/relationships/hyperlink" Target="https://maps.google.com/?q=16.4918925563091,-97.383235590331793" TargetMode="External"/><Relationship Id="rId11019" Type="http://schemas.openxmlformats.org/officeDocument/2006/relationships/hyperlink" Target="https://maps.google.com/?q=17.158537,-97.185565999999994" TargetMode="External"/><Relationship Id="rId12417" Type="http://schemas.openxmlformats.org/officeDocument/2006/relationships/hyperlink" Target="https://maps.google.com/?q=16.5581059807073,-96.823494845403602" TargetMode="External"/><Relationship Id="rId4995" Type="http://schemas.openxmlformats.org/officeDocument/2006/relationships/hyperlink" Target="https://maps.google.com/?q=15.746144,-96.465182999999996" TargetMode="External"/><Relationship Id="rId2199" Type="http://schemas.openxmlformats.org/officeDocument/2006/relationships/hyperlink" Target="https://maps.google.com/?q=16.9682461881699,-97.226763088355" TargetMode="External"/><Relationship Id="rId3597" Type="http://schemas.openxmlformats.org/officeDocument/2006/relationships/hyperlink" Target="https://maps.google.com/?q=15.776580055475598,-96.136472803262237" TargetMode="External"/><Relationship Id="rId4648" Type="http://schemas.openxmlformats.org/officeDocument/2006/relationships/hyperlink" Target="https://maps.google.com/?q=17.082833,-96.74510300" TargetMode="External"/><Relationship Id="rId6070" Type="http://schemas.openxmlformats.org/officeDocument/2006/relationships/hyperlink" Target="https://maps.google.com/?q=18.161067275928538,-96.577202486056606" TargetMode="External"/><Relationship Id="rId11500" Type="http://schemas.openxmlformats.org/officeDocument/2006/relationships/hyperlink" Target="https://maps.google.com/?q=16.6089941531735,-96.849156619975204" TargetMode="External"/><Relationship Id="rId7121" Type="http://schemas.openxmlformats.org/officeDocument/2006/relationships/hyperlink" Target="https://maps.google.com/?q=17.3186944537973,-97.688020403735607" TargetMode="External"/><Relationship Id="rId10102" Type="http://schemas.openxmlformats.org/officeDocument/2006/relationships/hyperlink" Target="https://maps.google.com/?q=17.0201709337396,-96.132264647791004" TargetMode="External"/><Relationship Id="rId13672" Type="http://schemas.openxmlformats.org/officeDocument/2006/relationships/hyperlink" Target="https://maps.google.com/?q=17.271015,-96.236877" TargetMode="External"/><Relationship Id="rId2680" Type="http://schemas.openxmlformats.org/officeDocument/2006/relationships/hyperlink" Target="https://maps.google.com/?q=17.940152,-96.101771999999997" TargetMode="External"/><Relationship Id="rId3731" Type="http://schemas.openxmlformats.org/officeDocument/2006/relationships/hyperlink" Target="https://maps.google.com/?q=15.759447396978933,-96.140518062427304" TargetMode="External"/><Relationship Id="rId9293" Type="http://schemas.openxmlformats.org/officeDocument/2006/relationships/hyperlink" Target="https://maps.google.com/?q=16.8122097109826,-95.132948619944202" TargetMode="External"/><Relationship Id="rId12274" Type="http://schemas.openxmlformats.org/officeDocument/2006/relationships/hyperlink" Target="https://maps.google.com/?q=16.4843456713789,-94.345630087248793" TargetMode="External"/><Relationship Id="rId13325" Type="http://schemas.openxmlformats.org/officeDocument/2006/relationships/hyperlink" Target="https://maps.google.com/?q=17.4521871335185,-98.002718374343999" TargetMode="External"/><Relationship Id="rId652" Type="http://schemas.openxmlformats.org/officeDocument/2006/relationships/hyperlink" Target="https://maps.google.com/?q=16.058445,-97.389632000000006" TargetMode="External"/><Relationship Id="rId1282" Type="http://schemas.openxmlformats.org/officeDocument/2006/relationships/hyperlink" Target="https://maps.google.com/?q=17.080069,-96.725792" TargetMode="External"/><Relationship Id="rId2333" Type="http://schemas.openxmlformats.org/officeDocument/2006/relationships/hyperlink" Target="https://maps.google.com/?q=17.062299,-97.670958999999996" TargetMode="External"/><Relationship Id="rId305" Type="http://schemas.openxmlformats.org/officeDocument/2006/relationships/hyperlink" Target="https://maps.google.com/?q=16.06207,-97.383854999999997" TargetMode="External"/><Relationship Id="rId5556" Type="http://schemas.openxmlformats.org/officeDocument/2006/relationships/hyperlink" Target="https://maps.google.com/?q=18.171513,-96.284214000000006" TargetMode="External"/><Relationship Id="rId6607" Type="http://schemas.openxmlformats.org/officeDocument/2006/relationships/hyperlink" Target="https://maps.google.com/?q=16.282474,-97.497472" TargetMode="External"/><Relationship Id="rId6954" Type="http://schemas.openxmlformats.org/officeDocument/2006/relationships/hyperlink" Target="https://maps.google.com/?q=16.329977,-95.241786000000005" TargetMode="External"/><Relationship Id="rId14099" Type="http://schemas.openxmlformats.org/officeDocument/2006/relationships/hyperlink" Target="https://maps.google.com/?q=16.31423771704767,-96.51120882061925" TargetMode="External"/><Relationship Id="rId4158" Type="http://schemas.openxmlformats.org/officeDocument/2006/relationships/hyperlink" Target="https://maps.google.com/?q=16.4246991147708,-98.168415927001007" TargetMode="External"/><Relationship Id="rId5209" Type="http://schemas.openxmlformats.org/officeDocument/2006/relationships/hyperlink" Target="https://maps.google.com/?q=17.318015,-95.967955000000003" TargetMode="External"/><Relationship Id="rId8779" Type="http://schemas.openxmlformats.org/officeDocument/2006/relationships/hyperlink" Target="https://maps.google.com/?q=17.209238,-96.252522999999997" TargetMode="External"/><Relationship Id="rId11010" Type="http://schemas.openxmlformats.org/officeDocument/2006/relationships/hyperlink" Target="https://maps.google.com/?q=17.157004,-97.191278999999994" TargetMode="External"/><Relationship Id="rId1819" Type="http://schemas.openxmlformats.org/officeDocument/2006/relationships/hyperlink" Target="https://maps.google.com/?q=18.0351034236598,-96.895344299176003" TargetMode="External"/><Relationship Id="rId13182" Type="http://schemas.openxmlformats.org/officeDocument/2006/relationships/hyperlink" Target="https://maps.google.com/?q=16.5718787736417,-97.0114887466097" TargetMode="External"/><Relationship Id="rId2190" Type="http://schemas.openxmlformats.org/officeDocument/2006/relationships/hyperlink" Target="https://maps.google.com/?q=17.0001550561275,-97.2351013497629" TargetMode="External"/><Relationship Id="rId3241" Type="http://schemas.openxmlformats.org/officeDocument/2006/relationships/hyperlink" Target="https://maps.google.com/?q=17.9519272048053,-96.2057255704255" TargetMode="External"/><Relationship Id="rId7862" Type="http://schemas.openxmlformats.org/officeDocument/2006/relationships/hyperlink" Target="https://maps.google.com/?q=16.3158475670792,-96.411996894511901" TargetMode="External"/><Relationship Id="rId8913" Type="http://schemas.openxmlformats.org/officeDocument/2006/relationships/hyperlink" Target="https://maps.google.com/?q=17.380348256,-96.162751854999996" TargetMode="External"/><Relationship Id="rId162" Type="http://schemas.openxmlformats.org/officeDocument/2006/relationships/hyperlink" Target="https://maps.google.com/?q=17.092675,-97.498296999999994" TargetMode="External"/><Relationship Id="rId6464" Type="http://schemas.openxmlformats.org/officeDocument/2006/relationships/hyperlink" Target="https://maps.google.com/?q=16.3791900093093,-97.279815317790906" TargetMode="External"/><Relationship Id="rId7515" Type="http://schemas.openxmlformats.org/officeDocument/2006/relationships/hyperlink" Target="https://maps.google.com/?q=17.9739377430224,-96.703206793932694" TargetMode="External"/><Relationship Id="rId10843" Type="http://schemas.openxmlformats.org/officeDocument/2006/relationships/hyperlink" Target="https://maps.google.com/?q=16.4046527244588,-94.457052437299197" TargetMode="External"/><Relationship Id="rId5066" Type="http://schemas.openxmlformats.org/officeDocument/2006/relationships/hyperlink" Target="https://maps.google.com/?q=17.252313,-96.153957000000005" TargetMode="External"/><Relationship Id="rId6117" Type="http://schemas.openxmlformats.org/officeDocument/2006/relationships/hyperlink" Target="https://maps.google.com/?q=17.978827,-96.702813000000006" TargetMode="External"/><Relationship Id="rId9687" Type="http://schemas.openxmlformats.org/officeDocument/2006/relationships/hyperlink" Target="https://maps.google.com/?q=16.3199083109653,-96.586763629211006" TargetMode="External"/><Relationship Id="rId8289" Type="http://schemas.openxmlformats.org/officeDocument/2006/relationships/hyperlink" Target="https://maps.google.com/?q=17.629619855,-97.033985172300007" TargetMode="External"/><Relationship Id="rId12668" Type="http://schemas.openxmlformats.org/officeDocument/2006/relationships/hyperlink" Target="https://maps.google.com/?q=16.9208797112331,-97.894035295210102" TargetMode="External"/><Relationship Id="rId13719" Type="http://schemas.openxmlformats.org/officeDocument/2006/relationships/hyperlink" Target="https://maps.google.com/?q=16.339383,-94.514989" TargetMode="External"/><Relationship Id="rId1676" Type="http://schemas.openxmlformats.org/officeDocument/2006/relationships/hyperlink" Target="https://maps.google.com/?q=18.0047046131961,-96.894549607350498" TargetMode="External"/><Relationship Id="rId2727" Type="http://schemas.openxmlformats.org/officeDocument/2006/relationships/hyperlink" Target="https://maps.google.com/?q=15.9129638522937,-96.430039069459994" TargetMode="External"/><Relationship Id="rId14090" Type="http://schemas.openxmlformats.org/officeDocument/2006/relationships/hyperlink" Target="https://maps.google.com/?q=16.778506,-96.180304" TargetMode="External"/><Relationship Id="rId1329" Type="http://schemas.openxmlformats.org/officeDocument/2006/relationships/hyperlink" Target="https://maps.google.com/?q=17.01805232,-96.71851994" TargetMode="External"/><Relationship Id="rId4899" Type="http://schemas.openxmlformats.org/officeDocument/2006/relationships/hyperlink" Target="https://maps.google.com/?q=18.0300117576662,-96.669899089507595" TargetMode="External"/><Relationship Id="rId5200" Type="http://schemas.openxmlformats.org/officeDocument/2006/relationships/hyperlink" Target="https://maps.google.com/?q=17.317272,-95.967539000000002" TargetMode="External"/><Relationship Id="rId8770" Type="http://schemas.openxmlformats.org/officeDocument/2006/relationships/hyperlink" Target="https://maps.google.com/?q=17.206065,-96.252707999999998" TargetMode="External"/><Relationship Id="rId9821" Type="http://schemas.openxmlformats.org/officeDocument/2006/relationships/hyperlink" Target="https://maps.google.com/?q=16.6320243416674,-96.851526543535499" TargetMode="External"/><Relationship Id="rId11751" Type="http://schemas.openxmlformats.org/officeDocument/2006/relationships/hyperlink" Target="https://maps.google.com/?q=17.19338326,-97.713713200000001" TargetMode="External"/><Relationship Id="rId12802" Type="http://schemas.openxmlformats.org/officeDocument/2006/relationships/hyperlink" Target="https://maps.google.com/?q=16.113873,-97.298475999999994" TargetMode="External"/><Relationship Id="rId35" Type="http://schemas.openxmlformats.org/officeDocument/2006/relationships/hyperlink" Target="https://maps.google.com/?q=17.221516,-97.120679999999993" TargetMode="External"/><Relationship Id="rId1810" Type="http://schemas.openxmlformats.org/officeDocument/2006/relationships/hyperlink" Target="https://maps.google.com/?q=18.0685588524192,-96.898564738762005" TargetMode="External"/><Relationship Id="rId7372" Type="http://schemas.openxmlformats.org/officeDocument/2006/relationships/hyperlink" Target="https://maps.google.com/?q=17.0370021223598,-97.297662147362701" TargetMode="External"/><Relationship Id="rId8423" Type="http://schemas.openxmlformats.org/officeDocument/2006/relationships/hyperlink" Target="https://maps.google.com/?q=16.1988527521265,-96.824609913364299" TargetMode="External"/><Relationship Id="rId10353" Type="http://schemas.openxmlformats.org/officeDocument/2006/relationships/hyperlink" Target="https://maps.google.com/?q=17.4336404497808,-96.659041981822497" TargetMode="External"/><Relationship Id="rId11404" Type="http://schemas.openxmlformats.org/officeDocument/2006/relationships/hyperlink" Target="https://maps.google.com/?q=17.2003887180843,-97.770459802466306" TargetMode="External"/><Relationship Id="rId3982" Type="http://schemas.openxmlformats.org/officeDocument/2006/relationships/hyperlink" Target="https://maps.google.com/?q=17.06218,-96.753029999999995" TargetMode="External"/><Relationship Id="rId7025" Type="http://schemas.openxmlformats.org/officeDocument/2006/relationships/hyperlink" Target="https://maps.google.com/?q=17.0430856870941,-97.298117953371403" TargetMode="External"/><Relationship Id="rId10006" Type="http://schemas.openxmlformats.org/officeDocument/2006/relationships/hyperlink" Target="https://maps.google.com/?q=17.0117973396527,-96.079044075225397" TargetMode="External"/><Relationship Id="rId13576" Type="http://schemas.openxmlformats.org/officeDocument/2006/relationships/hyperlink" Target="https://maps.google.com/?q=17.542060798763973,-97.62134770911487" TargetMode="External"/><Relationship Id="rId2584" Type="http://schemas.openxmlformats.org/officeDocument/2006/relationships/hyperlink" Target="https://maps.google.com/?q=16.5933828969765,-97.223621847885099" TargetMode="External"/><Relationship Id="rId3635" Type="http://schemas.openxmlformats.org/officeDocument/2006/relationships/hyperlink" Target="https://maps.google.com/?q=15.777473762234697,-96.137131742519202" TargetMode="External"/><Relationship Id="rId9197" Type="http://schemas.openxmlformats.org/officeDocument/2006/relationships/hyperlink" Target="https://maps.google.com/?q=17.3745247381799,-96.301740326839095" TargetMode="External"/><Relationship Id="rId12178" Type="http://schemas.openxmlformats.org/officeDocument/2006/relationships/hyperlink" Target="https://maps.google.com/?q=17.4165875066476,-95.949909017070595" TargetMode="External"/><Relationship Id="rId13229" Type="http://schemas.openxmlformats.org/officeDocument/2006/relationships/hyperlink" Target="https://maps.google.com/?q=17.1382057741382,-96.753170332514898" TargetMode="External"/><Relationship Id="rId556" Type="http://schemas.openxmlformats.org/officeDocument/2006/relationships/hyperlink" Target="https://maps.google.com/?q=16.052824,-97.400602000000006" TargetMode="External"/><Relationship Id="rId1186" Type="http://schemas.openxmlformats.org/officeDocument/2006/relationships/hyperlink" Target="https://maps.google.com/?q=15.995323,-97.422745" TargetMode="External"/><Relationship Id="rId2237" Type="http://schemas.openxmlformats.org/officeDocument/2006/relationships/hyperlink" Target="https://maps.google.com/?q=16.8041968200503,-96.442885271164002" TargetMode="External"/><Relationship Id="rId209" Type="http://schemas.openxmlformats.org/officeDocument/2006/relationships/hyperlink" Target="https://maps.google.com/?q=17.094916,-97.496458000000004" TargetMode="External"/><Relationship Id="rId6858" Type="http://schemas.openxmlformats.org/officeDocument/2006/relationships/hyperlink" Target="https://maps.google.com/?q=17.0112568007264,-96.978705598158996" TargetMode="External"/><Relationship Id="rId7909" Type="http://schemas.openxmlformats.org/officeDocument/2006/relationships/hyperlink" Target="https://maps.google.com/?q=16.3196512273863,-96.4074682120592" TargetMode="External"/><Relationship Id="rId8280" Type="http://schemas.openxmlformats.org/officeDocument/2006/relationships/hyperlink" Target="https://maps.google.com/?q=17.624580337,&#160;-97.0359901011" TargetMode="External"/><Relationship Id="rId13710" Type="http://schemas.openxmlformats.org/officeDocument/2006/relationships/hyperlink" Target="https://maps.google.com/?q=16.640829,-97.49515" TargetMode="External"/><Relationship Id="rId9331" Type="http://schemas.openxmlformats.org/officeDocument/2006/relationships/hyperlink" Target="https://maps.google.com/?q=16.8166926277421,-95.134187800509295" TargetMode="External"/><Relationship Id="rId11261" Type="http://schemas.openxmlformats.org/officeDocument/2006/relationships/hyperlink" Target="https://maps.google.com/?q=17.8653136556864,-96.308595375582399" TargetMode="External"/><Relationship Id="rId12312" Type="http://schemas.openxmlformats.org/officeDocument/2006/relationships/hyperlink" Target="https://maps.google.com/?q=17.159761,-96.185972" TargetMode="External"/><Relationship Id="rId1320" Type="http://schemas.openxmlformats.org/officeDocument/2006/relationships/hyperlink" Target="https://maps.google.com/?q=17.094465,-96.75526400" TargetMode="External"/><Relationship Id="rId4890" Type="http://schemas.openxmlformats.org/officeDocument/2006/relationships/hyperlink" Target="https://maps.google.com/?q=16.8014233014189,-96.392851484690894" TargetMode="External"/><Relationship Id="rId5941" Type="http://schemas.openxmlformats.org/officeDocument/2006/relationships/hyperlink" Target="https://maps.google.com/?q=18.153696616839287,-96.574240109498589" TargetMode="External"/><Relationship Id="rId3492" Type="http://schemas.openxmlformats.org/officeDocument/2006/relationships/hyperlink" Target="https://maps.google.com/?q=16.444791980658856,-95.0147632684085" TargetMode="External"/><Relationship Id="rId4543" Type="http://schemas.openxmlformats.org/officeDocument/2006/relationships/hyperlink" Target="https://maps.google.com/?q=17.1845745507279,-97.304021460730695" TargetMode="External"/><Relationship Id="rId13086" Type="http://schemas.openxmlformats.org/officeDocument/2006/relationships/hyperlink" Target="https://maps.google.com/?q=16.564348,-97.530907999999997" TargetMode="External"/><Relationship Id="rId14137" Type="http://schemas.openxmlformats.org/officeDocument/2006/relationships/hyperlink" Target="https://maps.google.com/?q=17.98073099544588,-96.95296744489349" TargetMode="External"/><Relationship Id="rId2094" Type="http://schemas.openxmlformats.org/officeDocument/2006/relationships/hyperlink" Target="https://maps.google.com/?q=15.762971,-96.150289" TargetMode="External"/><Relationship Id="rId3145" Type="http://schemas.openxmlformats.org/officeDocument/2006/relationships/hyperlink" Target="https://maps.google.com/?q=16.587443,-97.441119999999998" TargetMode="External"/><Relationship Id="rId7766" Type="http://schemas.openxmlformats.org/officeDocument/2006/relationships/hyperlink" Target="https://maps.google.com/?q=16.099028,-96.194102000000001" TargetMode="External"/><Relationship Id="rId8817" Type="http://schemas.openxmlformats.org/officeDocument/2006/relationships/hyperlink" Target="https://maps.google.com/?q=17.215959,-96.248137" TargetMode="External"/><Relationship Id="rId6368" Type="http://schemas.openxmlformats.org/officeDocument/2006/relationships/hyperlink" Target="https://maps.google.com/?q=17.08399,-96.71831" TargetMode="External"/><Relationship Id="rId7419" Type="http://schemas.openxmlformats.org/officeDocument/2006/relationships/hyperlink" Target="https://maps.google.com/?q=17.036302,-97.051304999999999" TargetMode="External"/><Relationship Id="rId10747" Type="http://schemas.openxmlformats.org/officeDocument/2006/relationships/hyperlink" Target="https://maps.google.com/?q=18.228164,-96.862099" TargetMode="External"/><Relationship Id="rId13220" Type="http://schemas.openxmlformats.org/officeDocument/2006/relationships/hyperlink" Target="https://maps.google.com/?q=17.3448781171837,-97.372726366336707" TargetMode="External"/><Relationship Id="rId200" Type="http://schemas.openxmlformats.org/officeDocument/2006/relationships/hyperlink" Target="https://maps.google.com/?q=17.095144,-97.503765999999999" TargetMode="External"/><Relationship Id="rId2978" Type="http://schemas.openxmlformats.org/officeDocument/2006/relationships/hyperlink" Target="https://maps.google.com/?q=17.909338321039,-98.011348180525005" TargetMode="External"/><Relationship Id="rId7900" Type="http://schemas.openxmlformats.org/officeDocument/2006/relationships/hyperlink" Target="https://maps.google.com/?q=16.3192182065544,-96.4096094434572" TargetMode="External"/><Relationship Id="rId5451" Type="http://schemas.openxmlformats.org/officeDocument/2006/relationships/hyperlink" Target="https://maps.google.com/?q=16.0077343742987,-97.430482909999995" TargetMode="External"/><Relationship Id="rId6502" Type="http://schemas.openxmlformats.org/officeDocument/2006/relationships/hyperlink" Target="https://maps.google.com/?q=17.2084382186953,-97.572795873347005" TargetMode="External"/><Relationship Id="rId4053" Type="http://schemas.openxmlformats.org/officeDocument/2006/relationships/hyperlink" Target="https://maps.google.com/?q=17.080188,-96.726730000000003" TargetMode="External"/><Relationship Id="rId5104" Type="http://schemas.openxmlformats.org/officeDocument/2006/relationships/hyperlink" Target="https://maps.google.com/?q=17.253503,-96.157054000000002" TargetMode="External"/><Relationship Id="rId8674" Type="http://schemas.openxmlformats.org/officeDocument/2006/relationships/hyperlink" Target="https://maps.google.com/?q=16.2800769657011,-96.299493007751195" TargetMode="External"/><Relationship Id="rId9725" Type="http://schemas.openxmlformats.org/officeDocument/2006/relationships/hyperlink" Target="https://maps.google.com/?q=16.5173304858214,&#160;-96.97556340429881" TargetMode="External"/><Relationship Id="rId11655" Type="http://schemas.openxmlformats.org/officeDocument/2006/relationships/hyperlink" Target="https://maps.google.com/?q=17.17376327,-97.708382159999999" TargetMode="External"/><Relationship Id="rId1714" Type="http://schemas.openxmlformats.org/officeDocument/2006/relationships/hyperlink" Target="https://maps.google.com/?q=18.0757047379111,-96.897776326172107" TargetMode="External"/><Relationship Id="rId7276" Type="http://schemas.openxmlformats.org/officeDocument/2006/relationships/hyperlink" Target="https://maps.google.com/?q=16.3035029169048,-97.908903332209903" TargetMode="External"/><Relationship Id="rId8327" Type="http://schemas.openxmlformats.org/officeDocument/2006/relationships/hyperlink" Target="https://maps.google.com/?q=16.542176,-98.030824999999993" TargetMode="External"/><Relationship Id="rId10257" Type="http://schemas.openxmlformats.org/officeDocument/2006/relationships/hyperlink" Target="https://maps.google.com/?q=16.2430418131672,-95.150796486424696" TargetMode="External"/><Relationship Id="rId11308" Type="http://schemas.openxmlformats.org/officeDocument/2006/relationships/hyperlink" Target="https://maps.google.com/?q=17.8683275256437,-96.308863073313503" TargetMode="External"/><Relationship Id="rId12706" Type="http://schemas.openxmlformats.org/officeDocument/2006/relationships/hyperlink" Target="https://maps.google.com/?q=16.2839584419456,-96.503493370361696" TargetMode="External"/><Relationship Id="rId2488" Type="http://schemas.openxmlformats.org/officeDocument/2006/relationships/hyperlink" Target="https://maps.google.com/?q=17.05194611,-96.624601420000005" TargetMode="External"/><Relationship Id="rId3886" Type="http://schemas.openxmlformats.org/officeDocument/2006/relationships/hyperlink" Target="https://maps.google.com/?q=17.107358,-95.939273999999997" TargetMode="External"/><Relationship Id="rId4937" Type="http://schemas.openxmlformats.org/officeDocument/2006/relationships/hyperlink" Target="https://maps.google.com/?q=18.03374,-96.667925999999994" TargetMode="External"/><Relationship Id="rId3539" Type="http://schemas.openxmlformats.org/officeDocument/2006/relationships/hyperlink" Target="https://maps.google.com/?q=15.770274,-96.151427" TargetMode="External"/><Relationship Id="rId6012" Type="http://schemas.openxmlformats.org/officeDocument/2006/relationships/hyperlink" Target="https://maps.google.com/?q=18.155484586254723,-96.576324517937707" TargetMode="External"/><Relationship Id="rId7410" Type="http://schemas.openxmlformats.org/officeDocument/2006/relationships/hyperlink" Target="https://maps.google.com/?q=0,-97.053534999999997" TargetMode="External"/><Relationship Id="rId13961" Type="http://schemas.openxmlformats.org/officeDocument/2006/relationships/hyperlink" Target="https://maps.google.com/?q=17.098033,-96.050848999999999" TargetMode="External"/><Relationship Id="rId9582" Type="http://schemas.openxmlformats.org/officeDocument/2006/relationships/hyperlink" Target="https://maps.google.com/?q=17.9894661936408,-96.738608828549005" TargetMode="External"/><Relationship Id="rId12563" Type="http://schemas.openxmlformats.org/officeDocument/2006/relationships/hyperlink" Target="https://maps.google.com/?q=16.5330776917289,-96.985618706640494" TargetMode="External"/><Relationship Id="rId13614" Type="http://schemas.openxmlformats.org/officeDocument/2006/relationships/hyperlink" Target="https://maps.google.com/?q=17.228118,-96.220205" TargetMode="External"/><Relationship Id="rId941" Type="http://schemas.openxmlformats.org/officeDocument/2006/relationships/hyperlink" Target="https://maps.google.com/?q=15.682525652328792,-96.51016296562247" TargetMode="External"/><Relationship Id="rId1571" Type="http://schemas.openxmlformats.org/officeDocument/2006/relationships/hyperlink" Target="https://maps.google.com/?q=16.549738,-96.723467999999997" TargetMode="External"/><Relationship Id="rId2622" Type="http://schemas.openxmlformats.org/officeDocument/2006/relationships/hyperlink" Target="https://maps.google.com/?q=18.079961,-96.168188" TargetMode="External"/><Relationship Id="rId8184" Type="http://schemas.openxmlformats.org/officeDocument/2006/relationships/hyperlink" Target="https://maps.google.com/?q=16.666609,-96.306040999999993" TargetMode="External"/><Relationship Id="rId9235" Type="http://schemas.openxmlformats.org/officeDocument/2006/relationships/hyperlink" Target="https://maps.google.com/?q=17.3762933447979,-96.301473205610804" TargetMode="External"/><Relationship Id="rId11165" Type="http://schemas.openxmlformats.org/officeDocument/2006/relationships/hyperlink" Target="https://maps.google.com/?q=16.842215,-96.008026999999998" TargetMode="External"/><Relationship Id="rId12216" Type="http://schemas.openxmlformats.org/officeDocument/2006/relationships/hyperlink" Target="https://maps.google.com/?q=17.4185624636556,-95.949984959683704" TargetMode="External"/><Relationship Id="rId1224" Type="http://schemas.openxmlformats.org/officeDocument/2006/relationships/hyperlink" Target="https://maps.google.com/?q=17.047,-96.71366000" TargetMode="External"/><Relationship Id="rId4794" Type="http://schemas.openxmlformats.org/officeDocument/2006/relationships/hyperlink" Target="https://maps.google.com/?q=17.9586366557746,-96.659408951757797" TargetMode="External"/><Relationship Id="rId5845" Type="http://schemas.openxmlformats.org/officeDocument/2006/relationships/hyperlink" Target="https://maps.google.com/?q=16.0104045334816,-97.426290262565601" TargetMode="External"/><Relationship Id="rId3396" Type="http://schemas.openxmlformats.org/officeDocument/2006/relationships/hyperlink" Target="https://maps.google.com/?q=18.0054263081478,-96.641127909804297" TargetMode="External"/><Relationship Id="rId4447" Type="http://schemas.openxmlformats.org/officeDocument/2006/relationships/hyperlink" Target="https://maps.google.com/?q=16.64960817,-96.7719697" TargetMode="External"/><Relationship Id="rId3049" Type="http://schemas.openxmlformats.org/officeDocument/2006/relationships/hyperlink" Target="https://maps.google.com/?q=16.9635348436488,-96.941713510129006" TargetMode="External"/><Relationship Id="rId10998" Type="http://schemas.openxmlformats.org/officeDocument/2006/relationships/hyperlink" Target="https://maps.google.com/?q=17.154965,-97.185760000000002" TargetMode="External"/><Relationship Id="rId9092" Type="http://schemas.openxmlformats.org/officeDocument/2006/relationships/hyperlink" Target="https://maps.google.com/?q=16.065263,-95.501836999999995" TargetMode="External"/><Relationship Id="rId13471" Type="http://schemas.openxmlformats.org/officeDocument/2006/relationships/hyperlink" Target="https://maps.google.com/?q=17.6877290754873,-97.042764371688804" TargetMode="External"/><Relationship Id="rId1081" Type="http://schemas.openxmlformats.org/officeDocument/2006/relationships/hyperlink" Target="https://maps.google.com/?q=17.092124,-97.499320999999995" TargetMode="External"/><Relationship Id="rId3530" Type="http://schemas.openxmlformats.org/officeDocument/2006/relationships/hyperlink" Target="https://maps.google.com/?q=15.765327,-96.149491" TargetMode="External"/><Relationship Id="rId12073" Type="http://schemas.openxmlformats.org/officeDocument/2006/relationships/hyperlink" Target="https://maps.google.com/?q=16.24428379,-95.326176040000007" TargetMode="External"/><Relationship Id="rId13124" Type="http://schemas.openxmlformats.org/officeDocument/2006/relationships/hyperlink" Target="https://maps.google.com/?q=16.568357,-97.535117499999998" TargetMode="External"/><Relationship Id="rId451" Type="http://schemas.openxmlformats.org/officeDocument/2006/relationships/hyperlink" Target="https://maps.google.com/?q=16.052971,-97.410639000000003" TargetMode="External"/><Relationship Id="rId2132" Type="http://schemas.openxmlformats.org/officeDocument/2006/relationships/hyperlink" Target="https://maps.google.com/?q=15.763036,-96.142818000000005" TargetMode="External"/><Relationship Id="rId6753" Type="http://schemas.openxmlformats.org/officeDocument/2006/relationships/hyperlink" Target="https://maps.google.com/?q=16.7027863888859,-97.018016795314196" TargetMode="External"/><Relationship Id="rId7804" Type="http://schemas.openxmlformats.org/officeDocument/2006/relationships/hyperlink" Target="https://maps.google.com/?q=17.8459388292076,-96.742853192251701" TargetMode="External"/><Relationship Id="rId104" Type="http://schemas.openxmlformats.org/officeDocument/2006/relationships/hyperlink" Target="https://maps.google.com/?q=17.090845,-97.499115000000003" TargetMode="External"/><Relationship Id="rId5355" Type="http://schemas.openxmlformats.org/officeDocument/2006/relationships/hyperlink" Target="https://maps.google.com/?q=16.5256392975705,-97.168799732124995" TargetMode="External"/><Relationship Id="rId6406" Type="http://schemas.openxmlformats.org/officeDocument/2006/relationships/hyperlink" Target="https://maps.google.com/?q=17.2590604256097,-97.574423289078595" TargetMode="External"/><Relationship Id="rId9976" Type="http://schemas.openxmlformats.org/officeDocument/2006/relationships/hyperlink" Target="https://maps.google.com/?q=17.103885,-97.497388" TargetMode="External"/><Relationship Id="rId5008" Type="http://schemas.openxmlformats.org/officeDocument/2006/relationships/hyperlink" Target="https://maps.google.com/?q=17.458341,-97.225285" TargetMode="External"/><Relationship Id="rId8578" Type="http://schemas.openxmlformats.org/officeDocument/2006/relationships/hyperlink" Target="https://maps.google.com/?q=16.9312878899439,-96.602640271843498" TargetMode="External"/><Relationship Id="rId9629" Type="http://schemas.openxmlformats.org/officeDocument/2006/relationships/hyperlink" Target="https://maps.google.com/?q=17.1527618955753,-96.752826173100601" TargetMode="External"/><Relationship Id="rId12957" Type="http://schemas.openxmlformats.org/officeDocument/2006/relationships/hyperlink" Target="https://maps.google.com/?q=16.508026,-97.482558999999995" TargetMode="External"/><Relationship Id="rId1965" Type="http://schemas.openxmlformats.org/officeDocument/2006/relationships/hyperlink" Target="https://maps.google.com/?q=15.780816343567707,-96.139276511408994" TargetMode="External"/><Relationship Id="rId11559" Type="http://schemas.openxmlformats.org/officeDocument/2006/relationships/hyperlink" Target="https://maps.google.com/?q=16.834583644456,-96.707853670552197" TargetMode="External"/><Relationship Id="rId14032" Type="http://schemas.openxmlformats.org/officeDocument/2006/relationships/hyperlink" Target="https://maps.google.com/?q=17.0602603916762,-96.725938371398499" TargetMode="External"/><Relationship Id="rId1618" Type="http://schemas.openxmlformats.org/officeDocument/2006/relationships/hyperlink" Target="https://maps.google.com/?q=17.759549,-96.079035000000005" TargetMode="External"/><Relationship Id="rId3040" Type="http://schemas.openxmlformats.org/officeDocument/2006/relationships/hyperlink" Target="https://maps.google.com/?q=16.940402,-97.010609000000002" TargetMode="External"/><Relationship Id="rId7661" Type="http://schemas.openxmlformats.org/officeDocument/2006/relationships/hyperlink" Target="https://maps.google.com/?q=17.2325702130213,-95.053158070470204" TargetMode="External"/><Relationship Id="rId8712" Type="http://schemas.openxmlformats.org/officeDocument/2006/relationships/hyperlink" Target="https://maps.google.com/?q=17.0559781641915,-96.821241242454207" TargetMode="External"/><Relationship Id="rId10642" Type="http://schemas.openxmlformats.org/officeDocument/2006/relationships/hyperlink" Target="https://maps.google.com/?q=17.1206637784837,-97.784133155319793" TargetMode="External"/><Relationship Id="rId6263" Type="http://schemas.openxmlformats.org/officeDocument/2006/relationships/hyperlink" Target="https://maps.google.com/?q=16.3959371609485,-96.7345274570377" TargetMode="External"/><Relationship Id="rId7314" Type="http://schemas.openxmlformats.org/officeDocument/2006/relationships/hyperlink" Target="https://maps.google.com/?q=16.72710952,-96.469997770000006" TargetMode="External"/><Relationship Id="rId13865" Type="http://schemas.openxmlformats.org/officeDocument/2006/relationships/hyperlink" Target="https://maps.google.com/?q=16.2658722255855,-96.587222541293201" TargetMode="External"/><Relationship Id="rId2873" Type="http://schemas.openxmlformats.org/officeDocument/2006/relationships/hyperlink" Target="https://maps.google.com/?q=16.9889400761061,-97.683225877480396" TargetMode="External"/><Relationship Id="rId3924" Type="http://schemas.openxmlformats.org/officeDocument/2006/relationships/hyperlink" Target="https://maps.google.com/?q=17.047,-96.71366" TargetMode="External"/><Relationship Id="rId9486" Type="http://schemas.openxmlformats.org/officeDocument/2006/relationships/hyperlink" Target="https://maps.google.com/?q=18.081169,-96.118475000000004" TargetMode="External"/><Relationship Id="rId12467" Type="http://schemas.openxmlformats.org/officeDocument/2006/relationships/hyperlink" Target="https://maps.google.com/?q=17.2216482410898,-97.270458202127799" TargetMode="External"/><Relationship Id="rId13518" Type="http://schemas.openxmlformats.org/officeDocument/2006/relationships/hyperlink" Target="https://maps.google.com/?q=17.23617726450991,-97.55254714517314" TargetMode="External"/><Relationship Id="rId845" Type="http://schemas.openxmlformats.org/officeDocument/2006/relationships/hyperlink" Target="https://maps.google.com/?q=15.707146366019476,-96.525071253867438" TargetMode="External"/><Relationship Id="rId1475" Type="http://schemas.openxmlformats.org/officeDocument/2006/relationships/hyperlink" Target="https://maps.google.com/?q=17.04834,-96.71263" TargetMode="External"/><Relationship Id="rId2526" Type="http://schemas.openxmlformats.org/officeDocument/2006/relationships/hyperlink" Target="https://maps.google.com/?q=17.0523953,-96.62427495" TargetMode="External"/><Relationship Id="rId8088" Type="http://schemas.openxmlformats.org/officeDocument/2006/relationships/hyperlink" Target="https://maps.google.com/?q=17.3544557730264,-96.303641856745898" TargetMode="External"/><Relationship Id="rId9139" Type="http://schemas.openxmlformats.org/officeDocument/2006/relationships/hyperlink" Target="https://maps.google.com/?q=16.9712383739892,-97.085085798776603" TargetMode="External"/><Relationship Id="rId11069" Type="http://schemas.openxmlformats.org/officeDocument/2006/relationships/hyperlink" Target="https://maps.google.com/?q=17.28569666,-97.375163839999999" TargetMode="External"/><Relationship Id="rId1128" Type="http://schemas.openxmlformats.org/officeDocument/2006/relationships/hyperlink" Target="https://maps.google.com/?q=17.095534,-97.497962000000001" TargetMode="External"/><Relationship Id="rId4698" Type="http://schemas.openxmlformats.org/officeDocument/2006/relationships/hyperlink" Target="https://maps.google.com/?q=17.094465,-96.7552640" TargetMode="External"/><Relationship Id="rId5749" Type="http://schemas.openxmlformats.org/officeDocument/2006/relationships/hyperlink" Target="https://maps.google.com/?q=18.049131,-96.762696000000005" TargetMode="External"/><Relationship Id="rId7171" Type="http://schemas.openxmlformats.org/officeDocument/2006/relationships/hyperlink" Target="https://maps.google.com/?q=16.2188210006246,-97.958895715344894" TargetMode="External"/><Relationship Id="rId8222" Type="http://schemas.openxmlformats.org/officeDocument/2006/relationships/hyperlink" Target="https://maps.google.com/?q=16.374002,-97.674170000000004" TargetMode="External"/><Relationship Id="rId9620" Type="http://schemas.openxmlformats.org/officeDocument/2006/relationships/hyperlink" Target="https://maps.google.com/?q=17.9986750685665,-96.7494958454037" TargetMode="External"/><Relationship Id="rId11550" Type="http://schemas.openxmlformats.org/officeDocument/2006/relationships/hyperlink" Target="https://maps.google.com/?q=16.8302,-96.707599000000002" TargetMode="External"/><Relationship Id="rId12601" Type="http://schemas.openxmlformats.org/officeDocument/2006/relationships/hyperlink" Target="https://maps.google.com/?q=16.5228997438938,-96.981898468115205" TargetMode="External"/><Relationship Id="rId10152" Type="http://schemas.openxmlformats.org/officeDocument/2006/relationships/hyperlink" Target="https://maps.google.com/?q=17.1318022634997,-97.499349868836106" TargetMode="External"/><Relationship Id="rId11203" Type="http://schemas.openxmlformats.org/officeDocument/2006/relationships/hyperlink" Target="https://maps.google.com/?q=16.859464,-96.689599" TargetMode="External"/><Relationship Id="rId3781" Type="http://schemas.openxmlformats.org/officeDocument/2006/relationships/hyperlink" Target="https://maps.google.com/?q=15.76455,-96.144008999999997" TargetMode="External"/><Relationship Id="rId4832" Type="http://schemas.openxmlformats.org/officeDocument/2006/relationships/hyperlink" Target="https://maps.google.com/?q=17.3346891843463,-96.163381740178906" TargetMode="External"/><Relationship Id="rId13375" Type="http://schemas.openxmlformats.org/officeDocument/2006/relationships/hyperlink" Target="https://maps.google.com/?q=16.3235523547846,-96.668772207340197" TargetMode="External"/><Relationship Id="rId2383" Type="http://schemas.openxmlformats.org/officeDocument/2006/relationships/hyperlink" Target="https://maps.google.com/?q=17.174482787715,-97.825465508360494" TargetMode="External"/><Relationship Id="rId3434" Type="http://schemas.openxmlformats.org/officeDocument/2006/relationships/hyperlink" Target="https://maps.google.com/?q=17.0671682890003,-96.975022305540605" TargetMode="External"/><Relationship Id="rId13028" Type="http://schemas.openxmlformats.org/officeDocument/2006/relationships/hyperlink" Target="https://maps.google.com/?q=16.5608272,-97.540189100000006" TargetMode="External"/><Relationship Id="rId355" Type="http://schemas.openxmlformats.org/officeDocument/2006/relationships/hyperlink" Target="https://maps.google.com/?q=16.055149,-97.408117000000004" TargetMode="External"/><Relationship Id="rId2036" Type="http://schemas.openxmlformats.org/officeDocument/2006/relationships/hyperlink" Target="https://maps.google.com/?q=15.759335738054896,-96.140267839132846" TargetMode="External"/><Relationship Id="rId6657" Type="http://schemas.openxmlformats.org/officeDocument/2006/relationships/hyperlink" Target="https://maps.google.com/?q=18.215792,-96.337316000000001" TargetMode="External"/><Relationship Id="rId7708" Type="http://schemas.openxmlformats.org/officeDocument/2006/relationships/hyperlink" Target="https://maps.google.com/?q=16.6284720029206,-96.797154569164306" TargetMode="External"/><Relationship Id="rId5259" Type="http://schemas.openxmlformats.org/officeDocument/2006/relationships/hyperlink" Target="https://maps.google.com/?q=15.7179304991806,-96.401036406974299" TargetMode="External"/><Relationship Id="rId9130" Type="http://schemas.openxmlformats.org/officeDocument/2006/relationships/hyperlink" Target="https://maps.google.com/?q=17.04177,-96.728888999999995" TargetMode="External"/><Relationship Id="rId11060" Type="http://schemas.openxmlformats.org/officeDocument/2006/relationships/hyperlink" Target="https://maps.google.com/?q=17.27911957,-97.372667609999993" TargetMode="External"/><Relationship Id="rId12111" Type="http://schemas.openxmlformats.org/officeDocument/2006/relationships/hyperlink" Target="https://maps.google.com/?q=16.3188482052007,-97.664176810594498" TargetMode="External"/><Relationship Id="rId1869" Type="http://schemas.openxmlformats.org/officeDocument/2006/relationships/hyperlink" Target="https://maps.google.com/?q=15.775322657332042,-96.136313264921213" TargetMode="External"/><Relationship Id="rId3291" Type="http://schemas.openxmlformats.org/officeDocument/2006/relationships/hyperlink" Target="https://maps.google.com/?q=17.0625757715451,-96.810434775462994" TargetMode="External"/><Relationship Id="rId5740" Type="http://schemas.openxmlformats.org/officeDocument/2006/relationships/hyperlink" Target="https://maps.google.com/?q=16.390651,-96.362970000000004" TargetMode="External"/><Relationship Id="rId4342" Type="http://schemas.openxmlformats.org/officeDocument/2006/relationships/hyperlink" Target="https://maps.google.com/?q=16.0175559822229,-96.612439561139794" TargetMode="External"/><Relationship Id="rId8963" Type="http://schemas.openxmlformats.org/officeDocument/2006/relationships/hyperlink" Target="https://maps.google.com/?q=17.381516629,-96.160457980000004" TargetMode="External"/><Relationship Id="rId10893" Type="http://schemas.openxmlformats.org/officeDocument/2006/relationships/hyperlink" Target="https://maps.google.com/?q=16.184280683082,-95.186418198211101" TargetMode="External"/><Relationship Id="rId11944" Type="http://schemas.openxmlformats.org/officeDocument/2006/relationships/hyperlink" Target="https://maps.google.com/?q=17.2384185983982,-97.918803792659702" TargetMode="External"/><Relationship Id="rId7565" Type="http://schemas.openxmlformats.org/officeDocument/2006/relationships/hyperlink" Target="https://maps.google.com/?q=17.3278400404869,-95.2698645524586" TargetMode="External"/><Relationship Id="rId8616" Type="http://schemas.openxmlformats.org/officeDocument/2006/relationships/hyperlink" Target="https://maps.google.com/?q=17.8953026552605,-96.710889782149593" TargetMode="External"/><Relationship Id="rId10546" Type="http://schemas.openxmlformats.org/officeDocument/2006/relationships/hyperlink" Target="https://maps.google.com/?q=17.1211497271681,-97.783379866082299" TargetMode="External"/><Relationship Id="rId6167" Type="http://schemas.openxmlformats.org/officeDocument/2006/relationships/hyperlink" Target="https://maps.google.com/?q=16.1424143909884,-96.416651808355596" TargetMode="External"/><Relationship Id="rId7218" Type="http://schemas.openxmlformats.org/officeDocument/2006/relationships/hyperlink" Target="https://maps.google.com/?q=16.2285213835154,-97.943081921459395" TargetMode="External"/><Relationship Id="rId2777" Type="http://schemas.openxmlformats.org/officeDocument/2006/relationships/hyperlink" Target="https://maps.google.com/?q=16.9892225554218,-97.701492663685102" TargetMode="External"/><Relationship Id="rId13769" Type="http://schemas.openxmlformats.org/officeDocument/2006/relationships/hyperlink" Target="https://maps.google.com/?q=16.514762,-96.978094" TargetMode="External"/><Relationship Id="rId749" Type="http://schemas.openxmlformats.org/officeDocument/2006/relationships/hyperlink" Target="https://maps.google.com/?q=15.683478854552325,-96.511350333292015" TargetMode="External"/><Relationship Id="rId1379" Type="http://schemas.openxmlformats.org/officeDocument/2006/relationships/hyperlink" Target="https://maps.google.com/?q=16.519807,-96.983885000000001" TargetMode="External"/><Relationship Id="rId3828" Type="http://schemas.openxmlformats.org/officeDocument/2006/relationships/hyperlink" Target="https://maps.google.com/?q=17.8006429,-97.7791638" TargetMode="External"/><Relationship Id="rId5250" Type="http://schemas.openxmlformats.org/officeDocument/2006/relationships/hyperlink" Target="https://maps.google.com/?q=15.8822522083464,-96.319856015609005" TargetMode="External"/><Relationship Id="rId6301" Type="http://schemas.openxmlformats.org/officeDocument/2006/relationships/hyperlink" Target="https://maps.google.com/?q=18.0571181599075,-96.3911896097853" TargetMode="External"/><Relationship Id="rId9871" Type="http://schemas.openxmlformats.org/officeDocument/2006/relationships/hyperlink" Target="https://maps.google.com/?q=16.6359576227875,-96.851900258954899" TargetMode="External"/><Relationship Id="rId12852" Type="http://schemas.openxmlformats.org/officeDocument/2006/relationships/hyperlink" Target="https://maps.google.com/?q=17.517547,-97.684656000000004" TargetMode="External"/><Relationship Id="rId13903" Type="http://schemas.openxmlformats.org/officeDocument/2006/relationships/hyperlink" Target="https://maps.google.com/?q=16.8471946608186,-96.784215906745899" TargetMode="External"/><Relationship Id="rId85" Type="http://schemas.openxmlformats.org/officeDocument/2006/relationships/hyperlink" Target="https://maps.google.com/?q=15.903753,-96.450652000000005" TargetMode="External"/><Relationship Id="rId1860" Type="http://schemas.openxmlformats.org/officeDocument/2006/relationships/hyperlink" Target="https://maps.google.com/?q=15.772505750325173,-96.152878664178658" TargetMode="External"/><Relationship Id="rId2911" Type="http://schemas.openxmlformats.org/officeDocument/2006/relationships/hyperlink" Target="https://maps.google.com/?q=17.0839900131345,-96.672318842896999" TargetMode="External"/><Relationship Id="rId7075" Type="http://schemas.openxmlformats.org/officeDocument/2006/relationships/hyperlink" Target="https://maps.google.com/?q=16.377118,-98.141544999999994" TargetMode="External"/><Relationship Id="rId8473" Type="http://schemas.openxmlformats.org/officeDocument/2006/relationships/hyperlink" Target="https://maps.google.com/?q=17.1502516334292,-97.534105319447605" TargetMode="External"/><Relationship Id="rId9524" Type="http://schemas.openxmlformats.org/officeDocument/2006/relationships/hyperlink" Target="https://maps.google.com/?q=18.16385399562511,-96.87509774312771" TargetMode="External"/><Relationship Id="rId11454" Type="http://schemas.openxmlformats.org/officeDocument/2006/relationships/hyperlink" Target="https://maps.google.com/?q=15.985955,-97.548027899999994" TargetMode="External"/><Relationship Id="rId12505" Type="http://schemas.openxmlformats.org/officeDocument/2006/relationships/hyperlink" Target="https://maps.google.com/?q=17.2247896380975,-97.274033577298198" TargetMode="External"/><Relationship Id="rId1513" Type="http://schemas.openxmlformats.org/officeDocument/2006/relationships/hyperlink" Target="https://maps.google.com/?q=17.061239,-96.756981999999994" TargetMode="External"/><Relationship Id="rId8126" Type="http://schemas.openxmlformats.org/officeDocument/2006/relationships/hyperlink" Target="https://maps.google.com/?q=17.3554125617987,-96.301656742090103" TargetMode="External"/><Relationship Id="rId10056" Type="http://schemas.openxmlformats.org/officeDocument/2006/relationships/hyperlink" Target="https://maps.google.com/?q=16.9271688309466,-96.361318882216295" TargetMode="External"/><Relationship Id="rId11107" Type="http://schemas.openxmlformats.org/officeDocument/2006/relationships/hyperlink" Target="https://maps.google.com/?q=16.034039,-96.862213999999994" TargetMode="External"/><Relationship Id="rId3685" Type="http://schemas.openxmlformats.org/officeDocument/2006/relationships/hyperlink" Target="https://maps.google.com/?q=15.776348,-96.143564" TargetMode="External"/><Relationship Id="rId4736" Type="http://schemas.openxmlformats.org/officeDocument/2006/relationships/hyperlink" Target="https://maps.google.com/?q=17.78422840609877,-98.14705159973938" TargetMode="External"/><Relationship Id="rId13279" Type="http://schemas.openxmlformats.org/officeDocument/2006/relationships/hyperlink" Target="https://maps.google.com/?q=16.1351537638749,-96.376507412720102" TargetMode="External"/><Relationship Id="rId2287" Type="http://schemas.openxmlformats.org/officeDocument/2006/relationships/hyperlink" Target="https://maps.google.com/?q=18.0989876408776,-96.927340633372907" TargetMode="External"/><Relationship Id="rId3338" Type="http://schemas.openxmlformats.org/officeDocument/2006/relationships/hyperlink" Target="https://maps.google.com/?q=17.0678778562895,-96.812449450906399" TargetMode="External"/><Relationship Id="rId7959" Type="http://schemas.openxmlformats.org/officeDocument/2006/relationships/hyperlink" Target="https://maps.google.com/?q=15.948184,-96.553160000000005" TargetMode="External"/><Relationship Id="rId259" Type="http://schemas.openxmlformats.org/officeDocument/2006/relationships/hyperlink" Target="https://maps.google.com/?q=16.88001,-97.673090000000002" TargetMode="External"/><Relationship Id="rId9381" Type="http://schemas.openxmlformats.org/officeDocument/2006/relationships/hyperlink" Target="https://maps.google.com/?q=16.820144788803,-95.140634457557795" TargetMode="External"/><Relationship Id="rId13760" Type="http://schemas.openxmlformats.org/officeDocument/2006/relationships/hyperlink" Target="https://maps.google.com/?q=16.654744,-97.338884" TargetMode="External"/><Relationship Id="rId1370" Type="http://schemas.openxmlformats.org/officeDocument/2006/relationships/hyperlink" Target="https://maps.google.com/?q=15.994811260416,-97.424954029356" TargetMode="External"/><Relationship Id="rId9034" Type="http://schemas.openxmlformats.org/officeDocument/2006/relationships/hyperlink" Target="https://maps.google.com/?q=16.054002,-95.482403000000005" TargetMode="External"/><Relationship Id="rId12362" Type="http://schemas.openxmlformats.org/officeDocument/2006/relationships/hyperlink" Target="https://maps.google.com/?q=17.1122256272178,-96.85352123580441" TargetMode="External"/><Relationship Id="rId13413" Type="http://schemas.openxmlformats.org/officeDocument/2006/relationships/hyperlink" Target="https://maps.google.com/?q=16.3291219844494,-96.666919341104602" TargetMode="External"/><Relationship Id="rId740" Type="http://schemas.openxmlformats.org/officeDocument/2006/relationships/hyperlink" Target="https://maps.google.com/?q=15.682183471887004,-96.508571507289886" TargetMode="External"/><Relationship Id="rId1023" Type="http://schemas.openxmlformats.org/officeDocument/2006/relationships/hyperlink" Target="https://maps.google.com/?q=15.702675201366125,-96.523748672800139" TargetMode="External"/><Relationship Id="rId2421" Type="http://schemas.openxmlformats.org/officeDocument/2006/relationships/hyperlink" Target="https://maps.google.com/?q=17.05114865,-96.62460652" TargetMode="External"/><Relationship Id="rId5991" Type="http://schemas.openxmlformats.org/officeDocument/2006/relationships/hyperlink" Target="https://maps.google.com/?q=18.154983771081234,-96.577335238819785" TargetMode="External"/><Relationship Id="rId12015" Type="http://schemas.openxmlformats.org/officeDocument/2006/relationships/hyperlink" Target="https://maps.google.com/?q=16.8035500559128,-96.7207604452759" TargetMode="External"/><Relationship Id="rId4593" Type="http://schemas.openxmlformats.org/officeDocument/2006/relationships/hyperlink" Target="https://maps.google.com/?q=16.557134,-96.819225000000003" TargetMode="External"/><Relationship Id="rId5644" Type="http://schemas.openxmlformats.org/officeDocument/2006/relationships/hyperlink" Target="https://maps.google.com/?q=17.5633142671129,-96.179858125582399" TargetMode="External"/><Relationship Id="rId3195" Type="http://schemas.openxmlformats.org/officeDocument/2006/relationships/hyperlink" Target="https://maps.google.com/?q=17.036603,-97.051218000000006" TargetMode="External"/><Relationship Id="rId4246" Type="http://schemas.openxmlformats.org/officeDocument/2006/relationships/hyperlink" Target="https://maps.google.com/?q=16.0674152676386,-96.616064094230197" TargetMode="External"/><Relationship Id="rId8867" Type="http://schemas.openxmlformats.org/officeDocument/2006/relationships/hyperlink" Target="https://maps.google.com/?q=17.221625,-96.244176999999993" TargetMode="External"/><Relationship Id="rId9918" Type="http://schemas.openxmlformats.org/officeDocument/2006/relationships/hyperlink" Target="https://maps.google.com/?q=16.7072344336366,-96.712208705522499" TargetMode="External"/><Relationship Id="rId10797" Type="http://schemas.openxmlformats.org/officeDocument/2006/relationships/hyperlink" Target="https://maps.google.com/?q=16.4002137484612,-96.390738999895802" TargetMode="External"/><Relationship Id="rId7469" Type="http://schemas.openxmlformats.org/officeDocument/2006/relationships/hyperlink" Target="https://maps.google.com/?q=17.0745248175245,-96.750804103754405" TargetMode="External"/><Relationship Id="rId11848" Type="http://schemas.openxmlformats.org/officeDocument/2006/relationships/hyperlink" Target="https://maps.google.com/?q=17.6607310720783,-97.33607976322935" TargetMode="External"/><Relationship Id="rId13270" Type="http://schemas.openxmlformats.org/officeDocument/2006/relationships/hyperlink" Target="https://maps.google.com/?q=16.131515636699,-96.375815402794203" TargetMode="External"/><Relationship Id="rId1907" Type="http://schemas.openxmlformats.org/officeDocument/2006/relationships/hyperlink" Target="https://maps.google.com/?q=15.776617032018464,-96.136537567538298" TargetMode="External"/><Relationship Id="rId250" Type="http://schemas.openxmlformats.org/officeDocument/2006/relationships/hyperlink" Target="https://maps.google.com/?q=16.88459,-97.677610000000001" TargetMode="External"/><Relationship Id="rId7950" Type="http://schemas.openxmlformats.org/officeDocument/2006/relationships/hyperlink" Target="https://maps.google.com/?q=16.3109,-96.586107999999996" TargetMode="External"/><Relationship Id="rId10931" Type="http://schemas.openxmlformats.org/officeDocument/2006/relationships/hyperlink" Target="https://maps.google.com/?q=16.1939886004276,-95.2146949811045" TargetMode="External"/><Relationship Id="rId5154" Type="http://schemas.openxmlformats.org/officeDocument/2006/relationships/hyperlink" Target="https://maps.google.com/?q=17.254804,-96.154557999999994" TargetMode="External"/><Relationship Id="rId6552" Type="http://schemas.openxmlformats.org/officeDocument/2006/relationships/hyperlink" Target="https://maps.google.com/?q=17.760862,-96.879522" TargetMode="External"/><Relationship Id="rId7603" Type="http://schemas.openxmlformats.org/officeDocument/2006/relationships/hyperlink" Target="https://maps.google.com/?q=17.2290518162349,-95.054166816660597" TargetMode="External"/><Relationship Id="rId6205" Type="http://schemas.openxmlformats.org/officeDocument/2006/relationships/hyperlink" Target="https://maps.google.com/?q=16.094613,-97.080528999999999" TargetMode="External"/><Relationship Id="rId9775" Type="http://schemas.openxmlformats.org/officeDocument/2006/relationships/hyperlink" Target="https://maps.google.com/?q=17.2864342378833,-96.794079292887801" TargetMode="External"/><Relationship Id="rId12756" Type="http://schemas.openxmlformats.org/officeDocument/2006/relationships/hyperlink" Target="https://maps.google.com/?q=17.4539774378831,-97.284492560000004" TargetMode="External"/><Relationship Id="rId13807" Type="http://schemas.openxmlformats.org/officeDocument/2006/relationships/hyperlink" Target="https://maps.google.com/?q=16.996782,-97.800252" TargetMode="External"/><Relationship Id="rId1764" Type="http://schemas.openxmlformats.org/officeDocument/2006/relationships/hyperlink" Target="https://maps.google.com/?q=18.06148607,-96.852837019999996" TargetMode="External"/><Relationship Id="rId2815" Type="http://schemas.openxmlformats.org/officeDocument/2006/relationships/hyperlink" Target="https://maps.google.com/?q=16.9899025217828,-97.714574432627401" TargetMode="External"/><Relationship Id="rId8377" Type="http://schemas.openxmlformats.org/officeDocument/2006/relationships/hyperlink" Target="https://maps.google.com/?q=16.8460706703205,-97.200351693148306" TargetMode="External"/><Relationship Id="rId9428" Type="http://schemas.openxmlformats.org/officeDocument/2006/relationships/hyperlink" Target="https://maps.google.com/?q=16.7761801213346,-95.191784426242705" TargetMode="External"/><Relationship Id="rId11358" Type="http://schemas.openxmlformats.org/officeDocument/2006/relationships/hyperlink" Target="https://maps.google.com/?q=16.3803216186302,-94.194644317790903" TargetMode="External"/><Relationship Id="rId12409" Type="http://schemas.openxmlformats.org/officeDocument/2006/relationships/hyperlink" Target="https://maps.google.com/?q=16.5572375629178,-96.821349379133295" TargetMode="External"/><Relationship Id="rId1417" Type="http://schemas.openxmlformats.org/officeDocument/2006/relationships/hyperlink" Target="https://maps.google.com/?q=16.339653,-98.051551" TargetMode="External"/><Relationship Id="rId4987" Type="http://schemas.openxmlformats.org/officeDocument/2006/relationships/hyperlink" Target="https://maps.google.com/?q=17.26551,-96.561668" TargetMode="External"/><Relationship Id="rId3589" Type="http://schemas.openxmlformats.org/officeDocument/2006/relationships/hyperlink" Target="https://maps.google.com/?q=15.776497809896055,-96.136399348586778" TargetMode="External"/><Relationship Id="rId7460" Type="http://schemas.openxmlformats.org/officeDocument/2006/relationships/hyperlink" Target="https://maps.google.com/?q=16.3302013130469,-96.663800207338795" TargetMode="External"/><Relationship Id="rId8511" Type="http://schemas.openxmlformats.org/officeDocument/2006/relationships/hyperlink" Target="https://maps.google.com/?q=17.1492969012144,-97.537674078897297" TargetMode="External"/><Relationship Id="rId6062" Type="http://schemas.openxmlformats.org/officeDocument/2006/relationships/hyperlink" Target="https://maps.google.com/?q=18.159378819730854,-96.576892362243143" TargetMode="External"/><Relationship Id="rId7113" Type="http://schemas.openxmlformats.org/officeDocument/2006/relationships/hyperlink" Target="https://maps.google.com/?q=17.3515307539361,-97.637902415928096" TargetMode="External"/><Relationship Id="rId10441" Type="http://schemas.openxmlformats.org/officeDocument/2006/relationships/hyperlink" Target="https://maps.google.com/?q=17.0425192,-96.7819121" TargetMode="External"/><Relationship Id="rId9285" Type="http://schemas.openxmlformats.org/officeDocument/2006/relationships/hyperlink" Target="https://maps.google.com/?q=16.9238346646458,-95.210569792510498" TargetMode="External"/><Relationship Id="rId13664" Type="http://schemas.openxmlformats.org/officeDocument/2006/relationships/hyperlink" Target="https://maps.google.com/?q=16.792712,-95.368638" TargetMode="External"/><Relationship Id="rId991" Type="http://schemas.openxmlformats.org/officeDocument/2006/relationships/hyperlink" Target="https://maps.google.com/?q=15.69154266336971,-96.518509250476697" TargetMode="External"/><Relationship Id="rId2672" Type="http://schemas.openxmlformats.org/officeDocument/2006/relationships/hyperlink" Target="https://maps.google.com/?q=17.278522,-97.699421000000001" TargetMode="External"/><Relationship Id="rId3723" Type="http://schemas.openxmlformats.org/officeDocument/2006/relationships/hyperlink" Target="https://maps.google.com/?q=15.758558918321594,-96.141630909356863" TargetMode="External"/><Relationship Id="rId12266" Type="http://schemas.openxmlformats.org/officeDocument/2006/relationships/hyperlink" Target="https://maps.google.com/?q=16.4766556876224,-94.351039203704801" TargetMode="External"/><Relationship Id="rId13317" Type="http://schemas.openxmlformats.org/officeDocument/2006/relationships/hyperlink" Target="https://maps.google.com/?q=17.4481491495127,-98.004765889549304" TargetMode="External"/><Relationship Id="rId644" Type="http://schemas.openxmlformats.org/officeDocument/2006/relationships/hyperlink" Target="https://maps.google.com/?q=16.054601,-97.39528" TargetMode="External"/><Relationship Id="rId1274" Type="http://schemas.openxmlformats.org/officeDocument/2006/relationships/hyperlink" Target="https://maps.google.com/?q=17.058657,-96.743072999999995" TargetMode="External"/><Relationship Id="rId2325" Type="http://schemas.openxmlformats.org/officeDocument/2006/relationships/hyperlink" Target="https://maps.google.com/?q=17.054177,-97.668458999999999" TargetMode="External"/><Relationship Id="rId5895" Type="http://schemas.openxmlformats.org/officeDocument/2006/relationships/hyperlink" Target="https://maps.google.com/?q=18.145432467395263,-96.565824685410419" TargetMode="External"/><Relationship Id="rId6946" Type="http://schemas.openxmlformats.org/officeDocument/2006/relationships/hyperlink" Target="https://maps.google.com/?q=16.320857,-95.256491199999999" TargetMode="External"/><Relationship Id="rId4497" Type="http://schemas.openxmlformats.org/officeDocument/2006/relationships/hyperlink" Target="https://maps.google.com/?q=17.1779559066775,-97.305768836805299" TargetMode="External"/><Relationship Id="rId5548" Type="http://schemas.openxmlformats.org/officeDocument/2006/relationships/hyperlink" Target="https://maps.google.com/?q=17.2931678928315,-97.369115101852401" TargetMode="External"/><Relationship Id="rId12400" Type="http://schemas.openxmlformats.org/officeDocument/2006/relationships/hyperlink" Target="https://maps.google.com/?q=16.5565878584005,-96.821245550925994" TargetMode="External"/><Relationship Id="rId3099" Type="http://schemas.openxmlformats.org/officeDocument/2006/relationships/hyperlink" Target="https://maps.google.com/?q=17.30375169,-97.484286609999998" TargetMode="External"/><Relationship Id="rId8021" Type="http://schemas.openxmlformats.org/officeDocument/2006/relationships/hyperlink" Target="https://maps.google.com/?q=18.1601446352868,-96.883025382617404" TargetMode="External"/><Relationship Id="rId11002" Type="http://schemas.openxmlformats.org/officeDocument/2006/relationships/hyperlink" Target="https://maps.google.com/?q=17.156352,-97.194743000000003" TargetMode="External"/><Relationship Id="rId3580" Type="http://schemas.openxmlformats.org/officeDocument/2006/relationships/hyperlink" Target="https://maps.google.com/?q=15.77602927151034,-96.136480538647177" TargetMode="External"/><Relationship Id="rId13174" Type="http://schemas.openxmlformats.org/officeDocument/2006/relationships/hyperlink" Target="https://maps.google.com/?q=16.5693951949359,-97.0121465276127" TargetMode="External"/><Relationship Id="rId2182" Type="http://schemas.openxmlformats.org/officeDocument/2006/relationships/hyperlink" Target="https://maps.google.com/?q=16.9976426148174,-97.233905084540893" TargetMode="External"/><Relationship Id="rId3233" Type="http://schemas.openxmlformats.org/officeDocument/2006/relationships/hyperlink" Target="https://maps.google.com/?q=17.9352731605677,-96.208778816841701" TargetMode="External"/><Relationship Id="rId4631" Type="http://schemas.openxmlformats.org/officeDocument/2006/relationships/hyperlink" Target="https://maps.google.com/?q=16.99150316516188,-96.78287265502478" TargetMode="External"/><Relationship Id="rId154" Type="http://schemas.openxmlformats.org/officeDocument/2006/relationships/hyperlink" Target="https://maps.google.com/?q=17.091851,-97.493825999999999" TargetMode="External"/><Relationship Id="rId7854" Type="http://schemas.openxmlformats.org/officeDocument/2006/relationships/hyperlink" Target="https://maps.google.com/?q=16.3133085963429,-96.415462020831995" TargetMode="External"/><Relationship Id="rId8905" Type="http://schemas.openxmlformats.org/officeDocument/2006/relationships/hyperlink" Target="https://maps.google.com/?q=17.380038154,-96.163170425999994" TargetMode="External"/><Relationship Id="rId10835" Type="http://schemas.openxmlformats.org/officeDocument/2006/relationships/hyperlink" Target="https://maps.google.com/?q=16.4006763720111,-94.461873720237705" TargetMode="External"/><Relationship Id="rId6456" Type="http://schemas.openxmlformats.org/officeDocument/2006/relationships/hyperlink" Target="https://maps.google.com/?q=16.375156,-97.284300000000002" TargetMode="External"/><Relationship Id="rId7507" Type="http://schemas.openxmlformats.org/officeDocument/2006/relationships/hyperlink" Target="https://maps.google.com/?q=17.34460574,-97.37003172" TargetMode="External"/><Relationship Id="rId5058" Type="http://schemas.openxmlformats.org/officeDocument/2006/relationships/hyperlink" Target="https://maps.google.com/?q=17.251999,-96.152833999999999" TargetMode="External"/><Relationship Id="rId6109" Type="http://schemas.openxmlformats.org/officeDocument/2006/relationships/hyperlink" Target="https://maps.google.com/?q=17.975648,-96.707228000000001" TargetMode="External"/><Relationship Id="rId9679" Type="http://schemas.openxmlformats.org/officeDocument/2006/relationships/hyperlink" Target="https://maps.google.com/?q=16.4687874868035,-96.650136865393804" TargetMode="External"/><Relationship Id="rId1668" Type="http://schemas.openxmlformats.org/officeDocument/2006/relationships/hyperlink" Target="https://maps.google.com/?q=18.0468122064888,-96.893767720767599" TargetMode="External"/><Relationship Id="rId2719" Type="http://schemas.openxmlformats.org/officeDocument/2006/relationships/hyperlink" Target="https://maps.google.com/?q=15.902615,-96.473059000000006" TargetMode="External"/><Relationship Id="rId14082" Type="http://schemas.openxmlformats.org/officeDocument/2006/relationships/hyperlink" Target="https://maps.google.com/?q=16.1294961,-95.85573666" TargetMode="External"/><Relationship Id="rId3090" Type="http://schemas.openxmlformats.org/officeDocument/2006/relationships/hyperlink" Target="https://maps.google.com/?q=16.5672542244474,-97.0112258931848" TargetMode="External"/><Relationship Id="rId4141" Type="http://schemas.openxmlformats.org/officeDocument/2006/relationships/hyperlink" Target="https://maps.google.com/?q=16.42633405,-98.189590800000005" TargetMode="External"/><Relationship Id="rId7364" Type="http://schemas.openxmlformats.org/officeDocument/2006/relationships/hyperlink" Target="https://maps.google.com/?q=16.567782,-97.651000999999994" TargetMode="External"/><Relationship Id="rId8762" Type="http://schemas.openxmlformats.org/officeDocument/2006/relationships/hyperlink" Target="https://maps.google.com/?q=17.203958,-96.253628000000006" TargetMode="External"/><Relationship Id="rId9813" Type="http://schemas.openxmlformats.org/officeDocument/2006/relationships/hyperlink" Target="https://maps.google.com/?q=16.6444293824353,-96.750380108954801" TargetMode="External"/><Relationship Id="rId10692" Type="http://schemas.openxmlformats.org/officeDocument/2006/relationships/hyperlink" Target="https://maps.google.com/?q=16.16534918730759,-97.19358752287339" TargetMode="External"/><Relationship Id="rId11743" Type="http://schemas.openxmlformats.org/officeDocument/2006/relationships/hyperlink" Target="https://maps.google.com/?q=17.18928838,-97.712572620000003" TargetMode="External"/><Relationship Id="rId27" Type="http://schemas.openxmlformats.org/officeDocument/2006/relationships/hyperlink" Target="https://maps.google.com/?q=17.222642,-97.118487000000002" TargetMode="External"/><Relationship Id="rId1802" Type="http://schemas.openxmlformats.org/officeDocument/2006/relationships/hyperlink" Target="https://maps.google.com/?q=18.0680341426862,-96.900248994418106" TargetMode="External"/><Relationship Id="rId7017" Type="http://schemas.openxmlformats.org/officeDocument/2006/relationships/hyperlink" Target="https://maps.google.com/?q=17.0413482187385,-97.302228441043894" TargetMode="External"/><Relationship Id="rId8415" Type="http://schemas.openxmlformats.org/officeDocument/2006/relationships/hyperlink" Target="https://maps.google.com/?q=16.090580812049,-96.244367034393207" TargetMode="External"/><Relationship Id="rId10345" Type="http://schemas.openxmlformats.org/officeDocument/2006/relationships/hyperlink" Target="https://maps.google.com/?q=17.4334291690654,-96.659103251408098" TargetMode="External"/><Relationship Id="rId3974" Type="http://schemas.openxmlformats.org/officeDocument/2006/relationships/hyperlink" Target="https://maps.google.com/?q=17.062009,-96.757019999999997" TargetMode="External"/><Relationship Id="rId13568" Type="http://schemas.openxmlformats.org/officeDocument/2006/relationships/hyperlink" Target="https://maps.google.com/?q=16.962290793070824,-97.25804180195611" TargetMode="External"/><Relationship Id="rId895" Type="http://schemas.openxmlformats.org/officeDocument/2006/relationships/hyperlink" Target="https://maps.google.com/?q=16.88644,-97.67841" TargetMode="External"/><Relationship Id="rId2576" Type="http://schemas.openxmlformats.org/officeDocument/2006/relationships/hyperlink" Target="https://maps.google.com/?q=17.778653,-96.301168000000004" TargetMode="External"/><Relationship Id="rId3627" Type="http://schemas.openxmlformats.org/officeDocument/2006/relationships/hyperlink" Target="https://maps.google.com/?q=15.777219592725107,-96.137032722725692" TargetMode="External"/><Relationship Id="rId9189" Type="http://schemas.openxmlformats.org/officeDocument/2006/relationships/hyperlink" Target="https://maps.google.com/?q=17.3742189839294,-96.2995783310717" TargetMode="External"/><Relationship Id="rId548" Type="http://schemas.openxmlformats.org/officeDocument/2006/relationships/hyperlink" Target="https://maps.google.com/?q=16.053555,-97.404110000000003" TargetMode="External"/><Relationship Id="rId1178" Type="http://schemas.openxmlformats.org/officeDocument/2006/relationships/hyperlink" Target="https://maps.google.com/?q=17.826105,-97.805006" TargetMode="External"/><Relationship Id="rId2229" Type="http://schemas.openxmlformats.org/officeDocument/2006/relationships/hyperlink" Target="https://maps.google.com/?q=17.4093223210901,-97.091158679530906" TargetMode="External"/><Relationship Id="rId5799" Type="http://schemas.openxmlformats.org/officeDocument/2006/relationships/hyperlink" Target="https://maps.google.com/?q=17.307597538346,-97.494097710272399" TargetMode="External"/><Relationship Id="rId6100" Type="http://schemas.openxmlformats.org/officeDocument/2006/relationships/hyperlink" Target="https://maps.google.com/?q=17.980677,-96.702348000000001" TargetMode="External"/><Relationship Id="rId9670" Type="http://schemas.openxmlformats.org/officeDocument/2006/relationships/hyperlink" Target="https://maps.google.com/?q=16.4643431456786,-96.645228666982902" TargetMode="External"/><Relationship Id="rId8272" Type="http://schemas.openxmlformats.org/officeDocument/2006/relationships/hyperlink" Target="https://maps.google.com/?q=17.027365,-96.760383000000004" TargetMode="External"/><Relationship Id="rId9323" Type="http://schemas.openxmlformats.org/officeDocument/2006/relationships/hyperlink" Target="https://maps.google.com/?q=16.816389661908,-95.133608443361993" TargetMode="External"/><Relationship Id="rId12651" Type="http://schemas.openxmlformats.org/officeDocument/2006/relationships/hyperlink" Target="https://maps.google.com/?q=16.9986634549702,-97.900610455387806" TargetMode="External"/><Relationship Id="rId13702" Type="http://schemas.openxmlformats.org/officeDocument/2006/relationships/hyperlink" Target="https://maps.google.com/?q=17.001259,-96.603601" TargetMode="External"/><Relationship Id="rId1312" Type="http://schemas.openxmlformats.org/officeDocument/2006/relationships/hyperlink" Target="https://maps.google.com/?q=17.082948,-96.727685" TargetMode="External"/><Relationship Id="rId2710" Type="http://schemas.openxmlformats.org/officeDocument/2006/relationships/hyperlink" Target="https://maps.google.com/?q=15.907556,-96.423917000000003" TargetMode="External"/><Relationship Id="rId11253" Type="http://schemas.openxmlformats.org/officeDocument/2006/relationships/hyperlink" Target="https://maps.google.com/?q=17.8646174290683,-96.308160327037598" TargetMode="External"/><Relationship Id="rId12304" Type="http://schemas.openxmlformats.org/officeDocument/2006/relationships/hyperlink" Target="https://maps.google.com/?q=18.136112215085088,-96.80577608465575" TargetMode="External"/><Relationship Id="rId4882" Type="http://schemas.openxmlformats.org/officeDocument/2006/relationships/hyperlink" Target="https://maps.google.com/?q=16.7945429838397,-96.390238064344004" TargetMode="External"/><Relationship Id="rId5933" Type="http://schemas.openxmlformats.org/officeDocument/2006/relationships/hyperlink" Target="https://maps.google.com/?q=18.15348250463334,-96.573054942809051" TargetMode="External"/><Relationship Id="rId2086" Type="http://schemas.openxmlformats.org/officeDocument/2006/relationships/hyperlink" Target="https://maps.google.com/?q=15.77407898827064,-96.237047150132184" TargetMode="External"/><Relationship Id="rId3484" Type="http://schemas.openxmlformats.org/officeDocument/2006/relationships/hyperlink" Target="https://maps.google.com/?q=16.74813,-97.260816000000005" TargetMode="External"/><Relationship Id="rId4535" Type="http://schemas.openxmlformats.org/officeDocument/2006/relationships/hyperlink" Target="https://maps.google.com/?q=17.1833130958104,-97.302465218419997" TargetMode="External"/><Relationship Id="rId13078" Type="http://schemas.openxmlformats.org/officeDocument/2006/relationships/hyperlink" Target="https://maps.google.com/?q=16.564101,-97.529640299999997" TargetMode="External"/><Relationship Id="rId14129" Type="http://schemas.openxmlformats.org/officeDocument/2006/relationships/hyperlink" Target="https://maps.google.com/?q=16.985327714069747,-97.57954963365083" TargetMode="External"/><Relationship Id="rId3137" Type="http://schemas.openxmlformats.org/officeDocument/2006/relationships/hyperlink" Target="https://maps.google.com/?q=16.58525,-97.442914999999999" TargetMode="External"/><Relationship Id="rId7758" Type="http://schemas.openxmlformats.org/officeDocument/2006/relationships/hyperlink" Target="https://maps.google.com/?q=16.070409,-96.303141999999994" TargetMode="External"/><Relationship Id="rId8809" Type="http://schemas.openxmlformats.org/officeDocument/2006/relationships/hyperlink" Target="https://maps.google.com/?q=17.215726,-96.248642000000004" TargetMode="External"/><Relationship Id="rId10739" Type="http://schemas.openxmlformats.org/officeDocument/2006/relationships/hyperlink" Target="https://maps.google.com/?q=16.42701,-95.031840" TargetMode="External"/><Relationship Id="rId9180" Type="http://schemas.openxmlformats.org/officeDocument/2006/relationships/hyperlink" Target="https://maps.google.com/?q=17.3739083105961,-96.300147681369396" TargetMode="External"/><Relationship Id="rId12161" Type="http://schemas.openxmlformats.org/officeDocument/2006/relationships/hyperlink" Target="https://maps.google.com/?q=17.4150003935161,-95.945602491989703" TargetMode="External"/><Relationship Id="rId13212" Type="http://schemas.openxmlformats.org/officeDocument/2006/relationships/hyperlink" Target="https://maps.google.com/?q=17.3417713071162,-97.379474700636493" TargetMode="External"/><Relationship Id="rId2220" Type="http://schemas.openxmlformats.org/officeDocument/2006/relationships/hyperlink" Target="https://maps.google.com/?q=16.9954737067878,-97.251348590791295" TargetMode="External"/><Relationship Id="rId5790" Type="http://schemas.openxmlformats.org/officeDocument/2006/relationships/hyperlink" Target="https://maps.google.com/?q=17.3052015189556,-97.483216701887102" TargetMode="External"/><Relationship Id="rId4392" Type="http://schemas.openxmlformats.org/officeDocument/2006/relationships/hyperlink" Target="https://maps.google.com/?q=16.00004517,-96.686296659999996" TargetMode="External"/><Relationship Id="rId5443" Type="http://schemas.openxmlformats.org/officeDocument/2006/relationships/hyperlink" Target="https://maps.google.com/?q=16.0070439325035,-97.431302653372896" TargetMode="External"/><Relationship Id="rId6841" Type="http://schemas.openxmlformats.org/officeDocument/2006/relationships/hyperlink" Target="https://maps.google.com/?q=17.007569,-96.976490999999996" TargetMode="External"/><Relationship Id="rId4045" Type="http://schemas.openxmlformats.org/officeDocument/2006/relationships/hyperlink" Target="https://maps.google.com/?q=17.080154,-96.726937000000007" TargetMode="External"/><Relationship Id="rId11994" Type="http://schemas.openxmlformats.org/officeDocument/2006/relationships/hyperlink" Target="https://maps.google.com/?q=16.8014400093824,-96.723357078343" TargetMode="External"/><Relationship Id="rId8666" Type="http://schemas.openxmlformats.org/officeDocument/2006/relationships/hyperlink" Target="https://maps.google.com/?q=16.2763783320359,-96.301354266023296" TargetMode="External"/><Relationship Id="rId9717" Type="http://schemas.openxmlformats.org/officeDocument/2006/relationships/hyperlink" Target="https://maps.google.com/?q=16.4383465576967,-95.028562728835993" TargetMode="External"/><Relationship Id="rId10596" Type="http://schemas.openxmlformats.org/officeDocument/2006/relationships/hyperlink" Target="https://maps.google.com/?q=17.0821638706221,-97.766961201223396" TargetMode="External"/><Relationship Id="rId11647" Type="http://schemas.openxmlformats.org/officeDocument/2006/relationships/hyperlink" Target="https://maps.google.com/?q=17.17344625,-97.711890289999999" TargetMode="External"/><Relationship Id="rId1706" Type="http://schemas.openxmlformats.org/officeDocument/2006/relationships/hyperlink" Target="https://maps.google.com/?q=18.073984739043,-96.896440385335495" TargetMode="External"/><Relationship Id="rId7268" Type="http://schemas.openxmlformats.org/officeDocument/2006/relationships/hyperlink" Target="https://maps.google.com/?q=16.3011181625521,-97.909640486627595" TargetMode="External"/><Relationship Id="rId8319" Type="http://schemas.openxmlformats.org/officeDocument/2006/relationships/hyperlink" Target="https://maps.google.com/?q=16.539969,-98.033276999999998" TargetMode="External"/><Relationship Id="rId10249" Type="http://schemas.openxmlformats.org/officeDocument/2006/relationships/hyperlink" Target="https://maps.google.com/?q=16.23956144445,-95.154310381359196" TargetMode="External"/><Relationship Id="rId14120" Type="http://schemas.openxmlformats.org/officeDocument/2006/relationships/hyperlink" Target="https://maps.google.com/?q=16.30031214,-95.72629746" TargetMode="External"/><Relationship Id="rId3878" Type="http://schemas.openxmlformats.org/officeDocument/2006/relationships/hyperlink" Target="https://maps.google.com/?q=17.105711129472,-95.930975312883902" TargetMode="External"/><Relationship Id="rId4929" Type="http://schemas.openxmlformats.org/officeDocument/2006/relationships/hyperlink" Target="https://maps.google.com/?q=18.032799,-96.669940999999994" TargetMode="External"/><Relationship Id="rId8800" Type="http://schemas.openxmlformats.org/officeDocument/2006/relationships/hyperlink" Target="https://maps.google.com/?q=17.213941,-96.248983999999993" TargetMode="External"/><Relationship Id="rId799" Type="http://schemas.openxmlformats.org/officeDocument/2006/relationships/hyperlink" Target="https://maps.google.com/?q=15.692488583610325,-96.521201050025638" TargetMode="External"/><Relationship Id="rId6351" Type="http://schemas.openxmlformats.org/officeDocument/2006/relationships/hyperlink" Target="https://maps.google.com/?q=18.06335,-96.396286000000003" TargetMode="External"/><Relationship Id="rId7402" Type="http://schemas.openxmlformats.org/officeDocument/2006/relationships/hyperlink" Target="https://maps.google.com/?q=17.078215,-97.001170999999999" TargetMode="External"/><Relationship Id="rId10730" Type="http://schemas.openxmlformats.org/officeDocument/2006/relationships/hyperlink" Target="https://maps.google.com/?q=17.057479,-96.7158859" TargetMode="External"/><Relationship Id="rId6004" Type="http://schemas.openxmlformats.org/officeDocument/2006/relationships/hyperlink" Target="https://maps.google.com/?q=18.155215338050496,-96.575801148141522" TargetMode="External"/><Relationship Id="rId9574" Type="http://schemas.openxmlformats.org/officeDocument/2006/relationships/hyperlink" Target="https://maps.google.com/?q=16.226224,-97.140867" TargetMode="External"/><Relationship Id="rId13953" Type="http://schemas.openxmlformats.org/officeDocument/2006/relationships/hyperlink" Target="https://maps.google.com/?q=17.076339,-98.051649" TargetMode="External"/><Relationship Id="rId2961" Type="http://schemas.openxmlformats.org/officeDocument/2006/relationships/hyperlink" Target="https://maps.google.com/?q=16.5108493916694,-96.981186512897594" TargetMode="External"/><Relationship Id="rId8176" Type="http://schemas.openxmlformats.org/officeDocument/2006/relationships/hyperlink" Target="https://maps.google.com/?q=17.959622538111,-96.159222799208294" TargetMode="External"/><Relationship Id="rId9227" Type="http://schemas.openxmlformats.org/officeDocument/2006/relationships/hyperlink" Target="https://maps.google.com/?q=17.3757717541507,-96.3021037593914" TargetMode="External"/><Relationship Id="rId12555" Type="http://schemas.openxmlformats.org/officeDocument/2006/relationships/hyperlink" Target="https://maps.google.com/?q=18.092828622831924,-96.14605768017499" TargetMode="External"/><Relationship Id="rId13606" Type="http://schemas.openxmlformats.org/officeDocument/2006/relationships/hyperlink" Target="https://maps.google.com/?q=18.102124,-96.797461" TargetMode="External"/><Relationship Id="rId933" Type="http://schemas.openxmlformats.org/officeDocument/2006/relationships/hyperlink" Target="https://maps.google.com/?q=15.682425594190722,-96.509560492632517" TargetMode="External"/><Relationship Id="rId1563" Type="http://schemas.openxmlformats.org/officeDocument/2006/relationships/hyperlink" Target="https://maps.google.com/?q=16.9578416646609,-97.455746434358602" TargetMode="External"/><Relationship Id="rId2614" Type="http://schemas.openxmlformats.org/officeDocument/2006/relationships/hyperlink" Target="https://maps.google.com/?q=18.229863,-96.281864999999996" TargetMode="External"/><Relationship Id="rId11157" Type="http://schemas.openxmlformats.org/officeDocument/2006/relationships/hyperlink" Target="https://maps.google.com/?q=16.841076,-96.009141999999997" TargetMode="External"/><Relationship Id="rId12208" Type="http://schemas.openxmlformats.org/officeDocument/2006/relationships/hyperlink" Target="https://maps.google.com/?q=17.4181635876224,-95.950107679622803" TargetMode="External"/><Relationship Id="rId1216" Type="http://schemas.openxmlformats.org/officeDocument/2006/relationships/hyperlink" Target="https://maps.google.com/?q=18.15988,-96.71680600" TargetMode="External"/><Relationship Id="rId4786" Type="http://schemas.openxmlformats.org/officeDocument/2006/relationships/hyperlink" Target="https://maps.google.com/?q=17.958049190822,-96.659236451204706" TargetMode="External"/><Relationship Id="rId5837" Type="http://schemas.openxmlformats.org/officeDocument/2006/relationships/hyperlink" Target="https://maps.google.com/?q=16.1100926131734,-97.596538389603097" TargetMode="External"/><Relationship Id="rId3388" Type="http://schemas.openxmlformats.org/officeDocument/2006/relationships/hyperlink" Target="https://maps.google.com/?q=16.391832,-96.847296" TargetMode="External"/><Relationship Id="rId4439" Type="http://schemas.openxmlformats.org/officeDocument/2006/relationships/hyperlink" Target="https://maps.google.com/?q=16.5675141443069,-96.698032393848095" TargetMode="External"/><Relationship Id="rId8310" Type="http://schemas.openxmlformats.org/officeDocument/2006/relationships/hyperlink" Target="https://maps.google.com/?q=16.538896,-98.030241000000004" TargetMode="External"/><Relationship Id="rId10240" Type="http://schemas.openxmlformats.org/officeDocument/2006/relationships/hyperlink" Target="https://maps.google.com/?q=17.287001098806073,-97.30349153724063" TargetMode="External"/><Relationship Id="rId790" Type="http://schemas.openxmlformats.org/officeDocument/2006/relationships/hyperlink" Target="https://maps.google.com/?q=15.691778421816023,-96.520016155161187" TargetMode="External"/><Relationship Id="rId2471" Type="http://schemas.openxmlformats.org/officeDocument/2006/relationships/hyperlink" Target="https://maps.google.com/?q=17.05178741,-96.62372963" TargetMode="External"/><Relationship Id="rId3522" Type="http://schemas.openxmlformats.org/officeDocument/2006/relationships/hyperlink" Target="https://maps.google.com/?q=15.763861,-96.150631" TargetMode="External"/><Relationship Id="rId4920" Type="http://schemas.openxmlformats.org/officeDocument/2006/relationships/hyperlink" Target="https://maps.google.com/?q=18.032245,-96.670908999999995" TargetMode="External"/><Relationship Id="rId9084" Type="http://schemas.openxmlformats.org/officeDocument/2006/relationships/hyperlink" Target="https://maps.google.com/?q=16.063294,-95.499932000000001" TargetMode="External"/><Relationship Id="rId12065" Type="http://schemas.openxmlformats.org/officeDocument/2006/relationships/hyperlink" Target="https://maps.google.com/?q=16.3166629,-95.237011559999999" TargetMode="External"/><Relationship Id="rId13116" Type="http://schemas.openxmlformats.org/officeDocument/2006/relationships/hyperlink" Target="https://maps.google.com/?q=16.56633944,-97.532206400000007" TargetMode="External"/><Relationship Id="rId13463" Type="http://schemas.openxmlformats.org/officeDocument/2006/relationships/hyperlink" Target="https://maps.google.com/?q=17.687102783536,-97.0390445423279" TargetMode="External"/><Relationship Id="rId443" Type="http://schemas.openxmlformats.org/officeDocument/2006/relationships/hyperlink" Target="https://maps.google.com/?q=16.053403,-97.410289000000006" TargetMode="External"/><Relationship Id="rId1073" Type="http://schemas.openxmlformats.org/officeDocument/2006/relationships/hyperlink" Target="https://maps.google.com/?q=17.094176,-97.499948000000003" TargetMode="External"/><Relationship Id="rId2124" Type="http://schemas.openxmlformats.org/officeDocument/2006/relationships/hyperlink" Target="https://maps.google.com/?q=15.76217,-96.142904999999999" TargetMode="External"/><Relationship Id="rId4296" Type="http://schemas.openxmlformats.org/officeDocument/2006/relationships/hyperlink" Target="https://maps.google.com/?q=16.0087415378733,-96.570944168004701" TargetMode="External"/><Relationship Id="rId5694" Type="http://schemas.openxmlformats.org/officeDocument/2006/relationships/hyperlink" Target="https://maps.google.com/?q=17.9424914627891,-97.972338413161694" TargetMode="External"/><Relationship Id="rId6745" Type="http://schemas.openxmlformats.org/officeDocument/2006/relationships/hyperlink" Target="https://maps.google.com/?q=15.854947431,-96.649651988000002" TargetMode="External"/><Relationship Id="rId5347" Type="http://schemas.openxmlformats.org/officeDocument/2006/relationships/hyperlink" Target="https://maps.google.com/?q=16.5224081460028,-97.164337586300206" TargetMode="External"/><Relationship Id="rId9968" Type="http://schemas.openxmlformats.org/officeDocument/2006/relationships/hyperlink" Target="https://maps.google.com/?q=16.534311,-97.975518" TargetMode="External"/><Relationship Id="rId11898" Type="http://schemas.openxmlformats.org/officeDocument/2006/relationships/hyperlink" Target="https://maps.google.com/?q=18.050374853089675,-97.827973583992" TargetMode="External"/><Relationship Id="rId12949" Type="http://schemas.openxmlformats.org/officeDocument/2006/relationships/hyperlink" Target="https://maps.google.com/?q=16.547574,-97.505002000000005" TargetMode="External"/><Relationship Id="rId1957" Type="http://schemas.openxmlformats.org/officeDocument/2006/relationships/hyperlink" Target="https://maps.google.com/?q=15.778981579900377,-96.137791391371252" TargetMode="External"/><Relationship Id="rId4430" Type="http://schemas.openxmlformats.org/officeDocument/2006/relationships/hyperlink" Target="https://maps.google.com/?q=17.2698915620939,-97.534694530342605" TargetMode="External"/><Relationship Id="rId14024" Type="http://schemas.openxmlformats.org/officeDocument/2006/relationships/hyperlink" Target="https://maps.google.com/?q=17.06840657,-96.719610591" TargetMode="External"/><Relationship Id="rId3032" Type="http://schemas.openxmlformats.org/officeDocument/2006/relationships/hyperlink" Target="https://maps.google.com/?q=16.93963,-97.009587999999994" TargetMode="External"/><Relationship Id="rId7653" Type="http://schemas.openxmlformats.org/officeDocument/2006/relationships/hyperlink" Target="https://maps.google.com/?q=17.2319845934045,-95.054802702565595" TargetMode="External"/><Relationship Id="rId10981" Type="http://schemas.openxmlformats.org/officeDocument/2006/relationships/hyperlink" Target="https://maps.google.com/?q=16.2227154456564,-95.212034846643704" TargetMode="External"/><Relationship Id="rId6255" Type="http://schemas.openxmlformats.org/officeDocument/2006/relationships/hyperlink" Target="https://maps.google.com/?q=16.3804742930504,-96.735229058859105" TargetMode="External"/><Relationship Id="rId7306" Type="http://schemas.openxmlformats.org/officeDocument/2006/relationships/hyperlink" Target="https://maps.google.com/?q=16.71986642,-96.467828609999998" TargetMode="External"/><Relationship Id="rId8704" Type="http://schemas.openxmlformats.org/officeDocument/2006/relationships/hyperlink" Target="https://maps.google.com/?q=16.1521005425274,-96.604042278657701" TargetMode="External"/><Relationship Id="rId10634" Type="http://schemas.openxmlformats.org/officeDocument/2006/relationships/hyperlink" Target="https://maps.google.com/?q=17.1193281859471,-97.784023340000005" TargetMode="External"/><Relationship Id="rId13857" Type="http://schemas.openxmlformats.org/officeDocument/2006/relationships/hyperlink" Target="https://maps.google.com/?q=16.2583309945235,-96.574782152288194" TargetMode="External"/><Relationship Id="rId2865" Type="http://schemas.openxmlformats.org/officeDocument/2006/relationships/hyperlink" Target="https://maps.google.com/?q=16.9830309096715,-97.675810950789199" TargetMode="External"/><Relationship Id="rId3916" Type="http://schemas.openxmlformats.org/officeDocument/2006/relationships/hyperlink" Target="https://maps.google.com/?q=16.33966612300298,-95.2256497629547" TargetMode="External"/><Relationship Id="rId9478" Type="http://schemas.openxmlformats.org/officeDocument/2006/relationships/hyperlink" Target="https://maps.google.com/?q=16.95558,-96.479206000000005" TargetMode="External"/><Relationship Id="rId12459" Type="http://schemas.openxmlformats.org/officeDocument/2006/relationships/hyperlink" Target="https://maps.google.com/?q=17.2213990776382,-97.271480192625006" TargetMode="External"/><Relationship Id="rId837" Type="http://schemas.openxmlformats.org/officeDocument/2006/relationships/hyperlink" Target="https://maps.google.com/?q=15.703153068394593,-96.523769373576854" TargetMode="External"/><Relationship Id="rId1467" Type="http://schemas.openxmlformats.org/officeDocument/2006/relationships/hyperlink" Target="https://maps.google.com/?q=17.04944,-96.70957" TargetMode="External"/><Relationship Id="rId2518" Type="http://schemas.openxmlformats.org/officeDocument/2006/relationships/hyperlink" Target="https://maps.google.com/?q=17.05219924,-96.624418480000003" TargetMode="External"/><Relationship Id="rId8561" Type="http://schemas.openxmlformats.org/officeDocument/2006/relationships/hyperlink" Target="https://maps.google.com/?q=16.9267818896053,-96.602204122684498" TargetMode="External"/><Relationship Id="rId9612" Type="http://schemas.openxmlformats.org/officeDocument/2006/relationships/hyperlink" Target="https://maps.google.com/?q=17.9979545235833,-96.744195103659095" TargetMode="External"/><Relationship Id="rId10491" Type="http://schemas.openxmlformats.org/officeDocument/2006/relationships/hyperlink" Target="https://maps.google.com/?q=17.8451141626461,-96.748674700094099" TargetMode="External"/><Relationship Id="rId12940" Type="http://schemas.openxmlformats.org/officeDocument/2006/relationships/hyperlink" Target="https://maps.google.com/?q=16.54514,-97.544872999999995" TargetMode="External"/><Relationship Id="rId1601" Type="http://schemas.openxmlformats.org/officeDocument/2006/relationships/hyperlink" Target="https://maps.google.com/?q=17.759567,-96.079023000000007" TargetMode="External"/><Relationship Id="rId7163" Type="http://schemas.openxmlformats.org/officeDocument/2006/relationships/hyperlink" Target="https://maps.google.com/?q=16.2041848111427,-97.930381415453894" TargetMode="External"/><Relationship Id="rId8214" Type="http://schemas.openxmlformats.org/officeDocument/2006/relationships/hyperlink" Target="https://maps.google.com/?q=16.373156,-97.678166000000004" TargetMode="External"/><Relationship Id="rId10144" Type="http://schemas.openxmlformats.org/officeDocument/2006/relationships/hyperlink" Target="https://maps.google.com/?q=17.1176919589489,-97.497303917671204" TargetMode="External"/><Relationship Id="rId11542" Type="http://schemas.openxmlformats.org/officeDocument/2006/relationships/hyperlink" Target="https://maps.google.com/?q=16.8282013879472,-96.706584934096199" TargetMode="External"/><Relationship Id="rId694" Type="http://schemas.openxmlformats.org/officeDocument/2006/relationships/hyperlink" Target="https://maps.google.com/?q=16.059289,-97.388876999999994" TargetMode="External"/><Relationship Id="rId2375" Type="http://schemas.openxmlformats.org/officeDocument/2006/relationships/hyperlink" Target="https://maps.google.com/?q=17.1705078182395,-97.829974787748299" TargetMode="External"/><Relationship Id="rId3773" Type="http://schemas.openxmlformats.org/officeDocument/2006/relationships/hyperlink" Target="https://maps.google.com/?q=15.763525,-96.142960000000002" TargetMode="External"/><Relationship Id="rId4824" Type="http://schemas.openxmlformats.org/officeDocument/2006/relationships/hyperlink" Target="https://maps.google.com/?q=16.9097129738624,-96.502607336806193" TargetMode="External"/><Relationship Id="rId13367" Type="http://schemas.openxmlformats.org/officeDocument/2006/relationships/hyperlink" Target="https://maps.google.com/?q=16.3218315653168,-96.670078976686597" TargetMode="External"/><Relationship Id="rId347" Type="http://schemas.openxmlformats.org/officeDocument/2006/relationships/hyperlink" Target="https://maps.google.com/?q=16.053514,-97.404672000000005" TargetMode="External"/><Relationship Id="rId2028" Type="http://schemas.openxmlformats.org/officeDocument/2006/relationships/hyperlink" Target="https://maps.google.com/?q=15.758481968663094,-96.142648459283748" TargetMode="External"/><Relationship Id="rId3426" Type="http://schemas.openxmlformats.org/officeDocument/2006/relationships/hyperlink" Target="https://maps.google.com/?q=17.0661676119664,-96.973254770681393" TargetMode="External"/><Relationship Id="rId6996" Type="http://schemas.openxmlformats.org/officeDocument/2006/relationships/hyperlink" Target="https://maps.google.com/?q=17.0375664292511,-97.296652206702703" TargetMode="External"/><Relationship Id="rId5598" Type="http://schemas.openxmlformats.org/officeDocument/2006/relationships/hyperlink" Target="https://maps.google.com/?q=17.4598316796374,-96.230938554661094" TargetMode="External"/><Relationship Id="rId6649" Type="http://schemas.openxmlformats.org/officeDocument/2006/relationships/hyperlink" Target="https://maps.google.com/?q=17.753301,-96.199411999999995" TargetMode="External"/><Relationship Id="rId12450" Type="http://schemas.openxmlformats.org/officeDocument/2006/relationships/hyperlink" Target="https://maps.google.com/?q=17.2210535304285,-97.271262129627004" TargetMode="External"/><Relationship Id="rId13501" Type="http://schemas.openxmlformats.org/officeDocument/2006/relationships/hyperlink" Target="https://maps.google.com/?q=16.6616125529675,-97.346362542327896" TargetMode="External"/><Relationship Id="rId8071" Type="http://schemas.openxmlformats.org/officeDocument/2006/relationships/hyperlink" Target="https://maps.google.com/?q=16.4983230408074,-97.373414229999995" TargetMode="External"/><Relationship Id="rId9122" Type="http://schemas.openxmlformats.org/officeDocument/2006/relationships/hyperlink" Target="https://maps.google.com/?q=17.041216,-96.727798000000007" TargetMode="External"/><Relationship Id="rId11052" Type="http://schemas.openxmlformats.org/officeDocument/2006/relationships/hyperlink" Target="https://maps.google.com/?q=17.2774697450773,-97.370597508224407" TargetMode="External"/><Relationship Id="rId12103" Type="http://schemas.openxmlformats.org/officeDocument/2006/relationships/hyperlink" Target="https://maps.google.com/?q=16.3173303566873,-97.664496498182402" TargetMode="External"/><Relationship Id="rId1111" Type="http://schemas.openxmlformats.org/officeDocument/2006/relationships/hyperlink" Target="https://maps.google.com/?q=17.090793,-97.494176999999993" TargetMode="External"/><Relationship Id="rId4681" Type="http://schemas.openxmlformats.org/officeDocument/2006/relationships/hyperlink" Target="https://maps.google.com/?q=17.058951,-96.751512000000005" TargetMode="External"/><Relationship Id="rId5732" Type="http://schemas.openxmlformats.org/officeDocument/2006/relationships/hyperlink" Target="https://maps.google.com/?q=16.3891059621,-96.366688592100004" TargetMode="External"/><Relationship Id="rId3283" Type="http://schemas.openxmlformats.org/officeDocument/2006/relationships/hyperlink" Target="https://maps.google.com/?q=17.0622128149091,-96.813778256005506" TargetMode="External"/><Relationship Id="rId4334" Type="http://schemas.openxmlformats.org/officeDocument/2006/relationships/hyperlink" Target="https://maps.google.com/?q=16.0169965384844,-96.617570626983706" TargetMode="External"/><Relationship Id="rId8955" Type="http://schemas.openxmlformats.org/officeDocument/2006/relationships/hyperlink" Target="https://maps.google.com/?q=17.381389166,-96.160384711999995" TargetMode="External"/><Relationship Id="rId10885" Type="http://schemas.openxmlformats.org/officeDocument/2006/relationships/hyperlink" Target="https://maps.google.com/?q=16.3538155851586,-94.488261165328694" TargetMode="External"/><Relationship Id="rId11936" Type="http://schemas.openxmlformats.org/officeDocument/2006/relationships/hyperlink" Target="https://maps.google.com/?q=16.3319771770862,-95.239353078187506" TargetMode="External"/><Relationship Id="rId6159" Type="http://schemas.openxmlformats.org/officeDocument/2006/relationships/hyperlink" Target="https://maps.google.com/?q=16.1419050432134,-96.416890454610893" TargetMode="External"/><Relationship Id="rId7557" Type="http://schemas.openxmlformats.org/officeDocument/2006/relationships/hyperlink" Target="https://maps.google.com/?q=17.3265692255847,-95.269100666148205" TargetMode="External"/><Relationship Id="rId8608" Type="http://schemas.openxmlformats.org/officeDocument/2006/relationships/hyperlink" Target="https://maps.google.com/?q=17.8866917066048,-96.724745302645104" TargetMode="External"/><Relationship Id="rId10538" Type="http://schemas.openxmlformats.org/officeDocument/2006/relationships/hyperlink" Target="https://maps.google.com/?q=17.106813542202,-97.7969431562807" TargetMode="External"/><Relationship Id="rId13011" Type="http://schemas.openxmlformats.org/officeDocument/2006/relationships/hyperlink" Target="https://maps.google.com/?q=16.5042669,-97.557000000000002" TargetMode="External"/><Relationship Id="rId2769" Type="http://schemas.openxmlformats.org/officeDocument/2006/relationships/hyperlink" Target="https://maps.google.com/?q=18.0211270059034,-96.618692672787205" TargetMode="External"/><Relationship Id="rId6640" Type="http://schemas.openxmlformats.org/officeDocument/2006/relationships/hyperlink" Target="https://maps.google.com/?q=16.8428935156268,-97.208842492066097" TargetMode="External"/><Relationship Id="rId4191" Type="http://schemas.openxmlformats.org/officeDocument/2006/relationships/hyperlink" Target="https://maps.google.com/?q=0,-95.931580999999994" TargetMode="External"/><Relationship Id="rId5242" Type="http://schemas.openxmlformats.org/officeDocument/2006/relationships/hyperlink" Target="https://maps.google.com/?q=15.8357635469539,-96.458816874802096" TargetMode="External"/><Relationship Id="rId9863" Type="http://schemas.openxmlformats.org/officeDocument/2006/relationships/hyperlink" Target="https://maps.google.com/?q=16.6354175926074,-96.851813600000199" TargetMode="External"/><Relationship Id="rId77" Type="http://schemas.openxmlformats.org/officeDocument/2006/relationships/hyperlink" Target="https://maps.google.com/?q=15.909585,-96.449561000000003" TargetMode="External"/><Relationship Id="rId8465" Type="http://schemas.openxmlformats.org/officeDocument/2006/relationships/hyperlink" Target="https://maps.google.com/?q=17.1541581400579,-97.533030226508501" TargetMode="External"/><Relationship Id="rId9516" Type="http://schemas.openxmlformats.org/officeDocument/2006/relationships/hyperlink" Target="https://maps.google.com/?q=17.0609,-96.72533" TargetMode="External"/><Relationship Id="rId11793" Type="http://schemas.openxmlformats.org/officeDocument/2006/relationships/hyperlink" Target="https://maps.google.com/?q=16.425454376642644,-97.22844162946511" TargetMode="External"/><Relationship Id="rId12844" Type="http://schemas.openxmlformats.org/officeDocument/2006/relationships/hyperlink" Target="https://maps.google.com/?q=17.517132,-97.680577999999997" TargetMode="External"/><Relationship Id="rId1852" Type="http://schemas.openxmlformats.org/officeDocument/2006/relationships/hyperlink" Target="https://maps.google.com/?q=15.770099907817526,-96.152604487923114" TargetMode="External"/><Relationship Id="rId2903" Type="http://schemas.openxmlformats.org/officeDocument/2006/relationships/hyperlink" Target="https://maps.google.com/?q=17.761917,-96.076035000000005" TargetMode="External"/><Relationship Id="rId7067" Type="http://schemas.openxmlformats.org/officeDocument/2006/relationships/hyperlink" Target="https://maps.google.com/?q=16.5717911780322,-97.0338704110451" TargetMode="External"/><Relationship Id="rId8118" Type="http://schemas.openxmlformats.org/officeDocument/2006/relationships/hyperlink" Target="https://maps.google.com/?q=17.3552512729471,-96.304082807731504" TargetMode="External"/><Relationship Id="rId10048" Type="http://schemas.openxmlformats.org/officeDocument/2006/relationships/hyperlink" Target="https://maps.google.com/?q=16.9261501994737,-96.368998208598299" TargetMode="External"/><Relationship Id="rId10395" Type="http://schemas.openxmlformats.org/officeDocument/2006/relationships/hyperlink" Target="https://maps.google.com/?q=16.434049002574,-97.062252673610701" TargetMode="External"/><Relationship Id="rId11446" Type="http://schemas.openxmlformats.org/officeDocument/2006/relationships/hyperlink" Target="https://maps.google.com/?q=16.07619,-97.303799999999995" TargetMode="External"/><Relationship Id="rId1505" Type="http://schemas.openxmlformats.org/officeDocument/2006/relationships/hyperlink" Target="https://maps.google.com/?q=17.061054,-96.756463999999994" TargetMode="External"/><Relationship Id="rId3677" Type="http://schemas.openxmlformats.org/officeDocument/2006/relationships/hyperlink" Target="https://maps.google.com/?q=15.775304,-96.145901" TargetMode="External"/><Relationship Id="rId4728" Type="http://schemas.openxmlformats.org/officeDocument/2006/relationships/hyperlink" Target="https://maps.google.com/?q=17.058657,-96.743072990000002" TargetMode="External"/><Relationship Id="rId598" Type="http://schemas.openxmlformats.org/officeDocument/2006/relationships/hyperlink" Target="https://maps.google.com/?q=16.053302,-97.400412000000003" TargetMode="External"/><Relationship Id="rId2279" Type="http://schemas.openxmlformats.org/officeDocument/2006/relationships/hyperlink" Target="https://maps.google.com/?q=18.09833996894,-96.9275158554629" TargetMode="External"/><Relationship Id="rId6150" Type="http://schemas.openxmlformats.org/officeDocument/2006/relationships/hyperlink" Target="https://maps.google.com/?q=16.140054918591,-96.415763465389006" TargetMode="External"/><Relationship Id="rId7201" Type="http://schemas.openxmlformats.org/officeDocument/2006/relationships/hyperlink" Target="https://maps.google.com/?q=16.1743106764607,-97.966266137434403" TargetMode="External"/><Relationship Id="rId2760" Type="http://schemas.openxmlformats.org/officeDocument/2006/relationships/hyperlink" Target="https://maps.google.com/?q=17.995378,-96.487728000000004" TargetMode="External"/><Relationship Id="rId3811" Type="http://schemas.openxmlformats.org/officeDocument/2006/relationships/hyperlink" Target="https://maps.google.com/?q=15.773399403983168,-96.241141488492843" TargetMode="External"/><Relationship Id="rId9373" Type="http://schemas.openxmlformats.org/officeDocument/2006/relationships/hyperlink" Target="https://maps.google.com/?q=16.8195784814145,-95.136537415606696" TargetMode="External"/><Relationship Id="rId12354" Type="http://schemas.openxmlformats.org/officeDocument/2006/relationships/hyperlink" Target="https://maps.google.com/?q=16.560679699364623,-97.82342524900436" TargetMode="External"/><Relationship Id="rId13405" Type="http://schemas.openxmlformats.org/officeDocument/2006/relationships/hyperlink" Target="https://maps.google.com/?q=16.3273412380692,-96.674751762454306" TargetMode="External"/><Relationship Id="rId13752" Type="http://schemas.openxmlformats.org/officeDocument/2006/relationships/hyperlink" Target="https://maps.google.com/?q=16.79243,-96.882431" TargetMode="External"/><Relationship Id="rId732" Type="http://schemas.openxmlformats.org/officeDocument/2006/relationships/hyperlink" Target="https://maps.google.com/?q=15.709945259575418,-96.528705123609853" TargetMode="External"/><Relationship Id="rId1362" Type="http://schemas.openxmlformats.org/officeDocument/2006/relationships/hyperlink" Target="https://maps.google.com/?q=17.02079444,-96.71796345" TargetMode="External"/><Relationship Id="rId2413" Type="http://schemas.openxmlformats.org/officeDocument/2006/relationships/hyperlink" Target="https://maps.google.com/?q=17.051014015608594,-96.62394713496154" TargetMode="External"/><Relationship Id="rId9026" Type="http://schemas.openxmlformats.org/officeDocument/2006/relationships/hyperlink" Target="https://maps.google.com/?q=16.053651,-95.471062000000003" TargetMode="External"/><Relationship Id="rId12007" Type="http://schemas.openxmlformats.org/officeDocument/2006/relationships/hyperlink" Target="https://maps.google.com/?q=16.8025782285106,-96.719926544513996" TargetMode="External"/><Relationship Id="rId1015" Type="http://schemas.openxmlformats.org/officeDocument/2006/relationships/hyperlink" Target="https://maps.google.com/?q=15.696970670098574,-96.523540116007311" TargetMode="External"/><Relationship Id="rId4585" Type="http://schemas.openxmlformats.org/officeDocument/2006/relationships/hyperlink" Target="https://maps.google.com/?q=16.556514,-96.822697000000005" TargetMode="External"/><Relationship Id="rId5983" Type="http://schemas.openxmlformats.org/officeDocument/2006/relationships/hyperlink" Target="https://maps.google.com/?q=18.15457302530357,-96.577029225856705" TargetMode="External"/><Relationship Id="rId3187" Type="http://schemas.openxmlformats.org/officeDocument/2006/relationships/hyperlink" Target="https://maps.google.com/?q=17.034277,-97.051333999999997" TargetMode="External"/><Relationship Id="rId4238" Type="http://schemas.openxmlformats.org/officeDocument/2006/relationships/hyperlink" Target="https://maps.google.com/?q=15.9370242177568,-96.472645928886493" TargetMode="External"/><Relationship Id="rId5636" Type="http://schemas.openxmlformats.org/officeDocument/2006/relationships/hyperlink" Target="https://maps.google.com/?q=17.5627710013535,-96.180426180000495" TargetMode="External"/><Relationship Id="rId8859" Type="http://schemas.openxmlformats.org/officeDocument/2006/relationships/hyperlink" Target="https://maps.google.com/?q=17.220035,-96.243352999999999" TargetMode="External"/><Relationship Id="rId10789" Type="http://schemas.openxmlformats.org/officeDocument/2006/relationships/hyperlink" Target="https://maps.google.com/?q=17.049092,-96.72750700" TargetMode="External"/><Relationship Id="rId13262" Type="http://schemas.openxmlformats.org/officeDocument/2006/relationships/hyperlink" Target="https://maps.google.com/?q=17.1567618239886,-96.746162017102606" TargetMode="External"/><Relationship Id="rId2270" Type="http://schemas.openxmlformats.org/officeDocument/2006/relationships/hyperlink" Target="https://maps.google.com/?q=18.0965820100805,-96.930439949881105" TargetMode="External"/><Relationship Id="rId3321" Type="http://schemas.openxmlformats.org/officeDocument/2006/relationships/hyperlink" Target="https://maps.google.com/?q=17.0649651309157,-96.808220733498501" TargetMode="External"/><Relationship Id="rId6891" Type="http://schemas.openxmlformats.org/officeDocument/2006/relationships/hyperlink" Target="https://maps.google.com/?q=16.9737585220128,-97.086971734952897" TargetMode="External"/><Relationship Id="rId7942" Type="http://schemas.openxmlformats.org/officeDocument/2006/relationships/hyperlink" Target="https://maps.google.com/?q=16.3252682269499,-96.4117031851234" TargetMode="External"/><Relationship Id="rId242" Type="http://schemas.openxmlformats.org/officeDocument/2006/relationships/hyperlink" Target="https://maps.google.com/?q=16.88321,-97.676429999999996" TargetMode="External"/><Relationship Id="rId5493" Type="http://schemas.openxmlformats.org/officeDocument/2006/relationships/hyperlink" Target="https://maps.google.com/?q=16.329804,-96.498078000000007" TargetMode="External"/><Relationship Id="rId6544" Type="http://schemas.openxmlformats.org/officeDocument/2006/relationships/hyperlink" Target="https://maps.google.com/?q=18.1366502324,-97.079076450" TargetMode="External"/><Relationship Id="rId10923" Type="http://schemas.openxmlformats.org/officeDocument/2006/relationships/hyperlink" Target="https://maps.google.com/?q=16.1914339746237,-95.216596778895195" TargetMode="External"/><Relationship Id="rId4095" Type="http://schemas.openxmlformats.org/officeDocument/2006/relationships/hyperlink" Target="https://maps.google.com/?q=17.056291,-96.746252900000002" TargetMode="External"/><Relationship Id="rId5146" Type="http://schemas.openxmlformats.org/officeDocument/2006/relationships/hyperlink" Target="https://maps.google.com/?q=17.254612296768716,-96.15580365029716" TargetMode="External"/><Relationship Id="rId8369" Type="http://schemas.openxmlformats.org/officeDocument/2006/relationships/hyperlink" Target="https://maps.google.com/?q=16.8458147042127,-97.201829711972707" TargetMode="External"/><Relationship Id="rId9767" Type="http://schemas.openxmlformats.org/officeDocument/2006/relationships/hyperlink" Target="https://maps.google.com/?q=17.282377778819,-96.801433386074805" TargetMode="External"/><Relationship Id="rId11697" Type="http://schemas.openxmlformats.org/officeDocument/2006/relationships/hyperlink" Target="https://maps.google.com/?q=17.18170469,-97.70997199" TargetMode="External"/><Relationship Id="rId12748" Type="http://schemas.openxmlformats.org/officeDocument/2006/relationships/hyperlink" Target="https://maps.google.com/?q=17.4507948621231,-97.287625108895597" TargetMode="External"/><Relationship Id="rId1756" Type="http://schemas.openxmlformats.org/officeDocument/2006/relationships/hyperlink" Target="https://maps.google.com/?q=18.06129357,-96.849570790000001" TargetMode="External"/><Relationship Id="rId2807" Type="http://schemas.openxmlformats.org/officeDocument/2006/relationships/hyperlink" Target="https://maps.google.com/?q=16.9893333852012,-97.714663456516405" TargetMode="External"/><Relationship Id="rId10299" Type="http://schemas.openxmlformats.org/officeDocument/2006/relationships/hyperlink" Target="https://maps.google.com/?q=16.222332,-97.270384000000007" TargetMode="External"/><Relationship Id="rId14170" Type="http://schemas.openxmlformats.org/officeDocument/2006/relationships/hyperlink" Target="https://maps.google.com/?q=15.7892084958509,-96.04711755826116" TargetMode="External"/><Relationship Id="rId1409" Type="http://schemas.openxmlformats.org/officeDocument/2006/relationships/hyperlink" Target="https://maps.google.com/?q=17.361766,-95.922253999999995" TargetMode="External"/><Relationship Id="rId4979" Type="http://schemas.openxmlformats.org/officeDocument/2006/relationships/hyperlink" Target="https://maps.google.com/?q=16.792948150300777,-95.90389169973115" TargetMode="External"/><Relationship Id="rId8850" Type="http://schemas.openxmlformats.org/officeDocument/2006/relationships/hyperlink" Target="https://maps.google.com/?q=17.218809,-96.243983" TargetMode="External"/><Relationship Id="rId9901" Type="http://schemas.openxmlformats.org/officeDocument/2006/relationships/hyperlink" Target="https://maps.google.com/?q=16.7898264184508,-96.654290350326704" TargetMode="External"/><Relationship Id="rId10780" Type="http://schemas.openxmlformats.org/officeDocument/2006/relationships/hyperlink" Target="https://maps.google.com/?q=16.4602557618867,-94.999626981304701" TargetMode="External"/><Relationship Id="rId7452" Type="http://schemas.openxmlformats.org/officeDocument/2006/relationships/hyperlink" Target="https://maps.google.com/?q=16.3241705037982,-96.675061078494906" TargetMode="External"/><Relationship Id="rId8503" Type="http://schemas.openxmlformats.org/officeDocument/2006/relationships/hyperlink" Target="https://maps.google.com/?q=17.1472325628884,-97.541917299792601" TargetMode="External"/><Relationship Id="rId10433" Type="http://schemas.openxmlformats.org/officeDocument/2006/relationships/hyperlink" Target="https://maps.google.com/?q=17.040954,-96.778657999999993" TargetMode="External"/><Relationship Id="rId11831" Type="http://schemas.openxmlformats.org/officeDocument/2006/relationships/hyperlink" Target="https://maps.google.com/?q=16.93336763991635,-96.60790903687477" TargetMode="External"/><Relationship Id="rId6054" Type="http://schemas.openxmlformats.org/officeDocument/2006/relationships/hyperlink" Target="https://maps.google.com/?q=18.15796235245767,-96.576205585301111" TargetMode="External"/><Relationship Id="rId7105" Type="http://schemas.openxmlformats.org/officeDocument/2006/relationships/hyperlink" Target="https://maps.google.com/?q=17.3572217328329,-97.6597530805644" TargetMode="External"/><Relationship Id="rId983" Type="http://schemas.openxmlformats.org/officeDocument/2006/relationships/hyperlink" Target="https://maps.google.com/?q=15.690423240113693,-96.517193883549851" TargetMode="External"/><Relationship Id="rId2664" Type="http://schemas.openxmlformats.org/officeDocument/2006/relationships/hyperlink" Target="https://maps.google.com/?q=17.9433046021458,-97.966184957297401" TargetMode="External"/><Relationship Id="rId9277" Type="http://schemas.openxmlformats.org/officeDocument/2006/relationships/hyperlink" Target="https://maps.google.com/?q=17.3786439416583,-96.302150456529006" TargetMode="External"/><Relationship Id="rId12258" Type="http://schemas.openxmlformats.org/officeDocument/2006/relationships/hyperlink" Target="https://maps.google.com/?q=16.426443,-97.224918000000002" TargetMode="External"/><Relationship Id="rId13656" Type="http://schemas.openxmlformats.org/officeDocument/2006/relationships/hyperlink" Target="https://maps.google.com/?q=16.302253,-97.912866" TargetMode="External"/><Relationship Id="rId636" Type="http://schemas.openxmlformats.org/officeDocument/2006/relationships/hyperlink" Target="https://maps.google.com/?q=16.054346,-97.394972999999993" TargetMode="External"/><Relationship Id="rId1266" Type="http://schemas.openxmlformats.org/officeDocument/2006/relationships/hyperlink" Target="https://maps.google.com/?q=17.058593,-96.743018000000006" TargetMode="External"/><Relationship Id="rId2317" Type="http://schemas.openxmlformats.org/officeDocument/2006/relationships/hyperlink" Target="https://maps.google.com/?q=18.106981147936,-96.871448318836102" TargetMode="External"/><Relationship Id="rId3715" Type="http://schemas.openxmlformats.org/officeDocument/2006/relationships/hyperlink" Target="https://maps.google.com/?q=15.758061062857239,-96.138793632601462" TargetMode="External"/><Relationship Id="rId13309" Type="http://schemas.openxmlformats.org/officeDocument/2006/relationships/hyperlink" Target="https://maps.google.com/?q=16.1343272525245,-96.328600710000202" TargetMode="External"/><Relationship Id="rId5887" Type="http://schemas.openxmlformats.org/officeDocument/2006/relationships/hyperlink" Target="https://maps.google.com/?q=18.145118427338737,-96.566595378608042" TargetMode="External"/><Relationship Id="rId6938" Type="http://schemas.openxmlformats.org/officeDocument/2006/relationships/hyperlink" Target="https://maps.google.com/?q=16.318193,-95.250991999999997" TargetMode="External"/><Relationship Id="rId4489" Type="http://schemas.openxmlformats.org/officeDocument/2006/relationships/hyperlink" Target="https://maps.google.com/?q=17.1771829716994,-97.305031008598206" TargetMode="External"/><Relationship Id="rId8360" Type="http://schemas.openxmlformats.org/officeDocument/2006/relationships/hyperlink" Target="https://maps.google.com/?q=16.8442908348149,-97.199519838895498" TargetMode="External"/><Relationship Id="rId9411" Type="http://schemas.openxmlformats.org/officeDocument/2006/relationships/hyperlink" Target="https://maps.google.com/?q=16.7757932107949,-95.1919643547986" TargetMode="External"/><Relationship Id="rId10290" Type="http://schemas.openxmlformats.org/officeDocument/2006/relationships/hyperlink" Target="https://maps.google.com/?q=16.247689,-95.149787000000003" TargetMode="External"/><Relationship Id="rId11341" Type="http://schemas.openxmlformats.org/officeDocument/2006/relationships/hyperlink" Target="https://maps.google.com/?q=16.3589837647231,-94.190335326736701" TargetMode="External"/><Relationship Id="rId1400" Type="http://schemas.openxmlformats.org/officeDocument/2006/relationships/hyperlink" Target="https://maps.google.com/?q=16.791625,-96.674999" TargetMode="External"/><Relationship Id="rId4970" Type="http://schemas.openxmlformats.org/officeDocument/2006/relationships/hyperlink" Target="https://maps.google.com/?q=17.9680494075869,-96.742850463571898" TargetMode="External"/><Relationship Id="rId8013" Type="http://schemas.openxmlformats.org/officeDocument/2006/relationships/hyperlink" Target="https://maps.google.com/?q=18.1643159348853,-96.875357868717202" TargetMode="External"/><Relationship Id="rId3572" Type="http://schemas.openxmlformats.org/officeDocument/2006/relationships/hyperlink" Target="https://maps.google.com/?q=15.775610176464685,-96.136887450225316" TargetMode="External"/><Relationship Id="rId4623" Type="http://schemas.openxmlformats.org/officeDocument/2006/relationships/hyperlink" Target="https://maps.google.com/?q=17.035659,-96.709142999999997" TargetMode="External"/><Relationship Id="rId13166" Type="http://schemas.openxmlformats.org/officeDocument/2006/relationships/hyperlink" Target="https://maps.google.com/?q=16.5676859730338,-97.011670944536903" TargetMode="External"/><Relationship Id="rId493" Type="http://schemas.openxmlformats.org/officeDocument/2006/relationships/hyperlink" Target="https://maps.google.com/?q=16.054818,-97.408604999999994" TargetMode="External"/><Relationship Id="rId2174" Type="http://schemas.openxmlformats.org/officeDocument/2006/relationships/hyperlink" Target="https://maps.google.com/?q=16.9945600508476,-97.232702784349101" TargetMode="External"/><Relationship Id="rId3225" Type="http://schemas.openxmlformats.org/officeDocument/2006/relationships/hyperlink" Target="https://maps.google.com/?q=17.9324112650657,-96.211403857624205" TargetMode="External"/><Relationship Id="rId6795" Type="http://schemas.openxmlformats.org/officeDocument/2006/relationships/hyperlink" Target="https://maps.google.com/?q=16.6464473664467,-97.037426215171905" TargetMode="External"/><Relationship Id="rId146" Type="http://schemas.openxmlformats.org/officeDocument/2006/relationships/hyperlink" Target="https://maps.google.com/?q=17.088631,-97.501046000000002" TargetMode="External"/><Relationship Id="rId5397" Type="http://schemas.openxmlformats.org/officeDocument/2006/relationships/hyperlink" Target="https://maps.google.com/?q=16.093330528956,-97.696819339332194" TargetMode="External"/><Relationship Id="rId6448" Type="http://schemas.openxmlformats.org/officeDocument/2006/relationships/hyperlink" Target="https://maps.google.com/?q=16.142781,-97.358142999999998" TargetMode="External"/><Relationship Id="rId7846" Type="http://schemas.openxmlformats.org/officeDocument/2006/relationships/hyperlink" Target="https://maps.google.com/?q=15.9696065503557,-96.0208221582317" TargetMode="External"/><Relationship Id="rId10827" Type="http://schemas.openxmlformats.org/officeDocument/2006/relationships/hyperlink" Target="https://maps.google.com/?q=16.3888702451127,-94.458831101852397" TargetMode="External"/><Relationship Id="rId12999" Type="http://schemas.openxmlformats.org/officeDocument/2006/relationships/hyperlink" Target="https://maps.google.com/?q=16.5027046,-97.556322699999996" TargetMode="External"/><Relationship Id="rId13300" Type="http://schemas.openxmlformats.org/officeDocument/2006/relationships/hyperlink" Target="https://maps.google.com/?q=16.1327640174013,-96.327739557791503" TargetMode="External"/><Relationship Id="rId4480" Type="http://schemas.openxmlformats.org/officeDocument/2006/relationships/hyperlink" Target="https://maps.google.com/?q=17.1701432813281,-97.308408512897401" TargetMode="External"/><Relationship Id="rId5531" Type="http://schemas.openxmlformats.org/officeDocument/2006/relationships/hyperlink" Target="https://maps.google.com/?q=17.2854853328822,&#160;-97.3755712331352" TargetMode="External"/><Relationship Id="rId14074" Type="http://schemas.openxmlformats.org/officeDocument/2006/relationships/hyperlink" Target="https://maps.google.com/?q=17.4301862501308,-96.2856075402749" TargetMode="External"/><Relationship Id="rId3082" Type="http://schemas.openxmlformats.org/officeDocument/2006/relationships/hyperlink" Target="https://maps.google.com/?q=16.9661516433884,-96.936791656588198" TargetMode="External"/><Relationship Id="rId4133" Type="http://schemas.openxmlformats.org/officeDocument/2006/relationships/hyperlink" Target="https://maps.google.com/?q=16.241659,-95.2099505" TargetMode="External"/><Relationship Id="rId8754" Type="http://schemas.openxmlformats.org/officeDocument/2006/relationships/hyperlink" Target="https://maps.google.com/?q=17.202287,-96.254037999999994" TargetMode="External"/><Relationship Id="rId9805" Type="http://schemas.openxmlformats.org/officeDocument/2006/relationships/hyperlink" Target="https://maps.google.com/?q=16.6427939468727,-96.749824987518593" TargetMode="External"/><Relationship Id="rId19" Type="http://schemas.openxmlformats.org/officeDocument/2006/relationships/hyperlink" Target="https://maps.google.com/?q=17.221925,-97.121409999999997" TargetMode="External"/><Relationship Id="rId7356" Type="http://schemas.openxmlformats.org/officeDocument/2006/relationships/hyperlink" Target="https://maps.google.com/?q=16.565325,-97.653347999999994" TargetMode="External"/><Relationship Id="rId8407" Type="http://schemas.openxmlformats.org/officeDocument/2006/relationships/hyperlink" Target="https://maps.google.com/?q=16.0902595996337,-96.243497942293203" TargetMode="External"/><Relationship Id="rId10337" Type="http://schemas.openxmlformats.org/officeDocument/2006/relationships/hyperlink" Target="https://maps.google.com/?q=17.432767072649,-96.656554096970495" TargetMode="External"/><Relationship Id="rId10684" Type="http://schemas.openxmlformats.org/officeDocument/2006/relationships/hyperlink" Target="https://maps.google.com/?q=16.649626251984397,-95.91654677028271" TargetMode="External"/><Relationship Id="rId11735" Type="http://schemas.openxmlformats.org/officeDocument/2006/relationships/hyperlink" Target="https://maps.google.com/?q=17.18904996,-97.715097299999996" TargetMode="External"/><Relationship Id="rId7009" Type="http://schemas.openxmlformats.org/officeDocument/2006/relationships/hyperlink" Target="https://maps.google.com/?q=17.0393483465803,-97.298977473854407" TargetMode="External"/><Relationship Id="rId3966" Type="http://schemas.openxmlformats.org/officeDocument/2006/relationships/hyperlink" Target="https://maps.google.com/?q=17.06147,-96.757279999999994" TargetMode="External"/><Relationship Id="rId3" Type="http://schemas.openxmlformats.org/officeDocument/2006/relationships/hyperlink" Target="https://maps.google.com/?q=17.22267,-97.119223000000005" TargetMode="External"/><Relationship Id="rId887" Type="http://schemas.openxmlformats.org/officeDocument/2006/relationships/hyperlink" Target="https://maps.google.com/?q=17.092124,-97.499320999999995" TargetMode="External"/><Relationship Id="rId2568" Type="http://schemas.openxmlformats.org/officeDocument/2006/relationships/hyperlink" Target="https://maps.google.com/?q=17.050583,-96.704356" TargetMode="External"/><Relationship Id="rId3619" Type="http://schemas.openxmlformats.org/officeDocument/2006/relationships/hyperlink" Target="https://maps.google.com/?q=15.777020335365483,-96.136988889514697" TargetMode="External"/><Relationship Id="rId5041" Type="http://schemas.openxmlformats.org/officeDocument/2006/relationships/hyperlink" Target="https://maps.google.com/?q=17.251533,-96.15504" TargetMode="External"/><Relationship Id="rId12990" Type="http://schemas.openxmlformats.org/officeDocument/2006/relationships/hyperlink" Target="https://maps.google.com/?q=16.5018754,-97.556219499999997" TargetMode="External"/><Relationship Id="rId9662" Type="http://schemas.openxmlformats.org/officeDocument/2006/relationships/hyperlink" Target="https://maps.google.com/?q=16.3200278353406,-96.5860710294304" TargetMode="External"/><Relationship Id="rId11592" Type="http://schemas.openxmlformats.org/officeDocument/2006/relationships/hyperlink" Target="https://maps.google.com/?q=16.8346598527908,-96.729980739529196" TargetMode="External"/><Relationship Id="rId12643" Type="http://schemas.openxmlformats.org/officeDocument/2006/relationships/hyperlink" Target="https://maps.google.com/?q=17.118852,-96.850830999999999" TargetMode="External"/><Relationship Id="rId1651" Type="http://schemas.openxmlformats.org/officeDocument/2006/relationships/hyperlink" Target="https://maps.google.com/?q=16.8935675848504,-96.940181253332895" TargetMode="External"/><Relationship Id="rId2702" Type="http://schemas.openxmlformats.org/officeDocument/2006/relationships/hyperlink" Target="https://maps.google.com/?q=15.9282334286141,-96.423053218033999" TargetMode="External"/><Relationship Id="rId8264" Type="http://schemas.openxmlformats.org/officeDocument/2006/relationships/hyperlink" Target="https://maps.google.com/?q=17.026701,-96.759800999999996" TargetMode="External"/><Relationship Id="rId9315" Type="http://schemas.openxmlformats.org/officeDocument/2006/relationships/hyperlink" Target="https://maps.google.com/?q=16.8156399477623,-95.136596424204996" TargetMode="External"/><Relationship Id="rId10194" Type="http://schemas.openxmlformats.org/officeDocument/2006/relationships/hyperlink" Target="https://maps.google.com/?q=17.21796859,-97.3288271" TargetMode="External"/><Relationship Id="rId11245" Type="http://schemas.openxmlformats.org/officeDocument/2006/relationships/hyperlink" Target="https://maps.google.com/?q=17.8628494461543,-96.307467357840693" TargetMode="External"/><Relationship Id="rId1304" Type="http://schemas.openxmlformats.org/officeDocument/2006/relationships/hyperlink" Target="https://maps.google.com/?q=17.080069,-96.725792" TargetMode="External"/><Relationship Id="rId4874" Type="http://schemas.openxmlformats.org/officeDocument/2006/relationships/hyperlink" Target="https://maps.google.com/?q=16.7926844382935,-96.387380179999994" TargetMode="External"/><Relationship Id="rId3476" Type="http://schemas.openxmlformats.org/officeDocument/2006/relationships/hyperlink" Target="https://maps.google.com/?q=16.7466289506394,-97.2631040386743" TargetMode="External"/><Relationship Id="rId4527" Type="http://schemas.openxmlformats.org/officeDocument/2006/relationships/hyperlink" Target="https://maps.google.com/?q=17.1819440964822,-97.305367480985495" TargetMode="External"/><Relationship Id="rId5925" Type="http://schemas.openxmlformats.org/officeDocument/2006/relationships/hyperlink" Target="https://maps.google.com/?q=18.151565446662058,-96.569598911685915" TargetMode="External"/><Relationship Id="rId10" Type="http://schemas.openxmlformats.org/officeDocument/2006/relationships/hyperlink" Target="https://maps.google.com/?q=17.222652,-97.122715999999997" TargetMode="External"/><Relationship Id="rId397" Type="http://schemas.openxmlformats.org/officeDocument/2006/relationships/hyperlink" Target="https://maps.google.com/?q=16.051959,-97.414291000000006" TargetMode="External"/><Relationship Id="rId2078" Type="http://schemas.openxmlformats.org/officeDocument/2006/relationships/hyperlink" Target="https://maps.google.com/?q=15.77299012816232,-96.242340853133868" TargetMode="External"/><Relationship Id="rId3129" Type="http://schemas.openxmlformats.org/officeDocument/2006/relationships/hyperlink" Target="https://maps.google.com/?q=16.584531,-97.443156000000002" TargetMode="External"/><Relationship Id="rId7000" Type="http://schemas.openxmlformats.org/officeDocument/2006/relationships/hyperlink" Target="https://maps.google.com/?q=17.0378831399511,-97.292640493125305" TargetMode="External"/><Relationship Id="rId6699" Type="http://schemas.openxmlformats.org/officeDocument/2006/relationships/hyperlink" Target="https://maps.google.com/?q=16.9389884640537,-96.966709737437398" TargetMode="External"/><Relationship Id="rId9172" Type="http://schemas.openxmlformats.org/officeDocument/2006/relationships/hyperlink" Target="https://maps.google.com/?q=17.3728108385723,-96.300278485909402" TargetMode="External"/><Relationship Id="rId13551" Type="http://schemas.openxmlformats.org/officeDocument/2006/relationships/hyperlink" Target="https://maps.google.com/?q=17.15028961283201,-97.46047782457161" TargetMode="External"/><Relationship Id="rId3610" Type="http://schemas.openxmlformats.org/officeDocument/2006/relationships/hyperlink" Target="https://maps.google.com/?q=15.776766534183649,-96.136917843572732" TargetMode="External"/><Relationship Id="rId12153" Type="http://schemas.openxmlformats.org/officeDocument/2006/relationships/hyperlink" Target="https://maps.google.com/?q=16.331995,-98.446846" TargetMode="External"/><Relationship Id="rId13204" Type="http://schemas.openxmlformats.org/officeDocument/2006/relationships/hyperlink" Target="https://maps.google.com/?q=17.336629,-97.365714999999994" TargetMode="External"/><Relationship Id="rId531" Type="http://schemas.openxmlformats.org/officeDocument/2006/relationships/hyperlink" Target="https://maps.google.com/?q=16.052697,-97.402968000000001" TargetMode="External"/><Relationship Id="rId1161" Type="http://schemas.openxmlformats.org/officeDocument/2006/relationships/hyperlink" Target="https://maps.google.com/?q=16.501016,-95.907018" TargetMode="External"/><Relationship Id="rId2212" Type="http://schemas.openxmlformats.org/officeDocument/2006/relationships/hyperlink" Target="https://maps.google.com/?q=16.9871495284328,-97.233486947883407" TargetMode="External"/><Relationship Id="rId5782" Type="http://schemas.openxmlformats.org/officeDocument/2006/relationships/hyperlink" Target="https://maps.google.com/?q=17.2984775524942,-97.484846542327901" TargetMode="External"/><Relationship Id="rId6833" Type="http://schemas.openxmlformats.org/officeDocument/2006/relationships/hyperlink" Target="https://maps.google.com/?q=17.007008,-96.975972999999996" TargetMode="External"/><Relationship Id="rId4384" Type="http://schemas.openxmlformats.org/officeDocument/2006/relationships/hyperlink" Target="https://maps.google.com/?q=15.99806554,-96.687995060000006" TargetMode="External"/><Relationship Id="rId5435" Type="http://schemas.openxmlformats.org/officeDocument/2006/relationships/hyperlink" Target="https://maps.google.com/?q=16.0059245626265,-97.446607422014196" TargetMode="External"/><Relationship Id="rId4037" Type="http://schemas.openxmlformats.org/officeDocument/2006/relationships/hyperlink" Target="https://maps.google.com/?q=17.080069,-96.725791999999998" TargetMode="External"/><Relationship Id="rId8658" Type="http://schemas.openxmlformats.org/officeDocument/2006/relationships/hyperlink" Target="https://maps.google.com/?q=17.03405434821,-97.804637446691402" TargetMode="External"/><Relationship Id="rId9709" Type="http://schemas.openxmlformats.org/officeDocument/2006/relationships/hyperlink" Target="https://maps.google.com/?q=16.436688560881,-95.028333214426397" TargetMode="External"/><Relationship Id="rId11986" Type="http://schemas.openxmlformats.org/officeDocument/2006/relationships/hyperlink" Target="https://maps.google.com/?q=16.8006182875155,-96.7099550677694" TargetMode="External"/><Relationship Id="rId10588" Type="http://schemas.openxmlformats.org/officeDocument/2006/relationships/hyperlink" Target="https://maps.google.com/?q=17.1432515192766,-97.770125649266305" TargetMode="External"/><Relationship Id="rId11639" Type="http://schemas.openxmlformats.org/officeDocument/2006/relationships/hyperlink" Target="https://maps.google.com/?q=16.2173344736765,-95.125249470616595" TargetMode="External"/><Relationship Id="rId3120" Type="http://schemas.openxmlformats.org/officeDocument/2006/relationships/hyperlink" Target="https://maps.google.com/?q=16.582404,-97.444068000000001" TargetMode="External"/><Relationship Id="rId13061" Type="http://schemas.openxmlformats.org/officeDocument/2006/relationships/hyperlink" Target="https://maps.google.com/?q=16.5628729,-97.533528419999996" TargetMode="External"/><Relationship Id="rId14112" Type="http://schemas.openxmlformats.org/officeDocument/2006/relationships/hyperlink" Target="https://maps.google.com/?q=17.81005204,-97.95372081" TargetMode="External"/><Relationship Id="rId6690" Type="http://schemas.openxmlformats.org/officeDocument/2006/relationships/hyperlink" Target="https://maps.google.com/?q=16.9383486393739,-96.972051127086104" TargetMode="External"/><Relationship Id="rId7741" Type="http://schemas.openxmlformats.org/officeDocument/2006/relationships/hyperlink" Target="https://maps.google.com/?q=16.6314905294979,-96.797293478763194" TargetMode="External"/><Relationship Id="rId10722" Type="http://schemas.openxmlformats.org/officeDocument/2006/relationships/hyperlink" Target="https://maps.google.com/?q=17.801687,-96.959688" TargetMode="External"/><Relationship Id="rId5292" Type="http://schemas.openxmlformats.org/officeDocument/2006/relationships/hyperlink" Target="https://maps.google.com/?q=15.7150805072678,-96.470151187784296" TargetMode="External"/><Relationship Id="rId6343" Type="http://schemas.openxmlformats.org/officeDocument/2006/relationships/hyperlink" Target="https://maps.google.com/?q=18.0620586129921,-96.387147815971602" TargetMode="External"/><Relationship Id="rId2953" Type="http://schemas.openxmlformats.org/officeDocument/2006/relationships/hyperlink" Target="https://maps.google.com/?q=17.08575864,-96.662887310000002" TargetMode="External"/><Relationship Id="rId9566" Type="http://schemas.openxmlformats.org/officeDocument/2006/relationships/hyperlink" Target="https://maps.google.com/?q=17.359614,-96.294178000000002" TargetMode="External"/><Relationship Id="rId11496" Type="http://schemas.openxmlformats.org/officeDocument/2006/relationships/hyperlink" Target="https://maps.google.com/?q=16.3099093311473,-96.653539779278105" TargetMode="External"/><Relationship Id="rId12547" Type="http://schemas.openxmlformats.org/officeDocument/2006/relationships/hyperlink" Target="https://maps.google.com/?q=16.9710602082808,-97.911657719801994" TargetMode="External"/><Relationship Id="rId12894" Type="http://schemas.openxmlformats.org/officeDocument/2006/relationships/hyperlink" Target="https://maps.google.com/?q=16.505105,-97.513056000000006" TargetMode="External"/><Relationship Id="rId13945" Type="http://schemas.openxmlformats.org/officeDocument/2006/relationships/hyperlink" Target="https://maps.google.com/?q=16.310356,-97.555763" TargetMode="External"/><Relationship Id="rId925" Type="http://schemas.openxmlformats.org/officeDocument/2006/relationships/hyperlink" Target="https://maps.google.com/?q=15.711468526727549,-96.529851687185769" TargetMode="External"/><Relationship Id="rId1555" Type="http://schemas.openxmlformats.org/officeDocument/2006/relationships/hyperlink" Target="https://maps.google.com/?q=16.49380362337352,-97.83856276294989" TargetMode="External"/><Relationship Id="rId2606" Type="http://schemas.openxmlformats.org/officeDocument/2006/relationships/hyperlink" Target="https://maps.google.com/?q=18.257581,-96.282724999999999" TargetMode="External"/><Relationship Id="rId8168" Type="http://schemas.openxmlformats.org/officeDocument/2006/relationships/hyperlink" Target="https://maps.google.com/?q=17.9247791088779,-96.187061742208996" TargetMode="External"/><Relationship Id="rId9219" Type="http://schemas.openxmlformats.org/officeDocument/2006/relationships/hyperlink" Target="https://maps.google.com/?q=17.3752479461168,-96.303676951745999" TargetMode="External"/><Relationship Id="rId10098" Type="http://schemas.openxmlformats.org/officeDocument/2006/relationships/hyperlink" Target="https://maps.google.com/?q=17.0195336629486,-96.127238784621099" TargetMode="External"/><Relationship Id="rId11149" Type="http://schemas.openxmlformats.org/officeDocument/2006/relationships/hyperlink" Target="https://maps.google.com/?q=16.840334,-96.006594000000007" TargetMode="External"/><Relationship Id="rId1208" Type="http://schemas.openxmlformats.org/officeDocument/2006/relationships/hyperlink" Target="https://maps.google.com/?q=16.456581,-95.025879" TargetMode="External"/><Relationship Id="rId4778" Type="http://schemas.openxmlformats.org/officeDocument/2006/relationships/hyperlink" Target="https://maps.google.com/?q=17.957616438508,-96.658089992589595" TargetMode="External"/><Relationship Id="rId5829" Type="http://schemas.openxmlformats.org/officeDocument/2006/relationships/hyperlink" Target="https://maps.google.com/?q=17.1195783408032,-96.803679247850397" TargetMode="External"/><Relationship Id="rId7251" Type="http://schemas.openxmlformats.org/officeDocument/2006/relationships/hyperlink" Target="https://maps.google.com/?q=16.0973824611092,-97.922954726369198" TargetMode="External"/><Relationship Id="rId9700" Type="http://schemas.openxmlformats.org/officeDocument/2006/relationships/hyperlink" Target="https://maps.google.com/?q=16.4219083045402,-95.033154693587903" TargetMode="External"/><Relationship Id="rId11630" Type="http://schemas.openxmlformats.org/officeDocument/2006/relationships/hyperlink" Target="https://maps.google.com/?q=16.8405210026414,-96.726029224536902" TargetMode="External"/><Relationship Id="rId8302" Type="http://schemas.openxmlformats.org/officeDocument/2006/relationships/hyperlink" Target="https://maps.google.com/?q=16.538228,-98.033304000000001" TargetMode="External"/><Relationship Id="rId10232" Type="http://schemas.openxmlformats.org/officeDocument/2006/relationships/hyperlink" Target="https://maps.google.com/?q=17.1942290160987,-97.39873339244677" TargetMode="External"/><Relationship Id="rId3861" Type="http://schemas.openxmlformats.org/officeDocument/2006/relationships/hyperlink" Target="https://maps.google.com/?q=17.0932370328699,-95.922360821706107" TargetMode="External"/><Relationship Id="rId4912" Type="http://schemas.openxmlformats.org/officeDocument/2006/relationships/hyperlink" Target="https://maps.google.com/?q=18.031824,-96.668214000000006" TargetMode="External"/><Relationship Id="rId13455" Type="http://schemas.openxmlformats.org/officeDocument/2006/relationships/hyperlink" Target="https://maps.google.com/?q=17.6861643461343,-97.041903135091999" TargetMode="External"/><Relationship Id="rId782" Type="http://schemas.openxmlformats.org/officeDocument/2006/relationships/hyperlink" Target="https://maps.google.com/?q=15.689260549087015,-96.515063880214356" TargetMode="External"/><Relationship Id="rId2463" Type="http://schemas.openxmlformats.org/officeDocument/2006/relationships/hyperlink" Target="https://maps.google.com/?q=17.05167916,-96.624452379999994" TargetMode="External"/><Relationship Id="rId3514" Type="http://schemas.openxmlformats.org/officeDocument/2006/relationships/hyperlink" Target="https://maps.google.com/?q=15.775609264974845,-96.150569045762964" TargetMode="External"/><Relationship Id="rId9076" Type="http://schemas.openxmlformats.org/officeDocument/2006/relationships/hyperlink" Target="https://maps.google.com/?q=16.060692,-95.494988000000006" TargetMode="External"/><Relationship Id="rId12057" Type="http://schemas.openxmlformats.org/officeDocument/2006/relationships/hyperlink" Target="https://maps.google.com/?q=16.110596,-97.207892000000001" TargetMode="External"/><Relationship Id="rId13108" Type="http://schemas.openxmlformats.org/officeDocument/2006/relationships/hyperlink" Target="https://maps.google.com/?q=16.5658678,-97.534843899999998" TargetMode="External"/><Relationship Id="rId435" Type="http://schemas.openxmlformats.org/officeDocument/2006/relationships/hyperlink" Target="https://maps.google.com/?q=16.053417,-97.409794000000005" TargetMode="External"/><Relationship Id="rId1065" Type="http://schemas.openxmlformats.org/officeDocument/2006/relationships/hyperlink" Target="https://maps.google.com/?q=15.775269,-96.460081000000002" TargetMode="External"/><Relationship Id="rId2116" Type="http://schemas.openxmlformats.org/officeDocument/2006/relationships/hyperlink" Target="https://maps.google.com/?q=15.761714,-96.143293" TargetMode="External"/><Relationship Id="rId5686" Type="http://schemas.openxmlformats.org/officeDocument/2006/relationships/hyperlink" Target="https://maps.google.com/?q=16.43459,-97.902056000000002" TargetMode="External"/><Relationship Id="rId6737" Type="http://schemas.openxmlformats.org/officeDocument/2006/relationships/hyperlink" Target="https://maps.google.com/?q=15.84915671944,-96.645178537299998" TargetMode="External"/><Relationship Id="rId4288" Type="http://schemas.openxmlformats.org/officeDocument/2006/relationships/hyperlink" Target="https://maps.google.com/?q=16.01163355,-96.66272506" TargetMode="External"/><Relationship Id="rId5339" Type="http://schemas.openxmlformats.org/officeDocument/2006/relationships/hyperlink" Target="https://maps.google.com/?q=17.9089945073946,-97.996513627995995" TargetMode="External"/><Relationship Id="rId9210" Type="http://schemas.openxmlformats.org/officeDocument/2006/relationships/hyperlink" Target="https://maps.google.com/?q=17.3749099919471,-96.301961609082795" TargetMode="External"/><Relationship Id="rId11140" Type="http://schemas.openxmlformats.org/officeDocument/2006/relationships/hyperlink" Target="https://maps.google.com/?q=16.836448,-96.011933999999997" TargetMode="External"/><Relationship Id="rId1949" Type="http://schemas.openxmlformats.org/officeDocument/2006/relationships/hyperlink" Target="https://maps.google.com/?q=15.778338907065399,-96.13767917241988" TargetMode="External"/><Relationship Id="rId5820" Type="http://schemas.openxmlformats.org/officeDocument/2006/relationships/hyperlink" Target="https://maps.google.com/?q=16.362713,-97.046144999999996" TargetMode="External"/><Relationship Id="rId292" Type="http://schemas.openxmlformats.org/officeDocument/2006/relationships/hyperlink" Target="https://maps.google.com/?q=16.88696,-97.679270000000002" TargetMode="External"/><Relationship Id="rId3371" Type="http://schemas.openxmlformats.org/officeDocument/2006/relationships/hyperlink" Target="https://maps.google.com/?q=17.069540132648,-97.79124859755323" TargetMode="External"/><Relationship Id="rId4422" Type="http://schemas.openxmlformats.org/officeDocument/2006/relationships/hyperlink" Target="https://maps.google.com/?q=16.00742901,-96.679609380000002" TargetMode="External"/><Relationship Id="rId7992" Type="http://schemas.openxmlformats.org/officeDocument/2006/relationships/hyperlink" Target="https://maps.google.com/?q=18.1634356370723,-96.8743488203433" TargetMode="External"/><Relationship Id="rId14016" Type="http://schemas.openxmlformats.org/officeDocument/2006/relationships/hyperlink" Target="https://maps.google.com/?q=17.389323,-96.111387" TargetMode="External"/><Relationship Id="rId3024" Type="http://schemas.openxmlformats.org/officeDocument/2006/relationships/hyperlink" Target="https://maps.google.com/?q=16.9392532,-97.006649199999998" TargetMode="External"/><Relationship Id="rId6594" Type="http://schemas.openxmlformats.org/officeDocument/2006/relationships/hyperlink" Target="https://maps.google.com/?q=17.088183,-96.048587" TargetMode="External"/><Relationship Id="rId7645" Type="http://schemas.openxmlformats.org/officeDocument/2006/relationships/hyperlink" Target="https://maps.google.com/?q=17.2316389741236,-95.050932743431005" TargetMode="External"/><Relationship Id="rId10973" Type="http://schemas.openxmlformats.org/officeDocument/2006/relationships/hyperlink" Target="https://maps.google.com/?q=16.2164138892972,-95.2213988911044" TargetMode="External"/><Relationship Id="rId5196" Type="http://schemas.openxmlformats.org/officeDocument/2006/relationships/hyperlink" Target="https://maps.google.com/?q=17.316727,-95.972032999999996" TargetMode="External"/><Relationship Id="rId6247" Type="http://schemas.openxmlformats.org/officeDocument/2006/relationships/hyperlink" Target="https://maps.google.com/?q=16.37536,-97.275713999999994" TargetMode="External"/><Relationship Id="rId10626" Type="http://schemas.openxmlformats.org/officeDocument/2006/relationships/hyperlink" Target="https://maps.google.com/?q=17.1163256872077,-97.790487841402097" TargetMode="External"/><Relationship Id="rId12798" Type="http://schemas.openxmlformats.org/officeDocument/2006/relationships/hyperlink" Target="https://maps.google.com/?q=16.11184,-97.291079999999994" TargetMode="External"/><Relationship Id="rId13849" Type="http://schemas.openxmlformats.org/officeDocument/2006/relationships/hyperlink" Target="https://maps.google.com/?q=17.65806816,-97.33986891" TargetMode="External"/><Relationship Id="rId1459" Type="http://schemas.openxmlformats.org/officeDocument/2006/relationships/hyperlink" Target="https://maps.google.com/?q=17.28416821543893,-96.62084669576836" TargetMode="External"/><Relationship Id="rId2857" Type="http://schemas.openxmlformats.org/officeDocument/2006/relationships/hyperlink" Target="https://maps.google.com/?q=16.9653376151004,-97.730966974205103" TargetMode="External"/><Relationship Id="rId3908" Type="http://schemas.openxmlformats.org/officeDocument/2006/relationships/hyperlink" Target="https://maps.google.com/?q=16.2907818,-95.2329182" TargetMode="External"/><Relationship Id="rId5330" Type="http://schemas.openxmlformats.org/officeDocument/2006/relationships/hyperlink" Target="https://maps.google.com/?q=15.8084569025921,-96.360026930000004" TargetMode="External"/><Relationship Id="rId829" Type="http://schemas.openxmlformats.org/officeDocument/2006/relationships/hyperlink" Target="https://maps.google.com/?q=15.701634688100706,-96.523394097404079" TargetMode="External"/><Relationship Id="rId9951" Type="http://schemas.openxmlformats.org/officeDocument/2006/relationships/hyperlink" Target="https://maps.google.com/?q=16.7132857465461,-96.711574446088804" TargetMode="External"/><Relationship Id="rId11881" Type="http://schemas.openxmlformats.org/officeDocument/2006/relationships/hyperlink" Target="https://maps.google.com/?q=17.453443025111177,-97.28538221478462" TargetMode="External"/><Relationship Id="rId12932" Type="http://schemas.openxmlformats.org/officeDocument/2006/relationships/hyperlink" Target="https://maps.google.com/?q=16.559024,-97.409525000000002" TargetMode="External"/><Relationship Id="rId1940" Type="http://schemas.openxmlformats.org/officeDocument/2006/relationships/hyperlink" Target="https://maps.google.com/?q=15.77742056891527,-96.137207099626565" TargetMode="External"/><Relationship Id="rId8553" Type="http://schemas.openxmlformats.org/officeDocument/2006/relationships/hyperlink" Target="https://maps.google.com/?q=16.9231620038103,-96.611426163194693" TargetMode="External"/><Relationship Id="rId9604" Type="http://schemas.openxmlformats.org/officeDocument/2006/relationships/hyperlink" Target="https://maps.google.com/?q=17.9964352327105,-96.742558338046095" TargetMode="External"/><Relationship Id="rId10483" Type="http://schemas.openxmlformats.org/officeDocument/2006/relationships/hyperlink" Target="https://maps.google.com/?q=17.8445182167995,-96.746770266022494" TargetMode="External"/><Relationship Id="rId11534" Type="http://schemas.openxmlformats.org/officeDocument/2006/relationships/hyperlink" Target="https://maps.google.com/?q=16.6166493465516,-96.856699613961595" TargetMode="External"/><Relationship Id="rId7155" Type="http://schemas.openxmlformats.org/officeDocument/2006/relationships/hyperlink" Target="https://maps.google.com/?q=16.2053123790778,-97.922300586686504" TargetMode="External"/><Relationship Id="rId8206" Type="http://schemas.openxmlformats.org/officeDocument/2006/relationships/hyperlink" Target="https://maps.google.com/?q=16.371786,-97.673599999999993" TargetMode="External"/><Relationship Id="rId10136" Type="http://schemas.openxmlformats.org/officeDocument/2006/relationships/hyperlink" Target="https://maps.google.com/?q=17.095463604279,-97.497456609299505" TargetMode="External"/><Relationship Id="rId3765" Type="http://schemas.openxmlformats.org/officeDocument/2006/relationships/hyperlink" Target="https://maps.google.com/?q=15.762884,-96.143677999999994" TargetMode="External"/><Relationship Id="rId4816" Type="http://schemas.openxmlformats.org/officeDocument/2006/relationships/hyperlink" Target="https://maps.google.com/?q=16.9069820500939,-96.496685324477696" TargetMode="External"/><Relationship Id="rId13359" Type="http://schemas.openxmlformats.org/officeDocument/2006/relationships/hyperlink" Target="https://maps.google.com/?q=16.3206195153564,-96.673699171459106" TargetMode="External"/><Relationship Id="rId686" Type="http://schemas.openxmlformats.org/officeDocument/2006/relationships/hyperlink" Target="https://maps.google.com/?q=16.060273,-97.386354999999995" TargetMode="External"/><Relationship Id="rId2367" Type="http://schemas.openxmlformats.org/officeDocument/2006/relationships/hyperlink" Target="https://maps.google.com/?q=17.0991916119325,-97.851482771827705" TargetMode="External"/><Relationship Id="rId3418" Type="http://schemas.openxmlformats.org/officeDocument/2006/relationships/hyperlink" Target="https://maps.google.com/?q=17.6348115184608,-97.080429648289694" TargetMode="External"/><Relationship Id="rId339" Type="http://schemas.openxmlformats.org/officeDocument/2006/relationships/hyperlink" Target="https://maps.google.com/?q=16.05233,-97.402203999999998" TargetMode="External"/><Relationship Id="rId6988" Type="http://schemas.openxmlformats.org/officeDocument/2006/relationships/hyperlink" Target="https://maps.google.com/?q=17.0354023062032,-97.299352713265804" TargetMode="External"/><Relationship Id="rId9461" Type="http://schemas.openxmlformats.org/officeDocument/2006/relationships/hyperlink" Target="https://maps.google.com/?q=15.8326686966097,-96.665920890530103" TargetMode="External"/><Relationship Id="rId13840" Type="http://schemas.openxmlformats.org/officeDocument/2006/relationships/hyperlink" Target="https://maps.google.com/?q=17.09147,-97.784908000000001" TargetMode="External"/><Relationship Id="rId8063" Type="http://schemas.openxmlformats.org/officeDocument/2006/relationships/hyperlink" Target="https://maps.google.com/?q=16.4970967430795,-97.374359285344198" TargetMode="External"/><Relationship Id="rId9114" Type="http://schemas.openxmlformats.org/officeDocument/2006/relationships/hyperlink" Target="https://maps.google.com/?q=17.040381,-96.728217999999998" TargetMode="External"/><Relationship Id="rId11391" Type="http://schemas.openxmlformats.org/officeDocument/2006/relationships/hyperlink" Target="https://maps.google.com/?q=17.1923623531477,-97.891843905169594" TargetMode="External"/><Relationship Id="rId12442" Type="http://schemas.openxmlformats.org/officeDocument/2006/relationships/hyperlink" Target="https://maps.google.com/?q=17.2206829657781,-97.270901606439907" TargetMode="External"/><Relationship Id="rId820" Type="http://schemas.openxmlformats.org/officeDocument/2006/relationships/hyperlink" Target="https://maps.google.com/?q=15.70038918879172,-96.524630103533681" TargetMode="External"/><Relationship Id="rId1450" Type="http://schemas.openxmlformats.org/officeDocument/2006/relationships/hyperlink" Target="https://maps.google.com/?q=18.111112,-96.62336100" TargetMode="External"/><Relationship Id="rId2501" Type="http://schemas.openxmlformats.org/officeDocument/2006/relationships/hyperlink" Target="https://maps.google.com/?q=17.05209732,-96.624261160000003" TargetMode="External"/><Relationship Id="rId11044" Type="http://schemas.openxmlformats.org/officeDocument/2006/relationships/hyperlink" Target="https://maps.google.com/?q=16.448646,-97.947695%20" TargetMode="External"/><Relationship Id="rId1103" Type="http://schemas.openxmlformats.org/officeDocument/2006/relationships/hyperlink" Target="https://maps.google.com/?q=17.223155,-97.118347" TargetMode="External"/><Relationship Id="rId4673" Type="http://schemas.openxmlformats.org/officeDocument/2006/relationships/hyperlink" Target="https://maps.google.com/?q=17.315463437888607,-96.48469160401864" TargetMode="External"/><Relationship Id="rId5724" Type="http://schemas.openxmlformats.org/officeDocument/2006/relationships/hyperlink" Target="https://maps.google.com/?q=16.3843942596,-96.364936698099996" TargetMode="External"/><Relationship Id="rId3275" Type="http://schemas.openxmlformats.org/officeDocument/2006/relationships/hyperlink" Target="https://maps.google.com/?q=17.0612588626285,-96.819032669056099" TargetMode="External"/><Relationship Id="rId4326" Type="http://schemas.openxmlformats.org/officeDocument/2006/relationships/hyperlink" Target="https://maps.google.com/?q=16.0144300027508,-96.611098523610707" TargetMode="External"/><Relationship Id="rId7896" Type="http://schemas.openxmlformats.org/officeDocument/2006/relationships/hyperlink" Target="https://maps.google.com/?q=16.3190293798108,-96.410487164061394" TargetMode="External"/><Relationship Id="rId8947" Type="http://schemas.openxmlformats.org/officeDocument/2006/relationships/hyperlink" Target="https://maps.google.com/?q=17.381312885,-96.162907106999995" TargetMode="External"/><Relationship Id="rId196" Type="http://schemas.openxmlformats.org/officeDocument/2006/relationships/hyperlink" Target="https://maps.google.com/?q=17.095035,-97.494039000000001" TargetMode="External"/><Relationship Id="rId6498" Type="http://schemas.openxmlformats.org/officeDocument/2006/relationships/hyperlink" Target="https://maps.google.com/?q=17.206262423897,-97.572419985522501" TargetMode="External"/><Relationship Id="rId7549" Type="http://schemas.openxmlformats.org/officeDocument/2006/relationships/hyperlink" Target="https://maps.google.com/?q=17.9802735494055,-96.703781305918497" TargetMode="External"/><Relationship Id="rId10877" Type="http://schemas.openxmlformats.org/officeDocument/2006/relationships/hyperlink" Target="https://maps.google.com/?q=16.3476105161458,-94.482113889549197" TargetMode="External"/><Relationship Id="rId11928" Type="http://schemas.openxmlformats.org/officeDocument/2006/relationships/hyperlink" Target="https://maps.google.com/?q=16.3317583888459,-95.239999490559896" TargetMode="External"/><Relationship Id="rId13350" Type="http://schemas.openxmlformats.org/officeDocument/2006/relationships/hyperlink" Target="https://maps.google.com/?q=16.3172503939274,-96.667090746620602" TargetMode="External"/><Relationship Id="rId330" Type="http://schemas.openxmlformats.org/officeDocument/2006/relationships/hyperlink" Target="https://maps.google.com/?q=16.054648,-97.397980000000004" TargetMode="External"/><Relationship Id="rId2011" Type="http://schemas.openxmlformats.org/officeDocument/2006/relationships/hyperlink" Target="https://maps.google.com/?q=15.757826056496896,-96.138778275622172" TargetMode="External"/><Relationship Id="rId13003" Type="http://schemas.openxmlformats.org/officeDocument/2006/relationships/hyperlink" Target="https://maps.google.com/?q=16.5032297,-97.557350700000001" TargetMode="External"/><Relationship Id="rId4183" Type="http://schemas.openxmlformats.org/officeDocument/2006/relationships/hyperlink" Target="https://maps.google.com/?q=16.391155,&#160;-98.109380" TargetMode="External"/><Relationship Id="rId5581" Type="http://schemas.openxmlformats.org/officeDocument/2006/relationships/hyperlink" Target="https://maps.google.com/?q=17.4446484015883,-96.183806337791694" TargetMode="External"/><Relationship Id="rId6632" Type="http://schemas.openxmlformats.org/officeDocument/2006/relationships/hyperlink" Target="https://maps.google.com/?q=16.185735,-96.455754" TargetMode="External"/><Relationship Id="rId5234" Type="http://schemas.openxmlformats.org/officeDocument/2006/relationships/hyperlink" Target="https://maps.google.com/?q=17.2872906523883,-97.366346600495802" TargetMode="External"/><Relationship Id="rId9855" Type="http://schemas.openxmlformats.org/officeDocument/2006/relationships/hyperlink" Target="https://maps.google.com/?q=16.6347321877465,-96.849281340188398" TargetMode="External"/><Relationship Id="rId11785" Type="http://schemas.openxmlformats.org/officeDocument/2006/relationships/hyperlink" Target="https://maps.google.com/?q=17.347514081131862,-97.55925607126808" TargetMode="External"/><Relationship Id="rId12836" Type="http://schemas.openxmlformats.org/officeDocument/2006/relationships/hyperlink" Target="https://maps.google.com/?q=17.51640691,-97.678798610000001" TargetMode="External"/><Relationship Id="rId69" Type="http://schemas.openxmlformats.org/officeDocument/2006/relationships/hyperlink" Target="https://maps.google.com/?q=15.912785,-96.450585000000004" TargetMode="External"/><Relationship Id="rId1844" Type="http://schemas.openxmlformats.org/officeDocument/2006/relationships/hyperlink" Target="https://maps.google.com/?q=18.0373681856619,-96.896419864991003" TargetMode="External"/><Relationship Id="rId8457" Type="http://schemas.openxmlformats.org/officeDocument/2006/relationships/hyperlink" Target="https://maps.google.com/?q=17.1505538275611,-97.526760509930199" TargetMode="External"/><Relationship Id="rId9508" Type="http://schemas.openxmlformats.org/officeDocument/2006/relationships/hyperlink" Target="https://maps.google.com/?q=17.250637801165333,-97.69345764407879" TargetMode="External"/><Relationship Id="rId10387" Type="http://schemas.openxmlformats.org/officeDocument/2006/relationships/hyperlink" Target="https://maps.google.com/?q=16.507956,-97.163252" TargetMode="External"/><Relationship Id="rId11438" Type="http://schemas.openxmlformats.org/officeDocument/2006/relationships/hyperlink" Target="https://maps.google.com/?q=16.0709,-97.305350000000004" TargetMode="External"/><Relationship Id="rId7059" Type="http://schemas.openxmlformats.org/officeDocument/2006/relationships/hyperlink" Target="https://maps.google.com/?q=16.1472184884826,-96.351752365934104" TargetMode="External"/><Relationship Id="rId3669" Type="http://schemas.openxmlformats.org/officeDocument/2006/relationships/hyperlink" Target="https://maps.google.com/?q=15.77386,-96.145306" TargetMode="External"/><Relationship Id="rId7540" Type="http://schemas.openxmlformats.org/officeDocument/2006/relationships/hyperlink" Target="https://maps.google.com/?q=17.9768864594205,-96.706196778565996" TargetMode="External"/><Relationship Id="rId5091" Type="http://schemas.openxmlformats.org/officeDocument/2006/relationships/hyperlink" Target="https://maps.google.com/?q=17.253074,-96.156902000000002" TargetMode="External"/><Relationship Id="rId6142" Type="http://schemas.openxmlformats.org/officeDocument/2006/relationships/hyperlink" Target="https://maps.google.com/?q=16.95359253,-96.612024230000003" TargetMode="External"/><Relationship Id="rId10521" Type="http://schemas.openxmlformats.org/officeDocument/2006/relationships/hyperlink" Target="https://maps.google.com/?q=17.8482662546121,-96.747636489405707" TargetMode="External"/><Relationship Id="rId12693" Type="http://schemas.openxmlformats.org/officeDocument/2006/relationships/hyperlink" Target="https://maps.google.com/?q=16.2831126421945,-96.503098718160103" TargetMode="External"/><Relationship Id="rId13744" Type="http://schemas.openxmlformats.org/officeDocument/2006/relationships/hyperlink" Target="https://maps.google.com/?q=17.129372,-96.801908" TargetMode="External"/><Relationship Id="rId2752" Type="http://schemas.openxmlformats.org/officeDocument/2006/relationships/hyperlink" Target="https://maps.google.com/?q=17.992768,-96.485926000000006" TargetMode="External"/><Relationship Id="rId3803" Type="http://schemas.openxmlformats.org/officeDocument/2006/relationships/hyperlink" Target="https://maps.google.com/?q=15.7720349303156,-96.246075143754652" TargetMode="External"/><Relationship Id="rId9365" Type="http://schemas.openxmlformats.org/officeDocument/2006/relationships/hyperlink" Target="https://maps.google.com/?q=16.8186028418505,-95.135426981074303" TargetMode="External"/><Relationship Id="rId11295" Type="http://schemas.openxmlformats.org/officeDocument/2006/relationships/hyperlink" Target="https://maps.google.com/?q=17.8673073835456,-96.308796577791" TargetMode="External"/><Relationship Id="rId12346" Type="http://schemas.openxmlformats.org/officeDocument/2006/relationships/hyperlink" Target="https://maps.google.com/?q=17.05477046866341,-96.65325973448637" TargetMode="External"/><Relationship Id="rId724" Type="http://schemas.openxmlformats.org/officeDocument/2006/relationships/hyperlink" Target="https://maps.google.com/?q=17.222228,-97.122439999999997" TargetMode="External"/><Relationship Id="rId1354" Type="http://schemas.openxmlformats.org/officeDocument/2006/relationships/hyperlink" Target="https://maps.google.com/?q=17.02036689,-96.71811224" TargetMode="External"/><Relationship Id="rId2405" Type="http://schemas.openxmlformats.org/officeDocument/2006/relationships/hyperlink" Target="https://maps.google.com/?q=17.049615392378048,-96.625302584380577" TargetMode="External"/><Relationship Id="rId5975" Type="http://schemas.openxmlformats.org/officeDocument/2006/relationships/hyperlink" Target="https://maps.google.com/?q=18.154504796734777,-96.576646499187802" TargetMode="External"/><Relationship Id="rId9018" Type="http://schemas.openxmlformats.org/officeDocument/2006/relationships/hyperlink" Target="https://maps.google.com/?q=17.383928498,-96.162530282000006" TargetMode="External"/><Relationship Id="rId60" Type="http://schemas.openxmlformats.org/officeDocument/2006/relationships/hyperlink" Target="https://maps.google.com/?q=15.905309,-96.449188000000007" TargetMode="External"/><Relationship Id="rId1007" Type="http://schemas.openxmlformats.org/officeDocument/2006/relationships/hyperlink" Target="https://maps.google.com/?q=15.695875675045059,-96.523398937734385" TargetMode="External"/><Relationship Id="rId4577" Type="http://schemas.openxmlformats.org/officeDocument/2006/relationships/hyperlink" Target="https://maps.google.com/?q=16.554028,-96.814317000000003" TargetMode="External"/><Relationship Id="rId5628" Type="http://schemas.openxmlformats.org/officeDocument/2006/relationships/hyperlink" Target="https://maps.google.com/?q=17.562173463446,-96.180336251996593" TargetMode="External"/><Relationship Id="rId3179" Type="http://schemas.openxmlformats.org/officeDocument/2006/relationships/hyperlink" Target="https://maps.google.com/?q=16.551082,-97.500405000000001" TargetMode="External"/><Relationship Id="rId7050" Type="http://schemas.openxmlformats.org/officeDocument/2006/relationships/hyperlink" Target="https://maps.google.com/?q=16.1464699161258,-96.348830204914506" TargetMode="External"/><Relationship Id="rId8101" Type="http://schemas.openxmlformats.org/officeDocument/2006/relationships/hyperlink" Target="https://maps.google.com/?q=17.3548979824452,-96.302553940059497" TargetMode="External"/><Relationship Id="rId10031" Type="http://schemas.openxmlformats.org/officeDocument/2006/relationships/hyperlink" Target="https://maps.google.com/?q=16.9010874130405,-96.324904593822595" TargetMode="External"/><Relationship Id="rId581" Type="http://schemas.openxmlformats.org/officeDocument/2006/relationships/hyperlink" Target="https://maps.google.com/?q=16.054417,-97.398411999999993" TargetMode="External"/><Relationship Id="rId2262" Type="http://schemas.openxmlformats.org/officeDocument/2006/relationships/hyperlink" Target="https://maps.google.com/?q=18.0947188914947,-96.930702952090101" TargetMode="External"/><Relationship Id="rId3660" Type="http://schemas.openxmlformats.org/officeDocument/2006/relationships/hyperlink" Target="https://maps.google.com/?q=15.78166172899591,-96.134209704116415" TargetMode="External"/><Relationship Id="rId4711" Type="http://schemas.openxmlformats.org/officeDocument/2006/relationships/hyperlink" Target="https://maps.google.com/?q=17.080164,-96.726157000000001" TargetMode="External"/><Relationship Id="rId13254" Type="http://schemas.openxmlformats.org/officeDocument/2006/relationships/hyperlink" Target="https://maps.google.com/?q=17.1531721461605,-96.746995409447706" TargetMode="External"/><Relationship Id="rId234" Type="http://schemas.openxmlformats.org/officeDocument/2006/relationships/hyperlink" Target="https://maps.google.com/?q=16.88268,-97.674850000000006" TargetMode="External"/><Relationship Id="rId3313" Type="http://schemas.openxmlformats.org/officeDocument/2006/relationships/hyperlink" Target="https://maps.google.com/?q=17.0644608860785,-96.808566041401704" TargetMode="External"/><Relationship Id="rId6883" Type="http://schemas.openxmlformats.org/officeDocument/2006/relationships/hyperlink" Target="https://maps.google.com/?q=16.9718487252211,-97.087979251695899" TargetMode="External"/><Relationship Id="rId7934" Type="http://schemas.openxmlformats.org/officeDocument/2006/relationships/hyperlink" Target="https://maps.google.com/?q=16.3245432559706,-96.407830510415906" TargetMode="External"/><Relationship Id="rId5485" Type="http://schemas.openxmlformats.org/officeDocument/2006/relationships/hyperlink" Target="https://maps.google.com/?q=16.324431,-96.499195999999998" TargetMode="External"/><Relationship Id="rId6536" Type="http://schemas.openxmlformats.org/officeDocument/2006/relationships/hyperlink" Target="https://maps.google.com/?q=17.319695333951543,-96.49490096197181" TargetMode="External"/><Relationship Id="rId10915" Type="http://schemas.openxmlformats.org/officeDocument/2006/relationships/hyperlink" Target="https://maps.google.com/?q=16.1905862525338,-95.186922240000001" TargetMode="External"/><Relationship Id="rId4087" Type="http://schemas.openxmlformats.org/officeDocument/2006/relationships/hyperlink" Target="https://maps.google.com/?q=17.05601879,-96.745880600000007" TargetMode="External"/><Relationship Id="rId5138" Type="http://schemas.openxmlformats.org/officeDocument/2006/relationships/hyperlink" Target="https://maps.google.com/?q=17.254534,-96.155201000000005" TargetMode="External"/><Relationship Id="rId9759" Type="http://schemas.openxmlformats.org/officeDocument/2006/relationships/hyperlink" Target="https://maps.google.com/?q=17.2792158261238,-96.793981000959405" TargetMode="External"/><Relationship Id="rId1748" Type="http://schemas.openxmlformats.org/officeDocument/2006/relationships/hyperlink" Target="https://maps.google.com/?q=18.06069316,-96.850084879999997" TargetMode="External"/><Relationship Id="rId11689" Type="http://schemas.openxmlformats.org/officeDocument/2006/relationships/hyperlink" Target="https://maps.google.com/?q=17.17896399,-97.710777609999994" TargetMode="External"/><Relationship Id="rId14162" Type="http://schemas.openxmlformats.org/officeDocument/2006/relationships/hyperlink" Target="https://maps.google.com/?q=17.88643758610804,-96.72391960273018" TargetMode="External"/><Relationship Id="rId3170" Type="http://schemas.openxmlformats.org/officeDocument/2006/relationships/hyperlink" Target="https://maps.google.com/?q=16.549212,-97.501330999999993" TargetMode="External"/><Relationship Id="rId4221" Type="http://schemas.openxmlformats.org/officeDocument/2006/relationships/hyperlink" Target="https://maps.google.com/?q=17.806621,-97.776161999999999" TargetMode="External"/><Relationship Id="rId6393" Type="http://schemas.openxmlformats.org/officeDocument/2006/relationships/hyperlink" Target="https://maps.google.com/?q=17.2103258067952,-97.571769496269496" TargetMode="External"/><Relationship Id="rId7791" Type="http://schemas.openxmlformats.org/officeDocument/2006/relationships/hyperlink" Target="https://maps.google.com/?q=17.8446946121023,-96.746201251532398" TargetMode="External"/><Relationship Id="rId8842" Type="http://schemas.openxmlformats.org/officeDocument/2006/relationships/hyperlink" Target="https://maps.google.com/?q=17.218007,-96.243842999999998" TargetMode="External"/><Relationship Id="rId10772" Type="http://schemas.openxmlformats.org/officeDocument/2006/relationships/hyperlink" Target="https://maps.google.com/?q=16.905679,-96.563095" TargetMode="External"/><Relationship Id="rId11823" Type="http://schemas.openxmlformats.org/officeDocument/2006/relationships/hyperlink" Target="https://maps.google.com/?q=16.253439501947945,-96.59589965617943" TargetMode="External"/><Relationship Id="rId6046" Type="http://schemas.openxmlformats.org/officeDocument/2006/relationships/hyperlink" Target="https://maps.google.com/?q=18.157065075930372,-96.576667679057167" TargetMode="External"/><Relationship Id="rId7444" Type="http://schemas.openxmlformats.org/officeDocument/2006/relationships/hyperlink" Target="https://maps.google.com/?q=16.3199617608673,-96.673691450319097" TargetMode="External"/><Relationship Id="rId10425" Type="http://schemas.openxmlformats.org/officeDocument/2006/relationships/hyperlink" Target="https://maps.google.com/?q=17.061595,-96.799025999999998" TargetMode="External"/><Relationship Id="rId13995" Type="http://schemas.openxmlformats.org/officeDocument/2006/relationships/hyperlink" Target="https://maps.google.com/?q=15.8013583333333,-96.0922111111111" TargetMode="External"/><Relationship Id="rId12597" Type="http://schemas.openxmlformats.org/officeDocument/2006/relationships/hyperlink" Target="https://maps.google.com/?q=16.5225392224077,-96.981984424265605" TargetMode="External"/><Relationship Id="rId13648" Type="http://schemas.openxmlformats.org/officeDocument/2006/relationships/hyperlink" Target="https://maps.google.com/?q=17.06735,-96.200380" TargetMode="External"/><Relationship Id="rId975" Type="http://schemas.openxmlformats.org/officeDocument/2006/relationships/hyperlink" Target="https://maps.google.com/?q=15.68957317504993,-96.515984871954757" TargetMode="External"/><Relationship Id="rId2656" Type="http://schemas.openxmlformats.org/officeDocument/2006/relationships/hyperlink" Target="https://maps.google.com/?q=17.6250634800772,-97.232099169311496" TargetMode="External"/><Relationship Id="rId3707" Type="http://schemas.openxmlformats.org/officeDocument/2006/relationships/hyperlink" Target="https://maps.google.com/?q=15.757907848855227,-96.139504509512363" TargetMode="External"/><Relationship Id="rId9269" Type="http://schemas.openxmlformats.org/officeDocument/2006/relationships/hyperlink" Target="https://maps.google.com/?q=17.3781824008681,-96.300572572971902" TargetMode="External"/><Relationship Id="rId11199" Type="http://schemas.openxmlformats.org/officeDocument/2006/relationships/hyperlink" Target="https://maps.google.com/?q=16.846273,-96.009519999999995" TargetMode="External"/><Relationship Id="rId628" Type="http://schemas.openxmlformats.org/officeDocument/2006/relationships/hyperlink" Target="https://maps.google.com/?q=16.054565,-97.394046000000003" TargetMode="External"/><Relationship Id="rId1258" Type="http://schemas.openxmlformats.org/officeDocument/2006/relationships/hyperlink" Target="https://maps.google.com/?q=17.058568,-96.743064000000004" TargetMode="External"/><Relationship Id="rId2309" Type="http://schemas.openxmlformats.org/officeDocument/2006/relationships/hyperlink" Target="https://maps.google.com/?q=18.1057102481142,-96.879697640590294" TargetMode="External"/><Relationship Id="rId5879" Type="http://schemas.openxmlformats.org/officeDocument/2006/relationships/hyperlink" Target="https://maps.google.com/?q=18.144946497625842,-96.563915840270738" TargetMode="External"/><Relationship Id="rId9750" Type="http://schemas.openxmlformats.org/officeDocument/2006/relationships/hyperlink" Target="https://maps.google.com/?q=17.2760815215134,-96.796107512328007" TargetMode="External"/><Relationship Id="rId8352" Type="http://schemas.openxmlformats.org/officeDocument/2006/relationships/hyperlink" Target="https://maps.google.com/?q=16.8438467308464,-97.199043364604293" TargetMode="External"/><Relationship Id="rId9403" Type="http://schemas.openxmlformats.org/officeDocument/2006/relationships/hyperlink" Target="https://maps.google.com/?q=16.8218752477688,-95.141701976745907" TargetMode="External"/><Relationship Id="rId11680" Type="http://schemas.openxmlformats.org/officeDocument/2006/relationships/hyperlink" Target="https://maps.google.com/?q=17.17767399,-97.709231700000004" TargetMode="External"/><Relationship Id="rId12731" Type="http://schemas.openxmlformats.org/officeDocument/2006/relationships/hyperlink" Target="https://maps.google.com/?q=16.2870387503784,-96.504426327218695" TargetMode="External"/><Relationship Id="rId8005" Type="http://schemas.openxmlformats.org/officeDocument/2006/relationships/hyperlink" Target="https://maps.google.com/?q=18.1639495173629,-96.8789164920654" TargetMode="External"/><Relationship Id="rId10282" Type="http://schemas.openxmlformats.org/officeDocument/2006/relationships/hyperlink" Target="https://maps.google.com/?q=16.246067,-95.145861999999994" TargetMode="External"/><Relationship Id="rId11333" Type="http://schemas.openxmlformats.org/officeDocument/2006/relationships/hyperlink" Target="https://maps.google.com/?q=16.64871769,-97.530182839999995" TargetMode="External"/><Relationship Id="rId4962" Type="http://schemas.openxmlformats.org/officeDocument/2006/relationships/hyperlink" Target="https://maps.google.com/?q=17.9669566100216,-96.741904778739098" TargetMode="External"/><Relationship Id="rId3564" Type="http://schemas.openxmlformats.org/officeDocument/2006/relationships/hyperlink" Target="https://maps.google.com/?q=15.77535926548166,-96.136350055465272" TargetMode="External"/><Relationship Id="rId4615" Type="http://schemas.openxmlformats.org/officeDocument/2006/relationships/hyperlink" Target="https://maps.google.com/?q=16.559106,-96.817795000000004" TargetMode="External"/><Relationship Id="rId13158" Type="http://schemas.openxmlformats.org/officeDocument/2006/relationships/hyperlink" Target="https://maps.google.com/?q=16.565796072402,-97.013859230307006" TargetMode="External"/><Relationship Id="rId485" Type="http://schemas.openxmlformats.org/officeDocument/2006/relationships/hyperlink" Target="https://maps.google.com/?q=16.055149,-97.408117000000004" TargetMode="External"/><Relationship Id="rId2166" Type="http://schemas.openxmlformats.org/officeDocument/2006/relationships/hyperlink" Target="https://maps.google.com/?q=15.760368703406533,-96.145345104396114" TargetMode="External"/><Relationship Id="rId3217" Type="http://schemas.openxmlformats.org/officeDocument/2006/relationships/hyperlink" Target="https://maps.google.com/?q=17.8026110943038,-96.001130303075698" TargetMode="External"/><Relationship Id="rId6787" Type="http://schemas.openxmlformats.org/officeDocument/2006/relationships/hyperlink" Target="https://maps.google.com/?q=16.6407791189361,&#160;-97.039361411" TargetMode="External"/><Relationship Id="rId7838" Type="http://schemas.openxmlformats.org/officeDocument/2006/relationships/hyperlink" Target="https://maps.google.com/?q=16.8517715234841,-95.092290291996704" TargetMode="External"/><Relationship Id="rId138" Type="http://schemas.openxmlformats.org/officeDocument/2006/relationships/hyperlink" Target="https://maps.google.com/?q=17.093053,-97.497435999999993" TargetMode="External"/><Relationship Id="rId5389" Type="http://schemas.openxmlformats.org/officeDocument/2006/relationships/hyperlink" Target="https://maps.google.com/?q=16.0911102072584,-97.689709123031506" TargetMode="External"/><Relationship Id="rId9260" Type="http://schemas.openxmlformats.org/officeDocument/2006/relationships/hyperlink" Target="https://maps.google.com/?q=17.3776757356805,-96.301644711995607" TargetMode="External"/><Relationship Id="rId10819" Type="http://schemas.openxmlformats.org/officeDocument/2006/relationships/hyperlink" Target="https://maps.google.com/?q=16.4018827559153,-94.461516991401595" TargetMode="External"/><Relationship Id="rId11190" Type="http://schemas.openxmlformats.org/officeDocument/2006/relationships/hyperlink" Target="https://maps.google.com/?q=16.845603,-96.011218" TargetMode="External"/><Relationship Id="rId12241" Type="http://schemas.openxmlformats.org/officeDocument/2006/relationships/hyperlink" Target="https://maps.google.com/?q=16.4214875300779,-97.229376282798597" TargetMode="External"/><Relationship Id="rId2300" Type="http://schemas.openxmlformats.org/officeDocument/2006/relationships/hyperlink" Target="https://maps.google.com/?q=18.1039120809605,-96.876430540059502" TargetMode="External"/><Relationship Id="rId1999" Type="http://schemas.openxmlformats.org/officeDocument/2006/relationships/hyperlink" Target="https://maps.google.com/?q=15.757586013138095,-96.143192547642755" TargetMode="External"/><Relationship Id="rId4472" Type="http://schemas.openxmlformats.org/officeDocument/2006/relationships/hyperlink" Target="https://maps.google.com/?q=17.169029919011,-97.309144469043602" TargetMode="External"/><Relationship Id="rId5870" Type="http://schemas.openxmlformats.org/officeDocument/2006/relationships/hyperlink" Target="https://maps.google.com/?q=17.5048176827659,-96.547489559524706" TargetMode="External"/><Relationship Id="rId6921" Type="http://schemas.openxmlformats.org/officeDocument/2006/relationships/hyperlink" Target="https://maps.google.com/?q=16.309434,-95.261613299999993" TargetMode="External"/><Relationship Id="rId3074" Type="http://schemas.openxmlformats.org/officeDocument/2006/relationships/hyperlink" Target="https://maps.google.com/?q=16.9641552022809,-96.941397712268397" TargetMode="External"/><Relationship Id="rId4125" Type="http://schemas.openxmlformats.org/officeDocument/2006/relationships/hyperlink" Target="https://maps.google.com/?q=18.111112,-96.623361" TargetMode="External"/><Relationship Id="rId5523" Type="http://schemas.openxmlformats.org/officeDocument/2006/relationships/hyperlink" Target="https://maps.google.com/?q=17.281380936452,-97.367820132991497" TargetMode="External"/><Relationship Id="rId14066" Type="http://schemas.openxmlformats.org/officeDocument/2006/relationships/hyperlink" Target="https://maps.google.com/?q=16.885151562375302,-96.1590469194881" TargetMode="External"/><Relationship Id="rId7695" Type="http://schemas.openxmlformats.org/officeDocument/2006/relationships/hyperlink" Target="https://maps.google.com/?q=16.625938193453,-96.7950078950185" TargetMode="External"/><Relationship Id="rId8746" Type="http://schemas.openxmlformats.org/officeDocument/2006/relationships/hyperlink" Target="https://maps.google.com/?q=18.0686597394505,-96.124501417825897" TargetMode="External"/><Relationship Id="rId10676" Type="http://schemas.openxmlformats.org/officeDocument/2006/relationships/hyperlink" Target="https://maps.google.com/?q=15.7098894481166,-96.258573412410698" TargetMode="External"/><Relationship Id="rId11727" Type="http://schemas.openxmlformats.org/officeDocument/2006/relationships/hyperlink" Target="https://maps.google.com/?q=17.18592431,-97.711541850000003" TargetMode="External"/><Relationship Id="rId6297" Type="http://schemas.openxmlformats.org/officeDocument/2006/relationships/hyperlink" Target="https://maps.google.com/?q=18.0562247727817,-96.400496396082502" TargetMode="External"/><Relationship Id="rId7348" Type="http://schemas.openxmlformats.org/officeDocument/2006/relationships/hyperlink" Target="https://maps.google.com/?q=16.550163,-97.681711000000007" TargetMode="External"/><Relationship Id="rId10329" Type="http://schemas.openxmlformats.org/officeDocument/2006/relationships/hyperlink" Target="https://maps.google.com/?q=16.23083924,-97.266556820000005" TargetMode="External"/><Relationship Id="rId13899" Type="http://schemas.openxmlformats.org/officeDocument/2006/relationships/hyperlink" Target="https://maps.google.com/?q=16.3128916045745,-96.40356832737054" TargetMode="External"/><Relationship Id="rId3958" Type="http://schemas.openxmlformats.org/officeDocument/2006/relationships/hyperlink" Target="https://maps.google.com/?q=17.061239,-96.756981999999994" TargetMode="External"/><Relationship Id="rId879" Type="http://schemas.openxmlformats.org/officeDocument/2006/relationships/hyperlink" Target="https://maps.google.com/?q=17.093707,-97.497219999999999" TargetMode="External"/><Relationship Id="rId5380" Type="http://schemas.openxmlformats.org/officeDocument/2006/relationships/hyperlink" Target="https://maps.google.com/?q=15.9761394175277,-97.241598177909793" TargetMode="External"/><Relationship Id="rId6431" Type="http://schemas.openxmlformats.org/officeDocument/2006/relationships/hyperlink" Target="https://maps.google.com/?q=17.34349364,-97.560053969999998" TargetMode="External"/><Relationship Id="rId10810" Type="http://schemas.openxmlformats.org/officeDocument/2006/relationships/hyperlink" Target="https://maps.google.com/?q=16.39203,-94.455669999999998" TargetMode="External"/><Relationship Id="rId5033" Type="http://schemas.openxmlformats.org/officeDocument/2006/relationships/hyperlink" Target="https://maps.google.com/?q=17.251294,-96.156650999999997" TargetMode="External"/><Relationship Id="rId12982" Type="http://schemas.openxmlformats.org/officeDocument/2006/relationships/hyperlink" Target="https://maps.google.com/?q=16.5003583,-97.555604000000002" TargetMode="External"/><Relationship Id="rId1990" Type="http://schemas.openxmlformats.org/officeDocument/2006/relationships/hyperlink" Target="https://maps.google.com/?q=15.775864,-96.143823" TargetMode="External"/><Relationship Id="rId8256" Type="http://schemas.openxmlformats.org/officeDocument/2006/relationships/hyperlink" Target="https://maps.google.com/?q=17.022253,&#160;-96.748345" TargetMode="External"/><Relationship Id="rId9654" Type="http://schemas.openxmlformats.org/officeDocument/2006/relationships/hyperlink" Target="https://maps.google.com/?q=16.3162913403792,-96.586706947256005" TargetMode="External"/><Relationship Id="rId11584" Type="http://schemas.openxmlformats.org/officeDocument/2006/relationships/hyperlink" Target="https://maps.google.com/?q=16.8515702048463,-96.7523952048588" TargetMode="External"/><Relationship Id="rId12635" Type="http://schemas.openxmlformats.org/officeDocument/2006/relationships/hyperlink" Target="https://maps.google.com/?q=17.117007,-96.853368000000003" TargetMode="External"/><Relationship Id="rId1643" Type="http://schemas.openxmlformats.org/officeDocument/2006/relationships/hyperlink" Target="https://maps.google.com/?q=16.8927591477329,-96.933993397137399" TargetMode="External"/><Relationship Id="rId9307" Type="http://schemas.openxmlformats.org/officeDocument/2006/relationships/hyperlink" Target="https://maps.google.com/?q=16.8149005007694,-95.135223133189101" TargetMode="External"/><Relationship Id="rId10186" Type="http://schemas.openxmlformats.org/officeDocument/2006/relationships/hyperlink" Target="https://maps.google.com/?q=17.247723960597714,-97.38850125367715" TargetMode="External"/><Relationship Id="rId11237" Type="http://schemas.openxmlformats.org/officeDocument/2006/relationships/hyperlink" Target="https://maps.google.com/?q=17.8596147166626,-96.304320404798204" TargetMode="External"/><Relationship Id="rId4866" Type="http://schemas.openxmlformats.org/officeDocument/2006/relationships/hyperlink" Target="https://maps.google.com/?q=16.790822265503,-96.396096206745895" TargetMode="External"/><Relationship Id="rId5917" Type="http://schemas.openxmlformats.org/officeDocument/2006/relationships/hyperlink" Target="https://maps.google.com/?q=18.148353792864217,-96.566999235730293" TargetMode="External"/><Relationship Id="rId3468" Type="http://schemas.openxmlformats.org/officeDocument/2006/relationships/hyperlink" Target="https://maps.google.com/?q=17.9132860135989,-97.996861172827494" TargetMode="External"/><Relationship Id="rId4519" Type="http://schemas.openxmlformats.org/officeDocument/2006/relationships/hyperlink" Target="https://maps.google.com/?q=17.181098564936,-97.304880055225397" TargetMode="External"/><Relationship Id="rId10320" Type="http://schemas.openxmlformats.org/officeDocument/2006/relationships/hyperlink" Target="https://maps.google.com/?q=16.22773356,-97.266210790000002" TargetMode="External"/><Relationship Id="rId389" Type="http://schemas.openxmlformats.org/officeDocument/2006/relationships/hyperlink" Target="https://maps.google.com/?q=16.063259,-97.380872999999994" TargetMode="External"/><Relationship Id="rId13890" Type="http://schemas.openxmlformats.org/officeDocument/2006/relationships/hyperlink" Target="https://maps.google.com/?q=16.277378228938,-96.567763211726103" TargetMode="External"/><Relationship Id="rId870" Type="http://schemas.openxmlformats.org/officeDocument/2006/relationships/hyperlink" Target="https://maps.google.com/?q=17.097353,-97.496498000000003" TargetMode="External"/><Relationship Id="rId2551" Type="http://schemas.openxmlformats.org/officeDocument/2006/relationships/hyperlink" Target="https://maps.google.com/?q=17.758685,-96.198848999999996" TargetMode="External"/><Relationship Id="rId9164" Type="http://schemas.openxmlformats.org/officeDocument/2006/relationships/hyperlink" Target="https://maps.google.com/?q=17.0028967781528,-96.957928685305703" TargetMode="External"/><Relationship Id="rId11094" Type="http://schemas.openxmlformats.org/officeDocument/2006/relationships/hyperlink" Target="https://maps.google.com/?q=17.25457,-96.15521" TargetMode="External"/><Relationship Id="rId12492" Type="http://schemas.openxmlformats.org/officeDocument/2006/relationships/hyperlink" Target="https://maps.google.com/?q=17.2226494392849,-97.272324562434306" TargetMode="External"/><Relationship Id="rId13543" Type="http://schemas.openxmlformats.org/officeDocument/2006/relationships/hyperlink" Target="https://maps.google.com/?q=16.320492751781046,-97.74946775561142" TargetMode="External"/><Relationship Id="rId523" Type="http://schemas.openxmlformats.org/officeDocument/2006/relationships/hyperlink" Target="https://maps.google.com/?q=16.054679,-97.406904999999995" TargetMode="External"/><Relationship Id="rId1153" Type="http://schemas.openxmlformats.org/officeDocument/2006/relationships/hyperlink" Target="https://maps.google.com/?q=16.929877,-97.143266999999994" TargetMode="External"/><Relationship Id="rId2204" Type="http://schemas.openxmlformats.org/officeDocument/2006/relationships/hyperlink" Target="https://maps.google.com/?q=16.9819041657709,-97.2316972627887" TargetMode="External"/><Relationship Id="rId3602" Type="http://schemas.openxmlformats.org/officeDocument/2006/relationships/hyperlink" Target="https://maps.google.com/?q=15.776620470073704,-96.136798653678753" TargetMode="External"/><Relationship Id="rId12145" Type="http://schemas.openxmlformats.org/officeDocument/2006/relationships/hyperlink" Target="https://maps.google.com/?q=16.286935,-97.672838333333303" TargetMode="External"/><Relationship Id="rId5774" Type="http://schemas.openxmlformats.org/officeDocument/2006/relationships/hyperlink" Target="https://maps.google.com/?q=16.999808,-97.233935000000002" TargetMode="External"/><Relationship Id="rId6825" Type="http://schemas.openxmlformats.org/officeDocument/2006/relationships/hyperlink" Target="https://maps.google.com/?q=16.0629858687486,-97.173835682209102" TargetMode="External"/><Relationship Id="rId4376" Type="http://schemas.openxmlformats.org/officeDocument/2006/relationships/hyperlink" Target="https://maps.google.com/?q=15.99569915,-96.681429390000005" TargetMode="External"/><Relationship Id="rId5427" Type="http://schemas.openxmlformats.org/officeDocument/2006/relationships/hyperlink" Target="https://maps.google.com/?q=16.0006270123685,-97.425299868715499" TargetMode="External"/><Relationship Id="rId8997" Type="http://schemas.openxmlformats.org/officeDocument/2006/relationships/hyperlink" Target="https://maps.google.com/?q=17.382142214,-96.166486344000006" TargetMode="External"/><Relationship Id="rId4029" Type="http://schemas.openxmlformats.org/officeDocument/2006/relationships/hyperlink" Target="https://maps.google.com/?q=17.02036688529484,-96.718112242423189" TargetMode="External"/><Relationship Id="rId7599" Type="http://schemas.openxmlformats.org/officeDocument/2006/relationships/hyperlink" Target="https://maps.google.com/?q=17.0964912200539,-95.856634473373404" TargetMode="External"/><Relationship Id="rId11978" Type="http://schemas.openxmlformats.org/officeDocument/2006/relationships/hyperlink" Target="https://maps.google.com/?q=16.7999647769186,-96.718299706627107" TargetMode="External"/><Relationship Id="rId4510" Type="http://schemas.openxmlformats.org/officeDocument/2006/relationships/hyperlink" Target="https://maps.google.com/?q=17.1795379697329,-97.304536093254001" TargetMode="External"/><Relationship Id="rId13053" Type="http://schemas.openxmlformats.org/officeDocument/2006/relationships/hyperlink" Target="https://maps.google.com/?q=16.562563,-97.534687399999996" TargetMode="External"/><Relationship Id="rId14104" Type="http://schemas.openxmlformats.org/officeDocument/2006/relationships/hyperlink" Target="https://maps.google.com/?q=17.71088732,-97.0616001" TargetMode="External"/><Relationship Id="rId380" Type="http://schemas.openxmlformats.org/officeDocument/2006/relationships/hyperlink" Target="https://maps.google.com/?q=16.050431,-97.415443999999994" TargetMode="External"/><Relationship Id="rId2061" Type="http://schemas.openxmlformats.org/officeDocument/2006/relationships/hyperlink" Target="https://maps.google.com/?q=15.76944369564522,-96.234750314803648" TargetMode="External"/><Relationship Id="rId3112" Type="http://schemas.openxmlformats.org/officeDocument/2006/relationships/hyperlink" Target="https://maps.google.com/?q=15.9972766501,-96.465848351800005" TargetMode="External"/><Relationship Id="rId6682" Type="http://schemas.openxmlformats.org/officeDocument/2006/relationships/hyperlink" Target="https://maps.google.com/?q=16.9375963942768,-96.9733344438595" TargetMode="External"/><Relationship Id="rId5284" Type="http://schemas.openxmlformats.org/officeDocument/2006/relationships/hyperlink" Target="https://maps.google.com/?q=15.8304363586237,-96.464573014715995" TargetMode="External"/><Relationship Id="rId6335" Type="http://schemas.openxmlformats.org/officeDocument/2006/relationships/hyperlink" Target="https://maps.google.com/?q=18.0604839642954,-96.402525227016696" TargetMode="External"/><Relationship Id="rId7733" Type="http://schemas.openxmlformats.org/officeDocument/2006/relationships/hyperlink" Target="https://maps.google.com/?q=16.6307384644434,-96.803111104239505" TargetMode="External"/><Relationship Id="rId10714" Type="http://schemas.openxmlformats.org/officeDocument/2006/relationships/hyperlink" Target="https://maps.google.com/?q=17.331248,-96.487900999999994" TargetMode="External"/><Relationship Id="rId12886" Type="http://schemas.openxmlformats.org/officeDocument/2006/relationships/hyperlink" Target="https://maps.google.com/?q=16.523815,-97.467652000000001" TargetMode="External"/><Relationship Id="rId13937" Type="http://schemas.openxmlformats.org/officeDocument/2006/relationships/hyperlink" Target="https://maps.google.com/?q=17.675253785016647,-98.22013227399431" TargetMode="External"/><Relationship Id="rId1894" Type="http://schemas.openxmlformats.org/officeDocument/2006/relationships/hyperlink" Target="https://maps.google.com/?q=15.776446335884645,-96.136605248379041" TargetMode="External"/><Relationship Id="rId2945" Type="http://schemas.openxmlformats.org/officeDocument/2006/relationships/hyperlink" Target="https://maps.google.com/?q=17.08329036,-96.668257530000005" TargetMode="External"/><Relationship Id="rId9558" Type="http://schemas.openxmlformats.org/officeDocument/2006/relationships/hyperlink" Target="https://maps.google.com/?q=17.35819,-96.294387" TargetMode="External"/><Relationship Id="rId11488" Type="http://schemas.openxmlformats.org/officeDocument/2006/relationships/hyperlink" Target="https://maps.google.com/?q=16.3068012478742,-96.635651389661405" TargetMode="External"/><Relationship Id="rId12539" Type="http://schemas.openxmlformats.org/officeDocument/2006/relationships/hyperlink" Target="https://maps.google.com/?q=16.9696935010586,-97.913024178659398" TargetMode="External"/><Relationship Id="rId917" Type="http://schemas.openxmlformats.org/officeDocument/2006/relationships/hyperlink" Target="https://maps.google.com/?q=17.223037,-97.119332999999997" TargetMode="External"/><Relationship Id="rId1547" Type="http://schemas.openxmlformats.org/officeDocument/2006/relationships/hyperlink" Target="https://maps.google.com/?q=17.06286,-96.757170000000002" TargetMode="External"/><Relationship Id="rId4020" Type="http://schemas.openxmlformats.org/officeDocument/2006/relationships/hyperlink" Target="https://maps.google.com/?q=17.018946802456792,-96.718225001774229" TargetMode="External"/><Relationship Id="rId7590" Type="http://schemas.openxmlformats.org/officeDocument/2006/relationships/hyperlink" Target="https://maps.google.com/?q=17.0940951345425,-95.853587847791403" TargetMode="External"/><Relationship Id="rId8641" Type="http://schemas.openxmlformats.org/officeDocument/2006/relationships/hyperlink" Target="https://maps.google.com/?q=16.274018742459,-94.532679991946196" TargetMode="External"/><Relationship Id="rId6192" Type="http://schemas.openxmlformats.org/officeDocument/2006/relationships/hyperlink" Target="https://maps.google.com/?q=16.092476,-97.081721999999999" TargetMode="External"/><Relationship Id="rId7243" Type="http://schemas.openxmlformats.org/officeDocument/2006/relationships/hyperlink" Target="https://maps.google.com/?q=16.096712428412,-97.923796940000003" TargetMode="External"/><Relationship Id="rId10571" Type="http://schemas.openxmlformats.org/officeDocument/2006/relationships/hyperlink" Target="https://maps.google.com/?q=17.089604112241,-97.776517441361307" TargetMode="External"/><Relationship Id="rId11622" Type="http://schemas.openxmlformats.org/officeDocument/2006/relationships/hyperlink" Target="https://maps.google.com/?q=16.8380727641294,-96.722068247850402" TargetMode="External"/><Relationship Id="rId10224" Type="http://schemas.openxmlformats.org/officeDocument/2006/relationships/hyperlink" Target="https://maps.google.com/?q=17.297462407905357,-97.34427944601373" TargetMode="External"/><Relationship Id="rId13794" Type="http://schemas.openxmlformats.org/officeDocument/2006/relationships/hyperlink" Target="https://maps.google.com/?q=17.130344787359252,-97.7480543411045" TargetMode="External"/><Relationship Id="rId3853" Type="http://schemas.openxmlformats.org/officeDocument/2006/relationships/hyperlink" Target="https://maps.google.com/?q=17.1038236414409,-95.9480635517334" TargetMode="External"/><Relationship Id="rId4904" Type="http://schemas.openxmlformats.org/officeDocument/2006/relationships/hyperlink" Target="https://maps.google.com/?q=18.030703,-96.672604000000007" TargetMode="External"/><Relationship Id="rId9068" Type="http://schemas.openxmlformats.org/officeDocument/2006/relationships/hyperlink" Target="https://maps.google.com/?q=16.057952,-95.490408000000002" TargetMode="External"/><Relationship Id="rId12396" Type="http://schemas.openxmlformats.org/officeDocument/2006/relationships/hyperlink" Target="https://maps.google.com/?q=16.5564247155464,-96.822477390166796" TargetMode="External"/><Relationship Id="rId13447" Type="http://schemas.openxmlformats.org/officeDocument/2006/relationships/hyperlink" Target="https://maps.google.com/?q=17.6851530368034,-97.031979152051093" TargetMode="External"/><Relationship Id="rId774" Type="http://schemas.openxmlformats.org/officeDocument/2006/relationships/hyperlink" Target="https://maps.google.com/?q=15.68850479296265,-96.51393044696006" TargetMode="External"/><Relationship Id="rId1057" Type="http://schemas.openxmlformats.org/officeDocument/2006/relationships/hyperlink" Target="https://maps.google.com/?q=15.708694662399049,-96.526128692653444" TargetMode="External"/><Relationship Id="rId2455" Type="http://schemas.openxmlformats.org/officeDocument/2006/relationships/hyperlink" Target="https://maps.google.com/?q=17.05151049,-96.624334599999997" TargetMode="External"/><Relationship Id="rId3506" Type="http://schemas.openxmlformats.org/officeDocument/2006/relationships/hyperlink" Target="https://maps.google.com/?q=15.771579441904228,-96.148349786814606" TargetMode="External"/><Relationship Id="rId12049" Type="http://schemas.openxmlformats.org/officeDocument/2006/relationships/hyperlink" Target="https://maps.google.com/?q=16.1064159,-97.208122299999999" TargetMode="External"/><Relationship Id="rId427" Type="http://schemas.openxmlformats.org/officeDocument/2006/relationships/hyperlink" Target="https://maps.google.com/?q=16.052933,-97.412751" TargetMode="External"/><Relationship Id="rId2108" Type="http://schemas.openxmlformats.org/officeDocument/2006/relationships/hyperlink" Target="https://maps.google.com/?q=15.76705,-96.152106" TargetMode="External"/><Relationship Id="rId5678" Type="http://schemas.openxmlformats.org/officeDocument/2006/relationships/hyperlink" Target="https://maps.google.com/?q=16.433113,-97.899503999999993" TargetMode="External"/><Relationship Id="rId6729" Type="http://schemas.openxmlformats.org/officeDocument/2006/relationships/hyperlink" Target="https://maps.google.com/?q=17.0372562,-96.984272599999997" TargetMode="External"/><Relationship Id="rId12530" Type="http://schemas.openxmlformats.org/officeDocument/2006/relationships/hyperlink" Target="https://maps.google.com/?q=17.02019561,-97.862388949999996" TargetMode="External"/><Relationship Id="rId8151" Type="http://schemas.openxmlformats.org/officeDocument/2006/relationships/hyperlink" Target="https://maps.google.com/?q=17.3565134026675,-96.301916923373" TargetMode="External"/><Relationship Id="rId9202" Type="http://schemas.openxmlformats.org/officeDocument/2006/relationships/hyperlink" Target="https://maps.google.com/?q=17.3746286870522,-96.3034543876866" TargetMode="External"/><Relationship Id="rId10081" Type="http://schemas.openxmlformats.org/officeDocument/2006/relationships/hyperlink" Target="https://maps.google.com/?q=16.9937898592978,-96.109650022226305" TargetMode="External"/><Relationship Id="rId11132" Type="http://schemas.openxmlformats.org/officeDocument/2006/relationships/hyperlink" Target="https://maps.google.com/?q=16.834924,-96.008966999999998" TargetMode="External"/><Relationship Id="rId4761" Type="http://schemas.openxmlformats.org/officeDocument/2006/relationships/hyperlink" Target="https://maps.google.com/?q=17.9558370028523,-96.657854" TargetMode="External"/><Relationship Id="rId3363" Type="http://schemas.openxmlformats.org/officeDocument/2006/relationships/hyperlink" Target="https://maps.google.com/?q=17.058825,-96.824359000000001" TargetMode="External"/><Relationship Id="rId4414" Type="http://schemas.openxmlformats.org/officeDocument/2006/relationships/hyperlink" Target="https://maps.google.com/?q=16.00457035,-96.674834469999993" TargetMode="External"/><Relationship Id="rId5812" Type="http://schemas.openxmlformats.org/officeDocument/2006/relationships/hyperlink" Target="https://maps.google.com/?q=16.0090510342741,-97.426142104137" TargetMode="External"/><Relationship Id="rId14008" Type="http://schemas.openxmlformats.org/officeDocument/2006/relationships/hyperlink" Target="https://maps.google.com/?q=17.0547521218854,-96.65437211388111" TargetMode="External"/><Relationship Id="rId284" Type="http://schemas.openxmlformats.org/officeDocument/2006/relationships/hyperlink" Target="https://maps.google.com/?q=16.88459,-97.677610000000001" TargetMode="External"/><Relationship Id="rId3016" Type="http://schemas.openxmlformats.org/officeDocument/2006/relationships/hyperlink" Target="https://maps.google.com/?q=16.9390086,-97.0164063" TargetMode="External"/><Relationship Id="rId7984" Type="http://schemas.openxmlformats.org/officeDocument/2006/relationships/hyperlink" Target="https://maps.google.com/?q=18.1631115654934,-96.879482161590104" TargetMode="External"/><Relationship Id="rId10965" Type="http://schemas.openxmlformats.org/officeDocument/2006/relationships/hyperlink" Target="https://maps.google.com/?q=16.2079174837467,-95.211909589999905" TargetMode="External"/><Relationship Id="rId5188" Type="http://schemas.openxmlformats.org/officeDocument/2006/relationships/hyperlink" Target="https://maps.google.com/?q=17.316225,-95.97054" TargetMode="External"/><Relationship Id="rId6586" Type="http://schemas.openxmlformats.org/officeDocument/2006/relationships/hyperlink" Target="https://maps.google.com/?q=17.258866,-97.687055" TargetMode="External"/><Relationship Id="rId7637" Type="http://schemas.openxmlformats.org/officeDocument/2006/relationships/hyperlink" Target="https://maps.google.com/?q=17.231093167848,-95.053558970076494" TargetMode="External"/><Relationship Id="rId10618" Type="http://schemas.openxmlformats.org/officeDocument/2006/relationships/hyperlink" Target="https://maps.google.com/?q=17.1363476732554,-97.753532084655802" TargetMode="External"/><Relationship Id="rId6239" Type="http://schemas.openxmlformats.org/officeDocument/2006/relationships/hyperlink" Target="https://maps.google.com/?q=16.23929318,-96.403293020000007" TargetMode="External"/><Relationship Id="rId12040" Type="http://schemas.openxmlformats.org/officeDocument/2006/relationships/hyperlink" Target="https://maps.google.com/?q=16.8065083792159,-96.723754604774996" TargetMode="External"/><Relationship Id="rId1798" Type="http://schemas.openxmlformats.org/officeDocument/2006/relationships/hyperlink" Target="https://maps.google.com/?q=18.0676445630931,-96.900092051416706" TargetMode="External"/><Relationship Id="rId2849" Type="http://schemas.openxmlformats.org/officeDocument/2006/relationships/hyperlink" Target="https://maps.google.com/?q=16.9628860931972,-97.729063015869301" TargetMode="External"/><Relationship Id="rId6720" Type="http://schemas.openxmlformats.org/officeDocument/2006/relationships/hyperlink" Target="https://maps.google.com/?q=17.0329928657144,&#160;-96.9843455129396" TargetMode="External"/><Relationship Id="rId4271" Type="http://schemas.openxmlformats.org/officeDocument/2006/relationships/hyperlink" Target="https://maps.google.com/?q=16.0177527702808,-96.646016639070595" TargetMode="External"/><Relationship Id="rId5322" Type="http://schemas.openxmlformats.org/officeDocument/2006/relationships/hyperlink" Target="https://maps.google.com/?q=15.807226751208,-96.3598318434329" TargetMode="External"/><Relationship Id="rId8892" Type="http://schemas.openxmlformats.org/officeDocument/2006/relationships/hyperlink" Target="https://maps.google.com/?q=17.379870911,-96.164262964000002" TargetMode="External"/><Relationship Id="rId7494" Type="http://schemas.openxmlformats.org/officeDocument/2006/relationships/hyperlink" Target="https://maps.google.com/?q=17.34283003,-97.372862159999997" TargetMode="External"/><Relationship Id="rId8545" Type="http://schemas.openxmlformats.org/officeDocument/2006/relationships/hyperlink" Target="https://maps.google.com/?q=16.9209843431161,-96.610899523170701" TargetMode="External"/><Relationship Id="rId9943" Type="http://schemas.openxmlformats.org/officeDocument/2006/relationships/hyperlink" Target="https://maps.google.com/?q=16.707406,-96.708687999999995" TargetMode="External"/><Relationship Id="rId11873" Type="http://schemas.openxmlformats.org/officeDocument/2006/relationships/hyperlink" Target="https://maps.google.com/?q=17.3589645213671,-96.29437179762267" TargetMode="External"/><Relationship Id="rId12924" Type="http://schemas.openxmlformats.org/officeDocument/2006/relationships/hyperlink" Target="https://maps.google.com/?q=16.556782,-97.409972999999994" TargetMode="External"/><Relationship Id="rId1932" Type="http://schemas.openxmlformats.org/officeDocument/2006/relationships/hyperlink" Target="https://maps.google.com/?q=15.777183352952584,-96.137023905362142" TargetMode="External"/><Relationship Id="rId6096" Type="http://schemas.openxmlformats.org/officeDocument/2006/relationships/hyperlink" Target="https://maps.google.com/?q=17.976278,-96.705242999999996" TargetMode="External"/><Relationship Id="rId7147" Type="http://schemas.openxmlformats.org/officeDocument/2006/relationships/hyperlink" Target="https://maps.google.com/?q=17.3650420692564,-97.666375648714094" TargetMode="External"/><Relationship Id="rId10475" Type="http://schemas.openxmlformats.org/officeDocument/2006/relationships/hyperlink" Target="https://maps.google.com/?q=17.8428969450778,-96.743648174730097" TargetMode="External"/><Relationship Id="rId11526" Type="http://schemas.openxmlformats.org/officeDocument/2006/relationships/hyperlink" Target="https://maps.google.com/?q=16.6149212242715,-96.848835678145093" TargetMode="External"/><Relationship Id="rId10128" Type="http://schemas.openxmlformats.org/officeDocument/2006/relationships/hyperlink" Target="https://maps.google.com/?q=17.1226971843785,-97.515866819447794" TargetMode="External"/><Relationship Id="rId13698" Type="http://schemas.openxmlformats.org/officeDocument/2006/relationships/hyperlink" Target="https://maps.google.com/?q=16.79243,-96.882431" TargetMode="External"/><Relationship Id="rId3757" Type="http://schemas.openxmlformats.org/officeDocument/2006/relationships/hyperlink" Target="https://maps.google.com/?q=15.762127,-96.142364000000001" TargetMode="External"/><Relationship Id="rId4808" Type="http://schemas.openxmlformats.org/officeDocument/2006/relationships/hyperlink" Target="https://maps.google.com/?q=16.9032501199921,-96.500746488895601" TargetMode="External"/><Relationship Id="rId678" Type="http://schemas.openxmlformats.org/officeDocument/2006/relationships/hyperlink" Target="https://maps.google.com/?q=16.061124,-97.384180000000001" TargetMode="External"/><Relationship Id="rId2359" Type="http://schemas.openxmlformats.org/officeDocument/2006/relationships/hyperlink" Target="https://maps.google.com/?q=17.062786,-97.693787999999998" TargetMode="External"/><Relationship Id="rId6230" Type="http://schemas.openxmlformats.org/officeDocument/2006/relationships/hyperlink" Target="https://maps.google.com/?q=16.099751,-97.082359999999994" TargetMode="External"/><Relationship Id="rId9453" Type="http://schemas.openxmlformats.org/officeDocument/2006/relationships/hyperlink" Target="https://maps.google.com/?q=15.8306064905025,-96.618408772981695" TargetMode="External"/><Relationship Id="rId11383" Type="http://schemas.openxmlformats.org/officeDocument/2006/relationships/hyperlink" Target="https://maps.google.com/?q=17.3434227125791,%20-97.5621052526487" TargetMode="External"/><Relationship Id="rId12781" Type="http://schemas.openxmlformats.org/officeDocument/2006/relationships/hyperlink" Target="https://maps.google.com/?q=18.137295372942447,-97.0941470259974" TargetMode="External"/><Relationship Id="rId13832" Type="http://schemas.openxmlformats.org/officeDocument/2006/relationships/hyperlink" Target="https://maps.google.com/?q=17.090785,-97.784570000000002" TargetMode="External"/><Relationship Id="rId812" Type="http://schemas.openxmlformats.org/officeDocument/2006/relationships/hyperlink" Target="https://maps.google.com/?q=15.695533980911112,-96.522939452092942" TargetMode="External"/><Relationship Id="rId1442" Type="http://schemas.openxmlformats.org/officeDocument/2006/relationships/hyperlink" Target="https://maps.google.com/?q=17.08399,-96.71831" TargetMode="External"/><Relationship Id="rId2840" Type="http://schemas.openxmlformats.org/officeDocument/2006/relationships/hyperlink" Target="https://maps.google.com/?q=16.9507188245234,-97.711413590703401" TargetMode="External"/><Relationship Id="rId8055" Type="http://schemas.openxmlformats.org/officeDocument/2006/relationships/hyperlink" Target="https://maps.google.com/?q=16.4966180625844,-97.379475462209001" TargetMode="External"/><Relationship Id="rId9106" Type="http://schemas.openxmlformats.org/officeDocument/2006/relationships/hyperlink" Target="https://maps.google.com/?q=17.916047023386096,-96.65355730855472" TargetMode="External"/><Relationship Id="rId11036" Type="http://schemas.openxmlformats.org/officeDocument/2006/relationships/hyperlink" Target="https://maps.google.com/?q=16.502666,-98.340359" TargetMode="External"/><Relationship Id="rId12434" Type="http://schemas.openxmlformats.org/officeDocument/2006/relationships/hyperlink" Target="https://maps.google.com/?q=17.2204735315583,-97.271009212351501" TargetMode="External"/><Relationship Id="rId3267" Type="http://schemas.openxmlformats.org/officeDocument/2006/relationships/hyperlink" Target="https://maps.google.com/?q=17.060136,-96.822819999999993" TargetMode="External"/><Relationship Id="rId4665" Type="http://schemas.openxmlformats.org/officeDocument/2006/relationships/hyperlink" Target="https://maps.google.com/?q=17.074042,-96.743859" TargetMode="External"/><Relationship Id="rId5716" Type="http://schemas.openxmlformats.org/officeDocument/2006/relationships/hyperlink" Target="https://maps.google.com/?q=17.43278646,-96.281248610000006" TargetMode="External"/><Relationship Id="rId188" Type="http://schemas.openxmlformats.org/officeDocument/2006/relationships/hyperlink" Target="https://maps.google.com/?q=17.091356,-97.491883000000001" TargetMode="External"/><Relationship Id="rId4318" Type="http://schemas.openxmlformats.org/officeDocument/2006/relationships/hyperlink" Target="https://maps.google.com/?q=16.029972209384,-96.644333942208902" TargetMode="External"/><Relationship Id="rId7888" Type="http://schemas.openxmlformats.org/officeDocument/2006/relationships/hyperlink" Target="https://maps.google.com/?q=16.3183855767116,-96.411773836805295" TargetMode="External"/><Relationship Id="rId8939" Type="http://schemas.openxmlformats.org/officeDocument/2006/relationships/hyperlink" Target="https://maps.google.com/?q=17.381214094,-96.161084371000001" TargetMode="External"/><Relationship Id="rId10869" Type="http://schemas.openxmlformats.org/officeDocument/2006/relationships/hyperlink" Target="https://maps.google.com/?q=16.3441616312667,-94.479769638869897" TargetMode="External"/><Relationship Id="rId12291" Type="http://schemas.openxmlformats.org/officeDocument/2006/relationships/hyperlink" Target="https://maps.google.com/?q=16.480114418168,-94.349453279762201" TargetMode="External"/><Relationship Id="rId13342" Type="http://schemas.openxmlformats.org/officeDocument/2006/relationships/hyperlink" Target="https://maps.google.com/?q=16.3138413169309,-96.673165423278903" TargetMode="External"/><Relationship Id="rId2350" Type="http://schemas.openxmlformats.org/officeDocument/2006/relationships/hyperlink" Target="https://maps.google.com/?q=17.102476,-97.659805000000006" TargetMode="External"/><Relationship Id="rId3401" Type="http://schemas.openxmlformats.org/officeDocument/2006/relationships/hyperlink" Target="https://maps.google.com/?q=18.005762,-96.642459000000002" TargetMode="External"/><Relationship Id="rId6971" Type="http://schemas.openxmlformats.org/officeDocument/2006/relationships/hyperlink" Target="https://maps.google.com/?q=17.01413135,-96.519052720000005" TargetMode="External"/><Relationship Id="rId322" Type="http://schemas.openxmlformats.org/officeDocument/2006/relationships/hyperlink" Target="https://maps.google.com/?q=16.054601,-97.39528" TargetMode="External"/><Relationship Id="rId2003" Type="http://schemas.openxmlformats.org/officeDocument/2006/relationships/hyperlink" Target="https://maps.google.com/?q=15.757703568116451,-96.139078404446465" TargetMode="External"/><Relationship Id="rId5573" Type="http://schemas.openxmlformats.org/officeDocument/2006/relationships/hyperlink" Target="https://maps.google.com/?q=17.443532862173,-96.183139878895503" TargetMode="External"/><Relationship Id="rId6624" Type="http://schemas.openxmlformats.org/officeDocument/2006/relationships/hyperlink" Target="https://maps.google.com/?q=17.263275,-97.334870" TargetMode="External"/><Relationship Id="rId4175" Type="http://schemas.openxmlformats.org/officeDocument/2006/relationships/hyperlink" Target="https://maps.google.com/?q=16.31973,-97.796761000000004" TargetMode="External"/><Relationship Id="rId5226" Type="http://schemas.openxmlformats.org/officeDocument/2006/relationships/hyperlink" Target="https://maps.google.com/?q=17.2817380035584,-97.375083515665906" TargetMode="External"/><Relationship Id="rId7398" Type="http://schemas.openxmlformats.org/officeDocument/2006/relationships/hyperlink" Target="https://maps.google.com/?q=17.107325,-97.004086000000001" TargetMode="External"/><Relationship Id="rId8796" Type="http://schemas.openxmlformats.org/officeDocument/2006/relationships/hyperlink" Target="https://maps.google.com/?q=17.213306,-96.250609999999995" TargetMode="External"/><Relationship Id="rId9847" Type="http://schemas.openxmlformats.org/officeDocument/2006/relationships/hyperlink" Target="https://maps.google.com/?q=16.6336145098315,-96.850235948999796" TargetMode="External"/><Relationship Id="rId11777" Type="http://schemas.openxmlformats.org/officeDocument/2006/relationships/hyperlink" Target="https://maps.google.com/?q=17.001640067640658,-96.60312534606743" TargetMode="External"/><Relationship Id="rId12828" Type="http://schemas.openxmlformats.org/officeDocument/2006/relationships/hyperlink" Target="https://maps.google.com/?q=17.51427,-97.68526" TargetMode="External"/><Relationship Id="rId1836" Type="http://schemas.openxmlformats.org/officeDocument/2006/relationships/hyperlink" Target="https://maps.google.com/?q=18.0365235286016,-96.895204981092903" TargetMode="External"/><Relationship Id="rId8449" Type="http://schemas.openxmlformats.org/officeDocument/2006/relationships/hyperlink" Target="https://maps.google.com/?q=17.1478179570125,-97.540448335934002" TargetMode="External"/><Relationship Id="rId10379" Type="http://schemas.openxmlformats.org/officeDocument/2006/relationships/hyperlink" Target="https://maps.google.com/?q=17.4374984769925,-96.654501407432804" TargetMode="External"/><Relationship Id="rId8930" Type="http://schemas.openxmlformats.org/officeDocument/2006/relationships/hyperlink" Target="https://maps.google.com/?q=17.38103611,-96.164133096" TargetMode="External"/><Relationship Id="rId6481" Type="http://schemas.openxmlformats.org/officeDocument/2006/relationships/hyperlink" Target="https://maps.google.com/?q=17.2560324224546,-97.542266003522798" TargetMode="External"/><Relationship Id="rId7532" Type="http://schemas.openxmlformats.org/officeDocument/2006/relationships/hyperlink" Target="https://maps.google.com/?q=17.9756200822791,-96.703422260688498" TargetMode="External"/><Relationship Id="rId10860" Type="http://schemas.openxmlformats.org/officeDocument/2006/relationships/hyperlink" Target="https://maps.google.com/?q=16.3485819373165,-94.487280457672099" TargetMode="External"/><Relationship Id="rId11911" Type="http://schemas.openxmlformats.org/officeDocument/2006/relationships/hyperlink" Target="https://maps.google.com/?q=17.286190799084597,-96.62379245518932" TargetMode="External"/><Relationship Id="rId5083" Type="http://schemas.openxmlformats.org/officeDocument/2006/relationships/hyperlink" Target="https://maps.google.com/?q=17.252908,-96.155390999999995" TargetMode="External"/><Relationship Id="rId6134" Type="http://schemas.openxmlformats.org/officeDocument/2006/relationships/hyperlink" Target="https://maps.google.com/?q=16.95225972,-96.609385739999993" TargetMode="External"/><Relationship Id="rId10513" Type="http://schemas.openxmlformats.org/officeDocument/2006/relationships/hyperlink" Target="https://maps.google.com/?q=17.8464985927992,-96.744853843173502" TargetMode="External"/><Relationship Id="rId9357" Type="http://schemas.openxmlformats.org/officeDocument/2006/relationships/hyperlink" Target="https://maps.google.com/?q=16.8182228545562,-95.134734971148404" TargetMode="External"/><Relationship Id="rId12685" Type="http://schemas.openxmlformats.org/officeDocument/2006/relationships/hyperlink" Target="https://maps.google.com/?q=16.2813012511592,-96.5033379140515" TargetMode="External"/><Relationship Id="rId13736" Type="http://schemas.openxmlformats.org/officeDocument/2006/relationships/hyperlink" Target="https://maps.google.com/?q=17.335708,-96.164985" TargetMode="External"/><Relationship Id="rId1346" Type="http://schemas.openxmlformats.org/officeDocument/2006/relationships/hyperlink" Target="https://maps.google.com/?q=17.0197253,-96.7180375" TargetMode="External"/><Relationship Id="rId1693" Type="http://schemas.openxmlformats.org/officeDocument/2006/relationships/hyperlink" Target="https://maps.google.com/?q=18.0716534976883,-96.897748250059394" TargetMode="External"/><Relationship Id="rId2744" Type="http://schemas.openxmlformats.org/officeDocument/2006/relationships/hyperlink" Target="https://maps.google.com/?q=17.991177,-96.489290999999994" TargetMode="External"/><Relationship Id="rId11287" Type="http://schemas.openxmlformats.org/officeDocument/2006/relationships/hyperlink" Target="https://maps.google.com/?q=17.8668402063872,-96.308584072209001" TargetMode="External"/><Relationship Id="rId12338" Type="http://schemas.openxmlformats.org/officeDocument/2006/relationships/hyperlink" Target="https://maps.google.com/?q=17.643649,-97.340838" TargetMode="External"/><Relationship Id="rId716" Type="http://schemas.openxmlformats.org/officeDocument/2006/relationships/hyperlink" Target="https://maps.google.com/?q=16.062358,-97.383600000000001" TargetMode="External"/><Relationship Id="rId5967" Type="http://schemas.openxmlformats.org/officeDocument/2006/relationships/hyperlink" Target="https://maps.google.com/?q=18.154348411000754,-96.574630649071992" TargetMode="External"/><Relationship Id="rId52" Type="http://schemas.openxmlformats.org/officeDocument/2006/relationships/hyperlink" Target="https://maps.google.com/?q=15.90851,-96.449565000000007" TargetMode="External"/><Relationship Id="rId4569" Type="http://schemas.openxmlformats.org/officeDocument/2006/relationships/hyperlink" Target="https://maps.google.com/?q=16.552608,-96.818879999999993" TargetMode="External"/><Relationship Id="rId8440" Type="http://schemas.openxmlformats.org/officeDocument/2006/relationships/hyperlink" Target="https://maps.google.com/?q=17.0615488376868,-96.8208014709856" TargetMode="External"/><Relationship Id="rId10370" Type="http://schemas.openxmlformats.org/officeDocument/2006/relationships/hyperlink" Target="https://maps.google.com/?q=17.4368468858121,-96.655207108599797" TargetMode="External"/><Relationship Id="rId11421" Type="http://schemas.openxmlformats.org/officeDocument/2006/relationships/hyperlink" Target="https://maps.google.com/?q=17.3811976329155,-98.186855595245007" TargetMode="External"/><Relationship Id="rId7042" Type="http://schemas.openxmlformats.org/officeDocument/2006/relationships/hyperlink" Target="https://maps.google.com/?q=17.0455907692418,-97.2978752490029" TargetMode="External"/><Relationship Id="rId10023" Type="http://schemas.openxmlformats.org/officeDocument/2006/relationships/hyperlink" Target="https://maps.google.com/?q=16.9976269477093,-96.073869372268504" TargetMode="External"/><Relationship Id="rId13593" Type="http://schemas.openxmlformats.org/officeDocument/2006/relationships/hyperlink" Target="https://maps.google.com/?q=18.081169,-96.118475000000004" TargetMode="External"/><Relationship Id="rId3652" Type="http://schemas.openxmlformats.org/officeDocument/2006/relationships/hyperlink" Target="https://maps.google.com/?q=15.779100433267832,-96.13790163883823" TargetMode="External"/><Relationship Id="rId4703" Type="http://schemas.openxmlformats.org/officeDocument/2006/relationships/hyperlink" Target="https://maps.google.com/?q=17.018946802456792,-96.718225001774229" TargetMode="External"/><Relationship Id="rId12195" Type="http://schemas.openxmlformats.org/officeDocument/2006/relationships/hyperlink" Target="https://maps.google.com/?q=17.4175030157433,-95.948126373353801" TargetMode="External"/><Relationship Id="rId13246" Type="http://schemas.openxmlformats.org/officeDocument/2006/relationships/hyperlink" Target="https://maps.google.com/?q=17.1478771190651,-96.758618398028702" TargetMode="External"/><Relationship Id="rId573" Type="http://schemas.openxmlformats.org/officeDocument/2006/relationships/hyperlink" Target="https://maps.google.com/?q=16.052507,-97.402904000000007" TargetMode="External"/><Relationship Id="rId2254" Type="http://schemas.openxmlformats.org/officeDocument/2006/relationships/hyperlink" Target="https://maps.google.com/?q=17.5052749,-96.547709999999995" TargetMode="External"/><Relationship Id="rId3305" Type="http://schemas.openxmlformats.org/officeDocument/2006/relationships/hyperlink" Target="https://maps.google.com/?q=17.0635360930591,-96.817852813254007" TargetMode="External"/><Relationship Id="rId226" Type="http://schemas.openxmlformats.org/officeDocument/2006/relationships/hyperlink" Target="https://maps.google.com/?q=17.091356,-97.491883000000001" TargetMode="External"/><Relationship Id="rId5477" Type="http://schemas.openxmlformats.org/officeDocument/2006/relationships/hyperlink" Target="https://maps.google.com/?q=16.342807,-96.482527" TargetMode="External"/><Relationship Id="rId6875" Type="http://schemas.openxmlformats.org/officeDocument/2006/relationships/hyperlink" Target="https://maps.google.com/?q=16.970458,-97.085607999999993" TargetMode="External"/><Relationship Id="rId7926" Type="http://schemas.openxmlformats.org/officeDocument/2006/relationships/hyperlink" Target="https://maps.google.com/?q=16.321441447255,-96.414493851520604" TargetMode="External"/><Relationship Id="rId10907" Type="http://schemas.openxmlformats.org/officeDocument/2006/relationships/hyperlink" Target="https://maps.google.com/?q=16.1889216549745,-95.208149866686298" TargetMode="External"/><Relationship Id="rId4079" Type="http://schemas.openxmlformats.org/officeDocument/2006/relationships/hyperlink" Target="https://maps.google.com/?q=17.055754,-96.745626290000004" TargetMode="External"/><Relationship Id="rId6528" Type="http://schemas.openxmlformats.org/officeDocument/2006/relationships/hyperlink" Target="https://maps.google.com/?q=17.2583035200032,-97.577729110164199" TargetMode="External"/><Relationship Id="rId9001" Type="http://schemas.openxmlformats.org/officeDocument/2006/relationships/hyperlink" Target="https://maps.google.com/?q=17.382213412,-96.162593126999994" TargetMode="External"/><Relationship Id="rId4560" Type="http://schemas.openxmlformats.org/officeDocument/2006/relationships/hyperlink" Target="https://maps.google.com/?q=17.1857348015855,-97.303745157285704" TargetMode="External"/><Relationship Id="rId5611" Type="http://schemas.openxmlformats.org/officeDocument/2006/relationships/hyperlink" Target="https://maps.google.com/?q=17.5493756086862,-96.222063780873697" TargetMode="External"/><Relationship Id="rId14154" Type="http://schemas.openxmlformats.org/officeDocument/2006/relationships/hyperlink" Target="https://maps.google.com/?q=16.1087575,-97.59564858" TargetMode="External"/><Relationship Id="rId3162" Type="http://schemas.openxmlformats.org/officeDocument/2006/relationships/hyperlink" Target="https://maps.google.com/?q=16.544828,-97.496561" TargetMode="External"/><Relationship Id="rId4213" Type="http://schemas.openxmlformats.org/officeDocument/2006/relationships/hyperlink" Target="https://maps.google.com/?q=17.331248,-96.487900999999994" TargetMode="External"/><Relationship Id="rId7783" Type="http://schemas.openxmlformats.org/officeDocument/2006/relationships/hyperlink" Target="https://maps.google.com/?q=17.8440427309525,-96.746021970337694" TargetMode="External"/><Relationship Id="rId8834" Type="http://schemas.openxmlformats.org/officeDocument/2006/relationships/hyperlink" Target="https://maps.google.com/?q=17.21647,-96.245654999999999" TargetMode="External"/><Relationship Id="rId6385" Type="http://schemas.openxmlformats.org/officeDocument/2006/relationships/hyperlink" Target="https://maps.google.com/?q=16.4591542096861,-95.000901066075599" TargetMode="External"/><Relationship Id="rId7436" Type="http://schemas.openxmlformats.org/officeDocument/2006/relationships/hyperlink" Target="https://maps.google.com/?q=16.3146725779618,-96.668918208719305" TargetMode="External"/><Relationship Id="rId10764" Type="http://schemas.openxmlformats.org/officeDocument/2006/relationships/hyperlink" Target="https://maps.google.com/?q=17.456456,-97.222544999999997" TargetMode="External"/><Relationship Id="rId11815" Type="http://schemas.openxmlformats.org/officeDocument/2006/relationships/hyperlink" Target="https://maps.google.com/?q=17.987001256678855,-96.5196181694851" TargetMode="External"/><Relationship Id="rId6038" Type="http://schemas.openxmlformats.org/officeDocument/2006/relationships/hyperlink" Target="https://maps.google.com/?q=18.156658521765088,-96.576156969172303" TargetMode="External"/><Relationship Id="rId10417" Type="http://schemas.openxmlformats.org/officeDocument/2006/relationships/hyperlink" Target="https://maps.google.com/?q=17.0469064,-96.781871100000004" TargetMode="External"/><Relationship Id="rId13987" Type="http://schemas.openxmlformats.org/officeDocument/2006/relationships/hyperlink" Target="https://maps.google.com/?q=18.257769972273753,-96.28423065080734" TargetMode="External"/><Relationship Id="rId2995" Type="http://schemas.openxmlformats.org/officeDocument/2006/relationships/hyperlink" Target="https://maps.google.com/?q=17.952538,-96.738748999999999" TargetMode="External"/><Relationship Id="rId12589" Type="http://schemas.openxmlformats.org/officeDocument/2006/relationships/hyperlink" Target="https://maps.google.com/?q=16.5207138812908,-96.986173009291505" TargetMode="External"/><Relationship Id="rId967" Type="http://schemas.openxmlformats.org/officeDocument/2006/relationships/hyperlink" Target="https://maps.google.com/?q=15.686461507625253,-96.511951527511016" TargetMode="External"/><Relationship Id="rId1597" Type="http://schemas.openxmlformats.org/officeDocument/2006/relationships/hyperlink" Target="https://maps.google.com/?q=17.674764,-96.127960999999999" TargetMode="External"/><Relationship Id="rId2648" Type="http://schemas.openxmlformats.org/officeDocument/2006/relationships/hyperlink" Target="https://maps.google.com/?q=17.6208346273602,-97.223300519014003" TargetMode="External"/><Relationship Id="rId4070" Type="http://schemas.openxmlformats.org/officeDocument/2006/relationships/hyperlink" Target="https://maps.google.com/?q=17.082948,-96.727685" TargetMode="External"/><Relationship Id="rId5121" Type="http://schemas.openxmlformats.org/officeDocument/2006/relationships/hyperlink" Target="https://maps.google.com/?q=17.253963,-96.153772000000004" TargetMode="External"/><Relationship Id="rId8691" Type="http://schemas.openxmlformats.org/officeDocument/2006/relationships/hyperlink" Target="https://maps.google.com/?q=16.1881854582542,-96.611616831316496" TargetMode="External"/><Relationship Id="rId9742" Type="http://schemas.openxmlformats.org/officeDocument/2006/relationships/hyperlink" Target="https://maps.google.com/?q=17.2732382020853,-96.805919610782098" TargetMode="External"/><Relationship Id="rId11672" Type="http://schemas.openxmlformats.org/officeDocument/2006/relationships/hyperlink" Target="https://maps.google.com/?q=17.17501788,-97.710081349999996" TargetMode="External"/><Relationship Id="rId1731" Type="http://schemas.openxmlformats.org/officeDocument/2006/relationships/hyperlink" Target="https://maps.google.com/?q=18.0637105780314,-96.838695969167901" TargetMode="External"/><Relationship Id="rId7293" Type="http://schemas.openxmlformats.org/officeDocument/2006/relationships/hyperlink" Target="https://maps.google.com/?q=16.3063841625527,-97.9138161500005" TargetMode="External"/><Relationship Id="rId8344" Type="http://schemas.openxmlformats.org/officeDocument/2006/relationships/hyperlink" Target="https://maps.google.com/?q=16.8432237022777,-97.197748282890501" TargetMode="External"/><Relationship Id="rId10274" Type="http://schemas.openxmlformats.org/officeDocument/2006/relationships/hyperlink" Target="https://maps.google.com/?q=16.245495,-95.140764000000004" TargetMode="External"/><Relationship Id="rId11325" Type="http://schemas.openxmlformats.org/officeDocument/2006/relationships/hyperlink" Target="https://maps.google.com/?q=16.999877,-96.761928999999995" TargetMode="External"/><Relationship Id="rId12723" Type="http://schemas.openxmlformats.org/officeDocument/2006/relationships/hyperlink" Target="https://maps.google.com/?q=16.2863782430127,-96.504415039934202" TargetMode="External"/><Relationship Id="rId3556" Type="http://schemas.openxmlformats.org/officeDocument/2006/relationships/hyperlink" Target="https://maps.google.com/?q=15.76098532885463,-96.148292689886304" TargetMode="External"/><Relationship Id="rId4954" Type="http://schemas.openxmlformats.org/officeDocument/2006/relationships/hyperlink" Target="https://maps.google.com/?q=17.26495066,-97.591699009999999" TargetMode="External"/><Relationship Id="rId12099" Type="http://schemas.openxmlformats.org/officeDocument/2006/relationships/hyperlink" Target="https://maps.google.com/?q=16.3171503578107,-97.663351104191804" TargetMode="External"/><Relationship Id="rId13497" Type="http://schemas.openxmlformats.org/officeDocument/2006/relationships/hyperlink" Target="https://maps.google.com/?q=17.6910380931242,-97.039994430896996" TargetMode="External"/><Relationship Id="rId477" Type="http://schemas.openxmlformats.org/officeDocument/2006/relationships/hyperlink" Target="https://maps.google.com/?q=16.053534,-97.409709000000007" TargetMode="External"/><Relationship Id="rId2158" Type="http://schemas.openxmlformats.org/officeDocument/2006/relationships/hyperlink" Target="https://maps.google.com/?q=15.758039332738857,-96.149527506061418" TargetMode="External"/><Relationship Id="rId3209" Type="http://schemas.openxmlformats.org/officeDocument/2006/relationships/hyperlink" Target="https://maps.google.com/?q=17.799612,-96.003332999999998" TargetMode="External"/><Relationship Id="rId4607" Type="http://schemas.openxmlformats.org/officeDocument/2006/relationships/hyperlink" Target="https://maps.google.com/?q=16.558276,-96.818670999999995" TargetMode="External"/><Relationship Id="rId6779" Type="http://schemas.openxmlformats.org/officeDocument/2006/relationships/hyperlink" Target="https://maps.google.com/?q=16.633923581441,-97.040513630225504" TargetMode="External"/><Relationship Id="rId12580" Type="http://schemas.openxmlformats.org/officeDocument/2006/relationships/hyperlink" Target="https://maps.google.com/?q=16.625768707223,-96.955915280114795" TargetMode="External"/><Relationship Id="rId13631" Type="http://schemas.openxmlformats.org/officeDocument/2006/relationships/hyperlink" Target="https://maps.google.com/?q=17.02621,-97.928150" TargetMode="External"/><Relationship Id="rId9252" Type="http://schemas.openxmlformats.org/officeDocument/2006/relationships/hyperlink" Target="https://maps.google.com/?q=17.3773281593146,-96.299897708179103" TargetMode="External"/><Relationship Id="rId11182" Type="http://schemas.openxmlformats.org/officeDocument/2006/relationships/hyperlink" Target="https://maps.google.com/?q=16.844696,-96.009094000000005" TargetMode="External"/><Relationship Id="rId12233" Type="http://schemas.openxmlformats.org/officeDocument/2006/relationships/hyperlink" Target="https://maps.google.com/?q=16.41796516,-97.221489939999998" TargetMode="External"/><Relationship Id="rId611" Type="http://schemas.openxmlformats.org/officeDocument/2006/relationships/hyperlink" Target="https://maps.google.com/?q=16.054745,-97.396428" TargetMode="External"/><Relationship Id="rId1241" Type="http://schemas.openxmlformats.org/officeDocument/2006/relationships/hyperlink" Target="https://maps.google.com/?q=17.05601879,-96.745880600000007" TargetMode="External"/><Relationship Id="rId5862" Type="http://schemas.openxmlformats.org/officeDocument/2006/relationships/hyperlink" Target="https://maps.google.com/?q=15.9739221908473,-97.244965849039104" TargetMode="External"/><Relationship Id="rId6913" Type="http://schemas.openxmlformats.org/officeDocument/2006/relationships/hyperlink" Target="https://maps.google.com/?q=17.166305324836,-94.786522101114002" TargetMode="External"/><Relationship Id="rId4464" Type="http://schemas.openxmlformats.org/officeDocument/2006/relationships/hyperlink" Target="https://maps.google.com/?q=17.615719,-98.015229000000005" TargetMode="External"/><Relationship Id="rId5515" Type="http://schemas.openxmlformats.org/officeDocument/2006/relationships/hyperlink" Target="https://maps.google.com/?q=17.2770577431302,-97.3676080846557" TargetMode="External"/><Relationship Id="rId14058" Type="http://schemas.openxmlformats.org/officeDocument/2006/relationships/hyperlink" Target="https://maps.google.com/?q=16.014206245670266,-95.88472267709675" TargetMode="External"/><Relationship Id="rId3066" Type="http://schemas.openxmlformats.org/officeDocument/2006/relationships/hyperlink" Target="https://maps.google.com/?q=16.9638516835959,-96.940589664553002" TargetMode="External"/><Relationship Id="rId4117" Type="http://schemas.openxmlformats.org/officeDocument/2006/relationships/hyperlink" Target="https://maps.google.com/?q=17.058657,-96.743072990000002" TargetMode="External"/><Relationship Id="rId7687" Type="http://schemas.openxmlformats.org/officeDocument/2006/relationships/hyperlink" Target="https://maps.google.com/?q=17.2051256383316,-97.518292423373595" TargetMode="External"/><Relationship Id="rId6289" Type="http://schemas.openxmlformats.org/officeDocument/2006/relationships/hyperlink" Target="https://maps.google.com/?q=18.054952,-96.390045999999998" TargetMode="External"/><Relationship Id="rId8738" Type="http://schemas.openxmlformats.org/officeDocument/2006/relationships/hyperlink" Target="https://maps.google.com/?q=17.272022609467,-97.719632077537199" TargetMode="External"/><Relationship Id="rId10668" Type="http://schemas.openxmlformats.org/officeDocument/2006/relationships/hyperlink" Target="https://maps.google.com/?q=15.7031538981669,-96.264918039356303" TargetMode="External"/><Relationship Id="rId11719" Type="http://schemas.openxmlformats.org/officeDocument/2006/relationships/hyperlink" Target="https://maps.google.com/?q=17.18403185,-97.708979650000003" TargetMode="External"/><Relationship Id="rId12090" Type="http://schemas.openxmlformats.org/officeDocument/2006/relationships/hyperlink" Target="https://maps.google.com/?q=16.24662333,-95.325754369999999" TargetMode="External"/><Relationship Id="rId13141" Type="http://schemas.openxmlformats.org/officeDocument/2006/relationships/hyperlink" Target="https://maps.google.com/?q=17.1894050897837,-96.513335804893501" TargetMode="External"/><Relationship Id="rId2899" Type="http://schemas.openxmlformats.org/officeDocument/2006/relationships/hyperlink" Target="https://maps.google.com/?q=17.760697,-96.074048000000005" TargetMode="External"/><Relationship Id="rId3200" Type="http://schemas.openxmlformats.org/officeDocument/2006/relationships/hyperlink" Target="https://maps.google.com/?q=16.4888741825455,-96.9462356570708" TargetMode="External"/><Relationship Id="rId6770" Type="http://schemas.openxmlformats.org/officeDocument/2006/relationships/hyperlink" Target="https://maps.google.com/?q=16.6229252077496,-97.0422406448332" TargetMode="External"/><Relationship Id="rId7821" Type="http://schemas.openxmlformats.org/officeDocument/2006/relationships/hyperlink" Target="https://maps.google.com/?q=17.009659,-96.889050999999995" TargetMode="External"/><Relationship Id="rId121" Type="http://schemas.openxmlformats.org/officeDocument/2006/relationships/hyperlink" Target="https://maps.google.com/?q=17.091677,-97.496729000000002" TargetMode="External"/><Relationship Id="rId5372" Type="http://schemas.openxmlformats.org/officeDocument/2006/relationships/hyperlink" Target="https://maps.google.com/?q=15.973169091016,-97.241535661898595" TargetMode="External"/><Relationship Id="rId6423" Type="http://schemas.openxmlformats.org/officeDocument/2006/relationships/hyperlink" Target="https://maps.google.com/?q=17.2502203795,-97.586134461143203" TargetMode="External"/><Relationship Id="rId9993" Type="http://schemas.openxmlformats.org/officeDocument/2006/relationships/hyperlink" Target="https://maps.google.com/?q=17.1041219191055,-97.494993731045099" TargetMode="External"/><Relationship Id="rId10802" Type="http://schemas.openxmlformats.org/officeDocument/2006/relationships/hyperlink" Target="https://maps.google.com/?q=16.3641643358244,-96.375821983957493" TargetMode="External"/><Relationship Id="rId5025" Type="http://schemas.openxmlformats.org/officeDocument/2006/relationships/hyperlink" Target="https://maps.google.com/?q=17.250756,-96.151791000000003" TargetMode="External"/><Relationship Id="rId8595" Type="http://schemas.openxmlformats.org/officeDocument/2006/relationships/hyperlink" Target="https://maps.google.com/?q=17.8819611004646,-96.724357725522594" TargetMode="External"/><Relationship Id="rId9646" Type="http://schemas.openxmlformats.org/officeDocument/2006/relationships/hyperlink" Target="https://maps.google.com/?q=16.4749740127995,-96.679715404418602" TargetMode="External"/><Relationship Id="rId12974" Type="http://schemas.openxmlformats.org/officeDocument/2006/relationships/hyperlink" Target="https://maps.google.com/?q=16.511045,-97.453880999999996" TargetMode="External"/><Relationship Id="rId1635" Type="http://schemas.openxmlformats.org/officeDocument/2006/relationships/hyperlink" Target="https://maps.google.com/?q=16.891578,-96.934133000000003" TargetMode="External"/><Relationship Id="rId1982" Type="http://schemas.openxmlformats.org/officeDocument/2006/relationships/hyperlink" Target="https://maps.google.com/?q=15.775134,-96.141921" TargetMode="External"/><Relationship Id="rId7197" Type="http://schemas.openxmlformats.org/officeDocument/2006/relationships/hyperlink" Target="https://maps.google.com/?q=16.1732647999751,-97.961513263059402" TargetMode="External"/><Relationship Id="rId8248" Type="http://schemas.openxmlformats.org/officeDocument/2006/relationships/hyperlink" Target="https://maps.google.com/?q=16.426445,-97.642476000000002" TargetMode="External"/><Relationship Id="rId10178" Type="http://schemas.openxmlformats.org/officeDocument/2006/relationships/hyperlink" Target="https://maps.google.com/?q=17.232540004437727,-97.38026875169142" TargetMode="External"/><Relationship Id="rId11576" Type="http://schemas.openxmlformats.org/officeDocument/2006/relationships/hyperlink" Target="https://maps.google.com/?q=16.8497767803272,-96.749757414103499" TargetMode="External"/><Relationship Id="rId12627" Type="http://schemas.openxmlformats.org/officeDocument/2006/relationships/hyperlink" Target="https://maps.google.com/?q=17.113647,-96.841843999999995" TargetMode="External"/><Relationship Id="rId11229" Type="http://schemas.openxmlformats.org/officeDocument/2006/relationships/hyperlink" Target="https://maps.google.com/?q=16.509516,-98.162880" TargetMode="External"/><Relationship Id="rId4858" Type="http://schemas.openxmlformats.org/officeDocument/2006/relationships/hyperlink" Target="https://maps.google.com/?q=16.7897776325402,-96.387999770282704" TargetMode="External"/><Relationship Id="rId5909" Type="http://schemas.openxmlformats.org/officeDocument/2006/relationships/hyperlink" Target="https://maps.google.com/?q=18.146045720391314,-96.56547411386714" TargetMode="External"/><Relationship Id="rId11710" Type="http://schemas.openxmlformats.org/officeDocument/2006/relationships/hyperlink" Target="https://maps.google.com/?q=17.18306373,-97.708434789999998" TargetMode="External"/><Relationship Id="rId6280" Type="http://schemas.openxmlformats.org/officeDocument/2006/relationships/hyperlink" Target="https://maps.google.com/?q=16.4191646234835,-96.724308669278003" TargetMode="External"/><Relationship Id="rId7331" Type="http://schemas.openxmlformats.org/officeDocument/2006/relationships/hyperlink" Target="https://maps.google.com/?q=16.584699858538,-97.655619247850396" TargetMode="External"/><Relationship Id="rId10312" Type="http://schemas.openxmlformats.org/officeDocument/2006/relationships/hyperlink" Target="https://maps.google.com/?q=16.226673,-97.266930000000002" TargetMode="External"/><Relationship Id="rId13882" Type="http://schemas.openxmlformats.org/officeDocument/2006/relationships/hyperlink" Target="https://maps.google.com/?q=16.2763924532952,-96.566762770791797" TargetMode="External"/><Relationship Id="rId2890" Type="http://schemas.openxmlformats.org/officeDocument/2006/relationships/hyperlink" Target="https://maps.google.com/?q=17.533694,-95.944130999999999" TargetMode="External"/><Relationship Id="rId3941" Type="http://schemas.openxmlformats.org/officeDocument/2006/relationships/hyperlink" Target="https://maps.google.com/?q=17.059207,-96.749972" TargetMode="External"/><Relationship Id="rId12484" Type="http://schemas.openxmlformats.org/officeDocument/2006/relationships/hyperlink" Target="https://maps.google.com/?q=17.2223740302606,-97.272929400562006" TargetMode="External"/><Relationship Id="rId13535" Type="http://schemas.openxmlformats.org/officeDocument/2006/relationships/hyperlink" Target="https://maps.google.com/?q=16.371650205855904,-96.63857729828644" TargetMode="External"/><Relationship Id="rId862" Type="http://schemas.openxmlformats.org/officeDocument/2006/relationships/hyperlink" Target="https://maps.google.com/?q=15.905658,-96.448879000000005" TargetMode="External"/><Relationship Id="rId1492" Type="http://schemas.openxmlformats.org/officeDocument/2006/relationships/hyperlink" Target="https://maps.google.com/?q=17.059171,-96.750380000000007" TargetMode="External"/><Relationship Id="rId2543" Type="http://schemas.openxmlformats.org/officeDocument/2006/relationships/hyperlink" Target="https://maps.google.com/?q=17.717713733907914,-96.93820991597292" TargetMode="External"/><Relationship Id="rId9156" Type="http://schemas.openxmlformats.org/officeDocument/2006/relationships/hyperlink" Target="https://maps.google.com/?q=17.0018297477668,-96.966227439999201" TargetMode="External"/><Relationship Id="rId11086" Type="http://schemas.openxmlformats.org/officeDocument/2006/relationships/hyperlink" Target="https://maps.google.com/?q=17.253703,-96.156492" TargetMode="External"/><Relationship Id="rId12137" Type="http://schemas.openxmlformats.org/officeDocument/2006/relationships/hyperlink" Target="https://maps.google.com/?q=16.2858492663559,-97.672664661665493" TargetMode="External"/><Relationship Id="rId515" Type="http://schemas.openxmlformats.org/officeDocument/2006/relationships/hyperlink" Target="https://maps.google.com/?q=16.054274,-97.406011000000007" TargetMode="External"/><Relationship Id="rId1145" Type="http://schemas.openxmlformats.org/officeDocument/2006/relationships/hyperlink" Target="https://maps.google.com/?q=17.658565224110987,-97.46746313944398" TargetMode="External"/><Relationship Id="rId5766" Type="http://schemas.openxmlformats.org/officeDocument/2006/relationships/hyperlink" Target="https://maps.google.com/?q=16.997956,-97.234183999999999" TargetMode="External"/><Relationship Id="rId4368" Type="http://schemas.openxmlformats.org/officeDocument/2006/relationships/hyperlink" Target="https://maps.google.com/?q=15.96242443,-96.634756229999994" TargetMode="External"/><Relationship Id="rId5419" Type="http://schemas.openxmlformats.org/officeDocument/2006/relationships/hyperlink" Target="https://maps.google.com/?q=16.1001489698904,-97.701213294749607" TargetMode="External"/><Relationship Id="rId6817" Type="http://schemas.openxmlformats.org/officeDocument/2006/relationships/hyperlink" Target="https://maps.google.com/?q=15.9924928739586,-97.190493493437202" TargetMode="External"/><Relationship Id="rId8989" Type="http://schemas.openxmlformats.org/officeDocument/2006/relationships/hyperlink" Target="https://maps.google.com/?q=17.382008036,-96.162374819999997" TargetMode="External"/><Relationship Id="rId11220" Type="http://schemas.openxmlformats.org/officeDocument/2006/relationships/hyperlink" Target="https://maps.google.com/?q=16.541605,-98.166331" TargetMode="External"/><Relationship Id="rId5900" Type="http://schemas.openxmlformats.org/officeDocument/2006/relationships/hyperlink" Target="https://maps.google.com/?q=18.14561230921619,-96.564898554993704" TargetMode="External"/><Relationship Id="rId13392" Type="http://schemas.openxmlformats.org/officeDocument/2006/relationships/hyperlink" Target="https://maps.google.com/?q=16.3255869722316,-96.667826427693896" TargetMode="External"/><Relationship Id="rId3451" Type="http://schemas.openxmlformats.org/officeDocument/2006/relationships/hyperlink" Target="https://maps.google.com/?q=16.4575965347639,-96.928304798385099" TargetMode="External"/><Relationship Id="rId4502" Type="http://schemas.openxmlformats.org/officeDocument/2006/relationships/hyperlink" Target="https://maps.google.com/?q=17.1784120179121,-97.304479961971197" TargetMode="External"/><Relationship Id="rId13045" Type="http://schemas.openxmlformats.org/officeDocument/2006/relationships/hyperlink" Target="https://maps.google.com/?q=16.5620661,-97.539478799999998" TargetMode="External"/><Relationship Id="rId372" Type="http://schemas.openxmlformats.org/officeDocument/2006/relationships/hyperlink" Target="https://maps.google.com/?q=16.053109,-97.410973999999996" TargetMode="External"/><Relationship Id="rId2053" Type="http://schemas.openxmlformats.org/officeDocument/2006/relationships/hyperlink" Target="https://maps.google.com/?q=15.761989375065818,-96.146348255015781" TargetMode="External"/><Relationship Id="rId3104" Type="http://schemas.openxmlformats.org/officeDocument/2006/relationships/hyperlink" Target="https://maps.google.com/?q=0,-96.465376282999998" TargetMode="External"/><Relationship Id="rId6674" Type="http://schemas.openxmlformats.org/officeDocument/2006/relationships/hyperlink" Target="https://maps.google.com/?q=16.9421,-97.014035000000007" TargetMode="External"/><Relationship Id="rId7725" Type="http://schemas.openxmlformats.org/officeDocument/2006/relationships/hyperlink" Target="https://maps.google.com/?q=16.6301224331356,-96.797138621083803" TargetMode="External"/><Relationship Id="rId5276" Type="http://schemas.openxmlformats.org/officeDocument/2006/relationships/hyperlink" Target="https://maps.google.com/?q=15.824258020554,-96.465496237088701" TargetMode="External"/><Relationship Id="rId6327" Type="http://schemas.openxmlformats.org/officeDocument/2006/relationships/hyperlink" Target="https://maps.google.com/?q=18.059570435493,-96.400444398027105" TargetMode="External"/><Relationship Id="rId9897" Type="http://schemas.openxmlformats.org/officeDocument/2006/relationships/hyperlink" Target="https://maps.google.com/?q=16.7888150415496,-96.655565139693195" TargetMode="External"/><Relationship Id="rId10706" Type="http://schemas.openxmlformats.org/officeDocument/2006/relationships/hyperlink" Target="https://maps.google.com/?q=16.866371,-96.785623000000001" TargetMode="External"/><Relationship Id="rId8499" Type="http://schemas.openxmlformats.org/officeDocument/2006/relationships/hyperlink" Target="https://maps.google.com/?q=17.1457292024422,-97.541726157242607" TargetMode="External"/><Relationship Id="rId12878" Type="http://schemas.openxmlformats.org/officeDocument/2006/relationships/hyperlink" Target="https://maps.google.com/?q=16.5348661,-97.495955300000006" TargetMode="External"/><Relationship Id="rId13929" Type="http://schemas.openxmlformats.org/officeDocument/2006/relationships/hyperlink" Target="https://maps.google.com/?q=16.93707761498611,-96.61191771850822" TargetMode="External"/><Relationship Id="rId1886" Type="http://schemas.openxmlformats.org/officeDocument/2006/relationships/hyperlink" Target="https://maps.google.com/?q=15.7760272407148,-96.137012160726911" TargetMode="External"/><Relationship Id="rId2937" Type="http://schemas.openxmlformats.org/officeDocument/2006/relationships/hyperlink" Target="https://maps.google.com/?q=17.07991239,-96.663557990000001" TargetMode="External"/><Relationship Id="rId909" Type="http://schemas.openxmlformats.org/officeDocument/2006/relationships/hyperlink" Target="https://maps.google.com/?q=16.88769,-97.681929999999994" TargetMode="External"/><Relationship Id="rId1539" Type="http://schemas.openxmlformats.org/officeDocument/2006/relationships/hyperlink" Target="https://maps.google.com/?q=17.06218,-96.753029999999995" TargetMode="External"/><Relationship Id="rId5410" Type="http://schemas.openxmlformats.org/officeDocument/2006/relationships/hyperlink" Target="https://maps.google.com/?q=16.0964055598753,-97.694234999999907" TargetMode="External"/><Relationship Id="rId8980" Type="http://schemas.openxmlformats.org/officeDocument/2006/relationships/hyperlink" Target="https://maps.google.com/?q=17.38179176,-96.161301257999995" TargetMode="External"/><Relationship Id="rId11961" Type="http://schemas.openxmlformats.org/officeDocument/2006/relationships/hyperlink" Target="https://maps.google.com/?q=16.7985731767582,-96.720624093254102" TargetMode="External"/><Relationship Id="rId4012" Type="http://schemas.openxmlformats.org/officeDocument/2006/relationships/hyperlink" Target="https://maps.google.com/?q=17.01808469863598,-96.718677193270977" TargetMode="External"/><Relationship Id="rId7582" Type="http://schemas.openxmlformats.org/officeDocument/2006/relationships/hyperlink" Target="https://maps.google.com/?q=17.0931765126835,-95.853977420000504" TargetMode="External"/><Relationship Id="rId8633" Type="http://schemas.openxmlformats.org/officeDocument/2006/relationships/hyperlink" Target="https://maps.google.com/?q=17.8998850756886,-96.715476138954998" TargetMode="External"/><Relationship Id="rId10563" Type="http://schemas.openxmlformats.org/officeDocument/2006/relationships/hyperlink" Target="https://maps.google.com/?q=17.0976271158741,-97.783764488469799" TargetMode="External"/><Relationship Id="rId11614" Type="http://schemas.openxmlformats.org/officeDocument/2006/relationships/hyperlink" Target="https://maps.google.com/?q=16.837027249607,-96.727548480438003" TargetMode="External"/><Relationship Id="rId6184" Type="http://schemas.openxmlformats.org/officeDocument/2006/relationships/hyperlink" Target="https://maps.google.com/?q=16.090096,-97.082781999999995" TargetMode="External"/><Relationship Id="rId7235" Type="http://schemas.openxmlformats.org/officeDocument/2006/relationships/hyperlink" Target="https://maps.google.com/?q=16.0958144354532,-97.923664212209403" TargetMode="External"/><Relationship Id="rId10216" Type="http://schemas.openxmlformats.org/officeDocument/2006/relationships/hyperlink" Target="https://maps.google.com/?q=17.198501266954832,-97.335372935252" TargetMode="External"/><Relationship Id="rId2794" Type="http://schemas.openxmlformats.org/officeDocument/2006/relationships/hyperlink" Target="https://maps.google.com/?q=16.9950530693613,-97.701694294477505" TargetMode="External"/><Relationship Id="rId3845" Type="http://schemas.openxmlformats.org/officeDocument/2006/relationships/hyperlink" Target="https://maps.google.com/?q=17.1025586948647,-95.946864662300399" TargetMode="External"/><Relationship Id="rId12388" Type="http://schemas.openxmlformats.org/officeDocument/2006/relationships/hyperlink" Target="https://maps.google.com/?q=16.553900573631,-96.819510758266404" TargetMode="External"/><Relationship Id="rId13786" Type="http://schemas.openxmlformats.org/officeDocument/2006/relationships/hyperlink" Target="https://maps.google.com/?q=17.129313,-97.748300999999998" TargetMode="External"/><Relationship Id="rId766" Type="http://schemas.openxmlformats.org/officeDocument/2006/relationships/hyperlink" Target="https://maps.google.com/?q=15.688068766868176,-96.513036724131737" TargetMode="External"/><Relationship Id="rId1396" Type="http://schemas.openxmlformats.org/officeDocument/2006/relationships/hyperlink" Target="https://maps.google.com/?q=16.328751,-96.596529000000004" TargetMode="External"/><Relationship Id="rId2447" Type="http://schemas.openxmlformats.org/officeDocument/2006/relationships/hyperlink" Target="https://maps.google.com/?q=17.05142767,-96.624668159999999" TargetMode="External"/><Relationship Id="rId13439" Type="http://schemas.openxmlformats.org/officeDocument/2006/relationships/hyperlink" Target="https://maps.google.com/?q=17.6839447968547,-97.031572407409698" TargetMode="External"/><Relationship Id="rId419" Type="http://schemas.openxmlformats.org/officeDocument/2006/relationships/hyperlink" Target="https://maps.google.com/?q=16.053025,-97.411844000000002" TargetMode="External"/><Relationship Id="rId1049" Type="http://schemas.openxmlformats.org/officeDocument/2006/relationships/hyperlink" Target="https://maps.google.com/?q=15.707866927748464,-96.52544528184788" TargetMode="External"/><Relationship Id="rId13920" Type="http://schemas.openxmlformats.org/officeDocument/2006/relationships/hyperlink" Target="https://maps.google.com/?q=16.8578821051642,-96.814403396329894" TargetMode="External"/><Relationship Id="rId7092" Type="http://schemas.openxmlformats.org/officeDocument/2006/relationships/hyperlink" Target="https://maps.google.com/?q=16.329276,-98.055715000000006" TargetMode="External"/><Relationship Id="rId8143" Type="http://schemas.openxmlformats.org/officeDocument/2006/relationships/hyperlink" Target="https://maps.google.com/?q=17.3560180217513,-96.303534295819702" TargetMode="External"/><Relationship Id="rId8490" Type="http://schemas.openxmlformats.org/officeDocument/2006/relationships/hyperlink" Target="https://maps.google.com/?q=17.1557795346769,-97.5342410001632" TargetMode="External"/><Relationship Id="rId9541" Type="http://schemas.openxmlformats.org/officeDocument/2006/relationships/hyperlink" Target="https://maps.google.com/?q=17.273729,-96.800415" TargetMode="External"/><Relationship Id="rId11471" Type="http://schemas.openxmlformats.org/officeDocument/2006/relationships/hyperlink" Target="https://maps.google.com/?q=16.0120919807847,-97.440078470580104" TargetMode="External"/><Relationship Id="rId12522" Type="http://schemas.openxmlformats.org/officeDocument/2006/relationships/hyperlink" Target="https://maps.google.com/?q=17.2264884737058,-97.272944339547905" TargetMode="External"/><Relationship Id="rId900" Type="http://schemas.openxmlformats.org/officeDocument/2006/relationships/hyperlink" Target="https://maps.google.com/?q=17.09063,-97.493195999999998" TargetMode="External"/><Relationship Id="rId1530" Type="http://schemas.openxmlformats.org/officeDocument/2006/relationships/hyperlink" Target="https://maps.google.com/?q=17.062009,-96.757019999999997" TargetMode="External"/><Relationship Id="rId10073" Type="http://schemas.openxmlformats.org/officeDocument/2006/relationships/hyperlink" Target="https://maps.google.com/?q=16.9904239497231,-96.112084904591995" TargetMode="External"/><Relationship Id="rId11124" Type="http://schemas.openxmlformats.org/officeDocument/2006/relationships/hyperlink" Target="https://maps.google.com/?q=16.834142,-96.009213000000003" TargetMode="External"/><Relationship Id="rId4753" Type="http://schemas.openxmlformats.org/officeDocument/2006/relationships/hyperlink" Target="https://maps.google.com/?q=17.954390023766,-96.655350517414604" TargetMode="External"/><Relationship Id="rId5804" Type="http://schemas.openxmlformats.org/officeDocument/2006/relationships/hyperlink" Target="https://maps.google.com/?q=17.31141595634,-97.492265612268795" TargetMode="External"/><Relationship Id="rId13296" Type="http://schemas.openxmlformats.org/officeDocument/2006/relationships/hyperlink" Target="https://maps.google.com/?q=16.1318822908221,-96.330415341104896" TargetMode="External"/><Relationship Id="rId3355" Type="http://schemas.openxmlformats.org/officeDocument/2006/relationships/hyperlink" Target="https://maps.google.com/?q=17.1556903900681,-97.851543161059695" TargetMode="External"/><Relationship Id="rId4406" Type="http://schemas.openxmlformats.org/officeDocument/2006/relationships/hyperlink" Target="https://maps.google.com/?q=16.0026332218945,-96.679483177752005" TargetMode="External"/><Relationship Id="rId7976" Type="http://schemas.openxmlformats.org/officeDocument/2006/relationships/hyperlink" Target="https://maps.google.com/?q=18.1624480638003,-96.8744221230031" TargetMode="External"/><Relationship Id="rId276" Type="http://schemas.openxmlformats.org/officeDocument/2006/relationships/hyperlink" Target="https://maps.google.com/?q=16.88321,-97.676429999999996" TargetMode="External"/><Relationship Id="rId3008" Type="http://schemas.openxmlformats.org/officeDocument/2006/relationships/hyperlink" Target="https://maps.google.com/?q=16.9374533,-97.009421200000006" TargetMode="External"/><Relationship Id="rId6578" Type="http://schemas.openxmlformats.org/officeDocument/2006/relationships/hyperlink" Target="https://maps.google.com/?q=17.765597,-96.882229" TargetMode="External"/><Relationship Id="rId7629" Type="http://schemas.openxmlformats.org/officeDocument/2006/relationships/hyperlink" Target="https://maps.google.com/?q=17.230604444724,-95.052855399859396" TargetMode="External"/><Relationship Id="rId10957" Type="http://schemas.openxmlformats.org/officeDocument/2006/relationships/hyperlink" Target="https://maps.google.com/?q=16.2071076137676,-95.217985071104195" TargetMode="External"/><Relationship Id="rId9051" Type="http://schemas.openxmlformats.org/officeDocument/2006/relationships/hyperlink" Target="https://maps.google.com/?q=16.054633,-95.474952999999999" TargetMode="External"/><Relationship Id="rId13430" Type="http://schemas.openxmlformats.org/officeDocument/2006/relationships/hyperlink" Target="https://maps.google.com/?q=17.681824067144,-97.038481878643196" TargetMode="External"/><Relationship Id="rId1040" Type="http://schemas.openxmlformats.org/officeDocument/2006/relationships/hyperlink" Target="https://maps.google.com/?q=15.705272898203736,-96.52365914773118" TargetMode="External"/><Relationship Id="rId12032" Type="http://schemas.openxmlformats.org/officeDocument/2006/relationships/hyperlink" Target="https://maps.google.com/?q=16.8056853836843,-96.718642575029406" TargetMode="External"/><Relationship Id="rId410" Type="http://schemas.openxmlformats.org/officeDocument/2006/relationships/hyperlink" Target="https://maps.google.com/?q=16.053109,-97.410973999999996" TargetMode="External"/><Relationship Id="rId5661" Type="http://schemas.openxmlformats.org/officeDocument/2006/relationships/hyperlink" Target="https://maps.google.com/?q=16.436694,-97.855842999999993" TargetMode="External"/><Relationship Id="rId6712" Type="http://schemas.openxmlformats.org/officeDocument/2006/relationships/hyperlink" Target="https://maps.google.com/?q=17.0290401945085,-96.984233529547197" TargetMode="External"/><Relationship Id="rId4263" Type="http://schemas.openxmlformats.org/officeDocument/2006/relationships/hyperlink" Target="https://maps.google.com/?q=16.01524584,-96.6365421" TargetMode="External"/><Relationship Id="rId5314" Type="http://schemas.openxmlformats.org/officeDocument/2006/relationships/hyperlink" Target="https://maps.google.com/?q=15.8054157079833,-96.357125426002597" TargetMode="External"/><Relationship Id="rId8884" Type="http://schemas.openxmlformats.org/officeDocument/2006/relationships/hyperlink" Target="https://maps.google.com/?q=17.3794539,-96.160496109999997" TargetMode="External"/><Relationship Id="rId9935" Type="http://schemas.openxmlformats.org/officeDocument/2006/relationships/hyperlink" Target="https://maps.google.com/?q=0,-96.708237999999994" TargetMode="External"/><Relationship Id="rId1924" Type="http://schemas.openxmlformats.org/officeDocument/2006/relationships/hyperlink" Target="https://maps.google.com/?q=15.7769740841157,-96.136905602766447" TargetMode="External"/><Relationship Id="rId7486" Type="http://schemas.openxmlformats.org/officeDocument/2006/relationships/hyperlink" Target="https://maps.google.com/?q=16.9905387675277,-95.015291317791096" TargetMode="External"/><Relationship Id="rId8537" Type="http://schemas.openxmlformats.org/officeDocument/2006/relationships/hyperlink" Target="https://maps.google.com/?q=16.9393998551483,-96.607447145997995" TargetMode="External"/><Relationship Id="rId10467" Type="http://schemas.openxmlformats.org/officeDocument/2006/relationships/hyperlink" Target="https://maps.google.com/?q=16.6643470615131,-97.2532376306192" TargetMode="External"/><Relationship Id="rId11865" Type="http://schemas.openxmlformats.org/officeDocument/2006/relationships/hyperlink" Target="https://maps.google.com/?q=16.985386279553477,-96.47204994725608" TargetMode="External"/><Relationship Id="rId12916" Type="http://schemas.openxmlformats.org/officeDocument/2006/relationships/hyperlink" Target="https://maps.google.com/?q=16.536343,-97.526381999999998" TargetMode="External"/><Relationship Id="rId6088" Type="http://schemas.openxmlformats.org/officeDocument/2006/relationships/hyperlink" Target="https://maps.google.com/?q=17.972349,-96.707928999999993" TargetMode="External"/><Relationship Id="rId7139" Type="http://schemas.openxmlformats.org/officeDocument/2006/relationships/hyperlink" Target="https://maps.google.com/?q=17.3434967354896,-97.703377184651004" TargetMode="External"/><Relationship Id="rId11518" Type="http://schemas.openxmlformats.org/officeDocument/2006/relationships/hyperlink" Target="https://maps.google.com/?q=16.613008614915,-96.849365432648" TargetMode="External"/><Relationship Id="rId2698" Type="http://schemas.openxmlformats.org/officeDocument/2006/relationships/hyperlink" Target="https://maps.google.com/?q=15.9372628627898,-96.469817233639205" TargetMode="External"/><Relationship Id="rId3749" Type="http://schemas.openxmlformats.org/officeDocument/2006/relationships/hyperlink" Target="https://maps.google.com/?q=15.762541689965937,-96.144391472555412" TargetMode="External"/><Relationship Id="rId5171" Type="http://schemas.openxmlformats.org/officeDocument/2006/relationships/hyperlink" Target="https://maps.google.com/?q=17.314124,-95.967207" TargetMode="External"/><Relationship Id="rId6222" Type="http://schemas.openxmlformats.org/officeDocument/2006/relationships/hyperlink" Target="https://maps.google.com/?q=16.096587,-97.082560000000001" TargetMode="External"/><Relationship Id="rId7620" Type="http://schemas.openxmlformats.org/officeDocument/2006/relationships/hyperlink" Target="https://maps.google.com/?q=17.2302839294904,-95.049013022322697" TargetMode="External"/><Relationship Id="rId10601" Type="http://schemas.openxmlformats.org/officeDocument/2006/relationships/hyperlink" Target="https://maps.google.com/?q=17.087352513169,-97.762780865081695" TargetMode="External"/><Relationship Id="rId9792" Type="http://schemas.openxmlformats.org/officeDocument/2006/relationships/hyperlink" Target="https://maps.google.com/?q=16.6410728650565,-96.750626054680794" TargetMode="External"/><Relationship Id="rId12773" Type="http://schemas.openxmlformats.org/officeDocument/2006/relationships/hyperlink" Target="https://maps.google.com/?q=17.952171660354182,-96.65562696095886" TargetMode="External"/><Relationship Id="rId13824" Type="http://schemas.openxmlformats.org/officeDocument/2006/relationships/hyperlink" Target="https://maps.google.com/?q=17.090461,-97.783976999999993" TargetMode="External"/><Relationship Id="rId1781" Type="http://schemas.openxmlformats.org/officeDocument/2006/relationships/hyperlink" Target="https://maps.google.com/?q=18.0604549389222,-96.899353990281995" TargetMode="External"/><Relationship Id="rId2832" Type="http://schemas.openxmlformats.org/officeDocument/2006/relationships/hyperlink" Target="https://maps.google.com/?q=16.9929563820303,-97.713876972249693" TargetMode="External"/><Relationship Id="rId8394" Type="http://schemas.openxmlformats.org/officeDocument/2006/relationships/hyperlink" Target="https://maps.google.com/?q=16.0898075853845,-96.244393731317501" TargetMode="External"/><Relationship Id="rId9445" Type="http://schemas.openxmlformats.org/officeDocument/2006/relationships/hyperlink" Target="https://maps.google.com/?q=15.83418,-96.639807000000005" TargetMode="External"/><Relationship Id="rId11375" Type="http://schemas.openxmlformats.org/officeDocument/2006/relationships/hyperlink" Target="https://maps.google.com/?q=16.371983477853,-94.193361910645606" TargetMode="External"/><Relationship Id="rId12426" Type="http://schemas.openxmlformats.org/officeDocument/2006/relationships/hyperlink" Target="https://maps.google.com/?q=16.5592066850921,-96.820189903110503" TargetMode="External"/><Relationship Id="rId804" Type="http://schemas.openxmlformats.org/officeDocument/2006/relationships/hyperlink" Target="https://maps.google.com/?q=15.694561321745887,-96.522674455133924" TargetMode="External"/><Relationship Id="rId1434" Type="http://schemas.openxmlformats.org/officeDocument/2006/relationships/hyperlink" Target="https://maps.google.com/?q=16.559210781600964,-96.02857080374137" TargetMode="External"/><Relationship Id="rId8047" Type="http://schemas.openxmlformats.org/officeDocument/2006/relationships/hyperlink" Target="https://maps.google.com/?q=16.495617614454,-97.377516547340306" TargetMode="External"/><Relationship Id="rId11028" Type="http://schemas.openxmlformats.org/officeDocument/2006/relationships/hyperlink" Target="https://maps.google.com/?q=16.578148,-96.548656" TargetMode="External"/><Relationship Id="rId4657" Type="http://schemas.openxmlformats.org/officeDocument/2006/relationships/hyperlink" Target="https://maps.google.com/?q=17.072478,-96.742842999999993" TargetMode="External"/><Relationship Id="rId5708" Type="http://schemas.openxmlformats.org/officeDocument/2006/relationships/hyperlink" Target="https://maps.google.com/?q=17.43065353,-96.282834300000005" TargetMode="External"/><Relationship Id="rId3259" Type="http://schemas.openxmlformats.org/officeDocument/2006/relationships/hyperlink" Target="https://maps.google.com/?q=17.0591991076292,-96.819106291996107" TargetMode="External"/><Relationship Id="rId7130" Type="http://schemas.openxmlformats.org/officeDocument/2006/relationships/hyperlink" Target="https://maps.google.com/?q=17.3417385832977,-97.666616875582605" TargetMode="External"/><Relationship Id="rId10111" Type="http://schemas.openxmlformats.org/officeDocument/2006/relationships/hyperlink" Target="https://maps.google.com/?q=17.0238018721884,-96.138081769961005" TargetMode="External"/><Relationship Id="rId13681" Type="http://schemas.openxmlformats.org/officeDocument/2006/relationships/hyperlink" Target="https://maps.google.com/?q=16.352335,-94.483882" TargetMode="External"/><Relationship Id="rId3740" Type="http://schemas.openxmlformats.org/officeDocument/2006/relationships/hyperlink" Target="https://maps.google.com/?q=15.76103830220048,-96.149578882526228" TargetMode="External"/><Relationship Id="rId12283" Type="http://schemas.openxmlformats.org/officeDocument/2006/relationships/hyperlink" Target="https://maps.google.com/?q=16.4734287236616,-94.355831101852402" TargetMode="External"/><Relationship Id="rId13334" Type="http://schemas.openxmlformats.org/officeDocument/2006/relationships/hyperlink" Target="https://maps.google.com/?q=17.4598343024032,-98.005626549073796" TargetMode="External"/><Relationship Id="rId661" Type="http://schemas.openxmlformats.org/officeDocument/2006/relationships/hyperlink" Target="https://maps.google.com/?q=16.056448,-97.392095999999995" TargetMode="External"/><Relationship Id="rId1291" Type="http://schemas.openxmlformats.org/officeDocument/2006/relationships/hyperlink" Target="https://maps.google.com/?q=17.080154,-96.726937" TargetMode="External"/><Relationship Id="rId2342" Type="http://schemas.openxmlformats.org/officeDocument/2006/relationships/hyperlink" Target="https://maps.google.com/?q=17.091751,-97.658902999999995" TargetMode="External"/><Relationship Id="rId6963" Type="http://schemas.openxmlformats.org/officeDocument/2006/relationships/hyperlink" Target="https://maps.google.com/?q=16.337683,-95.243272300000001" TargetMode="External"/><Relationship Id="rId314" Type="http://schemas.openxmlformats.org/officeDocument/2006/relationships/hyperlink" Target="https://maps.google.com/?q=16.056773,-97.390822999999997" TargetMode="External"/><Relationship Id="rId5565" Type="http://schemas.openxmlformats.org/officeDocument/2006/relationships/hyperlink" Target="https://maps.google.com/?q=17.6015310041433,-96.122488118555907" TargetMode="External"/><Relationship Id="rId6616" Type="http://schemas.openxmlformats.org/officeDocument/2006/relationships/hyperlink" Target="https://maps.google.com/?q=17.119788,-97.782075" TargetMode="External"/><Relationship Id="rId4167" Type="http://schemas.openxmlformats.org/officeDocument/2006/relationships/hyperlink" Target="https://maps.google.com/?q=15.780456905352,&#160;-96.431044" TargetMode="External"/><Relationship Id="rId5218" Type="http://schemas.openxmlformats.org/officeDocument/2006/relationships/hyperlink" Target="https://maps.google.com/?q=17.2794675493174,-97.372095530975798" TargetMode="External"/><Relationship Id="rId8788" Type="http://schemas.openxmlformats.org/officeDocument/2006/relationships/hyperlink" Target="https://maps.google.com/?q=17.212461,-96.250330000000005" TargetMode="External"/><Relationship Id="rId9839" Type="http://schemas.openxmlformats.org/officeDocument/2006/relationships/hyperlink" Target="https://maps.google.com/?q=16.6330183105694,-96.849742364102795" TargetMode="External"/><Relationship Id="rId11769" Type="http://schemas.openxmlformats.org/officeDocument/2006/relationships/hyperlink" Target="https://maps.google.com/?q=16.779152635283502,-96.61449436459158" TargetMode="External"/><Relationship Id="rId13191" Type="http://schemas.openxmlformats.org/officeDocument/2006/relationships/hyperlink" Target="https://maps.google.com/?q=16.5737670071938,-97.008366069849103" TargetMode="External"/><Relationship Id="rId1828" Type="http://schemas.openxmlformats.org/officeDocument/2006/relationships/hyperlink" Target="https://maps.google.com/?q=18.035868038048,-96.8962315488954" TargetMode="External"/><Relationship Id="rId3250" Type="http://schemas.openxmlformats.org/officeDocument/2006/relationships/hyperlink" Target="https://maps.google.com/?q=17.0565786332615,-96.824522781698803" TargetMode="External"/><Relationship Id="rId171" Type="http://schemas.openxmlformats.org/officeDocument/2006/relationships/hyperlink" Target="https://maps.google.com/?q=17.090116,-97.500977000000006" TargetMode="External"/><Relationship Id="rId4301" Type="http://schemas.openxmlformats.org/officeDocument/2006/relationships/hyperlink" Target="https://maps.google.com/?q=16.0095874115944,-96.568092674561697" TargetMode="External"/><Relationship Id="rId7871" Type="http://schemas.openxmlformats.org/officeDocument/2006/relationships/hyperlink" Target="https://maps.google.com/?q=16.3166814969348,-96.413056359986101" TargetMode="External"/><Relationship Id="rId8922" Type="http://schemas.openxmlformats.org/officeDocument/2006/relationships/hyperlink" Target="https://maps.google.com/?q=17.380589058,-96.163810832999999" TargetMode="External"/><Relationship Id="rId10852" Type="http://schemas.openxmlformats.org/officeDocument/2006/relationships/hyperlink" Target="https://maps.google.com/?q=16.3464780531982,-94.482430390212997" TargetMode="External"/><Relationship Id="rId11903" Type="http://schemas.openxmlformats.org/officeDocument/2006/relationships/hyperlink" Target="https://maps.google.com/?q=16.23338576510889,-96.86883094113922" TargetMode="External"/><Relationship Id="rId6473" Type="http://schemas.openxmlformats.org/officeDocument/2006/relationships/hyperlink" Target="https://maps.google.com/?q=17.2665382313791,-97.532495491045097" TargetMode="External"/><Relationship Id="rId7524" Type="http://schemas.openxmlformats.org/officeDocument/2006/relationships/hyperlink" Target="https://maps.google.com/?q=17.9751514480343,-96.702606789671293" TargetMode="External"/><Relationship Id="rId10505" Type="http://schemas.openxmlformats.org/officeDocument/2006/relationships/hyperlink" Target="https://maps.google.com/?q=17.8461431841941,-96.742951998088202" TargetMode="External"/><Relationship Id="rId5075" Type="http://schemas.openxmlformats.org/officeDocument/2006/relationships/hyperlink" Target="https://maps.google.com/?q=17.252747,-96.152079999999998" TargetMode="External"/><Relationship Id="rId6126" Type="http://schemas.openxmlformats.org/officeDocument/2006/relationships/hyperlink" Target="https://maps.google.com/?q=16.95040037,-96.617786460000005" TargetMode="External"/><Relationship Id="rId9696" Type="http://schemas.openxmlformats.org/officeDocument/2006/relationships/hyperlink" Target="https://maps.google.com/?q=18.0820732800951,-96.137312883432401" TargetMode="External"/><Relationship Id="rId12677" Type="http://schemas.openxmlformats.org/officeDocument/2006/relationships/hyperlink" Target="https://maps.google.com/?q=16.9220721354671,-97.890199168615396" TargetMode="External"/><Relationship Id="rId1685" Type="http://schemas.openxmlformats.org/officeDocument/2006/relationships/hyperlink" Target="https://maps.google.com/?q=18.0060192852403,-96.896170479829905" TargetMode="External"/><Relationship Id="rId2736" Type="http://schemas.openxmlformats.org/officeDocument/2006/relationships/hyperlink" Target="https://maps.google.com/?q=18.031883770529728,-96.24892850429917" TargetMode="External"/><Relationship Id="rId8298" Type="http://schemas.openxmlformats.org/officeDocument/2006/relationships/hyperlink" Target="https://maps.google.com/?q=16.536959,-98.030803000000006" TargetMode="External"/><Relationship Id="rId9349" Type="http://schemas.openxmlformats.org/officeDocument/2006/relationships/hyperlink" Target="https://maps.google.com/?q=16.8178171916041,-95.139428836925106" TargetMode="External"/><Relationship Id="rId11279" Type="http://schemas.openxmlformats.org/officeDocument/2006/relationships/hyperlink" Target="https://maps.google.com/?q=17.8659661370842,-96.309333737791306" TargetMode="External"/><Relationship Id="rId13728" Type="http://schemas.openxmlformats.org/officeDocument/2006/relationships/hyperlink" Target="https://maps.google.com/?q=16.50381,-95.203012" TargetMode="External"/><Relationship Id="rId708" Type="http://schemas.openxmlformats.org/officeDocument/2006/relationships/hyperlink" Target="https://maps.google.com/?q=16.062811,-97.382633999999996" TargetMode="External"/><Relationship Id="rId1338" Type="http://schemas.openxmlformats.org/officeDocument/2006/relationships/hyperlink" Target="https://maps.google.com/?q=17.01889115,-96.71833177" TargetMode="External"/><Relationship Id="rId5959" Type="http://schemas.openxmlformats.org/officeDocument/2006/relationships/hyperlink" Target="https://maps.google.com/?q=18.1540844075248,-96.571983304895781" TargetMode="External"/><Relationship Id="rId7381" Type="http://schemas.openxmlformats.org/officeDocument/2006/relationships/hyperlink" Target="https://maps.google.com/?q=17.0413871646971,-97.296314574077996" TargetMode="External"/><Relationship Id="rId8432" Type="http://schemas.openxmlformats.org/officeDocument/2006/relationships/hyperlink" Target="https://maps.google.com/?q=16.2024010979885,-96.8261908933233" TargetMode="External"/><Relationship Id="rId9830" Type="http://schemas.openxmlformats.org/officeDocument/2006/relationships/hyperlink" Target="https://maps.google.com/?q=16.632595562592,-96.8506165822089" TargetMode="External"/><Relationship Id="rId11760" Type="http://schemas.openxmlformats.org/officeDocument/2006/relationships/hyperlink" Target="https://maps.google.com/?q=16.684986386714293,-96.68609914732552" TargetMode="External"/><Relationship Id="rId12811" Type="http://schemas.openxmlformats.org/officeDocument/2006/relationships/hyperlink" Target="https://maps.google.com/?q=17.8475327902944,-97.442081177909898" TargetMode="External"/><Relationship Id="rId44" Type="http://schemas.openxmlformats.org/officeDocument/2006/relationships/hyperlink" Target="https://maps.google.com/?q=15.912411,-96.450263000000007" TargetMode="External"/><Relationship Id="rId7034" Type="http://schemas.openxmlformats.org/officeDocument/2006/relationships/hyperlink" Target="https://maps.google.com/?q=17.0449050317668,-97.301373399796802" TargetMode="External"/><Relationship Id="rId10362" Type="http://schemas.openxmlformats.org/officeDocument/2006/relationships/hyperlink" Target="https://maps.google.com/?q=17.4347901894051,-96.656684055225298" TargetMode="External"/><Relationship Id="rId11413" Type="http://schemas.openxmlformats.org/officeDocument/2006/relationships/hyperlink" Target="https://maps.google.com/?q=17.3761434318516,-98.1891890074439" TargetMode="External"/><Relationship Id="rId3991" Type="http://schemas.openxmlformats.org/officeDocument/2006/relationships/hyperlink" Target="https://maps.google.com/?q=17.06286,-96.757170000000002" TargetMode="External"/><Relationship Id="rId10015" Type="http://schemas.openxmlformats.org/officeDocument/2006/relationships/hyperlink" Target="https://maps.google.com/?q=16.9937915777612,-96.072239926627006" TargetMode="External"/><Relationship Id="rId13585" Type="http://schemas.openxmlformats.org/officeDocument/2006/relationships/hyperlink" Target="https://maps.google.com/?q=17.026216,-97.928115000000005" TargetMode="External"/><Relationship Id="rId2593" Type="http://schemas.openxmlformats.org/officeDocument/2006/relationships/hyperlink" Target="https://maps.google.com/?q=18.172584,-96.283582999999993" TargetMode="External"/><Relationship Id="rId3644" Type="http://schemas.openxmlformats.org/officeDocument/2006/relationships/hyperlink" Target="https://maps.google.com/?q=15.778492036090526,-96.137649043460968" TargetMode="External"/><Relationship Id="rId12187" Type="http://schemas.openxmlformats.org/officeDocument/2006/relationships/hyperlink" Target="https://maps.google.com/?q=17.4170193578565,-95.9476427706321" TargetMode="External"/><Relationship Id="rId13238" Type="http://schemas.openxmlformats.org/officeDocument/2006/relationships/hyperlink" Target="https://maps.google.com/?q=17.1403512146919,-96.751184120608599" TargetMode="External"/><Relationship Id="rId565" Type="http://schemas.openxmlformats.org/officeDocument/2006/relationships/hyperlink" Target="https://maps.google.com/?q=16.05233,-97.402203999999998" TargetMode="External"/><Relationship Id="rId1195" Type="http://schemas.openxmlformats.org/officeDocument/2006/relationships/hyperlink" Target="https://maps.google.com/?q=15.918942,-97.128097" TargetMode="External"/><Relationship Id="rId2246" Type="http://schemas.openxmlformats.org/officeDocument/2006/relationships/hyperlink" Target="https://maps.google.com/?q=16.519382,-96.972487000000001" TargetMode="External"/><Relationship Id="rId6867" Type="http://schemas.openxmlformats.org/officeDocument/2006/relationships/hyperlink" Target="https://maps.google.com/?q=16.969757133508583,-97.08276972883601" TargetMode="External"/><Relationship Id="rId7918" Type="http://schemas.openxmlformats.org/officeDocument/2006/relationships/hyperlink" Target="https://maps.google.com/?q=16.3200152929775,-96.408940646661605" TargetMode="External"/><Relationship Id="rId218" Type="http://schemas.openxmlformats.org/officeDocument/2006/relationships/hyperlink" Target="https://maps.google.com/?q=17.091851,-97.493825999999999" TargetMode="External"/><Relationship Id="rId5469" Type="http://schemas.openxmlformats.org/officeDocument/2006/relationships/hyperlink" Target="https://maps.google.com/?q=16.0111672267065,-97.426361304099899" TargetMode="External"/><Relationship Id="rId9340" Type="http://schemas.openxmlformats.org/officeDocument/2006/relationships/hyperlink" Target="https://maps.google.com/?q=16.8173396379023,-95.139353735072703" TargetMode="External"/><Relationship Id="rId11270" Type="http://schemas.openxmlformats.org/officeDocument/2006/relationships/hyperlink" Target="https://maps.google.com/?q=17.8656984731045,-96.307502218633303" TargetMode="External"/><Relationship Id="rId12321" Type="http://schemas.openxmlformats.org/officeDocument/2006/relationships/hyperlink" Target="https://maps.google.com/?q=16.037589,-97.067247" TargetMode="External"/><Relationship Id="rId5950" Type="http://schemas.openxmlformats.org/officeDocument/2006/relationships/hyperlink" Target="https://maps.google.com/?q=18.153888975294215,-96.574803929889896" TargetMode="External"/><Relationship Id="rId4552" Type="http://schemas.openxmlformats.org/officeDocument/2006/relationships/hyperlink" Target="https://maps.google.com/?q=17.1851328168676,-97.304028991401594" TargetMode="External"/><Relationship Id="rId5603" Type="http://schemas.openxmlformats.org/officeDocument/2006/relationships/hyperlink" Target="https://maps.google.com/?q=17.4620907813464,-96.231641346687098" TargetMode="External"/><Relationship Id="rId13095" Type="http://schemas.openxmlformats.org/officeDocument/2006/relationships/hyperlink" Target="https://maps.google.com/?q=16.5649943,-97.529407399999997" TargetMode="External"/><Relationship Id="rId14146" Type="http://schemas.openxmlformats.org/officeDocument/2006/relationships/hyperlink" Target="https://maps.google.com/?q=17.90481585,-97.69752245" TargetMode="External"/><Relationship Id="rId3154" Type="http://schemas.openxmlformats.org/officeDocument/2006/relationships/hyperlink" Target="https://maps.google.com/?q=16.543625,-97.498628999999994" TargetMode="External"/><Relationship Id="rId4205" Type="http://schemas.openxmlformats.org/officeDocument/2006/relationships/hyperlink" Target="https://maps.google.com/?q=16.500512,-96.106790000000004" TargetMode="External"/><Relationship Id="rId7775" Type="http://schemas.openxmlformats.org/officeDocument/2006/relationships/hyperlink" Target="https://maps.google.com/?q=16.1782342745544,-96.381642658895402" TargetMode="External"/><Relationship Id="rId8826" Type="http://schemas.openxmlformats.org/officeDocument/2006/relationships/hyperlink" Target="https://maps.google.com/?q=17.216191,-96.249446000000006" TargetMode="External"/><Relationship Id="rId10756" Type="http://schemas.openxmlformats.org/officeDocument/2006/relationships/hyperlink" Target="https://maps.google.com/?q=17.454734,-97.224063000000001" TargetMode="External"/><Relationship Id="rId6377" Type="http://schemas.openxmlformats.org/officeDocument/2006/relationships/hyperlink" Target="https://maps.google.com/?q=16.579141,-96.875471000000005" TargetMode="External"/><Relationship Id="rId7428" Type="http://schemas.openxmlformats.org/officeDocument/2006/relationships/hyperlink" Target="https://maps.google.com/?q=17.209231328456,-97.585511616126794" TargetMode="External"/><Relationship Id="rId10409" Type="http://schemas.openxmlformats.org/officeDocument/2006/relationships/hyperlink" Target="https://maps.google.com/?q=17.0433976,-96.780127300000004" TargetMode="External"/><Relationship Id="rId11807" Type="http://schemas.openxmlformats.org/officeDocument/2006/relationships/hyperlink" Target="https://maps.google.com/?q=17.185690528897407,-97.27940358566664" TargetMode="External"/><Relationship Id="rId2987" Type="http://schemas.openxmlformats.org/officeDocument/2006/relationships/hyperlink" Target="https://maps.google.com/?q=17.949958,-96.736707999999993" TargetMode="External"/><Relationship Id="rId13979" Type="http://schemas.openxmlformats.org/officeDocument/2006/relationships/hyperlink" Target="https://maps.google.com/?q=17.755007754615228,-96.22741341232788" TargetMode="External"/><Relationship Id="rId959" Type="http://schemas.openxmlformats.org/officeDocument/2006/relationships/hyperlink" Target="https://maps.google.com/?q=15.68544706994095,-96.511639457575868" TargetMode="External"/><Relationship Id="rId1589" Type="http://schemas.openxmlformats.org/officeDocument/2006/relationships/hyperlink" Target="https://maps.google.com/?q=16.520753,-96.602138999999994" TargetMode="External"/><Relationship Id="rId5460" Type="http://schemas.openxmlformats.org/officeDocument/2006/relationships/hyperlink" Target="https://maps.google.com/?q=16.0092992757736,-97.426895995694395" TargetMode="External"/><Relationship Id="rId6511" Type="http://schemas.openxmlformats.org/officeDocument/2006/relationships/hyperlink" Target="https://maps.google.com/?q=17.2245850504941,-97.565010973794003" TargetMode="External"/><Relationship Id="rId4062" Type="http://schemas.openxmlformats.org/officeDocument/2006/relationships/hyperlink" Target="https://maps.google.com/?q=17.080069,-96.725792" TargetMode="External"/><Relationship Id="rId5113" Type="http://schemas.openxmlformats.org/officeDocument/2006/relationships/hyperlink" Target="https://maps.google.com/?q=17.253742,-96.157092000000006" TargetMode="External"/><Relationship Id="rId8683" Type="http://schemas.openxmlformats.org/officeDocument/2006/relationships/hyperlink" Target="https://maps.google.com/?q=16.1847493795991,-96.625714364418002" TargetMode="External"/><Relationship Id="rId9734" Type="http://schemas.openxmlformats.org/officeDocument/2006/relationships/hyperlink" Target="https://maps.google.com/?q=17.2713811834178,-96.797911030679003" TargetMode="External"/><Relationship Id="rId11664" Type="http://schemas.openxmlformats.org/officeDocument/2006/relationships/hyperlink" Target="https://maps.google.com/?q=17.17403056,-97.707111839999996" TargetMode="External"/><Relationship Id="rId12715" Type="http://schemas.openxmlformats.org/officeDocument/2006/relationships/hyperlink" Target="https://maps.google.com/?q=16.2854490496254,-96.504264840684996" TargetMode="External"/><Relationship Id="rId1723" Type="http://schemas.openxmlformats.org/officeDocument/2006/relationships/hyperlink" Target="https://maps.google.com/?q=18.0630164028653,-96.832215854418095" TargetMode="External"/><Relationship Id="rId7285" Type="http://schemas.openxmlformats.org/officeDocument/2006/relationships/hyperlink" Target="https://maps.google.com/?q=16.3047612348206,-97.918823933515995" TargetMode="External"/><Relationship Id="rId8336" Type="http://schemas.openxmlformats.org/officeDocument/2006/relationships/hyperlink" Target="https://maps.google.com/?q=16.8422090150195,-97.202344689808001" TargetMode="External"/><Relationship Id="rId10266" Type="http://schemas.openxmlformats.org/officeDocument/2006/relationships/hyperlink" Target="https://maps.google.com/?q=16.244856149806,-95.146680294019802" TargetMode="External"/><Relationship Id="rId11317" Type="http://schemas.openxmlformats.org/officeDocument/2006/relationships/hyperlink" Target="https://maps.google.com/?q=17.8691704402266,-96.309003882838596" TargetMode="External"/><Relationship Id="rId3895" Type="http://schemas.openxmlformats.org/officeDocument/2006/relationships/hyperlink" Target="https://maps.google.com/?q=17.0932792270163,-96.066374580356594" TargetMode="External"/><Relationship Id="rId4946" Type="http://schemas.openxmlformats.org/officeDocument/2006/relationships/hyperlink" Target="https://maps.google.com/?q=15.933343,-96.415184999999994" TargetMode="External"/><Relationship Id="rId13489" Type="http://schemas.openxmlformats.org/officeDocument/2006/relationships/hyperlink" Target="https://maps.google.com/?q=17.6900373398403,-97.042978991401696" TargetMode="External"/><Relationship Id="rId2497" Type="http://schemas.openxmlformats.org/officeDocument/2006/relationships/hyperlink" Target="https://maps.google.com/?q=17.05208706,-96.624187109999994" TargetMode="External"/><Relationship Id="rId3548" Type="http://schemas.openxmlformats.org/officeDocument/2006/relationships/hyperlink" Target="https://maps.google.com/?q=15.758384157904617,-96.149653247912909" TargetMode="External"/><Relationship Id="rId469" Type="http://schemas.openxmlformats.org/officeDocument/2006/relationships/hyperlink" Target="https://maps.google.com/?q=16.053732,-97.409566999999996" TargetMode="External"/><Relationship Id="rId1099" Type="http://schemas.openxmlformats.org/officeDocument/2006/relationships/hyperlink" Target="https://maps.google.com/?q=17.22261,-97.120559999999998" TargetMode="External"/><Relationship Id="rId6021" Type="http://schemas.openxmlformats.org/officeDocument/2006/relationships/hyperlink" Target="https://maps.google.com/?q=18.155922498090266,-96.572934979405687" TargetMode="External"/><Relationship Id="rId9591" Type="http://schemas.openxmlformats.org/officeDocument/2006/relationships/hyperlink" Target="https://maps.google.com/?q=17.9927632490258,-96.746838737986593" TargetMode="External"/><Relationship Id="rId10400" Type="http://schemas.openxmlformats.org/officeDocument/2006/relationships/hyperlink" Target="https://maps.google.com/?q=17.975871,-96.705067999999997" TargetMode="External"/><Relationship Id="rId13970" Type="http://schemas.openxmlformats.org/officeDocument/2006/relationships/hyperlink" Target="https://maps.google.com/?q=16.33000328,-96.40996993" TargetMode="External"/><Relationship Id="rId8193" Type="http://schemas.openxmlformats.org/officeDocument/2006/relationships/hyperlink" Target="https://maps.google.com/?q=16.669435,-96.3075647" TargetMode="External"/><Relationship Id="rId9244" Type="http://schemas.openxmlformats.org/officeDocument/2006/relationships/hyperlink" Target="https://maps.google.com/?q=17.3768993941223,-96.299518175603296" TargetMode="External"/><Relationship Id="rId12572" Type="http://schemas.openxmlformats.org/officeDocument/2006/relationships/hyperlink" Target="https://maps.google.com/?q=16.5796183497746,-96.952570179643303" TargetMode="External"/><Relationship Id="rId13623" Type="http://schemas.openxmlformats.org/officeDocument/2006/relationships/hyperlink" Target="https://maps.google.com/?q=17.945299,-96.17051" TargetMode="External"/><Relationship Id="rId950" Type="http://schemas.openxmlformats.org/officeDocument/2006/relationships/hyperlink" Target="https://maps.google.com/?q=15.68298378093964,-96.510389304727198" TargetMode="External"/><Relationship Id="rId1580" Type="http://schemas.openxmlformats.org/officeDocument/2006/relationships/hyperlink" Target="https://maps.google.com/?q=16.56558,-96.700109999999995" TargetMode="External"/><Relationship Id="rId2631" Type="http://schemas.openxmlformats.org/officeDocument/2006/relationships/hyperlink" Target="https://maps.google.com/?q=18.083006,-96.165087" TargetMode="External"/><Relationship Id="rId11174" Type="http://schemas.openxmlformats.org/officeDocument/2006/relationships/hyperlink" Target="https://maps.google.com/?q=16.843733,-96.008678000000003" TargetMode="External"/><Relationship Id="rId12225" Type="http://schemas.openxmlformats.org/officeDocument/2006/relationships/hyperlink" Target="https://maps.google.com/?q=17.4228035773692,-95.950965914355507" TargetMode="External"/><Relationship Id="rId603" Type="http://schemas.openxmlformats.org/officeDocument/2006/relationships/hyperlink" Target="https://maps.google.com/?q=16.054939,-97.395771999999994" TargetMode="External"/><Relationship Id="rId1233" Type="http://schemas.openxmlformats.org/officeDocument/2006/relationships/hyperlink" Target="https://maps.google.com/?q=17.055754,-96.745626290000004" TargetMode="External"/><Relationship Id="rId5854" Type="http://schemas.openxmlformats.org/officeDocument/2006/relationships/hyperlink" Target="https://maps.google.com/?q=16.0981538876912,-97.700915822090096" TargetMode="External"/><Relationship Id="rId6905" Type="http://schemas.openxmlformats.org/officeDocument/2006/relationships/hyperlink" Target="https://maps.google.com/?q=17.162011550691,-94.787408461527093" TargetMode="External"/><Relationship Id="rId4456" Type="http://schemas.openxmlformats.org/officeDocument/2006/relationships/hyperlink" Target="https://maps.google.com/?q=17.610917,-98.004158000000004" TargetMode="External"/><Relationship Id="rId5507" Type="http://schemas.openxmlformats.org/officeDocument/2006/relationships/hyperlink" Target="https://maps.google.com/?q=16.346234,-96.488235000000003" TargetMode="External"/><Relationship Id="rId3058" Type="http://schemas.openxmlformats.org/officeDocument/2006/relationships/hyperlink" Target="https://maps.google.com/?q=16.963713804932,-96.941277088499106" TargetMode="External"/><Relationship Id="rId4109" Type="http://schemas.openxmlformats.org/officeDocument/2006/relationships/hyperlink" Target="https://maps.google.com/?q=17.0585929,-96.743018000000006" TargetMode="External"/><Relationship Id="rId7679" Type="http://schemas.openxmlformats.org/officeDocument/2006/relationships/hyperlink" Target="https://maps.google.com/?q=17.2008835627013,-97.514748370000802" TargetMode="External"/><Relationship Id="rId13480" Type="http://schemas.openxmlformats.org/officeDocument/2006/relationships/hyperlink" Target="https://maps.google.com/?q=17.6885809861612,-97.034706791964993" TargetMode="External"/><Relationship Id="rId12082" Type="http://schemas.openxmlformats.org/officeDocument/2006/relationships/hyperlink" Target="https://maps.google.com/?q=16.24513868,-95.324949529999998" TargetMode="External"/><Relationship Id="rId13133" Type="http://schemas.openxmlformats.org/officeDocument/2006/relationships/hyperlink" Target="https://maps.google.com/?q=17.1856834095686,-96.513373860118804" TargetMode="External"/><Relationship Id="rId460" Type="http://schemas.openxmlformats.org/officeDocument/2006/relationships/hyperlink" Target="https://maps.google.com/?q=16.054064,-97.409265000000005" TargetMode="External"/><Relationship Id="rId1090" Type="http://schemas.openxmlformats.org/officeDocument/2006/relationships/hyperlink" Target="https://maps.google.com/?q=16.88498,-97.679010000000005" TargetMode="External"/><Relationship Id="rId2141" Type="http://schemas.openxmlformats.org/officeDocument/2006/relationships/hyperlink" Target="https://maps.google.com/?q=15.763684,-96.141969000000003" TargetMode="External"/><Relationship Id="rId113" Type="http://schemas.openxmlformats.org/officeDocument/2006/relationships/hyperlink" Target="https://maps.google.com/?q=17.097239,-97.495690999999994" TargetMode="External"/><Relationship Id="rId6762" Type="http://schemas.openxmlformats.org/officeDocument/2006/relationships/hyperlink" Target="https://maps.google.com/?q=16.7078370599164,-97.017072657741295" TargetMode="External"/><Relationship Id="rId7813" Type="http://schemas.openxmlformats.org/officeDocument/2006/relationships/hyperlink" Target="https://maps.google.com/?q=17.8463724281599,-96.744390636317306" TargetMode="External"/><Relationship Id="rId5017" Type="http://schemas.openxmlformats.org/officeDocument/2006/relationships/hyperlink" Target="https://maps.google.com/?q=17.249935,-96.152922000000004" TargetMode="External"/><Relationship Id="rId5364" Type="http://schemas.openxmlformats.org/officeDocument/2006/relationships/hyperlink" Target="https://maps.google.com/?q=16.1268115676653,-97.608526739929701" TargetMode="External"/><Relationship Id="rId6415" Type="http://schemas.openxmlformats.org/officeDocument/2006/relationships/hyperlink" Target="https://maps.google.com/?q=17.2219681636741,-97.594766650769699" TargetMode="External"/><Relationship Id="rId9985" Type="http://schemas.openxmlformats.org/officeDocument/2006/relationships/hyperlink" Target="https://maps.google.com/?q=16.0950248168648,-95.529233869064001" TargetMode="External"/><Relationship Id="rId12966" Type="http://schemas.openxmlformats.org/officeDocument/2006/relationships/hyperlink" Target="https://maps.google.com/?q=16.510861,-97.484821999999994" TargetMode="External"/><Relationship Id="rId1974" Type="http://schemas.openxmlformats.org/officeDocument/2006/relationships/hyperlink" Target="https://maps.google.com/?q=15.773631,-96.144311" TargetMode="External"/><Relationship Id="rId8587" Type="http://schemas.openxmlformats.org/officeDocument/2006/relationships/hyperlink" Target="https://maps.google.com/?q=16.9363310297483,-96.607926972110903" TargetMode="External"/><Relationship Id="rId9638" Type="http://schemas.openxmlformats.org/officeDocument/2006/relationships/hyperlink" Target="https://maps.google.com/?q=16.4704904289171,-96.681690618777296" TargetMode="External"/><Relationship Id="rId11568" Type="http://schemas.openxmlformats.org/officeDocument/2006/relationships/hyperlink" Target="https://maps.google.com/?q=16.8469809898249,-96.748328682209007" TargetMode="External"/><Relationship Id="rId12619" Type="http://schemas.openxmlformats.org/officeDocument/2006/relationships/hyperlink" Target="https://maps.google.com/?q=17.11143,-96.850066999999996" TargetMode="External"/><Relationship Id="rId1627" Type="http://schemas.openxmlformats.org/officeDocument/2006/relationships/hyperlink" Target="https://maps.google.com/?q=15.9058175012486,-96.432885902159597" TargetMode="External"/><Relationship Id="rId7189" Type="http://schemas.openxmlformats.org/officeDocument/2006/relationships/hyperlink" Target="https://maps.google.com/?q=16.1720231364661,-97.967006427122598" TargetMode="External"/><Relationship Id="rId14041" Type="http://schemas.openxmlformats.org/officeDocument/2006/relationships/hyperlink" Target="https://maps.google.com/?q=17.07858105319038,-96.74464302436864" TargetMode="External"/><Relationship Id="rId3799" Type="http://schemas.openxmlformats.org/officeDocument/2006/relationships/hyperlink" Target="https://maps.google.com/?q=15.771685641283556,-96.248448856931574" TargetMode="External"/><Relationship Id="rId4100" Type="http://schemas.openxmlformats.org/officeDocument/2006/relationships/hyperlink" Target="https://maps.google.com/?q=17.0563329179,-96.7461488" TargetMode="External"/><Relationship Id="rId7670" Type="http://schemas.openxmlformats.org/officeDocument/2006/relationships/hyperlink" Target="https://maps.google.com/?q=17.1895405861742,-97.5445951484012" TargetMode="External"/><Relationship Id="rId8721" Type="http://schemas.openxmlformats.org/officeDocument/2006/relationships/hyperlink" Target="https://maps.google.com/?q=17.0566564597733,-96.823756198836193" TargetMode="External"/><Relationship Id="rId6272" Type="http://schemas.openxmlformats.org/officeDocument/2006/relationships/hyperlink" Target="https://maps.google.com/?q=16.4094048441184,-96.705920260602895" TargetMode="External"/><Relationship Id="rId7323" Type="http://schemas.openxmlformats.org/officeDocument/2006/relationships/hyperlink" Target="https://maps.google.com/?q=16.72854226,-96.471897100000007" TargetMode="External"/><Relationship Id="rId10651" Type="http://schemas.openxmlformats.org/officeDocument/2006/relationships/hyperlink" Target="https://maps.google.com/?q=17.1225466826884,-97.783866892209005" TargetMode="External"/><Relationship Id="rId11702" Type="http://schemas.openxmlformats.org/officeDocument/2006/relationships/hyperlink" Target="https://maps.google.com/?q=17.18203663,-97.709440299999997" TargetMode="External"/><Relationship Id="rId9495" Type="http://schemas.openxmlformats.org/officeDocument/2006/relationships/hyperlink" Target="https://maps.google.com/?q=17.315704971995554,-96.48306899277095" TargetMode="External"/><Relationship Id="rId10304" Type="http://schemas.openxmlformats.org/officeDocument/2006/relationships/hyperlink" Target="https://maps.google.com/?q=16.22320397,-97.270848380000004" TargetMode="External"/><Relationship Id="rId13874" Type="http://schemas.openxmlformats.org/officeDocument/2006/relationships/hyperlink" Target="https://maps.google.com/?q=16.2710339838314,-96.565340996364498" TargetMode="External"/><Relationship Id="rId2882" Type="http://schemas.openxmlformats.org/officeDocument/2006/relationships/hyperlink" Target="https://maps.google.com/?q=18.229017,-96.279841000000005" TargetMode="External"/><Relationship Id="rId3933" Type="http://schemas.openxmlformats.org/officeDocument/2006/relationships/hyperlink" Target="https://maps.google.com/?q=17.058954,-96.752435000000006" TargetMode="External"/><Relationship Id="rId8097" Type="http://schemas.openxmlformats.org/officeDocument/2006/relationships/hyperlink" Target="https://maps.google.com/?q=17.354817,-96.305222000000001" TargetMode="External"/><Relationship Id="rId9148" Type="http://schemas.openxmlformats.org/officeDocument/2006/relationships/hyperlink" Target="https://maps.google.com/?q=16.9741595557418,-97.086575338046003" TargetMode="External"/><Relationship Id="rId12476" Type="http://schemas.openxmlformats.org/officeDocument/2006/relationships/hyperlink" Target="https://maps.google.com/?q=17.2220280339759,-97.272178224536702" TargetMode="External"/><Relationship Id="rId13527" Type="http://schemas.openxmlformats.org/officeDocument/2006/relationships/hyperlink" Target="https://maps.google.com/?q=15.901622459001768,-96.69120526868248" TargetMode="External"/><Relationship Id="rId854" Type="http://schemas.openxmlformats.org/officeDocument/2006/relationships/hyperlink" Target="https://maps.google.com/?q=15.707540519959768,-96.525176375999976" TargetMode="External"/><Relationship Id="rId1484" Type="http://schemas.openxmlformats.org/officeDocument/2006/relationships/hyperlink" Target="https://maps.google.com/?q=17.058951,-96.751512000000005" TargetMode="External"/><Relationship Id="rId2535" Type="http://schemas.openxmlformats.org/officeDocument/2006/relationships/hyperlink" Target="https://maps.google.com/?q=17.0529140827233,-96.623497049594192" TargetMode="External"/><Relationship Id="rId11078" Type="http://schemas.openxmlformats.org/officeDocument/2006/relationships/hyperlink" Target="https://maps.google.com/?q=17.2895069775082,-97.370699929165198" TargetMode="External"/><Relationship Id="rId12129" Type="http://schemas.openxmlformats.org/officeDocument/2006/relationships/hyperlink" Target="https://maps.google.com/?q=16.2836797871603,-97.673555922546797" TargetMode="External"/><Relationship Id="rId507" Type="http://schemas.openxmlformats.org/officeDocument/2006/relationships/hyperlink" Target="https://maps.google.com/?q=16.053499,-97.405055000000004" TargetMode="External"/><Relationship Id="rId1137" Type="http://schemas.openxmlformats.org/officeDocument/2006/relationships/hyperlink" Target="https://maps.google.com/?q=16.8838,-97.676119999999997" TargetMode="External"/><Relationship Id="rId5758" Type="http://schemas.openxmlformats.org/officeDocument/2006/relationships/hyperlink" Target="https://maps.google.com/?q=16.994053,-97.232650000000007" TargetMode="External"/><Relationship Id="rId6809" Type="http://schemas.openxmlformats.org/officeDocument/2006/relationships/hyperlink" Target="https://maps.google.com/?q=16.3639640249065,-97.043911160713094" TargetMode="External"/><Relationship Id="rId7180" Type="http://schemas.openxmlformats.org/officeDocument/2006/relationships/hyperlink" Target="https://maps.google.com/?q=16.2211802656677,-97.920665892446806" TargetMode="External"/><Relationship Id="rId8231" Type="http://schemas.openxmlformats.org/officeDocument/2006/relationships/hyperlink" Target="https://maps.google.com/?q=16.4234576,-97.642899499999999" TargetMode="External"/><Relationship Id="rId10161" Type="http://schemas.openxmlformats.org/officeDocument/2006/relationships/hyperlink" Target="https://maps.google.com/?q=17.1069512591449,-97.488601453313507" TargetMode="External"/><Relationship Id="rId11212" Type="http://schemas.openxmlformats.org/officeDocument/2006/relationships/hyperlink" Target="https://maps.google.com/?q=16.999536,-97.797987000000006" TargetMode="External"/><Relationship Id="rId12610" Type="http://schemas.openxmlformats.org/officeDocument/2006/relationships/hyperlink" Target="https://maps.google.com/?q=17.11372,-96.849224000000007" TargetMode="External"/><Relationship Id="rId2392" Type="http://schemas.openxmlformats.org/officeDocument/2006/relationships/hyperlink" Target="https://maps.google.com/?q=16.5956718483552,-97.223602326389496" TargetMode="External"/><Relationship Id="rId3790" Type="http://schemas.openxmlformats.org/officeDocument/2006/relationships/hyperlink" Target="https://maps.google.com/?q=15.768890945555327,-96.235317400357431" TargetMode="External"/><Relationship Id="rId4841" Type="http://schemas.openxmlformats.org/officeDocument/2006/relationships/hyperlink" Target="https://maps.google.com/?q=17.3367899420135,-96.166052186745901" TargetMode="External"/><Relationship Id="rId13384" Type="http://schemas.openxmlformats.org/officeDocument/2006/relationships/hyperlink" Target="https://maps.google.com/?q=16.3239780212602,-96.678427957272802" TargetMode="External"/><Relationship Id="rId364" Type="http://schemas.openxmlformats.org/officeDocument/2006/relationships/hyperlink" Target="https://maps.google.com/?q=16.053678,-97.409670000000006" TargetMode="External"/><Relationship Id="rId2045" Type="http://schemas.openxmlformats.org/officeDocument/2006/relationships/hyperlink" Target="https://maps.google.com/?q=15.760653470974681,-96.141582927354875" TargetMode="External"/><Relationship Id="rId3443" Type="http://schemas.openxmlformats.org/officeDocument/2006/relationships/hyperlink" Target="https://maps.google.com/?q=17.0681640657376,-96.976086579342393" TargetMode="External"/><Relationship Id="rId13037" Type="http://schemas.openxmlformats.org/officeDocument/2006/relationships/hyperlink" Target="https://maps.google.com/?q=16.5614414,-97.528608700000007" TargetMode="External"/><Relationship Id="rId6666" Type="http://schemas.openxmlformats.org/officeDocument/2006/relationships/hyperlink" Target="https://maps.google.com/?q=16.939087,-97.011745000000005" TargetMode="External"/><Relationship Id="rId7717" Type="http://schemas.openxmlformats.org/officeDocument/2006/relationships/hyperlink" Target="https://maps.google.com/?q=16.6290546915252,-96.792590669208195" TargetMode="External"/><Relationship Id="rId5268" Type="http://schemas.openxmlformats.org/officeDocument/2006/relationships/hyperlink" Target="https://maps.google.com/?q=15.7223344777221,-96.399762393375298" TargetMode="External"/><Relationship Id="rId6319" Type="http://schemas.openxmlformats.org/officeDocument/2006/relationships/hyperlink" Target="https://maps.google.com/?q=18.0587062037366,-96.395525770354993" TargetMode="External"/><Relationship Id="rId9889" Type="http://schemas.openxmlformats.org/officeDocument/2006/relationships/hyperlink" Target="https://maps.google.com/?q=16.6381385424295,-96.851703372209101" TargetMode="External"/><Relationship Id="rId12120" Type="http://schemas.openxmlformats.org/officeDocument/2006/relationships/hyperlink" Target="https://maps.google.com/?q=16.3199507910758,-97.663200069218803" TargetMode="External"/><Relationship Id="rId1878" Type="http://schemas.openxmlformats.org/officeDocument/2006/relationships/hyperlink" Target="https://maps.google.com/?q=15.775553668263662,-96.136711046245011" TargetMode="External"/><Relationship Id="rId2929" Type="http://schemas.openxmlformats.org/officeDocument/2006/relationships/hyperlink" Target="https://maps.google.com/?q=17.07743758,-96.688970479999995" TargetMode="External"/><Relationship Id="rId4351" Type="http://schemas.openxmlformats.org/officeDocument/2006/relationships/hyperlink" Target="https://maps.google.com/?q=15.95864132,-96.637736169999997" TargetMode="External"/><Relationship Id="rId5402" Type="http://schemas.openxmlformats.org/officeDocument/2006/relationships/hyperlink" Target="https://maps.google.com/?q=16.0939907535938,-97.693408720237798" TargetMode="External"/><Relationship Id="rId6800" Type="http://schemas.openxmlformats.org/officeDocument/2006/relationships/hyperlink" Target="https://maps.google.com/?q=16.3572785988759,-97.0453611347221" TargetMode="External"/><Relationship Id="rId4004" Type="http://schemas.openxmlformats.org/officeDocument/2006/relationships/hyperlink" Target="https://maps.google.com/?q=17.01772643230838,-96.71859303846837" TargetMode="External"/><Relationship Id="rId8972" Type="http://schemas.openxmlformats.org/officeDocument/2006/relationships/hyperlink" Target="https://maps.google.com/?q=17.381664132,-96.160441973000005" TargetMode="External"/><Relationship Id="rId11953" Type="http://schemas.openxmlformats.org/officeDocument/2006/relationships/hyperlink" Target="https://maps.google.com/?q=16.7970213581767,-96.716345813372698" TargetMode="External"/><Relationship Id="rId6176" Type="http://schemas.openxmlformats.org/officeDocument/2006/relationships/hyperlink" Target="https://maps.google.com/?q=16.1435315951648,-96.416139506434007" TargetMode="External"/><Relationship Id="rId7227" Type="http://schemas.openxmlformats.org/officeDocument/2006/relationships/hyperlink" Target="https://maps.google.com/?q=16.229390022547,-97.944613812336002" TargetMode="External"/><Relationship Id="rId7574" Type="http://schemas.openxmlformats.org/officeDocument/2006/relationships/hyperlink" Target="https://maps.google.com/?q=17.0911811022433,-95.853008261283094" TargetMode="External"/><Relationship Id="rId8625" Type="http://schemas.openxmlformats.org/officeDocument/2006/relationships/hyperlink" Target="https://maps.google.com/?q=17.8991239329312,-96.714727193123693" TargetMode="External"/><Relationship Id="rId10555" Type="http://schemas.openxmlformats.org/officeDocument/2006/relationships/hyperlink" Target="https://maps.google.com/?q=17.0932253594586,-97.787188148350495" TargetMode="External"/><Relationship Id="rId11606" Type="http://schemas.openxmlformats.org/officeDocument/2006/relationships/hyperlink" Target="https://maps.google.com/?q=16.8362533914217,-96.734266186508094" TargetMode="External"/><Relationship Id="rId10208" Type="http://schemas.openxmlformats.org/officeDocument/2006/relationships/hyperlink" Target="https://maps.google.com/?q=17.18611576,-97.38097841" TargetMode="External"/><Relationship Id="rId13778" Type="http://schemas.openxmlformats.org/officeDocument/2006/relationships/hyperlink" Target="https://maps.google.com/?q=16.866635,-96.785594" TargetMode="External"/><Relationship Id="rId2786" Type="http://schemas.openxmlformats.org/officeDocument/2006/relationships/hyperlink" Target="https://maps.google.com/?q=16.9939204404587,-97.701475227595296" TargetMode="External"/><Relationship Id="rId3837" Type="http://schemas.openxmlformats.org/officeDocument/2006/relationships/hyperlink" Target="https://maps.google.com/?q=17.1104059153634,-95.942155874256997" TargetMode="External"/><Relationship Id="rId9399" Type="http://schemas.openxmlformats.org/officeDocument/2006/relationships/hyperlink" Target="https://maps.google.com/?q=16.8213460951963,-95.141353703373497" TargetMode="External"/><Relationship Id="rId758" Type="http://schemas.openxmlformats.org/officeDocument/2006/relationships/hyperlink" Target="https://maps.google.com/?q=15.683817089076797,-96.511462143277043" TargetMode="External"/><Relationship Id="rId1388" Type="http://schemas.openxmlformats.org/officeDocument/2006/relationships/hyperlink" Target="https://maps.google.com/?q=17.458341,-97.225285" TargetMode="External"/><Relationship Id="rId2439" Type="http://schemas.openxmlformats.org/officeDocument/2006/relationships/hyperlink" Target="https://maps.google.com/?q=17.0513537,-96.62439114" TargetMode="External"/><Relationship Id="rId6310" Type="http://schemas.openxmlformats.org/officeDocument/2006/relationships/hyperlink" Target="https://maps.google.com/?q=18.057909,-96.393235000000004" TargetMode="External"/><Relationship Id="rId9880" Type="http://schemas.openxmlformats.org/officeDocument/2006/relationships/hyperlink" Target="https://maps.google.com/?q=16.6368644279668,-96.849391027419799" TargetMode="External"/><Relationship Id="rId94" Type="http://schemas.openxmlformats.org/officeDocument/2006/relationships/hyperlink" Target="https://maps.google.com/?q=15.776157,-96.459543999999994" TargetMode="External"/><Relationship Id="rId8482" Type="http://schemas.openxmlformats.org/officeDocument/2006/relationships/hyperlink" Target="https://maps.google.com/?q=17.1531395905155,-97.527606461656404" TargetMode="External"/><Relationship Id="rId9533" Type="http://schemas.openxmlformats.org/officeDocument/2006/relationships/hyperlink" Target="https://maps.google.com/?q=17.270781,-96.795176" TargetMode="External"/><Relationship Id="rId12861" Type="http://schemas.openxmlformats.org/officeDocument/2006/relationships/hyperlink" Target="https://maps.google.com/?q=17.518204,-97.686440000000005" TargetMode="External"/><Relationship Id="rId13912" Type="http://schemas.openxmlformats.org/officeDocument/2006/relationships/hyperlink" Target="https://maps.google.com/?q=16.8559391435667,-96.814488499619799" TargetMode="External"/><Relationship Id="rId2920" Type="http://schemas.openxmlformats.org/officeDocument/2006/relationships/hyperlink" Target="https://maps.google.com/?q=17.07267069,-96.688335760000001" TargetMode="External"/><Relationship Id="rId7084" Type="http://schemas.openxmlformats.org/officeDocument/2006/relationships/hyperlink" Target="https://maps.google.com/?q=16.326869,-98.053826999999998" TargetMode="External"/><Relationship Id="rId8135" Type="http://schemas.openxmlformats.org/officeDocument/2006/relationships/hyperlink" Target="https://maps.google.com/?q=17.3556519327964,-96.303695226745901" TargetMode="External"/><Relationship Id="rId10065" Type="http://schemas.openxmlformats.org/officeDocument/2006/relationships/hyperlink" Target="https://maps.google.com/?q=16.9684428884655,-96.164547212764703" TargetMode="External"/><Relationship Id="rId11463" Type="http://schemas.openxmlformats.org/officeDocument/2006/relationships/hyperlink" Target="https://maps.google.com/?q=16.0057186954911,&#160;-97.425492675" TargetMode="External"/><Relationship Id="rId12514" Type="http://schemas.openxmlformats.org/officeDocument/2006/relationships/hyperlink" Target="https://maps.google.com/?q=17.225614730198,-97.273884194855199" TargetMode="External"/><Relationship Id="rId1522" Type="http://schemas.openxmlformats.org/officeDocument/2006/relationships/hyperlink" Target="https://maps.google.com/?q=17.06147,-96.757279999999994" TargetMode="External"/><Relationship Id="rId11116" Type="http://schemas.openxmlformats.org/officeDocument/2006/relationships/hyperlink" Target="https://maps.google.com/?q=16.832708,-96.009939000000003" TargetMode="External"/><Relationship Id="rId3694" Type="http://schemas.openxmlformats.org/officeDocument/2006/relationships/hyperlink" Target="https://maps.google.com/?q=15.757675206076426,-96.140356379172161" TargetMode="External"/><Relationship Id="rId4745" Type="http://schemas.openxmlformats.org/officeDocument/2006/relationships/hyperlink" Target="https://maps.google.com/?q=17.9517936577139,-96.65549" TargetMode="External"/><Relationship Id="rId13288" Type="http://schemas.openxmlformats.org/officeDocument/2006/relationships/hyperlink" Target="https://maps.google.com/?q=16.1304909508309,-96.327830078896" TargetMode="External"/><Relationship Id="rId2296" Type="http://schemas.openxmlformats.org/officeDocument/2006/relationships/hyperlink" Target="https://maps.google.com/?q=18.1003544261647,-96.875932592897399" TargetMode="External"/><Relationship Id="rId3347" Type="http://schemas.openxmlformats.org/officeDocument/2006/relationships/hyperlink" Target="https://maps.google.com/?q=17.1559059717938,-97.839989040336903" TargetMode="External"/><Relationship Id="rId7968" Type="http://schemas.openxmlformats.org/officeDocument/2006/relationships/hyperlink" Target="https://maps.google.com/?q=18.1618361000249,-96.877085093254095" TargetMode="External"/><Relationship Id="rId268" Type="http://schemas.openxmlformats.org/officeDocument/2006/relationships/hyperlink" Target="https://maps.google.com/?q=16.88268,-97.674850000000006" TargetMode="External"/><Relationship Id="rId9390" Type="http://schemas.openxmlformats.org/officeDocument/2006/relationships/hyperlink" Target="https://maps.google.com/?q=16.8207595120623,-95.137256247622702" TargetMode="External"/><Relationship Id="rId10949" Type="http://schemas.openxmlformats.org/officeDocument/2006/relationships/hyperlink" Target="https://maps.google.com/?q=16.2062685325364,-95.219887588343099" TargetMode="External"/><Relationship Id="rId12371" Type="http://schemas.openxmlformats.org/officeDocument/2006/relationships/hyperlink" Target="https://maps.google.com/?q=17.89434109284148,-96.71062230712852" TargetMode="External"/><Relationship Id="rId13422" Type="http://schemas.openxmlformats.org/officeDocument/2006/relationships/hyperlink" Target="https://maps.google.com/?q=17.6798614356697,-97.036625790004607" TargetMode="External"/><Relationship Id="rId2430" Type="http://schemas.openxmlformats.org/officeDocument/2006/relationships/hyperlink" Target="https://maps.google.com/?q=17.05119727,-96.624438569999995" TargetMode="External"/><Relationship Id="rId9043" Type="http://schemas.openxmlformats.org/officeDocument/2006/relationships/hyperlink" Target="https://maps.google.com/?q=16.054442,-95.485108999999994" TargetMode="External"/><Relationship Id="rId12024" Type="http://schemas.openxmlformats.org/officeDocument/2006/relationships/hyperlink" Target="https://maps.google.com/?q=16.8044615005051,-96.710241238792406" TargetMode="External"/><Relationship Id="rId402" Type="http://schemas.openxmlformats.org/officeDocument/2006/relationships/hyperlink" Target="https://maps.google.com/?q=16.051294,-97.414839000000001" TargetMode="External"/><Relationship Id="rId1032" Type="http://schemas.openxmlformats.org/officeDocument/2006/relationships/hyperlink" Target="https://maps.google.com/?q=15.704146505170824,-96.523521352135901" TargetMode="External"/><Relationship Id="rId4255" Type="http://schemas.openxmlformats.org/officeDocument/2006/relationships/hyperlink" Target="https://maps.google.com/?q=15.93322084,-96.631859750000004" TargetMode="External"/><Relationship Id="rId5306" Type="http://schemas.openxmlformats.org/officeDocument/2006/relationships/hyperlink" Target="https://maps.google.com/?q=15.7212993153452,-96.468502560505399" TargetMode="External"/><Relationship Id="rId5653" Type="http://schemas.openxmlformats.org/officeDocument/2006/relationships/hyperlink" Target="https://maps.google.com/?q=16.422476,-97.881191000000001" TargetMode="External"/><Relationship Id="rId6704" Type="http://schemas.openxmlformats.org/officeDocument/2006/relationships/hyperlink" Target="https://maps.google.com/?q=16.9391603754455,-96.965821926253696" TargetMode="External"/><Relationship Id="rId8876" Type="http://schemas.openxmlformats.org/officeDocument/2006/relationships/hyperlink" Target="https://maps.google.com/?q=17.37853767,-96.160448649000003" TargetMode="External"/><Relationship Id="rId9927" Type="http://schemas.openxmlformats.org/officeDocument/2006/relationships/hyperlink" Target="https://maps.google.com/?q=16.7104694808396,-96.713481658895503" TargetMode="External"/><Relationship Id="rId11857" Type="http://schemas.openxmlformats.org/officeDocument/2006/relationships/hyperlink" Target="https://maps.google.com/?q=16.535163276789206,-98.17651618766213" TargetMode="External"/><Relationship Id="rId12908" Type="http://schemas.openxmlformats.org/officeDocument/2006/relationships/hyperlink" Target="https://maps.google.com/?q=16.4800849,-97.479174" TargetMode="External"/><Relationship Id="rId1916" Type="http://schemas.openxmlformats.org/officeDocument/2006/relationships/hyperlink" Target="https://maps.google.com/?q=15.776756522698193,-96.136843374262071" TargetMode="External"/><Relationship Id="rId7478" Type="http://schemas.openxmlformats.org/officeDocument/2006/relationships/hyperlink" Target="https://maps.google.com/?q=16.9874201423032,-95.015422307791098" TargetMode="External"/><Relationship Id="rId8529" Type="http://schemas.openxmlformats.org/officeDocument/2006/relationships/hyperlink" Target="https://maps.google.com/?q=16.9355518520038,-96.612721428241699" TargetMode="External"/><Relationship Id="rId10459" Type="http://schemas.openxmlformats.org/officeDocument/2006/relationships/hyperlink" Target="https://maps.google.com/?q=17.0395552,-96.780303000000004" TargetMode="External"/><Relationship Id="rId6561" Type="http://schemas.openxmlformats.org/officeDocument/2006/relationships/hyperlink" Target="https://maps.google.com/?q=17.762267,-96.878365" TargetMode="External"/><Relationship Id="rId7612" Type="http://schemas.openxmlformats.org/officeDocument/2006/relationships/hyperlink" Target="https://maps.google.com/?q=17.2299195197154,-95.053092425775901" TargetMode="External"/><Relationship Id="rId10940" Type="http://schemas.openxmlformats.org/officeDocument/2006/relationships/hyperlink" Target="https://maps.google.com/?q=16.2046638203598,-95.216779718343304" TargetMode="External"/><Relationship Id="rId5163" Type="http://schemas.openxmlformats.org/officeDocument/2006/relationships/hyperlink" Target="https://maps.google.com/?q=17.254969,-96.153428000000005" TargetMode="External"/><Relationship Id="rId6214" Type="http://schemas.openxmlformats.org/officeDocument/2006/relationships/hyperlink" Target="https://maps.google.com/?q=16.09606,-97.078759000000005" TargetMode="External"/><Relationship Id="rId9784" Type="http://schemas.openxmlformats.org/officeDocument/2006/relationships/hyperlink" Target="https://maps.google.com/?q=16.6399391027214,-96.753031376626893" TargetMode="External"/><Relationship Id="rId8386" Type="http://schemas.openxmlformats.org/officeDocument/2006/relationships/hyperlink" Target="https://maps.google.com/?q=16.846498013294,-97.200606282149593" TargetMode="External"/><Relationship Id="rId9437" Type="http://schemas.openxmlformats.org/officeDocument/2006/relationships/hyperlink" Target="https://maps.google.com/?q=16.4762760062838,-94.341961709246107" TargetMode="External"/><Relationship Id="rId12765" Type="http://schemas.openxmlformats.org/officeDocument/2006/relationships/hyperlink" Target="https://maps.google.com/?q=17.4574054114115,-97.289292184417704" TargetMode="External"/><Relationship Id="rId13816" Type="http://schemas.openxmlformats.org/officeDocument/2006/relationships/hyperlink" Target="https://maps.google.com/?q=16.997993,-97.798704000000001" TargetMode="External"/><Relationship Id="rId1773" Type="http://schemas.openxmlformats.org/officeDocument/2006/relationships/hyperlink" Target="https://maps.google.com/?q=18.06203176,-96.848093419999998" TargetMode="External"/><Relationship Id="rId2824" Type="http://schemas.openxmlformats.org/officeDocument/2006/relationships/hyperlink" Target="https://maps.google.com/?q=16.9915619927022,-97.718193421546005" TargetMode="External"/><Relationship Id="rId8039" Type="http://schemas.openxmlformats.org/officeDocument/2006/relationships/hyperlink" Target="https://maps.google.com/?q=16.4921791021955,-97.383186478499198" TargetMode="External"/><Relationship Id="rId11367" Type="http://schemas.openxmlformats.org/officeDocument/2006/relationships/hyperlink" Target="https://maps.google.com/?q=16.3627670517984,-94.190400412025198" TargetMode="External"/><Relationship Id="rId12418" Type="http://schemas.openxmlformats.org/officeDocument/2006/relationships/hyperlink" Target="https://maps.google.com/?q=16.5582178653527,-96.821544031911799" TargetMode="External"/><Relationship Id="rId1426" Type="http://schemas.openxmlformats.org/officeDocument/2006/relationships/hyperlink" Target="https://maps.google.com/?q=17.071537149621424,-96.7157940912962" TargetMode="External"/><Relationship Id="rId4996" Type="http://schemas.openxmlformats.org/officeDocument/2006/relationships/hyperlink" Target="https://maps.google.com/?q=16.237076,-97.292351999999994" TargetMode="External"/><Relationship Id="rId3598" Type="http://schemas.openxmlformats.org/officeDocument/2006/relationships/hyperlink" Target="https://maps.google.com/?q=15.77659240006296,-96.136724438035614" TargetMode="External"/><Relationship Id="rId4649" Type="http://schemas.openxmlformats.org/officeDocument/2006/relationships/hyperlink" Target="https://maps.google.com/?q=17.07105,-96.741822999999997" TargetMode="External"/><Relationship Id="rId8520" Type="http://schemas.openxmlformats.org/officeDocument/2006/relationships/hyperlink" Target="https://maps.google.com/?q=16.9212567383169,-96.613926525131205" TargetMode="External"/><Relationship Id="rId10450" Type="http://schemas.openxmlformats.org/officeDocument/2006/relationships/hyperlink" Target="https://maps.google.com/?q=17.036923,-96.780392000000006" TargetMode="External"/><Relationship Id="rId11501" Type="http://schemas.openxmlformats.org/officeDocument/2006/relationships/hyperlink" Target="https://maps.google.com/?q=16.6096372898697,-96.850348068009495" TargetMode="External"/><Relationship Id="rId6071" Type="http://schemas.openxmlformats.org/officeDocument/2006/relationships/hyperlink" Target="https://maps.google.com/?q=18.16169593875284,-96.577184176200603" TargetMode="External"/><Relationship Id="rId7122" Type="http://schemas.openxmlformats.org/officeDocument/2006/relationships/hyperlink" Target="https://maps.google.com/?q=17.3192880719145,-97.688103275320302" TargetMode="External"/><Relationship Id="rId10103" Type="http://schemas.openxmlformats.org/officeDocument/2006/relationships/hyperlink" Target="https://maps.google.com/?q=17.0202678003055,-96.131445769999999" TargetMode="External"/><Relationship Id="rId2681" Type="http://schemas.openxmlformats.org/officeDocument/2006/relationships/hyperlink" Target="https://maps.google.com/?q=17.940331,-96.102423999999999" TargetMode="External"/><Relationship Id="rId9294" Type="http://schemas.openxmlformats.org/officeDocument/2006/relationships/hyperlink" Target="https://maps.google.com/?q=16.8131083568567,-95.134713513476299" TargetMode="External"/><Relationship Id="rId12275" Type="http://schemas.openxmlformats.org/officeDocument/2006/relationships/hyperlink" Target="https://maps.google.com/?q=16.4850152837879,-94.348757603670094" TargetMode="External"/><Relationship Id="rId13673" Type="http://schemas.openxmlformats.org/officeDocument/2006/relationships/hyperlink" Target="https://maps.google.com/?q=17.29276,-96.153721" TargetMode="External"/><Relationship Id="rId653" Type="http://schemas.openxmlformats.org/officeDocument/2006/relationships/hyperlink" Target="https://maps.google.com/?q=16.057852,-97.390187999999995" TargetMode="External"/><Relationship Id="rId1283" Type="http://schemas.openxmlformats.org/officeDocument/2006/relationships/hyperlink" Target="https://maps.google.com/?q=17.080069,-96.725792" TargetMode="External"/><Relationship Id="rId2334" Type="http://schemas.openxmlformats.org/officeDocument/2006/relationships/hyperlink" Target="https://maps.google.com/?q=17.063625,-97.672938000000002" TargetMode="External"/><Relationship Id="rId3732" Type="http://schemas.openxmlformats.org/officeDocument/2006/relationships/hyperlink" Target="https://maps.google.com/?q=15.75964852480774,-96.141391840043809" TargetMode="External"/><Relationship Id="rId13326" Type="http://schemas.openxmlformats.org/officeDocument/2006/relationships/hyperlink" Target="https://maps.google.com/?q=17.4525205517015,-98.004260349702804" TargetMode="External"/><Relationship Id="rId306" Type="http://schemas.openxmlformats.org/officeDocument/2006/relationships/hyperlink" Target="https://maps.google.com/?q=16.061629,-97.383989" TargetMode="External"/><Relationship Id="rId6955" Type="http://schemas.openxmlformats.org/officeDocument/2006/relationships/hyperlink" Target="https://maps.google.com/?q=16.330115,-95.242110999999994" TargetMode="External"/><Relationship Id="rId4159" Type="http://schemas.openxmlformats.org/officeDocument/2006/relationships/hyperlink" Target="https://maps.google.com/?q=16.4252029564406,-98.168890460730594" TargetMode="External"/><Relationship Id="rId5557" Type="http://schemas.openxmlformats.org/officeDocument/2006/relationships/hyperlink" Target="https://maps.google.com/?q=18.171654,-96.283803000000006" TargetMode="External"/><Relationship Id="rId6608" Type="http://schemas.openxmlformats.org/officeDocument/2006/relationships/hyperlink" Target="https://maps.google.com/?q=16.285331,-97.497438" TargetMode="External"/><Relationship Id="rId8030" Type="http://schemas.openxmlformats.org/officeDocument/2006/relationships/hyperlink" Target="https://maps.google.com/?q=16.4873266945062,-97.376718617790999" TargetMode="External"/><Relationship Id="rId11011" Type="http://schemas.openxmlformats.org/officeDocument/2006/relationships/hyperlink" Target="https://maps.google.com/?q=17.157063,-97.193762000000007" TargetMode="External"/><Relationship Id="rId4640" Type="http://schemas.openxmlformats.org/officeDocument/2006/relationships/hyperlink" Target="https://maps.google.com/?q=17.062471,-96.73797" TargetMode="External"/><Relationship Id="rId13183" Type="http://schemas.openxmlformats.org/officeDocument/2006/relationships/hyperlink" Target="https://maps.google.com/?q=16.5718885195685,-97.010400807778694" TargetMode="External"/><Relationship Id="rId2191" Type="http://schemas.openxmlformats.org/officeDocument/2006/relationships/hyperlink" Target="https://maps.google.com/?q=17.0006244518417,-97.233812548331201" TargetMode="External"/><Relationship Id="rId3242" Type="http://schemas.openxmlformats.org/officeDocument/2006/relationships/hyperlink" Target="https://maps.google.com/?q=17.9519800018529,-96.205125995384407" TargetMode="External"/><Relationship Id="rId163" Type="http://schemas.openxmlformats.org/officeDocument/2006/relationships/hyperlink" Target="https://maps.google.com/?q=17.092675,-97.498296999999994" TargetMode="External"/><Relationship Id="rId6465" Type="http://schemas.openxmlformats.org/officeDocument/2006/relationships/hyperlink" Target="https://maps.google.com/?q=16.379225,-97.281288000000004" TargetMode="External"/><Relationship Id="rId7516" Type="http://schemas.openxmlformats.org/officeDocument/2006/relationships/hyperlink" Target="https://maps.google.com/?q=17.9739637323953,-96.707496820039097" TargetMode="External"/><Relationship Id="rId7863" Type="http://schemas.openxmlformats.org/officeDocument/2006/relationships/hyperlink" Target="https://maps.google.com/?q=16.3162157866574,-96.403742999999693" TargetMode="External"/><Relationship Id="rId8914" Type="http://schemas.openxmlformats.org/officeDocument/2006/relationships/hyperlink" Target="https://maps.google.com/?q=17.380353313,-96.163336349999994" TargetMode="External"/><Relationship Id="rId10844" Type="http://schemas.openxmlformats.org/officeDocument/2006/relationships/hyperlink" Target="https://maps.google.com/?q=16.4046919456213,-94.455676525131196" TargetMode="External"/><Relationship Id="rId5067" Type="http://schemas.openxmlformats.org/officeDocument/2006/relationships/hyperlink" Target="https://maps.google.com/?q=17.252357,-96.152012999999997" TargetMode="External"/><Relationship Id="rId6118" Type="http://schemas.openxmlformats.org/officeDocument/2006/relationships/hyperlink" Target="https://maps.google.com/?q=17.97929,-96.701959000000002" TargetMode="External"/><Relationship Id="rId9688" Type="http://schemas.openxmlformats.org/officeDocument/2006/relationships/hyperlink" Target="https://maps.google.com/?q=18.0693819261372,-96.126556862600296" TargetMode="External"/><Relationship Id="rId12669" Type="http://schemas.openxmlformats.org/officeDocument/2006/relationships/hyperlink" Target="https://maps.google.com/?q=16.9210020797948,-97.893331988744194" TargetMode="External"/><Relationship Id="rId1677" Type="http://schemas.openxmlformats.org/officeDocument/2006/relationships/hyperlink" Target="https://maps.google.com/?q=18.0047515092102,-96.896358231263093" TargetMode="External"/><Relationship Id="rId2728" Type="http://schemas.openxmlformats.org/officeDocument/2006/relationships/hyperlink" Target="https://maps.google.com/?q=15.9133569658477,-96.432730868457895" TargetMode="External"/><Relationship Id="rId14091" Type="http://schemas.openxmlformats.org/officeDocument/2006/relationships/hyperlink" Target="https://maps.google.com/?q=16.50285976,-96.48745456" TargetMode="External"/><Relationship Id="rId4150" Type="http://schemas.openxmlformats.org/officeDocument/2006/relationships/hyperlink" Target="https://maps.google.com/?q=16.4228140004763,-98.172336345803004" TargetMode="External"/><Relationship Id="rId5201" Type="http://schemas.openxmlformats.org/officeDocument/2006/relationships/hyperlink" Target="https://maps.google.com/?q=17.31733,-95.972747999999996" TargetMode="External"/><Relationship Id="rId8771" Type="http://schemas.openxmlformats.org/officeDocument/2006/relationships/hyperlink" Target="https://maps.google.com/?q=17.206286,-96.255284000000003" TargetMode="External"/><Relationship Id="rId9822" Type="http://schemas.openxmlformats.org/officeDocument/2006/relationships/hyperlink" Target="https://maps.google.com/?q=16.6320394977892,-96.851361471100503" TargetMode="External"/><Relationship Id="rId36" Type="http://schemas.openxmlformats.org/officeDocument/2006/relationships/hyperlink" Target="https://maps.google.com/?q=17.221544,-97.122290000000007" TargetMode="External"/><Relationship Id="rId7373" Type="http://schemas.openxmlformats.org/officeDocument/2006/relationships/hyperlink" Target="https://maps.google.com/?q=17.0372319227272,-97.2960152710275" TargetMode="External"/><Relationship Id="rId8424" Type="http://schemas.openxmlformats.org/officeDocument/2006/relationships/hyperlink" Target="https://maps.google.com/?q=16.1998847265414,-96.828630163917694" TargetMode="External"/><Relationship Id="rId10354" Type="http://schemas.openxmlformats.org/officeDocument/2006/relationships/hyperlink" Target="https://maps.google.com/?q=17.4337399562539,-96.6568473407825" TargetMode="External"/><Relationship Id="rId11752" Type="http://schemas.openxmlformats.org/officeDocument/2006/relationships/hyperlink" Target="https://maps.google.com/?q=17.788388872290607,-96.8017280095172" TargetMode="External"/><Relationship Id="rId12803" Type="http://schemas.openxmlformats.org/officeDocument/2006/relationships/hyperlink" Target="https://maps.google.com/?q=16.1143792,-97.299315800000002" TargetMode="External"/><Relationship Id="rId1811" Type="http://schemas.openxmlformats.org/officeDocument/2006/relationships/hyperlink" Target="https://maps.google.com/?q=18.0686546828344,-96.899623928965894" TargetMode="External"/><Relationship Id="rId7026" Type="http://schemas.openxmlformats.org/officeDocument/2006/relationships/hyperlink" Target="https://maps.google.com/?q=17.0434823376491,-97.297753191930298" TargetMode="External"/><Relationship Id="rId10007" Type="http://schemas.openxmlformats.org/officeDocument/2006/relationships/hyperlink" Target="https://maps.google.com/?q=17.0122609075114,-96.078064534418004" TargetMode="External"/><Relationship Id="rId11405" Type="http://schemas.openxmlformats.org/officeDocument/2006/relationships/hyperlink" Target="https://maps.google.com/?q=17.2010884000428,-97.770477580356598" TargetMode="External"/><Relationship Id="rId3983" Type="http://schemas.openxmlformats.org/officeDocument/2006/relationships/hyperlink" Target="https://maps.google.com/?q=17.06218,-96.753029999999995" TargetMode="External"/><Relationship Id="rId9198" Type="http://schemas.openxmlformats.org/officeDocument/2006/relationships/hyperlink" Target="https://maps.google.com/?q=17.3745661875253,-96.2997574199578" TargetMode="External"/><Relationship Id="rId13577" Type="http://schemas.openxmlformats.org/officeDocument/2006/relationships/hyperlink" Target="https://maps.google.com/?q=15.746144,-96.465182999999996" TargetMode="External"/><Relationship Id="rId1187" Type="http://schemas.openxmlformats.org/officeDocument/2006/relationships/hyperlink" Target="https://maps.google.com/?q=17.319503,-98.009733" TargetMode="External"/><Relationship Id="rId2585" Type="http://schemas.openxmlformats.org/officeDocument/2006/relationships/hyperlink" Target="https://maps.google.com/?q=16.5991963390768,-97.220786845403694" TargetMode="External"/><Relationship Id="rId3636" Type="http://schemas.openxmlformats.org/officeDocument/2006/relationships/hyperlink" Target="https://maps.google.com/?q=15.777483405351116,-96.137178238471165" TargetMode="External"/><Relationship Id="rId12179" Type="http://schemas.openxmlformats.org/officeDocument/2006/relationships/hyperlink" Target="https://maps.google.com/?q=17.4166820041523,-95.947510241513896" TargetMode="External"/><Relationship Id="rId557" Type="http://schemas.openxmlformats.org/officeDocument/2006/relationships/hyperlink" Target="https://maps.google.com/?q=16.052379,-97.401427999999996" TargetMode="External"/><Relationship Id="rId2238" Type="http://schemas.openxmlformats.org/officeDocument/2006/relationships/hyperlink" Target="https://maps.google.com/?q=16.8043585045735,-96.442694999999901" TargetMode="External"/><Relationship Id="rId6859" Type="http://schemas.openxmlformats.org/officeDocument/2006/relationships/hyperlink" Target="https://maps.google.com/?q=17.0113145099576,-96.979397608084895" TargetMode="External"/><Relationship Id="rId12660" Type="http://schemas.openxmlformats.org/officeDocument/2006/relationships/hyperlink" Target="https://maps.google.com/?q=16.9198481403476,-97.891505972109897" TargetMode="External"/><Relationship Id="rId13711" Type="http://schemas.openxmlformats.org/officeDocument/2006/relationships/hyperlink" Target="https://maps.google.com/?q=16.866635,-96.785594" TargetMode="External"/><Relationship Id="rId8281" Type="http://schemas.openxmlformats.org/officeDocument/2006/relationships/hyperlink" Target="https://maps.google.com/?q=17.62470378092,-97.034847874799993" TargetMode="External"/><Relationship Id="rId9332" Type="http://schemas.openxmlformats.org/officeDocument/2006/relationships/hyperlink" Target="https://maps.google.com/?q=16.8169237030528,-95.142030579669907" TargetMode="External"/><Relationship Id="rId11262" Type="http://schemas.openxmlformats.org/officeDocument/2006/relationships/hyperlink" Target="https://maps.google.com/?q=17.8653698728128,-96.309281601104502" TargetMode="External"/><Relationship Id="rId12313" Type="http://schemas.openxmlformats.org/officeDocument/2006/relationships/hyperlink" Target="https://maps.google.com/?q=17.169254,-96.268430" TargetMode="External"/><Relationship Id="rId1321" Type="http://schemas.openxmlformats.org/officeDocument/2006/relationships/hyperlink" Target="https://maps.google.com/?q=17.094465,-96.75526400" TargetMode="External"/><Relationship Id="rId4891" Type="http://schemas.openxmlformats.org/officeDocument/2006/relationships/hyperlink" Target="https://maps.google.com/?q=16.8035870103176,-96.394543507791695" TargetMode="External"/><Relationship Id="rId3493" Type="http://schemas.openxmlformats.org/officeDocument/2006/relationships/hyperlink" Target="https://maps.google.com/?q=17.07154412050349,-96.7159122707850" TargetMode="External"/><Relationship Id="rId4544" Type="http://schemas.openxmlformats.org/officeDocument/2006/relationships/hyperlink" Target="https://maps.google.com/?q=17.1845760644513,-97.303651856483299" TargetMode="External"/><Relationship Id="rId5942" Type="http://schemas.openxmlformats.org/officeDocument/2006/relationships/hyperlink" Target="https://maps.google.com/?q=18.15373410390254,-96.574591230087904" TargetMode="External"/><Relationship Id="rId13087" Type="http://schemas.openxmlformats.org/officeDocument/2006/relationships/hyperlink" Target="https://maps.google.com/?q=16.5643757,-97.529445699999997" TargetMode="External"/><Relationship Id="rId14138" Type="http://schemas.openxmlformats.org/officeDocument/2006/relationships/hyperlink" Target="https://maps.google.com/?q=17.16994812,-96.76812157" TargetMode="External"/><Relationship Id="rId2095" Type="http://schemas.openxmlformats.org/officeDocument/2006/relationships/hyperlink" Target="https://maps.google.com/?q=15.762972,-96.150345" TargetMode="External"/><Relationship Id="rId3146" Type="http://schemas.openxmlformats.org/officeDocument/2006/relationships/hyperlink" Target="https://maps.google.com/?q=16.587458,-97.443839999999994" TargetMode="External"/><Relationship Id="rId6369" Type="http://schemas.openxmlformats.org/officeDocument/2006/relationships/hyperlink" Target="https://maps.google.com/?q=17.08437,-96.71825" TargetMode="External"/><Relationship Id="rId7767" Type="http://schemas.openxmlformats.org/officeDocument/2006/relationships/hyperlink" Target="https://maps.google.com/?q=16.0992531010597,-96.194802921719798" TargetMode="External"/><Relationship Id="rId8818" Type="http://schemas.openxmlformats.org/officeDocument/2006/relationships/hyperlink" Target="https://maps.google.com/?q=17.215967,-96.248626000000002" TargetMode="External"/><Relationship Id="rId10748" Type="http://schemas.openxmlformats.org/officeDocument/2006/relationships/hyperlink" Target="https://maps.google.com/?q=18.230835,-96.860889" TargetMode="External"/><Relationship Id="rId12170" Type="http://schemas.openxmlformats.org/officeDocument/2006/relationships/hyperlink" Target="https://maps.google.com/?q=17.4159868731618,-95.945816785736596" TargetMode="External"/><Relationship Id="rId13221" Type="http://schemas.openxmlformats.org/officeDocument/2006/relationships/hyperlink" Target="https://maps.google.com/?q=17.3457279490012,-97.3742421698811" TargetMode="External"/><Relationship Id="rId2979" Type="http://schemas.openxmlformats.org/officeDocument/2006/relationships/hyperlink" Target="https://maps.google.com/?q=17.9108522514399,-98.011221873168196" TargetMode="External"/><Relationship Id="rId6850" Type="http://schemas.openxmlformats.org/officeDocument/2006/relationships/hyperlink" Target="https://maps.google.com/?q=17.008895,-96.977794000000003" TargetMode="External"/><Relationship Id="rId7901" Type="http://schemas.openxmlformats.org/officeDocument/2006/relationships/hyperlink" Target="https://maps.google.com/?q=16.3192472420885,-96.407257046626995" TargetMode="External"/><Relationship Id="rId201" Type="http://schemas.openxmlformats.org/officeDocument/2006/relationships/hyperlink" Target="https://maps.google.com/?q=17.095144,-97.503765999999999" TargetMode="External"/><Relationship Id="rId5452" Type="http://schemas.openxmlformats.org/officeDocument/2006/relationships/hyperlink" Target="https://maps.google.com/?q=16.0081676086741,-97.449472021242499" TargetMode="External"/><Relationship Id="rId6503" Type="http://schemas.openxmlformats.org/officeDocument/2006/relationships/hyperlink" Target="https://maps.google.com/?q=17.2117318000117,-97.575019862139101" TargetMode="External"/><Relationship Id="rId4054" Type="http://schemas.openxmlformats.org/officeDocument/2006/relationships/hyperlink" Target="https://maps.google.com/?q=17.080188,-96.726730000000003" TargetMode="External"/><Relationship Id="rId5105" Type="http://schemas.openxmlformats.org/officeDocument/2006/relationships/hyperlink" Target="https://maps.google.com/?q=17.253506,-96.152792000000005" TargetMode="External"/><Relationship Id="rId8675" Type="http://schemas.openxmlformats.org/officeDocument/2006/relationships/hyperlink" Target="https://maps.google.com/?q=16.181299,-96.625179000000003" TargetMode="External"/><Relationship Id="rId9726" Type="http://schemas.openxmlformats.org/officeDocument/2006/relationships/hyperlink" Target="https://maps.google.com/?q=16.5175112980221,-96.972968394417506" TargetMode="External"/><Relationship Id="rId7277" Type="http://schemas.openxmlformats.org/officeDocument/2006/relationships/hyperlink" Target="https://maps.google.com/?q=16.3036774364332,-97.917756414327698" TargetMode="External"/><Relationship Id="rId8328" Type="http://schemas.openxmlformats.org/officeDocument/2006/relationships/hyperlink" Target="https://maps.google.com/?q=16.542468,-98.034571999999997" TargetMode="External"/><Relationship Id="rId11656" Type="http://schemas.openxmlformats.org/officeDocument/2006/relationships/hyperlink" Target="https://maps.google.com/?q=17.17379027,-97.710235080000004" TargetMode="External"/><Relationship Id="rId12707" Type="http://schemas.openxmlformats.org/officeDocument/2006/relationships/hyperlink" Target="https://maps.google.com/?q=16.2839944082249,-96.504861168678005" TargetMode="External"/><Relationship Id="rId1715" Type="http://schemas.openxmlformats.org/officeDocument/2006/relationships/hyperlink" Target="https://maps.google.com/?q=18.0760230638666,-96.899100191164194" TargetMode="External"/><Relationship Id="rId10258" Type="http://schemas.openxmlformats.org/officeDocument/2006/relationships/hyperlink" Target="https://maps.google.com/?q=16.24354,-95.153135000000006" TargetMode="External"/><Relationship Id="rId11309" Type="http://schemas.openxmlformats.org/officeDocument/2006/relationships/hyperlink" Target="https://maps.google.com/?q=17.8684747947032,-96.309834023397698" TargetMode="External"/><Relationship Id="rId3887" Type="http://schemas.openxmlformats.org/officeDocument/2006/relationships/hyperlink" Target="https://maps.google.com/?q=17.1085689103299,-95.930185025968299" TargetMode="External"/><Relationship Id="rId4938" Type="http://schemas.openxmlformats.org/officeDocument/2006/relationships/hyperlink" Target="https://maps.google.com/?q=18.033934,-96.668595999999994" TargetMode="External"/><Relationship Id="rId2489" Type="http://schemas.openxmlformats.org/officeDocument/2006/relationships/hyperlink" Target="https://maps.google.com/?q=17.05195698,-96.624487930000001" TargetMode="External"/><Relationship Id="rId6360" Type="http://schemas.openxmlformats.org/officeDocument/2006/relationships/hyperlink" Target="https://maps.google.com/?q=16.512986783706744,-98.34248678811286" TargetMode="External"/><Relationship Id="rId7411" Type="http://schemas.openxmlformats.org/officeDocument/2006/relationships/hyperlink" Target="https://maps.google.com/?q=17.032467,-97.051267999999993" TargetMode="External"/><Relationship Id="rId2970" Type="http://schemas.openxmlformats.org/officeDocument/2006/relationships/hyperlink" Target="https://maps.google.com/?q=16.4582591194708,-97.027560195106801" TargetMode="External"/><Relationship Id="rId6013" Type="http://schemas.openxmlformats.org/officeDocument/2006/relationships/hyperlink" Target="https://maps.google.com/?q=18.155624545435955,-96.573615453362549" TargetMode="External"/><Relationship Id="rId9583" Type="http://schemas.openxmlformats.org/officeDocument/2006/relationships/hyperlink" Target="https://maps.google.com/?q=17.9895529304993,-96.738788536552804" TargetMode="External"/><Relationship Id="rId12564" Type="http://schemas.openxmlformats.org/officeDocument/2006/relationships/hyperlink" Target="https://maps.google.com/?q=16.5482313396249,-96.979444415584396" TargetMode="External"/><Relationship Id="rId13962" Type="http://schemas.openxmlformats.org/officeDocument/2006/relationships/hyperlink" Target="https://maps.google.com/?q=17.0981071127322,-96.0489603231253" TargetMode="External"/><Relationship Id="rId942" Type="http://schemas.openxmlformats.org/officeDocument/2006/relationships/hyperlink" Target="https://maps.google.com/?q=15.682470110709314,-96.510059430414273" TargetMode="External"/><Relationship Id="rId1572" Type="http://schemas.openxmlformats.org/officeDocument/2006/relationships/hyperlink" Target="https://maps.google.com/?q=16.56319,-96.700419999999994" TargetMode="External"/><Relationship Id="rId2623" Type="http://schemas.openxmlformats.org/officeDocument/2006/relationships/hyperlink" Target="https://maps.google.com/?q=18.079987,-96.168327000000005" TargetMode="External"/><Relationship Id="rId8185" Type="http://schemas.openxmlformats.org/officeDocument/2006/relationships/hyperlink" Target="https://maps.google.com/?q=16.66664,-96.307858999999993" TargetMode="External"/><Relationship Id="rId9236" Type="http://schemas.openxmlformats.org/officeDocument/2006/relationships/hyperlink" Target="https://maps.google.com/?q=17.3763353370378,-96.302630717992699" TargetMode="External"/><Relationship Id="rId11166" Type="http://schemas.openxmlformats.org/officeDocument/2006/relationships/hyperlink" Target="https://maps.google.com/?q=16.842579,-96.008236999999994" TargetMode="External"/><Relationship Id="rId12217" Type="http://schemas.openxmlformats.org/officeDocument/2006/relationships/hyperlink" Target="https://maps.google.com/?q=17.4185765393211,-95.949130676112802" TargetMode="External"/><Relationship Id="rId13615" Type="http://schemas.openxmlformats.org/officeDocument/2006/relationships/hyperlink" Target="https://maps.google.com/?q=16.95834,-96.70759" TargetMode="External"/><Relationship Id="rId1225" Type="http://schemas.openxmlformats.org/officeDocument/2006/relationships/hyperlink" Target="https://maps.google.com/?q=17.047,-96.71366000" TargetMode="External"/><Relationship Id="rId3397" Type="http://schemas.openxmlformats.org/officeDocument/2006/relationships/hyperlink" Target="https://maps.google.com/?q=18.005509553689,-96.645681817711804" TargetMode="External"/><Relationship Id="rId4795" Type="http://schemas.openxmlformats.org/officeDocument/2006/relationships/hyperlink" Target="https://maps.google.com/?q=17.9586372644182,-96.661810016983296" TargetMode="External"/><Relationship Id="rId5846" Type="http://schemas.openxmlformats.org/officeDocument/2006/relationships/hyperlink" Target="https://maps.google.com/?q=16.091706813279,-97.693153462030594" TargetMode="External"/><Relationship Id="rId4448" Type="http://schemas.openxmlformats.org/officeDocument/2006/relationships/hyperlink" Target="https://maps.google.com/?q=16.6516775485529,-96.773414046626996" TargetMode="External"/><Relationship Id="rId10999" Type="http://schemas.openxmlformats.org/officeDocument/2006/relationships/hyperlink" Target="https://maps.google.com/?q=17.155412,-97.185964999999996" TargetMode="External"/><Relationship Id="rId11300" Type="http://schemas.openxmlformats.org/officeDocument/2006/relationships/hyperlink" Target="https://maps.google.com/?q=17.8677276092327,-96.309036080000197" TargetMode="External"/><Relationship Id="rId13472" Type="http://schemas.openxmlformats.org/officeDocument/2006/relationships/hyperlink" Target="https://maps.google.com/?q=17.6879111456263,-97.034501482742002" TargetMode="External"/><Relationship Id="rId2480" Type="http://schemas.openxmlformats.org/officeDocument/2006/relationships/hyperlink" Target="https://maps.google.com/?q=17.0518949,-96.624316399999998" TargetMode="External"/><Relationship Id="rId3531" Type="http://schemas.openxmlformats.org/officeDocument/2006/relationships/hyperlink" Target="https://maps.google.com/?q=15.766637,-96.150275" TargetMode="External"/><Relationship Id="rId9093" Type="http://schemas.openxmlformats.org/officeDocument/2006/relationships/hyperlink" Target="https://maps.google.com/?q=17.12074631462733,-97.93870101695153" TargetMode="External"/><Relationship Id="rId12074" Type="http://schemas.openxmlformats.org/officeDocument/2006/relationships/hyperlink" Target="https://maps.google.com/?q=16.24445089,-95.324078490000005" TargetMode="External"/><Relationship Id="rId13125" Type="http://schemas.openxmlformats.org/officeDocument/2006/relationships/hyperlink" Target="https://maps.google.com/?q=16.568405,-97.535377999999994" TargetMode="External"/><Relationship Id="rId452" Type="http://schemas.openxmlformats.org/officeDocument/2006/relationships/hyperlink" Target="https://maps.google.com/?q=16.052971,-97.410639000000003" TargetMode="External"/><Relationship Id="rId1082" Type="http://schemas.openxmlformats.org/officeDocument/2006/relationships/hyperlink" Target="https://maps.google.com/?q=17.09063,-97.493195999999998" TargetMode="External"/><Relationship Id="rId2133" Type="http://schemas.openxmlformats.org/officeDocument/2006/relationships/hyperlink" Target="https://maps.google.com/?q=15.763124,-96.142685999999998" TargetMode="External"/><Relationship Id="rId6754" Type="http://schemas.openxmlformats.org/officeDocument/2006/relationships/hyperlink" Target="https://maps.google.com/?q=16.7037497774467,-97.020519296324395" TargetMode="External"/><Relationship Id="rId7805" Type="http://schemas.openxmlformats.org/officeDocument/2006/relationships/hyperlink" Target="https://maps.google.com/?q=17.8459500273217,-96.742445043966399" TargetMode="External"/><Relationship Id="rId105" Type="http://schemas.openxmlformats.org/officeDocument/2006/relationships/hyperlink" Target="https://maps.google.com/?q=17.090845,-97.499115000000003" TargetMode="External"/><Relationship Id="rId5356" Type="http://schemas.openxmlformats.org/officeDocument/2006/relationships/hyperlink" Target="https://maps.google.com/?q=16.5261305673769,-97.167596593918304" TargetMode="External"/><Relationship Id="rId6407" Type="http://schemas.openxmlformats.org/officeDocument/2006/relationships/hyperlink" Target="https://maps.google.com/?q=17.208651174496,-97.579323250234097" TargetMode="External"/><Relationship Id="rId5009" Type="http://schemas.openxmlformats.org/officeDocument/2006/relationships/hyperlink" Target="https://maps.google.com/?q=17.806621,-97.776161999999999" TargetMode="External"/><Relationship Id="rId8579" Type="http://schemas.openxmlformats.org/officeDocument/2006/relationships/hyperlink" Target="https://maps.google.com/?q=16.9316289258649,-96.602272906745895" TargetMode="External"/><Relationship Id="rId9977" Type="http://schemas.openxmlformats.org/officeDocument/2006/relationships/hyperlink" Target="https://maps.google.com/?q=16.104139857376,-95.379653457314404" TargetMode="External"/><Relationship Id="rId12958" Type="http://schemas.openxmlformats.org/officeDocument/2006/relationships/hyperlink" Target="https://maps.google.com/?q=16.508861,-97.481059000000002" TargetMode="External"/><Relationship Id="rId1966" Type="http://schemas.openxmlformats.org/officeDocument/2006/relationships/hyperlink" Target="https://maps.google.com/?q=15.78133383385781,-96.139483757098787" TargetMode="External"/><Relationship Id="rId1619" Type="http://schemas.openxmlformats.org/officeDocument/2006/relationships/hyperlink" Target="https://maps.google.com/?q=17.759683,-96.081564" TargetMode="External"/><Relationship Id="rId14033" Type="http://schemas.openxmlformats.org/officeDocument/2006/relationships/hyperlink" Target="https://maps.google.com/?q=17.0602629558699,-96.725933007029795" TargetMode="External"/><Relationship Id="rId3041" Type="http://schemas.openxmlformats.org/officeDocument/2006/relationships/hyperlink" Target="https://maps.google.com/?q=16.9404709,-97.014568999999995" TargetMode="External"/><Relationship Id="rId7662" Type="http://schemas.openxmlformats.org/officeDocument/2006/relationships/hyperlink" Target="https://maps.google.com/?q=17.232636679656,-95.051985549712796" TargetMode="External"/><Relationship Id="rId8713" Type="http://schemas.openxmlformats.org/officeDocument/2006/relationships/hyperlink" Target="https://maps.google.com/?q=17.0560074548066,-96.827112529632501" TargetMode="External"/><Relationship Id="rId10643" Type="http://schemas.openxmlformats.org/officeDocument/2006/relationships/hyperlink" Target="https://maps.google.com/?q=17.1207990609628,-97.783251530000001" TargetMode="External"/><Relationship Id="rId10990" Type="http://schemas.openxmlformats.org/officeDocument/2006/relationships/hyperlink" Target="https://maps.google.com/?q=17.1607488538749,-97.591396186067499" TargetMode="External"/><Relationship Id="rId6264" Type="http://schemas.openxmlformats.org/officeDocument/2006/relationships/hyperlink" Target="https://maps.google.com/?q=16.3973884032769,-96.730509507932894" TargetMode="External"/><Relationship Id="rId7315" Type="http://schemas.openxmlformats.org/officeDocument/2006/relationships/hyperlink" Target="https://maps.google.com/?q=16.7274223,-96.472967299999993" TargetMode="External"/><Relationship Id="rId9487" Type="http://schemas.openxmlformats.org/officeDocument/2006/relationships/hyperlink" Target="https://maps.google.com/?q=18.13222,-97.070751000000001" TargetMode="External"/><Relationship Id="rId13866" Type="http://schemas.openxmlformats.org/officeDocument/2006/relationships/hyperlink" Target="https://maps.google.com/?q=16.2668588298616,-96.574610498070996" TargetMode="External"/><Relationship Id="rId1476" Type="http://schemas.openxmlformats.org/officeDocument/2006/relationships/hyperlink" Target="https://maps.google.com/?q=18.10114,-97.05860" TargetMode="External"/><Relationship Id="rId2874" Type="http://schemas.openxmlformats.org/officeDocument/2006/relationships/hyperlink" Target="https://maps.google.com/?q=16.9889839929037,-97.682850388974899" TargetMode="External"/><Relationship Id="rId3925" Type="http://schemas.openxmlformats.org/officeDocument/2006/relationships/hyperlink" Target="https://maps.google.com/?q=17.058717,-96.753580999999997" TargetMode="External"/><Relationship Id="rId8089" Type="http://schemas.openxmlformats.org/officeDocument/2006/relationships/hyperlink" Target="https://maps.google.com/?q=17.3544960427542,-96.3030890488361" TargetMode="External"/><Relationship Id="rId12468" Type="http://schemas.openxmlformats.org/officeDocument/2006/relationships/hyperlink" Target="https://maps.google.com/?q=17.2216826219821,-97.271947119066198" TargetMode="External"/><Relationship Id="rId13519" Type="http://schemas.openxmlformats.org/officeDocument/2006/relationships/hyperlink" Target="https://maps.google.com/?q=17.336170696730335,-96.16488940546067" TargetMode="External"/><Relationship Id="rId846" Type="http://schemas.openxmlformats.org/officeDocument/2006/relationships/hyperlink" Target="https://maps.google.com/?q=15.707179290668236,-96.524808079977618" TargetMode="External"/><Relationship Id="rId1129" Type="http://schemas.openxmlformats.org/officeDocument/2006/relationships/hyperlink" Target="https://maps.google.com/?q=17.095534,-97.497962000000001" TargetMode="External"/><Relationship Id="rId2527" Type="http://schemas.openxmlformats.org/officeDocument/2006/relationships/hyperlink" Target="https://maps.google.com/?q=17.05244825,-96.624029280000002" TargetMode="External"/><Relationship Id="rId5000" Type="http://schemas.openxmlformats.org/officeDocument/2006/relationships/hyperlink" Target="https://maps.google.com/?q=16.564244,-96.731829000000005" TargetMode="External"/><Relationship Id="rId4699" Type="http://schemas.openxmlformats.org/officeDocument/2006/relationships/hyperlink" Target="https://maps.google.com/?q=17.01772643230838,-96.71859303846837" TargetMode="External"/><Relationship Id="rId8570" Type="http://schemas.openxmlformats.org/officeDocument/2006/relationships/hyperlink" Target="https://maps.google.com/?q=16.9290310583184,-96.600703504299204" TargetMode="External"/><Relationship Id="rId9621" Type="http://schemas.openxmlformats.org/officeDocument/2006/relationships/hyperlink" Target="https://maps.google.com/?q=17.9987100996442,-96.749032830120896" TargetMode="External"/><Relationship Id="rId11551" Type="http://schemas.openxmlformats.org/officeDocument/2006/relationships/hyperlink" Target="https://maps.google.com/?q=16.8303269686644,-96.708992076057399" TargetMode="External"/><Relationship Id="rId12602" Type="http://schemas.openxmlformats.org/officeDocument/2006/relationships/hyperlink" Target="https://maps.google.com/?q=16.5234423191371,-96.982932459690502" TargetMode="External"/><Relationship Id="rId1610" Type="http://schemas.openxmlformats.org/officeDocument/2006/relationships/hyperlink" Target="https://maps.google.com/?q=17.760966,-96.081498999999994" TargetMode="External"/><Relationship Id="rId7172" Type="http://schemas.openxmlformats.org/officeDocument/2006/relationships/hyperlink" Target="https://maps.google.com/?q=16.2190994615393,-97.958971820451097" TargetMode="External"/><Relationship Id="rId8223" Type="http://schemas.openxmlformats.org/officeDocument/2006/relationships/hyperlink" Target="https://maps.google.com/?q=16.374812,-97.678396000000006" TargetMode="External"/><Relationship Id="rId10153" Type="http://schemas.openxmlformats.org/officeDocument/2006/relationships/hyperlink" Target="https://maps.google.com/?q=17.0976304144461,-97.498063168845505" TargetMode="External"/><Relationship Id="rId11204" Type="http://schemas.openxmlformats.org/officeDocument/2006/relationships/hyperlink" Target="https://maps.google.com/?q=16.859903,-96.689398" TargetMode="External"/><Relationship Id="rId3782" Type="http://schemas.openxmlformats.org/officeDocument/2006/relationships/hyperlink" Target="https://maps.google.com/?q=15.764719,-96.143772999999996" TargetMode="External"/><Relationship Id="rId4833" Type="http://schemas.openxmlformats.org/officeDocument/2006/relationships/hyperlink" Target="https://maps.google.com/?q=17.3347794881906,&#160;-96.16645174049279" TargetMode="External"/><Relationship Id="rId13376" Type="http://schemas.openxmlformats.org/officeDocument/2006/relationships/hyperlink" Target="https://maps.google.com/?q=16.323596965325,-96.676564667493807" TargetMode="External"/><Relationship Id="rId2384" Type="http://schemas.openxmlformats.org/officeDocument/2006/relationships/hyperlink" Target="https://maps.google.com/?q=17.1746758403021,-97.827355142174" TargetMode="External"/><Relationship Id="rId3435" Type="http://schemas.openxmlformats.org/officeDocument/2006/relationships/hyperlink" Target="https://maps.google.com/?q=17.06722,-96.973380000000006" TargetMode="External"/><Relationship Id="rId13029" Type="http://schemas.openxmlformats.org/officeDocument/2006/relationships/hyperlink" Target="https://maps.google.com/?q=16.5609707,-97.539889799999997" TargetMode="External"/><Relationship Id="rId356" Type="http://schemas.openxmlformats.org/officeDocument/2006/relationships/hyperlink" Target="https://maps.google.com/?q=16.055024,-97.408378999999996" TargetMode="External"/><Relationship Id="rId2037" Type="http://schemas.openxmlformats.org/officeDocument/2006/relationships/hyperlink" Target="https://maps.google.com/?q=15.759344679691674,-96.140948472749599" TargetMode="External"/><Relationship Id="rId6658" Type="http://schemas.openxmlformats.org/officeDocument/2006/relationships/hyperlink" Target="https://maps.google.com/?q=18.217631,-96.336021000000002" TargetMode="External"/><Relationship Id="rId7709" Type="http://schemas.openxmlformats.org/officeDocument/2006/relationships/hyperlink" Target="https://maps.google.com/?q=16.6284956581081,-96.799130303255296" TargetMode="External"/><Relationship Id="rId8080" Type="http://schemas.openxmlformats.org/officeDocument/2006/relationships/hyperlink" Target="https://maps.google.com/?q=17.354203,-96.305681000000007" TargetMode="External"/><Relationship Id="rId9131" Type="http://schemas.openxmlformats.org/officeDocument/2006/relationships/hyperlink" Target="https://maps.google.com/?q=17.042195,-96.727847999999994" TargetMode="External"/><Relationship Id="rId13510" Type="http://schemas.openxmlformats.org/officeDocument/2006/relationships/hyperlink" Target="https://maps.google.com/?q=17.00987396148428,-96.5812714362545" TargetMode="External"/><Relationship Id="rId11061" Type="http://schemas.openxmlformats.org/officeDocument/2006/relationships/hyperlink" Target="https://maps.google.com/?q=17.27969231,-97.371407169999998" TargetMode="External"/><Relationship Id="rId12112" Type="http://schemas.openxmlformats.org/officeDocument/2006/relationships/hyperlink" Target="https://maps.google.com/?q=16.3189814056036,-97.664301716537594" TargetMode="External"/><Relationship Id="rId1120" Type="http://schemas.openxmlformats.org/officeDocument/2006/relationships/hyperlink" Target="https://maps.google.com/?q=17.094081,-97.496217999999999" TargetMode="External"/><Relationship Id="rId4690" Type="http://schemas.openxmlformats.org/officeDocument/2006/relationships/hyperlink" Target="https://maps.google.com/?q=17.06147,-96.757279999999994" TargetMode="External"/><Relationship Id="rId5741" Type="http://schemas.openxmlformats.org/officeDocument/2006/relationships/hyperlink" Target="https://maps.google.com/?q=16.3913297,-96.363353000000004" TargetMode="External"/><Relationship Id="rId3292" Type="http://schemas.openxmlformats.org/officeDocument/2006/relationships/hyperlink" Target="https://maps.google.com/?q=17.0625784630598,-96.814353394422596" TargetMode="External"/><Relationship Id="rId4343" Type="http://schemas.openxmlformats.org/officeDocument/2006/relationships/hyperlink" Target="https://maps.google.com/?q=16.0175559822229,-96.616953718910494" TargetMode="External"/><Relationship Id="rId8964" Type="http://schemas.openxmlformats.org/officeDocument/2006/relationships/hyperlink" Target="https://maps.google.com/?q=17.381570658,-96.160898023000001" TargetMode="External"/><Relationship Id="rId7566" Type="http://schemas.openxmlformats.org/officeDocument/2006/relationships/hyperlink" Target="https://maps.google.com/?q=17.3282834235731,-95.268156708127094" TargetMode="External"/><Relationship Id="rId8617" Type="http://schemas.openxmlformats.org/officeDocument/2006/relationships/hyperlink" Target="https://maps.google.com/?q=17.8954813306178,-96.710889784477502" TargetMode="External"/><Relationship Id="rId10894" Type="http://schemas.openxmlformats.org/officeDocument/2006/relationships/hyperlink" Target="https://maps.google.com/?q=16.185795864586,-95.187704622208997" TargetMode="External"/><Relationship Id="rId11945" Type="http://schemas.openxmlformats.org/officeDocument/2006/relationships/hyperlink" Target="https://maps.google.com/?q=17.2390247647462,-97.918447763229295" TargetMode="External"/><Relationship Id="rId6168" Type="http://schemas.openxmlformats.org/officeDocument/2006/relationships/hyperlink" Target="https://maps.google.com/?q=16.1425989200094,-96.416097932194305" TargetMode="External"/><Relationship Id="rId7219" Type="http://schemas.openxmlformats.org/officeDocument/2006/relationships/hyperlink" Target="https://maps.google.com/?q=16.2285620411542,-97.943543711637702" TargetMode="External"/><Relationship Id="rId10547" Type="http://schemas.openxmlformats.org/officeDocument/2006/relationships/hyperlink" Target="https://maps.google.com/?q=17.1211663827143,-97.785324465702502" TargetMode="External"/><Relationship Id="rId13020" Type="http://schemas.openxmlformats.org/officeDocument/2006/relationships/hyperlink" Target="https://maps.google.com/?q=16.5054718,-97.555564700000005" TargetMode="External"/><Relationship Id="rId2778" Type="http://schemas.openxmlformats.org/officeDocument/2006/relationships/hyperlink" Target="https://maps.google.com/?q=16.9910297962516,-97.700877078538895" TargetMode="External"/><Relationship Id="rId3829" Type="http://schemas.openxmlformats.org/officeDocument/2006/relationships/hyperlink" Target="https://maps.google.com/?q=18.087053105944285,-96.1109208687172" TargetMode="External"/><Relationship Id="rId7700" Type="http://schemas.openxmlformats.org/officeDocument/2006/relationships/hyperlink" Target="https://maps.google.com/?q=16.6271085653231,-96.794549450345698" TargetMode="External"/><Relationship Id="rId5251" Type="http://schemas.openxmlformats.org/officeDocument/2006/relationships/hyperlink" Target="https://maps.google.com/?q=15.8826307829298,-96.323617146645105" TargetMode="External"/><Relationship Id="rId6302" Type="http://schemas.openxmlformats.org/officeDocument/2006/relationships/hyperlink" Target="https://maps.google.com/?q=18.0571558829953,-96.395836493252403" TargetMode="External"/><Relationship Id="rId9872" Type="http://schemas.openxmlformats.org/officeDocument/2006/relationships/hyperlink" Target="https://maps.google.com/?q=16.6360047325469,-96.850510797791102" TargetMode="External"/><Relationship Id="rId12853" Type="http://schemas.openxmlformats.org/officeDocument/2006/relationships/hyperlink" Target="https://maps.google.com/?q=17.517549,-97.689238000000003" TargetMode="External"/><Relationship Id="rId86" Type="http://schemas.openxmlformats.org/officeDocument/2006/relationships/hyperlink" Target="https://maps.google.com/?q=15.903601,-96.450344999999999" TargetMode="External"/><Relationship Id="rId1861" Type="http://schemas.openxmlformats.org/officeDocument/2006/relationships/hyperlink" Target="https://maps.google.com/?q=15.772679432319741,-96.148213166927562" TargetMode="External"/><Relationship Id="rId2912" Type="http://schemas.openxmlformats.org/officeDocument/2006/relationships/hyperlink" Target="https://maps.google.com/?q=17.0844467557284,-96.673440328954996" TargetMode="External"/><Relationship Id="rId8474" Type="http://schemas.openxmlformats.org/officeDocument/2006/relationships/hyperlink" Target="https://maps.google.com/?q=17.1502604885807,-97.527943025581905" TargetMode="External"/><Relationship Id="rId9525" Type="http://schemas.openxmlformats.org/officeDocument/2006/relationships/hyperlink" Target="https://maps.google.com/?q=17.068498,-96.720205" TargetMode="External"/><Relationship Id="rId11455" Type="http://schemas.openxmlformats.org/officeDocument/2006/relationships/hyperlink" Target="https://maps.google.com/?q=15.9861572,-97.550836000000004" TargetMode="External"/><Relationship Id="rId12506" Type="http://schemas.openxmlformats.org/officeDocument/2006/relationships/hyperlink" Target="https://maps.google.com/?q=17.2250118540427,-97.273934180679703" TargetMode="External"/><Relationship Id="rId13904" Type="http://schemas.openxmlformats.org/officeDocument/2006/relationships/hyperlink" Target="https://maps.google.com/?q=16.8476915902351,-96.783872092055503" TargetMode="External"/><Relationship Id="rId1514" Type="http://schemas.openxmlformats.org/officeDocument/2006/relationships/hyperlink" Target="https://maps.google.com/?q=17.061239,-96.756981999999994" TargetMode="External"/><Relationship Id="rId7076" Type="http://schemas.openxmlformats.org/officeDocument/2006/relationships/hyperlink" Target="https://maps.google.com/?q=16.377355,-98.143675000000002" TargetMode="External"/><Relationship Id="rId8127" Type="http://schemas.openxmlformats.org/officeDocument/2006/relationships/hyperlink" Target="https://maps.google.com/?q=17.3554240827035,-96.305296505582007" TargetMode="External"/><Relationship Id="rId10057" Type="http://schemas.openxmlformats.org/officeDocument/2006/relationships/hyperlink" Target="https://maps.google.com/?q=16.9278616507514,-96.369590814819404" TargetMode="External"/><Relationship Id="rId11108" Type="http://schemas.openxmlformats.org/officeDocument/2006/relationships/hyperlink" Target="https://maps.google.com/?q=16.034608,-96.862105999999997" TargetMode="External"/><Relationship Id="rId3686" Type="http://schemas.openxmlformats.org/officeDocument/2006/relationships/hyperlink" Target="https://maps.google.com/?q=15.776498,-96.143273" TargetMode="External"/><Relationship Id="rId2288" Type="http://schemas.openxmlformats.org/officeDocument/2006/relationships/hyperlink" Target="https://maps.google.com/?q=18.0990058084508,-96.9261443699301" TargetMode="External"/><Relationship Id="rId3339" Type="http://schemas.openxmlformats.org/officeDocument/2006/relationships/hyperlink" Target="https://maps.google.com/?q=17.0689325665773,-96.811947941545398" TargetMode="External"/><Relationship Id="rId4737" Type="http://schemas.openxmlformats.org/officeDocument/2006/relationships/hyperlink" Target="https://maps.google.com/?q=17.9482188240153,-96.657026370267801" TargetMode="External"/><Relationship Id="rId7210" Type="http://schemas.openxmlformats.org/officeDocument/2006/relationships/hyperlink" Target="https://maps.google.com/?q=16.2275235303968,-97.941686428631996" TargetMode="External"/><Relationship Id="rId13761" Type="http://schemas.openxmlformats.org/officeDocument/2006/relationships/hyperlink" Target="https://maps.google.com/?q=16.640829,-97.49515" TargetMode="External"/><Relationship Id="rId3820" Type="http://schemas.openxmlformats.org/officeDocument/2006/relationships/hyperlink" Target="https://maps.google.com/?q=15.774179077956218,-96.235684081083136" TargetMode="External"/><Relationship Id="rId9382" Type="http://schemas.openxmlformats.org/officeDocument/2006/relationships/hyperlink" Target="https://maps.google.com/?q=16.8201683002644,-95.139926658895902" TargetMode="External"/><Relationship Id="rId12363" Type="http://schemas.openxmlformats.org/officeDocument/2006/relationships/hyperlink" Target="https://maps.google.com/?q=17.048375493014596,-96.72762300791275" TargetMode="External"/><Relationship Id="rId13414" Type="http://schemas.openxmlformats.org/officeDocument/2006/relationships/hyperlink" Target="https://maps.google.com/?q=16.3291250025565,-96.6735234343587" TargetMode="External"/><Relationship Id="rId741" Type="http://schemas.openxmlformats.org/officeDocument/2006/relationships/hyperlink" Target="https://maps.google.com/?q=15.682231849360354,-96.508414886450836" TargetMode="External"/><Relationship Id="rId1371" Type="http://schemas.openxmlformats.org/officeDocument/2006/relationships/hyperlink" Target="https://maps.google.com/?q=17.0169999402607,-96.7199647617017" TargetMode="External"/><Relationship Id="rId2422" Type="http://schemas.openxmlformats.org/officeDocument/2006/relationships/hyperlink" Target="https://maps.google.com/?q=17.05115888,-96.624647429999996" TargetMode="External"/><Relationship Id="rId5992" Type="http://schemas.openxmlformats.org/officeDocument/2006/relationships/hyperlink" Target="https://maps.google.com/?q=18.155032299470744,-96.577079388733225" TargetMode="External"/><Relationship Id="rId9035" Type="http://schemas.openxmlformats.org/officeDocument/2006/relationships/hyperlink" Target="https://maps.google.com/?q=16.054156,-95.481470999999999" TargetMode="External"/><Relationship Id="rId12016" Type="http://schemas.openxmlformats.org/officeDocument/2006/relationships/hyperlink" Target="https://maps.google.com/?q=16.8035891075413,-96.717917224536805" TargetMode="External"/><Relationship Id="rId1024" Type="http://schemas.openxmlformats.org/officeDocument/2006/relationships/hyperlink" Target="https://maps.google.com/?q=15.702396268926702,-96.523694589507684" TargetMode="External"/><Relationship Id="rId4594" Type="http://schemas.openxmlformats.org/officeDocument/2006/relationships/hyperlink" Target="https://maps.google.com/?q=16.557193,-96.818737999999996" TargetMode="External"/><Relationship Id="rId5645" Type="http://schemas.openxmlformats.org/officeDocument/2006/relationships/hyperlink" Target="https://maps.google.com/?q=17.5633226285248,-96.181084248896198" TargetMode="External"/><Relationship Id="rId3196" Type="http://schemas.openxmlformats.org/officeDocument/2006/relationships/hyperlink" Target="https://maps.google.com/?q=17.036716,-97.052145999999993" TargetMode="External"/><Relationship Id="rId4247" Type="http://schemas.openxmlformats.org/officeDocument/2006/relationships/hyperlink" Target="https://maps.google.com/?q=16.0687558502161,-96.614991307406299" TargetMode="External"/><Relationship Id="rId8868" Type="http://schemas.openxmlformats.org/officeDocument/2006/relationships/hyperlink" Target="https://maps.google.com/?q=17.221787,-96.244527000000005" TargetMode="External"/><Relationship Id="rId9919" Type="http://schemas.openxmlformats.org/officeDocument/2006/relationships/hyperlink" Target="https://maps.google.com/?q=16.707315864656,-96.708954658895493" TargetMode="External"/><Relationship Id="rId10798" Type="http://schemas.openxmlformats.org/officeDocument/2006/relationships/hyperlink" Target="https://maps.google.com/?q=16.4013767761366,-96.392683601430903" TargetMode="External"/><Relationship Id="rId11849" Type="http://schemas.openxmlformats.org/officeDocument/2006/relationships/hyperlink" Target="https://maps.google.com/?q=17.243949,-96.226722" TargetMode="External"/><Relationship Id="rId1908" Type="http://schemas.openxmlformats.org/officeDocument/2006/relationships/hyperlink" Target="https://maps.google.com/?q=15.776617645979819,-96.13658419005867" TargetMode="External"/><Relationship Id="rId13271" Type="http://schemas.openxmlformats.org/officeDocument/2006/relationships/hyperlink" Target="https://maps.google.com/?q=16.1316290071098,-96.375509630966405" TargetMode="External"/><Relationship Id="rId251" Type="http://schemas.openxmlformats.org/officeDocument/2006/relationships/hyperlink" Target="https://maps.google.com/?q=16.88465,-97.677880000000002" TargetMode="External"/><Relationship Id="rId3330" Type="http://schemas.openxmlformats.org/officeDocument/2006/relationships/hyperlink" Target="https://maps.google.com/?q=17.0664234047897,-96.815828778143498" TargetMode="External"/><Relationship Id="rId7951" Type="http://schemas.openxmlformats.org/officeDocument/2006/relationships/hyperlink" Target="https://maps.google.com/?q=16.311817,-96.585470999999998" TargetMode="External"/><Relationship Id="rId10932" Type="http://schemas.openxmlformats.org/officeDocument/2006/relationships/hyperlink" Target="https://maps.google.com/?q=16.1941190625343,-95.215823379999804" TargetMode="External"/><Relationship Id="rId6553" Type="http://schemas.openxmlformats.org/officeDocument/2006/relationships/hyperlink" Target="https://maps.google.com/?q=17.760931,-96.878390" TargetMode="External"/><Relationship Id="rId7604" Type="http://schemas.openxmlformats.org/officeDocument/2006/relationships/hyperlink" Target="https://maps.google.com/?q=17.2292111409358,-95.049683879395801" TargetMode="External"/><Relationship Id="rId5155" Type="http://schemas.openxmlformats.org/officeDocument/2006/relationships/hyperlink" Target="https://maps.google.com/?q=17.254838,-96.151831999999999" TargetMode="External"/><Relationship Id="rId6206" Type="http://schemas.openxmlformats.org/officeDocument/2006/relationships/hyperlink" Target="https://maps.google.com/?q=16.094642431126033,-97.07713036193657" TargetMode="External"/><Relationship Id="rId9776" Type="http://schemas.openxmlformats.org/officeDocument/2006/relationships/hyperlink" Target="https://maps.google.com/?q=17.2881090521796,-96.798048721397095" TargetMode="External"/><Relationship Id="rId1765" Type="http://schemas.openxmlformats.org/officeDocument/2006/relationships/hyperlink" Target="https://maps.google.com/?q=18.0615269,-96.847493420000006" TargetMode="External"/><Relationship Id="rId8378" Type="http://schemas.openxmlformats.org/officeDocument/2006/relationships/hyperlink" Target="https://maps.google.com/?q=16.8460850696796,-97.201335528723902" TargetMode="External"/><Relationship Id="rId9429" Type="http://schemas.openxmlformats.org/officeDocument/2006/relationships/hyperlink" Target="https://maps.google.com/?q=16.7762129179429,-95.190836895568097" TargetMode="External"/><Relationship Id="rId11359" Type="http://schemas.openxmlformats.org/officeDocument/2006/relationships/hyperlink" Target="https://maps.google.com/?q=16.3806940451859,-94.194109874833998" TargetMode="External"/><Relationship Id="rId12757" Type="http://schemas.openxmlformats.org/officeDocument/2006/relationships/hyperlink" Target="https://maps.google.com/?q=17.454151841861,-97.285490834384206" TargetMode="External"/><Relationship Id="rId13808" Type="http://schemas.openxmlformats.org/officeDocument/2006/relationships/hyperlink" Target="https://maps.google.com/?q=16.997163,-97.798840999999996" TargetMode="External"/><Relationship Id="rId1418" Type="http://schemas.openxmlformats.org/officeDocument/2006/relationships/hyperlink" Target="https://maps.google.com/?q=17.070529,-96.732887" TargetMode="External"/><Relationship Id="rId2816" Type="http://schemas.openxmlformats.org/officeDocument/2006/relationships/hyperlink" Target="https://maps.google.com/?q=16.9899374782747,-97.714125673610695" TargetMode="External"/><Relationship Id="rId4988" Type="http://schemas.openxmlformats.org/officeDocument/2006/relationships/hyperlink" Target="https://maps.google.com/?q=17.2674346,-97.6807373" TargetMode="External"/><Relationship Id="rId9910" Type="http://schemas.openxmlformats.org/officeDocument/2006/relationships/hyperlink" Target="https://maps.google.com/?q=0,-96.712307999999993" TargetMode="External"/><Relationship Id="rId11840" Type="http://schemas.openxmlformats.org/officeDocument/2006/relationships/hyperlink" Target="https://maps.google.com/?q=16.5809409684308,-96.7384368736801" TargetMode="External"/><Relationship Id="rId6063" Type="http://schemas.openxmlformats.org/officeDocument/2006/relationships/hyperlink" Target="https://maps.google.com/?q=18.15966767194975,-96.576907556455751" TargetMode="External"/><Relationship Id="rId7461" Type="http://schemas.openxmlformats.org/officeDocument/2006/relationships/hyperlink" Target="https://maps.google.com/?q=16.3307752055752,-96.677370422131503" TargetMode="External"/><Relationship Id="rId8512" Type="http://schemas.openxmlformats.org/officeDocument/2006/relationships/hyperlink" Target="https://maps.google.com/?q=17.149350614171,-97.5367200622089" TargetMode="External"/><Relationship Id="rId10442" Type="http://schemas.openxmlformats.org/officeDocument/2006/relationships/hyperlink" Target="https://maps.google.com/?q=17.0425612,-96.781572499999996" TargetMode="External"/><Relationship Id="rId7114" Type="http://schemas.openxmlformats.org/officeDocument/2006/relationships/hyperlink" Target="https://maps.google.com/?q=17.352531846334,-97.632626154596295" TargetMode="External"/><Relationship Id="rId13665" Type="http://schemas.openxmlformats.org/officeDocument/2006/relationships/hyperlink" Target="https://maps.google.com/?q=17.185565,-96.178961" TargetMode="External"/><Relationship Id="rId992" Type="http://schemas.openxmlformats.org/officeDocument/2006/relationships/hyperlink" Target="https://maps.google.com/?q=15.69119980997855,-96.518161573597922" TargetMode="External"/><Relationship Id="rId2673" Type="http://schemas.openxmlformats.org/officeDocument/2006/relationships/hyperlink" Target="https://maps.google.com/?q=17.2791596,-97.700417400000006" TargetMode="External"/><Relationship Id="rId3724" Type="http://schemas.openxmlformats.org/officeDocument/2006/relationships/hyperlink" Target="https://maps.google.com/?q=15.758630159059898,-96.144306315359898" TargetMode="External"/><Relationship Id="rId9286" Type="http://schemas.openxmlformats.org/officeDocument/2006/relationships/hyperlink" Target="https://maps.google.com/?q=16.9244599197083,-95.209390604678006" TargetMode="External"/><Relationship Id="rId12267" Type="http://schemas.openxmlformats.org/officeDocument/2006/relationships/hyperlink" Target="https://maps.google.com/?q=16.4769257568511,-94.356560530962696" TargetMode="External"/><Relationship Id="rId13318" Type="http://schemas.openxmlformats.org/officeDocument/2006/relationships/hyperlink" Target="https://maps.google.com/?q=17.4486046218987,-98.001616082507795" TargetMode="External"/><Relationship Id="rId645" Type="http://schemas.openxmlformats.org/officeDocument/2006/relationships/hyperlink" Target="https://maps.google.com/?q=16.05481,-97.395390000000006" TargetMode="External"/><Relationship Id="rId1275" Type="http://schemas.openxmlformats.org/officeDocument/2006/relationships/hyperlink" Target="https://maps.google.com/?q=17.058657,-96.743072999999995" TargetMode="External"/><Relationship Id="rId2326" Type="http://schemas.openxmlformats.org/officeDocument/2006/relationships/hyperlink" Target="https://maps.google.com/?q=17.054382,-97.670100000000005" TargetMode="External"/><Relationship Id="rId5896" Type="http://schemas.openxmlformats.org/officeDocument/2006/relationships/hyperlink" Target="https://maps.google.com/?q=18.14549697349987,-96.564335218574513" TargetMode="External"/><Relationship Id="rId6947" Type="http://schemas.openxmlformats.org/officeDocument/2006/relationships/hyperlink" Target="https://maps.google.com/?q=16.32292417,-95.262186" TargetMode="External"/><Relationship Id="rId4498" Type="http://schemas.openxmlformats.org/officeDocument/2006/relationships/hyperlink" Target="https://maps.google.com/?q=17.1779888555706,-97.304214892208904" TargetMode="External"/><Relationship Id="rId5549" Type="http://schemas.openxmlformats.org/officeDocument/2006/relationships/hyperlink" Target="https://maps.google.com/?q=18.249958,-96.288908000000006" TargetMode="External"/><Relationship Id="rId9420" Type="http://schemas.openxmlformats.org/officeDocument/2006/relationships/hyperlink" Target="https://maps.google.com/?q=16.7760494513972,-95.1923360221368" TargetMode="External"/><Relationship Id="rId8022" Type="http://schemas.openxmlformats.org/officeDocument/2006/relationships/hyperlink" Target="https://maps.google.com/?q=18.1607368202328,-96.882438766864894" TargetMode="External"/><Relationship Id="rId11350" Type="http://schemas.openxmlformats.org/officeDocument/2006/relationships/hyperlink" Target="https://maps.google.com/?q=16.3654245792671,-94.191550734952997" TargetMode="External"/><Relationship Id="rId12401" Type="http://schemas.openxmlformats.org/officeDocument/2006/relationships/hyperlink" Target="https://maps.google.com/?q=16.5567322671056,-96.815565072421904" TargetMode="External"/><Relationship Id="rId11003" Type="http://schemas.openxmlformats.org/officeDocument/2006/relationships/hyperlink" Target="https://maps.google.com/?q=17.156397,-97.188505000000006" TargetMode="External"/><Relationship Id="rId3581" Type="http://schemas.openxmlformats.org/officeDocument/2006/relationships/hyperlink" Target="https://maps.google.com/?q=15.776049540182251,-96.136648125638729" TargetMode="External"/><Relationship Id="rId4632" Type="http://schemas.openxmlformats.org/officeDocument/2006/relationships/hyperlink" Target="https://maps.google.com/?q=17.458776193710985,-97.2425235708823" TargetMode="External"/><Relationship Id="rId13175" Type="http://schemas.openxmlformats.org/officeDocument/2006/relationships/hyperlink" Target="https://maps.google.com/?q=16.5694688756292,-97.007118160713205" TargetMode="External"/><Relationship Id="rId2183" Type="http://schemas.openxmlformats.org/officeDocument/2006/relationships/hyperlink" Target="https://maps.google.com/?q=16.9978638495155,-97.234186045933598" TargetMode="External"/><Relationship Id="rId3234" Type="http://schemas.openxmlformats.org/officeDocument/2006/relationships/hyperlink" Target="https://maps.google.com/?q=17.9353822787573,-96.208273915343895" TargetMode="External"/><Relationship Id="rId7855" Type="http://schemas.openxmlformats.org/officeDocument/2006/relationships/hyperlink" Target="https://maps.google.com/?q=16.3133450017041,-96.408091123169896" TargetMode="External"/><Relationship Id="rId8906" Type="http://schemas.openxmlformats.org/officeDocument/2006/relationships/hyperlink" Target="https://maps.google.com/?q=17.380172713,-96.162472432000001" TargetMode="External"/><Relationship Id="rId155" Type="http://schemas.openxmlformats.org/officeDocument/2006/relationships/hyperlink" Target="https://maps.google.com/?q=17.091851,-97.493825999999999" TargetMode="External"/><Relationship Id="rId6457" Type="http://schemas.openxmlformats.org/officeDocument/2006/relationships/hyperlink" Target="https://maps.google.com/?q=16.376514,-97.281288000000004" TargetMode="External"/><Relationship Id="rId7508" Type="http://schemas.openxmlformats.org/officeDocument/2006/relationships/hyperlink" Target="https://maps.google.com/?q=17.34473452,-97.37045397" TargetMode="External"/><Relationship Id="rId10836" Type="http://schemas.openxmlformats.org/officeDocument/2006/relationships/hyperlink" Target="https://maps.google.com/?q=16.4015998108006,-94.461677906745905" TargetMode="External"/><Relationship Id="rId5059" Type="http://schemas.openxmlformats.org/officeDocument/2006/relationships/hyperlink" Target="https://maps.google.com/?q=17.252005,-96.156300999999999" TargetMode="External"/><Relationship Id="rId14083" Type="http://schemas.openxmlformats.org/officeDocument/2006/relationships/hyperlink" Target="https://maps.google.com/?q=17.83576653,-96.18960068" TargetMode="External"/><Relationship Id="rId1669" Type="http://schemas.openxmlformats.org/officeDocument/2006/relationships/hyperlink" Target="https://maps.google.com/?q=18.047176079499,-96.895697449213401" TargetMode="External"/><Relationship Id="rId3091" Type="http://schemas.openxmlformats.org/officeDocument/2006/relationships/hyperlink" Target="https://maps.google.com/?q=16.5672619370242,-97.011464609787097" TargetMode="External"/><Relationship Id="rId4142" Type="http://schemas.openxmlformats.org/officeDocument/2006/relationships/hyperlink" Target="https://maps.google.com/?q=16.4264823025687,-98.189809110450597" TargetMode="External"/><Relationship Id="rId5540" Type="http://schemas.openxmlformats.org/officeDocument/2006/relationships/hyperlink" Target="https://maps.google.com/?q=17.2893763798681,-97.369962550926203" TargetMode="External"/><Relationship Id="rId8763" Type="http://schemas.openxmlformats.org/officeDocument/2006/relationships/hyperlink" Target="https://maps.google.com/?q=17.204358,-96.254954999999995" TargetMode="External"/><Relationship Id="rId9814" Type="http://schemas.openxmlformats.org/officeDocument/2006/relationships/hyperlink" Target="https://maps.google.com/?q=16.6445039031326,-96.751426174418" TargetMode="External"/><Relationship Id="rId10693" Type="http://schemas.openxmlformats.org/officeDocument/2006/relationships/hyperlink" Target="https://maps.google.com/?q=17.666302010055187,-98.22143623762871" TargetMode="External"/><Relationship Id="rId11744" Type="http://schemas.openxmlformats.org/officeDocument/2006/relationships/hyperlink" Target="https://maps.google.com/?q=17.18929806,-97.714860639999998" TargetMode="External"/><Relationship Id="rId28" Type="http://schemas.openxmlformats.org/officeDocument/2006/relationships/hyperlink" Target="https://maps.google.com/?q=17.222558,-97.118798999999996" TargetMode="External"/><Relationship Id="rId1803" Type="http://schemas.openxmlformats.org/officeDocument/2006/relationships/hyperlink" Target="https://maps.google.com/?q=18.0681469029245,-96.900590942293604" TargetMode="External"/><Relationship Id="rId7365" Type="http://schemas.openxmlformats.org/officeDocument/2006/relationships/hyperlink" Target="https://maps.google.com/?q=16.567861,-97.651099000000002" TargetMode="External"/><Relationship Id="rId8416" Type="http://schemas.openxmlformats.org/officeDocument/2006/relationships/hyperlink" Target="https://maps.google.com/?q=16.0907071767389,-96.243319860118902" TargetMode="External"/><Relationship Id="rId10346" Type="http://schemas.openxmlformats.org/officeDocument/2006/relationships/hyperlink" Target="https://maps.google.com/?q=17.433446309818,-96.656557945335393" TargetMode="External"/><Relationship Id="rId3975" Type="http://schemas.openxmlformats.org/officeDocument/2006/relationships/hyperlink" Target="https://maps.google.com/?q=17.062009,-96.757019999999997" TargetMode="External"/><Relationship Id="rId7018" Type="http://schemas.openxmlformats.org/officeDocument/2006/relationships/hyperlink" Target="https://maps.google.com/?q=17.0413691380412,-97.298489255845098" TargetMode="External"/><Relationship Id="rId13569" Type="http://schemas.openxmlformats.org/officeDocument/2006/relationships/hyperlink" Target="https://maps.google.com/?q=16.31997378778936,-97.66043564764068" TargetMode="External"/><Relationship Id="rId896" Type="http://schemas.openxmlformats.org/officeDocument/2006/relationships/hyperlink" Target="https://maps.google.com/?q=16.89082,-97.679609999999997" TargetMode="External"/><Relationship Id="rId2577" Type="http://schemas.openxmlformats.org/officeDocument/2006/relationships/hyperlink" Target="https://maps.google.com/?q=17.038935,-96.719071" TargetMode="External"/><Relationship Id="rId3628" Type="http://schemas.openxmlformats.org/officeDocument/2006/relationships/hyperlink" Target="https://maps.google.com/?q=15.777300487631983,-96.137003607970797" TargetMode="External"/><Relationship Id="rId549" Type="http://schemas.openxmlformats.org/officeDocument/2006/relationships/hyperlink" Target="https://maps.google.com/?q=16.053514,-97.404672000000005" TargetMode="External"/><Relationship Id="rId1179" Type="http://schemas.openxmlformats.org/officeDocument/2006/relationships/hyperlink" Target="https://maps.google.com/?q=16.372562,-94.185952" TargetMode="External"/><Relationship Id="rId5050" Type="http://schemas.openxmlformats.org/officeDocument/2006/relationships/hyperlink" Target="https://maps.google.com/?q=17.251799,-96.152781000000004" TargetMode="External"/><Relationship Id="rId6101" Type="http://schemas.openxmlformats.org/officeDocument/2006/relationships/hyperlink" Target="https://maps.google.com/?q=17.980863,-96.702228000000005" TargetMode="External"/><Relationship Id="rId8273" Type="http://schemas.openxmlformats.org/officeDocument/2006/relationships/hyperlink" Target="https://maps.google.com/?q=17.02739,-96.759553999999994" TargetMode="External"/><Relationship Id="rId9671" Type="http://schemas.openxmlformats.org/officeDocument/2006/relationships/hyperlink" Target="https://maps.google.com/?q=16.4648535955477,-96.647705737435302" TargetMode="External"/><Relationship Id="rId12652" Type="http://schemas.openxmlformats.org/officeDocument/2006/relationships/hyperlink" Target="https://maps.google.com/?q=16.9988763521342,-97.900044509285905" TargetMode="External"/><Relationship Id="rId13703" Type="http://schemas.openxmlformats.org/officeDocument/2006/relationships/hyperlink" Target="https://maps.google.com/?q=16.738141,-95.354602" TargetMode="External"/><Relationship Id="rId1660" Type="http://schemas.openxmlformats.org/officeDocument/2006/relationships/hyperlink" Target="https://maps.google.com/?q=16.8945525582342,-96.935839588954906" TargetMode="External"/><Relationship Id="rId2711" Type="http://schemas.openxmlformats.org/officeDocument/2006/relationships/hyperlink" Target="https://maps.google.com/?q=15.907941698644,&#160;-96.424830" TargetMode="External"/><Relationship Id="rId9324" Type="http://schemas.openxmlformats.org/officeDocument/2006/relationships/hyperlink" Target="https://maps.google.com/?q=16.8163947969261,-95.135518176180796" TargetMode="External"/><Relationship Id="rId11254" Type="http://schemas.openxmlformats.org/officeDocument/2006/relationships/hyperlink" Target="https://maps.google.com/?q=17.8648618298649,-96.307227245185501" TargetMode="External"/><Relationship Id="rId12305" Type="http://schemas.openxmlformats.org/officeDocument/2006/relationships/hyperlink" Target="https://maps.google.com/?q=18.141656,-96.804564" TargetMode="External"/><Relationship Id="rId1313" Type="http://schemas.openxmlformats.org/officeDocument/2006/relationships/hyperlink" Target="https://maps.google.com/?q=17.082948,-96.727685" TargetMode="External"/><Relationship Id="rId4883" Type="http://schemas.openxmlformats.org/officeDocument/2006/relationships/hyperlink" Target="https://maps.google.com/?q=16.7947935546658,-96.400973146843299" TargetMode="External"/><Relationship Id="rId5934" Type="http://schemas.openxmlformats.org/officeDocument/2006/relationships/hyperlink" Target="https://maps.google.com/?q=18.15349134039035,-96.573246889226255" TargetMode="External"/><Relationship Id="rId3485" Type="http://schemas.openxmlformats.org/officeDocument/2006/relationships/hyperlink" Target="https://maps.google.com/?q=16.7483047419769,-97.267311758003302" TargetMode="External"/><Relationship Id="rId4536" Type="http://schemas.openxmlformats.org/officeDocument/2006/relationships/hyperlink" Target="https://maps.google.com/?q=17.1834973143235,-97.302502652778699" TargetMode="External"/><Relationship Id="rId13079" Type="http://schemas.openxmlformats.org/officeDocument/2006/relationships/hyperlink" Target="https://maps.google.com/?q=16.5641596,-97.535097800000003" TargetMode="External"/><Relationship Id="rId2087" Type="http://schemas.openxmlformats.org/officeDocument/2006/relationships/hyperlink" Target="https://maps.google.com/?q=15.774101994756728,-96.23814740156071" TargetMode="External"/><Relationship Id="rId3138" Type="http://schemas.openxmlformats.org/officeDocument/2006/relationships/hyperlink" Target="https://maps.google.com/?q=16.585762,-97.444575" TargetMode="External"/><Relationship Id="rId7759" Type="http://schemas.openxmlformats.org/officeDocument/2006/relationships/hyperlink" Target="https://maps.google.com/?q=16.070459,&#160;-96.3017565" TargetMode="External"/><Relationship Id="rId9181" Type="http://schemas.openxmlformats.org/officeDocument/2006/relationships/hyperlink" Target="https://maps.google.com/?q=17.3739305096666,-96.303147503072395" TargetMode="External"/><Relationship Id="rId13560" Type="http://schemas.openxmlformats.org/officeDocument/2006/relationships/hyperlink" Target="https://maps.google.com/?q=17.836311433369037,-97.26074107242202" TargetMode="External"/><Relationship Id="rId540" Type="http://schemas.openxmlformats.org/officeDocument/2006/relationships/hyperlink" Target="https://maps.google.com/?q=16.052547,-97.403398999999993" TargetMode="External"/><Relationship Id="rId1170" Type="http://schemas.openxmlformats.org/officeDocument/2006/relationships/hyperlink" Target="https://maps.google.com/?q=16.287709920062706,-95.24315168133805" TargetMode="External"/><Relationship Id="rId2221" Type="http://schemas.openxmlformats.org/officeDocument/2006/relationships/hyperlink" Target="https://maps.google.com/?q=16.9965008294985,-97.248085623327199" TargetMode="External"/><Relationship Id="rId12162" Type="http://schemas.openxmlformats.org/officeDocument/2006/relationships/hyperlink" Target="https://maps.google.com/?q=17.4152869006907,-95.950405140820394" TargetMode="External"/><Relationship Id="rId13213" Type="http://schemas.openxmlformats.org/officeDocument/2006/relationships/hyperlink" Target="https://maps.google.com/?q=17.3420464728271,-97.377505804299204" TargetMode="External"/><Relationship Id="rId5791" Type="http://schemas.openxmlformats.org/officeDocument/2006/relationships/hyperlink" Target="https://maps.google.com/?q=17.3053344419252,-97.485924519014404" TargetMode="External"/><Relationship Id="rId6842" Type="http://schemas.openxmlformats.org/officeDocument/2006/relationships/hyperlink" Target="https://maps.google.com/?q=17.007659239611,-96.978589201223301" TargetMode="External"/><Relationship Id="rId4393" Type="http://schemas.openxmlformats.org/officeDocument/2006/relationships/hyperlink" Target="https://maps.google.com/?q=16.00005605,-96.689752369999994" TargetMode="External"/><Relationship Id="rId5444" Type="http://schemas.openxmlformats.org/officeDocument/2006/relationships/hyperlink" Target="https://maps.google.com/?q=16.0072457389261,-97.425995372209002" TargetMode="External"/><Relationship Id="rId11995" Type="http://schemas.openxmlformats.org/officeDocument/2006/relationships/hyperlink" Target="https://maps.google.com/?q=16.8014449429596,-96.715327368028895" TargetMode="External"/><Relationship Id="rId4046" Type="http://schemas.openxmlformats.org/officeDocument/2006/relationships/hyperlink" Target="https://maps.google.com/?q=17.080154,-96.726937000000007" TargetMode="External"/><Relationship Id="rId8667" Type="http://schemas.openxmlformats.org/officeDocument/2006/relationships/hyperlink" Target="https://maps.google.com/?q=16.2767610168168,-96.307076239089099" TargetMode="External"/><Relationship Id="rId9718" Type="http://schemas.openxmlformats.org/officeDocument/2006/relationships/hyperlink" Target="https://maps.google.com/?q=16.4386505229123,-95.028168756529197" TargetMode="External"/><Relationship Id="rId10597" Type="http://schemas.openxmlformats.org/officeDocument/2006/relationships/hyperlink" Target="https://maps.google.com/?q=17.0826467614864,-97.766799109168005" TargetMode="External"/><Relationship Id="rId11648" Type="http://schemas.openxmlformats.org/officeDocument/2006/relationships/hyperlink" Target="https://maps.google.com/?q=17.1735004,-97.711394330000005" TargetMode="External"/><Relationship Id="rId1707" Type="http://schemas.openxmlformats.org/officeDocument/2006/relationships/hyperlink" Target="https://maps.google.com/?q=18.0740435125617,-96.8960489835667" TargetMode="External"/><Relationship Id="rId7269" Type="http://schemas.openxmlformats.org/officeDocument/2006/relationships/hyperlink" Target="https://maps.google.com/?q=16.3011327860774,-97.915386681872704" TargetMode="External"/><Relationship Id="rId13070" Type="http://schemas.openxmlformats.org/officeDocument/2006/relationships/hyperlink" Target="https://maps.google.com/?q=16.5634495,-97.536378299999996" TargetMode="External"/><Relationship Id="rId14121" Type="http://schemas.openxmlformats.org/officeDocument/2006/relationships/hyperlink" Target="https://maps.google.com/?q=16.43931813,-96.59830662" TargetMode="External"/><Relationship Id="rId3879" Type="http://schemas.openxmlformats.org/officeDocument/2006/relationships/hyperlink" Target="https://maps.google.com/?q=17.1058803891177,-95.930915044318994" TargetMode="External"/><Relationship Id="rId6352" Type="http://schemas.openxmlformats.org/officeDocument/2006/relationships/hyperlink" Target="https://maps.google.com/?q=18.063409,-96.394992999999999" TargetMode="External"/><Relationship Id="rId7750" Type="http://schemas.openxmlformats.org/officeDocument/2006/relationships/hyperlink" Target="https://maps.google.com/?q=16.06883,-96.300882000000001" TargetMode="External"/><Relationship Id="rId8801" Type="http://schemas.openxmlformats.org/officeDocument/2006/relationships/hyperlink" Target="https://maps.google.com/?q=17.214072,-96.248956000000007" TargetMode="External"/><Relationship Id="rId10731" Type="http://schemas.openxmlformats.org/officeDocument/2006/relationships/hyperlink" Target="https://maps.google.com/?q=17.062823,-96.7112649" TargetMode="External"/><Relationship Id="rId6005" Type="http://schemas.openxmlformats.org/officeDocument/2006/relationships/hyperlink" Target="https://maps.google.com/?q=18.155222192515392,-96.575829018594632" TargetMode="External"/><Relationship Id="rId7403" Type="http://schemas.openxmlformats.org/officeDocument/2006/relationships/hyperlink" Target="https://maps.google.com/?q=17.0785734,-97.001400000000004" TargetMode="External"/><Relationship Id="rId13954" Type="http://schemas.openxmlformats.org/officeDocument/2006/relationships/hyperlink" Target="https://maps.google.com/?q=17.079802,-98.053393" TargetMode="External"/><Relationship Id="rId2962" Type="http://schemas.openxmlformats.org/officeDocument/2006/relationships/hyperlink" Target="https://maps.google.com/?q=16.5112626157081,-96.981017171619698" TargetMode="External"/><Relationship Id="rId9575" Type="http://schemas.openxmlformats.org/officeDocument/2006/relationships/hyperlink" Target="https://maps.google.com/?q=16.227912,-97.140036" TargetMode="External"/><Relationship Id="rId12556" Type="http://schemas.openxmlformats.org/officeDocument/2006/relationships/hyperlink" Target="https://maps.google.com/?q=17.068498,-96.720205%20" TargetMode="External"/><Relationship Id="rId13607" Type="http://schemas.openxmlformats.org/officeDocument/2006/relationships/hyperlink" Target="https://maps.google.com/?q=17.331381,-96.487408" TargetMode="External"/><Relationship Id="rId934" Type="http://schemas.openxmlformats.org/officeDocument/2006/relationships/hyperlink" Target="https://maps.google.com/?q=15.68228515048243,-96.509339009339087" TargetMode="External"/><Relationship Id="rId1564" Type="http://schemas.openxmlformats.org/officeDocument/2006/relationships/hyperlink" Target="https://maps.google.com/?q=16.9579281542844,-97.451861055225393" TargetMode="External"/><Relationship Id="rId2615" Type="http://schemas.openxmlformats.org/officeDocument/2006/relationships/hyperlink" Target="https://maps.google.com/?q=18.231047,-96.277562000000003" TargetMode="External"/><Relationship Id="rId8177" Type="http://schemas.openxmlformats.org/officeDocument/2006/relationships/hyperlink" Target="https://maps.google.com/?q=17.9619903289457,-96.158748048212203" TargetMode="External"/><Relationship Id="rId9228" Type="http://schemas.openxmlformats.org/officeDocument/2006/relationships/hyperlink" Target="https://maps.google.com/?q=17.3758318708908,-96.301458238268694" TargetMode="External"/><Relationship Id="rId11158" Type="http://schemas.openxmlformats.org/officeDocument/2006/relationships/hyperlink" Target="https://maps.google.com/?q=16.841261,-96.007011000000006" TargetMode="External"/><Relationship Id="rId12209" Type="http://schemas.openxmlformats.org/officeDocument/2006/relationships/hyperlink" Target="https://maps.google.com/?q=17.4183010700731,-95.950804796395801" TargetMode="External"/><Relationship Id="rId1217" Type="http://schemas.openxmlformats.org/officeDocument/2006/relationships/hyperlink" Target="https://maps.google.com/?q=18.15988,-96.71680600" TargetMode="External"/><Relationship Id="rId4787" Type="http://schemas.openxmlformats.org/officeDocument/2006/relationships/hyperlink" Target="https://maps.google.com/?q=17.9581828805449,-96.658544227148695" TargetMode="External"/><Relationship Id="rId5838" Type="http://schemas.openxmlformats.org/officeDocument/2006/relationships/hyperlink" Target="https://maps.google.com/?q=16.1105968895314,-97.597727923636" TargetMode="External"/><Relationship Id="rId3389" Type="http://schemas.openxmlformats.org/officeDocument/2006/relationships/hyperlink" Target="https://maps.google.com/?q=16.393202,-96.848382999999998" TargetMode="External"/><Relationship Id="rId7260" Type="http://schemas.openxmlformats.org/officeDocument/2006/relationships/hyperlink" Target="https://maps.google.com/?q=16.2985938860509,-97.912361242328203" TargetMode="External"/><Relationship Id="rId8311" Type="http://schemas.openxmlformats.org/officeDocument/2006/relationships/hyperlink" Target="https://maps.google.com/?q=16.538934,-98.03389" TargetMode="External"/><Relationship Id="rId10241" Type="http://schemas.openxmlformats.org/officeDocument/2006/relationships/hyperlink" Target="https://maps.google.com/?q=17.28783799823265,-97.30275128889424" TargetMode="External"/><Relationship Id="rId3870" Type="http://schemas.openxmlformats.org/officeDocument/2006/relationships/hyperlink" Target="https://maps.google.com/?q=17.1044123189206,-95.935668069940505" TargetMode="External"/><Relationship Id="rId4921" Type="http://schemas.openxmlformats.org/officeDocument/2006/relationships/hyperlink" Target="https://maps.google.com/?q=18.0323076725817,-96.670681234862201" TargetMode="External"/><Relationship Id="rId9085" Type="http://schemas.openxmlformats.org/officeDocument/2006/relationships/hyperlink" Target="https://maps.google.com/?q=16.06367,-95.500169999999997" TargetMode="External"/><Relationship Id="rId13464" Type="http://schemas.openxmlformats.org/officeDocument/2006/relationships/hyperlink" Target="https://maps.google.com/?q=17.6872163365257,-97.042169662704595" TargetMode="External"/><Relationship Id="rId791" Type="http://schemas.openxmlformats.org/officeDocument/2006/relationships/hyperlink" Target="https://maps.google.com/?q=15.691840675686516,-96.519762652359262" TargetMode="External"/><Relationship Id="rId1074" Type="http://schemas.openxmlformats.org/officeDocument/2006/relationships/hyperlink" Target="https://maps.google.com/?q=17.095612,-97.498558000000003" TargetMode="External"/><Relationship Id="rId2472" Type="http://schemas.openxmlformats.org/officeDocument/2006/relationships/hyperlink" Target="https://maps.google.com/?q=17.05180831,-96.624288759999999" TargetMode="External"/><Relationship Id="rId3523" Type="http://schemas.openxmlformats.org/officeDocument/2006/relationships/hyperlink" Target="https://maps.google.com/?q=15.763866,-96.151722" TargetMode="External"/><Relationship Id="rId12066" Type="http://schemas.openxmlformats.org/officeDocument/2006/relationships/hyperlink" Target="https://maps.google.com/?q=16.31826173,-95.233478700000006" TargetMode="External"/><Relationship Id="rId13117" Type="http://schemas.openxmlformats.org/officeDocument/2006/relationships/hyperlink" Target="https://maps.google.com/?q=16.5672102,-97.537885299999999" TargetMode="External"/><Relationship Id="rId444" Type="http://schemas.openxmlformats.org/officeDocument/2006/relationships/hyperlink" Target="https://maps.google.com/?q=16.053403,-97.410289000000006" TargetMode="External"/><Relationship Id="rId2125" Type="http://schemas.openxmlformats.org/officeDocument/2006/relationships/hyperlink" Target="https://maps.google.com/?q=15.762218,-96.143128000000004" TargetMode="External"/><Relationship Id="rId5695" Type="http://schemas.openxmlformats.org/officeDocument/2006/relationships/hyperlink" Target="https://maps.google.com/?q=17.9431507587851,-97.9658429816498" TargetMode="External"/><Relationship Id="rId6746" Type="http://schemas.openxmlformats.org/officeDocument/2006/relationships/hyperlink" Target="https://maps.google.com/?q=15.8550326463,&#160;-96.6494630631" TargetMode="External"/><Relationship Id="rId4297" Type="http://schemas.openxmlformats.org/officeDocument/2006/relationships/hyperlink" Target="https://maps.google.com/?q=16.0089511720239,-96.569284800361203" TargetMode="External"/><Relationship Id="rId5348" Type="http://schemas.openxmlformats.org/officeDocument/2006/relationships/hyperlink" Target="https://maps.google.com/?q=16.5227439943416,-97.166856304230393" TargetMode="External"/><Relationship Id="rId9969" Type="http://schemas.openxmlformats.org/officeDocument/2006/relationships/hyperlink" Target="https://maps.google.com/?q=16.535835,-97.971858" TargetMode="External"/><Relationship Id="rId12200" Type="http://schemas.openxmlformats.org/officeDocument/2006/relationships/hyperlink" Target="https://maps.google.com/?q=17.4177497764567,-95.950180059983097" TargetMode="External"/><Relationship Id="rId11899" Type="http://schemas.openxmlformats.org/officeDocument/2006/relationships/hyperlink" Target="https://maps.google.com/?q=17.38048688689724,-97.34428904051018" TargetMode="External"/><Relationship Id="rId1958" Type="http://schemas.openxmlformats.org/officeDocument/2006/relationships/hyperlink" Target="https://maps.google.com/?q=15.779013700390266,-96.138173320678121" TargetMode="External"/><Relationship Id="rId3380" Type="http://schemas.openxmlformats.org/officeDocument/2006/relationships/hyperlink" Target="https://maps.google.com/?q=17.0727217094493,-97.78768250049004" TargetMode="External"/><Relationship Id="rId4431" Type="http://schemas.openxmlformats.org/officeDocument/2006/relationships/hyperlink" Target="https://maps.google.com/?q=17.2700513794257,-97.530505480600198" TargetMode="External"/><Relationship Id="rId14025" Type="http://schemas.openxmlformats.org/officeDocument/2006/relationships/hyperlink" Target="https://maps.google.com/?q=17.0574553453287,-96.7264671701015" TargetMode="External"/><Relationship Id="rId3033" Type="http://schemas.openxmlformats.org/officeDocument/2006/relationships/hyperlink" Target="https://maps.google.com/?q=16.93967,-97.006963299999995" TargetMode="External"/><Relationship Id="rId10982" Type="http://schemas.openxmlformats.org/officeDocument/2006/relationships/hyperlink" Target="https://maps.google.com/?q=16.2229086033571,-95.213953578836097" TargetMode="External"/><Relationship Id="rId7654" Type="http://schemas.openxmlformats.org/officeDocument/2006/relationships/hyperlink" Target="https://maps.google.com/?q=17.2320171442529,-95.050673202339894" TargetMode="External"/><Relationship Id="rId8705" Type="http://schemas.openxmlformats.org/officeDocument/2006/relationships/hyperlink" Target="https://maps.google.com/?q=16.1554387128868,-96.606613638063294" TargetMode="External"/><Relationship Id="rId10635" Type="http://schemas.openxmlformats.org/officeDocument/2006/relationships/hyperlink" Target="https://maps.google.com/?q=17.1194332893189,-97.784908470000005" TargetMode="External"/><Relationship Id="rId6256" Type="http://schemas.openxmlformats.org/officeDocument/2006/relationships/hyperlink" Target="https://maps.google.com/?q=16.3818967607371,-96.738739695768601" TargetMode="External"/><Relationship Id="rId7307" Type="http://schemas.openxmlformats.org/officeDocument/2006/relationships/hyperlink" Target="https://maps.google.com/?q=16.72023119,-96.467310940000004" TargetMode="External"/><Relationship Id="rId13858" Type="http://schemas.openxmlformats.org/officeDocument/2006/relationships/hyperlink" Target="https://maps.google.com/?q=16.2588231332469,-96.573684494070704" TargetMode="External"/><Relationship Id="rId2866" Type="http://schemas.openxmlformats.org/officeDocument/2006/relationships/hyperlink" Target="https://maps.google.com/?q=16.9837411124177,-97.676869347824095" TargetMode="External"/><Relationship Id="rId3917" Type="http://schemas.openxmlformats.org/officeDocument/2006/relationships/hyperlink" Target="https://maps.google.com/?q=16.182,-95.1949" TargetMode="External"/><Relationship Id="rId9479" Type="http://schemas.openxmlformats.org/officeDocument/2006/relationships/hyperlink" Target="https://maps.google.com/?q=17.026216,-97.928115000000005" TargetMode="External"/><Relationship Id="rId838" Type="http://schemas.openxmlformats.org/officeDocument/2006/relationships/hyperlink" Target="https://maps.google.com/?q=15.706254978720555,-96.524258669808304" TargetMode="External"/><Relationship Id="rId1468" Type="http://schemas.openxmlformats.org/officeDocument/2006/relationships/hyperlink" Target="https://maps.google.com/?q=17.04982,-96.70893" TargetMode="External"/><Relationship Id="rId2519" Type="http://schemas.openxmlformats.org/officeDocument/2006/relationships/hyperlink" Target="https://maps.google.com/?q=17.0522091,-96.624149220000007" TargetMode="External"/><Relationship Id="rId8562" Type="http://schemas.openxmlformats.org/officeDocument/2006/relationships/hyperlink" Target="https://maps.google.com/?q=16.9274891336595,-96.602964752149603" TargetMode="External"/><Relationship Id="rId9960" Type="http://schemas.openxmlformats.org/officeDocument/2006/relationships/hyperlink" Target="https://maps.google.com/?q=17.950713,-98.059508" TargetMode="External"/><Relationship Id="rId11890" Type="http://schemas.openxmlformats.org/officeDocument/2006/relationships/hyperlink" Target="https://maps.google.com/?q=16.741642599068573,-96.71419074851416" TargetMode="External"/><Relationship Id="rId12941" Type="http://schemas.openxmlformats.org/officeDocument/2006/relationships/hyperlink" Target="https://maps.google.com/?q=16.5454872,-97.544218299999997" TargetMode="External"/><Relationship Id="rId7164" Type="http://schemas.openxmlformats.org/officeDocument/2006/relationships/hyperlink" Target="https://maps.google.com/?q=16.2145940169301,-97.959051135131801" TargetMode="External"/><Relationship Id="rId8215" Type="http://schemas.openxmlformats.org/officeDocument/2006/relationships/hyperlink" Target="https://maps.google.com/?q=16.373169,-97.678344999999993" TargetMode="External"/><Relationship Id="rId9613" Type="http://schemas.openxmlformats.org/officeDocument/2006/relationships/hyperlink" Target="https://maps.google.com/?q=17.9979619451909,-96.7444813911045" TargetMode="External"/><Relationship Id="rId10492" Type="http://schemas.openxmlformats.org/officeDocument/2006/relationships/hyperlink" Target="https://maps.google.com/?q=17.8451895728094,-96.743908896686506" TargetMode="External"/><Relationship Id="rId11543" Type="http://schemas.openxmlformats.org/officeDocument/2006/relationships/hyperlink" Target="https://maps.google.com/?q=16.828276,-96.708011999999997" TargetMode="External"/><Relationship Id="rId1602" Type="http://schemas.openxmlformats.org/officeDocument/2006/relationships/hyperlink" Target="https://maps.google.com/?q=17.759596,-96.081389000000001" TargetMode="External"/><Relationship Id="rId10145" Type="http://schemas.openxmlformats.org/officeDocument/2006/relationships/hyperlink" Target="https://maps.google.com/?q=17.1179016123461,-97.498753977985601" TargetMode="External"/><Relationship Id="rId3774" Type="http://schemas.openxmlformats.org/officeDocument/2006/relationships/hyperlink" Target="https://maps.google.com/?q=15.763621,-96.141327000000004" TargetMode="External"/><Relationship Id="rId4825" Type="http://schemas.openxmlformats.org/officeDocument/2006/relationships/hyperlink" Target="https://maps.google.com/?q=16.9100789264162,-96.498398736686596" TargetMode="External"/><Relationship Id="rId13368" Type="http://schemas.openxmlformats.org/officeDocument/2006/relationships/hyperlink" Target="https://maps.google.com/?q=16.3219517248849,-96.672435953373096" TargetMode="External"/><Relationship Id="rId695" Type="http://schemas.openxmlformats.org/officeDocument/2006/relationships/hyperlink" Target="https://maps.google.com/?q=16.059289,-97.388876999999994" TargetMode="External"/><Relationship Id="rId2376" Type="http://schemas.openxmlformats.org/officeDocument/2006/relationships/hyperlink" Target="https://maps.google.com/?q=17.170644462976,-97.829633316463998" TargetMode="External"/><Relationship Id="rId3427" Type="http://schemas.openxmlformats.org/officeDocument/2006/relationships/hyperlink" Target="https://maps.google.com/?q=17.0661703635211,&#160;-96.96251333093542" TargetMode="External"/><Relationship Id="rId6997" Type="http://schemas.openxmlformats.org/officeDocument/2006/relationships/hyperlink" Target="https://maps.google.com/?q=17.0376686176809,-97.295377766709905" TargetMode="External"/><Relationship Id="rId348" Type="http://schemas.openxmlformats.org/officeDocument/2006/relationships/hyperlink" Target="https://maps.google.com/?q=16.053499,-97.405055000000004" TargetMode="External"/><Relationship Id="rId2029" Type="http://schemas.openxmlformats.org/officeDocument/2006/relationships/hyperlink" Target="https://maps.google.com/?q=15.758494139680273,-96.139449667022291" TargetMode="External"/><Relationship Id="rId5599" Type="http://schemas.openxmlformats.org/officeDocument/2006/relationships/hyperlink" Target="https://maps.google.com/?q=17.4602827513714,-96.231526788896403" TargetMode="External"/><Relationship Id="rId9470" Type="http://schemas.openxmlformats.org/officeDocument/2006/relationships/hyperlink" Target="https://maps.google.com/?q=16.511544754069455,-96.78927372303649" TargetMode="External"/><Relationship Id="rId2510" Type="http://schemas.openxmlformats.org/officeDocument/2006/relationships/hyperlink" Target="https://maps.google.com/?q=17.05214877,-96.624289059999995" TargetMode="External"/><Relationship Id="rId8072" Type="http://schemas.openxmlformats.org/officeDocument/2006/relationships/hyperlink" Target="https://maps.google.com/?q=16.4984889714602,-97.380698202897506" TargetMode="External"/><Relationship Id="rId9123" Type="http://schemas.openxmlformats.org/officeDocument/2006/relationships/hyperlink" Target="https://maps.google.com/?q=17.041253,-96.727852999999996" TargetMode="External"/><Relationship Id="rId11053" Type="http://schemas.openxmlformats.org/officeDocument/2006/relationships/hyperlink" Target="https://maps.google.com/?q=17.27771479,-97.370508259999994" TargetMode="External"/><Relationship Id="rId12104" Type="http://schemas.openxmlformats.org/officeDocument/2006/relationships/hyperlink" Target="https://maps.google.com/?q=16.3177116961455,-97.665629410161301" TargetMode="External"/><Relationship Id="rId12451" Type="http://schemas.openxmlformats.org/officeDocument/2006/relationships/hyperlink" Target="https://maps.google.com/?q=17.2210628405996,-97.272460008581007" TargetMode="External"/><Relationship Id="rId13502" Type="http://schemas.openxmlformats.org/officeDocument/2006/relationships/hyperlink" Target="https://maps.google.com/?q=16.662192413701,-97.346027364418006" TargetMode="External"/><Relationship Id="rId1112" Type="http://schemas.openxmlformats.org/officeDocument/2006/relationships/hyperlink" Target="https://maps.google.com/?q=17.090793,-97.494176999999993" TargetMode="External"/><Relationship Id="rId3284" Type="http://schemas.openxmlformats.org/officeDocument/2006/relationships/hyperlink" Target="https://maps.google.com/?q=17.062218,-96.814053000000001" TargetMode="External"/><Relationship Id="rId4682" Type="http://schemas.openxmlformats.org/officeDocument/2006/relationships/hyperlink" Target="https://maps.google.com/?q=17.058954,-96.752435000000006" TargetMode="External"/><Relationship Id="rId5733" Type="http://schemas.openxmlformats.org/officeDocument/2006/relationships/hyperlink" Target="https://maps.google.com/?q=16.3896936923,-96.367424614800001" TargetMode="External"/><Relationship Id="rId4335" Type="http://schemas.openxmlformats.org/officeDocument/2006/relationships/hyperlink" Target="https://maps.google.com/?q=16.0172491906895,-96.618756163367905" TargetMode="External"/><Relationship Id="rId8956" Type="http://schemas.openxmlformats.org/officeDocument/2006/relationships/hyperlink" Target="https://maps.google.com/?q=17.381406229,-96.161317550000007" TargetMode="External"/><Relationship Id="rId10886" Type="http://schemas.openxmlformats.org/officeDocument/2006/relationships/hyperlink" Target="https://maps.google.com/?q=16.3553597957277,-94.478843929476099" TargetMode="External"/><Relationship Id="rId11937" Type="http://schemas.openxmlformats.org/officeDocument/2006/relationships/hyperlink" Target="https://maps.google.com/?q=17.235055783025,-97.914895336376802" TargetMode="External"/><Relationship Id="rId7558" Type="http://schemas.openxmlformats.org/officeDocument/2006/relationships/hyperlink" Target="https://maps.google.com/?q=17.3266922858748,-95.267016479641498" TargetMode="External"/><Relationship Id="rId8609" Type="http://schemas.openxmlformats.org/officeDocument/2006/relationships/hyperlink" Target="https://maps.google.com/?q=17.8869400654916,-96.724702365700907" TargetMode="External"/><Relationship Id="rId10539" Type="http://schemas.openxmlformats.org/officeDocument/2006/relationships/hyperlink" Target="https://maps.google.com/?q=17.1080425826316,-97.796663338623006" TargetMode="External"/><Relationship Id="rId13012" Type="http://schemas.openxmlformats.org/officeDocument/2006/relationships/hyperlink" Target="https://maps.google.com/?q=16.5043241,-97.554555500000006" TargetMode="External"/><Relationship Id="rId2020" Type="http://schemas.openxmlformats.org/officeDocument/2006/relationships/hyperlink" Target="https://maps.google.com/?q=15.758034785333948,-96.140230111962993" TargetMode="External"/><Relationship Id="rId5590" Type="http://schemas.openxmlformats.org/officeDocument/2006/relationships/hyperlink" Target="https://maps.google.com/?q=17.4589214227444,-96.230335457791497" TargetMode="External"/><Relationship Id="rId6641" Type="http://schemas.openxmlformats.org/officeDocument/2006/relationships/hyperlink" Target="https://maps.google.com/?q=16.8430936459739,-97.208820047954603" TargetMode="External"/><Relationship Id="rId4192" Type="http://schemas.openxmlformats.org/officeDocument/2006/relationships/hyperlink" Target="https://maps.google.com/?q=0,&#160;-95.940058" TargetMode="External"/><Relationship Id="rId5243" Type="http://schemas.openxmlformats.org/officeDocument/2006/relationships/hyperlink" Target="https://maps.google.com/?q=15.8383715974403,-96.458307109021703" TargetMode="External"/><Relationship Id="rId9864" Type="http://schemas.openxmlformats.org/officeDocument/2006/relationships/hyperlink" Target="https://maps.google.com/?q=16.6355254978667,-96.851710936807507" TargetMode="External"/><Relationship Id="rId11794" Type="http://schemas.openxmlformats.org/officeDocument/2006/relationships/hyperlink" Target="https://maps.google.com/?q=16.569836170484322,-97.01628975826645" TargetMode="External"/><Relationship Id="rId12845" Type="http://schemas.openxmlformats.org/officeDocument/2006/relationships/hyperlink" Target="https://maps.google.com/?q=17.517145,-97.682443000000006" TargetMode="External"/><Relationship Id="rId78" Type="http://schemas.openxmlformats.org/officeDocument/2006/relationships/hyperlink" Target="https://maps.google.com/?q=15.90851,-96.449565000000007" TargetMode="External"/><Relationship Id="rId1853" Type="http://schemas.openxmlformats.org/officeDocument/2006/relationships/hyperlink" Target="https://maps.google.com/?q=15.770372011231588,-96.15338407824197" TargetMode="External"/><Relationship Id="rId2904" Type="http://schemas.openxmlformats.org/officeDocument/2006/relationships/hyperlink" Target="https://maps.google.com/?q=17.761942,-96.075721999999999" TargetMode="External"/><Relationship Id="rId7068" Type="http://schemas.openxmlformats.org/officeDocument/2006/relationships/hyperlink" Target="https://maps.google.com/?q=16.571921692626,-97.033789081267699" TargetMode="External"/><Relationship Id="rId8119" Type="http://schemas.openxmlformats.org/officeDocument/2006/relationships/hyperlink" Target="https://maps.google.com/?q=17.3552947926545,-96.3050081677316" TargetMode="External"/><Relationship Id="rId8466" Type="http://schemas.openxmlformats.org/officeDocument/2006/relationships/hyperlink" Target="https://maps.google.com/?q=17.1545136670212,-97.532237735522898" TargetMode="External"/><Relationship Id="rId9517" Type="http://schemas.openxmlformats.org/officeDocument/2006/relationships/hyperlink" Target="https://maps.google.com/?q=15.8801397,-97.089251" TargetMode="External"/><Relationship Id="rId10396" Type="http://schemas.openxmlformats.org/officeDocument/2006/relationships/hyperlink" Target="https://maps.google.com/?q=16.4343806351998,-97.064431216106499" TargetMode="External"/><Relationship Id="rId11447" Type="http://schemas.openxmlformats.org/officeDocument/2006/relationships/hyperlink" Target="https://maps.google.com/?q=15.982652,-97.548374999999993" TargetMode="External"/><Relationship Id="rId1506" Type="http://schemas.openxmlformats.org/officeDocument/2006/relationships/hyperlink" Target="https://maps.google.com/?q=17.061054,-96.756463999999994" TargetMode="External"/><Relationship Id="rId10049" Type="http://schemas.openxmlformats.org/officeDocument/2006/relationships/hyperlink" Target="https://maps.google.com/?q=16.9264400870562,-96.368744577875006" TargetMode="External"/><Relationship Id="rId3678" Type="http://schemas.openxmlformats.org/officeDocument/2006/relationships/hyperlink" Target="https://maps.google.com/?q=15.775419,-96.144332" TargetMode="External"/><Relationship Id="rId4729" Type="http://schemas.openxmlformats.org/officeDocument/2006/relationships/hyperlink" Target="https://maps.google.com/?q=17.0587419,-96.743148000000005" TargetMode="External"/><Relationship Id="rId8600" Type="http://schemas.openxmlformats.org/officeDocument/2006/relationships/hyperlink" Target="https://maps.google.com/?q=17.8842756870988,-96.726825354239693" TargetMode="External"/><Relationship Id="rId599" Type="http://schemas.openxmlformats.org/officeDocument/2006/relationships/hyperlink" Target="https://maps.google.com/?q=16.053302,-97.400412000000003" TargetMode="External"/><Relationship Id="rId6151" Type="http://schemas.openxmlformats.org/officeDocument/2006/relationships/hyperlink" Target="https://maps.google.com/?q=16.1402087576605,-96.418831408237395" TargetMode="External"/><Relationship Id="rId7202" Type="http://schemas.openxmlformats.org/officeDocument/2006/relationships/hyperlink" Target="https://maps.google.com/?q=16.1743673494126,-97.965343457533194" TargetMode="External"/><Relationship Id="rId10530" Type="http://schemas.openxmlformats.org/officeDocument/2006/relationships/hyperlink" Target="https://maps.google.com/?q=17.1319160520477,-97.756212057856899" TargetMode="External"/><Relationship Id="rId9374" Type="http://schemas.openxmlformats.org/officeDocument/2006/relationships/hyperlink" Target="https://maps.google.com/?q=16.8196467012465,-95.138402859657106" TargetMode="External"/><Relationship Id="rId13753" Type="http://schemas.openxmlformats.org/officeDocument/2006/relationships/hyperlink" Target="https://maps.google.com/?q=16.53484,-97.49542" TargetMode="External"/><Relationship Id="rId1363" Type="http://schemas.openxmlformats.org/officeDocument/2006/relationships/hyperlink" Target="https://maps.google.com/?q=17.02079444,-96.71796345" TargetMode="External"/><Relationship Id="rId2761" Type="http://schemas.openxmlformats.org/officeDocument/2006/relationships/hyperlink" Target="https://maps.google.com/?q=17.996498,-96.489721000000003" TargetMode="External"/><Relationship Id="rId3812" Type="http://schemas.openxmlformats.org/officeDocument/2006/relationships/hyperlink" Target="https://maps.google.com/?q=15.77341287081371,-96.234379393992441" TargetMode="External"/><Relationship Id="rId9027" Type="http://schemas.openxmlformats.org/officeDocument/2006/relationships/hyperlink" Target="https://maps.google.com/?q=16.053743,-95.483044000000007" TargetMode="External"/><Relationship Id="rId12355" Type="http://schemas.openxmlformats.org/officeDocument/2006/relationships/hyperlink" Target="https://maps.google.com/?q=16.443797099989002,-98.23331638755796" TargetMode="External"/><Relationship Id="rId13406" Type="http://schemas.openxmlformats.org/officeDocument/2006/relationships/hyperlink" Target="https://maps.google.com/?q=16.3274490386656,-96.669746807506201" TargetMode="External"/><Relationship Id="rId733" Type="http://schemas.openxmlformats.org/officeDocument/2006/relationships/hyperlink" Target="https://maps.google.com/?q=15.709957371692507,-96.528358657267262" TargetMode="External"/><Relationship Id="rId1016" Type="http://schemas.openxmlformats.org/officeDocument/2006/relationships/hyperlink" Target="https://maps.google.com/?q=15.696723209688155,-96.523457304884516" TargetMode="External"/><Relationship Id="rId2414" Type="http://schemas.openxmlformats.org/officeDocument/2006/relationships/hyperlink" Target="https://maps.google.com/?q=17.05101402,-96.623947130000005" TargetMode="External"/><Relationship Id="rId5984" Type="http://schemas.openxmlformats.org/officeDocument/2006/relationships/hyperlink" Target="https://maps.google.com/?q=18.15457422990117,-96.575885386377195" TargetMode="External"/><Relationship Id="rId12008" Type="http://schemas.openxmlformats.org/officeDocument/2006/relationships/hyperlink" Target="https://maps.google.com/?q=16.8026326026351,-96.7228143522088" TargetMode="External"/><Relationship Id="rId4586" Type="http://schemas.openxmlformats.org/officeDocument/2006/relationships/hyperlink" Target="https://maps.google.com/?q=16.556702,-96.815528999999998" TargetMode="External"/><Relationship Id="rId5637" Type="http://schemas.openxmlformats.org/officeDocument/2006/relationships/hyperlink" Target="https://maps.google.com/?q=17.56287770624,-96.180586974640804" TargetMode="External"/><Relationship Id="rId3188" Type="http://schemas.openxmlformats.org/officeDocument/2006/relationships/hyperlink" Target="https://maps.google.com/?q=17.035144,-97.051046999999997" TargetMode="External"/><Relationship Id="rId4239" Type="http://schemas.openxmlformats.org/officeDocument/2006/relationships/hyperlink" Target="https://maps.google.com/?q=15.937648,-96.471560999999994" TargetMode="External"/><Relationship Id="rId8110" Type="http://schemas.openxmlformats.org/officeDocument/2006/relationships/hyperlink" Target="https://maps.google.com/?q=17.3551040726026,-96.306278192209007" TargetMode="External"/><Relationship Id="rId10040" Type="http://schemas.openxmlformats.org/officeDocument/2006/relationships/hyperlink" Target="https://maps.google.com/?q=16.9229772916278,-96.358296865179696" TargetMode="External"/><Relationship Id="rId4720" Type="http://schemas.openxmlformats.org/officeDocument/2006/relationships/hyperlink" Target="https://maps.google.com/?q=17.05601879,-96.745880600000007" TargetMode="External"/><Relationship Id="rId13263" Type="http://schemas.openxmlformats.org/officeDocument/2006/relationships/hyperlink" Target="https://maps.google.com/?q=17.1581940471064,-96.746535656745905" TargetMode="External"/><Relationship Id="rId590" Type="http://schemas.openxmlformats.org/officeDocument/2006/relationships/hyperlink" Target="https://maps.google.com/?q=16.054164,-97.399693999999997" TargetMode="External"/><Relationship Id="rId2271" Type="http://schemas.openxmlformats.org/officeDocument/2006/relationships/hyperlink" Target="https://maps.google.com/?q=18.0971375809882,-96.9260935799999" TargetMode="External"/><Relationship Id="rId3322" Type="http://schemas.openxmlformats.org/officeDocument/2006/relationships/hyperlink" Target="https://maps.google.com/?q=17.0650219540749,-96.809030179489895" TargetMode="External"/><Relationship Id="rId243" Type="http://schemas.openxmlformats.org/officeDocument/2006/relationships/hyperlink" Target="https://maps.google.com/?q=16.88306,-97.676590000000004" TargetMode="External"/><Relationship Id="rId5494" Type="http://schemas.openxmlformats.org/officeDocument/2006/relationships/hyperlink" Target="https://maps.google.com/?q=16.3301806872549,-96.492790005826706" TargetMode="External"/><Relationship Id="rId6892" Type="http://schemas.openxmlformats.org/officeDocument/2006/relationships/hyperlink" Target="https://maps.google.com/?q=16.973783,-97.087119999999999" TargetMode="External"/><Relationship Id="rId7943" Type="http://schemas.openxmlformats.org/officeDocument/2006/relationships/hyperlink" Target="https://maps.google.com/?q=16.3253016789298,-96.408312134358596" TargetMode="External"/><Relationship Id="rId10924" Type="http://schemas.openxmlformats.org/officeDocument/2006/relationships/hyperlink" Target="https://maps.google.com/?q=16.1914363246237,-95.216751768895406" TargetMode="External"/><Relationship Id="rId4096" Type="http://schemas.openxmlformats.org/officeDocument/2006/relationships/hyperlink" Target="https://maps.google.com/?q=17.056291,-96.746252900000002" TargetMode="External"/><Relationship Id="rId5147" Type="http://schemas.openxmlformats.org/officeDocument/2006/relationships/hyperlink" Target="https://maps.google.com/?q=17.254618,-96.150932999999995" TargetMode="External"/><Relationship Id="rId6545" Type="http://schemas.openxmlformats.org/officeDocument/2006/relationships/hyperlink" Target="https://maps.google.com/?q=18.13530950282725,-97.0954124939436" TargetMode="External"/><Relationship Id="rId9768" Type="http://schemas.openxmlformats.org/officeDocument/2006/relationships/hyperlink" Target="https://maps.google.com/?q=17.2842809432568,-96.799320467570297" TargetMode="External"/><Relationship Id="rId11698" Type="http://schemas.openxmlformats.org/officeDocument/2006/relationships/hyperlink" Target="https://maps.google.com/?q=17.18171806,-97.710258769999996" TargetMode="External"/><Relationship Id="rId12749" Type="http://schemas.openxmlformats.org/officeDocument/2006/relationships/hyperlink" Target="https://maps.google.com/?q=17.4511358833662,-97.287672248896101" TargetMode="External"/><Relationship Id="rId1757" Type="http://schemas.openxmlformats.org/officeDocument/2006/relationships/hyperlink" Target="https://maps.google.com/?q=18.06129613,-96.847607420000003" TargetMode="External"/><Relationship Id="rId2808" Type="http://schemas.openxmlformats.org/officeDocument/2006/relationships/hyperlink" Target="https://maps.google.com/?q=16.9893474935539,-97.714922289684594" TargetMode="External"/><Relationship Id="rId14171" Type="http://schemas.openxmlformats.org/officeDocument/2006/relationships/hyperlink" Target="https://maps.google.com/?q=15.820260794330242,-96.06891855313421" TargetMode="External"/><Relationship Id="rId4230" Type="http://schemas.openxmlformats.org/officeDocument/2006/relationships/hyperlink" Target="https://maps.google.com/?q=16.430228515048803,-95.01546901471521" TargetMode="External"/><Relationship Id="rId8851" Type="http://schemas.openxmlformats.org/officeDocument/2006/relationships/hyperlink" Target="https://maps.google.com/?q=17.218892,-96.242322999999999" TargetMode="External"/><Relationship Id="rId7453" Type="http://schemas.openxmlformats.org/officeDocument/2006/relationships/hyperlink" Target="https://maps.google.com/?q=16.3242619258426,-96.669853348682494" TargetMode="External"/><Relationship Id="rId8504" Type="http://schemas.openxmlformats.org/officeDocument/2006/relationships/hyperlink" Target="https://maps.google.com/?q=17.1474942032619,-97.542490192290003" TargetMode="External"/><Relationship Id="rId9902" Type="http://schemas.openxmlformats.org/officeDocument/2006/relationships/hyperlink" Target="https://maps.google.com/?q=16.5516260447285,-96.724810053372906" TargetMode="External"/><Relationship Id="rId10781" Type="http://schemas.openxmlformats.org/officeDocument/2006/relationships/hyperlink" Target="https://maps.google.com/?q=16.4606120511556,-94.9991448897228" TargetMode="External"/><Relationship Id="rId11832" Type="http://schemas.openxmlformats.org/officeDocument/2006/relationships/hyperlink" Target="https://maps.google.com/?q=16.99908491932161,-97.2328768503666" TargetMode="External"/><Relationship Id="rId6055" Type="http://schemas.openxmlformats.org/officeDocument/2006/relationships/hyperlink" Target="https://maps.google.com/?q=18.15812024509516,-96.576213893649026" TargetMode="External"/><Relationship Id="rId7106" Type="http://schemas.openxmlformats.org/officeDocument/2006/relationships/hyperlink" Target="https://maps.google.com/?q=17.3575294814773,-97.656980964750602" TargetMode="External"/><Relationship Id="rId10434" Type="http://schemas.openxmlformats.org/officeDocument/2006/relationships/hyperlink" Target="https://maps.google.com/?q=17.0410806,-96.778425799999994" TargetMode="External"/><Relationship Id="rId9278" Type="http://schemas.openxmlformats.org/officeDocument/2006/relationships/hyperlink" Target="https://maps.google.com/?q=16.8668066251211,-95.228907297227906" TargetMode="External"/><Relationship Id="rId13657" Type="http://schemas.openxmlformats.org/officeDocument/2006/relationships/hyperlink" Target="https://maps.google.com/?q=16.640829,-97.495150" TargetMode="External"/><Relationship Id="rId984" Type="http://schemas.openxmlformats.org/officeDocument/2006/relationships/hyperlink" Target="https://maps.google.com/?q=15.690056993440153,-96.516861730629586" TargetMode="External"/><Relationship Id="rId2665" Type="http://schemas.openxmlformats.org/officeDocument/2006/relationships/hyperlink" Target="https://maps.google.com/?q=17.9434587414617,-97.964592033994606" TargetMode="External"/><Relationship Id="rId3716" Type="http://schemas.openxmlformats.org/officeDocument/2006/relationships/hyperlink" Target="https://maps.google.com/?q=15.758087320367228,-96.144920062400843" TargetMode="External"/><Relationship Id="rId12259" Type="http://schemas.openxmlformats.org/officeDocument/2006/relationships/hyperlink" Target="https://maps.google.com/?q=16.4264650116325,-97.231478859999996" TargetMode="External"/><Relationship Id="rId637" Type="http://schemas.openxmlformats.org/officeDocument/2006/relationships/hyperlink" Target="https://maps.google.com/?q=16.054392,-97.395160000000004" TargetMode="External"/><Relationship Id="rId1267" Type="http://schemas.openxmlformats.org/officeDocument/2006/relationships/hyperlink" Target="https://maps.google.com/?q=17.058593,-96.743018000000006" TargetMode="External"/><Relationship Id="rId2318" Type="http://schemas.openxmlformats.org/officeDocument/2006/relationships/hyperlink" Target="https://maps.google.com/?q=18.1069825348392,-96.871977669593804" TargetMode="External"/><Relationship Id="rId5888" Type="http://schemas.openxmlformats.org/officeDocument/2006/relationships/hyperlink" Target="https://maps.google.com/?q=18.145148725605566,-96.566184673773677" TargetMode="External"/><Relationship Id="rId6939" Type="http://schemas.openxmlformats.org/officeDocument/2006/relationships/hyperlink" Target="https://maps.google.com/?q=16.3185065,-95.246473899999998" TargetMode="External"/><Relationship Id="rId8361" Type="http://schemas.openxmlformats.org/officeDocument/2006/relationships/hyperlink" Target="https://maps.google.com/?q=16.8443227756412,-97.198167323841503" TargetMode="External"/><Relationship Id="rId9412" Type="http://schemas.openxmlformats.org/officeDocument/2006/relationships/hyperlink" Target="https://maps.google.com/?q=16.7758386999129,-95.1885966870381" TargetMode="External"/><Relationship Id="rId10291" Type="http://schemas.openxmlformats.org/officeDocument/2006/relationships/hyperlink" Target="https://maps.google.com/?q=16.247775,-95.15" TargetMode="External"/><Relationship Id="rId11342" Type="http://schemas.openxmlformats.org/officeDocument/2006/relationships/hyperlink" Target="https://maps.google.com/?q=16.3597121009684,-94.188485943620606" TargetMode="External"/><Relationship Id="rId12740" Type="http://schemas.openxmlformats.org/officeDocument/2006/relationships/hyperlink" Target="https://maps.google.com/?q=16.5989258299288,-96.958043255770505" TargetMode="External"/><Relationship Id="rId1401" Type="http://schemas.openxmlformats.org/officeDocument/2006/relationships/hyperlink" Target="https://maps.google.com/?q=16.866371,-96.785623000000001" TargetMode="External"/><Relationship Id="rId8014" Type="http://schemas.openxmlformats.org/officeDocument/2006/relationships/hyperlink" Target="https://maps.google.com/?q=18.1644117180119,-96.880124927256006" TargetMode="External"/><Relationship Id="rId3573" Type="http://schemas.openxmlformats.org/officeDocument/2006/relationships/hyperlink" Target="https://maps.google.com/?q=15.77562043340116,-96.136980568055193" TargetMode="External"/><Relationship Id="rId4971" Type="http://schemas.openxmlformats.org/officeDocument/2006/relationships/hyperlink" Target="https://maps.google.com/?q=17.9684652843466,-96.743459325018307" TargetMode="External"/><Relationship Id="rId13167" Type="http://schemas.openxmlformats.org/officeDocument/2006/relationships/hyperlink" Target="https://maps.google.com/?q=16.5679707663221,-97.016749841674098" TargetMode="External"/><Relationship Id="rId494" Type="http://schemas.openxmlformats.org/officeDocument/2006/relationships/hyperlink" Target="https://maps.google.com/?q=16.054818,-97.408604999999994" TargetMode="External"/><Relationship Id="rId2175" Type="http://schemas.openxmlformats.org/officeDocument/2006/relationships/hyperlink" Target="https://maps.google.com/?q=16.9950108637625,-97.233293540886294" TargetMode="External"/><Relationship Id="rId3226" Type="http://schemas.openxmlformats.org/officeDocument/2006/relationships/hyperlink" Target="https://maps.google.com/?q=17.9336195429758,-96.210897761963693" TargetMode="External"/><Relationship Id="rId4624" Type="http://schemas.openxmlformats.org/officeDocument/2006/relationships/hyperlink" Target="https://maps.google.com/?q=17.035775,-96.709637000000001" TargetMode="External"/><Relationship Id="rId147" Type="http://schemas.openxmlformats.org/officeDocument/2006/relationships/hyperlink" Target="https://maps.google.com/?q=17.088631,-97.501046000000002" TargetMode="External"/><Relationship Id="rId6796" Type="http://schemas.openxmlformats.org/officeDocument/2006/relationships/hyperlink" Target="https://maps.google.com/?q=16.6466323803071,-97.037612508962098" TargetMode="External"/><Relationship Id="rId7847" Type="http://schemas.openxmlformats.org/officeDocument/2006/relationships/hyperlink" Target="https://maps.google.com/?q=15.970575,-96.018451999999996" TargetMode="External"/><Relationship Id="rId10828" Type="http://schemas.openxmlformats.org/officeDocument/2006/relationships/hyperlink" Target="https://maps.google.com/?q=16.3905574638997,-94.459003728835995" TargetMode="External"/><Relationship Id="rId5398" Type="http://schemas.openxmlformats.org/officeDocument/2006/relationships/hyperlink" Target="https://maps.google.com/?q=16.0933765949512,-97.6960411165675" TargetMode="External"/><Relationship Id="rId6449" Type="http://schemas.openxmlformats.org/officeDocument/2006/relationships/hyperlink" Target="https://maps.google.com/?q=16.142921,-97.359504000000001" TargetMode="External"/><Relationship Id="rId12250" Type="http://schemas.openxmlformats.org/officeDocument/2006/relationships/hyperlink" Target="https://maps.google.com/?q=16.4245733557788,-97.229563213607193" TargetMode="External"/><Relationship Id="rId13301" Type="http://schemas.openxmlformats.org/officeDocument/2006/relationships/hyperlink" Target="https://maps.google.com/?q=16.1327686659395,-96.325351722209007" TargetMode="External"/><Relationship Id="rId6930" Type="http://schemas.openxmlformats.org/officeDocument/2006/relationships/hyperlink" Target="https://maps.google.com/?q=16.3158692,-95.256028000000001" TargetMode="External"/><Relationship Id="rId4481" Type="http://schemas.openxmlformats.org/officeDocument/2006/relationships/hyperlink" Target="https://maps.google.com/?q=17.1705310640504,-97.307388288360499" TargetMode="External"/><Relationship Id="rId5532" Type="http://schemas.openxmlformats.org/officeDocument/2006/relationships/hyperlink" Target="https://maps.google.com/?q=17.2857906072659,-97.365692559881097" TargetMode="External"/><Relationship Id="rId14075" Type="http://schemas.openxmlformats.org/officeDocument/2006/relationships/hyperlink" Target="https://maps.google.com/?q=17.960053610273008,-98.0679572256846" TargetMode="External"/><Relationship Id="rId3083" Type="http://schemas.openxmlformats.org/officeDocument/2006/relationships/hyperlink" Target="https://maps.google.com/?q=16.9663017266883,-96.936659561775599" TargetMode="External"/><Relationship Id="rId4134" Type="http://schemas.openxmlformats.org/officeDocument/2006/relationships/hyperlink" Target="https://maps.google.com/?q=17.666529,&#160;-95.877652" TargetMode="External"/><Relationship Id="rId7357" Type="http://schemas.openxmlformats.org/officeDocument/2006/relationships/hyperlink" Target="https://maps.google.com/?q=16.566344,-97.651115000000004" TargetMode="External"/><Relationship Id="rId8408" Type="http://schemas.openxmlformats.org/officeDocument/2006/relationships/hyperlink" Target="https://maps.google.com/?q=16.0902891767687,-96.243647084655805" TargetMode="External"/><Relationship Id="rId8755" Type="http://schemas.openxmlformats.org/officeDocument/2006/relationships/hyperlink" Target="https://maps.google.com/?q=17.202363,-96.254355000000004" TargetMode="External"/><Relationship Id="rId9806" Type="http://schemas.openxmlformats.org/officeDocument/2006/relationships/hyperlink" Target="https://maps.google.com/?q=16.6429502943339,-96.749751130416101" TargetMode="External"/><Relationship Id="rId10685" Type="http://schemas.openxmlformats.org/officeDocument/2006/relationships/hyperlink" Target="https://maps.google.com/?q=16.490458179907222,-95.16001503574311" TargetMode="External"/><Relationship Id="rId11736" Type="http://schemas.openxmlformats.org/officeDocument/2006/relationships/hyperlink" Target="https://maps.google.com/?q=17.18908742,-97.711906479999996" TargetMode="External"/><Relationship Id="rId10338" Type="http://schemas.openxmlformats.org/officeDocument/2006/relationships/hyperlink" Target="https://maps.google.com/?q=17.4329159938126,-96.659714077812893" TargetMode="External"/><Relationship Id="rId3967" Type="http://schemas.openxmlformats.org/officeDocument/2006/relationships/hyperlink" Target="https://maps.google.com/?q=17.06147,-96.757279999999994" TargetMode="External"/><Relationship Id="rId4" Type="http://schemas.openxmlformats.org/officeDocument/2006/relationships/hyperlink" Target="https://maps.google.com/?q=17.222632,-97.119123000000002" TargetMode="External"/><Relationship Id="rId888" Type="http://schemas.openxmlformats.org/officeDocument/2006/relationships/hyperlink" Target="https://maps.google.com/?q=17.093707,-97.497219999999999" TargetMode="External"/><Relationship Id="rId2569" Type="http://schemas.openxmlformats.org/officeDocument/2006/relationships/hyperlink" Target="https://maps.google.com/?q=17.050831,-96.704717" TargetMode="External"/><Relationship Id="rId6440" Type="http://schemas.openxmlformats.org/officeDocument/2006/relationships/hyperlink" Target="https://maps.google.com/?q=17.34650034,-97.552781460000006" TargetMode="External"/><Relationship Id="rId5042" Type="http://schemas.openxmlformats.org/officeDocument/2006/relationships/hyperlink" Target="https://maps.google.com/?q=17.251543,-96.156345999999999" TargetMode="External"/><Relationship Id="rId9663" Type="http://schemas.openxmlformats.org/officeDocument/2006/relationships/hyperlink" Target="https://maps.google.com/?q=16.3207620814004,-96.587269635582004" TargetMode="External"/><Relationship Id="rId12991" Type="http://schemas.openxmlformats.org/officeDocument/2006/relationships/hyperlink" Target="https://maps.google.com/?q=16.5020115,-97.557916300000002" TargetMode="External"/><Relationship Id="rId1652" Type="http://schemas.openxmlformats.org/officeDocument/2006/relationships/hyperlink" Target="https://maps.google.com/?q=16.8935727177734,-96.934398410698606" TargetMode="External"/><Relationship Id="rId8265" Type="http://schemas.openxmlformats.org/officeDocument/2006/relationships/hyperlink" Target="https://maps.google.com/?q=17.02684,&#160;-96.758963" TargetMode="External"/><Relationship Id="rId9316" Type="http://schemas.openxmlformats.org/officeDocument/2006/relationships/hyperlink" Target="https://maps.google.com/?q=16.8156707579911,-95.141086442096594" TargetMode="External"/><Relationship Id="rId10195" Type="http://schemas.openxmlformats.org/officeDocument/2006/relationships/hyperlink" Target="https://maps.google.com/?q=17.218568011832335,-97.33135207347514" TargetMode="External"/><Relationship Id="rId11246" Type="http://schemas.openxmlformats.org/officeDocument/2006/relationships/hyperlink" Target="https://maps.google.com/?q=17.8630587895751,-96.308027416849399" TargetMode="External"/><Relationship Id="rId11593" Type="http://schemas.openxmlformats.org/officeDocument/2006/relationships/hyperlink" Target="https://maps.google.com/?q=16.83507156684,-96.723689953372897" TargetMode="External"/><Relationship Id="rId12644" Type="http://schemas.openxmlformats.org/officeDocument/2006/relationships/hyperlink" Target="https://maps.google.com/?q=17.119013,-96.850568999999993" TargetMode="External"/><Relationship Id="rId1305" Type="http://schemas.openxmlformats.org/officeDocument/2006/relationships/hyperlink" Target="https://maps.google.com/?q=17.080069,-96.725792" TargetMode="External"/><Relationship Id="rId2703" Type="http://schemas.openxmlformats.org/officeDocument/2006/relationships/hyperlink" Target="https://maps.google.com/?q=15.9282353630357,-96.422990856674403" TargetMode="External"/><Relationship Id="rId4875" Type="http://schemas.openxmlformats.org/officeDocument/2006/relationships/hyperlink" Target="https://maps.google.com/?q=16.7930140599401,-96.386749392435405" TargetMode="External"/><Relationship Id="rId5926" Type="http://schemas.openxmlformats.org/officeDocument/2006/relationships/hyperlink" Target="https://maps.google.com/?q=18.151878467557392,-96.569868463291982" TargetMode="External"/><Relationship Id="rId11" Type="http://schemas.openxmlformats.org/officeDocument/2006/relationships/hyperlink" Target="https://maps.google.com/?q=17.222812,-97.120974000000004" TargetMode="External"/><Relationship Id="rId398" Type="http://schemas.openxmlformats.org/officeDocument/2006/relationships/hyperlink" Target="https://maps.google.com/?q=16.051959,-97.414291000000006" TargetMode="External"/><Relationship Id="rId2079" Type="http://schemas.openxmlformats.org/officeDocument/2006/relationships/hyperlink" Target="https://maps.google.com/?q=15.773167756168396,-96.234280123749244" TargetMode="External"/><Relationship Id="rId3477" Type="http://schemas.openxmlformats.org/officeDocument/2006/relationships/hyperlink" Target="https://maps.google.com/?q=16.74664,-97.267313000000001" TargetMode="External"/><Relationship Id="rId4528" Type="http://schemas.openxmlformats.org/officeDocument/2006/relationships/hyperlink" Target="https://maps.google.com/?q=17.1819641071462,-97.304999087887396" TargetMode="External"/><Relationship Id="rId7001" Type="http://schemas.openxmlformats.org/officeDocument/2006/relationships/hyperlink" Target="https://maps.google.com/?q=17.0380139196057,-97.296273580354907" TargetMode="External"/><Relationship Id="rId13552" Type="http://schemas.openxmlformats.org/officeDocument/2006/relationships/hyperlink" Target="https://maps.google.com/?q=17.239454246838115,-97.448796463789" TargetMode="External"/><Relationship Id="rId2560" Type="http://schemas.openxmlformats.org/officeDocument/2006/relationships/hyperlink" Target="https://maps.google.com/?q=18.1296455731815,-96.8926343721461" TargetMode="External"/><Relationship Id="rId3611" Type="http://schemas.openxmlformats.org/officeDocument/2006/relationships/hyperlink" Target="https://maps.google.com/?q=15.776778141685979,-96.137113531595531" TargetMode="External"/><Relationship Id="rId9173" Type="http://schemas.openxmlformats.org/officeDocument/2006/relationships/hyperlink" Target="https://maps.google.com/?q=17.372887206412,-96.300688014471604" TargetMode="External"/><Relationship Id="rId12154" Type="http://schemas.openxmlformats.org/officeDocument/2006/relationships/hyperlink" Target="https://maps.google.com/?q=16.335651,-98.447069" TargetMode="External"/><Relationship Id="rId13205" Type="http://schemas.openxmlformats.org/officeDocument/2006/relationships/hyperlink" Target="https://maps.google.com/?q=17.3373840808803,-97.375673353136094" TargetMode="External"/><Relationship Id="rId532" Type="http://schemas.openxmlformats.org/officeDocument/2006/relationships/hyperlink" Target="https://maps.google.com/?q=16.052697,-97.402968000000001" TargetMode="External"/><Relationship Id="rId1162" Type="http://schemas.openxmlformats.org/officeDocument/2006/relationships/hyperlink" Target="https://maps.google.com/?q=17.801579,-96.959978" TargetMode="External"/><Relationship Id="rId2213" Type="http://schemas.openxmlformats.org/officeDocument/2006/relationships/hyperlink" Target="https://maps.google.com/?q=16.9877482706052,-97.231793328092394" TargetMode="External"/><Relationship Id="rId5783" Type="http://schemas.openxmlformats.org/officeDocument/2006/relationships/hyperlink" Target="https://maps.google.com/?q=17.2998701244578,-97.489367906745898" TargetMode="External"/><Relationship Id="rId4385" Type="http://schemas.openxmlformats.org/officeDocument/2006/relationships/hyperlink" Target="https://maps.google.com/?q=15.99820222,-96.680298230000005" TargetMode="External"/><Relationship Id="rId5436" Type="http://schemas.openxmlformats.org/officeDocument/2006/relationships/hyperlink" Target="https://maps.google.com/?q=16.0059761271864,-97.451314698836001" TargetMode="External"/><Relationship Id="rId6834" Type="http://schemas.openxmlformats.org/officeDocument/2006/relationships/hyperlink" Target="https://maps.google.com/?q=17.0070572,-96.976006799999993" TargetMode="External"/><Relationship Id="rId4038" Type="http://schemas.openxmlformats.org/officeDocument/2006/relationships/hyperlink" Target="https://maps.google.com/?q=17.080069,-96.725791999999998" TargetMode="External"/><Relationship Id="rId11987" Type="http://schemas.openxmlformats.org/officeDocument/2006/relationships/hyperlink" Target="https://maps.google.com/?q=16.8006642864959,-96.717798294477106" TargetMode="External"/><Relationship Id="rId8659" Type="http://schemas.openxmlformats.org/officeDocument/2006/relationships/hyperlink" Target="https://maps.google.com/?q=17.0342474072496,-97.804954835655906" TargetMode="External"/><Relationship Id="rId10589" Type="http://schemas.openxmlformats.org/officeDocument/2006/relationships/hyperlink" Target="https://maps.google.com/?q=17.144128703292,-97.770427929524402" TargetMode="External"/><Relationship Id="rId13062" Type="http://schemas.openxmlformats.org/officeDocument/2006/relationships/hyperlink" Target="https://maps.google.com/?q=16.5629173,-97.531846999999999" TargetMode="External"/><Relationship Id="rId14113" Type="http://schemas.openxmlformats.org/officeDocument/2006/relationships/hyperlink" Target="https://maps.google.com/?q=17.828941,-98.004806" TargetMode="External"/><Relationship Id="rId2070" Type="http://schemas.openxmlformats.org/officeDocument/2006/relationships/hyperlink" Target="https://maps.google.com/?q=15.772017284023473,-96.246821523617157" TargetMode="External"/><Relationship Id="rId3121" Type="http://schemas.openxmlformats.org/officeDocument/2006/relationships/hyperlink" Target="https://maps.google.com/?q=16.582489,-97.443314000000001" TargetMode="External"/><Relationship Id="rId6691" Type="http://schemas.openxmlformats.org/officeDocument/2006/relationships/hyperlink" Target="https://maps.google.com/?q=16.9383623973586,-96.966425423281905" TargetMode="External"/><Relationship Id="rId7742" Type="http://schemas.openxmlformats.org/officeDocument/2006/relationships/hyperlink" Target="https://maps.google.com/?q=16.6318001210474,-96.798769763998806" TargetMode="External"/><Relationship Id="rId5293" Type="http://schemas.openxmlformats.org/officeDocument/2006/relationships/hyperlink" Target="https://maps.google.com/?q=15.715269399553,-96.4713721652305" TargetMode="External"/><Relationship Id="rId6344" Type="http://schemas.openxmlformats.org/officeDocument/2006/relationships/hyperlink" Target="https://maps.google.com/?q=18.062128,-96.405422999999999" TargetMode="External"/><Relationship Id="rId10723" Type="http://schemas.openxmlformats.org/officeDocument/2006/relationships/hyperlink" Target="https://maps.google.com/?q=17.806621,-97.776161999999999" TargetMode="External"/><Relationship Id="rId9567" Type="http://schemas.openxmlformats.org/officeDocument/2006/relationships/hyperlink" Target="https://maps.google.com/?q=17.360029,-96.294105999999999" TargetMode="External"/><Relationship Id="rId12895" Type="http://schemas.openxmlformats.org/officeDocument/2006/relationships/hyperlink" Target="https://maps.google.com/?q=16.505292,-97.511588000000003" TargetMode="External"/><Relationship Id="rId13946" Type="http://schemas.openxmlformats.org/officeDocument/2006/relationships/hyperlink" Target="https://maps.google.com/?q=17.043526,-97.946189" TargetMode="External"/><Relationship Id="rId2954" Type="http://schemas.openxmlformats.org/officeDocument/2006/relationships/hyperlink" Target="https://maps.google.com/?q=17.08660085,-96.662309489999998" TargetMode="External"/><Relationship Id="rId8169" Type="http://schemas.openxmlformats.org/officeDocument/2006/relationships/hyperlink" Target="https://maps.google.com/?q=17.9250100717413,-96.187519060262403" TargetMode="External"/><Relationship Id="rId11497" Type="http://schemas.openxmlformats.org/officeDocument/2006/relationships/hyperlink" Target="https://maps.google.com/?q=16.6083872517212,-96.847235592932506" TargetMode="External"/><Relationship Id="rId12548" Type="http://schemas.openxmlformats.org/officeDocument/2006/relationships/hyperlink" Target="https://maps.google.com/?q=16.9720869286573,-97.914357027898902" TargetMode="External"/><Relationship Id="rId926" Type="http://schemas.openxmlformats.org/officeDocument/2006/relationships/hyperlink" Target="https://maps.google.com/?q=15.71104455684405,-96.529755568765012" TargetMode="External"/><Relationship Id="rId1556" Type="http://schemas.openxmlformats.org/officeDocument/2006/relationships/hyperlink" Target="https://maps.google.com/?q=16.494170204338545,-97.83826774983864" TargetMode="External"/><Relationship Id="rId2607" Type="http://schemas.openxmlformats.org/officeDocument/2006/relationships/hyperlink" Target="https://maps.google.com/?q=18.228342,-96.278585000000007" TargetMode="External"/><Relationship Id="rId10099" Type="http://schemas.openxmlformats.org/officeDocument/2006/relationships/hyperlink" Target="https://maps.google.com/?q=17.0196034631898,-96.123976878895505" TargetMode="External"/><Relationship Id="rId1209" Type="http://schemas.openxmlformats.org/officeDocument/2006/relationships/hyperlink" Target="https://maps.google.com/?q=17.159049,-97.960110" TargetMode="External"/><Relationship Id="rId4779" Type="http://schemas.openxmlformats.org/officeDocument/2006/relationships/hyperlink" Target="https://maps.google.com/?q=17.9577792451166,-96.659491023313507" TargetMode="External"/><Relationship Id="rId8650" Type="http://schemas.openxmlformats.org/officeDocument/2006/relationships/hyperlink" Target="https://maps.google.com/?q=17.0313596834679,-97.802649092217706" TargetMode="External"/><Relationship Id="rId9701" Type="http://schemas.openxmlformats.org/officeDocument/2006/relationships/hyperlink" Target="https://maps.google.com/?q=16.4227132271505,-95.024203422458996" TargetMode="External"/><Relationship Id="rId10580" Type="http://schemas.openxmlformats.org/officeDocument/2006/relationships/hyperlink" Target="https://maps.google.com/?q=17.0991678753884,-97.772609084656096" TargetMode="External"/><Relationship Id="rId11631" Type="http://schemas.openxmlformats.org/officeDocument/2006/relationships/hyperlink" Target="https://maps.google.com/?q=16.841309480173,-96.723168822090102" TargetMode="External"/><Relationship Id="rId7252" Type="http://schemas.openxmlformats.org/officeDocument/2006/relationships/hyperlink" Target="https://maps.google.com/?q=16.0975024825181,-97.924217670000402" TargetMode="External"/><Relationship Id="rId8303" Type="http://schemas.openxmlformats.org/officeDocument/2006/relationships/hyperlink" Target="https://maps.google.com/?q=16.538307,-98.035203999999993" TargetMode="External"/><Relationship Id="rId10233" Type="http://schemas.openxmlformats.org/officeDocument/2006/relationships/hyperlink" Target="https://maps.google.com/?q=17.194751767310375,-97.40183373788227" TargetMode="External"/><Relationship Id="rId3862" Type="http://schemas.openxmlformats.org/officeDocument/2006/relationships/hyperlink" Target="https://maps.google.com/?q=17.0945804530325,-95.926635714514006" TargetMode="External"/><Relationship Id="rId13456" Type="http://schemas.openxmlformats.org/officeDocument/2006/relationships/hyperlink" Target="https://maps.google.com/?q=17.6861707324155,-97.035074282417497" TargetMode="External"/><Relationship Id="rId783" Type="http://schemas.openxmlformats.org/officeDocument/2006/relationships/hyperlink" Target="https://maps.google.com/?q=15.688785855998043,-96.514621439944847" TargetMode="External"/><Relationship Id="rId2464" Type="http://schemas.openxmlformats.org/officeDocument/2006/relationships/hyperlink" Target="https://maps.google.com/?q=17.05168774,-96.624491250000005" TargetMode="External"/><Relationship Id="rId3515" Type="http://schemas.openxmlformats.org/officeDocument/2006/relationships/hyperlink" Target="https://maps.google.com/?q=15.775933355953166,-96.151180052314857" TargetMode="External"/><Relationship Id="rId4913" Type="http://schemas.openxmlformats.org/officeDocument/2006/relationships/hyperlink" Target="https://maps.google.com/?q=18.031859,-96.666214999999994" TargetMode="External"/><Relationship Id="rId9077" Type="http://schemas.openxmlformats.org/officeDocument/2006/relationships/hyperlink" Target="https://maps.google.com/?q=16.060912,-95.496533999999997" TargetMode="External"/><Relationship Id="rId12058" Type="http://schemas.openxmlformats.org/officeDocument/2006/relationships/hyperlink" Target="https://maps.google.com/?q=16.110831,-97.204767000000004" TargetMode="External"/><Relationship Id="rId13109" Type="http://schemas.openxmlformats.org/officeDocument/2006/relationships/hyperlink" Target="https://maps.google.com/?q=16.565882,-97.534224399999999" TargetMode="External"/><Relationship Id="rId436" Type="http://schemas.openxmlformats.org/officeDocument/2006/relationships/hyperlink" Target="https://maps.google.com/?q=16.053417,-97.409794000000005" TargetMode="External"/><Relationship Id="rId1066" Type="http://schemas.openxmlformats.org/officeDocument/2006/relationships/hyperlink" Target="https://maps.google.com/?q=17.090118,-97.492348000000007" TargetMode="External"/><Relationship Id="rId2117" Type="http://schemas.openxmlformats.org/officeDocument/2006/relationships/hyperlink" Target="https://maps.google.com/?q=15.76174,-96.143851999999995" TargetMode="External"/><Relationship Id="rId4289" Type="http://schemas.openxmlformats.org/officeDocument/2006/relationships/hyperlink" Target="https://maps.google.com/?q=16.01216687,-96.660528470000003" TargetMode="External"/><Relationship Id="rId5687" Type="http://schemas.openxmlformats.org/officeDocument/2006/relationships/hyperlink" Target="https://maps.google.com/?q=16.434789,-97.902372" TargetMode="External"/><Relationship Id="rId6738" Type="http://schemas.openxmlformats.org/officeDocument/2006/relationships/hyperlink" Target="https://maps.google.com/?q=15.8494003969,-96.647017162200001" TargetMode="External"/><Relationship Id="rId8160" Type="http://schemas.openxmlformats.org/officeDocument/2006/relationships/hyperlink" Target="https://maps.google.com/?q=17.3574359816079,-96.3010979808668" TargetMode="External"/><Relationship Id="rId9211" Type="http://schemas.openxmlformats.org/officeDocument/2006/relationships/hyperlink" Target="https://maps.google.com/?q=17.3749747786431,-96.303333707962196" TargetMode="External"/><Relationship Id="rId10090" Type="http://schemas.openxmlformats.org/officeDocument/2006/relationships/hyperlink" Target="https://maps.google.com/?q=16.9965690990608,-96.114515221693907" TargetMode="External"/><Relationship Id="rId11141" Type="http://schemas.openxmlformats.org/officeDocument/2006/relationships/hyperlink" Target="https://maps.google.com/?q=16.836589,-96.012334999999993" TargetMode="External"/><Relationship Id="rId1200" Type="http://schemas.openxmlformats.org/officeDocument/2006/relationships/hyperlink" Target="https://maps.google.com/?q=16.327116,-97.909515" TargetMode="External"/><Relationship Id="rId4770" Type="http://schemas.openxmlformats.org/officeDocument/2006/relationships/hyperlink" Target="https://maps.google.com/?q=17.9570159668108,-96.655813813491804" TargetMode="External"/><Relationship Id="rId5821" Type="http://schemas.openxmlformats.org/officeDocument/2006/relationships/hyperlink" Target="https://maps.google.com/?q=16.362825,-97.046183999999997" TargetMode="External"/><Relationship Id="rId3372" Type="http://schemas.openxmlformats.org/officeDocument/2006/relationships/hyperlink" Target="https://maps.google.com/?q=17.0696073517947,%20%20-97.78895173785705" TargetMode="External"/><Relationship Id="rId4423" Type="http://schemas.openxmlformats.org/officeDocument/2006/relationships/hyperlink" Target="https://maps.google.com/?q=16.00750616,-96.678603100000004" TargetMode="External"/><Relationship Id="rId7993" Type="http://schemas.openxmlformats.org/officeDocument/2006/relationships/hyperlink" Target="https://maps.google.com/?q=18.1634407341877,-96.874520481720197" TargetMode="External"/><Relationship Id="rId14017" Type="http://schemas.openxmlformats.org/officeDocument/2006/relationships/hyperlink" Target="https://maps.google.com/?q=17.333003,-96.492542" TargetMode="External"/><Relationship Id="rId293" Type="http://schemas.openxmlformats.org/officeDocument/2006/relationships/hyperlink" Target="https://maps.google.com/?q=16.88001,-97.673090000000002" TargetMode="External"/><Relationship Id="rId3025" Type="http://schemas.openxmlformats.org/officeDocument/2006/relationships/hyperlink" Target="https://maps.google.com/?q=16.9392614,-97.008467199999998" TargetMode="External"/><Relationship Id="rId6595" Type="http://schemas.openxmlformats.org/officeDocument/2006/relationships/hyperlink" Target="https://maps.google.com/?q=17.088277,-96.052214" TargetMode="External"/><Relationship Id="rId7646" Type="http://schemas.openxmlformats.org/officeDocument/2006/relationships/hyperlink" Target="https://maps.google.com/?q=17.2316832258028,-95.052082633614006" TargetMode="External"/><Relationship Id="rId10974" Type="http://schemas.openxmlformats.org/officeDocument/2006/relationships/hyperlink" Target="https://maps.google.com/?q=16.2200794943227,-95.214558417790997" TargetMode="External"/><Relationship Id="rId5197" Type="http://schemas.openxmlformats.org/officeDocument/2006/relationships/hyperlink" Target="https://maps.google.com/?q=17.316946,-95.972487999999998" TargetMode="External"/><Relationship Id="rId6248" Type="http://schemas.openxmlformats.org/officeDocument/2006/relationships/hyperlink" Target="https://maps.google.com/?q=16.375413,-97.274124999999998" TargetMode="External"/><Relationship Id="rId10627" Type="http://schemas.openxmlformats.org/officeDocument/2006/relationships/hyperlink" Target="https://maps.google.com/?q=17.1172159609505,-97.7806378587278" TargetMode="External"/><Relationship Id="rId12799" Type="http://schemas.openxmlformats.org/officeDocument/2006/relationships/hyperlink" Target="https://maps.google.com/?q=16.111858,-97.288816999999995" TargetMode="External"/><Relationship Id="rId13100" Type="http://schemas.openxmlformats.org/officeDocument/2006/relationships/hyperlink" Target="https://maps.google.com/?q=16.5653868,-97.531784569999999" TargetMode="External"/><Relationship Id="rId2858" Type="http://schemas.openxmlformats.org/officeDocument/2006/relationships/hyperlink" Target="https://maps.google.com/?q=16.9658598732289,-97.731408235616598" TargetMode="External"/><Relationship Id="rId3909" Type="http://schemas.openxmlformats.org/officeDocument/2006/relationships/hyperlink" Target="https://maps.google.com/?q=17.4502814,-97.2253456" TargetMode="External"/><Relationship Id="rId4280" Type="http://schemas.openxmlformats.org/officeDocument/2006/relationships/hyperlink" Target="https://maps.google.com/?q=16.0602239,-96.608793509999998" TargetMode="External"/><Relationship Id="rId5331" Type="http://schemas.openxmlformats.org/officeDocument/2006/relationships/hyperlink" Target="https://maps.google.com/?q=15.8084859947699,-96.357316383994998" TargetMode="External"/><Relationship Id="rId9952" Type="http://schemas.openxmlformats.org/officeDocument/2006/relationships/hyperlink" Target="https://maps.google.com/?q=16.7142219226327,-96.710522746032694" TargetMode="External"/><Relationship Id="rId1941" Type="http://schemas.openxmlformats.org/officeDocument/2006/relationships/hyperlink" Target="https://maps.google.com/?q=15.777437031361409,-96.137085626950324" TargetMode="External"/><Relationship Id="rId8554" Type="http://schemas.openxmlformats.org/officeDocument/2006/relationships/hyperlink" Target="https://maps.google.com/?q=16.9247839082996,-96.610186938657705" TargetMode="External"/><Relationship Id="rId9605" Type="http://schemas.openxmlformats.org/officeDocument/2006/relationships/hyperlink" Target="https://maps.google.com/?q=17.9968461979806,-96.744673378252202" TargetMode="External"/><Relationship Id="rId10484" Type="http://schemas.openxmlformats.org/officeDocument/2006/relationships/hyperlink" Target="https://maps.google.com/?q=17.8446125127527,-96.745420248771495" TargetMode="External"/><Relationship Id="rId11535" Type="http://schemas.openxmlformats.org/officeDocument/2006/relationships/hyperlink" Target="https://maps.google.com/?q=16.6168928932167,-96.854707130158801" TargetMode="External"/><Relationship Id="rId11882" Type="http://schemas.openxmlformats.org/officeDocument/2006/relationships/hyperlink" Target="https://maps.google.com/?q=17.505351298704763,-97.26979078769682" TargetMode="External"/><Relationship Id="rId12933" Type="http://schemas.openxmlformats.org/officeDocument/2006/relationships/hyperlink" Target="https://maps.google.com/?q=16.559656,-97.411634000000006" TargetMode="External"/><Relationship Id="rId7156" Type="http://schemas.openxmlformats.org/officeDocument/2006/relationships/hyperlink" Target="https://maps.google.com/?q=16.2061977354733,-97.921821727553294" TargetMode="External"/><Relationship Id="rId8207" Type="http://schemas.openxmlformats.org/officeDocument/2006/relationships/hyperlink" Target="https://maps.google.com/?q=16.37186,-97.678617000000003" TargetMode="External"/><Relationship Id="rId10137" Type="http://schemas.openxmlformats.org/officeDocument/2006/relationships/hyperlink" Target="https://maps.google.com/?q=17.0957918722809,-97.498024924061397" TargetMode="External"/><Relationship Id="rId687" Type="http://schemas.openxmlformats.org/officeDocument/2006/relationships/hyperlink" Target="https://maps.google.com/?q=16.060273,-97.386354999999995" TargetMode="External"/><Relationship Id="rId2368" Type="http://schemas.openxmlformats.org/officeDocument/2006/relationships/hyperlink" Target="https://maps.google.com/?q=17.0992231737075,-97.853357528767404" TargetMode="External"/><Relationship Id="rId3766" Type="http://schemas.openxmlformats.org/officeDocument/2006/relationships/hyperlink" Target="https://maps.google.com/?q=15.763036,-96.142818000000005" TargetMode="External"/><Relationship Id="rId4817" Type="http://schemas.openxmlformats.org/officeDocument/2006/relationships/hyperlink" Target="https://maps.google.com/?q=16.9072828089275,-96.493135568343206" TargetMode="External"/><Relationship Id="rId3419" Type="http://schemas.openxmlformats.org/officeDocument/2006/relationships/hyperlink" Target="https://maps.google.com/?q=16.193417,-96.630330999999998" TargetMode="External"/><Relationship Id="rId6989" Type="http://schemas.openxmlformats.org/officeDocument/2006/relationships/hyperlink" Target="https://maps.google.com/?q=17.0355275974329,-97.297972613549305" TargetMode="External"/><Relationship Id="rId12790" Type="http://schemas.openxmlformats.org/officeDocument/2006/relationships/hyperlink" Target="https://maps.google.com/?q=16.2347279772875,-97.293068060272404" TargetMode="External"/><Relationship Id="rId13841" Type="http://schemas.openxmlformats.org/officeDocument/2006/relationships/hyperlink" Target="https://maps.google.com/?q=17.091598,-97.784073000000006" TargetMode="External"/><Relationship Id="rId3900" Type="http://schemas.openxmlformats.org/officeDocument/2006/relationships/hyperlink" Target="https://maps.google.com/?q=17.14029230711287,-96.05050166091969" TargetMode="External"/><Relationship Id="rId9462" Type="http://schemas.openxmlformats.org/officeDocument/2006/relationships/hyperlink" Target="https://maps.google.com/?q=15.8332824918072,-96.666711104910803" TargetMode="External"/><Relationship Id="rId11392" Type="http://schemas.openxmlformats.org/officeDocument/2006/relationships/hyperlink" Target="https://maps.google.com/?q=17.1925500824125,-97.891736037572002" TargetMode="External"/><Relationship Id="rId12443" Type="http://schemas.openxmlformats.org/officeDocument/2006/relationships/hyperlink" Target="https://maps.google.com/?q=17.2206962657488,-97.270636811986904" TargetMode="External"/><Relationship Id="rId821" Type="http://schemas.openxmlformats.org/officeDocument/2006/relationships/hyperlink" Target="https://maps.google.com/?q=15.700170840833536,-96.524879505370137" TargetMode="External"/><Relationship Id="rId1451" Type="http://schemas.openxmlformats.org/officeDocument/2006/relationships/hyperlink" Target="https://maps.google.com/?q=17.005213197575458,-95.02868469848633" TargetMode="External"/><Relationship Id="rId2502" Type="http://schemas.openxmlformats.org/officeDocument/2006/relationships/hyperlink" Target="https://maps.google.com/?q=17.05210932,-96.623874499999999" TargetMode="External"/><Relationship Id="rId8064" Type="http://schemas.openxmlformats.org/officeDocument/2006/relationships/hyperlink" Target="https://maps.google.com/?q=16.4972047676514,-97.3796142598366" TargetMode="External"/><Relationship Id="rId9115" Type="http://schemas.openxmlformats.org/officeDocument/2006/relationships/hyperlink" Target="https://maps.google.com/?q=17.040526,-96.728665000000007" TargetMode="External"/><Relationship Id="rId11045" Type="http://schemas.openxmlformats.org/officeDocument/2006/relationships/hyperlink" Target="https://maps.google.com/?q=17.536758,-95.884944" TargetMode="External"/><Relationship Id="rId1104" Type="http://schemas.openxmlformats.org/officeDocument/2006/relationships/hyperlink" Target="https://maps.google.com/?q=17.223135,-97.117632" TargetMode="External"/><Relationship Id="rId4674" Type="http://schemas.openxmlformats.org/officeDocument/2006/relationships/hyperlink" Target="https://maps.google.com/?q=17.31732258179546,-96.48458185751169" TargetMode="External"/><Relationship Id="rId5725" Type="http://schemas.openxmlformats.org/officeDocument/2006/relationships/hyperlink" Target="https://maps.google.com/?q=16.385224938,-96.365396184700003" TargetMode="External"/><Relationship Id="rId3276" Type="http://schemas.openxmlformats.org/officeDocument/2006/relationships/hyperlink" Target="https://maps.google.com/?q=17.0612943181643,-96.823499782795807" TargetMode="External"/><Relationship Id="rId4327" Type="http://schemas.openxmlformats.org/officeDocument/2006/relationships/hyperlink" Target="https://maps.google.com/?q=16.0148095810341,-96.613445335958303" TargetMode="External"/><Relationship Id="rId197" Type="http://schemas.openxmlformats.org/officeDocument/2006/relationships/hyperlink" Target="https://maps.google.com/?q=17.095035,-97.494039000000001" TargetMode="External"/><Relationship Id="rId6499" Type="http://schemas.openxmlformats.org/officeDocument/2006/relationships/hyperlink" Target="https://maps.google.com/?q=17.2067844945662,-97.570763526399702" TargetMode="External"/><Relationship Id="rId7897" Type="http://schemas.openxmlformats.org/officeDocument/2006/relationships/hyperlink" Target="https://maps.google.com/?q=16.3191003984005,-96.410058898147497" TargetMode="External"/><Relationship Id="rId8948" Type="http://schemas.openxmlformats.org/officeDocument/2006/relationships/hyperlink" Target="https://maps.google.com/?q=17.381321887,-96.161146092999999" TargetMode="External"/><Relationship Id="rId10878" Type="http://schemas.openxmlformats.org/officeDocument/2006/relationships/hyperlink" Target="https://maps.google.com/?q=16.3477314859503,-94.4824049092273" TargetMode="External"/><Relationship Id="rId11929" Type="http://schemas.openxmlformats.org/officeDocument/2006/relationships/hyperlink" Target="https://maps.google.com/?q=16.3317815572283,-95.239795642674906" TargetMode="External"/><Relationship Id="rId13351" Type="http://schemas.openxmlformats.org/officeDocument/2006/relationships/hyperlink" Target="https://maps.google.com/?q=16.3173549641744,-96.668685188955806" TargetMode="External"/><Relationship Id="rId3410" Type="http://schemas.openxmlformats.org/officeDocument/2006/relationships/hyperlink" Target="https://maps.google.com/?q=17.8180636,-96.243409700000001" TargetMode="External"/><Relationship Id="rId6980" Type="http://schemas.openxmlformats.org/officeDocument/2006/relationships/hyperlink" Target="https://maps.google.com/?q=17.095761,-97.498118000000005" TargetMode="External"/><Relationship Id="rId13004" Type="http://schemas.openxmlformats.org/officeDocument/2006/relationships/hyperlink" Target="https://maps.google.com/?q=16.5033727,-97.560510199999996" TargetMode="External"/><Relationship Id="rId331" Type="http://schemas.openxmlformats.org/officeDocument/2006/relationships/hyperlink" Target="https://maps.google.com/?q=16.054417,-97.398411999999993" TargetMode="External"/><Relationship Id="rId2012" Type="http://schemas.openxmlformats.org/officeDocument/2006/relationships/hyperlink" Target="https://maps.google.com/?q=15.757835129701183,-96.14566029824114" TargetMode="External"/><Relationship Id="rId5582" Type="http://schemas.openxmlformats.org/officeDocument/2006/relationships/hyperlink" Target="https://maps.google.com/?q=17.4449431547496,-96.186643324621102" TargetMode="External"/><Relationship Id="rId6633" Type="http://schemas.openxmlformats.org/officeDocument/2006/relationships/hyperlink" Target="https://maps.google.com/?q=16.518154,-98.027011" TargetMode="External"/><Relationship Id="rId4184" Type="http://schemas.openxmlformats.org/officeDocument/2006/relationships/hyperlink" Target="https://maps.google.com/?q=16.391197,-98.112099000000001" TargetMode="External"/><Relationship Id="rId5235" Type="http://schemas.openxmlformats.org/officeDocument/2006/relationships/hyperlink" Target="https://maps.google.com/?q=17.2889257122051,-97.374544454418" TargetMode="External"/><Relationship Id="rId9856" Type="http://schemas.openxmlformats.org/officeDocument/2006/relationships/hyperlink" Target="https://maps.google.com/?q=16.634832442697,-96.850454087791107" TargetMode="External"/><Relationship Id="rId8458" Type="http://schemas.openxmlformats.org/officeDocument/2006/relationships/hyperlink" Target="https://maps.google.com/?q=17.1508437497572,-97.530168640000298" TargetMode="External"/><Relationship Id="rId9509" Type="http://schemas.openxmlformats.org/officeDocument/2006/relationships/hyperlink" Target="https://maps.google.com/?q=16.899119,-96.470527%20" TargetMode="External"/><Relationship Id="rId11786" Type="http://schemas.openxmlformats.org/officeDocument/2006/relationships/hyperlink" Target="https://maps.google.com/?q=17.350575201223236,-96.61629299884603" TargetMode="External"/><Relationship Id="rId12837" Type="http://schemas.openxmlformats.org/officeDocument/2006/relationships/hyperlink" Target="https://maps.google.com/?q=17.516666,-97.681325999999999" TargetMode="External"/><Relationship Id="rId1845" Type="http://schemas.openxmlformats.org/officeDocument/2006/relationships/hyperlink" Target="https://maps.google.com/?q=18.0374720208938,-96.897789720164297" TargetMode="External"/><Relationship Id="rId10388" Type="http://schemas.openxmlformats.org/officeDocument/2006/relationships/hyperlink" Target="https://maps.google.com/?q=16.5091897253737,-97.166012466270402" TargetMode="External"/><Relationship Id="rId11439" Type="http://schemas.openxmlformats.org/officeDocument/2006/relationships/hyperlink" Target="https://maps.google.com/?q=16.07162,-97.30574" TargetMode="External"/><Relationship Id="rId11920" Type="http://schemas.openxmlformats.org/officeDocument/2006/relationships/hyperlink" Target="https://maps.google.com/?q=16.4062,-97.225301999999999" TargetMode="External"/><Relationship Id="rId5092" Type="http://schemas.openxmlformats.org/officeDocument/2006/relationships/hyperlink" Target="https://maps.google.com/?q=17.253156,-96.155448000000007" TargetMode="External"/><Relationship Id="rId6490" Type="http://schemas.openxmlformats.org/officeDocument/2006/relationships/hyperlink" Target="https://maps.google.com/?q=17.2012895906254,-97.594953628444102" TargetMode="External"/><Relationship Id="rId7541" Type="http://schemas.openxmlformats.org/officeDocument/2006/relationships/hyperlink" Target="https://maps.google.com/?q=17.9786011218456,-96.702764538965795" TargetMode="External"/><Relationship Id="rId10522" Type="http://schemas.openxmlformats.org/officeDocument/2006/relationships/hyperlink" Target="https://maps.google.com/?q=17.8487972995381,-96.747411186592103" TargetMode="External"/><Relationship Id="rId6143" Type="http://schemas.openxmlformats.org/officeDocument/2006/relationships/hyperlink" Target="https://maps.google.com/?q=16.95397357,-96.61324544" TargetMode="External"/><Relationship Id="rId12694" Type="http://schemas.openxmlformats.org/officeDocument/2006/relationships/hyperlink" Target="https://maps.google.com/?q=16.2831267844845,-96.503324115426693" TargetMode="External"/><Relationship Id="rId13745" Type="http://schemas.openxmlformats.org/officeDocument/2006/relationships/hyperlink" Target="https://maps.google.com/?q=17.161771,-96.209013" TargetMode="External"/><Relationship Id="rId2753" Type="http://schemas.openxmlformats.org/officeDocument/2006/relationships/hyperlink" Target="https://maps.google.com/?q=17.9932049748406,-96.487531879623603" TargetMode="External"/><Relationship Id="rId3804" Type="http://schemas.openxmlformats.org/officeDocument/2006/relationships/hyperlink" Target="https://maps.google.com/?q=15.772122981557064,-96.235217634351784" TargetMode="External"/><Relationship Id="rId9366" Type="http://schemas.openxmlformats.org/officeDocument/2006/relationships/hyperlink" Target="https://maps.google.com/?q=16.8186387865551,-95.138221842868205" TargetMode="External"/><Relationship Id="rId11296" Type="http://schemas.openxmlformats.org/officeDocument/2006/relationships/hyperlink" Target="https://maps.google.com/?q=17.8674120474036,-96.308047623635503" TargetMode="External"/><Relationship Id="rId12347" Type="http://schemas.openxmlformats.org/officeDocument/2006/relationships/hyperlink" Target="https://maps.google.com/?q=17.054739532479616,-96.65327703181295" TargetMode="External"/><Relationship Id="rId725" Type="http://schemas.openxmlformats.org/officeDocument/2006/relationships/hyperlink" Target="https://maps.google.com/?q=17.220918,-97.122443000000004" TargetMode="External"/><Relationship Id="rId1355" Type="http://schemas.openxmlformats.org/officeDocument/2006/relationships/hyperlink" Target="https://maps.google.com/?q=17.02036689,-96.71811224" TargetMode="External"/><Relationship Id="rId2406" Type="http://schemas.openxmlformats.org/officeDocument/2006/relationships/hyperlink" Target="https://maps.google.com/?q=17.049748101502576,-96.624292280697617" TargetMode="External"/><Relationship Id="rId9019" Type="http://schemas.openxmlformats.org/officeDocument/2006/relationships/hyperlink" Target="https://maps.google.com/?q=17.384115186,-96.162050312000005" TargetMode="External"/><Relationship Id="rId1008" Type="http://schemas.openxmlformats.org/officeDocument/2006/relationships/hyperlink" Target="https://maps.google.com/?q=15.695781695858319,-96.523145909358618" TargetMode="External"/><Relationship Id="rId4578" Type="http://schemas.openxmlformats.org/officeDocument/2006/relationships/hyperlink" Target="https://maps.google.com/?q=16.554124,-96.819534000000004" TargetMode="External"/><Relationship Id="rId5976" Type="http://schemas.openxmlformats.org/officeDocument/2006/relationships/hyperlink" Target="https://maps.google.com/?q=18.1545136122041,-96.576192325336564" TargetMode="External"/><Relationship Id="rId61" Type="http://schemas.openxmlformats.org/officeDocument/2006/relationships/hyperlink" Target="https://maps.google.com/?q=15.877053,-96.458371" TargetMode="External"/><Relationship Id="rId5629" Type="http://schemas.openxmlformats.org/officeDocument/2006/relationships/hyperlink" Target="https://maps.google.com/?q=17.5623528285454,-96.180579388895495" TargetMode="External"/><Relationship Id="rId7051" Type="http://schemas.openxmlformats.org/officeDocument/2006/relationships/hyperlink" Target="https://maps.google.com/?q=16.1465091600345,-96.347440274479595" TargetMode="External"/><Relationship Id="rId8102" Type="http://schemas.openxmlformats.org/officeDocument/2006/relationships/hyperlink" Target="https://maps.google.com/?q=17.3549274222932,-96.302759136745905" TargetMode="External"/><Relationship Id="rId9500" Type="http://schemas.openxmlformats.org/officeDocument/2006/relationships/hyperlink" Target="https://maps.google.com/?q=17.317309660703597,-96.48459911559165" TargetMode="External"/><Relationship Id="rId11430" Type="http://schemas.openxmlformats.org/officeDocument/2006/relationships/hyperlink" Target="https://maps.google.com/?q=16.199092,-96.605046000000002" TargetMode="External"/><Relationship Id="rId10032" Type="http://schemas.openxmlformats.org/officeDocument/2006/relationships/hyperlink" Target="https://maps.google.com/?q=16.9029549831843,-96.330162617386407" TargetMode="External"/><Relationship Id="rId3661" Type="http://schemas.openxmlformats.org/officeDocument/2006/relationships/hyperlink" Target="https://maps.google.com/?q=15.783732562406893,-96.13784591980415" TargetMode="External"/><Relationship Id="rId4712" Type="http://schemas.openxmlformats.org/officeDocument/2006/relationships/hyperlink" Target="https://maps.google.com/?q=17.080188,-96.726730000000003" TargetMode="External"/><Relationship Id="rId13255" Type="http://schemas.openxmlformats.org/officeDocument/2006/relationships/hyperlink" Target="https://maps.google.com/?q=17.1532836666994,-96.747058009389406" TargetMode="External"/><Relationship Id="rId582" Type="http://schemas.openxmlformats.org/officeDocument/2006/relationships/hyperlink" Target="https://maps.google.com/?q=16.054417,-97.398411999999993" TargetMode="External"/><Relationship Id="rId2263" Type="http://schemas.openxmlformats.org/officeDocument/2006/relationships/hyperlink" Target="https://maps.google.com/?q=18.0948289044134,-96.928689052844504" TargetMode="External"/><Relationship Id="rId3314" Type="http://schemas.openxmlformats.org/officeDocument/2006/relationships/hyperlink" Target="https://maps.google.com/?q=17.0646159598446,-96.807844703773497" TargetMode="External"/><Relationship Id="rId6884" Type="http://schemas.openxmlformats.org/officeDocument/2006/relationships/hyperlink" Target="https://maps.google.com/?q=16.9723526719006,-97.084499530094007" TargetMode="External"/><Relationship Id="rId7935" Type="http://schemas.openxmlformats.org/officeDocument/2006/relationships/hyperlink" Target="https://maps.google.com/?q=16.3246663858751,-96.409862585500306" TargetMode="External"/><Relationship Id="rId235" Type="http://schemas.openxmlformats.org/officeDocument/2006/relationships/hyperlink" Target="https://maps.google.com/?q=16.88298,-97.674750000000003" TargetMode="External"/><Relationship Id="rId5486" Type="http://schemas.openxmlformats.org/officeDocument/2006/relationships/hyperlink" Target="https://maps.google.com/?q=16.3246536475489,-96.494454182613396" TargetMode="External"/><Relationship Id="rId6537" Type="http://schemas.openxmlformats.org/officeDocument/2006/relationships/hyperlink" Target="https://maps.google.com/?q=17.951599470843544,-96.73846610871736" TargetMode="External"/><Relationship Id="rId10916" Type="http://schemas.openxmlformats.org/officeDocument/2006/relationships/hyperlink" Target="https://maps.google.com/?q=16.1906103987873,-95.212535539467893" TargetMode="External"/><Relationship Id="rId4088" Type="http://schemas.openxmlformats.org/officeDocument/2006/relationships/hyperlink" Target="https://maps.google.com/?q=17.05601879,-96.745880600000007" TargetMode="External"/><Relationship Id="rId5139" Type="http://schemas.openxmlformats.org/officeDocument/2006/relationships/hyperlink" Target="https://maps.google.com/?q=17.254545,-96.150238999999999" TargetMode="External"/><Relationship Id="rId9010" Type="http://schemas.openxmlformats.org/officeDocument/2006/relationships/hyperlink" Target="https://maps.google.com/?q=17.382631019,-96.162622612000007" TargetMode="External"/><Relationship Id="rId1749" Type="http://schemas.openxmlformats.org/officeDocument/2006/relationships/hyperlink" Target="https://maps.google.com/?q=18.06077797,-96.850279760000006" TargetMode="External"/><Relationship Id="rId3171" Type="http://schemas.openxmlformats.org/officeDocument/2006/relationships/hyperlink" Target="https://maps.google.com/?q=16.549547,-97.501769999999993" TargetMode="External"/><Relationship Id="rId5620" Type="http://schemas.openxmlformats.org/officeDocument/2006/relationships/hyperlink" Target="https://maps.google.com/?q=17.5516328376691,-96.224913385250005" TargetMode="External"/><Relationship Id="rId14163" Type="http://schemas.openxmlformats.org/officeDocument/2006/relationships/hyperlink" Target="https://maps.google.com/?q=16.854798488504954,-96.69615511313609" TargetMode="External"/><Relationship Id="rId4222" Type="http://schemas.openxmlformats.org/officeDocument/2006/relationships/hyperlink" Target="https://maps.google.com/?q=18.081169,-96.118475000000004" TargetMode="External"/><Relationship Id="rId7792" Type="http://schemas.openxmlformats.org/officeDocument/2006/relationships/hyperlink" Target="https://maps.google.com/?q=17.8447085302986,-96.744064941877795" TargetMode="External"/><Relationship Id="rId8843" Type="http://schemas.openxmlformats.org/officeDocument/2006/relationships/hyperlink" Target="https://maps.google.com/?q=17.218202,-96.243893999999997" TargetMode="External"/><Relationship Id="rId10773" Type="http://schemas.openxmlformats.org/officeDocument/2006/relationships/hyperlink" Target="https://maps.google.com/?q=16.905937,-96.563812" TargetMode="External"/><Relationship Id="rId11824" Type="http://schemas.openxmlformats.org/officeDocument/2006/relationships/hyperlink" Target="https://maps.google.com/?q=16.18638622861361,-96.77207123082734" TargetMode="External"/><Relationship Id="rId6394" Type="http://schemas.openxmlformats.org/officeDocument/2006/relationships/hyperlink" Target="https://maps.google.com/?q=17.2456852054903,-97.523590663214407" TargetMode="External"/><Relationship Id="rId7445" Type="http://schemas.openxmlformats.org/officeDocument/2006/relationships/hyperlink" Target="https://maps.google.com/?q=16.3209345734524,-96.671214294685001" TargetMode="External"/><Relationship Id="rId10426" Type="http://schemas.openxmlformats.org/officeDocument/2006/relationships/hyperlink" Target="https://maps.google.com/?q=17.0391812,-96.777986499999997" TargetMode="External"/><Relationship Id="rId6047" Type="http://schemas.openxmlformats.org/officeDocument/2006/relationships/hyperlink" Target="https://maps.google.com/?q=18.15720537963889,-96.576677836650134" TargetMode="External"/><Relationship Id="rId13996" Type="http://schemas.openxmlformats.org/officeDocument/2006/relationships/hyperlink" Target="https://maps.google.com/?q=15.768283,-96.153250" TargetMode="External"/><Relationship Id="rId976" Type="http://schemas.openxmlformats.org/officeDocument/2006/relationships/hyperlink" Target="https://maps.google.com/?q=15.689765768552878,-96.51562899253129" TargetMode="External"/><Relationship Id="rId2657" Type="http://schemas.openxmlformats.org/officeDocument/2006/relationships/hyperlink" Target="https://maps.google.com/?q=17.6252319863394,-97.2372929331178" TargetMode="External"/><Relationship Id="rId12598" Type="http://schemas.openxmlformats.org/officeDocument/2006/relationships/hyperlink" Target="https://maps.google.com/?q=16.5225610566548,-96.983583485901207" TargetMode="External"/><Relationship Id="rId13649" Type="http://schemas.openxmlformats.org/officeDocument/2006/relationships/hyperlink" Target="https://maps.google.com/?q=16.284223,-95.881125" TargetMode="External"/><Relationship Id="rId629" Type="http://schemas.openxmlformats.org/officeDocument/2006/relationships/hyperlink" Target="https://maps.google.com/?q=16.054514,-97.394467000000006" TargetMode="External"/><Relationship Id="rId1259" Type="http://schemas.openxmlformats.org/officeDocument/2006/relationships/hyperlink" Target="https://maps.google.com/?q=17.058568,-96.743064000000004" TargetMode="External"/><Relationship Id="rId3708" Type="http://schemas.openxmlformats.org/officeDocument/2006/relationships/hyperlink" Target="https://maps.google.com/?q=15.75794113021631,-96.141350472086131" TargetMode="External"/><Relationship Id="rId5130" Type="http://schemas.openxmlformats.org/officeDocument/2006/relationships/hyperlink" Target="https://maps.google.com/?q=17.254148,-96.156014999999996" TargetMode="External"/><Relationship Id="rId9751" Type="http://schemas.openxmlformats.org/officeDocument/2006/relationships/hyperlink" Target="https://maps.google.com/?q=17.2761815994159,-96.795055319447798" TargetMode="External"/><Relationship Id="rId11681" Type="http://schemas.openxmlformats.org/officeDocument/2006/relationships/hyperlink" Target="https://maps.google.com/?q=17.17767983,-97.708984779999994" TargetMode="External"/><Relationship Id="rId12732" Type="http://schemas.openxmlformats.org/officeDocument/2006/relationships/hyperlink" Target="https://maps.google.com/?q=16.2871182389115,-96.504490333597403" TargetMode="External"/><Relationship Id="rId1740" Type="http://schemas.openxmlformats.org/officeDocument/2006/relationships/hyperlink" Target="https://maps.google.com/?q=18.0639541028296,-96.832701232208905" TargetMode="External"/><Relationship Id="rId8353" Type="http://schemas.openxmlformats.org/officeDocument/2006/relationships/hyperlink" Target="https://maps.google.com/?q=16.8438589669352,-97.197435601370103" TargetMode="External"/><Relationship Id="rId9404" Type="http://schemas.openxmlformats.org/officeDocument/2006/relationships/hyperlink" Target="https://maps.google.com/?q=16.7733152328807,-95.186503072601198" TargetMode="External"/><Relationship Id="rId10283" Type="http://schemas.openxmlformats.org/officeDocument/2006/relationships/hyperlink" Target="https://maps.google.com/?q=16.246085,-95.147352999999995" TargetMode="External"/><Relationship Id="rId11334" Type="http://schemas.openxmlformats.org/officeDocument/2006/relationships/hyperlink" Target="https://maps.google.com/?q=16.64879325,-97.530078439999997" TargetMode="External"/><Relationship Id="rId4963" Type="http://schemas.openxmlformats.org/officeDocument/2006/relationships/hyperlink" Target="https://maps.google.com/?q=17.9672845957611,-96.739104637501597" TargetMode="External"/><Relationship Id="rId8006" Type="http://schemas.openxmlformats.org/officeDocument/2006/relationships/hyperlink" Target="https://maps.google.com/?q=18.1639604372886,-96.873290294477499" TargetMode="External"/><Relationship Id="rId3565" Type="http://schemas.openxmlformats.org/officeDocument/2006/relationships/hyperlink" Target="https://maps.google.com/?q=15.775427627121921,-96.136740794690326" TargetMode="External"/><Relationship Id="rId4616" Type="http://schemas.openxmlformats.org/officeDocument/2006/relationships/hyperlink" Target="https://maps.google.com/?q=16.559121,-96.817239000000001" TargetMode="External"/><Relationship Id="rId13159" Type="http://schemas.openxmlformats.org/officeDocument/2006/relationships/hyperlink" Target="https://maps.google.com/?q=16.5659033369958,-97.013837203704796" TargetMode="External"/><Relationship Id="rId486" Type="http://schemas.openxmlformats.org/officeDocument/2006/relationships/hyperlink" Target="https://maps.google.com/?q=16.055149,-97.408117000000004" TargetMode="External"/><Relationship Id="rId2167" Type="http://schemas.openxmlformats.org/officeDocument/2006/relationships/hyperlink" Target="https://maps.google.com/?q=15.760806217630273,-96.149097192936509" TargetMode="External"/><Relationship Id="rId3218" Type="http://schemas.openxmlformats.org/officeDocument/2006/relationships/hyperlink" Target="https://maps.google.com/?q=17.8032527468509,-96.005174581251893" TargetMode="External"/><Relationship Id="rId6788" Type="http://schemas.openxmlformats.org/officeDocument/2006/relationships/hyperlink" Target="https://maps.google.com/?q=16.6429485529123,-97.038476298028499" TargetMode="External"/><Relationship Id="rId139" Type="http://schemas.openxmlformats.org/officeDocument/2006/relationships/hyperlink" Target="https://maps.google.com/?q=17.093053,-97.497435999999993" TargetMode="External"/><Relationship Id="rId7839" Type="http://schemas.openxmlformats.org/officeDocument/2006/relationships/hyperlink" Target="https://maps.google.com/?q=16.8524583170952,-95.092343377207001" TargetMode="External"/><Relationship Id="rId9261" Type="http://schemas.openxmlformats.org/officeDocument/2006/relationships/hyperlink" Target="https://maps.google.com/?q=17.3776866794746,-96.299277896529503" TargetMode="External"/><Relationship Id="rId13640" Type="http://schemas.openxmlformats.org/officeDocument/2006/relationships/hyperlink" Target="https://maps.google.com/?q=15.747155,-96.545433" TargetMode="External"/><Relationship Id="rId11191" Type="http://schemas.openxmlformats.org/officeDocument/2006/relationships/hyperlink" Target="https://maps.google.com/?q=16.845708,-96.012265999999997" TargetMode="External"/><Relationship Id="rId12242" Type="http://schemas.openxmlformats.org/officeDocument/2006/relationships/hyperlink" Target="https://maps.google.com/?q=16.4215802139987,-97.227789846607195" TargetMode="External"/><Relationship Id="rId620" Type="http://schemas.openxmlformats.org/officeDocument/2006/relationships/hyperlink" Target="https://maps.google.com/?q=16.05464,-97.396859000000006" TargetMode="External"/><Relationship Id="rId1250" Type="http://schemas.openxmlformats.org/officeDocument/2006/relationships/hyperlink" Target="https://maps.google.com/?q=17.056291,-96.746252999999996" TargetMode="External"/><Relationship Id="rId2301" Type="http://schemas.openxmlformats.org/officeDocument/2006/relationships/hyperlink" Target="https://maps.google.com/?q=18.1040915119745,-96.877765871045099" TargetMode="External"/><Relationship Id="rId5871" Type="http://schemas.openxmlformats.org/officeDocument/2006/relationships/hyperlink" Target="https://maps.google.com/?q=17.5051477017947,-96.550469209821799" TargetMode="External"/><Relationship Id="rId6922" Type="http://schemas.openxmlformats.org/officeDocument/2006/relationships/hyperlink" Target="https://maps.google.com/?q=16.3101588,-95.257851500000001" TargetMode="External"/><Relationship Id="rId4473" Type="http://schemas.openxmlformats.org/officeDocument/2006/relationships/hyperlink" Target="https://maps.google.com/?q=17.1691208942913,-97.309346975824099" TargetMode="External"/><Relationship Id="rId5524" Type="http://schemas.openxmlformats.org/officeDocument/2006/relationships/hyperlink" Target="https://maps.google.com/?q=17.2818204335674,-97.373202363090698" TargetMode="External"/><Relationship Id="rId14067" Type="http://schemas.openxmlformats.org/officeDocument/2006/relationships/hyperlink" Target="https://maps.google.com/?q=15.8355973178066,-96.5768144661105" TargetMode="External"/><Relationship Id="rId3075" Type="http://schemas.openxmlformats.org/officeDocument/2006/relationships/hyperlink" Target="https://maps.google.com/?q=16.9641659575104,-96.941490886780898" TargetMode="External"/><Relationship Id="rId4126" Type="http://schemas.openxmlformats.org/officeDocument/2006/relationships/hyperlink" Target="https://maps.google.com/?q=18.15988,-96.716806" TargetMode="External"/><Relationship Id="rId7696" Type="http://schemas.openxmlformats.org/officeDocument/2006/relationships/hyperlink" Target="https://maps.google.com/?q=16.6261820833069,-96.7958027358207" TargetMode="External"/><Relationship Id="rId8747" Type="http://schemas.openxmlformats.org/officeDocument/2006/relationships/hyperlink" Target="https://maps.google.com/?q=18.070335707695,-96.125666376248205" TargetMode="External"/><Relationship Id="rId6298" Type="http://schemas.openxmlformats.org/officeDocument/2006/relationships/hyperlink" Target="https://maps.google.com/?q=18.056647,-96.392044999999996" TargetMode="External"/><Relationship Id="rId7349" Type="http://schemas.openxmlformats.org/officeDocument/2006/relationships/hyperlink" Target="https://maps.google.com/?q=0,-97.655097999999995" TargetMode="External"/><Relationship Id="rId10677" Type="http://schemas.openxmlformats.org/officeDocument/2006/relationships/hyperlink" Target="https://maps.google.com/?q=15.7299707050365,-96.253496247189801" TargetMode="External"/><Relationship Id="rId11728" Type="http://schemas.openxmlformats.org/officeDocument/2006/relationships/hyperlink" Target="https://maps.google.com/?q=17.18610167,-97.710956060000001" TargetMode="External"/><Relationship Id="rId13150" Type="http://schemas.openxmlformats.org/officeDocument/2006/relationships/hyperlink" Target="https://maps.google.com/?q=0,&#160;-97.02031057729852" TargetMode="External"/><Relationship Id="rId130" Type="http://schemas.openxmlformats.org/officeDocument/2006/relationships/hyperlink" Target="https://maps.google.com/?q=17.095695,-97.495779999999996" TargetMode="External"/><Relationship Id="rId3959" Type="http://schemas.openxmlformats.org/officeDocument/2006/relationships/hyperlink" Target="https://maps.google.com/?q=17.061239,-96.756981999999994" TargetMode="External"/><Relationship Id="rId5381" Type="http://schemas.openxmlformats.org/officeDocument/2006/relationships/hyperlink" Target="https://maps.google.com/?q=15.9765049019933,-97.241514944774593" TargetMode="External"/><Relationship Id="rId7830" Type="http://schemas.openxmlformats.org/officeDocument/2006/relationships/hyperlink" Target="https://maps.google.com/?q=17.01407,-96.900523000000007" TargetMode="External"/><Relationship Id="rId10811" Type="http://schemas.openxmlformats.org/officeDocument/2006/relationships/hyperlink" Target="https://maps.google.com/?q=16.3922059299376,-94.459057720237695" TargetMode="External"/><Relationship Id="rId5034" Type="http://schemas.openxmlformats.org/officeDocument/2006/relationships/hyperlink" Target="https://maps.google.com/?q=17.251313,-96.151632000000006" TargetMode="External"/><Relationship Id="rId6432" Type="http://schemas.openxmlformats.org/officeDocument/2006/relationships/hyperlink" Target="https://maps.google.com/?q=17.34361141,-97.55529842" TargetMode="External"/><Relationship Id="rId12983" Type="http://schemas.openxmlformats.org/officeDocument/2006/relationships/hyperlink" Target="https://maps.google.com/?q=16.50056697,-97.555985120000003" TargetMode="External"/><Relationship Id="rId1991" Type="http://schemas.openxmlformats.org/officeDocument/2006/relationships/hyperlink" Target="https://maps.google.com/?q=15.776155,-96.146738" TargetMode="External"/><Relationship Id="rId9655" Type="http://schemas.openxmlformats.org/officeDocument/2006/relationships/hyperlink" Target="https://maps.google.com/?q=16.3163219254201,-96.586121355819699" TargetMode="External"/><Relationship Id="rId11585" Type="http://schemas.openxmlformats.org/officeDocument/2006/relationships/hyperlink" Target="https://maps.google.com/?q=16.8522497915033,-96.752212577298096" TargetMode="External"/><Relationship Id="rId12636" Type="http://schemas.openxmlformats.org/officeDocument/2006/relationships/hyperlink" Target="https://maps.google.com/?q=17.117444,-96.854746000000006" TargetMode="External"/><Relationship Id="rId1644" Type="http://schemas.openxmlformats.org/officeDocument/2006/relationships/hyperlink" Target="https://maps.google.com/?q=16.8931389852862,-96.936576364418002" TargetMode="External"/><Relationship Id="rId8257" Type="http://schemas.openxmlformats.org/officeDocument/2006/relationships/hyperlink" Target="https://maps.google.com/?q=17.022813,-96.748495000000005" TargetMode="External"/><Relationship Id="rId9308" Type="http://schemas.openxmlformats.org/officeDocument/2006/relationships/hyperlink" Target="https://maps.google.com/?q=16.8150545524641,-95.133549434763594" TargetMode="External"/><Relationship Id="rId10187" Type="http://schemas.openxmlformats.org/officeDocument/2006/relationships/hyperlink" Target="https://maps.google.com/?q=17.28139545792919,-97.33761885362739" TargetMode="External"/><Relationship Id="rId11238" Type="http://schemas.openxmlformats.org/officeDocument/2006/relationships/hyperlink" Target="https://maps.google.com/?q=17.8610584115395,-96.304825998236097" TargetMode="External"/><Relationship Id="rId4867" Type="http://schemas.openxmlformats.org/officeDocument/2006/relationships/hyperlink" Target="https://maps.google.com/?q=16.7910397448236,-96.3860028630659" TargetMode="External"/><Relationship Id="rId3469" Type="http://schemas.openxmlformats.org/officeDocument/2006/relationships/hyperlink" Target="https://maps.google.com/?q=17.9146327381562,-97.998667947256607" TargetMode="External"/><Relationship Id="rId5918" Type="http://schemas.openxmlformats.org/officeDocument/2006/relationships/hyperlink" Target="https://maps.google.com/?q=18.14870858566114,-96.567193566612488" TargetMode="External"/><Relationship Id="rId7340" Type="http://schemas.openxmlformats.org/officeDocument/2006/relationships/hyperlink" Target="https://maps.google.com/?q=16.547708,-97.678507999999994" TargetMode="External"/><Relationship Id="rId10321" Type="http://schemas.openxmlformats.org/officeDocument/2006/relationships/hyperlink" Target="https://maps.google.com/?q=16.22790825,-97.26860714" TargetMode="External"/><Relationship Id="rId13891" Type="http://schemas.openxmlformats.org/officeDocument/2006/relationships/hyperlink" Target="https://maps.google.com/?q=16.2774233626652,-96.584358448253298" TargetMode="External"/><Relationship Id="rId3950" Type="http://schemas.openxmlformats.org/officeDocument/2006/relationships/hyperlink" Target="https://maps.google.com/?q=17.061054,-96.756463999999994" TargetMode="External"/><Relationship Id="rId9165" Type="http://schemas.openxmlformats.org/officeDocument/2006/relationships/hyperlink" Target="https://maps.google.com/?q=17.0029403826307,-96.965918980440605" TargetMode="External"/><Relationship Id="rId12493" Type="http://schemas.openxmlformats.org/officeDocument/2006/relationships/hyperlink" Target="https://maps.google.com/?q=17.2226666625875,-97.272190696802397" TargetMode="External"/><Relationship Id="rId13544" Type="http://schemas.openxmlformats.org/officeDocument/2006/relationships/hyperlink" Target="https://maps.google.com/?q=16.250636020478947,-97.15062119014358" TargetMode="External"/><Relationship Id="rId871" Type="http://schemas.openxmlformats.org/officeDocument/2006/relationships/hyperlink" Target="https://maps.google.com/?q=17.097353,-97.496498000000003" TargetMode="External"/><Relationship Id="rId2552" Type="http://schemas.openxmlformats.org/officeDocument/2006/relationships/hyperlink" Target="https://maps.google.com/?q=17.758758,-96.199190999999999" TargetMode="External"/><Relationship Id="rId3603" Type="http://schemas.openxmlformats.org/officeDocument/2006/relationships/hyperlink" Target="https://maps.google.com/?q=15.776627411966654,-96.136640010280772" TargetMode="External"/><Relationship Id="rId11095" Type="http://schemas.openxmlformats.org/officeDocument/2006/relationships/hyperlink" Target="https://maps.google.com/?q=17.254619,-96.151027" TargetMode="External"/><Relationship Id="rId12146" Type="http://schemas.openxmlformats.org/officeDocument/2006/relationships/hyperlink" Target="https://maps.google.com/?q=16.2873274880827,-97.673471676054106" TargetMode="External"/><Relationship Id="rId524" Type="http://schemas.openxmlformats.org/officeDocument/2006/relationships/hyperlink" Target="https://maps.google.com/?q=16.054679,-97.406904999999995" TargetMode="External"/><Relationship Id="rId1154" Type="http://schemas.openxmlformats.org/officeDocument/2006/relationships/hyperlink" Target="https://maps.google.com/?q=16.932931,&#160;-97.141413" TargetMode="External"/><Relationship Id="rId2205" Type="http://schemas.openxmlformats.org/officeDocument/2006/relationships/hyperlink" Target="https://maps.google.com/?q=16.983759589135,-97.232361811166797" TargetMode="External"/><Relationship Id="rId5775" Type="http://schemas.openxmlformats.org/officeDocument/2006/relationships/hyperlink" Target="https://maps.google.com/?q=16.999828,-97.232917" TargetMode="External"/><Relationship Id="rId6826" Type="http://schemas.openxmlformats.org/officeDocument/2006/relationships/hyperlink" Target="https://maps.google.com/?q=16.063024,-97.173610999999994" TargetMode="External"/><Relationship Id="rId4377" Type="http://schemas.openxmlformats.org/officeDocument/2006/relationships/hyperlink" Target="https://maps.google.com/?q=15.99591781,-96.681335239999996" TargetMode="External"/><Relationship Id="rId5428" Type="http://schemas.openxmlformats.org/officeDocument/2006/relationships/hyperlink" Target="https://maps.google.com/?q=16.0006691350791,-97.4249472323082" TargetMode="External"/><Relationship Id="rId8998" Type="http://schemas.openxmlformats.org/officeDocument/2006/relationships/hyperlink" Target="https://maps.google.com/?q=17.382144588,-96.165884047000006" TargetMode="External"/><Relationship Id="rId11979" Type="http://schemas.openxmlformats.org/officeDocument/2006/relationships/hyperlink" Target="https://maps.google.com/?q=16.8000062476767,-96.722212369462497" TargetMode="External"/><Relationship Id="rId3460" Type="http://schemas.openxmlformats.org/officeDocument/2006/relationships/hyperlink" Target="https://maps.google.com/?q=16.5733759230665,-96.986578971896506" TargetMode="External"/><Relationship Id="rId381" Type="http://schemas.openxmlformats.org/officeDocument/2006/relationships/hyperlink" Target="https://maps.google.com/?q=16.911138,-96.557593" TargetMode="External"/><Relationship Id="rId2062" Type="http://schemas.openxmlformats.org/officeDocument/2006/relationships/hyperlink" Target="https://maps.google.com/?q=15.76984814976972,-96.234595606751242" TargetMode="External"/><Relationship Id="rId3113" Type="http://schemas.openxmlformats.org/officeDocument/2006/relationships/hyperlink" Target="https://maps.google.com/?q=15.9975537674,-96.465877852199995" TargetMode="External"/><Relationship Id="rId4511" Type="http://schemas.openxmlformats.org/officeDocument/2006/relationships/hyperlink" Target="https://maps.google.com/?q=17.1799287821198,-97.305369746032795" TargetMode="External"/><Relationship Id="rId13054" Type="http://schemas.openxmlformats.org/officeDocument/2006/relationships/hyperlink" Target="https://maps.google.com/?q=16.562606,-97.534823500000002" TargetMode="External"/><Relationship Id="rId14105" Type="http://schemas.openxmlformats.org/officeDocument/2006/relationships/hyperlink" Target="https://maps.google.com/?q=15.790634871260181,-96.58185804304594" TargetMode="External"/><Relationship Id="rId6683" Type="http://schemas.openxmlformats.org/officeDocument/2006/relationships/hyperlink" Target="https://maps.google.com/?q=16.937697766345,-96.973578924694905" TargetMode="External"/><Relationship Id="rId7734" Type="http://schemas.openxmlformats.org/officeDocument/2006/relationships/hyperlink" Target="https://maps.google.com/?q=16.6308194197407,-96.803250579108294" TargetMode="External"/><Relationship Id="rId10715" Type="http://schemas.openxmlformats.org/officeDocument/2006/relationships/hyperlink" Target="https://maps.google.com/?q=17.335316,-98.012051" TargetMode="External"/><Relationship Id="rId5285" Type="http://schemas.openxmlformats.org/officeDocument/2006/relationships/hyperlink" Target="https://maps.google.com/?q=15.8304524510186,-96.470798310231302" TargetMode="External"/><Relationship Id="rId6336" Type="http://schemas.openxmlformats.org/officeDocument/2006/relationships/hyperlink" Target="https://maps.google.com/?q=18.0604955853997,-96.391455166307196" TargetMode="External"/><Relationship Id="rId1895" Type="http://schemas.openxmlformats.org/officeDocument/2006/relationships/hyperlink" Target="https://maps.google.com/?q=15.776480979368383,-96.13649284718467" TargetMode="External"/><Relationship Id="rId2946" Type="http://schemas.openxmlformats.org/officeDocument/2006/relationships/hyperlink" Target="https://maps.google.com/?q=17.08334979,-96.675024660000005" TargetMode="External"/><Relationship Id="rId9559" Type="http://schemas.openxmlformats.org/officeDocument/2006/relationships/hyperlink" Target="https://maps.google.com/?q=17.358227,-96.295129000000003" TargetMode="External"/><Relationship Id="rId11489" Type="http://schemas.openxmlformats.org/officeDocument/2006/relationships/hyperlink" Target="https://maps.google.com/?q=16.3075057363081,-96.634916995272306" TargetMode="External"/><Relationship Id="rId12887" Type="http://schemas.openxmlformats.org/officeDocument/2006/relationships/hyperlink" Target="https://maps.google.com/?q=16.532508,-97.443521000000004" TargetMode="External"/><Relationship Id="rId13938" Type="http://schemas.openxmlformats.org/officeDocument/2006/relationships/hyperlink" Target="https://maps.google.com/?q=16.878425562767205,-96.63616987921083" TargetMode="External"/><Relationship Id="rId918" Type="http://schemas.openxmlformats.org/officeDocument/2006/relationships/hyperlink" Target="https://maps.google.com/?q=17.222666,-97.121573999999995" TargetMode="External"/><Relationship Id="rId1548" Type="http://schemas.openxmlformats.org/officeDocument/2006/relationships/hyperlink" Target="https://maps.google.com/?q=16.48937197288463,-97.84246656102594" TargetMode="External"/><Relationship Id="rId4021" Type="http://schemas.openxmlformats.org/officeDocument/2006/relationships/hyperlink" Target="https://maps.google.com/?q=17.0197253004008,-96.718037502299168" TargetMode="External"/><Relationship Id="rId7591" Type="http://schemas.openxmlformats.org/officeDocument/2006/relationships/hyperlink" Target="https://maps.google.com/?q=17.0941987741017,-95.8543722400006" TargetMode="External"/><Relationship Id="rId11970" Type="http://schemas.openxmlformats.org/officeDocument/2006/relationships/hyperlink" Target="https://maps.google.com/?q=16.7996989451809,-96.720857404554906" TargetMode="External"/><Relationship Id="rId6193" Type="http://schemas.openxmlformats.org/officeDocument/2006/relationships/hyperlink" Target="https://maps.google.com/?q=16.09256,-97.081203000000002" TargetMode="External"/><Relationship Id="rId7244" Type="http://schemas.openxmlformats.org/officeDocument/2006/relationships/hyperlink" Target="https://maps.google.com/?q=16.0967676533992,-97.924664364532305" TargetMode="External"/><Relationship Id="rId8642" Type="http://schemas.openxmlformats.org/officeDocument/2006/relationships/hyperlink" Target="https://maps.google.com/?q=16.2740225306934,-94.533250269195506" TargetMode="External"/><Relationship Id="rId10572" Type="http://schemas.openxmlformats.org/officeDocument/2006/relationships/hyperlink" Target="https://maps.google.com/?q=17.0917694131605,-97.7688232309509" TargetMode="External"/><Relationship Id="rId11623" Type="http://schemas.openxmlformats.org/officeDocument/2006/relationships/hyperlink" Target="https://maps.google.com/?q=16.8382578387053,-96.726049480985594" TargetMode="External"/><Relationship Id="rId10225" Type="http://schemas.openxmlformats.org/officeDocument/2006/relationships/hyperlink" Target="https://maps.google.com/?q=17.300560446287143,-97.3453598149501" TargetMode="External"/><Relationship Id="rId13795" Type="http://schemas.openxmlformats.org/officeDocument/2006/relationships/hyperlink" Target="https://maps.google.com/?q=17.13036178735726,-97.74828231779098" TargetMode="External"/><Relationship Id="rId3854" Type="http://schemas.openxmlformats.org/officeDocument/2006/relationships/hyperlink" Target="https://maps.google.com/?q=17.1039390010869,-95.947964314384507" TargetMode="External"/><Relationship Id="rId4905" Type="http://schemas.openxmlformats.org/officeDocument/2006/relationships/hyperlink" Target="https://maps.google.com/?q=18.031193,-96.667754000000002" TargetMode="External"/><Relationship Id="rId12397" Type="http://schemas.openxmlformats.org/officeDocument/2006/relationships/hyperlink" Target="https://maps.google.com/?q=16.5564909966341,-96.821480224536799" TargetMode="External"/><Relationship Id="rId13448" Type="http://schemas.openxmlformats.org/officeDocument/2006/relationships/hyperlink" Target="https://maps.google.com/?q=17.6854157880689,-97.034879635582001" TargetMode="External"/><Relationship Id="rId775" Type="http://schemas.openxmlformats.org/officeDocument/2006/relationships/hyperlink" Target="https://maps.google.com/?q=15.68821732827795,-96.513734616411369" TargetMode="External"/><Relationship Id="rId2456" Type="http://schemas.openxmlformats.org/officeDocument/2006/relationships/hyperlink" Target="https://maps.google.com/?q=17.05156002,-96.624321949999995" TargetMode="External"/><Relationship Id="rId3507" Type="http://schemas.openxmlformats.org/officeDocument/2006/relationships/hyperlink" Target="https://maps.google.com/?q=15.772147993771743,-96.153834924782785" TargetMode="External"/><Relationship Id="rId9069" Type="http://schemas.openxmlformats.org/officeDocument/2006/relationships/hyperlink" Target="https://maps.google.com/?q=16.058526,-95.491546" TargetMode="External"/><Relationship Id="rId428" Type="http://schemas.openxmlformats.org/officeDocument/2006/relationships/hyperlink" Target="https://maps.google.com/?q=16.052933,-97.412751" TargetMode="External"/><Relationship Id="rId1058" Type="http://schemas.openxmlformats.org/officeDocument/2006/relationships/hyperlink" Target="https://maps.google.com/?q=15.708623314728468,-96.525956339585193" TargetMode="External"/><Relationship Id="rId2109" Type="http://schemas.openxmlformats.org/officeDocument/2006/relationships/hyperlink" Target="https://maps.google.com/?q=15.768921,-96.151567" TargetMode="External"/><Relationship Id="rId5679" Type="http://schemas.openxmlformats.org/officeDocument/2006/relationships/hyperlink" Target="https://maps.google.com/?q=16.433746,-97.899783999999997" TargetMode="External"/><Relationship Id="rId9550" Type="http://schemas.openxmlformats.org/officeDocument/2006/relationships/hyperlink" Target="https://maps.google.com/?q=17.357319,-96.295387000000005" TargetMode="External"/><Relationship Id="rId8152" Type="http://schemas.openxmlformats.org/officeDocument/2006/relationships/hyperlink" Target="https://maps.google.com/?q=17.3565313226677,-96.303802517790999" TargetMode="External"/><Relationship Id="rId9203" Type="http://schemas.openxmlformats.org/officeDocument/2006/relationships/hyperlink" Target="https://maps.google.com/?q=17.3746318771571,-96.301038181466296" TargetMode="External"/><Relationship Id="rId10082" Type="http://schemas.openxmlformats.org/officeDocument/2006/relationships/hyperlink" Target="https://maps.google.com/?q=16.9939411646562,-96.110804550331807" TargetMode="External"/><Relationship Id="rId11480" Type="http://schemas.openxmlformats.org/officeDocument/2006/relationships/hyperlink" Target="https://maps.google.com/?q=16.3020726918024,-96.643836319345695" TargetMode="External"/><Relationship Id="rId12531" Type="http://schemas.openxmlformats.org/officeDocument/2006/relationships/hyperlink" Target="https://maps.google.com/?q=17.02020813,-97.860684300000003" TargetMode="External"/><Relationship Id="rId11133" Type="http://schemas.openxmlformats.org/officeDocument/2006/relationships/hyperlink" Target="https://maps.google.com/?q=16.835031,-96.008215000000007" TargetMode="External"/><Relationship Id="rId4762" Type="http://schemas.openxmlformats.org/officeDocument/2006/relationships/hyperlink" Target="https://maps.google.com/?q=17.9563877606412,-96.654756635582004" TargetMode="External"/><Relationship Id="rId5813" Type="http://schemas.openxmlformats.org/officeDocument/2006/relationships/hyperlink" Target="https://maps.google.com/?q=16.0098112779827,-97.431433793085006" TargetMode="External"/><Relationship Id="rId285" Type="http://schemas.openxmlformats.org/officeDocument/2006/relationships/hyperlink" Target="https://maps.google.com/?q=16.88465,-97.677880000000002" TargetMode="External"/><Relationship Id="rId3364" Type="http://schemas.openxmlformats.org/officeDocument/2006/relationships/hyperlink" Target="https://maps.google.com/?q=17.058937,-96.824582000000007" TargetMode="External"/><Relationship Id="rId4415" Type="http://schemas.openxmlformats.org/officeDocument/2006/relationships/hyperlink" Target="https://maps.google.com/?q=16.00607193,-96.679507560000005" TargetMode="External"/><Relationship Id="rId7985" Type="http://schemas.openxmlformats.org/officeDocument/2006/relationships/hyperlink" Target="https://maps.google.com/?q=18.1631443859478,-96.873832635582005" TargetMode="External"/><Relationship Id="rId14009" Type="http://schemas.openxmlformats.org/officeDocument/2006/relationships/hyperlink" Target="https://maps.google.com/?q=17.0779561718991,-96.70651595239258" TargetMode="External"/><Relationship Id="rId3017" Type="http://schemas.openxmlformats.org/officeDocument/2006/relationships/hyperlink" Target="https://maps.google.com/?q=16.939047,-97.014324000000002" TargetMode="External"/><Relationship Id="rId6587" Type="http://schemas.openxmlformats.org/officeDocument/2006/relationships/hyperlink" Target="https://maps.google.com/?q=17.258945,-97.686687" TargetMode="External"/><Relationship Id="rId7638" Type="http://schemas.openxmlformats.org/officeDocument/2006/relationships/hyperlink" Target="https://maps.google.com/?q=17.2312427859329,-95.048911243849901" TargetMode="External"/><Relationship Id="rId10619" Type="http://schemas.openxmlformats.org/officeDocument/2006/relationships/hyperlink" Target="https://maps.google.com/?q=17.1078964185743,-97.784883440000499" TargetMode="External"/><Relationship Id="rId10966" Type="http://schemas.openxmlformats.org/officeDocument/2006/relationships/hyperlink" Target="https://maps.google.com/?q=16.2083107937364,-95.216727259999999" TargetMode="External"/><Relationship Id="rId5189" Type="http://schemas.openxmlformats.org/officeDocument/2006/relationships/hyperlink" Target="https://maps.google.com/?q=17.316272,-95.971029000000001" TargetMode="External"/><Relationship Id="rId9060" Type="http://schemas.openxmlformats.org/officeDocument/2006/relationships/hyperlink" Target="https://maps.google.com/?q=16.056189,-95.453839000000002" TargetMode="External"/><Relationship Id="rId12041" Type="http://schemas.openxmlformats.org/officeDocument/2006/relationships/hyperlink" Target="https://maps.google.com/?q=16.8067089978821,-96.717686653532596" TargetMode="External"/><Relationship Id="rId1799" Type="http://schemas.openxmlformats.org/officeDocument/2006/relationships/hyperlink" Target="https://maps.google.com/?q=18.0676626065685,-96.900234993991901" TargetMode="External"/><Relationship Id="rId2100" Type="http://schemas.openxmlformats.org/officeDocument/2006/relationships/hyperlink" Target="https://maps.google.com/?q=15.763933,-96.150611" TargetMode="External"/><Relationship Id="rId5670" Type="http://schemas.openxmlformats.org/officeDocument/2006/relationships/hyperlink" Target="https://maps.google.com/?q=16.438323,-97.855237000000002" TargetMode="External"/><Relationship Id="rId4272" Type="http://schemas.openxmlformats.org/officeDocument/2006/relationships/hyperlink" Target="https://maps.google.com/?q=16.0182513315399,-96.65118425" TargetMode="External"/><Relationship Id="rId5323" Type="http://schemas.openxmlformats.org/officeDocument/2006/relationships/hyperlink" Target="https://maps.google.com/?q=15.8073610700086,-96.359540855401804" TargetMode="External"/><Relationship Id="rId6721" Type="http://schemas.openxmlformats.org/officeDocument/2006/relationships/hyperlink" Target="https://maps.google.com/?q=17.034071894471,-96.9839921307358" TargetMode="External"/><Relationship Id="rId8893" Type="http://schemas.openxmlformats.org/officeDocument/2006/relationships/hyperlink" Target="https://maps.google.com/?q=17.379890318,-96.162318229999997" TargetMode="External"/><Relationship Id="rId9944" Type="http://schemas.openxmlformats.org/officeDocument/2006/relationships/hyperlink" Target="https://maps.google.com/?q=16.7076733304166,-96.712443863309502" TargetMode="External"/><Relationship Id="rId11874" Type="http://schemas.openxmlformats.org/officeDocument/2006/relationships/hyperlink" Target="https://maps.google.com/?q=17.433716267610734,-96.28089793848417" TargetMode="External"/><Relationship Id="rId12925" Type="http://schemas.openxmlformats.org/officeDocument/2006/relationships/hyperlink" Target="https://maps.google.com/?q=16.557515,-97.410329000000004" TargetMode="External"/><Relationship Id="rId1933" Type="http://schemas.openxmlformats.org/officeDocument/2006/relationships/hyperlink" Target="https://maps.google.com/?q=15.777200552002629,-96.136958380036518" TargetMode="External"/><Relationship Id="rId6097" Type="http://schemas.openxmlformats.org/officeDocument/2006/relationships/hyperlink" Target="https://maps.google.com/?q=17.976553,-96.705423999999994" TargetMode="External"/><Relationship Id="rId7495" Type="http://schemas.openxmlformats.org/officeDocument/2006/relationships/hyperlink" Target="https://maps.google.com/?q=17.3430058,-97.371742850000004" TargetMode="External"/><Relationship Id="rId8546" Type="http://schemas.openxmlformats.org/officeDocument/2006/relationships/hyperlink" Target="https://maps.google.com/?q=16.9211873096315,-96.611328250878501" TargetMode="External"/><Relationship Id="rId10476" Type="http://schemas.openxmlformats.org/officeDocument/2006/relationships/hyperlink" Target="https://maps.google.com/?q=17.8431635349389,-96.748500356508202" TargetMode="External"/><Relationship Id="rId11527" Type="http://schemas.openxmlformats.org/officeDocument/2006/relationships/hyperlink" Target="https://maps.google.com/?q=16.6153815312979,-96.848870425017793" TargetMode="External"/><Relationship Id="rId7148" Type="http://schemas.openxmlformats.org/officeDocument/2006/relationships/hyperlink" Target="https://maps.google.com/?q=17.3650918768025,-97.6638338230416" TargetMode="External"/><Relationship Id="rId10129" Type="http://schemas.openxmlformats.org/officeDocument/2006/relationships/hyperlink" Target="https://maps.google.com/?q=17.12295719011,-97.515962673315599" TargetMode="External"/><Relationship Id="rId13699" Type="http://schemas.openxmlformats.org/officeDocument/2006/relationships/hyperlink" Target="https://maps.google.com/?q=16.53484,-97.49542" TargetMode="External"/><Relationship Id="rId14000" Type="http://schemas.openxmlformats.org/officeDocument/2006/relationships/hyperlink" Target="https://maps.google.com/?q=16.328751,-96.596529000000004" TargetMode="External"/><Relationship Id="rId3758" Type="http://schemas.openxmlformats.org/officeDocument/2006/relationships/hyperlink" Target="https://maps.google.com/?q=15.76217,-96.142904999999999" TargetMode="External"/><Relationship Id="rId4809" Type="http://schemas.openxmlformats.org/officeDocument/2006/relationships/hyperlink" Target="https://maps.google.com/?q=16.9042926626517,-96.500227868895806" TargetMode="External"/><Relationship Id="rId679" Type="http://schemas.openxmlformats.org/officeDocument/2006/relationships/hyperlink" Target="https://maps.google.com/?q=16.061124,-97.384180000000001" TargetMode="External"/><Relationship Id="rId5180" Type="http://schemas.openxmlformats.org/officeDocument/2006/relationships/hyperlink" Target="https://maps.google.com/?q=17.314781,-95.965007999999997" TargetMode="External"/><Relationship Id="rId6231" Type="http://schemas.openxmlformats.org/officeDocument/2006/relationships/hyperlink" Target="https://maps.google.com/?q=16.100299,-97.079627000000002" TargetMode="External"/><Relationship Id="rId10610" Type="http://schemas.openxmlformats.org/officeDocument/2006/relationships/hyperlink" Target="https://maps.google.com/?q=17.1318247258429,-97.752232906745903" TargetMode="External"/><Relationship Id="rId9454" Type="http://schemas.openxmlformats.org/officeDocument/2006/relationships/hyperlink" Target="https://maps.google.com/?q=15.830671,-96.618562999999995" TargetMode="External"/><Relationship Id="rId12782" Type="http://schemas.openxmlformats.org/officeDocument/2006/relationships/hyperlink" Target="https://maps.google.com/?q=17.252937,-96.154693" TargetMode="External"/><Relationship Id="rId13833" Type="http://schemas.openxmlformats.org/officeDocument/2006/relationships/hyperlink" Target="https://maps.google.com/?q=17.090817,-97.783885999999995" TargetMode="External"/><Relationship Id="rId1790" Type="http://schemas.openxmlformats.org/officeDocument/2006/relationships/hyperlink" Target="https://maps.google.com/?q=18.0636206926998,-96.896460340410101" TargetMode="External"/><Relationship Id="rId2841" Type="http://schemas.openxmlformats.org/officeDocument/2006/relationships/hyperlink" Target="https://maps.google.com/?q=16.951174700075,-97.709688141035201" TargetMode="External"/><Relationship Id="rId8056" Type="http://schemas.openxmlformats.org/officeDocument/2006/relationships/hyperlink" Target="https://maps.google.com/?q=16.4966217975209,-97.379132330485604" TargetMode="External"/><Relationship Id="rId9107" Type="http://schemas.openxmlformats.org/officeDocument/2006/relationships/hyperlink" Target="https://maps.google.com/?q=17.239652766572576,-97.44881098776627" TargetMode="External"/><Relationship Id="rId11384" Type="http://schemas.openxmlformats.org/officeDocument/2006/relationships/hyperlink" Target="https://maps.google.com/?q=17.3435001771076,-97.56004232084946" TargetMode="External"/><Relationship Id="rId12435" Type="http://schemas.openxmlformats.org/officeDocument/2006/relationships/hyperlink" Target="https://maps.google.com/?q=17.2205158041027,-97.270870094042493" TargetMode="External"/><Relationship Id="rId813" Type="http://schemas.openxmlformats.org/officeDocument/2006/relationships/hyperlink" Target="https://maps.google.com/?q=15.695274220202515,-96.522958125675189" TargetMode="External"/><Relationship Id="rId1443" Type="http://schemas.openxmlformats.org/officeDocument/2006/relationships/hyperlink" Target="https://maps.google.com/?q=17.08411,-96.71794" TargetMode="External"/><Relationship Id="rId11037" Type="http://schemas.openxmlformats.org/officeDocument/2006/relationships/hyperlink" Target="https://maps.google.com/?q=16.507069,-98.343273" TargetMode="External"/><Relationship Id="rId4666" Type="http://schemas.openxmlformats.org/officeDocument/2006/relationships/hyperlink" Target="https://maps.google.com/?q=17.074474,-96.744178000000005" TargetMode="External"/><Relationship Id="rId5717" Type="http://schemas.openxmlformats.org/officeDocument/2006/relationships/hyperlink" Target="https://maps.google.com/?q=16.66318685,-96.30829452" TargetMode="External"/><Relationship Id="rId3268" Type="http://schemas.openxmlformats.org/officeDocument/2006/relationships/hyperlink" Target="https://maps.google.com/?q=17.0601441302221,-96.819486986592395" TargetMode="External"/><Relationship Id="rId4319" Type="http://schemas.openxmlformats.org/officeDocument/2006/relationships/hyperlink" Target="https://maps.google.com/?q=16.0312629833325,-96.640676357746798" TargetMode="External"/><Relationship Id="rId7889" Type="http://schemas.openxmlformats.org/officeDocument/2006/relationships/hyperlink" Target="https://maps.google.com/?q=16.3184131317735,-96.413973842922204" TargetMode="External"/><Relationship Id="rId10120" Type="http://schemas.openxmlformats.org/officeDocument/2006/relationships/hyperlink" Target="https://maps.google.com/?q=17.1183550850742,-97.512559127790993" TargetMode="External"/><Relationship Id="rId189" Type="http://schemas.openxmlformats.org/officeDocument/2006/relationships/hyperlink" Target="https://maps.google.com/?q=17.091356,-97.491883000000001" TargetMode="External"/><Relationship Id="rId12292" Type="http://schemas.openxmlformats.org/officeDocument/2006/relationships/hyperlink" Target="https://maps.google.com/?q=16.4810418854652,-94.346063480985507" TargetMode="External"/><Relationship Id="rId13690" Type="http://schemas.openxmlformats.org/officeDocument/2006/relationships/hyperlink" Target="https://maps.google.com/?q=16.996043,-96.780593" TargetMode="External"/><Relationship Id="rId670" Type="http://schemas.openxmlformats.org/officeDocument/2006/relationships/hyperlink" Target="https://maps.google.com/?q=16.055021,-97.393434999999997" TargetMode="External"/><Relationship Id="rId2351" Type="http://schemas.openxmlformats.org/officeDocument/2006/relationships/hyperlink" Target="https://maps.google.com/?q=17.05938,-97.699914000000007" TargetMode="External"/><Relationship Id="rId3402" Type="http://schemas.openxmlformats.org/officeDocument/2006/relationships/hyperlink" Target="https://maps.google.com/?q=18.0059364223351,-96.642749510415996" TargetMode="External"/><Relationship Id="rId4800" Type="http://schemas.openxmlformats.org/officeDocument/2006/relationships/hyperlink" Target="https://maps.google.com/?q=16.8961914290763,-96.502105284477594" TargetMode="External"/><Relationship Id="rId13343" Type="http://schemas.openxmlformats.org/officeDocument/2006/relationships/hyperlink" Target="https://maps.google.com/?q=16.3143486765157,-96.672665775462903" TargetMode="External"/><Relationship Id="rId323" Type="http://schemas.openxmlformats.org/officeDocument/2006/relationships/hyperlink" Target="https://maps.google.com/?q=16.05481,-97.395390000000006" TargetMode="External"/><Relationship Id="rId2004" Type="http://schemas.openxmlformats.org/officeDocument/2006/relationships/hyperlink" Target="https://maps.google.com/?q=15.757704058278325,-96.139115699091022" TargetMode="External"/><Relationship Id="rId6972" Type="http://schemas.openxmlformats.org/officeDocument/2006/relationships/hyperlink" Target="https://maps.google.com/?q=17.01419254,-96.518772319999997" TargetMode="External"/><Relationship Id="rId4176" Type="http://schemas.openxmlformats.org/officeDocument/2006/relationships/hyperlink" Target="https://maps.google.com/?q=16.3197923053817,-97.798503895663401" TargetMode="External"/><Relationship Id="rId5574" Type="http://schemas.openxmlformats.org/officeDocument/2006/relationships/hyperlink" Target="https://maps.google.com/?q=17.443750252742,-96.181365766687506" TargetMode="External"/><Relationship Id="rId6625" Type="http://schemas.openxmlformats.org/officeDocument/2006/relationships/hyperlink" Target="https://maps.google.com/?q=17.264665,-97.334818" TargetMode="External"/><Relationship Id="rId5227" Type="http://schemas.openxmlformats.org/officeDocument/2006/relationships/hyperlink" Target="https://maps.google.com/?q=17.2825943932702,-97.376384953373005" TargetMode="External"/><Relationship Id="rId8797" Type="http://schemas.openxmlformats.org/officeDocument/2006/relationships/hyperlink" Target="https://maps.google.com/?q=17.213512,-96.249168999999995" TargetMode="External"/><Relationship Id="rId9848" Type="http://schemas.openxmlformats.org/officeDocument/2006/relationships/hyperlink" Target="https://maps.google.com/?q=16.6336387339665,-96.851943168271106" TargetMode="External"/><Relationship Id="rId11778" Type="http://schemas.openxmlformats.org/officeDocument/2006/relationships/hyperlink" Target="https://maps.google.com/?q=17.87053430121225,-97.36454899751854" TargetMode="External"/><Relationship Id="rId12829" Type="http://schemas.openxmlformats.org/officeDocument/2006/relationships/hyperlink" Target="https://maps.google.com/?q=17.514474,-97.685840999999996" TargetMode="External"/><Relationship Id="rId1837" Type="http://schemas.openxmlformats.org/officeDocument/2006/relationships/hyperlink" Target="https://maps.google.com/?q=18.0365949398848,-96.895411511187206" TargetMode="External"/><Relationship Id="rId7399" Type="http://schemas.openxmlformats.org/officeDocument/2006/relationships/hyperlink" Target="https://maps.google.com/?q=17.077385,-97.001174000000006" TargetMode="External"/><Relationship Id="rId4310" Type="http://schemas.openxmlformats.org/officeDocument/2006/relationships/hyperlink" Target="https://maps.google.com/?q=16.0266777697335,-96.638875235156306" TargetMode="External"/><Relationship Id="rId7880" Type="http://schemas.openxmlformats.org/officeDocument/2006/relationships/hyperlink" Target="https://maps.google.com/?q=16.3178180189719,-96.410487495700806" TargetMode="External"/><Relationship Id="rId180" Type="http://schemas.openxmlformats.org/officeDocument/2006/relationships/hyperlink" Target="https://maps.google.com/?q=17.097922,-97.492137999999997" TargetMode="External"/><Relationship Id="rId6482" Type="http://schemas.openxmlformats.org/officeDocument/2006/relationships/hyperlink" Target="https://maps.google.com/?q=17.2561288939521,-97.5414760573085" TargetMode="External"/><Relationship Id="rId7533" Type="http://schemas.openxmlformats.org/officeDocument/2006/relationships/hyperlink" Target="https://maps.google.com/?q=17.9757085939186,-96.702886360654603" TargetMode="External"/><Relationship Id="rId8931" Type="http://schemas.openxmlformats.org/officeDocument/2006/relationships/hyperlink" Target="https://maps.google.com/?q=17.381122983,-96.161205117999998" TargetMode="External"/><Relationship Id="rId10861" Type="http://schemas.openxmlformats.org/officeDocument/2006/relationships/hyperlink" Target="https://maps.google.com/?q=16.3511569476524,-94.479648592180695" TargetMode="External"/><Relationship Id="rId11912" Type="http://schemas.openxmlformats.org/officeDocument/2006/relationships/hyperlink" Target="https://maps.google.com/?q=17.286190799084597,-96.62379245518932" TargetMode="External"/><Relationship Id="rId5084" Type="http://schemas.openxmlformats.org/officeDocument/2006/relationships/hyperlink" Target="https://maps.google.com/?q=17.252926,-96.156475999999998" TargetMode="External"/><Relationship Id="rId6135" Type="http://schemas.openxmlformats.org/officeDocument/2006/relationships/hyperlink" Target="https://maps.google.com/?q=16.9524072,-96.609760449999996" TargetMode="External"/><Relationship Id="rId10514" Type="http://schemas.openxmlformats.org/officeDocument/2006/relationships/hyperlink" Target="https://maps.google.com/?q=17.8466807581026,-96.749068791762795" TargetMode="External"/><Relationship Id="rId12686" Type="http://schemas.openxmlformats.org/officeDocument/2006/relationships/hyperlink" Target="https://maps.google.com/?q=16.2828996705195,-96.5034301165676" TargetMode="External"/><Relationship Id="rId13737" Type="http://schemas.openxmlformats.org/officeDocument/2006/relationships/hyperlink" Target="https://maps.google.com/?q=16.320614,-94.756942" TargetMode="External"/><Relationship Id="rId1694" Type="http://schemas.openxmlformats.org/officeDocument/2006/relationships/hyperlink" Target="https://maps.google.com/?q=18.0718632427384,-96.899554429999995" TargetMode="External"/><Relationship Id="rId2745" Type="http://schemas.openxmlformats.org/officeDocument/2006/relationships/hyperlink" Target="https://maps.google.com/?q=17.991339,-96.489907000000002" TargetMode="External"/><Relationship Id="rId9358" Type="http://schemas.openxmlformats.org/officeDocument/2006/relationships/hyperlink" Target="https://maps.google.com/?q=16.8182536643652,-95.135378701312106" TargetMode="External"/><Relationship Id="rId11288" Type="http://schemas.openxmlformats.org/officeDocument/2006/relationships/hyperlink" Target="https://maps.google.com/?q=17.8668887083576,-96.308339983942801" TargetMode="External"/><Relationship Id="rId12339" Type="http://schemas.openxmlformats.org/officeDocument/2006/relationships/hyperlink" Target="https://maps.google.com/?q=16.890798,-96.771657" TargetMode="External"/><Relationship Id="rId717" Type="http://schemas.openxmlformats.org/officeDocument/2006/relationships/hyperlink" Target="https://maps.google.com/?q=16.06207,-97.383854999999997" TargetMode="External"/><Relationship Id="rId1347" Type="http://schemas.openxmlformats.org/officeDocument/2006/relationships/hyperlink" Target="https://maps.google.com/?q=17.0197253,-96.7180375" TargetMode="External"/><Relationship Id="rId5968" Type="http://schemas.openxmlformats.org/officeDocument/2006/relationships/hyperlink" Target="https://maps.google.com/?q=18.1543744105587,-96.575481707622203" TargetMode="External"/><Relationship Id="rId53" Type="http://schemas.openxmlformats.org/officeDocument/2006/relationships/hyperlink" Target="https://maps.google.com/?q=15.908139,-96.449583000000004" TargetMode="External"/><Relationship Id="rId7390" Type="http://schemas.openxmlformats.org/officeDocument/2006/relationships/hyperlink" Target="https://maps.google.com/?q=17.101483,-97.002503000000004" TargetMode="External"/><Relationship Id="rId8441" Type="http://schemas.openxmlformats.org/officeDocument/2006/relationships/hyperlink" Target="https://maps.google.com/?q=17.06277787853,-96.823466990492804" TargetMode="External"/><Relationship Id="rId10371" Type="http://schemas.openxmlformats.org/officeDocument/2006/relationships/hyperlink" Target="https://maps.google.com/?q=17.4368523388187,-96.654137439148101" TargetMode="External"/><Relationship Id="rId12820" Type="http://schemas.openxmlformats.org/officeDocument/2006/relationships/hyperlink" Target="https://maps.google.com/?q=17.8519529415078,-97.438083131283094" TargetMode="External"/><Relationship Id="rId7043" Type="http://schemas.openxmlformats.org/officeDocument/2006/relationships/hyperlink" Target="https://maps.google.com/?q=17.0332882110159,-97.294140371830096" TargetMode="External"/><Relationship Id="rId10024" Type="http://schemas.openxmlformats.org/officeDocument/2006/relationships/hyperlink" Target="https://maps.google.com/?q=17.0001020741296,-96.0796269151259" TargetMode="External"/><Relationship Id="rId11422" Type="http://schemas.openxmlformats.org/officeDocument/2006/relationships/hyperlink" Target="https://maps.google.com/?q=17.381259132189,-98.188361545963303" TargetMode="External"/><Relationship Id="rId13594" Type="http://schemas.openxmlformats.org/officeDocument/2006/relationships/hyperlink" Target="https://maps.google.com/?q=18.13222,-97.070751000000001" TargetMode="External"/><Relationship Id="rId574" Type="http://schemas.openxmlformats.org/officeDocument/2006/relationships/hyperlink" Target="https://maps.google.com/?q=16.052507,-97.402904000000007" TargetMode="External"/><Relationship Id="rId2255" Type="http://schemas.openxmlformats.org/officeDocument/2006/relationships/hyperlink" Target="https://maps.google.com/?q=18.0929417189886,-96.931380874629397" TargetMode="External"/><Relationship Id="rId3653" Type="http://schemas.openxmlformats.org/officeDocument/2006/relationships/hyperlink" Target="https://maps.google.com/?q=15.779777681144346,-96.138582282611196" TargetMode="External"/><Relationship Id="rId4704" Type="http://schemas.openxmlformats.org/officeDocument/2006/relationships/hyperlink" Target="https://maps.google.com/?q=17.0197253004008,-96.718037502299168" TargetMode="External"/><Relationship Id="rId12196" Type="http://schemas.openxmlformats.org/officeDocument/2006/relationships/hyperlink" Target="https://maps.google.com/?q=17.4175318467477,-95.948552453598197" TargetMode="External"/><Relationship Id="rId13247" Type="http://schemas.openxmlformats.org/officeDocument/2006/relationships/hyperlink" Target="https://maps.google.com/?q=17.1479959435191,-96.760070434358596" TargetMode="External"/><Relationship Id="rId227" Type="http://schemas.openxmlformats.org/officeDocument/2006/relationships/hyperlink" Target="https://maps.google.com/?q=17.090076,-97.503742000000003" TargetMode="External"/><Relationship Id="rId3306" Type="http://schemas.openxmlformats.org/officeDocument/2006/relationships/hyperlink" Target="https://maps.google.com/?q=17.0637032469744,-96.809978354205001" TargetMode="External"/><Relationship Id="rId6876" Type="http://schemas.openxmlformats.org/officeDocument/2006/relationships/hyperlink" Target="https://maps.google.com/?q=16.9705637620756,-97.086109655837006" TargetMode="External"/><Relationship Id="rId7927" Type="http://schemas.openxmlformats.org/officeDocument/2006/relationships/hyperlink" Target="https://maps.google.com/?q=16.3217031623773,-96.414361763152996" TargetMode="External"/><Relationship Id="rId10908" Type="http://schemas.openxmlformats.org/officeDocument/2006/relationships/hyperlink" Target="https://maps.google.com/?q=16.1891511766834,-95.187027177790597" TargetMode="External"/><Relationship Id="rId5478" Type="http://schemas.openxmlformats.org/officeDocument/2006/relationships/hyperlink" Target="https://maps.google.com/?q=16.328496,-96.489525999999998" TargetMode="External"/><Relationship Id="rId6529" Type="http://schemas.openxmlformats.org/officeDocument/2006/relationships/hyperlink" Target="https://maps.google.com/?q=17.2585199773945,-97.571654749788095" TargetMode="External"/><Relationship Id="rId12330" Type="http://schemas.openxmlformats.org/officeDocument/2006/relationships/hyperlink" Target="https://maps.google.com/?q=16.61602,-96.789987" TargetMode="External"/><Relationship Id="rId9002" Type="http://schemas.openxmlformats.org/officeDocument/2006/relationships/hyperlink" Target="https://maps.google.com/?q=17.382219279,-96.160973784000007" TargetMode="External"/><Relationship Id="rId4561" Type="http://schemas.openxmlformats.org/officeDocument/2006/relationships/hyperlink" Target="https://maps.google.com/?q=17.1858550436574,-97.303818200857606" TargetMode="External"/><Relationship Id="rId5612" Type="http://schemas.openxmlformats.org/officeDocument/2006/relationships/hyperlink" Target="https://maps.google.com/?q=17.5499089702018,-96.221478348548899" TargetMode="External"/><Relationship Id="rId14155" Type="http://schemas.openxmlformats.org/officeDocument/2006/relationships/hyperlink" Target="https://maps.google.com/?q=16.642137,-96.751093" TargetMode="External"/><Relationship Id="rId3163" Type="http://schemas.openxmlformats.org/officeDocument/2006/relationships/hyperlink" Target="https://maps.google.com/?q=16.544912,-97.496509000000003" TargetMode="External"/><Relationship Id="rId4214" Type="http://schemas.openxmlformats.org/officeDocument/2006/relationships/hyperlink" Target="https://maps.google.com/?q=17.335316,-98.012051" TargetMode="External"/><Relationship Id="rId6386" Type="http://schemas.openxmlformats.org/officeDocument/2006/relationships/hyperlink" Target="https://maps.google.com/?q=16.4596706798292,-95.001347633621506" TargetMode="External"/><Relationship Id="rId7784" Type="http://schemas.openxmlformats.org/officeDocument/2006/relationships/hyperlink" Target="https://maps.google.com/?q=17.8442303895106,-96.745957597321393" TargetMode="External"/><Relationship Id="rId8835" Type="http://schemas.openxmlformats.org/officeDocument/2006/relationships/hyperlink" Target="https://maps.google.com/?q=17.216531,-96.245526999999996" TargetMode="External"/><Relationship Id="rId10765" Type="http://schemas.openxmlformats.org/officeDocument/2006/relationships/hyperlink" Target="https://maps.google.com/?q=17.457046,-97.222431" TargetMode="External"/><Relationship Id="rId11816" Type="http://schemas.openxmlformats.org/officeDocument/2006/relationships/hyperlink" Target="https://maps.google.com/?q=17.78350883819186,-96.79716260003471" TargetMode="External"/><Relationship Id="rId6039" Type="http://schemas.openxmlformats.org/officeDocument/2006/relationships/hyperlink" Target="https://maps.google.com/?q=18.156747078606088,-96.576626055410529" TargetMode="External"/><Relationship Id="rId7437" Type="http://schemas.openxmlformats.org/officeDocument/2006/relationships/hyperlink" Target="https://maps.google.com/?q=16.3152911099301,-96.673041275597697" TargetMode="External"/><Relationship Id="rId10418" Type="http://schemas.openxmlformats.org/officeDocument/2006/relationships/hyperlink" Target="https://maps.google.com/?q=17.0476613,-96.782428400000001" TargetMode="External"/><Relationship Id="rId13988" Type="http://schemas.openxmlformats.org/officeDocument/2006/relationships/hyperlink" Target="https://maps.google.com/?q=16.33096081,-98.37127626" TargetMode="External"/><Relationship Id="rId2996" Type="http://schemas.openxmlformats.org/officeDocument/2006/relationships/hyperlink" Target="https://maps.google.com/?q=17.952597,-96.737941000000006" TargetMode="External"/><Relationship Id="rId968" Type="http://schemas.openxmlformats.org/officeDocument/2006/relationships/hyperlink" Target="https://maps.google.com/?q=15.686150459911582,-96.511948138325351" TargetMode="External"/><Relationship Id="rId1598" Type="http://schemas.openxmlformats.org/officeDocument/2006/relationships/hyperlink" Target="https://maps.google.com/?q=17.676145,-96.128206000000006" TargetMode="External"/><Relationship Id="rId2649" Type="http://schemas.openxmlformats.org/officeDocument/2006/relationships/hyperlink" Target="https://maps.google.com/?q=17.6212929772557,-97.223924793955106" TargetMode="External"/><Relationship Id="rId6520" Type="http://schemas.openxmlformats.org/officeDocument/2006/relationships/hyperlink" Target="https://maps.google.com/?q=17.2540595947214,-97.566993635369997" TargetMode="External"/><Relationship Id="rId4071" Type="http://schemas.openxmlformats.org/officeDocument/2006/relationships/hyperlink" Target="https://maps.google.com/?q=17.082948,-96.727685" TargetMode="External"/><Relationship Id="rId5122" Type="http://schemas.openxmlformats.org/officeDocument/2006/relationships/hyperlink" Target="https://maps.google.com/?q=17.253963,-96.156987000000001" TargetMode="External"/><Relationship Id="rId8692" Type="http://schemas.openxmlformats.org/officeDocument/2006/relationships/hyperlink" Target="https://maps.google.com/?q=16.1882097587625,-96.618144329043901" TargetMode="External"/><Relationship Id="rId9743" Type="http://schemas.openxmlformats.org/officeDocument/2006/relationships/hyperlink" Target="https://maps.google.com/?q=17.2738303977972,-96.806199899634606" TargetMode="External"/><Relationship Id="rId7294" Type="http://schemas.openxmlformats.org/officeDocument/2006/relationships/hyperlink" Target="https://maps.google.com/?q=16.3067800739344,-97.913936515582407" TargetMode="External"/><Relationship Id="rId8345" Type="http://schemas.openxmlformats.org/officeDocument/2006/relationships/hyperlink" Target="https://maps.google.com/?q=16.8434021187999,-97.197635630112003" TargetMode="External"/><Relationship Id="rId11673" Type="http://schemas.openxmlformats.org/officeDocument/2006/relationships/hyperlink" Target="https://maps.google.com/?q=17.17547501,-97.710218609999998" TargetMode="External"/><Relationship Id="rId12724" Type="http://schemas.openxmlformats.org/officeDocument/2006/relationships/hyperlink" Target="https://maps.google.com/?q=16.2864328411347,-96.504432197509502" TargetMode="External"/><Relationship Id="rId1732" Type="http://schemas.openxmlformats.org/officeDocument/2006/relationships/hyperlink" Target="https://maps.google.com/?q=18.0637125528829,-96.832281570000006" TargetMode="External"/><Relationship Id="rId10275" Type="http://schemas.openxmlformats.org/officeDocument/2006/relationships/hyperlink" Target="https://maps.google.com/?q=16.245557,-95.149275000000003" TargetMode="External"/><Relationship Id="rId11326" Type="http://schemas.openxmlformats.org/officeDocument/2006/relationships/hyperlink" Target="https://maps.google.com/?q=17.000174,-96.762142999999995" TargetMode="External"/><Relationship Id="rId4955" Type="http://schemas.openxmlformats.org/officeDocument/2006/relationships/hyperlink" Target="https://maps.google.com/?q=17.26588996,-97.590916359999994" TargetMode="External"/><Relationship Id="rId13498" Type="http://schemas.openxmlformats.org/officeDocument/2006/relationships/hyperlink" Target="https://maps.google.com/?q=17.6910906178294,-97.034957061342197" TargetMode="External"/><Relationship Id="rId3557" Type="http://schemas.openxmlformats.org/officeDocument/2006/relationships/hyperlink" Target="https://maps.google.com/?q=15.761431554309501,-96.148575549187569" TargetMode="External"/><Relationship Id="rId4608" Type="http://schemas.openxmlformats.org/officeDocument/2006/relationships/hyperlink" Target="https://maps.google.com/?q=16.558474,-96.817357000000001" TargetMode="External"/><Relationship Id="rId478" Type="http://schemas.openxmlformats.org/officeDocument/2006/relationships/hyperlink" Target="https://maps.google.com/?q=16.053534,-97.409709000000007" TargetMode="External"/><Relationship Id="rId2159" Type="http://schemas.openxmlformats.org/officeDocument/2006/relationships/hyperlink" Target="https://maps.google.com/?q=15.758177688725652,-96.148369216038333" TargetMode="External"/><Relationship Id="rId6030" Type="http://schemas.openxmlformats.org/officeDocument/2006/relationships/hyperlink" Target="https://maps.google.com/?q=18.156245452375355,-96.57684158075044" TargetMode="External"/><Relationship Id="rId12581" Type="http://schemas.openxmlformats.org/officeDocument/2006/relationships/hyperlink" Target="https://maps.google.com/?q=16.6263876274353,-96.954827068836096" TargetMode="External"/><Relationship Id="rId2640" Type="http://schemas.openxmlformats.org/officeDocument/2006/relationships/hyperlink" Target="https://maps.google.com/?q=18.084538,-96.167866000000004" TargetMode="External"/><Relationship Id="rId9253" Type="http://schemas.openxmlformats.org/officeDocument/2006/relationships/hyperlink" Target="https://maps.google.com/?q=17.3773528101374,-96.2994238116096" TargetMode="External"/><Relationship Id="rId11183" Type="http://schemas.openxmlformats.org/officeDocument/2006/relationships/hyperlink" Target="https://maps.google.com/?q=16.844807,-96.008024000000006" TargetMode="External"/><Relationship Id="rId12234" Type="http://schemas.openxmlformats.org/officeDocument/2006/relationships/hyperlink" Target="https://maps.google.com/?q=16.4182534,-97.222205349999996" TargetMode="External"/><Relationship Id="rId13632" Type="http://schemas.openxmlformats.org/officeDocument/2006/relationships/hyperlink" Target="https://maps.google.com/?q=15.92183,-96.17514" TargetMode="External"/><Relationship Id="rId612" Type="http://schemas.openxmlformats.org/officeDocument/2006/relationships/hyperlink" Target="https://maps.google.com/?q=16.054745,-97.396428" TargetMode="External"/><Relationship Id="rId1242" Type="http://schemas.openxmlformats.org/officeDocument/2006/relationships/hyperlink" Target="https://maps.google.com/?q=17.05601879,-96.745880600000007" TargetMode="External"/><Relationship Id="rId4465" Type="http://schemas.openxmlformats.org/officeDocument/2006/relationships/hyperlink" Target="https://maps.google.com/?q=17.620858,-98.002036000000004" TargetMode="External"/><Relationship Id="rId5863" Type="http://schemas.openxmlformats.org/officeDocument/2006/relationships/hyperlink" Target="https://maps.google.com/?q=15.9759349460559,-97.245361634427894" TargetMode="External"/><Relationship Id="rId6914" Type="http://schemas.openxmlformats.org/officeDocument/2006/relationships/hyperlink" Target="https://maps.google.com/?q=17.1664665420738,-94.788442838132696" TargetMode="External"/><Relationship Id="rId3067" Type="http://schemas.openxmlformats.org/officeDocument/2006/relationships/hyperlink" Target="https://maps.google.com/?q=16.963883,-96.941590899999994" TargetMode="External"/><Relationship Id="rId4118" Type="http://schemas.openxmlformats.org/officeDocument/2006/relationships/hyperlink" Target="https://maps.google.com/?q=17.058657,-96.743072990000002" TargetMode="External"/><Relationship Id="rId5516" Type="http://schemas.openxmlformats.org/officeDocument/2006/relationships/hyperlink" Target="https://maps.google.com/?q=17.2775183718647,-97.362850234482195" TargetMode="External"/><Relationship Id="rId14059" Type="http://schemas.openxmlformats.org/officeDocument/2006/relationships/hyperlink" Target="https://maps.google.com/?q=17.414770233411588,-96.82220202737456" TargetMode="External"/><Relationship Id="rId7688" Type="http://schemas.openxmlformats.org/officeDocument/2006/relationships/hyperlink" Target="https://maps.google.com/?q=17.2052796139698,-97.518263083373597" TargetMode="External"/><Relationship Id="rId8739" Type="http://schemas.openxmlformats.org/officeDocument/2006/relationships/hyperlink" Target="https://maps.google.com/?q=18.0603700928456,-96.124837846627102" TargetMode="External"/><Relationship Id="rId10669" Type="http://schemas.openxmlformats.org/officeDocument/2006/relationships/hyperlink" Target="https://maps.google.com/?q=15.7032755066414,-96.264761072591895" TargetMode="External"/><Relationship Id="rId12091" Type="http://schemas.openxmlformats.org/officeDocument/2006/relationships/hyperlink" Target="https://maps.google.com/?q=16.24677783,-95.324879980000006" TargetMode="External"/><Relationship Id="rId13142" Type="http://schemas.openxmlformats.org/officeDocument/2006/relationships/hyperlink" Target="https://maps.google.com/?q=17.1901626514502,-96.514312203704804" TargetMode="External"/><Relationship Id="rId2150" Type="http://schemas.openxmlformats.org/officeDocument/2006/relationships/hyperlink" Target="https://maps.google.com/?q=15.764842,-96.142866999999995" TargetMode="External"/><Relationship Id="rId3201" Type="http://schemas.openxmlformats.org/officeDocument/2006/relationships/hyperlink" Target="https://maps.google.com/?q=16.4889275862224,-96.941693000000001" TargetMode="External"/><Relationship Id="rId6771" Type="http://schemas.openxmlformats.org/officeDocument/2006/relationships/hyperlink" Target="https://maps.google.com/?q=16.6240856110017,-97.042477014502893" TargetMode="External"/><Relationship Id="rId7822" Type="http://schemas.openxmlformats.org/officeDocument/2006/relationships/hyperlink" Target="https://maps.google.com/?q=17.009995,&#160;-96.890861" TargetMode="External"/><Relationship Id="rId122" Type="http://schemas.openxmlformats.org/officeDocument/2006/relationships/hyperlink" Target="https://maps.google.com/?q=17.091677,-97.496729000000002" TargetMode="External"/><Relationship Id="rId5373" Type="http://schemas.openxmlformats.org/officeDocument/2006/relationships/hyperlink" Target="https://maps.google.com/?q=15.9732231314606,-97.2452094120531" TargetMode="External"/><Relationship Id="rId6424" Type="http://schemas.openxmlformats.org/officeDocument/2006/relationships/hyperlink" Target="https://maps.google.com/?q=17.2505829175819,-97.582823863315099" TargetMode="External"/><Relationship Id="rId10803" Type="http://schemas.openxmlformats.org/officeDocument/2006/relationships/hyperlink" Target="https://maps.google.com/?q=16.3646360322311,-96.376360932540805" TargetMode="External"/><Relationship Id="rId5026" Type="http://schemas.openxmlformats.org/officeDocument/2006/relationships/hyperlink" Target="https://maps.google.com/?q=17.250788,-96.151509000000004" TargetMode="External"/><Relationship Id="rId8596" Type="http://schemas.openxmlformats.org/officeDocument/2006/relationships/hyperlink" Target="https://maps.google.com/?q=17.8824058957173,-96.727403371777996" TargetMode="External"/><Relationship Id="rId9994" Type="http://schemas.openxmlformats.org/officeDocument/2006/relationships/hyperlink" Target="https://maps.google.com/?q=17.104493870898,-97.495276513313499" TargetMode="External"/><Relationship Id="rId12975" Type="http://schemas.openxmlformats.org/officeDocument/2006/relationships/hyperlink" Target="https://maps.google.com/?q=16.51133,-97.452213999999998" TargetMode="External"/><Relationship Id="rId1983" Type="http://schemas.openxmlformats.org/officeDocument/2006/relationships/hyperlink" Target="https://maps.google.com/?q=15.775145,-96.144084" TargetMode="External"/><Relationship Id="rId7198" Type="http://schemas.openxmlformats.org/officeDocument/2006/relationships/hyperlink" Target="https://maps.google.com/?q=16.1734966449939,-97.962661248517904" TargetMode="External"/><Relationship Id="rId8249" Type="http://schemas.openxmlformats.org/officeDocument/2006/relationships/hyperlink" Target="https://maps.google.com/?q=16.426849,-97.646590000000003" TargetMode="External"/><Relationship Id="rId9647" Type="http://schemas.openxmlformats.org/officeDocument/2006/relationships/hyperlink" Target="https://maps.google.com/?q=16.4750623931137,-96.677877660391104" TargetMode="External"/><Relationship Id="rId11577" Type="http://schemas.openxmlformats.org/officeDocument/2006/relationships/hyperlink" Target="https://maps.google.com/?q=16.850579749802,-96.751401658895404" TargetMode="External"/><Relationship Id="rId12628" Type="http://schemas.openxmlformats.org/officeDocument/2006/relationships/hyperlink" Target="https://maps.google.com/?q=17.114159,-96.854366999999996" TargetMode="External"/><Relationship Id="rId1636" Type="http://schemas.openxmlformats.org/officeDocument/2006/relationships/hyperlink" Target="https://maps.google.com/?q=16.8916861934643,-96.938761918402705" TargetMode="External"/><Relationship Id="rId10179" Type="http://schemas.openxmlformats.org/officeDocument/2006/relationships/hyperlink" Target="https://maps.google.com/?q=17.27734,-97.328339999999997" TargetMode="External"/><Relationship Id="rId14050" Type="http://schemas.openxmlformats.org/officeDocument/2006/relationships/hyperlink" Target="https://maps.google.com/?q=16.561280040209994,-95.12285054560657" TargetMode="External"/><Relationship Id="rId4859" Type="http://schemas.openxmlformats.org/officeDocument/2006/relationships/hyperlink" Target="https://maps.google.com/?q=16.7899984691682,-96.385325607894302" TargetMode="External"/><Relationship Id="rId8730" Type="http://schemas.openxmlformats.org/officeDocument/2006/relationships/hyperlink" Target="https://maps.google.com/?q=17.0587068816562,-96.824526240000395" TargetMode="External"/><Relationship Id="rId10660" Type="http://schemas.openxmlformats.org/officeDocument/2006/relationships/hyperlink" Target="https://maps.google.com/?q=16.0612332208787,-95.393355967281195" TargetMode="External"/><Relationship Id="rId6281" Type="http://schemas.openxmlformats.org/officeDocument/2006/relationships/hyperlink" Target="https://maps.google.com/?q=16.416145623480695,-98.06719205589621" TargetMode="External"/><Relationship Id="rId7332" Type="http://schemas.openxmlformats.org/officeDocument/2006/relationships/hyperlink" Target="https://maps.google.com/?q=16.5849152059628,-97.658790114086102" TargetMode="External"/><Relationship Id="rId10313" Type="http://schemas.openxmlformats.org/officeDocument/2006/relationships/hyperlink" Target="https://maps.google.com/?q=16.22691644,-97.266419569999996" TargetMode="External"/><Relationship Id="rId11711" Type="http://schemas.openxmlformats.org/officeDocument/2006/relationships/hyperlink" Target="https://maps.google.com/?q=17.1830667,-97.707220629999995" TargetMode="External"/><Relationship Id="rId13883" Type="http://schemas.openxmlformats.org/officeDocument/2006/relationships/hyperlink" Target="https://maps.google.com/?q=16.2763950344764,-96.569891966745601" TargetMode="External"/><Relationship Id="rId863" Type="http://schemas.openxmlformats.org/officeDocument/2006/relationships/hyperlink" Target="https://maps.google.com/?q=15.905309,-96.449188000000007" TargetMode="External"/><Relationship Id="rId1493" Type="http://schemas.openxmlformats.org/officeDocument/2006/relationships/hyperlink" Target="https://maps.google.com/?q=17.059171,-96.750380000000007" TargetMode="External"/><Relationship Id="rId2544" Type="http://schemas.openxmlformats.org/officeDocument/2006/relationships/hyperlink" Target="https://maps.google.com/?q=17.753292,-96.199433999999997" TargetMode="External"/><Relationship Id="rId2891" Type="http://schemas.openxmlformats.org/officeDocument/2006/relationships/hyperlink" Target="https://maps.google.com/?q=17.533795,-95.944327000000001" TargetMode="External"/><Relationship Id="rId3942" Type="http://schemas.openxmlformats.org/officeDocument/2006/relationships/hyperlink" Target="https://maps.google.com/?q=17.059207,-96.749972" TargetMode="External"/><Relationship Id="rId9157" Type="http://schemas.openxmlformats.org/officeDocument/2006/relationships/hyperlink" Target="https://maps.google.com/?q=17.002476120492,-96.958430100804193" TargetMode="External"/><Relationship Id="rId11087" Type="http://schemas.openxmlformats.org/officeDocument/2006/relationships/hyperlink" Target="https://maps.google.com/?q=17.253872,-96.156283" TargetMode="External"/><Relationship Id="rId12485" Type="http://schemas.openxmlformats.org/officeDocument/2006/relationships/hyperlink" Target="https://maps.google.com/?q=17.2224931607258,-97.272574007867703" TargetMode="External"/><Relationship Id="rId13536" Type="http://schemas.openxmlformats.org/officeDocument/2006/relationships/hyperlink" Target="https://maps.google.com/?q=17.01176218578432,-96.59886849206544" TargetMode="External"/><Relationship Id="rId516" Type="http://schemas.openxmlformats.org/officeDocument/2006/relationships/hyperlink" Target="https://maps.google.com/?q=16.054274,-97.406011000000007" TargetMode="External"/><Relationship Id="rId1146" Type="http://schemas.openxmlformats.org/officeDocument/2006/relationships/hyperlink" Target="https://maps.google.com/?q=0,&#160;-97.149611" TargetMode="External"/><Relationship Id="rId12138" Type="http://schemas.openxmlformats.org/officeDocument/2006/relationships/hyperlink" Target="https://maps.google.com/?q=16.285916,-97.672408000000004" TargetMode="External"/><Relationship Id="rId5767" Type="http://schemas.openxmlformats.org/officeDocument/2006/relationships/hyperlink" Target="https://maps.google.com/?q=16.998237,-97.232557" TargetMode="External"/><Relationship Id="rId6818" Type="http://schemas.openxmlformats.org/officeDocument/2006/relationships/hyperlink" Target="https://maps.google.com/?q=15.9930897672343,-97.192006256968398" TargetMode="External"/><Relationship Id="rId4369" Type="http://schemas.openxmlformats.org/officeDocument/2006/relationships/hyperlink" Target="https://maps.google.com/?q=15.96383188,-96.632251449999998" TargetMode="External"/><Relationship Id="rId8240" Type="http://schemas.openxmlformats.org/officeDocument/2006/relationships/hyperlink" Target="https://maps.google.com/?q=16.424937,-97.642910000000001" TargetMode="External"/><Relationship Id="rId10170" Type="http://schemas.openxmlformats.org/officeDocument/2006/relationships/hyperlink" Target="https://maps.google.com/?q=17.2657617381008,-97.720997137351702" TargetMode="External"/><Relationship Id="rId11221" Type="http://schemas.openxmlformats.org/officeDocument/2006/relationships/hyperlink" Target="https://maps.google.com/?q=16.5443,-98.167800" TargetMode="External"/><Relationship Id="rId4850" Type="http://schemas.openxmlformats.org/officeDocument/2006/relationships/hyperlink" Target="https://maps.google.com/?q=17.3386123350486,-96.166190692940006" TargetMode="External"/><Relationship Id="rId5901" Type="http://schemas.openxmlformats.org/officeDocument/2006/relationships/hyperlink" Target="https://maps.google.com/?q=18.145654716138523,-96.565744141769883" TargetMode="External"/><Relationship Id="rId13393" Type="http://schemas.openxmlformats.org/officeDocument/2006/relationships/hyperlink" Target="https://maps.google.com/?q=16.3259781414709,-96.667913752149701" TargetMode="External"/><Relationship Id="rId3452" Type="http://schemas.openxmlformats.org/officeDocument/2006/relationships/hyperlink" Target="https://maps.google.com/?q=16.4580341936442,-96.930937478504404" TargetMode="External"/><Relationship Id="rId4503" Type="http://schemas.openxmlformats.org/officeDocument/2006/relationships/hyperlink" Target="https://maps.google.com/?q=17.1788224242169,-97.304031539269303" TargetMode="External"/><Relationship Id="rId13046" Type="http://schemas.openxmlformats.org/officeDocument/2006/relationships/hyperlink" Target="https://maps.google.com/?q=16.562067,-97.530978500000003" TargetMode="External"/><Relationship Id="rId373" Type="http://schemas.openxmlformats.org/officeDocument/2006/relationships/hyperlink" Target="https://maps.google.com/?q=16.052967,-97.411302000000006" TargetMode="External"/><Relationship Id="rId2054" Type="http://schemas.openxmlformats.org/officeDocument/2006/relationships/hyperlink" Target="https://maps.google.com/?q=15.761995836799521,-96.146152326537532" TargetMode="External"/><Relationship Id="rId3105" Type="http://schemas.openxmlformats.org/officeDocument/2006/relationships/hyperlink" Target="https://maps.google.com/?q=15.9946219949,&#160;-96.46588249426" TargetMode="External"/><Relationship Id="rId6675" Type="http://schemas.openxmlformats.org/officeDocument/2006/relationships/hyperlink" Target="https://maps.google.com/?q=16.942883,-97.012991999999997" TargetMode="External"/><Relationship Id="rId5277" Type="http://schemas.openxmlformats.org/officeDocument/2006/relationships/hyperlink" Target="https://maps.google.com/?q=15.8250927647479,-96.465998621367902" TargetMode="External"/><Relationship Id="rId6328" Type="http://schemas.openxmlformats.org/officeDocument/2006/relationships/hyperlink" Target="https://maps.google.com/?q=18.0597962217163,-96.4009517790969" TargetMode="External"/><Relationship Id="rId7726" Type="http://schemas.openxmlformats.org/officeDocument/2006/relationships/hyperlink" Target="https://maps.google.com/?q=16.6302136467521,-96.803487258867406" TargetMode="External"/><Relationship Id="rId10707" Type="http://schemas.openxmlformats.org/officeDocument/2006/relationships/hyperlink" Target="https://maps.google.com/?q=16.950706,-96.750504000000006" TargetMode="External"/><Relationship Id="rId9898" Type="http://schemas.openxmlformats.org/officeDocument/2006/relationships/hyperlink" Target="https://maps.google.com/?q=16.7890731626329,-96.655029616627004" TargetMode="External"/><Relationship Id="rId12879" Type="http://schemas.openxmlformats.org/officeDocument/2006/relationships/hyperlink" Target="https://maps.google.com/?q=16.511865,-97.467629000000002" TargetMode="External"/><Relationship Id="rId1887" Type="http://schemas.openxmlformats.org/officeDocument/2006/relationships/hyperlink" Target="https://maps.google.com/?q=15.77602927151034,-96.136480538647177" TargetMode="External"/><Relationship Id="rId2938" Type="http://schemas.openxmlformats.org/officeDocument/2006/relationships/hyperlink" Target="https://maps.google.com/?q=17.07993705,-96.674212010000005" TargetMode="External"/><Relationship Id="rId4360" Type="http://schemas.openxmlformats.org/officeDocument/2006/relationships/hyperlink" Target="https://maps.google.com/?q=15.95999536,-96.641245069999997" TargetMode="External"/><Relationship Id="rId5411" Type="http://schemas.openxmlformats.org/officeDocument/2006/relationships/hyperlink" Target="https://maps.google.com/?q=16.0981492621029,-97.700662666352301" TargetMode="External"/><Relationship Id="rId8981" Type="http://schemas.openxmlformats.org/officeDocument/2006/relationships/hyperlink" Target="https://maps.google.com/?q=17.381831273,-96.160359080000006" TargetMode="External"/><Relationship Id="rId4013" Type="http://schemas.openxmlformats.org/officeDocument/2006/relationships/hyperlink" Target="https://maps.google.com/?q=17.018891150417932,-96.718331767274464" TargetMode="External"/><Relationship Id="rId7583" Type="http://schemas.openxmlformats.org/officeDocument/2006/relationships/hyperlink" Target="https://maps.google.com/?q=17.0932701237074,-95.8563328371377" TargetMode="External"/><Relationship Id="rId8634" Type="http://schemas.openxmlformats.org/officeDocument/2006/relationships/hyperlink" Target="https://maps.google.com/?q=17.9001128380717,-96.713411245522494" TargetMode="External"/><Relationship Id="rId11962" Type="http://schemas.openxmlformats.org/officeDocument/2006/relationships/hyperlink" Target="https://maps.google.com/?q=16.798719339431,-96.715703890653103" TargetMode="External"/><Relationship Id="rId6185" Type="http://schemas.openxmlformats.org/officeDocument/2006/relationships/hyperlink" Target="https://maps.google.com/?q=16.090111,-97.079423000000006" TargetMode="External"/><Relationship Id="rId7236" Type="http://schemas.openxmlformats.org/officeDocument/2006/relationships/hyperlink" Target="https://maps.google.com/?q=16.0962021395779,-97.924550012209394" TargetMode="External"/><Relationship Id="rId10564" Type="http://schemas.openxmlformats.org/officeDocument/2006/relationships/hyperlink" Target="https://maps.google.com/?q=17.129241266104,-97.781608587434803" TargetMode="External"/><Relationship Id="rId11615" Type="http://schemas.openxmlformats.org/officeDocument/2006/relationships/hyperlink" Target="https://maps.google.com/?q=16.8370402421649,-96.729887163194604" TargetMode="External"/><Relationship Id="rId10217" Type="http://schemas.openxmlformats.org/officeDocument/2006/relationships/hyperlink" Target="https://maps.google.com/?q=17.198883230172438,-97.3345408001841" TargetMode="External"/><Relationship Id="rId13787" Type="http://schemas.openxmlformats.org/officeDocument/2006/relationships/hyperlink" Target="https://maps.google.com/?q=17.129347,-97.748053999999996" TargetMode="External"/><Relationship Id="rId1397" Type="http://schemas.openxmlformats.org/officeDocument/2006/relationships/hyperlink" Target="https://maps.google.com/?q=16.332014,-95.231966" TargetMode="External"/><Relationship Id="rId2795" Type="http://schemas.openxmlformats.org/officeDocument/2006/relationships/hyperlink" Target="https://maps.google.com/?q=16.9950678185531,-97.700909142939594" TargetMode="External"/><Relationship Id="rId3846" Type="http://schemas.openxmlformats.org/officeDocument/2006/relationships/hyperlink" Target="https://maps.google.com/?q=17.1025596190756,-95.946230225919194" TargetMode="External"/><Relationship Id="rId12389" Type="http://schemas.openxmlformats.org/officeDocument/2006/relationships/hyperlink" Target="https://maps.google.com/?q=16.5539413128728,-96.820479489583803" TargetMode="External"/><Relationship Id="rId767" Type="http://schemas.openxmlformats.org/officeDocument/2006/relationships/hyperlink" Target="https://maps.google.com/?q=15.688031868714297,-96.512798022595263" TargetMode="External"/><Relationship Id="rId2448" Type="http://schemas.openxmlformats.org/officeDocument/2006/relationships/hyperlink" Target="https://maps.google.com/?q=17.0514331,-96.624521889999997" TargetMode="External"/><Relationship Id="rId12870" Type="http://schemas.openxmlformats.org/officeDocument/2006/relationships/hyperlink" Target="https://maps.google.com/?q=17.519348,-97.684194000000005" TargetMode="External"/><Relationship Id="rId8491" Type="http://schemas.openxmlformats.org/officeDocument/2006/relationships/hyperlink" Target="https://maps.google.com/?q=17.1560370998299,-97.533597269999902" TargetMode="External"/><Relationship Id="rId9542" Type="http://schemas.openxmlformats.org/officeDocument/2006/relationships/hyperlink" Target="https://maps.google.com/?q=17.273825,-96.800913" TargetMode="External"/><Relationship Id="rId11472" Type="http://schemas.openxmlformats.org/officeDocument/2006/relationships/hyperlink" Target="https://maps.google.com/?q=16.296679675927,-96.6372289992715" TargetMode="External"/><Relationship Id="rId12523" Type="http://schemas.openxmlformats.org/officeDocument/2006/relationships/hyperlink" Target="https://maps.google.com/?q=17.2265129463668,-97.273251938871795" TargetMode="External"/><Relationship Id="rId13921" Type="http://schemas.openxmlformats.org/officeDocument/2006/relationships/hyperlink" Target="https://maps.google.com/?q=16.8586290962291,-96.812558341104506" TargetMode="External"/><Relationship Id="rId901" Type="http://schemas.openxmlformats.org/officeDocument/2006/relationships/hyperlink" Target="https://maps.google.com/?q=17.094537,-97.498720000000006" TargetMode="External"/><Relationship Id="rId1531" Type="http://schemas.openxmlformats.org/officeDocument/2006/relationships/hyperlink" Target="https://maps.google.com/?q=17.062009,-96.757019999999997" TargetMode="External"/><Relationship Id="rId7093" Type="http://schemas.openxmlformats.org/officeDocument/2006/relationships/hyperlink" Target="https://maps.google.com/?q=16.344943,-98.075323999999995" TargetMode="External"/><Relationship Id="rId8144" Type="http://schemas.openxmlformats.org/officeDocument/2006/relationships/hyperlink" Target="https://maps.google.com/?q=17.356067942232,-96.302705485700798" TargetMode="External"/><Relationship Id="rId10074" Type="http://schemas.openxmlformats.org/officeDocument/2006/relationships/hyperlink" Target="https://maps.google.com/?q=16.9906594723924,-96.1070907089549" TargetMode="External"/><Relationship Id="rId11125" Type="http://schemas.openxmlformats.org/officeDocument/2006/relationships/hyperlink" Target="https://maps.google.com/?q=16.834226,-96.008780999999999" TargetMode="External"/><Relationship Id="rId4754" Type="http://schemas.openxmlformats.org/officeDocument/2006/relationships/hyperlink" Target="https://maps.google.com/?q=17.9545171823649,-96.654082353164497" TargetMode="External"/><Relationship Id="rId13297" Type="http://schemas.openxmlformats.org/officeDocument/2006/relationships/hyperlink" Target="https://maps.google.com/?q=16.1323007642286,-96.327375921105002" TargetMode="External"/><Relationship Id="rId3356" Type="http://schemas.openxmlformats.org/officeDocument/2006/relationships/hyperlink" Target="https://maps.google.com/?q=17.1566469412745,-97.847284283397698" TargetMode="External"/><Relationship Id="rId4407" Type="http://schemas.openxmlformats.org/officeDocument/2006/relationships/hyperlink" Target="https://maps.google.com/?q=16.00295449,-96.682493440000002" TargetMode="External"/><Relationship Id="rId5805" Type="http://schemas.openxmlformats.org/officeDocument/2006/relationships/hyperlink" Target="https://maps.google.com/?q=17.3117037974332,-97.490126883432296" TargetMode="External"/><Relationship Id="rId277" Type="http://schemas.openxmlformats.org/officeDocument/2006/relationships/hyperlink" Target="https://maps.google.com/?q=16.88306,-97.676590000000004" TargetMode="External"/><Relationship Id="rId3009" Type="http://schemas.openxmlformats.org/officeDocument/2006/relationships/hyperlink" Target="https://maps.google.com/?q=16.9374588570542,-97.0156863286971" TargetMode="External"/><Relationship Id="rId7977" Type="http://schemas.openxmlformats.org/officeDocument/2006/relationships/hyperlink" Target="https://maps.google.com/?q=18.1624945171661,-96.878990816633404" TargetMode="External"/><Relationship Id="rId10958" Type="http://schemas.openxmlformats.org/officeDocument/2006/relationships/hyperlink" Target="https://maps.google.com/?q=16.2074187025365,-95.223405102209" TargetMode="External"/><Relationship Id="rId6579" Type="http://schemas.openxmlformats.org/officeDocument/2006/relationships/hyperlink" Target="https://maps.google.com/?q=17.766069,-96.882374" TargetMode="External"/><Relationship Id="rId9052" Type="http://schemas.openxmlformats.org/officeDocument/2006/relationships/hyperlink" Target="https://maps.google.com/?q=16.054687,-95.473077000000004" TargetMode="External"/><Relationship Id="rId12380" Type="http://schemas.openxmlformats.org/officeDocument/2006/relationships/hyperlink" Target="https://maps.google.com/?q=16.5524427222767,-96.818922411045094" TargetMode="External"/><Relationship Id="rId13431" Type="http://schemas.openxmlformats.org/officeDocument/2006/relationships/hyperlink" Target="https://maps.google.com/?q=17.6820774097316,-97.036214956375602" TargetMode="External"/><Relationship Id="rId12033" Type="http://schemas.openxmlformats.org/officeDocument/2006/relationships/hyperlink" Target="https://maps.google.com/?q=16.80571431,-96.721126889999994" TargetMode="External"/><Relationship Id="rId411" Type="http://schemas.openxmlformats.org/officeDocument/2006/relationships/hyperlink" Target="https://maps.google.com/?q=16.053109,-97.410973999999996" TargetMode="External"/><Relationship Id="rId1041" Type="http://schemas.openxmlformats.org/officeDocument/2006/relationships/hyperlink" Target="https://maps.google.com/?q=15.707213707158798,-96.525099685420784" TargetMode="External"/><Relationship Id="rId5662" Type="http://schemas.openxmlformats.org/officeDocument/2006/relationships/hyperlink" Target="https://maps.google.com/?q=16.436977,-97.854710999999995" TargetMode="External"/><Relationship Id="rId6713" Type="http://schemas.openxmlformats.org/officeDocument/2006/relationships/hyperlink" Target="https://maps.google.com/?q=17.0294248858287,-96.984845073202706" TargetMode="External"/><Relationship Id="rId4264" Type="http://schemas.openxmlformats.org/officeDocument/2006/relationships/hyperlink" Target="https://maps.google.com/?q=16.01540375,-96.636401680000006" TargetMode="External"/><Relationship Id="rId5315" Type="http://schemas.openxmlformats.org/officeDocument/2006/relationships/hyperlink" Target="https://maps.google.com/?q=15.8054938948196,-96.356234766270205" TargetMode="External"/><Relationship Id="rId8885" Type="http://schemas.openxmlformats.org/officeDocument/2006/relationships/hyperlink" Target="https://maps.google.com/?q=17.379458259,-96.161659727" TargetMode="External"/><Relationship Id="rId7487" Type="http://schemas.openxmlformats.org/officeDocument/2006/relationships/hyperlink" Target="https://maps.google.com/?q=16.9911970275368,-95.013943726745893" TargetMode="External"/><Relationship Id="rId8538" Type="http://schemas.openxmlformats.org/officeDocument/2006/relationships/hyperlink" Target="https://maps.google.com/?q=16.91649915343,-96.612499457672101" TargetMode="External"/><Relationship Id="rId9936" Type="http://schemas.openxmlformats.org/officeDocument/2006/relationships/hyperlink" Target="https://maps.google.com/?q=16.7052031038082,-96.7097515484448" TargetMode="External"/><Relationship Id="rId11866" Type="http://schemas.openxmlformats.org/officeDocument/2006/relationships/hyperlink" Target="https://maps.google.com/?q=16.52012572391113,-97.38565121842002" TargetMode="External"/><Relationship Id="rId12917" Type="http://schemas.openxmlformats.org/officeDocument/2006/relationships/hyperlink" Target="https://maps.google.com/?q=16.536756,-97.526212000000001" TargetMode="External"/><Relationship Id="rId1925" Type="http://schemas.openxmlformats.org/officeDocument/2006/relationships/hyperlink" Target="https://maps.google.com/?q=15.776976416867589,-96.137082768721996" TargetMode="External"/><Relationship Id="rId6089" Type="http://schemas.openxmlformats.org/officeDocument/2006/relationships/hyperlink" Target="https://maps.google.com/?q=17.972558,-96.707313999999997" TargetMode="External"/><Relationship Id="rId10468" Type="http://schemas.openxmlformats.org/officeDocument/2006/relationships/hyperlink" Target="https://maps.google.com/?q=16.664428,-97.253589" TargetMode="External"/><Relationship Id="rId11519" Type="http://schemas.openxmlformats.org/officeDocument/2006/relationships/hyperlink" Target="https://maps.google.com/?q=16.6133963284438,-96.848361053765601" TargetMode="External"/><Relationship Id="rId2699" Type="http://schemas.openxmlformats.org/officeDocument/2006/relationships/hyperlink" Target="https://maps.google.com/?q=15.9442964366458,-96.402832282832307" TargetMode="External"/><Relationship Id="rId3000" Type="http://schemas.openxmlformats.org/officeDocument/2006/relationships/hyperlink" Target="https://maps.google.com/?q=16.93522,-97.009905000000003" TargetMode="External"/><Relationship Id="rId6570" Type="http://schemas.openxmlformats.org/officeDocument/2006/relationships/hyperlink" Target="https://maps.google.com/?q=17.763045,-96.879252" TargetMode="External"/><Relationship Id="rId7621" Type="http://schemas.openxmlformats.org/officeDocument/2006/relationships/hyperlink" Target="https://maps.google.com/?q=17.2302948830135,-95.052045530832103" TargetMode="External"/><Relationship Id="rId10602" Type="http://schemas.openxmlformats.org/officeDocument/2006/relationships/hyperlink" Target="https://maps.google.com/?q=17.1283559907577,-97.7477226441802" TargetMode="External"/><Relationship Id="rId5172" Type="http://schemas.openxmlformats.org/officeDocument/2006/relationships/hyperlink" Target="https://maps.google.com/?q=17.314144,-95.966586000000007" TargetMode="External"/><Relationship Id="rId6223" Type="http://schemas.openxmlformats.org/officeDocument/2006/relationships/hyperlink" Target="https://maps.google.com/?q=16.096638,-97.084737000000004" TargetMode="External"/><Relationship Id="rId9793" Type="http://schemas.openxmlformats.org/officeDocument/2006/relationships/hyperlink" Target="https://maps.google.com/?q=16.6412859527398,-96.749169918836103" TargetMode="External"/><Relationship Id="rId1782" Type="http://schemas.openxmlformats.org/officeDocument/2006/relationships/hyperlink" Target="https://maps.google.com/?q=18.0611485528921,-96.898729035581994" TargetMode="External"/><Relationship Id="rId2833" Type="http://schemas.openxmlformats.org/officeDocument/2006/relationships/hyperlink" Target="https://maps.google.com/?q=16.9931271224472,-97.716549471231602" TargetMode="External"/><Relationship Id="rId8395" Type="http://schemas.openxmlformats.org/officeDocument/2006/relationships/hyperlink" Target="https://maps.google.com/?q=16.0898336853891,-96.244239836805306" TargetMode="External"/><Relationship Id="rId9446" Type="http://schemas.openxmlformats.org/officeDocument/2006/relationships/hyperlink" Target="https://maps.google.com/?q=15.834227,-96.639629999999997" TargetMode="External"/><Relationship Id="rId11376" Type="http://schemas.openxmlformats.org/officeDocument/2006/relationships/hyperlink" Target="https://maps.google.com/?q=16.3720851211752,-94.199817449073706" TargetMode="External"/><Relationship Id="rId12774" Type="http://schemas.openxmlformats.org/officeDocument/2006/relationships/hyperlink" Target="https://maps.google.com/?q=17.417945955414496,-96.35392089763165" TargetMode="External"/><Relationship Id="rId13825" Type="http://schemas.openxmlformats.org/officeDocument/2006/relationships/hyperlink" Target="https://maps.google.com/?q=17.090493,-97.784261000000001" TargetMode="External"/><Relationship Id="rId805" Type="http://schemas.openxmlformats.org/officeDocument/2006/relationships/hyperlink" Target="https://maps.google.com/?q=15.694291339582124,-96.522622596904341" TargetMode="External"/><Relationship Id="rId1435" Type="http://schemas.openxmlformats.org/officeDocument/2006/relationships/hyperlink" Target="https://maps.google.com/?q=16.923068917204045,-96.68518353065842" TargetMode="External"/><Relationship Id="rId8048" Type="http://schemas.openxmlformats.org/officeDocument/2006/relationships/hyperlink" Target="https://maps.google.com/?q=16.4958605432685,-97.378070175716005" TargetMode="External"/><Relationship Id="rId11029" Type="http://schemas.openxmlformats.org/officeDocument/2006/relationships/hyperlink" Target="https://maps.google.com/?q=16.581393,-96.550402" TargetMode="External"/><Relationship Id="rId12427" Type="http://schemas.openxmlformats.org/officeDocument/2006/relationships/hyperlink" Target="https://maps.google.com/?q=16.5593611380281,-96.826072542328106" TargetMode="External"/><Relationship Id="rId4658" Type="http://schemas.openxmlformats.org/officeDocument/2006/relationships/hyperlink" Target="https://maps.google.com/?q=17.072671,-96.743015999999997" TargetMode="External"/><Relationship Id="rId5709" Type="http://schemas.openxmlformats.org/officeDocument/2006/relationships/hyperlink" Target="https://maps.google.com/?q=17.43075717,-96.283322470000002" TargetMode="External"/><Relationship Id="rId6080" Type="http://schemas.openxmlformats.org/officeDocument/2006/relationships/hyperlink" Target="https://maps.google.com/?q=16.6534862802934,-97.3357159212879" TargetMode="External"/><Relationship Id="rId7131" Type="http://schemas.openxmlformats.org/officeDocument/2006/relationships/hyperlink" Target="https://maps.google.com/?q=17.341760742439,-97.667300480000506" TargetMode="External"/><Relationship Id="rId11510" Type="http://schemas.openxmlformats.org/officeDocument/2006/relationships/hyperlink" Target="https://maps.google.com/?q=16.6113398713968,-96.850049730074602" TargetMode="External"/><Relationship Id="rId10112" Type="http://schemas.openxmlformats.org/officeDocument/2006/relationships/hyperlink" Target="https://maps.google.com/?q=17.0242320702305,-96.139411623430902" TargetMode="External"/><Relationship Id="rId13682" Type="http://schemas.openxmlformats.org/officeDocument/2006/relationships/hyperlink" Target="https://maps.google.com/?q=17.338601,-96.152518" TargetMode="External"/><Relationship Id="rId2690" Type="http://schemas.openxmlformats.org/officeDocument/2006/relationships/hyperlink" Target="https://maps.google.com/?q=16.5667700092825,-97.010904425715694" TargetMode="External"/><Relationship Id="rId3741" Type="http://schemas.openxmlformats.org/officeDocument/2006/relationships/hyperlink" Target="https://maps.google.com/?q=15.76147752428582,-96.143128757378634" TargetMode="External"/><Relationship Id="rId12284" Type="http://schemas.openxmlformats.org/officeDocument/2006/relationships/hyperlink" Target="https://maps.google.com/?q=16.4763431840414,-94.350297572912098" TargetMode="External"/><Relationship Id="rId13335" Type="http://schemas.openxmlformats.org/officeDocument/2006/relationships/hyperlink" Target="https://maps.google.com/?q=18.05956133,-97.714464300000003" TargetMode="External"/><Relationship Id="rId662" Type="http://schemas.openxmlformats.org/officeDocument/2006/relationships/hyperlink" Target="https://maps.google.com/?q=16.056448,-97.392095999999995" TargetMode="External"/><Relationship Id="rId1292" Type="http://schemas.openxmlformats.org/officeDocument/2006/relationships/hyperlink" Target="https://maps.google.com/?q=17.080164,-96.726157" TargetMode="External"/><Relationship Id="rId2343" Type="http://schemas.openxmlformats.org/officeDocument/2006/relationships/hyperlink" Target="https://maps.google.com/?q=17.092315,-97.666910000000001" TargetMode="External"/><Relationship Id="rId6964" Type="http://schemas.openxmlformats.org/officeDocument/2006/relationships/hyperlink" Target="https://maps.google.com/?q=16.3459155,-95.224000000000004" TargetMode="External"/><Relationship Id="rId315" Type="http://schemas.openxmlformats.org/officeDocument/2006/relationships/hyperlink" Target="https://maps.google.com/?q=16.056448,-97.392095999999995" TargetMode="External"/><Relationship Id="rId5566" Type="http://schemas.openxmlformats.org/officeDocument/2006/relationships/hyperlink" Target="https://maps.google.com/?q=17.6015627699315,-96.122142982803297" TargetMode="External"/><Relationship Id="rId6617" Type="http://schemas.openxmlformats.org/officeDocument/2006/relationships/hyperlink" Target="https://maps.google.com/?q=17.119922,-97.784944" TargetMode="External"/><Relationship Id="rId4168" Type="http://schemas.openxmlformats.org/officeDocument/2006/relationships/hyperlink" Target="https://maps.google.com/?q=15.8812501,&#160;-96.3227335" TargetMode="External"/><Relationship Id="rId5219" Type="http://schemas.openxmlformats.org/officeDocument/2006/relationships/hyperlink" Target="https://maps.google.com/?q=17.2795405476698,-97.369520614170696" TargetMode="External"/><Relationship Id="rId8789" Type="http://schemas.openxmlformats.org/officeDocument/2006/relationships/hyperlink" Target="https://maps.google.com/?q=17.212558,-96.250331000000003" TargetMode="External"/><Relationship Id="rId11020" Type="http://schemas.openxmlformats.org/officeDocument/2006/relationships/hyperlink" Target="https://maps.google.com/?q=17.158537,-97.188407999999995" TargetMode="External"/><Relationship Id="rId1829" Type="http://schemas.openxmlformats.org/officeDocument/2006/relationships/hyperlink" Target="https://maps.google.com/?q=18.0359369348213,-96.896444161657897" TargetMode="External"/><Relationship Id="rId5700" Type="http://schemas.openxmlformats.org/officeDocument/2006/relationships/hyperlink" Target="https://maps.google.com/?q=17.42813732,-96.284072820000006" TargetMode="External"/><Relationship Id="rId13192" Type="http://schemas.openxmlformats.org/officeDocument/2006/relationships/hyperlink" Target="https://maps.google.com/?q=16.574981439401,-97.019414711639499" TargetMode="External"/><Relationship Id="rId3251" Type="http://schemas.openxmlformats.org/officeDocument/2006/relationships/hyperlink" Target="https://maps.google.com/?q=17.0572544360864,-96.820488364417997" TargetMode="External"/><Relationship Id="rId4302" Type="http://schemas.openxmlformats.org/officeDocument/2006/relationships/hyperlink" Target="https://maps.google.com/?q=16.0097502486293,-96.570436549325805" TargetMode="External"/><Relationship Id="rId7872" Type="http://schemas.openxmlformats.org/officeDocument/2006/relationships/hyperlink" Target="https://maps.google.com/?q=16.3166892822726,-96.403572391529295" TargetMode="External"/><Relationship Id="rId8923" Type="http://schemas.openxmlformats.org/officeDocument/2006/relationships/hyperlink" Target="https://maps.google.com/?q=17.380659766,-96.163455200000001" TargetMode="External"/><Relationship Id="rId172" Type="http://schemas.openxmlformats.org/officeDocument/2006/relationships/hyperlink" Target="https://maps.google.com/?q=17.091043,-97.499135999999993" TargetMode="External"/><Relationship Id="rId6474" Type="http://schemas.openxmlformats.org/officeDocument/2006/relationships/hyperlink" Target="https://maps.google.com/?q=17.2684230427128,-97.534063840697797" TargetMode="External"/><Relationship Id="rId7525" Type="http://schemas.openxmlformats.org/officeDocument/2006/relationships/hyperlink" Target="https://maps.google.com/?q=17.9751924984136,-96.703348928365202" TargetMode="External"/><Relationship Id="rId10853" Type="http://schemas.openxmlformats.org/officeDocument/2006/relationships/hyperlink" Target="https://maps.google.com/?q=16.3465014452796,-94.482729466270399" TargetMode="External"/><Relationship Id="rId11904" Type="http://schemas.openxmlformats.org/officeDocument/2006/relationships/hyperlink" Target="https://maps.google.com/?q=16.865701,-96.383101" TargetMode="External"/><Relationship Id="rId5076" Type="http://schemas.openxmlformats.org/officeDocument/2006/relationships/hyperlink" Target="https://maps.google.com/?q=17.252749,-96.154776999999996" TargetMode="External"/><Relationship Id="rId6127" Type="http://schemas.openxmlformats.org/officeDocument/2006/relationships/hyperlink" Target="https://maps.google.com/?q=16.95083946,-96.613255960000004" TargetMode="External"/><Relationship Id="rId9697" Type="http://schemas.openxmlformats.org/officeDocument/2006/relationships/hyperlink" Target="https://maps.google.com/?q=18.0821532373166,-96.137523145463106" TargetMode="External"/><Relationship Id="rId10506" Type="http://schemas.openxmlformats.org/officeDocument/2006/relationships/hyperlink" Target="https://maps.google.com/?q=17.8461622808197,-96.743420254299593" TargetMode="External"/><Relationship Id="rId1686" Type="http://schemas.openxmlformats.org/officeDocument/2006/relationships/hyperlink" Target="https://maps.google.com/?q=18.0063866065766,-96.895202202375799" TargetMode="External"/><Relationship Id="rId8299" Type="http://schemas.openxmlformats.org/officeDocument/2006/relationships/hyperlink" Target="https://maps.google.com/?q=16.536969,-98.036050000000003" TargetMode="External"/><Relationship Id="rId12678" Type="http://schemas.openxmlformats.org/officeDocument/2006/relationships/hyperlink" Target="https://maps.google.com/?q=16.9232712916507,-97.894606605730203" TargetMode="External"/><Relationship Id="rId13729" Type="http://schemas.openxmlformats.org/officeDocument/2006/relationships/hyperlink" Target="https://maps.google.com/?q=17.146399,-96.112122" TargetMode="External"/><Relationship Id="rId1339" Type="http://schemas.openxmlformats.org/officeDocument/2006/relationships/hyperlink" Target="https://maps.google.com/?q=17.01889115,-96.71833177" TargetMode="External"/><Relationship Id="rId2737" Type="http://schemas.openxmlformats.org/officeDocument/2006/relationships/hyperlink" Target="https://maps.google.com/?q=17.990366,-96.488994000000005" TargetMode="External"/><Relationship Id="rId5210" Type="http://schemas.openxmlformats.org/officeDocument/2006/relationships/hyperlink" Target="https://maps.google.com/?q=17.318039,-95.974215999999998" TargetMode="External"/><Relationship Id="rId709" Type="http://schemas.openxmlformats.org/officeDocument/2006/relationships/hyperlink" Target="https://maps.google.com/?q=16.062679,-97.383121000000003" TargetMode="External"/><Relationship Id="rId8780" Type="http://schemas.openxmlformats.org/officeDocument/2006/relationships/hyperlink" Target="https://maps.google.com/?q=17.209522,-96.252472999999995" TargetMode="External"/><Relationship Id="rId9831" Type="http://schemas.openxmlformats.org/officeDocument/2006/relationships/hyperlink" Target="https://maps.google.com/?q=16.6326636523126,-96.849730089593805" TargetMode="External"/><Relationship Id="rId11761" Type="http://schemas.openxmlformats.org/officeDocument/2006/relationships/hyperlink" Target="https://maps.google.com/?q=16.36233271750844,-98.25013947486877" TargetMode="External"/><Relationship Id="rId12812" Type="http://schemas.openxmlformats.org/officeDocument/2006/relationships/hyperlink" Target="https://maps.google.com/?q=17.8477336621882,-97.439334635582" TargetMode="External"/><Relationship Id="rId45" Type="http://schemas.openxmlformats.org/officeDocument/2006/relationships/hyperlink" Target="https://maps.google.com/?q=15.912306,-96.450056000000004" TargetMode="External"/><Relationship Id="rId1820" Type="http://schemas.openxmlformats.org/officeDocument/2006/relationships/hyperlink" Target="https://maps.google.com/?q=18.0352653802296,-96.896301602392001" TargetMode="External"/><Relationship Id="rId7382" Type="http://schemas.openxmlformats.org/officeDocument/2006/relationships/hyperlink" Target="https://maps.google.com/?q=17.0426528711503,-97.301454093252403" TargetMode="External"/><Relationship Id="rId8433" Type="http://schemas.openxmlformats.org/officeDocument/2006/relationships/hyperlink" Target="https://maps.google.com/?q=16.2027397944858,-96.828342296695695" TargetMode="External"/><Relationship Id="rId10363" Type="http://schemas.openxmlformats.org/officeDocument/2006/relationships/hyperlink" Target="https://maps.google.com/?q=17.4348868593624,-96.656367690806903" TargetMode="External"/><Relationship Id="rId11414" Type="http://schemas.openxmlformats.org/officeDocument/2006/relationships/hyperlink" Target="https://maps.google.com/?q=17.3761690299066,-98.184028437298494" TargetMode="External"/><Relationship Id="rId3992" Type="http://schemas.openxmlformats.org/officeDocument/2006/relationships/hyperlink" Target="https://maps.google.com/?q=17.06286,-96.757170000000002" TargetMode="External"/><Relationship Id="rId7035" Type="http://schemas.openxmlformats.org/officeDocument/2006/relationships/hyperlink" Target="https://maps.google.com/?q=17.0449570285928,-97.300873387267998" TargetMode="External"/><Relationship Id="rId10016" Type="http://schemas.openxmlformats.org/officeDocument/2006/relationships/hyperlink" Target="https://maps.google.com/?q=16.9939895737569,-96.072433239447705" TargetMode="External"/><Relationship Id="rId13586" Type="http://schemas.openxmlformats.org/officeDocument/2006/relationships/hyperlink" Target="https://maps.google.com/?q=17.04882179980103,-96.72775831329831" TargetMode="External"/><Relationship Id="rId2594" Type="http://schemas.openxmlformats.org/officeDocument/2006/relationships/hyperlink" Target="https://maps.google.com/?q=18.172861,-96.283685000000006" TargetMode="External"/><Relationship Id="rId3645" Type="http://schemas.openxmlformats.org/officeDocument/2006/relationships/hyperlink" Target="https://maps.google.com/?q=15.778583678960496,-96.137750346330279" TargetMode="External"/><Relationship Id="rId12188" Type="http://schemas.openxmlformats.org/officeDocument/2006/relationships/hyperlink" Target="https://maps.google.com/?q=17.4171609988253,-95.948637914548499" TargetMode="External"/><Relationship Id="rId13239" Type="http://schemas.openxmlformats.org/officeDocument/2006/relationships/hyperlink" Target="https://maps.google.com/?q=17.141536725839,-96.749842333372996" TargetMode="External"/><Relationship Id="rId566" Type="http://schemas.openxmlformats.org/officeDocument/2006/relationships/hyperlink" Target="https://maps.google.com/?q=16.05233,-97.402203999999998" TargetMode="External"/><Relationship Id="rId1196" Type="http://schemas.openxmlformats.org/officeDocument/2006/relationships/hyperlink" Target="https://maps.google.com/?q=17.257085,-96.031514" TargetMode="External"/><Relationship Id="rId2247" Type="http://schemas.openxmlformats.org/officeDocument/2006/relationships/hyperlink" Target="https://maps.google.com/?q=16.519882,-96.971661999999995" TargetMode="External"/><Relationship Id="rId219" Type="http://schemas.openxmlformats.org/officeDocument/2006/relationships/hyperlink" Target="https://maps.google.com/?q=17.094224,-97.493933999999996" TargetMode="External"/><Relationship Id="rId6868" Type="http://schemas.openxmlformats.org/officeDocument/2006/relationships/hyperlink" Target="https://maps.google.com/?q=16.969873804059,-97.087704466270395" TargetMode="External"/><Relationship Id="rId7919" Type="http://schemas.openxmlformats.org/officeDocument/2006/relationships/hyperlink" Target="https://maps.google.com/?q=16.3200986368499,-96.410276396329806" TargetMode="External"/><Relationship Id="rId8290" Type="http://schemas.openxmlformats.org/officeDocument/2006/relationships/hyperlink" Target="https://maps.google.com/?q=17.6296492349,-97.034454944800004" TargetMode="External"/><Relationship Id="rId9341" Type="http://schemas.openxmlformats.org/officeDocument/2006/relationships/hyperlink" Target="https://maps.google.com/?q=16.8173447728947,-95.141290289981697" TargetMode="External"/><Relationship Id="rId13720" Type="http://schemas.openxmlformats.org/officeDocument/2006/relationships/hyperlink" Target="https://maps.google.com/?q=17.67668,-96.133302" TargetMode="External"/><Relationship Id="rId11271" Type="http://schemas.openxmlformats.org/officeDocument/2006/relationships/hyperlink" Target="https://maps.google.com/?q=17.8657166818955,-96.309298912862999" TargetMode="External"/><Relationship Id="rId12322" Type="http://schemas.openxmlformats.org/officeDocument/2006/relationships/hyperlink" Target="https://maps.google.com/?q=16.037681,-97.067192" TargetMode="External"/><Relationship Id="rId700" Type="http://schemas.openxmlformats.org/officeDocument/2006/relationships/hyperlink" Target="https://maps.google.com/?q=16.063372,-97.381553999999994" TargetMode="External"/><Relationship Id="rId1330" Type="http://schemas.openxmlformats.org/officeDocument/2006/relationships/hyperlink" Target="https://maps.google.com/?q=17.01805232,-96.71851994" TargetMode="External"/><Relationship Id="rId5951" Type="http://schemas.openxmlformats.org/officeDocument/2006/relationships/hyperlink" Target="https://maps.google.com/?q=18.153905174039316,-96.572073077214881" TargetMode="External"/><Relationship Id="rId4553" Type="http://schemas.openxmlformats.org/officeDocument/2006/relationships/hyperlink" Target="https://maps.google.com/?q=17.1852130347192,-97.303538466270496" TargetMode="External"/><Relationship Id="rId5604" Type="http://schemas.openxmlformats.org/officeDocument/2006/relationships/hyperlink" Target="https://maps.google.com/?q=17.4622865013436,-96.231827698895998" TargetMode="External"/><Relationship Id="rId13096" Type="http://schemas.openxmlformats.org/officeDocument/2006/relationships/hyperlink" Target="https://maps.google.com/?q=16.5650791,-97.531530599999996" TargetMode="External"/><Relationship Id="rId14147" Type="http://schemas.openxmlformats.org/officeDocument/2006/relationships/hyperlink" Target="https://maps.google.com/?q=18.356512,-96.76538" TargetMode="External"/><Relationship Id="rId3155" Type="http://schemas.openxmlformats.org/officeDocument/2006/relationships/hyperlink" Target="https://maps.google.com/?q=16.543747,-97.497127000000006" TargetMode="External"/><Relationship Id="rId4206" Type="http://schemas.openxmlformats.org/officeDocument/2006/relationships/hyperlink" Target="https://maps.google.com/?q=16.519807,-96.983885000000001" TargetMode="External"/><Relationship Id="rId7776" Type="http://schemas.openxmlformats.org/officeDocument/2006/relationships/hyperlink" Target="https://maps.google.com/?q=16.180486,-96.384586999999996" TargetMode="External"/><Relationship Id="rId8827" Type="http://schemas.openxmlformats.org/officeDocument/2006/relationships/hyperlink" Target="https://maps.google.com/?q=17.216218,-96.249272000000005" TargetMode="External"/><Relationship Id="rId6378" Type="http://schemas.openxmlformats.org/officeDocument/2006/relationships/hyperlink" Target="https://maps.google.com/?q=16.579347,-96.875373999999994" TargetMode="External"/><Relationship Id="rId7429" Type="http://schemas.openxmlformats.org/officeDocument/2006/relationships/hyperlink" Target="https://maps.google.com/?q=17.2096303932946,-97.585554854868107" TargetMode="External"/><Relationship Id="rId10757" Type="http://schemas.openxmlformats.org/officeDocument/2006/relationships/hyperlink" Target="https://maps.google.com/?q=17.455007,-97.224700999999996" TargetMode="External"/><Relationship Id="rId11808" Type="http://schemas.openxmlformats.org/officeDocument/2006/relationships/hyperlink" Target="https://maps.google.com/?q=17.46375811828696,-97.27999463558197" TargetMode="External"/><Relationship Id="rId13230" Type="http://schemas.openxmlformats.org/officeDocument/2006/relationships/hyperlink" Target="https://maps.google.com/?q=17.1382528909253,-96.749926177790996" TargetMode="External"/><Relationship Id="rId210" Type="http://schemas.openxmlformats.org/officeDocument/2006/relationships/hyperlink" Target="https://maps.google.com/?q=17.091677,-97.496729000000002" TargetMode="External"/><Relationship Id="rId2988" Type="http://schemas.openxmlformats.org/officeDocument/2006/relationships/hyperlink" Target="https://maps.google.com/?q=17.950147,-96.740776999999994" TargetMode="External"/><Relationship Id="rId7910" Type="http://schemas.openxmlformats.org/officeDocument/2006/relationships/hyperlink" Target="https://maps.google.com/?q=16.3196549399275,-96.410538289319405" TargetMode="External"/><Relationship Id="rId5461" Type="http://schemas.openxmlformats.org/officeDocument/2006/relationships/hyperlink" Target="https://maps.google.com/?q=16.00966295871,-97.447090219636905" TargetMode="External"/><Relationship Id="rId6512" Type="http://schemas.openxmlformats.org/officeDocument/2006/relationships/hyperlink" Target="https://maps.google.com/?q=17.2246499938544,-97.558597923875396" TargetMode="External"/><Relationship Id="rId4063" Type="http://schemas.openxmlformats.org/officeDocument/2006/relationships/hyperlink" Target="https://maps.google.com/?q=17.080069,-96.725792" TargetMode="External"/><Relationship Id="rId5114" Type="http://schemas.openxmlformats.org/officeDocument/2006/relationships/hyperlink" Target="https://maps.google.com/?q=17.25381,-96.155146000000002" TargetMode="External"/><Relationship Id="rId8684" Type="http://schemas.openxmlformats.org/officeDocument/2006/relationships/hyperlink" Target="https://maps.google.com/?q=16.1851747145817,-96.621408387731506" TargetMode="External"/><Relationship Id="rId9735" Type="http://schemas.openxmlformats.org/officeDocument/2006/relationships/hyperlink" Target="https://maps.google.com/?q=17.27208725088,-96.798620505343806" TargetMode="External"/><Relationship Id="rId11665" Type="http://schemas.openxmlformats.org/officeDocument/2006/relationships/hyperlink" Target="https://maps.google.com/?q=17.17410743,-97.706917390000001" TargetMode="External"/><Relationship Id="rId1724" Type="http://schemas.openxmlformats.org/officeDocument/2006/relationships/hyperlink" Target="https://maps.google.com/?q=18.0630271778175,-96.836113002209103" TargetMode="External"/><Relationship Id="rId7286" Type="http://schemas.openxmlformats.org/officeDocument/2006/relationships/hyperlink" Target="https://maps.google.com/?q=16.3051410025524,-97.919138483373601" TargetMode="External"/><Relationship Id="rId8337" Type="http://schemas.openxmlformats.org/officeDocument/2006/relationships/hyperlink" Target="https://maps.google.com/?q=16.8422513731412,-97.202643756113105" TargetMode="External"/><Relationship Id="rId10267" Type="http://schemas.openxmlformats.org/officeDocument/2006/relationships/hyperlink" Target="https://maps.google.com/?q=16.244931,-95.148137000000006" TargetMode="External"/><Relationship Id="rId11318" Type="http://schemas.openxmlformats.org/officeDocument/2006/relationships/hyperlink" Target="https://maps.google.com/?q=17.8693685195908,-96.3083852277285" TargetMode="External"/><Relationship Id="rId12716" Type="http://schemas.openxmlformats.org/officeDocument/2006/relationships/hyperlink" Target="https://maps.google.com/?q=16.2855748824371,-96.5043306416989" TargetMode="External"/><Relationship Id="rId3896" Type="http://schemas.openxmlformats.org/officeDocument/2006/relationships/hyperlink" Target="https://maps.google.com/?q=17.094473,-96.066383999999999" TargetMode="External"/><Relationship Id="rId2498" Type="http://schemas.openxmlformats.org/officeDocument/2006/relationships/hyperlink" Target="https://maps.google.com/?q=17.0520873,-96.62413085" TargetMode="External"/><Relationship Id="rId3549" Type="http://schemas.openxmlformats.org/officeDocument/2006/relationships/hyperlink" Target="https://maps.google.com/?q=15.758656366648419,-96.148371854774567" TargetMode="External"/><Relationship Id="rId4947" Type="http://schemas.openxmlformats.org/officeDocument/2006/relationships/hyperlink" Target="https://maps.google.com/?q=15.9340602665827,-96.4165770863045" TargetMode="External"/><Relationship Id="rId7420" Type="http://schemas.openxmlformats.org/officeDocument/2006/relationships/hyperlink" Target="https://maps.google.com/?q=17.036343,-97.055007000000003" TargetMode="External"/><Relationship Id="rId6022" Type="http://schemas.openxmlformats.org/officeDocument/2006/relationships/hyperlink" Target="https://maps.google.com/?q=18.1560179038682,-96.575778736245724" TargetMode="External"/><Relationship Id="rId10401" Type="http://schemas.openxmlformats.org/officeDocument/2006/relationships/hyperlink" Target="https://maps.google.com/?q=17.976018,-96.705573000000001" TargetMode="External"/><Relationship Id="rId13971" Type="http://schemas.openxmlformats.org/officeDocument/2006/relationships/hyperlink" Target="https://maps.google.com/?q=18.049551496238642,-96.89633757301635" TargetMode="External"/><Relationship Id="rId8194" Type="http://schemas.openxmlformats.org/officeDocument/2006/relationships/hyperlink" Target="https://maps.google.com/?q=16.669619,-96.310058999999995" TargetMode="External"/><Relationship Id="rId9592" Type="http://schemas.openxmlformats.org/officeDocument/2006/relationships/hyperlink" Target="https://maps.google.com/?q=17.9928587552453,-96.746880118266503" TargetMode="External"/><Relationship Id="rId12573" Type="http://schemas.openxmlformats.org/officeDocument/2006/relationships/hyperlink" Target="https://maps.google.com/?q=16.5798008761522,-96.952813800027499" TargetMode="External"/><Relationship Id="rId13624" Type="http://schemas.openxmlformats.org/officeDocument/2006/relationships/hyperlink" Target="https://maps.google.com/?q=16.996043,-96.780593" TargetMode="External"/><Relationship Id="rId951" Type="http://schemas.openxmlformats.org/officeDocument/2006/relationships/hyperlink" Target="https://maps.google.com/?q=15.684420702745234,-96.511743582778777" TargetMode="External"/><Relationship Id="rId1581" Type="http://schemas.openxmlformats.org/officeDocument/2006/relationships/hyperlink" Target="https://maps.google.com/?q=16.565625018413,-96.6993089764172" TargetMode="External"/><Relationship Id="rId2632" Type="http://schemas.openxmlformats.org/officeDocument/2006/relationships/hyperlink" Target="https://maps.google.com/?q=18.083143,-96.165070999999998" TargetMode="External"/><Relationship Id="rId9245" Type="http://schemas.openxmlformats.org/officeDocument/2006/relationships/hyperlink" Target="https://maps.google.com/?q=17.3770401828036,-96.299929894687295" TargetMode="External"/><Relationship Id="rId11175" Type="http://schemas.openxmlformats.org/officeDocument/2006/relationships/hyperlink" Target="https://maps.google.com/?q=16.843792,-96.008424000000005" TargetMode="External"/><Relationship Id="rId12226" Type="http://schemas.openxmlformats.org/officeDocument/2006/relationships/hyperlink" Target="https://maps.google.com/?q=17.4228206660231,-95.951921678435397" TargetMode="External"/><Relationship Id="rId604" Type="http://schemas.openxmlformats.org/officeDocument/2006/relationships/hyperlink" Target="https://maps.google.com/?q=16.054939,-97.395771999999994" TargetMode="External"/><Relationship Id="rId1234" Type="http://schemas.openxmlformats.org/officeDocument/2006/relationships/hyperlink" Target="https://maps.google.com/?q=17.055754,-96.745626290000004" TargetMode="External"/><Relationship Id="rId5855" Type="http://schemas.openxmlformats.org/officeDocument/2006/relationships/hyperlink" Target="https://maps.google.com/?q=16.0998671151555,-97.693794588954901" TargetMode="External"/><Relationship Id="rId6906" Type="http://schemas.openxmlformats.org/officeDocument/2006/relationships/hyperlink" Target="https://maps.google.com/?q=17.1639960635401,-94.785183954180596" TargetMode="External"/><Relationship Id="rId4457" Type="http://schemas.openxmlformats.org/officeDocument/2006/relationships/hyperlink" Target="https://maps.google.com/?q=17.611934,-98.013998999999998" TargetMode="External"/><Relationship Id="rId5508" Type="http://schemas.openxmlformats.org/officeDocument/2006/relationships/hyperlink" Target="https://maps.google.com/?q=16.346323,-96.488208" TargetMode="External"/><Relationship Id="rId3059" Type="http://schemas.openxmlformats.org/officeDocument/2006/relationships/hyperlink" Target="https://maps.google.com/?q=16.963720499051,-96.940295399999997" TargetMode="External"/><Relationship Id="rId13481" Type="http://schemas.openxmlformats.org/officeDocument/2006/relationships/hyperlink" Target="https://maps.google.com/?q=17.6886755359248,-97.038582583991897" TargetMode="External"/><Relationship Id="rId1091" Type="http://schemas.openxmlformats.org/officeDocument/2006/relationships/hyperlink" Target="https://maps.google.com/?q=16.88259,-97.675792000000001" TargetMode="External"/><Relationship Id="rId3540" Type="http://schemas.openxmlformats.org/officeDocument/2006/relationships/hyperlink" Target="https://maps.google.com/?q=15.770322,-96.151659" TargetMode="External"/><Relationship Id="rId12083" Type="http://schemas.openxmlformats.org/officeDocument/2006/relationships/hyperlink" Target="https://maps.google.com/?q=16.24560992,-95.324775189999997" TargetMode="External"/><Relationship Id="rId13134" Type="http://schemas.openxmlformats.org/officeDocument/2006/relationships/hyperlink" Target="https://maps.google.com/?q=17.1861652550357,-96.512932985284806" TargetMode="External"/><Relationship Id="rId114" Type="http://schemas.openxmlformats.org/officeDocument/2006/relationships/hyperlink" Target="https://maps.google.com/?q=17.097239,-97.495690999999994" TargetMode="External"/><Relationship Id="rId461" Type="http://schemas.openxmlformats.org/officeDocument/2006/relationships/hyperlink" Target="https://maps.google.com/?q=16.053892,-97.409295" TargetMode="External"/><Relationship Id="rId2142" Type="http://schemas.openxmlformats.org/officeDocument/2006/relationships/hyperlink" Target="https://maps.google.com/?q=15.763819,-96.141249000000002" TargetMode="External"/><Relationship Id="rId6763" Type="http://schemas.openxmlformats.org/officeDocument/2006/relationships/hyperlink" Target="https://maps.google.com/?q=16.7078755945327,-97.018142859137896" TargetMode="External"/><Relationship Id="rId7814" Type="http://schemas.openxmlformats.org/officeDocument/2006/relationships/hyperlink" Target="https://maps.google.com/?q=17.8464416820477,-96.745392009083503" TargetMode="External"/><Relationship Id="rId5365" Type="http://schemas.openxmlformats.org/officeDocument/2006/relationships/hyperlink" Target="https://maps.google.com/?q=16.1287261491173,-97.608022898504203" TargetMode="External"/><Relationship Id="rId6416" Type="http://schemas.openxmlformats.org/officeDocument/2006/relationships/hyperlink" Target="https://maps.google.com/?q=17.2221301558748,-97.594612663447194" TargetMode="External"/><Relationship Id="rId9986" Type="http://schemas.openxmlformats.org/officeDocument/2006/relationships/hyperlink" Target="https://maps.google.com/?q=16.0950698555232,-95.529670466488696" TargetMode="External"/><Relationship Id="rId5018" Type="http://schemas.openxmlformats.org/officeDocument/2006/relationships/hyperlink" Target="https://maps.google.com/?q=17.250168,-96.152994000000007" TargetMode="External"/><Relationship Id="rId8588" Type="http://schemas.openxmlformats.org/officeDocument/2006/relationships/hyperlink" Target="https://maps.google.com/?q=17.8811014979582,-96.725142269579194" TargetMode="External"/><Relationship Id="rId9639" Type="http://schemas.openxmlformats.org/officeDocument/2006/relationships/hyperlink" Target="https://maps.google.com/?q=16.4705759858122,-96.681957209193101" TargetMode="External"/><Relationship Id="rId12967" Type="http://schemas.openxmlformats.org/officeDocument/2006/relationships/hyperlink" Target="https://maps.google.com/?q=16.511044,-97.481262999999998" TargetMode="External"/><Relationship Id="rId1628" Type="http://schemas.openxmlformats.org/officeDocument/2006/relationships/hyperlink" Target="https://maps.google.com/?q=15.9061295310068,-96.432514499478998" TargetMode="External"/><Relationship Id="rId1975" Type="http://schemas.openxmlformats.org/officeDocument/2006/relationships/hyperlink" Target="https://maps.google.com/?q=15.77381,-96.144196" TargetMode="External"/><Relationship Id="rId11569" Type="http://schemas.openxmlformats.org/officeDocument/2006/relationships/hyperlink" Target="https://maps.google.com/?q=16.8471124507259,-96.748889565641406" TargetMode="External"/><Relationship Id="rId14042" Type="http://schemas.openxmlformats.org/officeDocument/2006/relationships/hyperlink" Target="https://maps.google.com/?q=16.15874,-95.238596" TargetMode="External"/><Relationship Id="rId3050" Type="http://schemas.openxmlformats.org/officeDocument/2006/relationships/hyperlink" Target="https://maps.google.com/?q=16.9635399746644,-96.940037129495195" TargetMode="External"/><Relationship Id="rId4101" Type="http://schemas.openxmlformats.org/officeDocument/2006/relationships/hyperlink" Target="https://maps.google.com/?q=17.058568,-96.743064000000004" TargetMode="External"/><Relationship Id="rId7671" Type="http://schemas.openxmlformats.org/officeDocument/2006/relationships/hyperlink" Target="https://maps.google.com/?q=17.1906393780265,-97.544036439674102" TargetMode="External"/><Relationship Id="rId8722" Type="http://schemas.openxmlformats.org/officeDocument/2006/relationships/hyperlink" Target="https://maps.google.com/?q=17.0571450009848,-96.821002012031002" TargetMode="External"/><Relationship Id="rId10652" Type="http://schemas.openxmlformats.org/officeDocument/2006/relationships/hyperlink" Target="https://maps.google.com/?q=17.1232606277435,-97.779729375393998" TargetMode="External"/><Relationship Id="rId11703" Type="http://schemas.openxmlformats.org/officeDocument/2006/relationships/hyperlink" Target="https://maps.google.com/?q=17.18219259,-97.709006380000005" TargetMode="External"/><Relationship Id="rId6273" Type="http://schemas.openxmlformats.org/officeDocument/2006/relationships/hyperlink" Target="https://maps.google.com/?q=16.4097145849424,-96.727166748876698" TargetMode="External"/><Relationship Id="rId7324" Type="http://schemas.openxmlformats.org/officeDocument/2006/relationships/hyperlink" Target="https://maps.google.com/?q=16.72864121,-96.466626730000002" TargetMode="External"/><Relationship Id="rId10305" Type="http://schemas.openxmlformats.org/officeDocument/2006/relationships/hyperlink" Target="https://maps.google.com/?q=16.223802,-97.271789999999996" TargetMode="External"/><Relationship Id="rId13875" Type="http://schemas.openxmlformats.org/officeDocument/2006/relationships/hyperlink" Target="https://maps.google.com/?q=16.2714102854157,-96.5922983444366" TargetMode="External"/><Relationship Id="rId2883" Type="http://schemas.openxmlformats.org/officeDocument/2006/relationships/hyperlink" Target="https://maps.google.com/?q=18.229127,-96.279312000000004" TargetMode="External"/><Relationship Id="rId3934" Type="http://schemas.openxmlformats.org/officeDocument/2006/relationships/hyperlink" Target="https://maps.google.com/?q=17.058954,-96.752435000000006" TargetMode="External"/><Relationship Id="rId9496" Type="http://schemas.openxmlformats.org/officeDocument/2006/relationships/hyperlink" Target="https://maps.google.com/?q=17.317225351226146,-96.48398094383602" TargetMode="External"/><Relationship Id="rId12477" Type="http://schemas.openxmlformats.org/officeDocument/2006/relationships/hyperlink" Target="https://maps.google.com/?q=17.2220409883599,-97.270845823296199" TargetMode="External"/><Relationship Id="rId13528" Type="http://schemas.openxmlformats.org/officeDocument/2006/relationships/hyperlink" Target="https://maps.google.com/?q=16.105118539461664,-97.14277705026245" TargetMode="External"/><Relationship Id="rId855" Type="http://schemas.openxmlformats.org/officeDocument/2006/relationships/hyperlink" Target="https://maps.google.com/?q=15.707398536969054,-96.525046040735702" TargetMode="External"/><Relationship Id="rId1485" Type="http://schemas.openxmlformats.org/officeDocument/2006/relationships/hyperlink" Target="https://maps.google.com/?q=17.058951,-96.751512000000005" TargetMode="External"/><Relationship Id="rId2536" Type="http://schemas.openxmlformats.org/officeDocument/2006/relationships/hyperlink" Target="https://maps.google.com/?q=17.05310803566185,-96.624038404883819" TargetMode="External"/><Relationship Id="rId8098" Type="http://schemas.openxmlformats.org/officeDocument/2006/relationships/hyperlink" Target="https://maps.google.com/?q=17.354832702391,-96.306483378895507" TargetMode="External"/><Relationship Id="rId9149" Type="http://schemas.openxmlformats.org/officeDocument/2006/relationships/hyperlink" Target="https://maps.google.com/?q=16.9743158657493,-97.088382890229994" TargetMode="External"/><Relationship Id="rId11079" Type="http://schemas.openxmlformats.org/officeDocument/2006/relationships/hyperlink" Target="https://maps.google.com/?q=17.2895096531576,-97.370152930584297" TargetMode="External"/><Relationship Id="rId508" Type="http://schemas.openxmlformats.org/officeDocument/2006/relationships/hyperlink" Target="https://maps.google.com/?q=16.053499,-97.405055000000004" TargetMode="External"/><Relationship Id="rId1138" Type="http://schemas.openxmlformats.org/officeDocument/2006/relationships/hyperlink" Target="https://maps.google.com/?q=16.883656,-97.676331000000005" TargetMode="External"/><Relationship Id="rId5759" Type="http://schemas.openxmlformats.org/officeDocument/2006/relationships/hyperlink" Target="https://maps.google.com/?q=16.9941058007091,-97.232223054345297" TargetMode="External"/><Relationship Id="rId9630" Type="http://schemas.openxmlformats.org/officeDocument/2006/relationships/hyperlink" Target="https://maps.google.com/?q=17.1530878173381,-96.752974808108306" TargetMode="External"/><Relationship Id="rId7181" Type="http://schemas.openxmlformats.org/officeDocument/2006/relationships/hyperlink" Target="https://maps.google.com/?q=16.2213154676591,-97.921084316305695" TargetMode="External"/><Relationship Id="rId8232" Type="http://schemas.openxmlformats.org/officeDocument/2006/relationships/hyperlink" Target="https://maps.google.com/?q=16.423518,-97.640849000000003" TargetMode="External"/><Relationship Id="rId11560" Type="http://schemas.openxmlformats.org/officeDocument/2006/relationships/hyperlink" Target="https://maps.google.com/?q=16.8459542578364,-96.748537442956902" TargetMode="External"/><Relationship Id="rId12611" Type="http://schemas.openxmlformats.org/officeDocument/2006/relationships/hyperlink" Target="https://maps.google.com/?q=17.114929903817,-96.846537999999995" TargetMode="External"/><Relationship Id="rId10162" Type="http://schemas.openxmlformats.org/officeDocument/2006/relationships/hyperlink" Target="https://maps.google.com/?q=17.1079200766842,-97.492675869477196" TargetMode="External"/><Relationship Id="rId11213" Type="http://schemas.openxmlformats.org/officeDocument/2006/relationships/hyperlink" Target="https://maps.google.com/?q=16.999794,-97.797461999999996" TargetMode="External"/><Relationship Id="rId3791" Type="http://schemas.openxmlformats.org/officeDocument/2006/relationships/hyperlink" Target="https://maps.google.com/?q=15.769293029994568,-96.234976194726144" TargetMode="External"/><Relationship Id="rId4842" Type="http://schemas.openxmlformats.org/officeDocument/2006/relationships/hyperlink" Target="https://maps.google.com/?q=17.3371970354984,-96.1695014648854" TargetMode="External"/><Relationship Id="rId13385" Type="http://schemas.openxmlformats.org/officeDocument/2006/relationships/hyperlink" Target="https://maps.google.com/?q=16.324040827468,-96.678270527120901" TargetMode="External"/><Relationship Id="rId2393" Type="http://schemas.openxmlformats.org/officeDocument/2006/relationships/hyperlink" Target="https://maps.google.com/?q=16.5959224741717,-97.223586236745803" TargetMode="External"/><Relationship Id="rId3444" Type="http://schemas.openxmlformats.org/officeDocument/2006/relationships/hyperlink" Target="https://maps.google.com/?q=16.4560238898246,-96.923280730412998" TargetMode="External"/><Relationship Id="rId13038" Type="http://schemas.openxmlformats.org/officeDocument/2006/relationships/hyperlink" Target="https://maps.google.com/?q=16.5615354,-97.540250700000001" TargetMode="External"/><Relationship Id="rId365" Type="http://schemas.openxmlformats.org/officeDocument/2006/relationships/hyperlink" Target="https://maps.google.com/?q=16.053534,-97.409709000000007" TargetMode="External"/><Relationship Id="rId2046" Type="http://schemas.openxmlformats.org/officeDocument/2006/relationships/hyperlink" Target="https://maps.google.com/?q=15.760753885529866,-96.150617995601024" TargetMode="External"/><Relationship Id="rId6667" Type="http://schemas.openxmlformats.org/officeDocument/2006/relationships/hyperlink" Target="https://maps.google.com/?q=16.93911,-97.010970999999998" TargetMode="External"/><Relationship Id="rId7718" Type="http://schemas.openxmlformats.org/officeDocument/2006/relationships/hyperlink" Target="https://maps.google.com/?q=16.6292121538772,-96.796556467996595" TargetMode="External"/><Relationship Id="rId5269" Type="http://schemas.openxmlformats.org/officeDocument/2006/relationships/hyperlink" Target="https://maps.google.com/?q=15.7223964270604,-96.399474545667104" TargetMode="External"/><Relationship Id="rId9140" Type="http://schemas.openxmlformats.org/officeDocument/2006/relationships/hyperlink" Target="https://maps.google.com/?q=16.9713181723253,-97.083167114122006" TargetMode="External"/><Relationship Id="rId11070" Type="http://schemas.openxmlformats.org/officeDocument/2006/relationships/hyperlink" Target="https://maps.google.com/?q=17.28579142,-97.365686929999995" TargetMode="External"/><Relationship Id="rId12121" Type="http://schemas.openxmlformats.org/officeDocument/2006/relationships/hyperlink" Target="https://maps.google.com/?q=16.3201032762299,-97.664349728105506" TargetMode="External"/><Relationship Id="rId1879" Type="http://schemas.openxmlformats.org/officeDocument/2006/relationships/hyperlink" Target="https://maps.google.com/?q=15.775610176464685,-96.136887450225316" TargetMode="External"/><Relationship Id="rId5750" Type="http://schemas.openxmlformats.org/officeDocument/2006/relationships/hyperlink" Target="https://maps.google.com/?q=18.049319,-96.765640000000005" TargetMode="External"/><Relationship Id="rId6801" Type="http://schemas.openxmlformats.org/officeDocument/2006/relationships/hyperlink" Target="https://maps.google.com/?q=16.3573024832098,-97.044741317790695" TargetMode="External"/><Relationship Id="rId4005" Type="http://schemas.openxmlformats.org/officeDocument/2006/relationships/hyperlink" Target="https://maps.google.com/?q=17.018052318891478,-96.718519935406704" TargetMode="External"/><Relationship Id="rId4352" Type="http://schemas.openxmlformats.org/officeDocument/2006/relationships/hyperlink" Target="https://maps.google.com/?q=15.95898479,-96.634505989999994" TargetMode="External"/><Relationship Id="rId5403" Type="http://schemas.openxmlformats.org/officeDocument/2006/relationships/hyperlink" Target="https://maps.google.com/?q=16.0940370015005,-97.693735807374907" TargetMode="External"/><Relationship Id="rId8973" Type="http://schemas.openxmlformats.org/officeDocument/2006/relationships/hyperlink" Target="https://maps.google.com/?q=17.381675756,-96.160567154000006" TargetMode="External"/><Relationship Id="rId11954" Type="http://schemas.openxmlformats.org/officeDocument/2006/relationships/hyperlink" Target="https://maps.google.com/?q=16.7970407519936,-96.712614304577102" TargetMode="External"/><Relationship Id="rId7575" Type="http://schemas.openxmlformats.org/officeDocument/2006/relationships/hyperlink" Target="https://maps.google.com/?q=17.0915169889298,-95.854733265582297" TargetMode="External"/><Relationship Id="rId8626" Type="http://schemas.openxmlformats.org/officeDocument/2006/relationships/hyperlink" Target="https://maps.google.com/?q=17.8991876201784,-96.713826136176493" TargetMode="External"/><Relationship Id="rId10556" Type="http://schemas.openxmlformats.org/officeDocument/2006/relationships/hyperlink" Target="https://maps.google.com/?q=17.0938051095152,-97.788972162337004" TargetMode="External"/><Relationship Id="rId11607" Type="http://schemas.openxmlformats.org/officeDocument/2006/relationships/hyperlink" Target="https://maps.google.com/?q=16.8362881371197,-96.730391379133195" TargetMode="External"/><Relationship Id="rId6177" Type="http://schemas.openxmlformats.org/officeDocument/2006/relationships/hyperlink" Target="https://maps.google.com/?q=16.143616,-96.414659" TargetMode="External"/><Relationship Id="rId7228" Type="http://schemas.openxmlformats.org/officeDocument/2006/relationships/hyperlink" Target="https://maps.google.com/?q=16.2295760685084,-97.944116510414403" TargetMode="External"/><Relationship Id="rId10209" Type="http://schemas.openxmlformats.org/officeDocument/2006/relationships/hyperlink" Target="https://maps.google.com/?q=17.190782708393225,-97.33034441002629" TargetMode="External"/><Relationship Id="rId2787" Type="http://schemas.openxmlformats.org/officeDocument/2006/relationships/hyperlink" Target="https://maps.google.com/?q=16.9941174693886,-97.7030260085983" TargetMode="External"/><Relationship Id="rId3838" Type="http://schemas.openxmlformats.org/officeDocument/2006/relationships/hyperlink" Target="https://maps.google.com/?q=17.1110682168281,-95.942057178979695" TargetMode="External"/><Relationship Id="rId13779" Type="http://schemas.openxmlformats.org/officeDocument/2006/relationships/hyperlink" Target="https://maps.google.com/?q=18.081175,-96.118491" TargetMode="External"/><Relationship Id="rId759" Type="http://schemas.openxmlformats.org/officeDocument/2006/relationships/hyperlink" Target="https://maps.google.com/?q=15.683706377074532,-96.511396331392376" TargetMode="External"/><Relationship Id="rId1389" Type="http://schemas.openxmlformats.org/officeDocument/2006/relationships/hyperlink" Target="https://maps.google.com/?q=17.501442,-98.142583999999999" TargetMode="External"/><Relationship Id="rId5260" Type="http://schemas.openxmlformats.org/officeDocument/2006/relationships/hyperlink" Target="https://maps.google.com/?q=15.7191151115953,-96.400117432636804" TargetMode="External"/><Relationship Id="rId6311" Type="http://schemas.openxmlformats.org/officeDocument/2006/relationships/hyperlink" Target="https://maps.google.com/?q=18.0580541045033,-96.392250953297193" TargetMode="External"/><Relationship Id="rId8483" Type="http://schemas.openxmlformats.org/officeDocument/2006/relationships/hyperlink" Target="https://maps.google.com/?q=17.1534826931027,-97.531461929568593" TargetMode="External"/><Relationship Id="rId9881" Type="http://schemas.openxmlformats.org/officeDocument/2006/relationships/hyperlink" Target="https://maps.google.com/?q=16.6369164524621,-96.849138320000094" TargetMode="External"/><Relationship Id="rId12862" Type="http://schemas.openxmlformats.org/officeDocument/2006/relationships/hyperlink" Target="https://maps.google.com/?q=17.518297,-97.680555999999996" TargetMode="External"/><Relationship Id="rId13913" Type="http://schemas.openxmlformats.org/officeDocument/2006/relationships/hyperlink" Target="https://maps.google.com/?q=16.8561379302465,-96.813754068972102" TargetMode="External"/><Relationship Id="rId95" Type="http://schemas.openxmlformats.org/officeDocument/2006/relationships/hyperlink" Target="https://maps.google.com/?q=15.775269,-96.460081000000002" TargetMode="External"/><Relationship Id="rId1870" Type="http://schemas.openxmlformats.org/officeDocument/2006/relationships/hyperlink" Target="https://maps.google.com/?q=15.775341820944572,-96.136396931300723" TargetMode="External"/><Relationship Id="rId2921" Type="http://schemas.openxmlformats.org/officeDocument/2006/relationships/hyperlink" Target="https://maps.google.com/?q=17.07337136,-96.689116729999995" TargetMode="External"/><Relationship Id="rId7085" Type="http://schemas.openxmlformats.org/officeDocument/2006/relationships/hyperlink" Target="https://maps.google.com/?q=16.326885,-98.053673000000003" TargetMode="External"/><Relationship Id="rId8136" Type="http://schemas.openxmlformats.org/officeDocument/2006/relationships/hyperlink" Target="https://maps.google.com/?q=17.355778653202,-96.302881173432397" TargetMode="External"/><Relationship Id="rId9534" Type="http://schemas.openxmlformats.org/officeDocument/2006/relationships/hyperlink" Target="https://maps.google.com/?q=17.270886,-96.795691" TargetMode="External"/><Relationship Id="rId11464" Type="http://schemas.openxmlformats.org/officeDocument/2006/relationships/hyperlink" Target="https://maps.google.com/?q=16.006019,-97.435671999999997" TargetMode="External"/><Relationship Id="rId12515" Type="http://schemas.openxmlformats.org/officeDocument/2006/relationships/hyperlink" Target="https://maps.google.com/?q=17.2256823814345,-97.2741954751572" TargetMode="External"/><Relationship Id="rId1523" Type="http://schemas.openxmlformats.org/officeDocument/2006/relationships/hyperlink" Target="https://maps.google.com/?q=17.06147,-96.757279999999994" TargetMode="External"/><Relationship Id="rId10066" Type="http://schemas.openxmlformats.org/officeDocument/2006/relationships/hyperlink" Target="https://maps.google.com/?q=16.9694337873472,-96.162677713081905" TargetMode="External"/><Relationship Id="rId11117" Type="http://schemas.openxmlformats.org/officeDocument/2006/relationships/hyperlink" Target="https://maps.google.com/?q=16.833289,-96.009546" TargetMode="External"/><Relationship Id="rId3695" Type="http://schemas.openxmlformats.org/officeDocument/2006/relationships/hyperlink" Target="https://maps.google.com/?q=15.75770307794821,-96.13904110980323" TargetMode="External"/><Relationship Id="rId4746" Type="http://schemas.openxmlformats.org/officeDocument/2006/relationships/hyperlink" Target="https://maps.google.com/?q=17.9527233789912,-96.656076070721795" TargetMode="External"/><Relationship Id="rId13289" Type="http://schemas.openxmlformats.org/officeDocument/2006/relationships/hyperlink" Target="https://maps.google.com/?q=16.1307663159131,-96.330447826686793" TargetMode="External"/><Relationship Id="rId2297" Type="http://schemas.openxmlformats.org/officeDocument/2006/relationships/hyperlink" Target="https://maps.google.com/?q=18.1014560411684,-96.8781446025544" TargetMode="External"/><Relationship Id="rId3348" Type="http://schemas.openxmlformats.org/officeDocument/2006/relationships/hyperlink" Target="https://maps.google.com/?q=17.1563903528116,-97.841137025794893" TargetMode="External"/><Relationship Id="rId7969" Type="http://schemas.openxmlformats.org/officeDocument/2006/relationships/hyperlink" Target="https://maps.google.com/?q=18.1620355455354,-96.874733741069903" TargetMode="External"/><Relationship Id="rId10200" Type="http://schemas.openxmlformats.org/officeDocument/2006/relationships/hyperlink" Target="https://maps.google.com/?q=17.221672542849,-97.327167068001799" TargetMode="External"/><Relationship Id="rId269" Type="http://schemas.openxmlformats.org/officeDocument/2006/relationships/hyperlink" Target="https://maps.google.com/?q=16.88298,-97.674750000000003" TargetMode="External"/><Relationship Id="rId9391" Type="http://schemas.openxmlformats.org/officeDocument/2006/relationships/hyperlink" Target="https://maps.google.com/?q=16.8208867672473,-95.142563079073796" TargetMode="External"/><Relationship Id="rId13770" Type="http://schemas.openxmlformats.org/officeDocument/2006/relationships/hyperlink" Target="https://maps.google.com/?q=17.35995,-96.25017" TargetMode="External"/><Relationship Id="rId1380" Type="http://schemas.openxmlformats.org/officeDocument/2006/relationships/hyperlink" Target="https://maps.google.com/?q=16.564244,-96.731829000000005" TargetMode="External"/><Relationship Id="rId9044" Type="http://schemas.openxmlformats.org/officeDocument/2006/relationships/hyperlink" Target="https://maps.google.com/?q=16.054451,-95.484157999999994" TargetMode="External"/><Relationship Id="rId12372" Type="http://schemas.openxmlformats.org/officeDocument/2006/relationships/hyperlink" Target="https://maps.google.com/?q=17.250018768629996,-97.6916736016208" TargetMode="External"/><Relationship Id="rId13423" Type="http://schemas.openxmlformats.org/officeDocument/2006/relationships/hyperlink" Target="https://maps.google.com/?q=17.6799258782457,-97.037395724819405" TargetMode="External"/><Relationship Id="rId403" Type="http://schemas.openxmlformats.org/officeDocument/2006/relationships/hyperlink" Target="https://maps.google.com/?q=16.051294,-97.414839000000001" TargetMode="External"/><Relationship Id="rId750" Type="http://schemas.openxmlformats.org/officeDocument/2006/relationships/hyperlink" Target="https://maps.google.com/?q=15.683362411337777,-96.511054818966443" TargetMode="External"/><Relationship Id="rId1033" Type="http://schemas.openxmlformats.org/officeDocument/2006/relationships/hyperlink" Target="https://maps.google.com/?q=15.703747468685028,-96.523508260284544" TargetMode="External"/><Relationship Id="rId2431" Type="http://schemas.openxmlformats.org/officeDocument/2006/relationships/hyperlink" Target="https://maps.google.com/?q=17.05120074,-96.624241789999999" TargetMode="External"/><Relationship Id="rId12025" Type="http://schemas.openxmlformats.org/officeDocument/2006/relationships/hyperlink" Target="https://maps.google.com/?q=16.8044814838247,-96.721171457672398" TargetMode="External"/><Relationship Id="rId5654" Type="http://schemas.openxmlformats.org/officeDocument/2006/relationships/hyperlink" Target="https://maps.google.com/?q=16.423494,-97.882493999999994" TargetMode="External"/><Relationship Id="rId6705" Type="http://schemas.openxmlformats.org/officeDocument/2006/relationships/hyperlink" Target="https://maps.google.com/?q=16.9391717854962,-96.966390551376804" TargetMode="External"/><Relationship Id="rId4256" Type="http://schemas.openxmlformats.org/officeDocument/2006/relationships/hyperlink" Target="https://maps.google.com/?q=15.93345616,-96.632450059999996" TargetMode="External"/><Relationship Id="rId5307" Type="http://schemas.openxmlformats.org/officeDocument/2006/relationships/hyperlink" Target="https://maps.google.com/?q=15.7213736024403,-96.471411371015606" TargetMode="External"/><Relationship Id="rId8877" Type="http://schemas.openxmlformats.org/officeDocument/2006/relationships/hyperlink" Target="https://maps.google.com/?q=17.378733298,-96.160495754999999" TargetMode="External"/><Relationship Id="rId9928" Type="http://schemas.openxmlformats.org/officeDocument/2006/relationships/hyperlink" Target="https://maps.google.com/?q=16.7119020175609,-96.712109999999996" TargetMode="External"/><Relationship Id="rId1917" Type="http://schemas.openxmlformats.org/officeDocument/2006/relationships/hyperlink" Target="https://maps.google.com/?q=15.776766534183649,-96.136917843572732" TargetMode="External"/><Relationship Id="rId7479" Type="http://schemas.openxmlformats.org/officeDocument/2006/relationships/hyperlink" Target="https://maps.google.com/?q=16.9876872762994,-95.015341875245298" TargetMode="External"/><Relationship Id="rId11858" Type="http://schemas.openxmlformats.org/officeDocument/2006/relationships/hyperlink" Target="https://maps.google.com/?q=17.833414431832114,-97.43879498643874" TargetMode="External"/><Relationship Id="rId12909" Type="http://schemas.openxmlformats.org/officeDocument/2006/relationships/hyperlink" Target="https://maps.google.com/?q=16.480586,-97.478829000000005" TargetMode="External"/><Relationship Id="rId13280" Type="http://schemas.openxmlformats.org/officeDocument/2006/relationships/hyperlink" Target="https://maps.google.com/?q=16.1352619790989,-96.374962460327296" TargetMode="External"/><Relationship Id="rId260" Type="http://schemas.openxmlformats.org/officeDocument/2006/relationships/hyperlink" Target="https://maps.google.com/?q=16.88745,-97.682010000000005" TargetMode="External"/><Relationship Id="rId7960" Type="http://schemas.openxmlformats.org/officeDocument/2006/relationships/hyperlink" Target="https://maps.google.com/?q=15.948286494923,-96.552168247459207" TargetMode="External"/><Relationship Id="rId10941" Type="http://schemas.openxmlformats.org/officeDocument/2006/relationships/hyperlink" Target="https://maps.google.com/?q=16.2046841390653,-95.218822096686395" TargetMode="External"/><Relationship Id="rId5164" Type="http://schemas.openxmlformats.org/officeDocument/2006/relationships/hyperlink" Target="https://maps.google.com/?q=17.254972,-96.152967000000004" TargetMode="External"/><Relationship Id="rId6215" Type="http://schemas.openxmlformats.org/officeDocument/2006/relationships/hyperlink" Target="https://maps.google.com/?q=16.096072,-97.080416999999997" TargetMode="External"/><Relationship Id="rId6562" Type="http://schemas.openxmlformats.org/officeDocument/2006/relationships/hyperlink" Target="https://maps.google.com/?q=17.762366,-96.879146" TargetMode="External"/><Relationship Id="rId7613" Type="http://schemas.openxmlformats.org/officeDocument/2006/relationships/hyperlink" Target="https://maps.google.com/?q=17.229933377785,-95.050664980937398" TargetMode="External"/><Relationship Id="rId9785" Type="http://schemas.openxmlformats.org/officeDocument/2006/relationships/hyperlink" Target="https://maps.google.com/?q=16.6401406523762,-96.751012592208994" TargetMode="External"/><Relationship Id="rId12766" Type="http://schemas.openxmlformats.org/officeDocument/2006/relationships/hyperlink" Target="https://maps.google.com/?q=17.4574748760754,-97.288584980059497" TargetMode="External"/><Relationship Id="rId13817" Type="http://schemas.openxmlformats.org/officeDocument/2006/relationships/hyperlink" Target="https://maps.google.com/?q=16.998028,-97.799933999999993" TargetMode="External"/><Relationship Id="rId1774" Type="http://schemas.openxmlformats.org/officeDocument/2006/relationships/hyperlink" Target="https://maps.google.com/?q=18.06212573,-96.847130640000003" TargetMode="External"/><Relationship Id="rId2825" Type="http://schemas.openxmlformats.org/officeDocument/2006/relationships/hyperlink" Target="https://maps.google.com/?q=16.991563916546,-97.717870885913797" TargetMode="External"/><Relationship Id="rId8387" Type="http://schemas.openxmlformats.org/officeDocument/2006/relationships/hyperlink" Target="https://maps.google.com/?q=16.8466173797973,-97.200680045169307" TargetMode="External"/><Relationship Id="rId9438" Type="http://schemas.openxmlformats.org/officeDocument/2006/relationships/hyperlink" Target="https://maps.google.com/?q=16.4762760088644,-94.342492786631198" TargetMode="External"/><Relationship Id="rId11368" Type="http://schemas.openxmlformats.org/officeDocument/2006/relationships/hyperlink" Target="https://maps.google.com/?q=16.3627999154388,-94.191704915344204" TargetMode="External"/><Relationship Id="rId12419" Type="http://schemas.openxmlformats.org/officeDocument/2006/relationships/hyperlink" Target="https://maps.google.com/?q=16.5585717202843,-96.818830271164003" TargetMode="External"/><Relationship Id="rId1427" Type="http://schemas.openxmlformats.org/officeDocument/2006/relationships/hyperlink" Target="https://maps.google.com/?q=17.07153714962142,-96.7157940912962%09" TargetMode="External"/><Relationship Id="rId4997" Type="http://schemas.openxmlformats.org/officeDocument/2006/relationships/hyperlink" Target="https://maps.google.com/?q=16.332014,-95.231966" TargetMode="External"/><Relationship Id="rId3599" Type="http://schemas.openxmlformats.org/officeDocument/2006/relationships/hyperlink" Target="https://maps.google.com/?q=15.776607511596938,-96.136500396334625" TargetMode="External"/><Relationship Id="rId7470" Type="http://schemas.openxmlformats.org/officeDocument/2006/relationships/hyperlink" Target="https://maps.google.com/?q=16.9856871722556,-95.013319074477593" TargetMode="External"/><Relationship Id="rId8521" Type="http://schemas.openxmlformats.org/officeDocument/2006/relationships/hyperlink" Target="https://maps.google.com/?q=16.9215039453603,-96.612060250331794" TargetMode="External"/><Relationship Id="rId12900" Type="http://schemas.openxmlformats.org/officeDocument/2006/relationships/hyperlink" Target="https://maps.google.com/?q=16.514732,-97.513375999999994" TargetMode="External"/><Relationship Id="rId6072" Type="http://schemas.openxmlformats.org/officeDocument/2006/relationships/hyperlink" Target="https://maps.google.com/?q=18.16197159535516,-96.577220149337904" TargetMode="External"/><Relationship Id="rId7123" Type="http://schemas.openxmlformats.org/officeDocument/2006/relationships/hyperlink" Target="https://maps.google.com/?q=17.3195337006494,-97.691338692105603" TargetMode="External"/><Relationship Id="rId10451" Type="http://schemas.openxmlformats.org/officeDocument/2006/relationships/hyperlink" Target="https://maps.google.com/?q=17.037498,-96.780446999999995" TargetMode="External"/><Relationship Id="rId11502" Type="http://schemas.openxmlformats.org/officeDocument/2006/relationships/hyperlink" Target="https://maps.google.com/?q=16.6098927915326,-96.850759580268203" TargetMode="External"/><Relationship Id="rId9295" Type="http://schemas.openxmlformats.org/officeDocument/2006/relationships/hyperlink" Target="https://maps.google.com/?q=16.8133805173384,-95.136768085582005" TargetMode="External"/><Relationship Id="rId10104" Type="http://schemas.openxmlformats.org/officeDocument/2006/relationships/hyperlink" Target="https://maps.google.com/?q=17.0202943578406,-96.130233961282798" TargetMode="External"/><Relationship Id="rId13674" Type="http://schemas.openxmlformats.org/officeDocument/2006/relationships/hyperlink" Target="https://maps.google.com/?q=17.228118,-96.220205" TargetMode="External"/><Relationship Id="rId2682" Type="http://schemas.openxmlformats.org/officeDocument/2006/relationships/hyperlink" Target="https://maps.google.com/?q=17.940902,-96.102322000000001" TargetMode="External"/><Relationship Id="rId3733" Type="http://schemas.openxmlformats.org/officeDocument/2006/relationships/hyperlink" Target="https://maps.google.com/?q=15.759927514819415,-96.14269350299692" TargetMode="External"/><Relationship Id="rId12276" Type="http://schemas.openxmlformats.org/officeDocument/2006/relationships/hyperlink" Target="https://maps.google.com/?q=16.4854414005361,-94.356274187202999" TargetMode="External"/><Relationship Id="rId13327" Type="http://schemas.openxmlformats.org/officeDocument/2006/relationships/hyperlink" Target="https://maps.google.com/?q=17.4529858885171,-98.006423991401803" TargetMode="External"/><Relationship Id="rId654" Type="http://schemas.openxmlformats.org/officeDocument/2006/relationships/hyperlink" Target="https://maps.google.com/?q=16.057852,-97.390187999999995" TargetMode="External"/><Relationship Id="rId1284" Type="http://schemas.openxmlformats.org/officeDocument/2006/relationships/hyperlink" Target="https://maps.google.com/?q=17.080124,-96.725838" TargetMode="External"/><Relationship Id="rId2335" Type="http://schemas.openxmlformats.org/officeDocument/2006/relationships/hyperlink" Target="https://maps.google.com/?q=17.064759,-97.673681999999999" TargetMode="External"/><Relationship Id="rId6956" Type="http://schemas.openxmlformats.org/officeDocument/2006/relationships/hyperlink" Target="https://maps.google.com/?q=16.3305721909253,-95.232606186587503" TargetMode="External"/><Relationship Id="rId307" Type="http://schemas.openxmlformats.org/officeDocument/2006/relationships/hyperlink" Target="https://maps.google.com/?q=16.061124,-97.384180000000001" TargetMode="External"/><Relationship Id="rId5558" Type="http://schemas.openxmlformats.org/officeDocument/2006/relationships/hyperlink" Target="https://maps.google.com/?q=18.171778,-96.284058000000002" TargetMode="External"/><Relationship Id="rId6609" Type="http://schemas.openxmlformats.org/officeDocument/2006/relationships/hyperlink" Target="https://maps.google.com/?q=16.153502,-97.156512" TargetMode="External"/><Relationship Id="rId12410" Type="http://schemas.openxmlformats.org/officeDocument/2006/relationships/hyperlink" Target="https://maps.google.com/?q=16.5573314300731,-96.823579317791001" TargetMode="External"/><Relationship Id="rId8031" Type="http://schemas.openxmlformats.org/officeDocument/2006/relationships/hyperlink" Target="https://maps.google.com/?q=16.4876123366298,-97.378241280387002" TargetMode="External"/><Relationship Id="rId11012" Type="http://schemas.openxmlformats.org/officeDocument/2006/relationships/hyperlink" Target="https://maps.google.com/?q=17.157067,-97.188782000000003" TargetMode="External"/><Relationship Id="rId3590" Type="http://schemas.openxmlformats.org/officeDocument/2006/relationships/hyperlink" Target="https://maps.google.com/?q=15.776498301086013,-96.136436646576598" TargetMode="External"/><Relationship Id="rId13184" Type="http://schemas.openxmlformats.org/officeDocument/2006/relationships/hyperlink" Target="https://maps.google.com/?q=16.5720235247346,-97.017015766864702" TargetMode="External"/><Relationship Id="rId2192" Type="http://schemas.openxmlformats.org/officeDocument/2006/relationships/hyperlink" Target="https://maps.google.com/?q=17.0010233090242,-97.2361447290683" TargetMode="External"/><Relationship Id="rId3243" Type="http://schemas.openxmlformats.org/officeDocument/2006/relationships/hyperlink" Target="https://maps.google.com/?q=17.9527115497425,-96.205272496818594" TargetMode="External"/><Relationship Id="rId4641" Type="http://schemas.openxmlformats.org/officeDocument/2006/relationships/hyperlink" Target="https://maps.google.com/?q=17.062473,-96.73796400" TargetMode="External"/><Relationship Id="rId164" Type="http://schemas.openxmlformats.org/officeDocument/2006/relationships/hyperlink" Target="https://maps.google.com/?q=17.091969,-97.501902999999999" TargetMode="External"/><Relationship Id="rId7864" Type="http://schemas.openxmlformats.org/officeDocument/2006/relationships/hyperlink" Target="https://maps.google.com/?q=16.3163261027097,-96.403927379133194" TargetMode="External"/><Relationship Id="rId8915" Type="http://schemas.openxmlformats.org/officeDocument/2006/relationships/hyperlink" Target="https://maps.google.com/?q=17.380377345,-96.162892471000006" TargetMode="External"/><Relationship Id="rId10845" Type="http://schemas.openxmlformats.org/officeDocument/2006/relationships/hyperlink" Target="https://maps.google.com/?q=16.4046929006336,-94.457664688325806" TargetMode="External"/><Relationship Id="rId5068" Type="http://schemas.openxmlformats.org/officeDocument/2006/relationships/hyperlink" Target="https://maps.google.com/?q=17.252416,-96.155595000000005" TargetMode="External"/><Relationship Id="rId6466" Type="http://schemas.openxmlformats.org/officeDocument/2006/relationships/hyperlink" Target="https://maps.google.com/?q=16.379993,-97.279972000000001" TargetMode="External"/><Relationship Id="rId7517" Type="http://schemas.openxmlformats.org/officeDocument/2006/relationships/hyperlink" Target="https://maps.google.com/?q=17.9740793406217,-96.703217522768696" TargetMode="External"/><Relationship Id="rId6119" Type="http://schemas.openxmlformats.org/officeDocument/2006/relationships/hyperlink" Target="https://maps.google.com/?q=17.981005,-96.702405999999996" TargetMode="External"/><Relationship Id="rId9689" Type="http://schemas.openxmlformats.org/officeDocument/2006/relationships/hyperlink" Target="https://maps.google.com/?q=18.074818936257,-96.128660171790997" TargetMode="External"/><Relationship Id="rId1678" Type="http://schemas.openxmlformats.org/officeDocument/2006/relationships/hyperlink" Target="https://maps.google.com/?q=18.0051025475769,-96.895592986656894" TargetMode="External"/><Relationship Id="rId2729" Type="http://schemas.openxmlformats.org/officeDocument/2006/relationships/hyperlink" Target="https://maps.google.com/?q=17.069815,-96.63988" TargetMode="External"/><Relationship Id="rId6600" Type="http://schemas.openxmlformats.org/officeDocument/2006/relationships/hyperlink" Target="https://maps.google.com/?q=16.216612,-97.256939" TargetMode="External"/><Relationship Id="rId14092" Type="http://schemas.openxmlformats.org/officeDocument/2006/relationships/hyperlink" Target="https://maps.google.com/?q=17.105550944938095,-96.114311216474" TargetMode="External"/><Relationship Id="rId4151" Type="http://schemas.openxmlformats.org/officeDocument/2006/relationships/hyperlink" Target="https://maps.google.com/?q=16.42285,-98.170063999999996" TargetMode="External"/><Relationship Id="rId5202" Type="http://schemas.openxmlformats.org/officeDocument/2006/relationships/hyperlink" Target="https://maps.google.com/?q=17.317489,-95.969309999999993" TargetMode="External"/><Relationship Id="rId7374" Type="http://schemas.openxmlformats.org/officeDocument/2006/relationships/hyperlink" Target="https://maps.google.com/?q=17.0376668007571,-97.293911304988498" TargetMode="External"/><Relationship Id="rId8425" Type="http://schemas.openxmlformats.org/officeDocument/2006/relationships/hyperlink" Target="https://maps.google.com/?q=16.2001844023697,-96.828071785217801" TargetMode="External"/><Relationship Id="rId8772" Type="http://schemas.openxmlformats.org/officeDocument/2006/relationships/hyperlink" Target="https://maps.google.com/?q=17.206727,-96.252195" TargetMode="External"/><Relationship Id="rId9823" Type="http://schemas.openxmlformats.org/officeDocument/2006/relationships/hyperlink" Target="https://maps.google.com/?q=16.632238766267,-96.8522351967216" TargetMode="External"/><Relationship Id="rId11753" Type="http://schemas.openxmlformats.org/officeDocument/2006/relationships/hyperlink" Target="https://maps.google.com/?q=16.5615601575252,-97.0080020769847" TargetMode="External"/><Relationship Id="rId12804" Type="http://schemas.openxmlformats.org/officeDocument/2006/relationships/hyperlink" Target="https://maps.google.com/?q=16.114763,-97.298393000000004" TargetMode="External"/><Relationship Id="rId37" Type="http://schemas.openxmlformats.org/officeDocument/2006/relationships/hyperlink" Target="https://maps.google.com/?q=17.221454,-97.122040999999996" TargetMode="External"/><Relationship Id="rId1812" Type="http://schemas.openxmlformats.org/officeDocument/2006/relationships/hyperlink" Target="https://maps.google.com/?q=18.0687233833002,-96.898829516467899" TargetMode="External"/><Relationship Id="rId7027" Type="http://schemas.openxmlformats.org/officeDocument/2006/relationships/hyperlink" Target="https://maps.google.com/?q=17.0437859627935,-97.296868712965306" TargetMode="External"/><Relationship Id="rId10355" Type="http://schemas.openxmlformats.org/officeDocument/2006/relationships/hyperlink" Target="https://maps.google.com/?q=17.4337696877875,-96.656189556640001" TargetMode="External"/><Relationship Id="rId11406" Type="http://schemas.openxmlformats.org/officeDocument/2006/relationships/hyperlink" Target="https://maps.google.com/?q=17.2012475191465,-97.7701831779098" TargetMode="External"/><Relationship Id="rId3984" Type="http://schemas.openxmlformats.org/officeDocument/2006/relationships/hyperlink" Target="https://maps.google.com/?q=17.06218,-96.753029999999995" TargetMode="External"/><Relationship Id="rId9199" Type="http://schemas.openxmlformats.org/officeDocument/2006/relationships/hyperlink" Target="https://maps.google.com/?q=17.3746082775669,-96.302513687515997" TargetMode="External"/><Relationship Id="rId10008" Type="http://schemas.openxmlformats.org/officeDocument/2006/relationships/hyperlink" Target="https://maps.google.com/?q=17.0124789225047,-96.078592450116801" TargetMode="External"/><Relationship Id="rId13578" Type="http://schemas.openxmlformats.org/officeDocument/2006/relationships/hyperlink" Target="https://maps.google.com/?q=16.237076,-97.292351999999994" TargetMode="External"/><Relationship Id="rId2586" Type="http://schemas.openxmlformats.org/officeDocument/2006/relationships/hyperlink" Target="https://maps.google.com/?q=16.6000698844635,-97.219526526498299" TargetMode="External"/><Relationship Id="rId3637" Type="http://schemas.openxmlformats.org/officeDocument/2006/relationships/hyperlink" Target="https://maps.google.com/?q=15.777484141978206,-96.137234185764868" TargetMode="External"/><Relationship Id="rId558" Type="http://schemas.openxmlformats.org/officeDocument/2006/relationships/hyperlink" Target="https://maps.google.com/?q=16.052379,-97.401427999999996" TargetMode="External"/><Relationship Id="rId1188" Type="http://schemas.openxmlformats.org/officeDocument/2006/relationships/hyperlink" Target="https://maps.google.com/?q=18.081862,-96.525673" TargetMode="External"/><Relationship Id="rId2239" Type="http://schemas.openxmlformats.org/officeDocument/2006/relationships/hyperlink" Target="https://maps.google.com/?q=16.8105390287831,-96.433938699405502" TargetMode="External"/><Relationship Id="rId6110" Type="http://schemas.openxmlformats.org/officeDocument/2006/relationships/hyperlink" Target="https://maps.google.com/?q=17.975693,-96.702888000000002" TargetMode="External"/><Relationship Id="rId9680" Type="http://schemas.openxmlformats.org/officeDocument/2006/relationships/hyperlink" Target="https://maps.google.com/?q=16.4694158584799,-96.647516905225302" TargetMode="External"/><Relationship Id="rId8282" Type="http://schemas.openxmlformats.org/officeDocument/2006/relationships/hyperlink" Target="https://maps.google.com/?q=17.62474369489,-97.033726977200004" TargetMode="External"/><Relationship Id="rId9333" Type="http://schemas.openxmlformats.org/officeDocument/2006/relationships/hyperlink" Target="https://maps.google.com/?q=16.8169647830786,-95.140260321719893" TargetMode="External"/><Relationship Id="rId11263" Type="http://schemas.openxmlformats.org/officeDocument/2006/relationships/hyperlink" Target="https://maps.google.com/?q=17.8653853563765,-96.308850946686505" TargetMode="External"/><Relationship Id="rId12661" Type="http://schemas.openxmlformats.org/officeDocument/2006/relationships/hyperlink" Target="https://maps.google.com/?q=16.9199071607244,-97.890933320484294" TargetMode="External"/><Relationship Id="rId13712" Type="http://schemas.openxmlformats.org/officeDocument/2006/relationships/hyperlink" Target="https://maps.google.com/?q=16.56542,-97.652344" TargetMode="External"/><Relationship Id="rId1322" Type="http://schemas.openxmlformats.org/officeDocument/2006/relationships/hyperlink" Target="https://maps.google.com/?q=17.094465,-96.75526400" TargetMode="External"/><Relationship Id="rId2720" Type="http://schemas.openxmlformats.org/officeDocument/2006/relationships/hyperlink" Target="https://maps.google.com/?q=15.902723,-96.473224000000002" TargetMode="External"/><Relationship Id="rId12314" Type="http://schemas.openxmlformats.org/officeDocument/2006/relationships/hyperlink" Target="https://maps.google.com/?q=17.173405,-96.339347" TargetMode="External"/><Relationship Id="rId4892" Type="http://schemas.openxmlformats.org/officeDocument/2006/relationships/hyperlink" Target="https://maps.google.com/?q=16.8040979865761,-96.3946762779007" TargetMode="External"/><Relationship Id="rId5943" Type="http://schemas.openxmlformats.org/officeDocument/2006/relationships/hyperlink" Target="https://maps.google.com/?q=18.153759829640123,-96.572314581044537" TargetMode="External"/><Relationship Id="rId2096" Type="http://schemas.openxmlformats.org/officeDocument/2006/relationships/hyperlink" Target="https://maps.google.com/?q=15.763861,-96.150631" TargetMode="External"/><Relationship Id="rId3494" Type="http://schemas.openxmlformats.org/officeDocument/2006/relationships/hyperlink" Target="https://maps.google.com/?q=17.07154412050349,-96.7159122707850" TargetMode="External"/><Relationship Id="rId4545" Type="http://schemas.openxmlformats.org/officeDocument/2006/relationships/hyperlink" Target="https://maps.google.com/?q=17.1845838623262,-97.302916457672097" TargetMode="External"/><Relationship Id="rId13088" Type="http://schemas.openxmlformats.org/officeDocument/2006/relationships/hyperlink" Target="https://maps.google.com/?q=16.56449289,-97.536087199999997" TargetMode="External"/><Relationship Id="rId14139" Type="http://schemas.openxmlformats.org/officeDocument/2006/relationships/hyperlink" Target="https://maps.google.com/?q=16.371273758438242,-96.21185291878055" TargetMode="External"/><Relationship Id="rId3147" Type="http://schemas.openxmlformats.org/officeDocument/2006/relationships/hyperlink" Target="https://maps.google.com/?q=16.58792,-97.444574000000003" TargetMode="External"/><Relationship Id="rId7768" Type="http://schemas.openxmlformats.org/officeDocument/2006/relationships/hyperlink" Target="https://maps.google.com/?q=16.0993696894188,-96.1951617891974" TargetMode="External"/><Relationship Id="rId8819" Type="http://schemas.openxmlformats.org/officeDocument/2006/relationships/hyperlink" Target="https://maps.google.com/?q=17.21602,-96.248501000000005" TargetMode="External"/><Relationship Id="rId10749" Type="http://schemas.openxmlformats.org/officeDocument/2006/relationships/hyperlink" Target="https://maps.google.com/?q=16.5514090582113,-94.941707984131199" TargetMode="External"/><Relationship Id="rId9190" Type="http://schemas.openxmlformats.org/officeDocument/2006/relationships/hyperlink" Target="https://maps.google.com/?q=17.3742984690797,-96.302754331133698" TargetMode="External"/><Relationship Id="rId12171" Type="http://schemas.openxmlformats.org/officeDocument/2006/relationships/hyperlink" Target="https://maps.google.com/?q=17.4160603492994,-95.943363775088599" TargetMode="External"/><Relationship Id="rId13222" Type="http://schemas.openxmlformats.org/officeDocument/2006/relationships/hyperlink" Target="https://maps.google.com/?q=17.3457776278666,-97.385751030083497" TargetMode="External"/><Relationship Id="rId2230" Type="http://schemas.openxmlformats.org/officeDocument/2006/relationships/hyperlink" Target="https://maps.google.com/?q=17.4093295729309,-97.089320152642401" TargetMode="External"/><Relationship Id="rId202" Type="http://schemas.openxmlformats.org/officeDocument/2006/relationships/hyperlink" Target="https://maps.google.com/?q=17.095144,-97.503765999999999" TargetMode="External"/><Relationship Id="rId5453" Type="http://schemas.openxmlformats.org/officeDocument/2006/relationships/hyperlink" Target="https://maps.google.com/?q=16.0083348224195,-97.432129061342295" TargetMode="External"/><Relationship Id="rId6504" Type="http://schemas.openxmlformats.org/officeDocument/2006/relationships/hyperlink" Target="https://maps.google.com/?q=17.217864932563,-97.566867103537803" TargetMode="External"/><Relationship Id="rId6851" Type="http://schemas.openxmlformats.org/officeDocument/2006/relationships/hyperlink" Target="https://maps.google.com/?q=17.0090456745091,-96.977645590108907" TargetMode="External"/><Relationship Id="rId7902" Type="http://schemas.openxmlformats.org/officeDocument/2006/relationships/hyperlink" Target="https://maps.google.com/?q=16.3192524807183,-96.406693469906102" TargetMode="External"/><Relationship Id="rId4055" Type="http://schemas.openxmlformats.org/officeDocument/2006/relationships/hyperlink" Target="https://maps.google.com/?q=17.080188,-96.726730000000003" TargetMode="External"/><Relationship Id="rId5106" Type="http://schemas.openxmlformats.org/officeDocument/2006/relationships/hyperlink" Target="https://maps.google.com/?q=17.25354,-96.154567999999998" TargetMode="External"/><Relationship Id="rId7278" Type="http://schemas.openxmlformats.org/officeDocument/2006/relationships/hyperlink" Target="https://maps.google.com/?q=16.3038342869005,-97.909051167791503" TargetMode="External"/><Relationship Id="rId8676" Type="http://schemas.openxmlformats.org/officeDocument/2006/relationships/hyperlink" Target="https://maps.google.com/?q=16.1823995942543,-96.624029930059393" TargetMode="External"/><Relationship Id="rId9727" Type="http://schemas.openxmlformats.org/officeDocument/2006/relationships/hyperlink" Target="https://maps.google.com/?q=16.5195144313266,-96.97012676" TargetMode="External"/><Relationship Id="rId11657" Type="http://schemas.openxmlformats.org/officeDocument/2006/relationships/hyperlink" Target="https://maps.google.com/?q=17.17379474,-97.708086249999994" TargetMode="External"/><Relationship Id="rId12708" Type="http://schemas.openxmlformats.org/officeDocument/2006/relationships/hyperlink" Target="https://maps.google.com/?q=16.2840725771677,-96.504321912474595" TargetMode="External"/><Relationship Id="rId1716" Type="http://schemas.openxmlformats.org/officeDocument/2006/relationships/hyperlink" Target="https://maps.google.com/?q=18.0547326227051,-96.829629999999995" TargetMode="External"/><Relationship Id="rId8329" Type="http://schemas.openxmlformats.org/officeDocument/2006/relationships/hyperlink" Target="https://maps.google.com/?q=17.2007713349471,-97.594531648835996" TargetMode="External"/><Relationship Id="rId10259" Type="http://schemas.openxmlformats.org/officeDocument/2006/relationships/hyperlink" Target="https://maps.google.com/?q=16.2435864556873,-95.151998786615295" TargetMode="External"/><Relationship Id="rId14130" Type="http://schemas.openxmlformats.org/officeDocument/2006/relationships/hyperlink" Target="https://maps.google.com/?q=17.267399,-98.270148" TargetMode="External"/><Relationship Id="rId3888" Type="http://schemas.openxmlformats.org/officeDocument/2006/relationships/hyperlink" Target="https://maps.google.com/?q=17.108907,-95.930580000000006" TargetMode="External"/><Relationship Id="rId4939" Type="http://schemas.openxmlformats.org/officeDocument/2006/relationships/hyperlink" Target="https://maps.google.com/?q=18.0340733774895,-96.674367418486" TargetMode="External"/><Relationship Id="rId8810" Type="http://schemas.openxmlformats.org/officeDocument/2006/relationships/hyperlink" Target="https://maps.google.com/?q=17.215775,-96.248395000000002" TargetMode="External"/><Relationship Id="rId6361" Type="http://schemas.openxmlformats.org/officeDocument/2006/relationships/hyperlink" Target="https://maps.google.com/?q=17.08333,-96.71805" TargetMode="External"/><Relationship Id="rId7412" Type="http://schemas.openxmlformats.org/officeDocument/2006/relationships/hyperlink" Target="https://maps.google.com/?q=17.032707,-97.051439999999999" TargetMode="External"/><Relationship Id="rId10740" Type="http://schemas.openxmlformats.org/officeDocument/2006/relationships/hyperlink" Target="https://maps.google.com/?q=16.726823,-94.897148" TargetMode="External"/><Relationship Id="rId6014" Type="http://schemas.openxmlformats.org/officeDocument/2006/relationships/hyperlink" Target="https://maps.google.com/?q=18.155665605233192,-96.5762615554804" TargetMode="External"/><Relationship Id="rId9584" Type="http://schemas.openxmlformats.org/officeDocument/2006/relationships/hyperlink" Target="https://maps.google.com/?q=17.9895779770164,-96.7384686368747" TargetMode="External"/><Relationship Id="rId13963" Type="http://schemas.openxmlformats.org/officeDocument/2006/relationships/hyperlink" Target="https://maps.google.com/?q=17.0982734523773,-96.047735811786495" TargetMode="External"/><Relationship Id="rId2971" Type="http://schemas.openxmlformats.org/officeDocument/2006/relationships/hyperlink" Target="https://maps.google.com/?q=16.4587659529748,-97.027321304124001" TargetMode="External"/><Relationship Id="rId8186" Type="http://schemas.openxmlformats.org/officeDocument/2006/relationships/hyperlink" Target="https://maps.google.com/?q=16.666919,-96.306956999999997" TargetMode="External"/><Relationship Id="rId9237" Type="http://schemas.openxmlformats.org/officeDocument/2006/relationships/hyperlink" Target="https://maps.google.com/?q=17.3763387981169,-96.299665697098803" TargetMode="External"/><Relationship Id="rId12565" Type="http://schemas.openxmlformats.org/officeDocument/2006/relationships/hyperlink" Target="https://maps.google.com/?q=16.5491867910918,-96.981326181536303" TargetMode="External"/><Relationship Id="rId13616" Type="http://schemas.openxmlformats.org/officeDocument/2006/relationships/hyperlink" Target="https://maps.google.com/?q=16.500622,-96.106727" TargetMode="External"/><Relationship Id="rId943" Type="http://schemas.openxmlformats.org/officeDocument/2006/relationships/hyperlink" Target="https://maps.google.com/?q=15.682473790990546,-96.509874931242152" TargetMode="External"/><Relationship Id="rId1573" Type="http://schemas.openxmlformats.org/officeDocument/2006/relationships/hyperlink" Target="https://maps.google.com/?q=16.563915227228,-96.701393761046106" TargetMode="External"/><Relationship Id="rId2624" Type="http://schemas.openxmlformats.org/officeDocument/2006/relationships/hyperlink" Target="https://maps.google.com/?q=18.080512,-96.164395999999996" TargetMode="External"/><Relationship Id="rId11167" Type="http://schemas.openxmlformats.org/officeDocument/2006/relationships/hyperlink" Target="https://maps.google.com/?q=16.842621,-96.008639000000002" TargetMode="External"/><Relationship Id="rId12218" Type="http://schemas.openxmlformats.org/officeDocument/2006/relationships/hyperlink" Target="https://maps.google.com/?q=17.4185954077247,-95.950677472928106" TargetMode="External"/><Relationship Id="rId1226" Type="http://schemas.openxmlformats.org/officeDocument/2006/relationships/hyperlink" Target="https://maps.google.com/?q=17.047,-96.71366000" TargetMode="External"/><Relationship Id="rId4796" Type="http://schemas.openxmlformats.org/officeDocument/2006/relationships/hyperlink" Target="https://maps.google.com/?q=17.9586857434959,-96.659634745472005" TargetMode="External"/><Relationship Id="rId5847" Type="http://schemas.openxmlformats.org/officeDocument/2006/relationships/hyperlink" Target="https://maps.google.com/?q=16.0919338726145,-97.689480374309099" TargetMode="External"/><Relationship Id="rId3398" Type="http://schemas.openxmlformats.org/officeDocument/2006/relationships/hyperlink" Target="https://maps.google.com/?q=18.0055375203564,-96.645155332728393" TargetMode="External"/><Relationship Id="rId4449" Type="http://schemas.openxmlformats.org/officeDocument/2006/relationships/hyperlink" Target="https://maps.google.com/?q=16.654271,-96.774266999999995" TargetMode="External"/><Relationship Id="rId8320" Type="http://schemas.openxmlformats.org/officeDocument/2006/relationships/hyperlink" Target="https://maps.google.com/?q=16.540154,-98.033730000000006" TargetMode="External"/><Relationship Id="rId10250" Type="http://schemas.openxmlformats.org/officeDocument/2006/relationships/hyperlink" Target="https://maps.google.com/?q=16.239752,-95.153705000000002" TargetMode="External"/><Relationship Id="rId11301" Type="http://schemas.openxmlformats.org/officeDocument/2006/relationships/hyperlink" Target="https://maps.google.com/?q=17.8677288884911,-96.309475958836401" TargetMode="External"/><Relationship Id="rId13473" Type="http://schemas.openxmlformats.org/officeDocument/2006/relationships/hyperlink" Target="https://maps.google.com/?q=17.6879256769709,-97.040310093254107" TargetMode="External"/><Relationship Id="rId2481" Type="http://schemas.openxmlformats.org/officeDocument/2006/relationships/hyperlink" Target="https://maps.google.com/?q=17.05190543,-96.624459849999994" TargetMode="External"/><Relationship Id="rId3532" Type="http://schemas.openxmlformats.org/officeDocument/2006/relationships/hyperlink" Target="https://maps.google.com/?q=15.766651,-96.152028" TargetMode="External"/><Relationship Id="rId4930" Type="http://schemas.openxmlformats.org/officeDocument/2006/relationships/hyperlink" Target="https://maps.google.com/?q=18.032828,-96.667112000000003" TargetMode="External"/><Relationship Id="rId9094" Type="http://schemas.openxmlformats.org/officeDocument/2006/relationships/hyperlink" Target="https://maps.google.com/?q=17.065540893805423,-98.05804816749192" TargetMode="External"/><Relationship Id="rId12075" Type="http://schemas.openxmlformats.org/officeDocument/2006/relationships/hyperlink" Target="https://maps.google.com/?q=16.24446883,-95.325024400000004" TargetMode="External"/><Relationship Id="rId13126" Type="http://schemas.openxmlformats.org/officeDocument/2006/relationships/hyperlink" Target="https://maps.google.com/?q=17.184303847723,-96.513934516532998" TargetMode="External"/><Relationship Id="rId453" Type="http://schemas.openxmlformats.org/officeDocument/2006/relationships/hyperlink" Target="https://maps.google.com/?q=16.052963,-97.410798" TargetMode="External"/><Relationship Id="rId1083" Type="http://schemas.openxmlformats.org/officeDocument/2006/relationships/hyperlink" Target="https://maps.google.com/?q=17.09063,-97.493195999999998" TargetMode="External"/><Relationship Id="rId2134" Type="http://schemas.openxmlformats.org/officeDocument/2006/relationships/hyperlink" Target="https://maps.google.com/?q=15.763132,-96.141874999999999" TargetMode="External"/><Relationship Id="rId106" Type="http://schemas.openxmlformats.org/officeDocument/2006/relationships/hyperlink" Target="https://maps.google.com/?q=17.090845,-97.499115000000003" TargetMode="External"/><Relationship Id="rId5357" Type="http://schemas.openxmlformats.org/officeDocument/2006/relationships/hyperlink" Target="https://maps.google.com/?q=16.5274900225482,-97.169120459632396" TargetMode="External"/><Relationship Id="rId6755" Type="http://schemas.openxmlformats.org/officeDocument/2006/relationships/hyperlink" Target="https://maps.google.com/?q=16.7052089807292,-97.016431609786906" TargetMode="External"/><Relationship Id="rId7806" Type="http://schemas.openxmlformats.org/officeDocument/2006/relationships/hyperlink" Target="https://maps.google.com/?q=17.8460094648462,-96.744231091188695" TargetMode="External"/><Relationship Id="rId6408" Type="http://schemas.openxmlformats.org/officeDocument/2006/relationships/hyperlink" Target="https://maps.google.com/?q=17.2091981974727,-97.580388086448707" TargetMode="External"/><Relationship Id="rId9978" Type="http://schemas.openxmlformats.org/officeDocument/2006/relationships/hyperlink" Target="https://maps.google.com/?q=16.1041823868709,-95.383523014715195" TargetMode="External"/><Relationship Id="rId12959" Type="http://schemas.openxmlformats.org/officeDocument/2006/relationships/hyperlink" Target="https://maps.google.com/?q=16.508866,-97.481553000000005" TargetMode="External"/><Relationship Id="rId1967" Type="http://schemas.openxmlformats.org/officeDocument/2006/relationships/hyperlink" Target="https://maps.google.com/?q=15.78166172899591,-96.134209704116415" TargetMode="External"/><Relationship Id="rId4440" Type="http://schemas.openxmlformats.org/officeDocument/2006/relationships/hyperlink" Target="https://maps.google.com/?q=16.5675305180743,-96.699069393214799" TargetMode="External"/><Relationship Id="rId14034" Type="http://schemas.openxmlformats.org/officeDocument/2006/relationships/hyperlink" Target="https://maps.google.com/?q=17.0604424485906,-96.726855686841503" TargetMode="External"/><Relationship Id="rId3042" Type="http://schemas.openxmlformats.org/officeDocument/2006/relationships/hyperlink" Target="https://maps.google.com/?q=16.940657,-97.016193999999999" TargetMode="External"/><Relationship Id="rId7663" Type="http://schemas.openxmlformats.org/officeDocument/2006/relationships/hyperlink" Target="https://maps.google.com/?q=17.232760898233,-95.057651061892102" TargetMode="External"/><Relationship Id="rId8714" Type="http://schemas.openxmlformats.org/officeDocument/2006/relationships/hyperlink" Target="https://maps.google.com/?q=17.0560848229958,-96.824189782091196" TargetMode="External"/><Relationship Id="rId10991" Type="http://schemas.openxmlformats.org/officeDocument/2006/relationships/hyperlink" Target="https://maps.google.com/?q=17.1607836246835,-97.589650010327304" TargetMode="External"/><Relationship Id="rId6265" Type="http://schemas.openxmlformats.org/officeDocument/2006/relationships/hyperlink" Target="https://maps.google.com/?q=16.4016774038656,-96.733205908316705" TargetMode="External"/><Relationship Id="rId7316" Type="http://schemas.openxmlformats.org/officeDocument/2006/relationships/hyperlink" Target="https://maps.google.com/?q=16.72756872,-96.472471089999999" TargetMode="External"/><Relationship Id="rId10644" Type="http://schemas.openxmlformats.org/officeDocument/2006/relationships/hyperlink" Target="https://maps.google.com/?q=17.1208787534831,-97.784696311714995" TargetMode="External"/><Relationship Id="rId9488" Type="http://schemas.openxmlformats.org/officeDocument/2006/relationships/hyperlink" Target="https://maps.google.com/?q=17.04882179980103,-96.72775831329831" TargetMode="External"/><Relationship Id="rId13867" Type="http://schemas.openxmlformats.org/officeDocument/2006/relationships/hyperlink" Target="https://maps.google.com/?q=16.2674411432147,-96.580378612672305" TargetMode="External"/><Relationship Id="rId2875" Type="http://schemas.openxmlformats.org/officeDocument/2006/relationships/hyperlink" Target="https://maps.google.com/?q=16.989056611713,-97.682535203127699" TargetMode="External"/><Relationship Id="rId3926" Type="http://schemas.openxmlformats.org/officeDocument/2006/relationships/hyperlink" Target="https://maps.google.com/?q=17.058717,-96.753580999999997" TargetMode="External"/><Relationship Id="rId12469" Type="http://schemas.openxmlformats.org/officeDocument/2006/relationships/hyperlink" Target="https://maps.google.com/?q=17.22168819795,-97.270323272778597" TargetMode="External"/><Relationship Id="rId847" Type="http://schemas.openxmlformats.org/officeDocument/2006/relationships/hyperlink" Target="https://maps.google.com/?q=15.706871023827977,-96.524303542330586" TargetMode="External"/><Relationship Id="rId1477" Type="http://schemas.openxmlformats.org/officeDocument/2006/relationships/hyperlink" Target="https://maps.google.com/?q=16.591589087974725,-95.1616040080161" TargetMode="External"/><Relationship Id="rId2528" Type="http://schemas.openxmlformats.org/officeDocument/2006/relationships/hyperlink" Target="https://maps.google.com/?q=17.05244845,-96.624486599999997" TargetMode="External"/><Relationship Id="rId5001" Type="http://schemas.openxmlformats.org/officeDocument/2006/relationships/hyperlink" Target="https://maps.google.com/?q=16.866371,-96.785623000000001" TargetMode="External"/><Relationship Id="rId8571" Type="http://schemas.openxmlformats.org/officeDocument/2006/relationships/hyperlink" Target="https://maps.google.com/?q=16.9290656052154,-96.597729868717195" TargetMode="External"/><Relationship Id="rId9622" Type="http://schemas.openxmlformats.org/officeDocument/2006/relationships/hyperlink" Target="https://maps.google.com/?q=17.9987278637415,-96.749740034977705" TargetMode="External"/><Relationship Id="rId11552" Type="http://schemas.openxmlformats.org/officeDocument/2006/relationships/hyperlink" Target="https://maps.google.com/?q=16.8306928516981,-96.709072442207699" TargetMode="External"/><Relationship Id="rId12950" Type="http://schemas.openxmlformats.org/officeDocument/2006/relationships/hyperlink" Target="https://maps.google.com/?q=16.549103,-97.507339999999999" TargetMode="External"/><Relationship Id="rId1611" Type="http://schemas.openxmlformats.org/officeDocument/2006/relationships/hyperlink" Target="https://maps.google.com/?q=17.761088,-96.080783999999994" TargetMode="External"/><Relationship Id="rId7173" Type="http://schemas.openxmlformats.org/officeDocument/2006/relationships/hyperlink" Target="https://maps.google.com/?q=16.2194464478974,-97.959396138192801" TargetMode="External"/><Relationship Id="rId8224" Type="http://schemas.openxmlformats.org/officeDocument/2006/relationships/hyperlink" Target="https://maps.google.com/?q=16.375144,-97.679242000000002" TargetMode="External"/><Relationship Id="rId10154" Type="http://schemas.openxmlformats.org/officeDocument/2006/relationships/hyperlink" Target="https://maps.google.com/?q=17.0978295063508,-97.500130164417996" TargetMode="External"/><Relationship Id="rId11205" Type="http://schemas.openxmlformats.org/officeDocument/2006/relationships/hyperlink" Target="https://maps.google.com/?q=16.860156,-96.68919" TargetMode="External"/><Relationship Id="rId12603" Type="http://schemas.openxmlformats.org/officeDocument/2006/relationships/hyperlink" Target="https://maps.google.com/?q=17.1109166931456,-96.857905104910799" TargetMode="External"/><Relationship Id="rId2385" Type="http://schemas.openxmlformats.org/officeDocument/2006/relationships/hyperlink" Target="https://maps.google.com/?q=17.71818,-97.857678" TargetMode="External"/><Relationship Id="rId3783" Type="http://schemas.openxmlformats.org/officeDocument/2006/relationships/hyperlink" Target="https://maps.google.com/?q=15.764767,-96.143306999999993" TargetMode="External"/><Relationship Id="rId4834" Type="http://schemas.openxmlformats.org/officeDocument/2006/relationships/hyperlink" Target="https://maps.google.com/?q=17.3348152805227,-96.163293897833796" TargetMode="External"/><Relationship Id="rId13377" Type="http://schemas.openxmlformats.org/officeDocument/2006/relationships/hyperlink" Target="https://maps.google.com/?q=16.3237378680158,-96.671115480984994" TargetMode="External"/><Relationship Id="rId357" Type="http://schemas.openxmlformats.org/officeDocument/2006/relationships/hyperlink" Target="https://maps.google.com/?q=16.054818,-97.408604999999994" TargetMode="External"/><Relationship Id="rId2038" Type="http://schemas.openxmlformats.org/officeDocument/2006/relationships/hyperlink" Target="https://maps.google.com/?q=15.759447396978933,-96.140518062427304" TargetMode="External"/><Relationship Id="rId3436" Type="http://schemas.openxmlformats.org/officeDocument/2006/relationships/hyperlink" Target="https://maps.google.com/?q=17.0672574678426,-96.960813134051094" TargetMode="External"/><Relationship Id="rId6659" Type="http://schemas.openxmlformats.org/officeDocument/2006/relationships/hyperlink" Target="https://maps.google.com/?q=18.217929,-96.336601000000002" TargetMode="External"/><Relationship Id="rId12460" Type="http://schemas.openxmlformats.org/officeDocument/2006/relationships/hyperlink" Target="https://maps.google.com/?q=17.2214578530338,-97.272851463946196" TargetMode="External"/><Relationship Id="rId13511" Type="http://schemas.openxmlformats.org/officeDocument/2006/relationships/hyperlink" Target="https://maps.google.com/?q=16.65720197873971,-97.3441720267535" TargetMode="External"/><Relationship Id="rId8081" Type="http://schemas.openxmlformats.org/officeDocument/2006/relationships/hyperlink" Target="https://maps.google.com/?q=17.354229793764,-96.303278144477503" TargetMode="External"/><Relationship Id="rId9132" Type="http://schemas.openxmlformats.org/officeDocument/2006/relationships/hyperlink" Target="https://maps.google.com/?q=17.042201,-96.728465999999997" TargetMode="External"/><Relationship Id="rId11062" Type="http://schemas.openxmlformats.org/officeDocument/2006/relationships/hyperlink" Target="https://maps.google.com/?q=17.28006206,-97.373250959999993" TargetMode="External"/><Relationship Id="rId12113" Type="http://schemas.openxmlformats.org/officeDocument/2006/relationships/hyperlink" Target="https://maps.google.com/?q=16.3190624908941,-97.664964451501305" TargetMode="External"/><Relationship Id="rId1121" Type="http://schemas.openxmlformats.org/officeDocument/2006/relationships/hyperlink" Target="https://maps.google.com/?q=17.094081,-97.496217999999999" TargetMode="External"/><Relationship Id="rId4691" Type="http://schemas.openxmlformats.org/officeDocument/2006/relationships/hyperlink" Target="https://maps.google.com/?q=17.061861,-96.753832000000003" TargetMode="External"/><Relationship Id="rId5742" Type="http://schemas.openxmlformats.org/officeDocument/2006/relationships/hyperlink" Target="https://maps.google.com/?q=18.050474,-96.775621000000001" TargetMode="External"/><Relationship Id="rId3293" Type="http://schemas.openxmlformats.org/officeDocument/2006/relationships/hyperlink" Target="https://maps.google.com/?q=17.0627296299003,-96.813711798248505" TargetMode="External"/><Relationship Id="rId4344" Type="http://schemas.openxmlformats.org/officeDocument/2006/relationships/hyperlink" Target="https://maps.google.com/?q=16.0176998284785,-96.608613877910003" TargetMode="External"/><Relationship Id="rId7567" Type="http://schemas.openxmlformats.org/officeDocument/2006/relationships/hyperlink" Target="https://maps.google.com/?q=17.3283621397273,-95.269756745351998" TargetMode="External"/><Relationship Id="rId8965" Type="http://schemas.openxmlformats.org/officeDocument/2006/relationships/hyperlink" Target="https://maps.google.com/?q=17.381582345,-96.161065805000007" TargetMode="External"/><Relationship Id="rId10895" Type="http://schemas.openxmlformats.org/officeDocument/2006/relationships/hyperlink" Target="https://maps.google.com/?q=16.1859336225329,-95.204931007790904" TargetMode="External"/><Relationship Id="rId11946" Type="http://schemas.openxmlformats.org/officeDocument/2006/relationships/hyperlink" Target="https://maps.google.com/?q=17.2400249686636,-97.918954999999997" TargetMode="External"/><Relationship Id="rId6169" Type="http://schemas.openxmlformats.org/officeDocument/2006/relationships/hyperlink" Target="https://maps.google.com/?q=16.1426859458103,-96.418739142939401" TargetMode="External"/><Relationship Id="rId8618" Type="http://schemas.openxmlformats.org/officeDocument/2006/relationships/hyperlink" Target="https://maps.google.com/?q=17.8959308334857,-96.711336481442302" TargetMode="External"/><Relationship Id="rId10548" Type="http://schemas.openxmlformats.org/officeDocument/2006/relationships/hyperlink" Target="https://maps.google.com/?q=17.121337831435,-97.785774206196706" TargetMode="External"/><Relationship Id="rId13021" Type="http://schemas.openxmlformats.org/officeDocument/2006/relationships/hyperlink" Target="https://maps.google.com/?q=16.5056201,-97.556816900000001" TargetMode="External"/><Relationship Id="rId2779" Type="http://schemas.openxmlformats.org/officeDocument/2006/relationships/hyperlink" Target="https://maps.google.com/?q=16.9914665315804,-97.701455414103506" TargetMode="External"/><Relationship Id="rId6650" Type="http://schemas.openxmlformats.org/officeDocument/2006/relationships/hyperlink" Target="https://maps.google.com/?q=17.7536404288341,-96.200414754630998" TargetMode="External"/><Relationship Id="rId7701" Type="http://schemas.openxmlformats.org/officeDocument/2006/relationships/hyperlink" Target="https://maps.google.com/?q=16.627156137751,-96.793116503491802" TargetMode="External"/><Relationship Id="rId5252" Type="http://schemas.openxmlformats.org/officeDocument/2006/relationships/hyperlink" Target="https://maps.google.com/?q=15.8831628822879,-96.320195315050299" TargetMode="External"/><Relationship Id="rId6303" Type="http://schemas.openxmlformats.org/officeDocument/2006/relationships/hyperlink" Target="https://maps.google.com/?q=18.057294,-96.395148000000006" TargetMode="External"/><Relationship Id="rId9873" Type="http://schemas.openxmlformats.org/officeDocument/2006/relationships/hyperlink" Target="https://maps.google.com/?q=16.6360795626691,-96.850875262209001" TargetMode="External"/><Relationship Id="rId87" Type="http://schemas.openxmlformats.org/officeDocument/2006/relationships/hyperlink" Target="https://maps.google.com/?q=15.85074,-96.462868999999998" TargetMode="External"/><Relationship Id="rId8475" Type="http://schemas.openxmlformats.org/officeDocument/2006/relationships/hyperlink" Target="https://maps.google.com/?q=17.1503751882797,-97.531851679999704" TargetMode="External"/><Relationship Id="rId9526" Type="http://schemas.openxmlformats.org/officeDocument/2006/relationships/hyperlink" Target="https://maps.google.com/?q=17.269801,-96.793955" TargetMode="External"/><Relationship Id="rId12854" Type="http://schemas.openxmlformats.org/officeDocument/2006/relationships/hyperlink" Target="https://maps.google.com/?q=17.51765,-97.681203999999994" TargetMode="External"/><Relationship Id="rId13905" Type="http://schemas.openxmlformats.org/officeDocument/2006/relationships/hyperlink" Target="https://maps.google.com/?q=16.8493182760287,-96.784247119626599" TargetMode="External"/><Relationship Id="rId1862" Type="http://schemas.openxmlformats.org/officeDocument/2006/relationships/hyperlink" Target="https://maps.google.com/?q=15.773479149290313,-96.148593682960069" TargetMode="External"/><Relationship Id="rId2913" Type="http://schemas.openxmlformats.org/officeDocument/2006/relationships/hyperlink" Target="https://maps.google.com/?q=17.06876624,-96.686187230000002" TargetMode="External"/><Relationship Id="rId7077" Type="http://schemas.openxmlformats.org/officeDocument/2006/relationships/hyperlink" Target="https://maps.google.com/?q=16.377427,-98.143157000000002" TargetMode="External"/><Relationship Id="rId8128" Type="http://schemas.openxmlformats.org/officeDocument/2006/relationships/hyperlink" Target="https://maps.google.com/?q=17.3554343215648,-96.303709976686505" TargetMode="External"/><Relationship Id="rId10058" Type="http://schemas.openxmlformats.org/officeDocument/2006/relationships/hyperlink" Target="https://maps.google.com/?q=16.9278914015259,-96.370319769532102" TargetMode="External"/><Relationship Id="rId11456" Type="http://schemas.openxmlformats.org/officeDocument/2006/relationships/hyperlink" Target="https://maps.google.com/?q=15.98669539,-97.549132200000003" TargetMode="External"/><Relationship Id="rId12507" Type="http://schemas.openxmlformats.org/officeDocument/2006/relationships/hyperlink" Target="https://maps.google.com/?q=17.2250498300782,-97.274261045223298" TargetMode="External"/><Relationship Id="rId1515" Type="http://schemas.openxmlformats.org/officeDocument/2006/relationships/hyperlink" Target="https://maps.google.com/?q=17.061239,-96.756981999999994" TargetMode="External"/><Relationship Id="rId11109" Type="http://schemas.openxmlformats.org/officeDocument/2006/relationships/hyperlink" Target="https://maps.google.com/?q=16.035911,-96.861951000000005" TargetMode="External"/><Relationship Id="rId3687" Type="http://schemas.openxmlformats.org/officeDocument/2006/relationships/hyperlink" Target="https://maps.google.com/?q=15.756305915024228,-96.14750012493063" TargetMode="External"/><Relationship Id="rId4738" Type="http://schemas.openxmlformats.org/officeDocument/2006/relationships/hyperlink" Target="https://maps.google.com/?q=17.948525025397,-96.656886895398898" TargetMode="External"/><Relationship Id="rId2289" Type="http://schemas.openxmlformats.org/officeDocument/2006/relationships/hyperlink" Target="https://maps.google.com/?q=18.0990311575239,-96.928151314605998" TargetMode="External"/><Relationship Id="rId6160" Type="http://schemas.openxmlformats.org/officeDocument/2006/relationships/hyperlink" Target="https://maps.google.com/?q=16.141937573482,-96.418109894012403" TargetMode="External"/><Relationship Id="rId7211" Type="http://schemas.openxmlformats.org/officeDocument/2006/relationships/hyperlink" Target="https://maps.google.com/?q=16.2275250824578,-97.942173472385605" TargetMode="External"/><Relationship Id="rId13762" Type="http://schemas.openxmlformats.org/officeDocument/2006/relationships/hyperlink" Target="https://maps.google.com/?q=16.56542,-97.652344" TargetMode="External"/><Relationship Id="rId2770" Type="http://schemas.openxmlformats.org/officeDocument/2006/relationships/hyperlink" Target="https://maps.google.com/?q=18.0211875938506,-96.618844442202899" TargetMode="External"/><Relationship Id="rId3821" Type="http://schemas.openxmlformats.org/officeDocument/2006/relationships/hyperlink" Target="https://maps.google.com/?q=16.327550975454134,-96.59299141104508" TargetMode="External"/><Relationship Id="rId9383" Type="http://schemas.openxmlformats.org/officeDocument/2006/relationships/hyperlink" Target="https://maps.google.com/?q=16.8202372172777,-95.138869564025796" TargetMode="External"/><Relationship Id="rId12364" Type="http://schemas.openxmlformats.org/officeDocument/2006/relationships/hyperlink" Target="https://maps.google.com/?q=16.948289361550625,-96.7154612797628" TargetMode="External"/><Relationship Id="rId13415" Type="http://schemas.openxmlformats.org/officeDocument/2006/relationships/hyperlink" Target="https://maps.google.com/?q=16.3299345650456,-96.675844762627605" TargetMode="External"/><Relationship Id="rId742" Type="http://schemas.openxmlformats.org/officeDocument/2006/relationships/hyperlink" Target="https://maps.google.com/?q=15.682811744418803,-96.510419756603994" TargetMode="External"/><Relationship Id="rId1372" Type="http://schemas.openxmlformats.org/officeDocument/2006/relationships/hyperlink" Target="https://maps.google.com/?q=17.06382714289129,-96.704804429167197" TargetMode="External"/><Relationship Id="rId2423" Type="http://schemas.openxmlformats.org/officeDocument/2006/relationships/hyperlink" Target="https://maps.google.com/?q=17.05116154,-96.624095330000003" TargetMode="External"/><Relationship Id="rId9036" Type="http://schemas.openxmlformats.org/officeDocument/2006/relationships/hyperlink" Target="https://maps.google.com/?q=16.054256,-95.483806999999999" TargetMode="External"/><Relationship Id="rId12017" Type="http://schemas.openxmlformats.org/officeDocument/2006/relationships/hyperlink" Target="https://maps.google.com/?q=16.8037351421991,-96.722943189566394" TargetMode="External"/><Relationship Id="rId1025" Type="http://schemas.openxmlformats.org/officeDocument/2006/relationships/hyperlink" Target="https://maps.google.com/?q=15.70200073251305,-96.523434090796371" TargetMode="External"/><Relationship Id="rId4595" Type="http://schemas.openxmlformats.org/officeDocument/2006/relationships/hyperlink" Target="https://maps.google.com/?q=16.557211,-96.817125000000004" TargetMode="External"/><Relationship Id="rId5646" Type="http://schemas.openxmlformats.org/officeDocument/2006/relationships/hyperlink" Target="https://maps.google.com/?q=17.5633838599366,-96.179284255582701" TargetMode="External"/><Relationship Id="rId5993" Type="http://schemas.openxmlformats.org/officeDocument/2006/relationships/hyperlink" Target="https://maps.google.com/?q=18.155043589123814,-96.574229069982692" TargetMode="External"/><Relationship Id="rId3197" Type="http://schemas.openxmlformats.org/officeDocument/2006/relationships/hyperlink" Target="https://maps.google.com/?q=17.036921,-97.050798" TargetMode="External"/><Relationship Id="rId4248" Type="http://schemas.openxmlformats.org/officeDocument/2006/relationships/hyperlink" Target="https://maps.google.com/?q=16.0703799788017,-96.608064143555595" TargetMode="External"/><Relationship Id="rId8869" Type="http://schemas.openxmlformats.org/officeDocument/2006/relationships/hyperlink" Target="https://maps.google.com/?q=17.22202,-96.243669999999995" TargetMode="External"/><Relationship Id="rId10799" Type="http://schemas.openxmlformats.org/officeDocument/2006/relationships/hyperlink" Target="https://maps.google.com/?q=16.4024883359161,-96.391146695665896" TargetMode="External"/><Relationship Id="rId11100" Type="http://schemas.openxmlformats.org/officeDocument/2006/relationships/hyperlink" Target="https://maps.google.com/?q=17.254857,-96.154425" TargetMode="External"/><Relationship Id="rId1909" Type="http://schemas.openxmlformats.org/officeDocument/2006/relationships/hyperlink" Target="https://maps.google.com/?q=15.776620470073704,-96.136798653678753" TargetMode="External"/><Relationship Id="rId13272" Type="http://schemas.openxmlformats.org/officeDocument/2006/relationships/hyperlink" Target="https://maps.google.com/?q=16.1317475306516,-96.375455986786093" TargetMode="External"/><Relationship Id="rId2280" Type="http://schemas.openxmlformats.org/officeDocument/2006/relationships/hyperlink" Target="https://maps.google.com/?q=18.0984239145992,-96.927213399955306" TargetMode="External"/><Relationship Id="rId3331" Type="http://schemas.openxmlformats.org/officeDocument/2006/relationships/hyperlink" Target="https://maps.google.com/?q=17.0664957441063,-96.8161120428679" TargetMode="External"/><Relationship Id="rId7952" Type="http://schemas.openxmlformats.org/officeDocument/2006/relationships/hyperlink" Target="https://maps.google.com/?q=16.311829,-96.584838000000005" TargetMode="External"/><Relationship Id="rId252" Type="http://schemas.openxmlformats.org/officeDocument/2006/relationships/hyperlink" Target="https://maps.google.com/?q=16.88447,-97.678129999999996" TargetMode="External"/><Relationship Id="rId6554" Type="http://schemas.openxmlformats.org/officeDocument/2006/relationships/hyperlink" Target="https://maps.google.com/?q=17.760975,-96.879106" TargetMode="External"/><Relationship Id="rId7605" Type="http://schemas.openxmlformats.org/officeDocument/2006/relationships/hyperlink" Target="https://maps.google.com/?q=17.2292386662274,-95.050726354418003" TargetMode="External"/><Relationship Id="rId10933" Type="http://schemas.openxmlformats.org/officeDocument/2006/relationships/hyperlink" Target="https://maps.google.com/?q=16.1941429385881,-95.209662342208901" TargetMode="External"/><Relationship Id="rId5156" Type="http://schemas.openxmlformats.org/officeDocument/2006/relationships/hyperlink" Target="https://maps.google.com/?q=17.254857,-96.152518000000001" TargetMode="External"/><Relationship Id="rId6207" Type="http://schemas.openxmlformats.org/officeDocument/2006/relationships/hyperlink" Target="https://maps.google.com/?q=16.09495,-97.083708999999999" TargetMode="External"/><Relationship Id="rId9777" Type="http://schemas.openxmlformats.org/officeDocument/2006/relationships/hyperlink" Target="https://maps.google.com/?q=17.2885334943081,-96.798346779014395" TargetMode="External"/><Relationship Id="rId8379" Type="http://schemas.openxmlformats.org/officeDocument/2006/relationships/hyperlink" Target="https://maps.google.com/?q=16.8461062434066,-97.1996080094451" TargetMode="External"/><Relationship Id="rId12758" Type="http://schemas.openxmlformats.org/officeDocument/2006/relationships/hyperlink" Target="https://maps.google.com/?q=17.45480368159,-97.283361093684704" TargetMode="External"/><Relationship Id="rId13809" Type="http://schemas.openxmlformats.org/officeDocument/2006/relationships/hyperlink" Target="https://maps.google.com/?q=16.997173,-97.799845000000005" TargetMode="External"/><Relationship Id="rId1766" Type="http://schemas.openxmlformats.org/officeDocument/2006/relationships/hyperlink" Target="https://maps.google.com/?q=18.0615626,-96.848729910000003" TargetMode="External"/><Relationship Id="rId2817" Type="http://schemas.openxmlformats.org/officeDocument/2006/relationships/hyperlink" Target="https://maps.google.com/?q=16.9899384163854,-97.710237723296203" TargetMode="External"/><Relationship Id="rId1419" Type="http://schemas.openxmlformats.org/officeDocument/2006/relationships/hyperlink" Target="https://maps.google.com/?q=17.070529,-96.732887" TargetMode="External"/><Relationship Id="rId4989" Type="http://schemas.openxmlformats.org/officeDocument/2006/relationships/hyperlink" Target="https://maps.google.com/?q=17.30643858,-96.44595362" TargetMode="External"/><Relationship Id="rId8860" Type="http://schemas.openxmlformats.org/officeDocument/2006/relationships/hyperlink" Target="https://maps.google.com/?q=17.220253,-96.243385000000004" TargetMode="External"/><Relationship Id="rId9911" Type="http://schemas.openxmlformats.org/officeDocument/2006/relationships/hyperlink" Target="https://maps.google.com/?q=16.70561,-96.709675000000004" TargetMode="External"/><Relationship Id="rId10790" Type="http://schemas.openxmlformats.org/officeDocument/2006/relationships/hyperlink" Target="https://maps.google.com/?q=17.053652,-96.73446500" TargetMode="External"/><Relationship Id="rId11841" Type="http://schemas.openxmlformats.org/officeDocument/2006/relationships/hyperlink" Target="https://maps.google.com/?q=16.731429658640796,-96.72266750049019" TargetMode="External"/><Relationship Id="rId1900" Type="http://schemas.openxmlformats.org/officeDocument/2006/relationships/hyperlink" Target="https://maps.google.com/?q=15.776544675260858,-96.136529257511427" TargetMode="External"/><Relationship Id="rId7462" Type="http://schemas.openxmlformats.org/officeDocument/2006/relationships/hyperlink" Target="https://maps.google.com/?q=16.3315446044325,-96.668649705781405" TargetMode="External"/><Relationship Id="rId8513" Type="http://schemas.openxmlformats.org/officeDocument/2006/relationships/hyperlink" Target="https://maps.google.com/?q=17.1497851054802,-97.539452714770803" TargetMode="External"/><Relationship Id="rId10443" Type="http://schemas.openxmlformats.org/officeDocument/2006/relationships/hyperlink" Target="https://maps.google.com/?q=17.042601,-96.783944000000005" TargetMode="External"/><Relationship Id="rId6064" Type="http://schemas.openxmlformats.org/officeDocument/2006/relationships/hyperlink" Target="https://maps.google.com/?q=18.159981695742346,-96.576863259468311" TargetMode="External"/><Relationship Id="rId7115" Type="http://schemas.openxmlformats.org/officeDocument/2006/relationships/hyperlink" Target="https://maps.google.com/?q=17.3525485233365,-97.632169691961394" TargetMode="External"/><Relationship Id="rId993" Type="http://schemas.openxmlformats.org/officeDocument/2006/relationships/hyperlink" Target="https://maps.google.com/?q=15.693253217613295,-96.521829632491276" TargetMode="External"/><Relationship Id="rId2674" Type="http://schemas.openxmlformats.org/officeDocument/2006/relationships/hyperlink" Target="https://maps.google.com/?q=17.279537,-97.699064000000007" TargetMode="External"/><Relationship Id="rId9287" Type="http://schemas.openxmlformats.org/officeDocument/2006/relationships/hyperlink" Target="https://maps.google.com/?q=16.9256920339202,-95.207067689269195" TargetMode="External"/><Relationship Id="rId12268" Type="http://schemas.openxmlformats.org/officeDocument/2006/relationships/hyperlink" Target="https://maps.google.com/?q=16.4788784178067,-94.359279542327798" TargetMode="External"/><Relationship Id="rId13666" Type="http://schemas.openxmlformats.org/officeDocument/2006/relationships/hyperlink" Target="https://maps.google.com/?q=18.102124,-96.797461" TargetMode="External"/><Relationship Id="rId646" Type="http://schemas.openxmlformats.org/officeDocument/2006/relationships/hyperlink" Target="https://maps.google.com/?q=16.05481,-97.395390000000006" TargetMode="External"/><Relationship Id="rId1276" Type="http://schemas.openxmlformats.org/officeDocument/2006/relationships/hyperlink" Target="https://maps.google.com/?q=17.058742,-96.743148000000005" TargetMode="External"/><Relationship Id="rId2327" Type="http://schemas.openxmlformats.org/officeDocument/2006/relationships/hyperlink" Target="https://maps.google.com/?q=17.055753,-97.671665000000004" TargetMode="External"/><Relationship Id="rId3725" Type="http://schemas.openxmlformats.org/officeDocument/2006/relationships/hyperlink" Target="https://maps.google.com/?q=15.758813595395859,-96.139706302542962" TargetMode="External"/><Relationship Id="rId13319" Type="http://schemas.openxmlformats.org/officeDocument/2006/relationships/hyperlink" Target="https://maps.google.com/?q=17.4489080858077,-98.006712071164003" TargetMode="External"/><Relationship Id="rId5897" Type="http://schemas.openxmlformats.org/officeDocument/2006/relationships/hyperlink" Target="https://maps.google.com/?q=18.14551562780298,-96.565772897556897" TargetMode="External"/><Relationship Id="rId6948" Type="http://schemas.openxmlformats.org/officeDocument/2006/relationships/hyperlink" Target="https://maps.google.com/?q=16.323494,-95.262947400000002" TargetMode="External"/><Relationship Id="rId13800" Type="http://schemas.openxmlformats.org/officeDocument/2006/relationships/hyperlink" Target="https://maps.google.com/?q=17.130848,-97.748500000000007" TargetMode="External"/><Relationship Id="rId4499" Type="http://schemas.openxmlformats.org/officeDocument/2006/relationships/hyperlink" Target="https://maps.google.com/?q=17.1781473489083,-97.304716224536904" TargetMode="External"/><Relationship Id="rId8370" Type="http://schemas.openxmlformats.org/officeDocument/2006/relationships/hyperlink" Target="https://maps.google.com/?q=16.8458521046124,-97.201174596183094" TargetMode="External"/><Relationship Id="rId9421" Type="http://schemas.openxmlformats.org/officeDocument/2006/relationships/hyperlink" Target="https://maps.google.com/?q=16.7760569086824,-95.190586779577501" TargetMode="External"/><Relationship Id="rId11351" Type="http://schemas.openxmlformats.org/officeDocument/2006/relationships/hyperlink" Target="https://maps.google.com/?q=16.3700791162573,-94.200703338045898" TargetMode="External"/><Relationship Id="rId12402" Type="http://schemas.openxmlformats.org/officeDocument/2006/relationships/hyperlink" Target="https://maps.google.com/?q=16.5567530131267,-96.822857061342305" TargetMode="External"/><Relationship Id="rId1410" Type="http://schemas.openxmlformats.org/officeDocument/2006/relationships/hyperlink" Target="https://maps.google.com/?q=17.458341,-97.225285" TargetMode="External"/><Relationship Id="rId4980" Type="http://schemas.openxmlformats.org/officeDocument/2006/relationships/hyperlink" Target="https://maps.google.com/?q=15.746257493588216,-96.46519361920761" TargetMode="External"/><Relationship Id="rId8023" Type="http://schemas.openxmlformats.org/officeDocument/2006/relationships/hyperlink" Target="https://maps.google.com/?q=18.1617414124502,-96.881199715837099" TargetMode="External"/><Relationship Id="rId11004" Type="http://schemas.openxmlformats.org/officeDocument/2006/relationships/hyperlink" Target="https://maps.google.com/?q=17.156425,-97.189058000000003" TargetMode="External"/><Relationship Id="rId3582" Type="http://schemas.openxmlformats.org/officeDocument/2006/relationships/hyperlink" Target="https://maps.google.com/?q=15.776208194017277,-96.137037598507007" TargetMode="External"/><Relationship Id="rId4633" Type="http://schemas.openxmlformats.org/officeDocument/2006/relationships/hyperlink" Target="https://maps.google.com/?q=17.053962409855473,-97.91206687404056" TargetMode="External"/><Relationship Id="rId13176" Type="http://schemas.openxmlformats.org/officeDocument/2006/relationships/hyperlink" Target="https://maps.google.com/?q=16.5697644296602,-97.009326212880097" TargetMode="External"/><Relationship Id="rId2184" Type="http://schemas.openxmlformats.org/officeDocument/2006/relationships/hyperlink" Target="https://maps.google.com/?q=16.9983313271952,-97.231901474407394" TargetMode="External"/><Relationship Id="rId3235" Type="http://schemas.openxmlformats.org/officeDocument/2006/relationships/hyperlink" Target="https://maps.google.com/?q=17.9354958285974,-96.208002690807405" TargetMode="External"/><Relationship Id="rId7856" Type="http://schemas.openxmlformats.org/officeDocument/2006/relationships/hyperlink" Target="https://maps.google.com/?q=16.3135668648204,-96.407832596602205" TargetMode="External"/><Relationship Id="rId156" Type="http://schemas.openxmlformats.org/officeDocument/2006/relationships/hyperlink" Target="https://maps.google.com/?q=17.094224,-97.493933999999996" TargetMode="External"/><Relationship Id="rId6458" Type="http://schemas.openxmlformats.org/officeDocument/2006/relationships/hyperlink" Target="https://maps.google.com/?q=16.377652,-97.279264999999995" TargetMode="External"/><Relationship Id="rId7509" Type="http://schemas.openxmlformats.org/officeDocument/2006/relationships/hyperlink" Target="https://maps.google.com/?q=17.34485135,-97.377355309999999" TargetMode="External"/><Relationship Id="rId8907" Type="http://schemas.openxmlformats.org/officeDocument/2006/relationships/hyperlink" Target="https://maps.google.com/?q=17.380194588,-96.160835743999996" TargetMode="External"/><Relationship Id="rId10837" Type="http://schemas.openxmlformats.org/officeDocument/2006/relationships/hyperlink" Target="https://maps.google.com/?q=16.4017787331411,-94.462069804893403" TargetMode="External"/><Relationship Id="rId13310" Type="http://schemas.openxmlformats.org/officeDocument/2006/relationships/hyperlink" Target="https://maps.google.com/?q=16.1349922556361,-96.329187636746198" TargetMode="External"/><Relationship Id="rId4490" Type="http://schemas.openxmlformats.org/officeDocument/2006/relationships/hyperlink" Target="https://maps.google.com/?q=17.1774505244337,-97.305926775463007" TargetMode="External"/><Relationship Id="rId5541" Type="http://schemas.openxmlformats.org/officeDocument/2006/relationships/hyperlink" Target="https://maps.google.com/?q=17.2896463292617,-97.374253196285594" TargetMode="External"/><Relationship Id="rId14084" Type="http://schemas.openxmlformats.org/officeDocument/2006/relationships/hyperlink" Target="https://maps.google.com/?q=18.17402809,-96.97850842" TargetMode="External"/><Relationship Id="rId3092" Type="http://schemas.openxmlformats.org/officeDocument/2006/relationships/hyperlink" Target="https://maps.google.com/?q=16.5676244277835,-97.011196388885594" TargetMode="External"/><Relationship Id="rId4143" Type="http://schemas.openxmlformats.org/officeDocument/2006/relationships/hyperlink" Target="https://maps.google.com/?q=16.4273579955904,-98.190280441681594" TargetMode="External"/><Relationship Id="rId8764" Type="http://schemas.openxmlformats.org/officeDocument/2006/relationships/hyperlink" Target="https://maps.google.com/?q=17.204445,-96.253266999999994" TargetMode="External"/><Relationship Id="rId9815" Type="http://schemas.openxmlformats.org/officeDocument/2006/relationships/hyperlink" Target="https://maps.google.com/?q=16.6452825624241,-96.751407394418095" TargetMode="External"/><Relationship Id="rId10694" Type="http://schemas.openxmlformats.org/officeDocument/2006/relationships/hyperlink" Target="https://maps.google.com/?q=16.45314146645965,-98.28696240308574" TargetMode="External"/><Relationship Id="rId29" Type="http://schemas.openxmlformats.org/officeDocument/2006/relationships/hyperlink" Target="https://maps.google.com/?q=17.222754,-97.118043" TargetMode="External"/><Relationship Id="rId7366" Type="http://schemas.openxmlformats.org/officeDocument/2006/relationships/hyperlink" Target="https://maps.google.com/?q=16.568034,-97.656076999999996" TargetMode="External"/><Relationship Id="rId8417" Type="http://schemas.openxmlformats.org/officeDocument/2006/relationships/hyperlink" Target="https://maps.google.com/?q=16.0907638881696,-96.243608644180298" TargetMode="External"/><Relationship Id="rId10347" Type="http://schemas.openxmlformats.org/officeDocument/2006/relationships/hyperlink" Target="https://maps.google.com/?q=17.4334605638222,-96.657042259011106" TargetMode="External"/><Relationship Id="rId11745" Type="http://schemas.openxmlformats.org/officeDocument/2006/relationships/hyperlink" Target="https://maps.google.com/?q=17.1896248,-97.712107090000003" TargetMode="External"/><Relationship Id="rId1804" Type="http://schemas.openxmlformats.org/officeDocument/2006/relationships/hyperlink" Target="https://maps.google.com/?q=18.0681508617445,-96.898564738762005" TargetMode="External"/><Relationship Id="rId7019" Type="http://schemas.openxmlformats.org/officeDocument/2006/relationships/hyperlink" Target="https://maps.google.com/?q=17.0414357853483,-97.296775984622499" TargetMode="External"/><Relationship Id="rId3976" Type="http://schemas.openxmlformats.org/officeDocument/2006/relationships/hyperlink" Target="https://maps.google.com/?q=17.062009,-96.757019999999997" TargetMode="External"/><Relationship Id="rId897" Type="http://schemas.openxmlformats.org/officeDocument/2006/relationships/hyperlink" Target="https://maps.google.com/?q=17.090118,-97.492348000000007" TargetMode="External"/><Relationship Id="rId2578" Type="http://schemas.openxmlformats.org/officeDocument/2006/relationships/hyperlink" Target="https://maps.google.com/?q=18.214561,-96.335421999999994" TargetMode="External"/><Relationship Id="rId3629" Type="http://schemas.openxmlformats.org/officeDocument/2006/relationships/hyperlink" Target="https://maps.google.com/?q=15.777374317715358,-96.137123812666275" TargetMode="External"/><Relationship Id="rId5051" Type="http://schemas.openxmlformats.org/officeDocument/2006/relationships/hyperlink" Target="https://maps.google.com/?q=17.251803,-96.151756000000006" TargetMode="External"/><Relationship Id="rId7500" Type="http://schemas.openxmlformats.org/officeDocument/2006/relationships/hyperlink" Target="https://maps.google.com/?q=17.34359946,-97.369665659999995" TargetMode="External"/><Relationship Id="rId6102" Type="http://schemas.openxmlformats.org/officeDocument/2006/relationships/hyperlink" Target="https://maps.google.com/?q=17.971118,-96.708744999999993" TargetMode="External"/><Relationship Id="rId9672" Type="http://schemas.openxmlformats.org/officeDocument/2006/relationships/hyperlink" Target="https://maps.google.com/?q=16.4655617344155,-96.648289371555194" TargetMode="External"/><Relationship Id="rId12653" Type="http://schemas.openxmlformats.org/officeDocument/2006/relationships/hyperlink" Target="https://maps.google.com/?q=16.9989789530907,-97.900715061539401" TargetMode="External"/><Relationship Id="rId13704" Type="http://schemas.openxmlformats.org/officeDocument/2006/relationships/hyperlink" Target="https://maps.google.com/?q=16.302253,-97.912866" TargetMode="External"/><Relationship Id="rId1661" Type="http://schemas.openxmlformats.org/officeDocument/2006/relationships/hyperlink" Target="https://maps.google.com/?q=16.8950112335135,-96.938112693865804" TargetMode="External"/><Relationship Id="rId2712" Type="http://schemas.openxmlformats.org/officeDocument/2006/relationships/hyperlink" Target="https://maps.google.com/?q=15.9082380488964,-96.423044832963001" TargetMode="External"/><Relationship Id="rId8274" Type="http://schemas.openxmlformats.org/officeDocument/2006/relationships/hyperlink" Target="https://maps.google.com/?q=17.027514,-96.759755999999996" TargetMode="External"/><Relationship Id="rId9325" Type="http://schemas.openxmlformats.org/officeDocument/2006/relationships/hyperlink" Target="https://maps.google.com/?q=16.8163999319442,-95.133941037279897" TargetMode="External"/><Relationship Id="rId11255" Type="http://schemas.openxmlformats.org/officeDocument/2006/relationships/hyperlink" Target="https://maps.google.com/?q=17.8648888272122,-96.308817407672095" TargetMode="External"/><Relationship Id="rId12306" Type="http://schemas.openxmlformats.org/officeDocument/2006/relationships/hyperlink" Target="https://maps.google.com/?q=16.9099807,%09-96.720373" TargetMode="External"/><Relationship Id="rId1314" Type="http://schemas.openxmlformats.org/officeDocument/2006/relationships/hyperlink" Target="https://maps.google.com/?q=17.082948,-96.727685" TargetMode="External"/><Relationship Id="rId4884" Type="http://schemas.openxmlformats.org/officeDocument/2006/relationships/hyperlink" Target="https://maps.google.com/?q=16.7955482292604,-96.390926607791599" TargetMode="External"/><Relationship Id="rId5935" Type="http://schemas.openxmlformats.org/officeDocument/2006/relationships/hyperlink" Target="https://maps.google.com/?q=18.153514354986683,-96.572859222229738" TargetMode="External"/><Relationship Id="rId3486" Type="http://schemas.openxmlformats.org/officeDocument/2006/relationships/hyperlink" Target="https://maps.google.com/?q=16.7486108591511,-97.265514072753902" TargetMode="External"/><Relationship Id="rId4537" Type="http://schemas.openxmlformats.org/officeDocument/2006/relationships/hyperlink" Target="https://maps.google.com/?q=17.1837056591241,-97.302862720237798" TargetMode="External"/><Relationship Id="rId20" Type="http://schemas.openxmlformats.org/officeDocument/2006/relationships/hyperlink" Target="https://maps.google.com/?q=17.222342,-97.118791999999999" TargetMode="External"/><Relationship Id="rId2088" Type="http://schemas.openxmlformats.org/officeDocument/2006/relationships/hyperlink" Target="https://maps.google.com/?q=15.774136438297203,-96.23517168544295" TargetMode="External"/><Relationship Id="rId3139" Type="http://schemas.openxmlformats.org/officeDocument/2006/relationships/hyperlink" Target="https://maps.google.com/?q=16.586105,-97.441902999999996" TargetMode="External"/><Relationship Id="rId7010" Type="http://schemas.openxmlformats.org/officeDocument/2006/relationships/hyperlink" Target="https://maps.google.com/?q=17.0397267941689,-97.306248522211803" TargetMode="External"/><Relationship Id="rId9182" Type="http://schemas.openxmlformats.org/officeDocument/2006/relationships/hyperlink" Target="https://maps.google.com/?q=17.3739435921554,-96.300926151568703" TargetMode="External"/><Relationship Id="rId13561" Type="http://schemas.openxmlformats.org/officeDocument/2006/relationships/hyperlink" Target="https://maps.google.com/?q=17.84847922545685,-97.58194209342766" TargetMode="External"/><Relationship Id="rId3620" Type="http://schemas.openxmlformats.org/officeDocument/2006/relationships/hyperlink" Target="https://maps.google.com/?q=15.777028505165115,-96.136923491038857" TargetMode="External"/><Relationship Id="rId12163" Type="http://schemas.openxmlformats.org/officeDocument/2006/relationships/hyperlink" Target="https://maps.google.com/?q=17.4153590357204,-95.950532402252307" TargetMode="External"/><Relationship Id="rId13214" Type="http://schemas.openxmlformats.org/officeDocument/2006/relationships/hyperlink" Target="https://maps.google.com/?q=17.3420694814188,-97.377559597553201" TargetMode="External"/><Relationship Id="rId541" Type="http://schemas.openxmlformats.org/officeDocument/2006/relationships/hyperlink" Target="https://maps.google.com/?q=16.052602,-97.403557000000006" TargetMode="External"/><Relationship Id="rId1171" Type="http://schemas.openxmlformats.org/officeDocument/2006/relationships/hyperlink" Target="https://maps.google.com/?q=17.119127,-96.759843" TargetMode="External"/><Relationship Id="rId2222" Type="http://schemas.openxmlformats.org/officeDocument/2006/relationships/hyperlink" Target="https://maps.google.com/?q=16.9968171219186,-97.248812817839195" TargetMode="External"/><Relationship Id="rId5792" Type="http://schemas.openxmlformats.org/officeDocument/2006/relationships/hyperlink" Target="https://maps.google.com/?q=17.3061974419374,-97.4896539067459" TargetMode="External"/><Relationship Id="rId6843" Type="http://schemas.openxmlformats.org/officeDocument/2006/relationships/hyperlink" Target="https://maps.google.com/?q=17.0077156595224,-96.978500641410307" TargetMode="External"/><Relationship Id="rId4394" Type="http://schemas.openxmlformats.org/officeDocument/2006/relationships/hyperlink" Target="https://maps.google.com/?q=16.00013082,-96.686158210000002" TargetMode="External"/><Relationship Id="rId5445" Type="http://schemas.openxmlformats.org/officeDocument/2006/relationships/hyperlink" Target="https://maps.google.com/?q=16.0072633198865,-97.447453921377004" TargetMode="External"/><Relationship Id="rId4047" Type="http://schemas.openxmlformats.org/officeDocument/2006/relationships/hyperlink" Target="https://maps.google.com/?q=17.080154,-96.726937000000007" TargetMode="External"/><Relationship Id="rId8668" Type="http://schemas.openxmlformats.org/officeDocument/2006/relationships/hyperlink" Target="https://maps.google.com/?q=16.2774068103783,-96.302943686059393" TargetMode="External"/><Relationship Id="rId9719" Type="http://schemas.openxmlformats.org/officeDocument/2006/relationships/hyperlink" Target="https://maps.google.com/?q=16.4388905035503,-95.033162550926207" TargetMode="External"/><Relationship Id="rId11996" Type="http://schemas.openxmlformats.org/officeDocument/2006/relationships/hyperlink" Target="https://maps.google.com/?q=16.8015844673283,-96.724446795540601" TargetMode="External"/><Relationship Id="rId10598" Type="http://schemas.openxmlformats.org/officeDocument/2006/relationships/hyperlink" Target="https://maps.google.com/?q=17.0831765665503,-97.766270635581805" TargetMode="External"/><Relationship Id="rId11649" Type="http://schemas.openxmlformats.org/officeDocument/2006/relationships/hyperlink" Target="https://maps.google.com/?q=17.1735703,-97.711413629999996" TargetMode="External"/><Relationship Id="rId13071" Type="http://schemas.openxmlformats.org/officeDocument/2006/relationships/hyperlink" Target="https://maps.google.com/?q=16.5637105,-97.533848699999993" TargetMode="External"/><Relationship Id="rId1708" Type="http://schemas.openxmlformats.org/officeDocument/2006/relationships/hyperlink" Target="https://maps.google.com/?q=18.0740511621389,-96.901112994185297" TargetMode="External"/><Relationship Id="rId3130" Type="http://schemas.openxmlformats.org/officeDocument/2006/relationships/hyperlink" Target="https://maps.google.com/?q=16.584595,-97.444012000000001" TargetMode="External"/><Relationship Id="rId14122" Type="http://schemas.openxmlformats.org/officeDocument/2006/relationships/hyperlink" Target="https://maps.google.com/?q=16.18889137394817,-96.7724825422932" TargetMode="External"/><Relationship Id="rId7751" Type="http://schemas.openxmlformats.org/officeDocument/2006/relationships/hyperlink" Target="https://maps.google.com/?q=16.06892,-96.299729999999997" TargetMode="External"/><Relationship Id="rId8802" Type="http://schemas.openxmlformats.org/officeDocument/2006/relationships/hyperlink" Target="https://maps.google.com/?q=17.214424,-96.248986000000002" TargetMode="External"/><Relationship Id="rId10732" Type="http://schemas.openxmlformats.org/officeDocument/2006/relationships/hyperlink" Target="https://maps.google.com/?q=17.0636193,-96.75275098" TargetMode="External"/><Relationship Id="rId6353" Type="http://schemas.openxmlformats.org/officeDocument/2006/relationships/hyperlink" Target="https://maps.google.com/?q=18.063729,-96.403864999999996" TargetMode="External"/><Relationship Id="rId7404" Type="http://schemas.openxmlformats.org/officeDocument/2006/relationships/hyperlink" Target="https://maps.google.com/?q=17.078773,-96.997338999999997" TargetMode="External"/><Relationship Id="rId2963" Type="http://schemas.openxmlformats.org/officeDocument/2006/relationships/hyperlink" Target="https://maps.google.com/?q=16.5113304831504,-96.981676568465105" TargetMode="External"/><Relationship Id="rId6006" Type="http://schemas.openxmlformats.org/officeDocument/2006/relationships/hyperlink" Target="https://maps.google.com/?q=18.15527713210628,-96.575995767354286" TargetMode="External"/><Relationship Id="rId9576" Type="http://schemas.openxmlformats.org/officeDocument/2006/relationships/hyperlink" Target="https://maps.google.com/?q=15.893248,-96.685453" TargetMode="External"/><Relationship Id="rId12557" Type="http://schemas.openxmlformats.org/officeDocument/2006/relationships/hyperlink" Target="https://maps.google.com/?q=17.068498,-96.720205%20" TargetMode="External"/><Relationship Id="rId13955" Type="http://schemas.openxmlformats.org/officeDocument/2006/relationships/hyperlink" Target="https://maps.google.com/?q=16.273905,-97.979040" TargetMode="External"/><Relationship Id="rId935" Type="http://schemas.openxmlformats.org/officeDocument/2006/relationships/hyperlink" Target="https://maps.google.com/?q=15.682244765855282,-96.509131538561661" TargetMode="External"/><Relationship Id="rId1565" Type="http://schemas.openxmlformats.org/officeDocument/2006/relationships/hyperlink" Target="https://maps.google.com/?q=16.9603012007056,-97.452240991401595" TargetMode="External"/><Relationship Id="rId2616" Type="http://schemas.openxmlformats.org/officeDocument/2006/relationships/hyperlink" Target="https://maps.google.com/?q=18.232433,-96.278993" TargetMode="External"/><Relationship Id="rId8178" Type="http://schemas.openxmlformats.org/officeDocument/2006/relationships/hyperlink" Target="https://maps.google.com/?q=0,-96.310389999999998" TargetMode="External"/><Relationship Id="rId9229" Type="http://schemas.openxmlformats.org/officeDocument/2006/relationships/hyperlink" Target="https://maps.google.com/?q=17.3759471011174,-96.302021952016503" TargetMode="External"/><Relationship Id="rId11159" Type="http://schemas.openxmlformats.org/officeDocument/2006/relationships/hyperlink" Target="https://maps.google.com/?q=16.841297,-96.008210000000005" TargetMode="External"/><Relationship Id="rId13608" Type="http://schemas.openxmlformats.org/officeDocument/2006/relationships/hyperlink" Target="https://maps.google.com/?q=16.398881,-95.603144" TargetMode="External"/><Relationship Id="rId1218" Type="http://schemas.openxmlformats.org/officeDocument/2006/relationships/hyperlink" Target="https://maps.google.com/?q=18.15988,-96.71680600" TargetMode="External"/><Relationship Id="rId4788" Type="http://schemas.openxmlformats.org/officeDocument/2006/relationships/hyperlink" Target="https://maps.google.com/?q=17.9581830797618,-96.659076292996204" TargetMode="External"/><Relationship Id="rId5839" Type="http://schemas.openxmlformats.org/officeDocument/2006/relationships/hyperlink" Target="https://maps.google.com/?q=16.1111960215487,-97.596257871775705" TargetMode="External"/><Relationship Id="rId7261" Type="http://schemas.openxmlformats.org/officeDocument/2006/relationships/hyperlink" Target="https://maps.google.com/?q=16.2986660093039,-97.912274995582393" TargetMode="External"/><Relationship Id="rId9710" Type="http://schemas.openxmlformats.org/officeDocument/2006/relationships/hyperlink" Target="https://maps.google.com/?q=16.4371003289987,-95.012395207340205" TargetMode="External"/><Relationship Id="rId11640" Type="http://schemas.openxmlformats.org/officeDocument/2006/relationships/hyperlink" Target="https://maps.google.com/?q=16.2179560450145,-95.125385588955197" TargetMode="External"/><Relationship Id="rId8312" Type="http://schemas.openxmlformats.org/officeDocument/2006/relationships/hyperlink" Target="https://maps.google.com/?q=16.538945,-98.034998999999999" TargetMode="External"/><Relationship Id="rId10242" Type="http://schemas.openxmlformats.org/officeDocument/2006/relationships/hyperlink" Target="https://maps.google.com/?q=17.288444384868388,-97.30259714335905" TargetMode="External"/><Relationship Id="rId3871" Type="http://schemas.openxmlformats.org/officeDocument/2006/relationships/hyperlink" Target="https://maps.google.com/?q=17.1044513222603,-95.935168344769707" TargetMode="External"/><Relationship Id="rId4922" Type="http://schemas.openxmlformats.org/officeDocument/2006/relationships/hyperlink" Target="https://maps.google.com/?q=18.032343,-96.669477000000001" TargetMode="External"/><Relationship Id="rId13465" Type="http://schemas.openxmlformats.org/officeDocument/2006/relationships/hyperlink" Target="https://maps.google.com/?q=17.6873615606986,-97.033872652778697" TargetMode="External"/><Relationship Id="rId792" Type="http://schemas.openxmlformats.org/officeDocument/2006/relationships/hyperlink" Target="https://maps.google.com/?q=15.691714357993192,-96.519503643886438" TargetMode="External"/><Relationship Id="rId2473" Type="http://schemas.openxmlformats.org/officeDocument/2006/relationships/hyperlink" Target="https://maps.google.com/?q=17.05184824,-96.624304129999999" TargetMode="External"/><Relationship Id="rId3524" Type="http://schemas.openxmlformats.org/officeDocument/2006/relationships/hyperlink" Target="https://maps.google.com/?q=15.763878,-96.150574" TargetMode="External"/><Relationship Id="rId9086" Type="http://schemas.openxmlformats.org/officeDocument/2006/relationships/hyperlink" Target="https://maps.google.com/?q=16.063731,-95.500204999999994" TargetMode="External"/><Relationship Id="rId12067" Type="http://schemas.openxmlformats.org/officeDocument/2006/relationships/hyperlink" Target="https://maps.google.com/?q=16.31854845,-95.236077219999999" TargetMode="External"/><Relationship Id="rId13118" Type="http://schemas.openxmlformats.org/officeDocument/2006/relationships/hyperlink" Target="https://maps.google.com/?q=16.567357,-97.533771000000002" TargetMode="External"/><Relationship Id="rId445" Type="http://schemas.openxmlformats.org/officeDocument/2006/relationships/hyperlink" Target="https://maps.google.com/?q=16.053052,-97.410488000000001" TargetMode="External"/><Relationship Id="rId1075" Type="http://schemas.openxmlformats.org/officeDocument/2006/relationships/hyperlink" Target="https://maps.google.com/?q=17.095612,-97.498558000000003" TargetMode="External"/><Relationship Id="rId2126" Type="http://schemas.openxmlformats.org/officeDocument/2006/relationships/hyperlink" Target="https://maps.google.com/?q=15.762321,-96.144124000000005" TargetMode="External"/><Relationship Id="rId5696" Type="http://schemas.openxmlformats.org/officeDocument/2006/relationships/hyperlink" Target="https://maps.google.com/?q=17.9432638608949,-97.964479141090905" TargetMode="External"/><Relationship Id="rId6747" Type="http://schemas.openxmlformats.org/officeDocument/2006/relationships/hyperlink" Target="https://maps.google.com/?q=15.8577031416,&#160;-96.6493481709" TargetMode="External"/><Relationship Id="rId4298" Type="http://schemas.openxmlformats.org/officeDocument/2006/relationships/hyperlink" Target="https://maps.google.com/?q=16.0089534478043,-96.569813588019201" TargetMode="External"/><Relationship Id="rId5349" Type="http://schemas.openxmlformats.org/officeDocument/2006/relationships/hyperlink" Target="https://maps.google.com/?q=16.5231940062233,-97.164876529746707" TargetMode="External"/><Relationship Id="rId9220" Type="http://schemas.openxmlformats.org/officeDocument/2006/relationships/hyperlink" Target="https://maps.google.com/?q=17.3752679852557,-96.299655223874396" TargetMode="External"/><Relationship Id="rId11150" Type="http://schemas.openxmlformats.org/officeDocument/2006/relationships/hyperlink" Target="https://maps.google.com/?q=16.840352,-96.009030999999993" TargetMode="External"/><Relationship Id="rId12201" Type="http://schemas.openxmlformats.org/officeDocument/2006/relationships/hyperlink" Target="https://maps.google.com/?q=17.4177796146557,-95.947863658459994" TargetMode="External"/><Relationship Id="rId1959" Type="http://schemas.openxmlformats.org/officeDocument/2006/relationships/hyperlink" Target="https://maps.google.com/?q=15.779100433267832,-96.13790163883823" TargetMode="External"/><Relationship Id="rId5830" Type="http://schemas.openxmlformats.org/officeDocument/2006/relationships/hyperlink" Target="https://maps.google.com/?q=17.1197504110996,-96.803953151537897" TargetMode="External"/><Relationship Id="rId3381" Type="http://schemas.openxmlformats.org/officeDocument/2006/relationships/hyperlink" Target="https://maps.google.com/?q=17.0731959610717,%20-97.79008910548788" TargetMode="External"/><Relationship Id="rId4432" Type="http://schemas.openxmlformats.org/officeDocument/2006/relationships/hyperlink" Target="https://maps.google.com/?q=17.2700536846901,-97.529707162068505" TargetMode="External"/><Relationship Id="rId10983" Type="http://schemas.openxmlformats.org/officeDocument/2006/relationships/hyperlink" Target="https://maps.google.com/?q=16.2230837371325,-95.212749264417894" TargetMode="External"/><Relationship Id="rId14026" Type="http://schemas.openxmlformats.org/officeDocument/2006/relationships/hyperlink" Target="https://maps.google.com/?q=17.0581885202974,-96.725348285475604" TargetMode="External"/><Relationship Id="rId3034" Type="http://schemas.openxmlformats.org/officeDocument/2006/relationships/hyperlink" Target="https://maps.google.com/?q=16.939788,-97.017062999999993" TargetMode="External"/><Relationship Id="rId7655" Type="http://schemas.openxmlformats.org/officeDocument/2006/relationships/hyperlink" Target="https://maps.google.com/?q=17.2321139597452,-95.055585903305399" TargetMode="External"/><Relationship Id="rId8706" Type="http://schemas.openxmlformats.org/officeDocument/2006/relationships/hyperlink" Target="https://maps.google.com/?q=17.0547686584186,-96.822387300868201" TargetMode="External"/><Relationship Id="rId10636" Type="http://schemas.openxmlformats.org/officeDocument/2006/relationships/hyperlink" Target="https://maps.google.com/?q=17.1194694093194,-97.790208158895496" TargetMode="External"/><Relationship Id="rId6257" Type="http://schemas.openxmlformats.org/officeDocument/2006/relationships/hyperlink" Target="https://maps.google.com/?q=16.3840742019396,-96.729300568121204" TargetMode="External"/><Relationship Id="rId7308" Type="http://schemas.openxmlformats.org/officeDocument/2006/relationships/hyperlink" Target="https://maps.google.com/?q=16.72393895,-96.467257219999993" TargetMode="External"/><Relationship Id="rId13859" Type="http://schemas.openxmlformats.org/officeDocument/2006/relationships/hyperlink" Target="https://maps.google.com/?q=16.2597887251206,-96.592602706677098" TargetMode="External"/><Relationship Id="rId839" Type="http://schemas.openxmlformats.org/officeDocument/2006/relationships/hyperlink" Target="https://maps.google.com/?q=15.705694656895757,-96.524229396989057" TargetMode="External"/><Relationship Id="rId1469" Type="http://schemas.openxmlformats.org/officeDocument/2006/relationships/hyperlink" Target="https://maps.google.com/?q=17.04989,-96.70931" TargetMode="External"/><Relationship Id="rId2867" Type="http://schemas.openxmlformats.org/officeDocument/2006/relationships/hyperlink" Target="https://maps.google.com/?q=16.9845050638305,-97.677757500472893" TargetMode="External"/><Relationship Id="rId3918" Type="http://schemas.openxmlformats.org/officeDocument/2006/relationships/hyperlink" Target="https://maps.google.com/?q=16.29146585,-95.23142839" TargetMode="External"/><Relationship Id="rId5340" Type="http://schemas.openxmlformats.org/officeDocument/2006/relationships/hyperlink" Target="https://maps.google.com/?q=17.9110333833613,-97.996196874833998" TargetMode="External"/><Relationship Id="rId9961" Type="http://schemas.openxmlformats.org/officeDocument/2006/relationships/hyperlink" Target="https://maps.google.com/?q=17.95475,-98.062977" TargetMode="External"/><Relationship Id="rId11891" Type="http://schemas.openxmlformats.org/officeDocument/2006/relationships/hyperlink" Target="https://maps.google.com/?q=16.837469983312232,-96.72684521408615" TargetMode="External"/><Relationship Id="rId12942" Type="http://schemas.openxmlformats.org/officeDocument/2006/relationships/hyperlink" Target="https://maps.google.com/?q=16.545634,-97.544224" TargetMode="External"/><Relationship Id="rId1950" Type="http://schemas.openxmlformats.org/officeDocument/2006/relationships/hyperlink" Target="https://maps.google.com/?q=15.778474836892956,-96.137714569200028" TargetMode="External"/><Relationship Id="rId8563" Type="http://schemas.openxmlformats.org/officeDocument/2006/relationships/hyperlink" Target="https://maps.google.com/?q=16.9276578886076,-96.607846606151597" TargetMode="External"/><Relationship Id="rId9614" Type="http://schemas.openxmlformats.org/officeDocument/2006/relationships/hyperlink" Target="https://maps.google.com/?q=17.998069884194,-96.744044683041096" TargetMode="External"/><Relationship Id="rId10493" Type="http://schemas.openxmlformats.org/officeDocument/2006/relationships/hyperlink" Target="https://maps.google.com/?q=17.8453073583558,-96.743527959881106" TargetMode="External"/><Relationship Id="rId11544" Type="http://schemas.openxmlformats.org/officeDocument/2006/relationships/hyperlink" Target="https://maps.google.com/?q=16.828355,-96.707699000000005" TargetMode="External"/><Relationship Id="rId1603" Type="http://schemas.openxmlformats.org/officeDocument/2006/relationships/hyperlink" Target="https://maps.google.com/?q=17.759692,-96.081547999999998" TargetMode="External"/><Relationship Id="rId7165" Type="http://schemas.openxmlformats.org/officeDocument/2006/relationships/hyperlink" Target="https://maps.google.com/?q=16.2149624935523,-97.959197396794707" TargetMode="External"/><Relationship Id="rId8216" Type="http://schemas.openxmlformats.org/officeDocument/2006/relationships/hyperlink" Target="https://maps.google.com/?q=16.373211,-97.676377000000002" TargetMode="External"/><Relationship Id="rId10146" Type="http://schemas.openxmlformats.org/officeDocument/2006/relationships/hyperlink" Target="https://maps.google.com/?q=17.1219689360167,-97.494354925029498" TargetMode="External"/><Relationship Id="rId3775" Type="http://schemas.openxmlformats.org/officeDocument/2006/relationships/hyperlink" Target="https://maps.google.com/?q=15.763684,-96.141969000000003" TargetMode="External"/><Relationship Id="rId4826" Type="http://schemas.openxmlformats.org/officeDocument/2006/relationships/hyperlink" Target="https://maps.google.com/?q=16.9155177789659,-96.495428559648005" TargetMode="External"/><Relationship Id="rId13369" Type="http://schemas.openxmlformats.org/officeDocument/2006/relationships/hyperlink" Target="https://maps.google.com/?q=16.3220993659209,-96.669947072232205" TargetMode="External"/><Relationship Id="rId696" Type="http://schemas.openxmlformats.org/officeDocument/2006/relationships/hyperlink" Target="https://maps.google.com/?q=16.059289,-97.388876999999994" TargetMode="External"/><Relationship Id="rId2377" Type="http://schemas.openxmlformats.org/officeDocument/2006/relationships/hyperlink" Target="https://maps.google.com/?q=17.1706820385706,-97.829348868717503" TargetMode="External"/><Relationship Id="rId3428" Type="http://schemas.openxmlformats.org/officeDocument/2006/relationships/hyperlink" Target="https://maps.google.com/?q=17.06655,-96.969759999999994" TargetMode="External"/><Relationship Id="rId349" Type="http://schemas.openxmlformats.org/officeDocument/2006/relationships/hyperlink" Target="https://maps.google.com/?q=16.053909,-97.405452999999994" TargetMode="External"/><Relationship Id="rId6998" Type="http://schemas.openxmlformats.org/officeDocument/2006/relationships/hyperlink" Target="https://maps.google.com/?q=17.0377367559118,-97.304414485245601" TargetMode="External"/><Relationship Id="rId9471" Type="http://schemas.openxmlformats.org/officeDocument/2006/relationships/hyperlink" Target="https://maps.google.com/?q=15.746144,-96.465182999999996" TargetMode="External"/><Relationship Id="rId13850" Type="http://schemas.openxmlformats.org/officeDocument/2006/relationships/hyperlink" Target="https://maps.google.com/?q=17.65836412,-97.33936199" TargetMode="External"/><Relationship Id="rId8073" Type="http://schemas.openxmlformats.org/officeDocument/2006/relationships/hyperlink" Target="https://maps.google.com/?q=16.4987907211894,-97.381318058786505" TargetMode="External"/><Relationship Id="rId9124" Type="http://schemas.openxmlformats.org/officeDocument/2006/relationships/hyperlink" Target="https://maps.google.com/?q=17.04132,-96.728344000000007" TargetMode="External"/><Relationship Id="rId12452" Type="http://schemas.openxmlformats.org/officeDocument/2006/relationships/hyperlink" Target="https://maps.google.com/?q=17.2211320149776,-97.272246026371803" TargetMode="External"/><Relationship Id="rId13503" Type="http://schemas.openxmlformats.org/officeDocument/2006/relationships/hyperlink" Target="https://maps.google.com/?q=16.6632710754318,-97.345828507357695" TargetMode="External"/><Relationship Id="rId830" Type="http://schemas.openxmlformats.org/officeDocument/2006/relationships/hyperlink" Target="https://maps.google.com/?q=15.701302818816085,-96.523577339817919" TargetMode="External"/><Relationship Id="rId1460" Type="http://schemas.openxmlformats.org/officeDocument/2006/relationships/hyperlink" Target="https://maps.google.com/?q=16.92408345302335,-96.6109501618704" TargetMode="External"/><Relationship Id="rId2511" Type="http://schemas.openxmlformats.org/officeDocument/2006/relationships/hyperlink" Target="https://maps.google.com/?q=17.05215202,-96.624111540000001" TargetMode="External"/><Relationship Id="rId11054" Type="http://schemas.openxmlformats.org/officeDocument/2006/relationships/hyperlink" Target="https://maps.google.com/?q=17.27790215,-97.362695819999999" TargetMode="External"/><Relationship Id="rId12105" Type="http://schemas.openxmlformats.org/officeDocument/2006/relationships/hyperlink" Target="https://maps.google.com/?q=16.3178632010992,-97.664356506400395" TargetMode="External"/><Relationship Id="rId1113" Type="http://schemas.openxmlformats.org/officeDocument/2006/relationships/hyperlink" Target="https://maps.google.com/?q=17.090793,-97.494176999999993" TargetMode="External"/><Relationship Id="rId4683" Type="http://schemas.openxmlformats.org/officeDocument/2006/relationships/hyperlink" Target="https://maps.google.com/?q=17.059171,-96.750380000000007" TargetMode="External"/><Relationship Id="rId5734" Type="http://schemas.openxmlformats.org/officeDocument/2006/relationships/hyperlink" Target="https://maps.google.com/?q=16.385974,-96.362977999999998" TargetMode="External"/><Relationship Id="rId3285" Type="http://schemas.openxmlformats.org/officeDocument/2006/relationships/hyperlink" Target="https://maps.google.com/?q=17.0623591146808,-96.814576626270494" TargetMode="External"/><Relationship Id="rId4336" Type="http://schemas.openxmlformats.org/officeDocument/2006/relationships/hyperlink" Target="https://maps.google.com/?q=16.0172569249356,-96.615607249985402" TargetMode="External"/><Relationship Id="rId8957" Type="http://schemas.openxmlformats.org/officeDocument/2006/relationships/hyperlink" Target="https://maps.google.com/?q=17.381422068,-96.161428088999997" TargetMode="External"/><Relationship Id="rId7559" Type="http://schemas.openxmlformats.org/officeDocument/2006/relationships/hyperlink" Target="https://maps.google.com/?q=17.3271544711264,-95.267332690827701" TargetMode="External"/><Relationship Id="rId10887" Type="http://schemas.openxmlformats.org/officeDocument/2006/relationships/hyperlink" Target="https://maps.google.com/?q=16.172505,-95.180274" TargetMode="External"/><Relationship Id="rId11938" Type="http://schemas.openxmlformats.org/officeDocument/2006/relationships/hyperlink" Target="https://maps.google.com/?q=17.2353185840877,-97.911695745052597" TargetMode="External"/><Relationship Id="rId13360" Type="http://schemas.openxmlformats.org/officeDocument/2006/relationships/hyperlink" Target="https://maps.google.com/?q=16.3207367060524,-96.672766705522506" TargetMode="External"/><Relationship Id="rId13013" Type="http://schemas.openxmlformats.org/officeDocument/2006/relationships/hyperlink" Target="https://maps.google.com/?q=16.50448735,-97.556742799999995" TargetMode="External"/><Relationship Id="rId340" Type="http://schemas.openxmlformats.org/officeDocument/2006/relationships/hyperlink" Target="https://maps.google.com/?q=16.052225,-97.402579000000003" TargetMode="External"/><Relationship Id="rId2021" Type="http://schemas.openxmlformats.org/officeDocument/2006/relationships/hyperlink" Target="https://maps.google.com/?q=15.758042834654955,-96.14015539598897" TargetMode="External"/><Relationship Id="rId4193" Type="http://schemas.openxmlformats.org/officeDocument/2006/relationships/hyperlink" Target="https://maps.google.com/?q=17.616368,-95.932394000000002" TargetMode="External"/><Relationship Id="rId5591" Type="http://schemas.openxmlformats.org/officeDocument/2006/relationships/hyperlink" Target="https://maps.google.com/?q=17.4591957727444,-96.2305011188962" TargetMode="External"/><Relationship Id="rId6642" Type="http://schemas.openxmlformats.org/officeDocument/2006/relationships/hyperlink" Target="https://maps.google.com/?q=16.843094377398,-97.208420440475507" TargetMode="External"/><Relationship Id="rId5244" Type="http://schemas.openxmlformats.org/officeDocument/2006/relationships/hyperlink" Target="https://maps.google.com/?q=15.8400881062671,-96.457139995719103" TargetMode="External"/><Relationship Id="rId9865" Type="http://schemas.openxmlformats.org/officeDocument/2006/relationships/hyperlink" Target="https://maps.google.com/?q=16.6355716027719,-96.8494362366269" TargetMode="External"/><Relationship Id="rId11795" Type="http://schemas.openxmlformats.org/officeDocument/2006/relationships/hyperlink" Target="https://maps.google.com/?q=16.340307026695445,-98.44764812303163" TargetMode="External"/><Relationship Id="rId12846" Type="http://schemas.openxmlformats.org/officeDocument/2006/relationships/hyperlink" Target="https://maps.google.com/?q=17.51714585,-97.684855200000001" TargetMode="External"/><Relationship Id="rId79" Type="http://schemas.openxmlformats.org/officeDocument/2006/relationships/hyperlink" Target="https://maps.google.com/?q=15.908139,-96.449583000000004" TargetMode="External"/><Relationship Id="rId1854" Type="http://schemas.openxmlformats.org/officeDocument/2006/relationships/hyperlink" Target="https://maps.google.com/?q=15.770577366285025,-96.152513888259065" TargetMode="External"/><Relationship Id="rId2905" Type="http://schemas.openxmlformats.org/officeDocument/2006/relationships/hyperlink" Target="https://maps.google.com/?q=17.762098,-96.072777000000002" TargetMode="External"/><Relationship Id="rId8467" Type="http://schemas.openxmlformats.org/officeDocument/2006/relationships/hyperlink" Target="https://maps.google.com/?q=17.15891713987,-97.532424637791394" TargetMode="External"/><Relationship Id="rId9518" Type="http://schemas.openxmlformats.org/officeDocument/2006/relationships/hyperlink" Target="https://maps.google.com/?q=18.142004,-96.505337" TargetMode="External"/><Relationship Id="rId10397" Type="http://schemas.openxmlformats.org/officeDocument/2006/relationships/hyperlink" Target="https://maps.google.com/?q=17.972518,-96.707712999999998" TargetMode="External"/><Relationship Id="rId11448" Type="http://schemas.openxmlformats.org/officeDocument/2006/relationships/hyperlink" Target="https://maps.google.com/?q=15.9832395,-97.548156599999999" TargetMode="External"/><Relationship Id="rId1507" Type="http://schemas.openxmlformats.org/officeDocument/2006/relationships/hyperlink" Target="https://maps.google.com/?q=17.061054,-96.756463999999994" TargetMode="External"/><Relationship Id="rId7069" Type="http://schemas.openxmlformats.org/officeDocument/2006/relationships/hyperlink" Target="https://maps.google.com/?q=16.5725538094496,-97.036465217612502" TargetMode="External"/><Relationship Id="rId3679" Type="http://schemas.openxmlformats.org/officeDocument/2006/relationships/hyperlink" Target="https://maps.google.com/?q=15.775533,-96.146868" TargetMode="External"/><Relationship Id="rId7550" Type="http://schemas.openxmlformats.org/officeDocument/2006/relationships/hyperlink" Target="https://maps.google.com/?q=17.9804060489935,-96.703920155313099" TargetMode="External"/><Relationship Id="rId6152" Type="http://schemas.openxmlformats.org/officeDocument/2006/relationships/hyperlink" Target="https://maps.google.com/?q=16.1405073068077,-96.4186003598811" TargetMode="External"/><Relationship Id="rId7203" Type="http://schemas.openxmlformats.org/officeDocument/2006/relationships/hyperlink" Target="https://maps.google.com/?q=16.1746249535345,-97.9618190348871" TargetMode="External"/><Relationship Id="rId8601" Type="http://schemas.openxmlformats.org/officeDocument/2006/relationships/hyperlink" Target="https://maps.google.com/?q=17.884287172675,-96.727086871114395" TargetMode="External"/><Relationship Id="rId10531" Type="http://schemas.openxmlformats.org/officeDocument/2006/relationships/hyperlink" Target="https://maps.google.com/?q=17.1319543034539,-97.7532510693365" TargetMode="External"/><Relationship Id="rId13754" Type="http://schemas.openxmlformats.org/officeDocument/2006/relationships/hyperlink" Target="https://maps.google.com/?q=16.284223,-95.881125" TargetMode="External"/><Relationship Id="rId2762" Type="http://schemas.openxmlformats.org/officeDocument/2006/relationships/hyperlink" Target="https://maps.google.com/?q=17.9965381137183,-96.489569635581901" TargetMode="External"/><Relationship Id="rId3813" Type="http://schemas.openxmlformats.org/officeDocument/2006/relationships/hyperlink" Target="https://maps.google.com/?q=15.773617465887744,-96.240532296257911" TargetMode="External"/><Relationship Id="rId9028" Type="http://schemas.openxmlformats.org/officeDocument/2006/relationships/hyperlink" Target="https://maps.google.com/?q=16.053798,-95.482771" TargetMode="External"/><Relationship Id="rId9375" Type="http://schemas.openxmlformats.org/officeDocument/2006/relationships/hyperlink" Target="https://maps.google.com/?q=16.8196467012465,-95.140317956893995" TargetMode="External"/><Relationship Id="rId12356" Type="http://schemas.openxmlformats.org/officeDocument/2006/relationships/hyperlink" Target="https://maps.google.com/?q=16.3332,-98.3794" TargetMode="External"/><Relationship Id="rId13407" Type="http://schemas.openxmlformats.org/officeDocument/2006/relationships/hyperlink" Target="https://maps.google.com/?q=16.3275255948491,-96.669883574239805" TargetMode="External"/><Relationship Id="rId734" Type="http://schemas.openxmlformats.org/officeDocument/2006/relationships/hyperlink" Target="https://maps.google.com/?q=15.68207136400714,-96.508078053897378" TargetMode="External"/><Relationship Id="rId1364" Type="http://schemas.openxmlformats.org/officeDocument/2006/relationships/hyperlink" Target="https://maps.google.com/?q=17.048225,-96.711479" TargetMode="External"/><Relationship Id="rId2415" Type="http://schemas.openxmlformats.org/officeDocument/2006/relationships/hyperlink" Target="https://maps.google.com/?q=17.05103252,-96.624046629999995" TargetMode="External"/><Relationship Id="rId5985" Type="http://schemas.openxmlformats.org/officeDocument/2006/relationships/hyperlink" Target="https://maps.google.com/?q=18.15460495477689,-96.576008442768369" TargetMode="External"/><Relationship Id="rId12009" Type="http://schemas.openxmlformats.org/officeDocument/2006/relationships/hyperlink" Target="https://maps.google.com/?q=16.8026924903452,-96.720637345581494" TargetMode="External"/><Relationship Id="rId70" Type="http://schemas.openxmlformats.org/officeDocument/2006/relationships/hyperlink" Target="https://maps.google.com/?q=15.912411,-96.450263000000007" TargetMode="External"/><Relationship Id="rId1017" Type="http://schemas.openxmlformats.org/officeDocument/2006/relationships/hyperlink" Target="https://maps.google.com/?q=15.70038918879172,-96.524630103533681" TargetMode="External"/><Relationship Id="rId4587" Type="http://schemas.openxmlformats.org/officeDocument/2006/relationships/hyperlink" Target="https://maps.google.com/?q=16.556772,-96.822006999999999" TargetMode="External"/><Relationship Id="rId5638" Type="http://schemas.openxmlformats.org/officeDocument/2006/relationships/hyperlink" Target="https://maps.google.com/?q=17.5629473969912,-96.182042787791303" TargetMode="External"/><Relationship Id="rId3189" Type="http://schemas.openxmlformats.org/officeDocument/2006/relationships/hyperlink" Target="https://maps.google.com/?q=17.035341,-97.054107000000002" TargetMode="External"/><Relationship Id="rId7060" Type="http://schemas.openxmlformats.org/officeDocument/2006/relationships/hyperlink" Target="https://maps.google.com/?q=16.5692206717521,-97.033580744428605" TargetMode="External"/><Relationship Id="rId8111" Type="http://schemas.openxmlformats.org/officeDocument/2006/relationships/hyperlink" Target="https://maps.google.com/?q=17.3551130328518,-96.305953648836095" TargetMode="External"/><Relationship Id="rId10041" Type="http://schemas.openxmlformats.org/officeDocument/2006/relationships/hyperlink" Target="https://maps.google.com/?q=16.9234173902115,-96.361548417499904" TargetMode="External"/><Relationship Id="rId591" Type="http://schemas.openxmlformats.org/officeDocument/2006/relationships/hyperlink" Target="https://maps.google.com/?q=16.054164,-97.399693999999997" TargetMode="External"/><Relationship Id="rId2272" Type="http://schemas.openxmlformats.org/officeDocument/2006/relationships/hyperlink" Target="https://maps.google.com/?q=18.0972560659371,-96.927490105414805" TargetMode="External"/><Relationship Id="rId3670" Type="http://schemas.openxmlformats.org/officeDocument/2006/relationships/hyperlink" Target="https://maps.google.com/?q=15.774462,-96.145036" TargetMode="External"/><Relationship Id="rId4721" Type="http://schemas.openxmlformats.org/officeDocument/2006/relationships/hyperlink" Target="https://maps.google.com/?q=17.05611569,-96.745782180000006" TargetMode="External"/><Relationship Id="rId13264" Type="http://schemas.openxmlformats.org/officeDocument/2006/relationships/hyperlink" Target="https://maps.google.com/?q=17.1586129412802,-96.7460238866271" TargetMode="External"/><Relationship Id="rId244" Type="http://schemas.openxmlformats.org/officeDocument/2006/relationships/hyperlink" Target="https://maps.google.com/?q=16.88386,-97.677009999999996" TargetMode="External"/><Relationship Id="rId3323" Type="http://schemas.openxmlformats.org/officeDocument/2006/relationships/hyperlink" Target="https://maps.google.com/?q=17.0652607008113,-96.819309892032095" TargetMode="External"/><Relationship Id="rId6893" Type="http://schemas.openxmlformats.org/officeDocument/2006/relationships/hyperlink" Target="https://maps.google.com/?q=16.973812,-97.087666999999996" TargetMode="External"/><Relationship Id="rId7944" Type="http://schemas.openxmlformats.org/officeDocument/2006/relationships/hyperlink" Target="https://maps.google.com/?q=16.3259107997286,-96.409009948804595" TargetMode="External"/><Relationship Id="rId10925" Type="http://schemas.openxmlformats.org/officeDocument/2006/relationships/hyperlink" Target="https://maps.google.com/?q=16.1916707933068,-95.184731545279305" TargetMode="External"/><Relationship Id="rId5495" Type="http://schemas.openxmlformats.org/officeDocument/2006/relationships/hyperlink" Target="https://maps.google.com/?q=16.332583,-96.492125000000001" TargetMode="External"/><Relationship Id="rId6546" Type="http://schemas.openxmlformats.org/officeDocument/2006/relationships/hyperlink" Target="https://maps.google.com/?q=16.344846,-96.579285" TargetMode="External"/><Relationship Id="rId4097" Type="http://schemas.openxmlformats.org/officeDocument/2006/relationships/hyperlink" Target="https://maps.google.com/?q=17.0563329179,-96.7461488" TargetMode="External"/><Relationship Id="rId5148" Type="http://schemas.openxmlformats.org/officeDocument/2006/relationships/hyperlink" Target="https://maps.google.com/?q=17.254660631010267,-96.1492464871025" TargetMode="External"/><Relationship Id="rId9769" Type="http://schemas.openxmlformats.org/officeDocument/2006/relationships/hyperlink" Target="https://maps.google.com/?q=17.2844119701201,-96.794429466491295" TargetMode="External"/><Relationship Id="rId11699" Type="http://schemas.openxmlformats.org/officeDocument/2006/relationships/hyperlink" Target="https://maps.google.com/?q=17.18172872,-97.710522109999999" TargetMode="External"/><Relationship Id="rId12000" Type="http://schemas.openxmlformats.org/officeDocument/2006/relationships/hyperlink" Target="https://maps.google.com/?q=16.8019122394943,-96.711759559489806" TargetMode="External"/><Relationship Id="rId1758" Type="http://schemas.openxmlformats.org/officeDocument/2006/relationships/hyperlink" Target="https://maps.google.com/?q=18.06130076,-96.850379029999999" TargetMode="External"/><Relationship Id="rId2809" Type="http://schemas.openxmlformats.org/officeDocument/2006/relationships/hyperlink" Target="https://maps.google.com/?q=16.9895391375362,-97.712759805643799" TargetMode="External"/><Relationship Id="rId14172" Type="http://schemas.openxmlformats.org/officeDocument/2006/relationships/hyperlink" Target="https://maps.google.com/?q=15.723058510842812,-96.16608432520057" TargetMode="External"/><Relationship Id="rId3180" Type="http://schemas.openxmlformats.org/officeDocument/2006/relationships/hyperlink" Target="https://maps.google.com/?q=16.551105,-97.500606000000005" TargetMode="External"/><Relationship Id="rId4231" Type="http://schemas.openxmlformats.org/officeDocument/2006/relationships/hyperlink" Target="https://maps.google.com/?q=17.811788057613057,-97.7727019128975" TargetMode="External"/><Relationship Id="rId8852" Type="http://schemas.openxmlformats.org/officeDocument/2006/relationships/hyperlink" Target="https://maps.google.com/?q=17.218959,-96.240160000000003" TargetMode="External"/><Relationship Id="rId9903" Type="http://schemas.openxmlformats.org/officeDocument/2006/relationships/hyperlink" Target="https://maps.google.com/?q=16.5520205077036,-96.724602675522505" TargetMode="External"/><Relationship Id="rId10782" Type="http://schemas.openxmlformats.org/officeDocument/2006/relationships/hyperlink" Target="https://maps.google.com/?q=16.4608384114891,-94.999555267701794" TargetMode="External"/><Relationship Id="rId11833" Type="http://schemas.openxmlformats.org/officeDocument/2006/relationships/hyperlink" Target="https://maps.google.com/?q=17.370081664967334,-96.33735421097566" TargetMode="External"/><Relationship Id="rId6056" Type="http://schemas.openxmlformats.org/officeDocument/2006/relationships/hyperlink" Target="https://maps.google.com/?q=18.158435862312324,-96.576288805722456" TargetMode="External"/><Relationship Id="rId7454" Type="http://schemas.openxmlformats.org/officeDocument/2006/relationships/hyperlink" Target="https://maps.google.com/?q=16.3247917247733,-96.679009107969193" TargetMode="External"/><Relationship Id="rId8505" Type="http://schemas.openxmlformats.org/officeDocument/2006/relationships/hyperlink" Target="https://maps.google.com/?q=17.1480238931928,-97.542366516393898" TargetMode="External"/><Relationship Id="rId10435" Type="http://schemas.openxmlformats.org/officeDocument/2006/relationships/hyperlink" Target="https://maps.google.com/?q=17.0416264,-96.778475999999998" TargetMode="External"/><Relationship Id="rId7107" Type="http://schemas.openxmlformats.org/officeDocument/2006/relationships/hyperlink" Target="https://maps.google.com/?q=17.3589682328425,-97.656822714418297" TargetMode="External"/><Relationship Id="rId13658" Type="http://schemas.openxmlformats.org/officeDocument/2006/relationships/hyperlink" Target="https://maps.google.com/?q=16.654744,-97.338884" TargetMode="External"/><Relationship Id="rId985" Type="http://schemas.openxmlformats.org/officeDocument/2006/relationships/hyperlink" Target="https://maps.google.com/?q=15.690001890273644,-96.516653458129284" TargetMode="External"/><Relationship Id="rId2666" Type="http://schemas.openxmlformats.org/officeDocument/2006/relationships/hyperlink" Target="https://maps.google.com/?q=17.9469159005516,-97.966713525131595" TargetMode="External"/><Relationship Id="rId3717" Type="http://schemas.openxmlformats.org/officeDocument/2006/relationships/hyperlink" Target="https://maps.google.com/?q=15.75814932236936,-96.14551602350798" TargetMode="External"/><Relationship Id="rId9279" Type="http://schemas.openxmlformats.org/officeDocument/2006/relationships/hyperlink" Target="https://maps.google.com/?q=16.8668937203449,-95.229938269880506" TargetMode="External"/><Relationship Id="rId638" Type="http://schemas.openxmlformats.org/officeDocument/2006/relationships/hyperlink" Target="https://maps.google.com/?q=16.054392,-97.395160000000004" TargetMode="External"/><Relationship Id="rId1268" Type="http://schemas.openxmlformats.org/officeDocument/2006/relationships/hyperlink" Target="https://maps.google.com/?q=17.058593,-96.743078999999994" TargetMode="External"/><Relationship Id="rId2319" Type="http://schemas.openxmlformats.org/officeDocument/2006/relationships/hyperlink" Target="https://maps.google.com/?q=18.1073353685687,-96.869711481614601" TargetMode="External"/><Relationship Id="rId5889" Type="http://schemas.openxmlformats.org/officeDocument/2006/relationships/hyperlink" Target="https://maps.google.com/?q=18.145164599347968,-96.566511227506183" TargetMode="External"/><Relationship Id="rId9760" Type="http://schemas.openxmlformats.org/officeDocument/2006/relationships/hyperlink" Target="https://maps.google.com/?q=17.279749695158,-96.7992446632541" TargetMode="External"/><Relationship Id="rId8362" Type="http://schemas.openxmlformats.org/officeDocument/2006/relationships/hyperlink" Target="https://maps.google.com/?q=16.8443409604188,-97.1973238534665" TargetMode="External"/><Relationship Id="rId9413" Type="http://schemas.openxmlformats.org/officeDocument/2006/relationships/hyperlink" Target="https://maps.google.com/?q=16.7758497080688,-95.191717591569301" TargetMode="External"/><Relationship Id="rId11690" Type="http://schemas.openxmlformats.org/officeDocument/2006/relationships/hyperlink" Target="https://maps.google.com/?q=17.17929079,-97.709639850000002" TargetMode="External"/><Relationship Id="rId12741" Type="http://schemas.openxmlformats.org/officeDocument/2006/relationships/hyperlink" Target="https://maps.google.com/?q=16.6009926439005,-96.959734118096307" TargetMode="External"/><Relationship Id="rId2800" Type="http://schemas.openxmlformats.org/officeDocument/2006/relationships/hyperlink" Target="https://maps.google.com/?q=16.9818923197022,-97.715179781808999" TargetMode="External"/><Relationship Id="rId8015" Type="http://schemas.openxmlformats.org/officeDocument/2006/relationships/hyperlink" Target="https://maps.google.com/?q=18.1645301125425,-96.877772609524698" TargetMode="External"/><Relationship Id="rId10292" Type="http://schemas.openxmlformats.org/officeDocument/2006/relationships/hyperlink" Target="https://maps.google.com/?q=0,-97.267789690000001" TargetMode="External"/><Relationship Id="rId11343" Type="http://schemas.openxmlformats.org/officeDocument/2006/relationships/hyperlink" Target="https://maps.google.com/?q=16.3618765912344,-94.191894402446707" TargetMode="External"/><Relationship Id="rId1402" Type="http://schemas.openxmlformats.org/officeDocument/2006/relationships/hyperlink" Target="https://maps.google.com/?q=16.950706,-96.750504000000006" TargetMode="External"/><Relationship Id="rId4972" Type="http://schemas.openxmlformats.org/officeDocument/2006/relationships/hyperlink" Target="https://maps.google.com/?q=17.9684915363798,-96.738614285868294" TargetMode="External"/><Relationship Id="rId3574" Type="http://schemas.openxmlformats.org/officeDocument/2006/relationships/hyperlink" Target="https://maps.google.com/?q=15.775757844620973,-96.1357569080281" TargetMode="External"/><Relationship Id="rId4625" Type="http://schemas.openxmlformats.org/officeDocument/2006/relationships/hyperlink" Target="https://maps.google.com/?q=17.03585463,-96.712191730000001" TargetMode="External"/><Relationship Id="rId13168" Type="http://schemas.openxmlformats.org/officeDocument/2006/relationships/hyperlink" Target="https://maps.google.com/?q=16.5683489373797,-97.021612415661195" TargetMode="External"/><Relationship Id="rId495" Type="http://schemas.openxmlformats.org/officeDocument/2006/relationships/hyperlink" Target="https://maps.google.com/?q=16.054818,-97.408604999999994" TargetMode="External"/><Relationship Id="rId2176" Type="http://schemas.openxmlformats.org/officeDocument/2006/relationships/hyperlink" Target="https://maps.google.com/?q=16.9958265566372,-97.232712842633603" TargetMode="External"/><Relationship Id="rId3227" Type="http://schemas.openxmlformats.org/officeDocument/2006/relationships/hyperlink" Target="https://maps.google.com/?q=17.933881,-96.210728000000003" TargetMode="External"/><Relationship Id="rId6797" Type="http://schemas.openxmlformats.org/officeDocument/2006/relationships/hyperlink" Target="https://maps.google.com/?q=16.6467126864445,-97.037831779548995" TargetMode="External"/><Relationship Id="rId7848" Type="http://schemas.openxmlformats.org/officeDocument/2006/relationships/hyperlink" Target="https://maps.google.com/?q=15.9708425557959,-96.017861364417996" TargetMode="External"/><Relationship Id="rId148" Type="http://schemas.openxmlformats.org/officeDocument/2006/relationships/hyperlink" Target="https://maps.google.com/?q=17.095346,-97.497557" TargetMode="External"/><Relationship Id="rId5399" Type="http://schemas.openxmlformats.org/officeDocument/2006/relationships/hyperlink" Target="https://maps.google.com/?q=16.0933839940853,-97.701866365224802" TargetMode="External"/><Relationship Id="rId9270" Type="http://schemas.openxmlformats.org/officeDocument/2006/relationships/hyperlink" Target="https://maps.google.com/?q=17.3782446169781,-96.301454423289897" TargetMode="External"/><Relationship Id="rId10829" Type="http://schemas.openxmlformats.org/officeDocument/2006/relationships/hyperlink" Target="https://maps.google.com/?q=16.390577124108,-94.456001974204995" TargetMode="External"/><Relationship Id="rId12251" Type="http://schemas.openxmlformats.org/officeDocument/2006/relationships/hyperlink" Target="https://maps.google.com/?q=16.4248239927558,-97.229225077613904" TargetMode="External"/><Relationship Id="rId13302" Type="http://schemas.openxmlformats.org/officeDocument/2006/relationships/hyperlink" Target="https://maps.google.com/?q=16.1331156173945,-96.3283519411047" TargetMode="External"/><Relationship Id="rId2310" Type="http://schemas.openxmlformats.org/officeDocument/2006/relationships/hyperlink" Target="https://maps.google.com/?q=18.1058629764538,-96.879771858954896" TargetMode="External"/><Relationship Id="rId4482" Type="http://schemas.openxmlformats.org/officeDocument/2006/relationships/hyperlink" Target="https://maps.google.com/?q=17.1707724541317,-97.308039301392299" TargetMode="External"/><Relationship Id="rId5880" Type="http://schemas.openxmlformats.org/officeDocument/2006/relationships/hyperlink" Target="https://maps.google.com/?q=18.144953038749417,-96.563619396437872" TargetMode="External"/><Relationship Id="rId6931" Type="http://schemas.openxmlformats.org/officeDocument/2006/relationships/hyperlink" Target="https://maps.google.com/?q=16.3170865,-95.232925899999998" TargetMode="External"/><Relationship Id="rId14076" Type="http://schemas.openxmlformats.org/officeDocument/2006/relationships/hyperlink" Target="https://maps.google.com/?q=16.666685578972032,-94.71769825715116" TargetMode="External"/><Relationship Id="rId3084" Type="http://schemas.openxmlformats.org/officeDocument/2006/relationships/hyperlink" Target="https://maps.google.com/?q=16.9664338451039,-96.936636088465406" TargetMode="External"/><Relationship Id="rId4135" Type="http://schemas.openxmlformats.org/officeDocument/2006/relationships/hyperlink" Target="https://maps.google.com/?q=17.668256,&#160;-95.875609" TargetMode="External"/><Relationship Id="rId5533" Type="http://schemas.openxmlformats.org/officeDocument/2006/relationships/hyperlink" Target="https://maps.google.com/?q=17.2870970753836,&#160;-97.36598310185242" TargetMode="External"/><Relationship Id="rId8756" Type="http://schemas.openxmlformats.org/officeDocument/2006/relationships/hyperlink" Target="https://maps.google.com/?q=17.202461,-96.254018000000002" TargetMode="External"/><Relationship Id="rId9807" Type="http://schemas.openxmlformats.org/officeDocument/2006/relationships/hyperlink" Target="https://maps.google.com/?q=16.6429783127627,-96.752197632209104" TargetMode="External"/><Relationship Id="rId10686" Type="http://schemas.openxmlformats.org/officeDocument/2006/relationships/hyperlink" Target="https://maps.google.com/?q=17.58489641584882,-97.62891364914321" TargetMode="External"/><Relationship Id="rId11737" Type="http://schemas.openxmlformats.org/officeDocument/2006/relationships/hyperlink" Target="https://maps.google.com/?q=17.189094,-97.712663739999996" TargetMode="External"/><Relationship Id="rId7358" Type="http://schemas.openxmlformats.org/officeDocument/2006/relationships/hyperlink" Target="https://maps.google.com/?q=16.566421,-97.654336000000001" TargetMode="External"/><Relationship Id="rId8409" Type="http://schemas.openxmlformats.org/officeDocument/2006/relationships/hyperlink" Target="https://maps.google.com/?q=16.0903443454837,-96.244389002481398" TargetMode="External"/><Relationship Id="rId10339" Type="http://schemas.openxmlformats.org/officeDocument/2006/relationships/hyperlink" Target="https://maps.google.com/?q=17.4329699903831,-96.659390668994305" TargetMode="External"/><Relationship Id="rId3968" Type="http://schemas.openxmlformats.org/officeDocument/2006/relationships/hyperlink" Target="https://maps.google.com/?q=17.06147,-96.757279999999994" TargetMode="External"/><Relationship Id="rId5" Type="http://schemas.openxmlformats.org/officeDocument/2006/relationships/hyperlink" Target="https://maps.google.com/?q=17.222526,-97.119512" TargetMode="External"/><Relationship Id="rId889" Type="http://schemas.openxmlformats.org/officeDocument/2006/relationships/hyperlink" Target="https://maps.google.com/?q=17.093496,-97.492895000000004" TargetMode="External"/><Relationship Id="rId5390" Type="http://schemas.openxmlformats.org/officeDocument/2006/relationships/hyperlink" Target="https://maps.google.com/?q=16.0913936246917,-97.689502278781603" TargetMode="External"/><Relationship Id="rId6441" Type="http://schemas.openxmlformats.org/officeDocument/2006/relationships/hyperlink" Target="https://maps.google.com/?q=17.34668967,-97.560200570000006" TargetMode="External"/><Relationship Id="rId10820" Type="http://schemas.openxmlformats.org/officeDocument/2006/relationships/hyperlink" Target="https://maps.google.com/?q=16.4038834824525,-94.462509687171902" TargetMode="External"/><Relationship Id="rId5043" Type="http://schemas.openxmlformats.org/officeDocument/2006/relationships/hyperlink" Target="https://maps.google.com/?q=17.251548,-96.156102000000004" TargetMode="External"/><Relationship Id="rId12992" Type="http://schemas.openxmlformats.org/officeDocument/2006/relationships/hyperlink" Target="https://maps.google.com/?q=16.502092,-97.555619399999998" TargetMode="External"/><Relationship Id="rId8266" Type="http://schemas.openxmlformats.org/officeDocument/2006/relationships/hyperlink" Target="https://maps.google.com/?q=17.027096,-96.759513999999996" TargetMode="External"/><Relationship Id="rId9317" Type="http://schemas.openxmlformats.org/officeDocument/2006/relationships/hyperlink" Target="https://maps.google.com/?q=16.8158658893238,-95.135373336894006" TargetMode="External"/><Relationship Id="rId9664" Type="http://schemas.openxmlformats.org/officeDocument/2006/relationships/hyperlink" Target="https://maps.google.com/?q=16.3299,-96.598179000000002" TargetMode="External"/><Relationship Id="rId11594" Type="http://schemas.openxmlformats.org/officeDocument/2006/relationships/hyperlink" Target="https://maps.google.com/?q=16.835165599113,-96.728305696924195" TargetMode="External"/><Relationship Id="rId12645" Type="http://schemas.openxmlformats.org/officeDocument/2006/relationships/hyperlink" Target="https://maps.google.com/?q=17.119105,-96.850313" TargetMode="External"/><Relationship Id="rId1653" Type="http://schemas.openxmlformats.org/officeDocument/2006/relationships/hyperlink" Target="https://maps.google.com/?q=16.8935778506963,-96.937021611114304" TargetMode="External"/><Relationship Id="rId2704" Type="http://schemas.openxmlformats.org/officeDocument/2006/relationships/hyperlink" Target="https://maps.google.com/?q=15.913975,-96.419849999999997" TargetMode="External"/><Relationship Id="rId10196" Type="http://schemas.openxmlformats.org/officeDocument/2006/relationships/hyperlink" Target="https://maps.google.com/?q=17.21960612380181,-97.33019840719358" TargetMode="External"/><Relationship Id="rId11247" Type="http://schemas.openxmlformats.org/officeDocument/2006/relationships/hyperlink" Target="https://maps.google.com/?q=17.8633625837438,-96.307668516804995" TargetMode="External"/><Relationship Id="rId1306" Type="http://schemas.openxmlformats.org/officeDocument/2006/relationships/hyperlink" Target="https://maps.google.com/?q=17.080069,-96.725792" TargetMode="External"/><Relationship Id="rId4876" Type="http://schemas.openxmlformats.org/officeDocument/2006/relationships/hyperlink" Target="https://maps.google.com/?q=16.7931107062324,-96.392442850922507" TargetMode="External"/><Relationship Id="rId5927" Type="http://schemas.openxmlformats.org/officeDocument/2006/relationships/hyperlink" Target="https://maps.google.com/?q=18.152262209771948,-96.570095280105761" TargetMode="External"/><Relationship Id="rId12" Type="http://schemas.openxmlformats.org/officeDocument/2006/relationships/hyperlink" Target="https://maps.google.com/?q=17.222497,-97.122590000000002" TargetMode="External"/><Relationship Id="rId3478" Type="http://schemas.openxmlformats.org/officeDocument/2006/relationships/hyperlink" Target="https://maps.google.com/?q=16.7467603449316,-97.263256955769293" TargetMode="External"/><Relationship Id="rId4529" Type="http://schemas.openxmlformats.org/officeDocument/2006/relationships/hyperlink" Target="https://maps.google.com/?q=17.1819650022502,-97.305153391193201" TargetMode="External"/><Relationship Id="rId8400" Type="http://schemas.openxmlformats.org/officeDocument/2006/relationships/hyperlink" Target="https://maps.google.com/?q=16.0899522624631,-96.244266442956899" TargetMode="External"/><Relationship Id="rId10330" Type="http://schemas.openxmlformats.org/officeDocument/2006/relationships/hyperlink" Target="https://maps.google.com/?q=16.231042,-97.267313999999999" TargetMode="External"/><Relationship Id="rId399" Type="http://schemas.openxmlformats.org/officeDocument/2006/relationships/hyperlink" Target="https://maps.google.com/?q=16.051959,-97.414291000000006" TargetMode="External"/><Relationship Id="rId7002" Type="http://schemas.openxmlformats.org/officeDocument/2006/relationships/hyperlink" Target="https://maps.google.com/?q=17.0380677345498,-97.297291046625304" TargetMode="External"/><Relationship Id="rId880" Type="http://schemas.openxmlformats.org/officeDocument/2006/relationships/hyperlink" Target="https://maps.google.com/?q=17.093496,-97.492895000000004" TargetMode="External"/><Relationship Id="rId2561" Type="http://schemas.openxmlformats.org/officeDocument/2006/relationships/hyperlink" Target="https://maps.google.com/?q=18.09791552460898,-96.92602517191177" TargetMode="External"/><Relationship Id="rId9174" Type="http://schemas.openxmlformats.org/officeDocument/2006/relationships/hyperlink" Target="https://maps.google.com/?q=17.3731892324025,-96.300197295913605" TargetMode="External"/><Relationship Id="rId12155" Type="http://schemas.openxmlformats.org/officeDocument/2006/relationships/hyperlink" Target="https://maps.google.com/?q=16.127183,-96.367347" TargetMode="External"/><Relationship Id="rId13553" Type="http://schemas.openxmlformats.org/officeDocument/2006/relationships/hyperlink" Target="https://maps.google.com/?q=17.34398906237129,-97.50769485152054" TargetMode="External"/><Relationship Id="rId533" Type="http://schemas.openxmlformats.org/officeDocument/2006/relationships/hyperlink" Target="https://maps.google.com/?q=16.05269,-97.403136000000003" TargetMode="External"/><Relationship Id="rId1163" Type="http://schemas.openxmlformats.org/officeDocument/2006/relationships/hyperlink" Target="https://maps.google.com/?q=17.75614,-96.315609" TargetMode="External"/><Relationship Id="rId2214" Type="http://schemas.openxmlformats.org/officeDocument/2006/relationships/hyperlink" Target="https://maps.google.com/?q=16.9919940168828,-97.251070205310299" TargetMode="External"/><Relationship Id="rId3612" Type="http://schemas.openxmlformats.org/officeDocument/2006/relationships/hyperlink" Target="https://maps.google.com/?q=15.776829125024479,-96.136870333430466" TargetMode="External"/><Relationship Id="rId13206" Type="http://schemas.openxmlformats.org/officeDocument/2006/relationships/hyperlink" Target="https://maps.google.com/?q=17.3394421161894,-97.386869700637007" TargetMode="External"/><Relationship Id="rId5784" Type="http://schemas.openxmlformats.org/officeDocument/2006/relationships/hyperlink" Target="https://maps.google.com/?q=17.3000337790473,-97.484389380833207" TargetMode="External"/><Relationship Id="rId6835" Type="http://schemas.openxmlformats.org/officeDocument/2006/relationships/hyperlink" Target="https://maps.google.com/?q=17.0070745074157,-96.976206565156602" TargetMode="External"/><Relationship Id="rId4386" Type="http://schemas.openxmlformats.org/officeDocument/2006/relationships/hyperlink" Target="https://maps.google.com/?q=15.99824519,-96.688650550000006" TargetMode="External"/><Relationship Id="rId5437" Type="http://schemas.openxmlformats.org/officeDocument/2006/relationships/hyperlink" Target="https://maps.google.com/?q=16.006095460514,-97.433552308542303" TargetMode="External"/><Relationship Id="rId11988" Type="http://schemas.openxmlformats.org/officeDocument/2006/relationships/hyperlink" Target="https://maps.google.com/?q=16.8007776352519,-96.718808468122702" TargetMode="External"/><Relationship Id="rId4039" Type="http://schemas.openxmlformats.org/officeDocument/2006/relationships/hyperlink" Target="https://maps.google.com/?q=17.080069,-96.725791999999998" TargetMode="External"/><Relationship Id="rId4520" Type="http://schemas.openxmlformats.org/officeDocument/2006/relationships/hyperlink" Target="https://maps.google.com/?q=17.1812880947201,-97.305238661921905" TargetMode="External"/><Relationship Id="rId13063" Type="http://schemas.openxmlformats.org/officeDocument/2006/relationships/hyperlink" Target="https://maps.google.com/?q=16.5629233,-97.539459500000007" TargetMode="External"/><Relationship Id="rId14114" Type="http://schemas.openxmlformats.org/officeDocument/2006/relationships/hyperlink" Target="https://maps.google.com/?q=18.118355,-96.308396" TargetMode="External"/><Relationship Id="rId390" Type="http://schemas.openxmlformats.org/officeDocument/2006/relationships/hyperlink" Target="https://maps.google.com/?q=16.063259,-97.380872999999994" TargetMode="External"/><Relationship Id="rId2071" Type="http://schemas.openxmlformats.org/officeDocument/2006/relationships/hyperlink" Target="https://maps.google.com/?q=15.772018285377353,-96.247614285994672" TargetMode="External"/><Relationship Id="rId3122" Type="http://schemas.openxmlformats.org/officeDocument/2006/relationships/hyperlink" Target="https://maps.google.com/?q=16.582829,-97.442987000000002" TargetMode="External"/><Relationship Id="rId6692" Type="http://schemas.openxmlformats.org/officeDocument/2006/relationships/hyperlink" Target="https://maps.google.com/?q=16.9387701,-96.966333399999996" TargetMode="External"/><Relationship Id="rId5294" Type="http://schemas.openxmlformats.org/officeDocument/2006/relationships/hyperlink" Target="https://maps.google.com/?q=15.7162426586025,-96.471155960274203" TargetMode="External"/><Relationship Id="rId6345" Type="http://schemas.openxmlformats.org/officeDocument/2006/relationships/hyperlink" Target="https://maps.google.com/?q=18.0621430881204,-96.405238012232104" TargetMode="External"/><Relationship Id="rId7743" Type="http://schemas.openxmlformats.org/officeDocument/2006/relationships/hyperlink" Target="https://maps.google.com/?q=16.6318926408723,-96.799823872141602" TargetMode="External"/><Relationship Id="rId10724" Type="http://schemas.openxmlformats.org/officeDocument/2006/relationships/hyperlink" Target="https://maps.google.com/?q=18.081169,-96.118475000000004" TargetMode="External"/><Relationship Id="rId12896" Type="http://schemas.openxmlformats.org/officeDocument/2006/relationships/hyperlink" Target="https://maps.google.com/?q=16.505677,-97.509546" TargetMode="External"/><Relationship Id="rId13947" Type="http://schemas.openxmlformats.org/officeDocument/2006/relationships/hyperlink" Target="https://maps.google.com/?q=17.048625,-97.962740" TargetMode="External"/><Relationship Id="rId2955" Type="http://schemas.openxmlformats.org/officeDocument/2006/relationships/hyperlink" Target="https://maps.google.com/?q=17.08036848,-96.69325954" TargetMode="External"/><Relationship Id="rId9568" Type="http://schemas.openxmlformats.org/officeDocument/2006/relationships/hyperlink" Target="https://maps.google.com/?q=17.360409,-96.294222000000005" TargetMode="External"/><Relationship Id="rId11498" Type="http://schemas.openxmlformats.org/officeDocument/2006/relationships/hyperlink" Target="https://maps.google.com/?q=16.6087210544645,-96.850601010138007" TargetMode="External"/><Relationship Id="rId12549" Type="http://schemas.openxmlformats.org/officeDocument/2006/relationships/hyperlink" Target="https://maps.google.com/?q=17.082651,-96.743810999999994" TargetMode="External"/><Relationship Id="rId927" Type="http://schemas.openxmlformats.org/officeDocument/2006/relationships/hyperlink" Target="https://maps.google.com/?q=15.710738084662175,-96.529713717736911" TargetMode="External"/><Relationship Id="rId1557" Type="http://schemas.openxmlformats.org/officeDocument/2006/relationships/hyperlink" Target="https://maps.google.com/?q=16.953048971701,-97.450275597553301" TargetMode="External"/><Relationship Id="rId2608" Type="http://schemas.openxmlformats.org/officeDocument/2006/relationships/hyperlink" Target="https://maps.google.com/?q=18.228724,-96.282998000000006" TargetMode="External"/><Relationship Id="rId4030" Type="http://schemas.openxmlformats.org/officeDocument/2006/relationships/hyperlink" Target="https://maps.google.com/?q=17.02036688529484,-96.718112242423189" TargetMode="External"/><Relationship Id="rId8651" Type="http://schemas.openxmlformats.org/officeDocument/2006/relationships/hyperlink" Target="https://maps.google.com/?q=17.0314540429538,-97.803674175206297" TargetMode="External"/><Relationship Id="rId9702" Type="http://schemas.openxmlformats.org/officeDocument/2006/relationships/hyperlink" Target="https://maps.google.com/?q=16.4254060281772,-95.012048328706896" TargetMode="External"/><Relationship Id="rId7253" Type="http://schemas.openxmlformats.org/officeDocument/2006/relationships/hyperlink" Target="https://maps.google.com/?q=16.0975744195603,-97.923098190000502" TargetMode="External"/><Relationship Id="rId8304" Type="http://schemas.openxmlformats.org/officeDocument/2006/relationships/hyperlink" Target="https://maps.google.com/?q=16.538402,-98.034233" TargetMode="External"/><Relationship Id="rId10234" Type="http://schemas.openxmlformats.org/officeDocument/2006/relationships/hyperlink" Target="https://maps.google.com/?q=17.19538532,-97.400233130000004" TargetMode="External"/><Relationship Id="rId10581" Type="http://schemas.openxmlformats.org/officeDocument/2006/relationships/hyperlink" Target="https://maps.google.com/?q=17.0993080195284,-97.778191338623003" TargetMode="External"/><Relationship Id="rId11632" Type="http://schemas.openxmlformats.org/officeDocument/2006/relationships/hyperlink" Target="https://maps.google.com/?q=16.8416171070555,-96.728927915344201" TargetMode="External"/><Relationship Id="rId3863" Type="http://schemas.openxmlformats.org/officeDocument/2006/relationships/hyperlink" Target="https://maps.google.com/?q=17.0949788637431,-95.927085440475494" TargetMode="External"/><Relationship Id="rId4914" Type="http://schemas.openxmlformats.org/officeDocument/2006/relationships/hyperlink" Target="https://maps.google.com/?q=18.0319126630086,-96.665956060013301" TargetMode="External"/><Relationship Id="rId9078" Type="http://schemas.openxmlformats.org/officeDocument/2006/relationships/hyperlink" Target="https://maps.google.com/?q=16.061276,-95.497168000000002" TargetMode="External"/><Relationship Id="rId13457" Type="http://schemas.openxmlformats.org/officeDocument/2006/relationships/hyperlink" Target="https://maps.google.com/?q=17.6862035044338,-97.033739991401703" TargetMode="External"/><Relationship Id="rId784" Type="http://schemas.openxmlformats.org/officeDocument/2006/relationships/hyperlink" Target="https://maps.google.com/?q=15.690835315013052,-96.518079813755094" TargetMode="External"/><Relationship Id="rId1067" Type="http://schemas.openxmlformats.org/officeDocument/2006/relationships/hyperlink" Target="https://maps.google.com/?q=17.090118,-97.492348000000007" TargetMode="External"/><Relationship Id="rId2465" Type="http://schemas.openxmlformats.org/officeDocument/2006/relationships/hyperlink" Target="https://maps.google.com/?q=17.05170497,-96.624318990000006" TargetMode="External"/><Relationship Id="rId3516" Type="http://schemas.openxmlformats.org/officeDocument/2006/relationships/hyperlink" Target="https://maps.google.com/?q=15.760836,-96.150663" TargetMode="External"/><Relationship Id="rId12059" Type="http://schemas.openxmlformats.org/officeDocument/2006/relationships/hyperlink" Target="https://maps.google.com/?q=16.31176321,-95.233600960000004" TargetMode="External"/><Relationship Id="rId437" Type="http://schemas.openxmlformats.org/officeDocument/2006/relationships/hyperlink" Target="https://maps.google.com/?q=16.053419,-97.410045999999994" TargetMode="External"/><Relationship Id="rId2118" Type="http://schemas.openxmlformats.org/officeDocument/2006/relationships/hyperlink" Target="https://maps.google.com/?q=15.76177,-96.142741999999998" TargetMode="External"/><Relationship Id="rId5688" Type="http://schemas.openxmlformats.org/officeDocument/2006/relationships/hyperlink" Target="https://maps.google.com/?q=16.434929,-97.902206000000007" TargetMode="External"/><Relationship Id="rId6739" Type="http://schemas.openxmlformats.org/officeDocument/2006/relationships/hyperlink" Target="https://maps.google.com/?q=15.8494110143,-96.649916684600001" TargetMode="External"/><Relationship Id="rId12540" Type="http://schemas.openxmlformats.org/officeDocument/2006/relationships/hyperlink" Target="https://maps.google.com/?q=16.9698749874266,-97.913293867301206" TargetMode="External"/><Relationship Id="rId8161" Type="http://schemas.openxmlformats.org/officeDocument/2006/relationships/hyperlink" Target="https://maps.google.com/?q=17.3576634621692,-96.300976764417996" TargetMode="External"/><Relationship Id="rId9212" Type="http://schemas.openxmlformats.org/officeDocument/2006/relationships/hyperlink" Target="https://maps.google.com/?q=17.3749938501628,-96.3012595415113" TargetMode="External"/><Relationship Id="rId10091" Type="http://schemas.openxmlformats.org/officeDocument/2006/relationships/hyperlink" Target="https://maps.google.com/?q=16.9977057245683,-96.113747783276807" TargetMode="External"/><Relationship Id="rId11142" Type="http://schemas.openxmlformats.org/officeDocument/2006/relationships/hyperlink" Target="https://maps.google.com/?q=16.836657,-96.012604999999994" TargetMode="External"/><Relationship Id="rId1201" Type="http://schemas.openxmlformats.org/officeDocument/2006/relationships/hyperlink" Target="https://maps.google.com/?q=18.246275,-96.394831" TargetMode="External"/><Relationship Id="rId4771" Type="http://schemas.openxmlformats.org/officeDocument/2006/relationships/hyperlink" Target="https://maps.google.com/?q=17.9570244791259,-96.657049295491404" TargetMode="External"/><Relationship Id="rId3373" Type="http://schemas.openxmlformats.org/officeDocument/2006/relationships/hyperlink" Target="https://maps.google.com/?q=17.0696298478282,-97.78858610185247" TargetMode="External"/><Relationship Id="rId4424" Type="http://schemas.openxmlformats.org/officeDocument/2006/relationships/hyperlink" Target="https://maps.google.com/?q=16.00762218,-96.677650920000005" TargetMode="External"/><Relationship Id="rId5822" Type="http://schemas.openxmlformats.org/officeDocument/2006/relationships/hyperlink" Target="https://maps.google.com/?q=16.3629524814601,-97.047456387731202" TargetMode="External"/><Relationship Id="rId14018" Type="http://schemas.openxmlformats.org/officeDocument/2006/relationships/hyperlink" Target="https://maps.google.com/?q=16.9097106,-96.7089491" TargetMode="External"/><Relationship Id="rId294" Type="http://schemas.openxmlformats.org/officeDocument/2006/relationships/hyperlink" Target="https://maps.google.com/?q=16.88745,-97.682010000000005" TargetMode="External"/><Relationship Id="rId3026" Type="http://schemas.openxmlformats.org/officeDocument/2006/relationships/hyperlink" Target="https://maps.google.com/?q=16.9393022,-97.017621300000002" TargetMode="External"/><Relationship Id="rId7994" Type="http://schemas.openxmlformats.org/officeDocument/2006/relationships/hyperlink" Target="https://maps.google.com/?q=18.1634456583693,-96.877285460387498" TargetMode="External"/><Relationship Id="rId10975" Type="http://schemas.openxmlformats.org/officeDocument/2006/relationships/hyperlink" Target="https://maps.google.com/?q=16.2207645617604,-95.214566464417899" TargetMode="External"/><Relationship Id="rId5198" Type="http://schemas.openxmlformats.org/officeDocument/2006/relationships/hyperlink" Target="https://maps.google.com/?q=17.31704,-95.967319000000003" TargetMode="External"/><Relationship Id="rId6596" Type="http://schemas.openxmlformats.org/officeDocument/2006/relationships/hyperlink" Target="https://maps.google.com/?q=17.089956,-96.051510" TargetMode="External"/><Relationship Id="rId7647" Type="http://schemas.openxmlformats.org/officeDocument/2006/relationships/hyperlink" Target="https://maps.google.com/?q=17.2318050968301,-95.0526451218022" TargetMode="External"/><Relationship Id="rId10628" Type="http://schemas.openxmlformats.org/officeDocument/2006/relationships/hyperlink" Target="https://maps.google.com/?q=17.1178186359052,-97.778864707791001" TargetMode="External"/><Relationship Id="rId6249" Type="http://schemas.openxmlformats.org/officeDocument/2006/relationships/hyperlink" Target="https://maps.google.com/?q=16.375811,-97.274411000000001" TargetMode="External"/><Relationship Id="rId12050" Type="http://schemas.openxmlformats.org/officeDocument/2006/relationships/hyperlink" Target="https://maps.google.com/?q=16.106438,-97.207714999999993" TargetMode="External"/><Relationship Id="rId13101" Type="http://schemas.openxmlformats.org/officeDocument/2006/relationships/hyperlink" Target="https://maps.google.com/?q=16.5654014,-97.537902799999998" TargetMode="External"/><Relationship Id="rId2859" Type="http://schemas.openxmlformats.org/officeDocument/2006/relationships/hyperlink" Target="https://maps.google.com/?q=16.965868844723,-97.732083704491004" TargetMode="External"/><Relationship Id="rId6730" Type="http://schemas.openxmlformats.org/officeDocument/2006/relationships/hyperlink" Target="https://maps.google.com/?q=17.0375743896413,-96.984312650059394" TargetMode="External"/><Relationship Id="rId4281" Type="http://schemas.openxmlformats.org/officeDocument/2006/relationships/hyperlink" Target="https://maps.google.com/?q=16.06070807,-96.609302200000002" TargetMode="External"/><Relationship Id="rId5332" Type="http://schemas.openxmlformats.org/officeDocument/2006/relationships/hyperlink" Target="https://maps.google.com/?q=15.8099196209895,-96.3569016798034" TargetMode="External"/><Relationship Id="rId8555" Type="http://schemas.openxmlformats.org/officeDocument/2006/relationships/hyperlink" Target="https://maps.google.com/?q=16.9248731346753,-96.606085203704794" TargetMode="External"/><Relationship Id="rId9606" Type="http://schemas.openxmlformats.org/officeDocument/2006/relationships/hyperlink" Target="https://maps.google.com/?q=17.9968542622357,-96.741551714162895" TargetMode="External"/><Relationship Id="rId9953" Type="http://schemas.openxmlformats.org/officeDocument/2006/relationships/hyperlink" Target="https://maps.google.com/?q=16.62799888999858,-96.79692664524048" TargetMode="External"/><Relationship Id="rId11883" Type="http://schemas.openxmlformats.org/officeDocument/2006/relationships/hyperlink" Target="https://maps.google.com/?q=18.06857618822496,-97.60213521957398" TargetMode="External"/><Relationship Id="rId12934" Type="http://schemas.openxmlformats.org/officeDocument/2006/relationships/hyperlink" Target="https://maps.google.com/?q=16.538631,-97.548610999999994" TargetMode="External"/><Relationship Id="rId1942" Type="http://schemas.openxmlformats.org/officeDocument/2006/relationships/hyperlink" Target="https://maps.google.com/?q=15.777473762234697,-96.137131742519202" TargetMode="External"/><Relationship Id="rId7157" Type="http://schemas.openxmlformats.org/officeDocument/2006/relationships/hyperlink" Target="https://maps.google.com/?q=16.2063438038996,-97.923452274839207" TargetMode="External"/><Relationship Id="rId8208" Type="http://schemas.openxmlformats.org/officeDocument/2006/relationships/hyperlink" Target="https://maps.google.com/?q=16.372103,-97.678051999999994" TargetMode="External"/><Relationship Id="rId10485" Type="http://schemas.openxmlformats.org/officeDocument/2006/relationships/hyperlink" Target="https://maps.google.com/?q=17.8446407690222,-96.747312072243403" TargetMode="External"/><Relationship Id="rId11536" Type="http://schemas.openxmlformats.org/officeDocument/2006/relationships/hyperlink" Target="https://maps.google.com/?q=16.6169238144752,-96.855400145020496" TargetMode="External"/><Relationship Id="rId10138" Type="http://schemas.openxmlformats.org/officeDocument/2006/relationships/hyperlink" Target="https://maps.google.com/?q=17.097282539891,-97.492670737656795" TargetMode="External"/><Relationship Id="rId3767" Type="http://schemas.openxmlformats.org/officeDocument/2006/relationships/hyperlink" Target="https://maps.google.com/?q=15.763124,-96.142685999999998" TargetMode="External"/><Relationship Id="rId4818" Type="http://schemas.openxmlformats.org/officeDocument/2006/relationships/hyperlink" Target="https://maps.google.com/?q=16.9074808595165,-96.497521504358602" TargetMode="External"/><Relationship Id="rId688" Type="http://schemas.openxmlformats.org/officeDocument/2006/relationships/hyperlink" Target="https://maps.google.com/?q=16.060273,-97.386354999999995" TargetMode="External"/><Relationship Id="rId2369" Type="http://schemas.openxmlformats.org/officeDocument/2006/relationships/hyperlink" Target="https://maps.google.com/?q=17.0995682300048,-97.851646851520698" TargetMode="External"/><Relationship Id="rId6240" Type="http://schemas.openxmlformats.org/officeDocument/2006/relationships/hyperlink" Target="https://maps.google.com/?q=16.23938847,-96.400921940000003" TargetMode="External"/><Relationship Id="rId2850" Type="http://schemas.openxmlformats.org/officeDocument/2006/relationships/hyperlink" Target="https://maps.google.com/?q=16.9640024430806,-97.728942502184495" TargetMode="External"/><Relationship Id="rId9463" Type="http://schemas.openxmlformats.org/officeDocument/2006/relationships/hyperlink" Target="https://maps.google.com/?q=15.833338,-96.666402000000005" TargetMode="External"/><Relationship Id="rId11393" Type="http://schemas.openxmlformats.org/officeDocument/2006/relationships/hyperlink" Target="https://maps.google.com/?q=17.1927592348757,-97.892538688619894" TargetMode="External"/><Relationship Id="rId12444" Type="http://schemas.openxmlformats.org/officeDocument/2006/relationships/hyperlink" Target="https://maps.google.com/?q=17.2208280897502,-97.270383329447597" TargetMode="External"/><Relationship Id="rId12791" Type="http://schemas.openxmlformats.org/officeDocument/2006/relationships/hyperlink" Target="https://maps.google.com/?q=16.235297,-97.292591999999999" TargetMode="External"/><Relationship Id="rId13842" Type="http://schemas.openxmlformats.org/officeDocument/2006/relationships/hyperlink" Target="https://maps.google.com/?q=17.091637,-97.784717000000001" TargetMode="External"/><Relationship Id="rId822" Type="http://schemas.openxmlformats.org/officeDocument/2006/relationships/hyperlink" Target="https://maps.google.com/?q=15.699403010978934,-96.524960152000645" TargetMode="External"/><Relationship Id="rId1452" Type="http://schemas.openxmlformats.org/officeDocument/2006/relationships/hyperlink" Target="https://maps.google.com/?q=17.005213197575458,-95.02868469848633" TargetMode="External"/><Relationship Id="rId2503" Type="http://schemas.openxmlformats.org/officeDocument/2006/relationships/hyperlink" Target="https://maps.google.com/?q=17.05211534,-96.624327140000005" TargetMode="External"/><Relationship Id="rId3901" Type="http://schemas.openxmlformats.org/officeDocument/2006/relationships/hyperlink" Target="https://maps.google.com/?q=18.08159238442169,-96.16277510185242" TargetMode="External"/><Relationship Id="rId8065" Type="http://schemas.openxmlformats.org/officeDocument/2006/relationships/hyperlink" Target="https://maps.google.com/?q=16.4973410725845,-97.380257990000004" TargetMode="External"/><Relationship Id="rId9116" Type="http://schemas.openxmlformats.org/officeDocument/2006/relationships/hyperlink" Target="https://maps.google.com/?q=17.04078,-96.728027999999995" TargetMode="External"/><Relationship Id="rId11046" Type="http://schemas.openxmlformats.org/officeDocument/2006/relationships/hyperlink" Target="https://maps.google.com/?q=17.538177,-95.888271" TargetMode="External"/><Relationship Id="rId1105" Type="http://schemas.openxmlformats.org/officeDocument/2006/relationships/hyperlink" Target="https://maps.google.com/?q=17.221247,-97.122024999999994" TargetMode="External"/><Relationship Id="rId3277" Type="http://schemas.openxmlformats.org/officeDocument/2006/relationships/hyperlink" Target="https://maps.google.com/?q=17.0613297974678,-96.812807309192706" TargetMode="External"/><Relationship Id="rId4675" Type="http://schemas.openxmlformats.org/officeDocument/2006/relationships/hyperlink" Target="https://maps.google.com/?q=15.9898486,-97.4153807" TargetMode="External"/><Relationship Id="rId5726" Type="http://schemas.openxmlformats.org/officeDocument/2006/relationships/hyperlink" Target="https://maps.google.com/?q=16.3859976199,-96.362915193099994" TargetMode="External"/><Relationship Id="rId198" Type="http://schemas.openxmlformats.org/officeDocument/2006/relationships/hyperlink" Target="https://maps.google.com/?q=17.095035,-97.494039000000001" TargetMode="External"/><Relationship Id="rId4328" Type="http://schemas.openxmlformats.org/officeDocument/2006/relationships/hyperlink" Target="https://maps.google.com/?q=16.0149694240136,-96.613203937147006" TargetMode="External"/><Relationship Id="rId7898" Type="http://schemas.openxmlformats.org/officeDocument/2006/relationships/hyperlink" Target="https://maps.google.com/?q=16.3191203237733,-96.408069055225297" TargetMode="External"/><Relationship Id="rId8949" Type="http://schemas.openxmlformats.org/officeDocument/2006/relationships/hyperlink" Target="https://maps.google.com/?q=17.381343094,-96.163456891999999" TargetMode="External"/><Relationship Id="rId10879" Type="http://schemas.openxmlformats.org/officeDocument/2006/relationships/hyperlink" Target="https://maps.google.com/?q=16.3482319057563,-94.487629144844007" TargetMode="External"/><Relationship Id="rId13352" Type="http://schemas.openxmlformats.org/officeDocument/2006/relationships/hyperlink" Target="https://maps.google.com/?q=16.3195453524672,-96.674775720237704" TargetMode="External"/><Relationship Id="rId2360" Type="http://schemas.openxmlformats.org/officeDocument/2006/relationships/hyperlink" Target="https://maps.google.com/?q=17.0978742318716,-97.851867644180203" TargetMode="External"/><Relationship Id="rId3411" Type="http://schemas.openxmlformats.org/officeDocument/2006/relationships/hyperlink" Target="https://maps.google.com/?q=17.8181402093307,-96.242406553828303" TargetMode="External"/><Relationship Id="rId6981" Type="http://schemas.openxmlformats.org/officeDocument/2006/relationships/hyperlink" Target="https://maps.google.com/?q=17.0964985,-97.496924500000006" TargetMode="External"/><Relationship Id="rId13005" Type="http://schemas.openxmlformats.org/officeDocument/2006/relationships/hyperlink" Target="https://maps.google.com/?q=16.5035516,-97.557626299999995" TargetMode="External"/><Relationship Id="rId332" Type="http://schemas.openxmlformats.org/officeDocument/2006/relationships/hyperlink" Target="https://maps.google.com/?q=16.054402,-97.398934999999994" TargetMode="External"/><Relationship Id="rId2013" Type="http://schemas.openxmlformats.org/officeDocument/2006/relationships/hyperlink" Target="https://maps.google.com/?q=15.757874340435496,-96.140390891295851" TargetMode="External"/><Relationship Id="rId5583" Type="http://schemas.openxmlformats.org/officeDocument/2006/relationships/hyperlink" Target="https://maps.google.com/?q=17.4454635804119,-96.183041418896295" TargetMode="External"/><Relationship Id="rId6634" Type="http://schemas.openxmlformats.org/officeDocument/2006/relationships/hyperlink" Target="https://maps.google.com/?q=16.521194,-98.031465" TargetMode="External"/><Relationship Id="rId4185" Type="http://schemas.openxmlformats.org/officeDocument/2006/relationships/hyperlink" Target="https://maps.google.com/?q=16.391534,-98.112174999999993" TargetMode="External"/><Relationship Id="rId5236" Type="http://schemas.openxmlformats.org/officeDocument/2006/relationships/hyperlink" Target="https://maps.google.com/?q=17.2904697832118,-97.383098677790997" TargetMode="External"/><Relationship Id="rId9857" Type="http://schemas.openxmlformats.org/officeDocument/2006/relationships/hyperlink" Target="https://maps.google.com/?q=16.635009742844,-96.848873644418006" TargetMode="External"/><Relationship Id="rId11787" Type="http://schemas.openxmlformats.org/officeDocument/2006/relationships/hyperlink" Target="https://maps.google.com/?q=17.03538674146533,-97.29563914847947" TargetMode="External"/><Relationship Id="rId12838" Type="http://schemas.openxmlformats.org/officeDocument/2006/relationships/hyperlink" Target="https://maps.google.com/?q=17.516674,-97.680802" TargetMode="External"/><Relationship Id="rId1846" Type="http://schemas.openxmlformats.org/officeDocument/2006/relationships/hyperlink" Target="https://maps.google.com/?q=18.0375174448218,-96.896699822910193" TargetMode="External"/><Relationship Id="rId8459" Type="http://schemas.openxmlformats.org/officeDocument/2006/relationships/hyperlink" Target="https://maps.google.com/?q=17.1509566141602,-97.529552457791297" TargetMode="External"/><Relationship Id="rId10389" Type="http://schemas.openxmlformats.org/officeDocument/2006/relationships/hyperlink" Target="https://maps.google.com/?q=16.189627,-96.628613000000001" TargetMode="External"/><Relationship Id="rId8940" Type="http://schemas.openxmlformats.org/officeDocument/2006/relationships/hyperlink" Target="https://maps.google.com/?q=17.381215391,-96.164675787999997" TargetMode="External"/><Relationship Id="rId6491" Type="http://schemas.openxmlformats.org/officeDocument/2006/relationships/hyperlink" Target="https://maps.google.com/?q=17.2015073596909,-97.594293927061202" TargetMode="External"/><Relationship Id="rId7542" Type="http://schemas.openxmlformats.org/officeDocument/2006/relationships/hyperlink" Target="https://maps.google.com/?q=17.9788124285428,-96.702772561104496" TargetMode="External"/><Relationship Id="rId10523" Type="http://schemas.openxmlformats.org/officeDocument/2006/relationships/hyperlink" Target="https://maps.google.com/?q=17.8487998601687,-96.747660628028697" TargetMode="External"/><Relationship Id="rId10870" Type="http://schemas.openxmlformats.org/officeDocument/2006/relationships/hyperlink" Target="https://maps.google.com/?q=16.3448681479857,-94.481109402273006" TargetMode="External"/><Relationship Id="rId11921" Type="http://schemas.openxmlformats.org/officeDocument/2006/relationships/hyperlink" Target="https://maps.google.com/?q=16.406513,-97.226994000000005" TargetMode="External"/><Relationship Id="rId5093" Type="http://schemas.openxmlformats.org/officeDocument/2006/relationships/hyperlink" Target="https://maps.google.com/?q=17.253161,-96.155317999999994" TargetMode="External"/><Relationship Id="rId6144" Type="http://schemas.openxmlformats.org/officeDocument/2006/relationships/hyperlink" Target="https://maps.google.com/?q=16.9540276,-96.608702550000004" TargetMode="External"/><Relationship Id="rId9367" Type="http://schemas.openxmlformats.org/officeDocument/2006/relationships/hyperlink" Target="https://maps.google.com/?q=16.8187722953983,-95.1342736311978" TargetMode="External"/><Relationship Id="rId12695" Type="http://schemas.openxmlformats.org/officeDocument/2006/relationships/hyperlink" Target="https://maps.google.com/?q=16.2831898626642,-96.504797318727697" TargetMode="External"/><Relationship Id="rId13746" Type="http://schemas.openxmlformats.org/officeDocument/2006/relationships/hyperlink" Target="https://maps.google.com/?q=16.714487,-94.748193" TargetMode="External"/><Relationship Id="rId1356" Type="http://schemas.openxmlformats.org/officeDocument/2006/relationships/hyperlink" Target="https://maps.google.com/?q=17.02079444,-96.71796345" TargetMode="External"/><Relationship Id="rId2754" Type="http://schemas.openxmlformats.org/officeDocument/2006/relationships/hyperlink" Target="https://maps.google.com/?q=17.9937556252776,-96.484881932541796" TargetMode="External"/><Relationship Id="rId3805" Type="http://schemas.openxmlformats.org/officeDocument/2006/relationships/hyperlink" Target="https://maps.google.com/?q=15.772182356219648,-96.244879326492892" TargetMode="External"/><Relationship Id="rId11297" Type="http://schemas.openxmlformats.org/officeDocument/2006/relationships/hyperlink" Target="https://maps.google.com/?q=17.8674785599705,-96.309087513373299" TargetMode="External"/><Relationship Id="rId12348" Type="http://schemas.openxmlformats.org/officeDocument/2006/relationships/hyperlink" Target="https://maps.google.com/?q=17.054713358705378,-96.65328391338326" TargetMode="External"/><Relationship Id="rId726" Type="http://schemas.openxmlformats.org/officeDocument/2006/relationships/hyperlink" Target="https://maps.google.com/?q=17.223966,-97.121491000000006" TargetMode="External"/><Relationship Id="rId1009" Type="http://schemas.openxmlformats.org/officeDocument/2006/relationships/hyperlink" Target="https://maps.google.com/?q=15.695533980911112,-96.522939452092942" TargetMode="External"/><Relationship Id="rId2407" Type="http://schemas.openxmlformats.org/officeDocument/2006/relationships/hyperlink" Target="https://maps.google.com/?q=17.04991267,-96.624731550000007" TargetMode="External"/><Relationship Id="rId5977" Type="http://schemas.openxmlformats.org/officeDocument/2006/relationships/hyperlink" Target="https://maps.google.com/?q=18.15451871505743,-96.572059024509628" TargetMode="External"/><Relationship Id="rId62" Type="http://schemas.openxmlformats.org/officeDocument/2006/relationships/hyperlink" Target="https://maps.google.com/?q=15.876536,-96.458200000000005" TargetMode="External"/><Relationship Id="rId4579" Type="http://schemas.openxmlformats.org/officeDocument/2006/relationships/hyperlink" Target="https://maps.google.com/?q=16.554204,-96.819051999999999" TargetMode="External"/><Relationship Id="rId8450" Type="http://schemas.openxmlformats.org/officeDocument/2006/relationships/hyperlink" Target="https://maps.google.com/?q=17.1487073080865,-97.538629798222004" TargetMode="External"/><Relationship Id="rId9501" Type="http://schemas.openxmlformats.org/officeDocument/2006/relationships/hyperlink" Target="https://maps.google.com/?q=17.12625079512418,-96.7677064499824" TargetMode="External"/><Relationship Id="rId10380" Type="http://schemas.openxmlformats.org/officeDocument/2006/relationships/hyperlink" Target="https://maps.google.com/?q=17.4391093236786,-96.655880875007298" TargetMode="External"/><Relationship Id="rId11431" Type="http://schemas.openxmlformats.org/officeDocument/2006/relationships/hyperlink" Target="https://maps.google.com/?q=16.199361,-96.608740999999995" TargetMode="External"/><Relationship Id="rId7052" Type="http://schemas.openxmlformats.org/officeDocument/2006/relationships/hyperlink" Target="https://maps.google.com/?q=16.1465092063193,-96.347792190026098" TargetMode="External"/><Relationship Id="rId8103" Type="http://schemas.openxmlformats.org/officeDocument/2006/relationships/hyperlink" Target="https://maps.google.com/?q=17.3549287027528,-96.305807462149602" TargetMode="External"/><Relationship Id="rId10033" Type="http://schemas.openxmlformats.org/officeDocument/2006/relationships/hyperlink" Target="https://maps.google.com/?q=16.9046117210203,-96.326775746411599" TargetMode="External"/><Relationship Id="rId3662" Type="http://schemas.openxmlformats.org/officeDocument/2006/relationships/hyperlink" Target="https://maps.google.com/?q=15.784613316409274,-96.136835603283473" TargetMode="External"/><Relationship Id="rId4713" Type="http://schemas.openxmlformats.org/officeDocument/2006/relationships/hyperlink" Target="https://maps.google.com/?q=17.0802,-96.726955000000004" TargetMode="External"/><Relationship Id="rId13256" Type="http://schemas.openxmlformats.org/officeDocument/2006/relationships/hyperlink" Target="https://maps.google.com/?q=17.1535742114494,-96.7446055808892" TargetMode="External"/><Relationship Id="rId583" Type="http://schemas.openxmlformats.org/officeDocument/2006/relationships/hyperlink" Target="https://maps.google.com/?q=16.054417,-97.398411999999993" TargetMode="External"/><Relationship Id="rId2264" Type="http://schemas.openxmlformats.org/officeDocument/2006/relationships/hyperlink" Target="https://maps.google.com/?q=18.094890987176,-96.930552751069399" TargetMode="External"/><Relationship Id="rId3315" Type="http://schemas.openxmlformats.org/officeDocument/2006/relationships/hyperlink" Target="https://maps.google.com/?q=17.0646460487867,-96.811413477569502" TargetMode="External"/><Relationship Id="rId236" Type="http://schemas.openxmlformats.org/officeDocument/2006/relationships/hyperlink" Target="https://maps.google.com/?q=16.88276,-97.674930000000003" TargetMode="External"/><Relationship Id="rId5487" Type="http://schemas.openxmlformats.org/officeDocument/2006/relationships/hyperlink" Target="https://maps.google.com/?q=16.324768,-96.494090999999997" TargetMode="External"/><Relationship Id="rId6885" Type="http://schemas.openxmlformats.org/officeDocument/2006/relationships/hyperlink" Target="https://maps.google.com/?q=16.9726236016957,-97.085119139881101" TargetMode="External"/><Relationship Id="rId7936" Type="http://schemas.openxmlformats.org/officeDocument/2006/relationships/hyperlink" Target="https://maps.google.com/?q=16.324894994987,-96.410969975329806" TargetMode="External"/><Relationship Id="rId10917" Type="http://schemas.openxmlformats.org/officeDocument/2006/relationships/hyperlink" Target="https://maps.google.com/?q=16.1907138664924,-95.210676741656599" TargetMode="External"/><Relationship Id="rId4089" Type="http://schemas.openxmlformats.org/officeDocument/2006/relationships/hyperlink" Target="https://maps.google.com/?q=17.05611569,-96.745782180000006" TargetMode="External"/><Relationship Id="rId6538" Type="http://schemas.openxmlformats.org/officeDocument/2006/relationships/hyperlink" Target="https://maps.google.com/?q=16.305851455238997,-98.44298429441317" TargetMode="External"/><Relationship Id="rId9011" Type="http://schemas.openxmlformats.org/officeDocument/2006/relationships/hyperlink" Target="https://maps.google.com/?q=17.382657773,-96.161963888000002" TargetMode="External"/><Relationship Id="rId1000" Type="http://schemas.openxmlformats.org/officeDocument/2006/relationships/hyperlink" Target="https://maps.google.com/?q=15.694781206349498,-96.522827656667303" TargetMode="External"/><Relationship Id="rId4570" Type="http://schemas.openxmlformats.org/officeDocument/2006/relationships/hyperlink" Target="https://maps.google.com/?q=16.553229,-96.820554000000001" TargetMode="External"/><Relationship Id="rId5621" Type="http://schemas.openxmlformats.org/officeDocument/2006/relationships/hyperlink" Target="https://maps.google.com/?q=17.5516486109574,-96.222397388073404" TargetMode="External"/><Relationship Id="rId14164" Type="http://schemas.openxmlformats.org/officeDocument/2006/relationships/hyperlink" Target="https://maps.google.com/?q=15.8318727,-96.3176232" TargetMode="External"/><Relationship Id="rId3172" Type="http://schemas.openxmlformats.org/officeDocument/2006/relationships/hyperlink" Target="https://maps.google.com/?q=16.549602,-97.498790999999997" TargetMode="External"/><Relationship Id="rId4223" Type="http://schemas.openxmlformats.org/officeDocument/2006/relationships/hyperlink" Target="https://maps.google.com/?q=18.13222,-97.070751000000001" TargetMode="External"/><Relationship Id="rId7793" Type="http://schemas.openxmlformats.org/officeDocument/2006/relationships/hyperlink" Target="https://maps.google.com/?q=17.8447933442523,-96.747771194110996" TargetMode="External"/><Relationship Id="rId8844" Type="http://schemas.openxmlformats.org/officeDocument/2006/relationships/hyperlink" Target="https://maps.google.com/?q=17.21834,-96.243866999999995" TargetMode="External"/><Relationship Id="rId6395" Type="http://schemas.openxmlformats.org/officeDocument/2006/relationships/hyperlink" Target="https://maps.google.com/?q=17.2463648708475,-97.518995369033703" TargetMode="External"/><Relationship Id="rId7446" Type="http://schemas.openxmlformats.org/officeDocument/2006/relationships/hyperlink" Target="https://maps.google.com/?q=16.3210381818828,-96.672484320653197" TargetMode="External"/><Relationship Id="rId10774" Type="http://schemas.openxmlformats.org/officeDocument/2006/relationships/hyperlink" Target="https://maps.google.com/?q=16.906018,-96.564234" TargetMode="External"/><Relationship Id="rId11825" Type="http://schemas.openxmlformats.org/officeDocument/2006/relationships/hyperlink" Target="https://maps.google.com/?q=18.146365880855086,-96.86363782209015" TargetMode="External"/><Relationship Id="rId6048" Type="http://schemas.openxmlformats.org/officeDocument/2006/relationships/hyperlink" Target="https://maps.google.com/?q=18.157339143104313,-96.576634893546355" TargetMode="External"/><Relationship Id="rId10427" Type="http://schemas.openxmlformats.org/officeDocument/2006/relationships/hyperlink" Target="https://maps.google.com/?q=17.0392889,-96.777633600000001" TargetMode="External"/><Relationship Id="rId13997" Type="http://schemas.openxmlformats.org/officeDocument/2006/relationships/hyperlink" Target="https://maps.google.com/?q=15.746144,-96.465182999999996" TargetMode="External"/><Relationship Id="rId12599" Type="http://schemas.openxmlformats.org/officeDocument/2006/relationships/hyperlink" Target="https://maps.google.com/?q=16.5225756233758,-96.982966428413803" TargetMode="External"/><Relationship Id="rId977" Type="http://schemas.openxmlformats.org/officeDocument/2006/relationships/hyperlink" Target="https://maps.google.com/?q=15.689742616381503,-96.515529684862969" TargetMode="External"/><Relationship Id="rId2658" Type="http://schemas.openxmlformats.org/officeDocument/2006/relationships/hyperlink" Target="https://maps.google.com/?q=17.6257244768895,-97.229944130902098" TargetMode="External"/><Relationship Id="rId3709" Type="http://schemas.openxmlformats.org/officeDocument/2006/relationships/hyperlink" Target="https://maps.google.com/?q=15.75794543626305,-96.139615887541751" TargetMode="External"/><Relationship Id="rId4080" Type="http://schemas.openxmlformats.org/officeDocument/2006/relationships/hyperlink" Target="https://maps.google.com/?q=17.055754,-96.745626290000004" TargetMode="External"/><Relationship Id="rId5131" Type="http://schemas.openxmlformats.org/officeDocument/2006/relationships/hyperlink" Target="https://maps.google.com/?q=17.254224,-96.154989999999998" TargetMode="External"/><Relationship Id="rId9752" Type="http://schemas.openxmlformats.org/officeDocument/2006/relationships/hyperlink" Target="https://maps.google.com/?q=17.2762139050133,-96.795140479584006" TargetMode="External"/><Relationship Id="rId11682" Type="http://schemas.openxmlformats.org/officeDocument/2006/relationships/hyperlink" Target="https://maps.google.com/?q=17.17784941,-97.70786665" TargetMode="External"/><Relationship Id="rId12733" Type="http://schemas.openxmlformats.org/officeDocument/2006/relationships/hyperlink" Target="https://maps.google.com/?q=16.2871895195336,-96.504400924656593" TargetMode="External"/><Relationship Id="rId1741" Type="http://schemas.openxmlformats.org/officeDocument/2006/relationships/hyperlink" Target="https://maps.google.com/?q=18.0640571528934,-96.833735448953107" TargetMode="External"/><Relationship Id="rId8354" Type="http://schemas.openxmlformats.org/officeDocument/2006/relationships/hyperlink" Target="https://maps.google.com/?q=16.8439892632465,-97.197421754095501" TargetMode="External"/><Relationship Id="rId9405" Type="http://schemas.openxmlformats.org/officeDocument/2006/relationships/hyperlink" Target="https://maps.google.com/?q=16.7756121625994,-95.191728320405403" TargetMode="External"/><Relationship Id="rId10284" Type="http://schemas.openxmlformats.org/officeDocument/2006/relationships/hyperlink" Target="https://maps.google.com/?q=16.246145,-95.149653999999998" TargetMode="External"/><Relationship Id="rId11335" Type="http://schemas.openxmlformats.org/officeDocument/2006/relationships/hyperlink" Target="https://maps.google.com/?q=16.64882127,-97.530485830000003" TargetMode="External"/><Relationship Id="rId8007" Type="http://schemas.openxmlformats.org/officeDocument/2006/relationships/hyperlink" Target="https://maps.google.com/?q=18.163992289802,-96.874267798463904" TargetMode="External"/><Relationship Id="rId3566" Type="http://schemas.openxmlformats.org/officeDocument/2006/relationships/hyperlink" Target="https://maps.google.com/?q=15.775457236434793,-96.136246091642832" TargetMode="External"/><Relationship Id="rId4964" Type="http://schemas.openxmlformats.org/officeDocument/2006/relationships/hyperlink" Target="https://maps.google.com/?q=17.967443412008,-96.7442420188992" TargetMode="External"/><Relationship Id="rId487" Type="http://schemas.openxmlformats.org/officeDocument/2006/relationships/hyperlink" Target="https://maps.google.com/?q=16.055149,-97.408117000000004" TargetMode="External"/><Relationship Id="rId2168" Type="http://schemas.openxmlformats.org/officeDocument/2006/relationships/hyperlink" Target="https://maps.google.com/?q=15.76098532885463,-96.148292689886304" TargetMode="External"/><Relationship Id="rId3219" Type="http://schemas.openxmlformats.org/officeDocument/2006/relationships/hyperlink" Target="https://maps.google.com/?q=17.8035325065736,-96.003924026434106" TargetMode="External"/><Relationship Id="rId4617" Type="http://schemas.openxmlformats.org/officeDocument/2006/relationships/hyperlink" Target="https://maps.google.com/?q=16.559254,-96.820601999999994" TargetMode="External"/><Relationship Id="rId6789" Type="http://schemas.openxmlformats.org/officeDocument/2006/relationships/hyperlink" Target="https://maps.google.com/?q=16.6434125093342,-97.037706816829598" TargetMode="External"/><Relationship Id="rId12590" Type="http://schemas.openxmlformats.org/officeDocument/2006/relationships/hyperlink" Target="https://maps.google.com/?q=16.5209241999563,-96.981210185259698" TargetMode="External"/><Relationship Id="rId13641" Type="http://schemas.openxmlformats.org/officeDocument/2006/relationships/hyperlink" Target="https://maps.google.com/?q=17.268429,-96.472924" TargetMode="External"/><Relationship Id="rId3700" Type="http://schemas.openxmlformats.org/officeDocument/2006/relationships/hyperlink" Target="https://maps.google.com/?q=15.757720156153484,-96.138966267435947" TargetMode="External"/><Relationship Id="rId9262" Type="http://schemas.openxmlformats.org/officeDocument/2006/relationships/hyperlink" Target="https://maps.google.com/?q=17.3777806868082,-96.301353692317605" TargetMode="External"/><Relationship Id="rId11192" Type="http://schemas.openxmlformats.org/officeDocument/2006/relationships/hyperlink" Target="https://maps.google.com/?q=16.845774,-96.009958999999995" TargetMode="External"/><Relationship Id="rId12243" Type="http://schemas.openxmlformats.org/officeDocument/2006/relationships/hyperlink" Target="https://maps.google.com/?q=16.4225155,-97.232889810000003" TargetMode="External"/><Relationship Id="rId621" Type="http://schemas.openxmlformats.org/officeDocument/2006/relationships/hyperlink" Target="https://maps.google.com/?q=16.054752,-97.397278" TargetMode="External"/><Relationship Id="rId1251" Type="http://schemas.openxmlformats.org/officeDocument/2006/relationships/hyperlink" Target="https://maps.google.com/?q=17.056291,-96.746252999999996" TargetMode="External"/><Relationship Id="rId2302" Type="http://schemas.openxmlformats.org/officeDocument/2006/relationships/hyperlink" Target="https://maps.google.com/?q=18.104352209736,-96.876526037123099" TargetMode="External"/><Relationship Id="rId5872" Type="http://schemas.openxmlformats.org/officeDocument/2006/relationships/hyperlink" Target="https://maps.google.com/?q=17.5057541220091,-96.548301457672096" TargetMode="External"/><Relationship Id="rId6923" Type="http://schemas.openxmlformats.org/officeDocument/2006/relationships/hyperlink" Target="https://maps.google.com/?q=16.310641,-95.245960999999994" TargetMode="External"/><Relationship Id="rId4474" Type="http://schemas.openxmlformats.org/officeDocument/2006/relationships/hyperlink" Target="https://maps.google.com/?q=17.1692906487696,-97.307774647237096" TargetMode="External"/><Relationship Id="rId5525" Type="http://schemas.openxmlformats.org/officeDocument/2006/relationships/hyperlink" Target="https://maps.google.com/?q=17.2820167015968,&#160;-97.375139625582" TargetMode="External"/><Relationship Id="rId14068" Type="http://schemas.openxmlformats.org/officeDocument/2006/relationships/hyperlink" Target="https://maps.google.com/?q=18.069052209723168,-96.96680048505412" TargetMode="External"/><Relationship Id="rId3076" Type="http://schemas.openxmlformats.org/officeDocument/2006/relationships/hyperlink" Target="https://maps.google.com/?q=16.9642018744957,-96.941300449940798" TargetMode="External"/><Relationship Id="rId4127" Type="http://schemas.openxmlformats.org/officeDocument/2006/relationships/hyperlink" Target="https://maps.google.com/?q=17.005213,-95.028684" TargetMode="External"/><Relationship Id="rId7697" Type="http://schemas.openxmlformats.org/officeDocument/2006/relationships/hyperlink" Target="https://maps.google.com/?q=16.6262209014162,-96.794677983309697" TargetMode="External"/><Relationship Id="rId6299" Type="http://schemas.openxmlformats.org/officeDocument/2006/relationships/hyperlink" Target="https://maps.google.com/?q=18.056891,-96.392775" TargetMode="External"/><Relationship Id="rId8748" Type="http://schemas.openxmlformats.org/officeDocument/2006/relationships/hyperlink" Target="https://maps.google.com/?q=18.0763843311013,-96.127643385700907" TargetMode="External"/><Relationship Id="rId10678" Type="http://schemas.openxmlformats.org/officeDocument/2006/relationships/hyperlink" Target="https://maps.google.com/?q=17.188923,-96.802161" TargetMode="External"/><Relationship Id="rId11729" Type="http://schemas.openxmlformats.org/officeDocument/2006/relationships/hyperlink" Target="https://maps.google.com/?q=17.18664476,-97.711099390000001" TargetMode="External"/><Relationship Id="rId13151" Type="http://schemas.openxmlformats.org/officeDocument/2006/relationships/hyperlink" Target="https://maps.google.com/?q=16.5596985669956,-97.004249447746403" TargetMode="External"/><Relationship Id="rId131" Type="http://schemas.openxmlformats.org/officeDocument/2006/relationships/hyperlink" Target="https://maps.google.com/?q=17.095695,-97.495779999999996" TargetMode="External"/><Relationship Id="rId3210" Type="http://schemas.openxmlformats.org/officeDocument/2006/relationships/hyperlink" Target="https://maps.google.com/?q=17.8001865408774,-96.003506612268495" TargetMode="External"/><Relationship Id="rId6780" Type="http://schemas.openxmlformats.org/officeDocument/2006/relationships/hyperlink" Target="https://maps.google.com/?q=16.6356880752987,-97.040406084417995" TargetMode="External"/><Relationship Id="rId7831" Type="http://schemas.openxmlformats.org/officeDocument/2006/relationships/hyperlink" Target="https://maps.google.com/?q=17.014085,-96.896044000000003" TargetMode="External"/><Relationship Id="rId5382" Type="http://schemas.openxmlformats.org/officeDocument/2006/relationships/hyperlink" Target="https://maps.google.com/?q=15.9765244246089,-97.2453091374378" TargetMode="External"/><Relationship Id="rId6433" Type="http://schemas.openxmlformats.org/officeDocument/2006/relationships/hyperlink" Target="https://maps.google.com/?q=17.34366006,-97.557591700000003" TargetMode="External"/><Relationship Id="rId10812" Type="http://schemas.openxmlformats.org/officeDocument/2006/relationships/hyperlink" Target="https://maps.google.com/?q=16.3927524737326,-94.458596440648705" TargetMode="External"/><Relationship Id="rId1992" Type="http://schemas.openxmlformats.org/officeDocument/2006/relationships/hyperlink" Target="https://maps.google.com/?q=15.776348,-96.143564" TargetMode="External"/><Relationship Id="rId5035" Type="http://schemas.openxmlformats.org/officeDocument/2006/relationships/hyperlink" Target="https://maps.google.com/?q=17.25143,-96.152928000000003" TargetMode="External"/><Relationship Id="rId9656" Type="http://schemas.openxmlformats.org/officeDocument/2006/relationships/hyperlink" Target="https://maps.google.com/?q=16.3170717635173,-96.585302396329894" TargetMode="External"/><Relationship Id="rId12984" Type="http://schemas.openxmlformats.org/officeDocument/2006/relationships/hyperlink" Target="https://maps.google.com/?q=16.5008553,-97.557571499999995" TargetMode="External"/><Relationship Id="rId1645" Type="http://schemas.openxmlformats.org/officeDocument/2006/relationships/hyperlink" Target="https://maps.google.com/?q=16.8931543840898,-96.936047969242196" TargetMode="External"/><Relationship Id="rId8258" Type="http://schemas.openxmlformats.org/officeDocument/2006/relationships/hyperlink" Target="https://maps.google.com/?q=17.024518,-96.747245000000007" TargetMode="External"/><Relationship Id="rId9309" Type="http://schemas.openxmlformats.org/officeDocument/2006/relationships/hyperlink" Target="https://maps.google.com/?q=16.8151007679481,-95.1417462655143" TargetMode="External"/><Relationship Id="rId10188" Type="http://schemas.openxmlformats.org/officeDocument/2006/relationships/hyperlink" Target="https://maps.google.com/?q=17.281901390198456,-97.34026699258293" TargetMode="External"/><Relationship Id="rId11239" Type="http://schemas.openxmlformats.org/officeDocument/2006/relationships/hyperlink" Target="https://maps.google.com/?q=17.861255901061,-96.3054417602321" TargetMode="External"/><Relationship Id="rId11586" Type="http://schemas.openxmlformats.org/officeDocument/2006/relationships/hyperlink" Target="https://maps.google.com/?q=16.8332840316795,-96.735554033704702" TargetMode="External"/><Relationship Id="rId12637" Type="http://schemas.openxmlformats.org/officeDocument/2006/relationships/hyperlink" Target="https://maps.google.com/?q=17.117514,-96.860166000000007" TargetMode="External"/><Relationship Id="rId4868" Type="http://schemas.openxmlformats.org/officeDocument/2006/relationships/hyperlink" Target="https://maps.google.com/?q=16.7911585869322,-96.389535325582003" TargetMode="External"/><Relationship Id="rId5919" Type="http://schemas.openxmlformats.org/officeDocument/2006/relationships/hyperlink" Target="https://maps.google.com/?q=18.148886055726745,-96.567649963302344" TargetMode="External"/><Relationship Id="rId6290" Type="http://schemas.openxmlformats.org/officeDocument/2006/relationships/hyperlink" Target="https://maps.google.com/?q=18.0551055785641,-96.389299915342505" TargetMode="External"/><Relationship Id="rId11720" Type="http://schemas.openxmlformats.org/officeDocument/2006/relationships/hyperlink" Target="https://maps.google.com/?q=17.18439158,-97.709033379999994" TargetMode="External"/><Relationship Id="rId7341" Type="http://schemas.openxmlformats.org/officeDocument/2006/relationships/hyperlink" Target="https://maps.google.com/?q=16.549286,-97.682064999999994" TargetMode="External"/><Relationship Id="rId10322" Type="http://schemas.openxmlformats.org/officeDocument/2006/relationships/hyperlink" Target="https://maps.google.com/?q=16.228091,-97.269846000000001" TargetMode="External"/><Relationship Id="rId13892" Type="http://schemas.openxmlformats.org/officeDocument/2006/relationships/hyperlink" Target="https://maps.google.com/?q=16.2774572209161,-96.582198973627996" TargetMode="External"/><Relationship Id="rId3951" Type="http://schemas.openxmlformats.org/officeDocument/2006/relationships/hyperlink" Target="https://maps.google.com/?q=17.061054,-96.756463999999994" TargetMode="External"/><Relationship Id="rId12494" Type="http://schemas.openxmlformats.org/officeDocument/2006/relationships/hyperlink" Target="https://maps.google.com/?q=17.2228503843051,-97.270901311218196" TargetMode="External"/><Relationship Id="rId13545" Type="http://schemas.openxmlformats.org/officeDocument/2006/relationships/hyperlink" Target="https://maps.google.com/?q=16.164520607098996,-97.19492624634934" TargetMode="External"/><Relationship Id="rId872" Type="http://schemas.openxmlformats.org/officeDocument/2006/relationships/hyperlink" Target="https://maps.google.com/?q=17.09539,-97.497460000000004" TargetMode="External"/><Relationship Id="rId2553" Type="http://schemas.openxmlformats.org/officeDocument/2006/relationships/hyperlink" Target="https://maps.google.com/?q=16.234675749167703,-96.72220465911485" TargetMode="External"/><Relationship Id="rId3604" Type="http://schemas.openxmlformats.org/officeDocument/2006/relationships/hyperlink" Target="https://maps.google.com/?q=15.776646329973321,-96.136705028214465" TargetMode="External"/><Relationship Id="rId9166" Type="http://schemas.openxmlformats.org/officeDocument/2006/relationships/hyperlink" Target="https://maps.google.com/?q=17.0034149012928,-96.967635874888799" TargetMode="External"/><Relationship Id="rId11096" Type="http://schemas.openxmlformats.org/officeDocument/2006/relationships/hyperlink" Target="https://maps.google.com/?q=17.254716,-96.151486" TargetMode="External"/><Relationship Id="rId12147" Type="http://schemas.openxmlformats.org/officeDocument/2006/relationships/hyperlink" Target="https://maps.google.com/?q=16.2875897212378,-97.672722259608804" TargetMode="External"/><Relationship Id="rId525" Type="http://schemas.openxmlformats.org/officeDocument/2006/relationships/hyperlink" Target="https://maps.google.com/?q=16.055035,-97.407435000000007" TargetMode="External"/><Relationship Id="rId1155" Type="http://schemas.openxmlformats.org/officeDocument/2006/relationships/hyperlink" Target="https://maps.google.com/?q=18.135421889355964,-97.09741802445623" TargetMode="External"/><Relationship Id="rId2206" Type="http://schemas.openxmlformats.org/officeDocument/2006/relationships/hyperlink" Target="https://maps.google.com/?q=16.9854096013786,-97.231430667361806" TargetMode="External"/><Relationship Id="rId5776" Type="http://schemas.openxmlformats.org/officeDocument/2006/relationships/hyperlink" Target="https://maps.google.com/?q=17.000183,-97.235355999999996" TargetMode="External"/><Relationship Id="rId4378" Type="http://schemas.openxmlformats.org/officeDocument/2006/relationships/hyperlink" Target="https://maps.google.com/?q=15.9961629,-96.681866749999998" TargetMode="External"/><Relationship Id="rId5429" Type="http://schemas.openxmlformats.org/officeDocument/2006/relationships/hyperlink" Target="https://maps.google.com/?q=16.0017001939173,-97.431612401164003" TargetMode="External"/><Relationship Id="rId6827" Type="http://schemas.openxmlformats.org/officeDocument/2006/relationships/hyperlink" Target="https://maps.google.com/?q=16.0630579111752,-97.173908923942804" TargetMode="External"/><Relationship Id="rId9300" Type="http://schemas.openxmlformats.org/officeDocument/2006/relationships/hyperlink" Target="https://maps.google.com/?q=16.8139042967886,-95.135303599459604" TargetMode="External"/><Relationship Id="rId8999" Type="http://schemas.openxmlformats.org/officeDocument/2006/relationships/hyperlink" Target="https://maps.google.com/?q=17.382145593,-96.163202639000005" TargetMode="External"/><Relationship Id="rId11230" Type="http://schemas.openxmlformats.org/officeDocument/2006/relationships/hyperlink" Target="https://maps.google.com/?q=16.51012,-98.156308" TargetMode="External"/><Relationship Id="rId5910" Type="http://schemas.openxmlformats.org/officeDocument/2006/relationships/hyperlink" Target="https://maps.google.com/?q=18.146159471503665,-96.565520057314032" TargetMode="External"/><Relationship Id="rId3461" Type="http://schemas.openxmlformats.org/officeDocument/2006/relationships/hyperlink" Target="https://maps.google.com/?q=16.4026182429428,-96.961996901436706" TargetMode="External"/><Relationship Id="rId4512" Type="http://schemas.openxmlformats.org/officeDocument/2006/relationships/hyperlink" Target="https://maps.google.com/?q=17.1800779715598,-97.304100991401697" TargetMode="External"/><Relationship Id="rId13055" Type="http://schemas.openxmlformats.org/officeDocument/2006/relationships/hyperlink" Target="https://maps.google.com/?q=16.5626112,-97.529353999999998" TargetMode="External"/><Relationship Id="rId14106" Type="http://schemas.openxmlformats.org/officeDocument/2006/relationships/hyperlink" Target="https://maps.google.com/?q=16.442766931278577,-98.22709065540826" TargetMode="External"/><Relationship Id="rId382" Type="http://schemas.openxmlformats.org/officeDocument/2006/relationships/hyperlink" Target="https://maps.google.com/?q=16.88391,-97.675730000000001" TargetMode="External"/><Relationship Id="rId2063" Type="http://schemas.openxmlformats.org/officeDocument/2006/relationships/hyperlink" Target="https://maps.google.com/?q=15.770199317985966,-96.252330165745121" TargetMode="External"/><Relationship Id="rId3114" Type="http://schemas.openxmlformats.org/officeDocument/2006/relationships/hyperlink" Target="https://maps.google.com/?q=16.580856,-97.442656999999997" TargetMode="External"/><Relationship Id="rId6684" Type="http://schemas.openxmlformats.org/officeDocument/2006/relationships/hyperlink" Target="https://maps.google.com/?q=16.9377296493007,-96.973706792579605" TargetMode="External"/><Relationship Id="rId7735" Type="http://schemas.openxmlformats.org/officeDocument/2006/relationships/hyperlink" Target="https://maps.google.com/?q=16.6308669470286,-96.800604709157497" TargetMode="External"/><Relationship Id="rId5286" Type="http://schemas.openxmlformats.org/officeDocument/2006/relationships/hyperlink" Target="https://maps.google.com/?q=15.8304763620814,-96.464434429999997" TargetMode="External"/><Relationship Id="rId6337" Type="http://schemas.openxmlformats.org/officeDocument/2006/relationships/hyperlink" Target="https://maps.google.com/?q=18.060585186433,-96.394727880661407" TargetMode="External"/><Relationship Id="rId10716" Type="http://schemas.openxmlformats.org/officeDocument/2006/relationships/hyperlink" Target="https://maps.google.com/?q=17.33873,-96.152553999999995" TargetMode="External"/><Relationship Id="rId12888" Type="http://schemas.openxmlformats.org/officeDocument/2006/relationships/hyperlink" Target="https://maps.google.com/?q=16.532859,-97.444291000000007" TargetMode="External"/><Relationship Id="rId13939" Type="http://schemas.openxmlformats.org/officeDocument/2006/relationships/hyperlink" Target="https://maps.google.com/?q=16.879751684682688,-96.63670109007005" TargetMode="External"/><Relationship Id="rId1896" Type="http://schemas.openxmlformats.org/officeDocument/2006/relationships/hyperlink" Target="https://maps.google.com/?q=15.776497809896055,-96.136399348586778" TargetMode="External"/><Relationship Id="rId2947" Type="http://schemas.openxmlformats.org/officeDocument/2006/relationships/hyperlink" Target="https://maps.google.com/?q=17.0834088,-96.663709240000003" TargetMode="External"/><Relationship Id="rId919" Type="http://schemas.openxmlformats.org/officeDocument/2006/relationships/hyperlink" Target="https://maps.google.com/?q=17.222971,-97.120823000000001" TargetMode="External"/><Relationship Id="rId1549" Type="http://schemas.openxmlformats.org/officeDocument/2006/relationships/hyperlink" Target="https://maps.google.com/?q=16.48949670980702,-97.8428501169121" TargetMode="External"/><Relationship Id="rId4022" Type="http://schemas.openxmlformats.org/officeDocument/2006/relationships/hyperlink" Target="https://maps.google.com/?q=17.0197253004008,-96.718037502299168" TargetMode="External"/><Relationship Id="rId5420" Type="http://schemas.openxmlformats.org/officeDocument/2006/relationships/hyperlink" Target="https://maps.google.com/?q=16.1001644277385,-97.703415341104602" TargetMode="External"/><Relationship Id="rId8990" Type="http://schemas.openxmlformats.org/officeDocument/2006/relationships/hyperlink" Target="https://maps.google.com/?q=17.382010148,-96.163412753000003" TargetMode="External"/><Relationship Id="rId11971" Type="http://schemas.openxmlformats.org/officeDocument/2006/relationships/hyperlink" Target="https://maps.google.com/?q=16.7997379966209,-96.7195583454033" TargetMode="External"/><Relationship Id="rId7592" Type="http://schemas.openxmlformats.org/officeDocument/2006/relationships/hyperlink" Target="https://maps.google.com/?q=17.0942205294899,-95.856398009237495" TargetMode="External"/><Relationship Id="rId8643" Type="http://schemas.openxmlformats.org/officeDocument/2006/relationships/hyperlink" Target="https://maps.google.com/?q=16.2740521518541,-94.532163571263396" TargetMode="External"/><Relationship Id="rId10573" Type="http://schemas.openxmlformats.org/officeDocument/2006/relationships/hyperlink" Target="https://maps.google.com/?q=17.0919431639933,-97.7697585939177" TargetMode="External"/><Relationship Id="rId11624" Type="http://schemas.openxmlformats.org/officeDocument/2006/relationships/hyperlink" Target="https://maps.google.com/?q=16.8384248239316,-96.730467303075699" TargetMode="External"/><Relationship Id="rId6194" Type="http://schemas.openxmlformats.org/officeDocument/2006/relationships/hyperlink" Target="https://maps.google.com/?q=16.092587,-97.084451999999999" TargetMode="External"/><Relationship Id="rId7245" Type="http://schemas.openxmlformats.org/officeDocument/2006/relationships/hyperlink" Target="https://maps.google.com/?q=16.0968506566211,-97.921769900000797" TargetMode="External"/><Relationship Id="rId10226" Type="http://schemas.openxmlformats.org/officeDocument/2006/relationships/hyperlink" Target="https://maps.google.com/?q=17.300639492020526,-97.34553595137388" TargetMode="External"/><Relationship Id="rId13796" Type="http://schemas.openxmlformats.org/officeDocument/2006/relationships/hyperlink" Target="https://maps.google.com/?q=17.13038463218212,-97.74851768220901" TargetMode="External"/><Relationship Id="rId3855" Type="http://schemas.openxmlformats.org/officeDocument/2006/relationships/hyperlink" Target="https://maps.google.com/?q=17.1040013247707,-95.946829190371801" TargetMode="External"/><Relationship Id="rId12398" Type="http://schemas.openxmlformats.org/officeDocument/2006/relationships/hyperlink" Target="https://maps.google.com/?q=16.5565164842413,-96.822345489548098" TargetMode="External"/><Relationship Id="rId13449" Type="http://schemas.openxmlformats.org/officeDocument/2006/relationships/hyperlink" Target="https://maps.google.com/?q=17.6855280419269,-97.037300464421804" TargetMode="External"/><Relationship Id="rId776" Type="http://schemas.openxmlformats.org/officeDocument/2006/relationships/hyperlink" Target="https://maps.google.com/?q=15.688162046464997,-96.513602195782553" TargetMode="External"/><Relationship Id="rId2457" Type="http://schemas.openxmlformats.org/officeDocument/2006/relationships/hyperlink" Target="https://maps.google.com/?q=17.05159113,-96.624432740000003" TargetMode="External"/><Relationship Id="rId3508" Type="http://schemas.openxmlformats.org/officeDocument/2006/relationships/hyperlink" Target="https://maps.google.com/?q=15.772505750325173,-96.152878664178658" TargetMode="External"/><Relationship Id="rId4906" Type="http://schemas.openxmlformats.org/officeDocument/2006/relationships/hyperlink" Target="https://maps.google.com/?q=18.031242,-96.672393999999997" TargetMode="External"/><Relationship Id="rId429" Type="http://schemas.openxmlformats.org/officeDocument/2006/relationships/hyperlink" Target="https://maps.google.com/?q=16.052524,-97.413661000000005" TargetMode="External"/><Relationship Id="rId1059" Type="http://schemas.openxmlformats.org/officeDocument/2006/relationships/hyperlink" Target="https://maps.google.com/?q=15.903753,-96.450652000000005" TargetMode="External"/><Relationship Id="rId13930" Type="http://schemas.openxmlformats.org/officeDocument/2006/relationships/hyperlink" Target="https://maps.google.com/?q=17.6068,-97.893120" TargetMode="External"/><Relationship Id="rId8153" Type="http://schemas.openxmlformats.org/officeDocument/2006/relationships/hyperlink" Target="https://maps.google.com/?q=17.356585,-96.302531999999999" TargetMode="External"/><Relationship Id="rId9551" Type="http://schemas.openxmlformats.org/officeDocument/2006/relationships/hyperlink" Target="https://maps.google.com/?q=17.357543,-96.295252000000005" TargetMode="External"/><Relationship Id="rId11481" Type="http://schemas.openxmlformats.org/officeDocument/2006/relationships/hyperlink" Target="https://maps.google.com/?q=16.3022349089955,-96.640828367833294" TargetMode="External"/><Relationship Id="rId12532" Type="http://schemas.openxmlformats.org/officeDocument/2006/relationships/hyperlink" Target="https://maps.google.com/?q=17.0204508,-97.859285630000002" TargetMode="External"/><Relationship Id="rId910" Type="http://schemas.openxmlformats.org/officeDocument/2006/relationships/hyperlink" Target="https://maps.google.com/?q=16.88293,-97.674790000000002" TargetMode="External"/><Relationship Id="rId1540" Type="http://schemas.openxmlformats.org/officeDocument/2006/relationships/hyperlink" Target="https://maps.google.com/?q=17.062461,-96.757001000000002" TargetMode="External"/><Relationship Id="rId9204" Type="http://schemas.openxmlformats.org/officeDocument/2006/relationships/hyperlink" Target="https://maps.google.com/?q=17.3746391804716,-96.302229786428398" TargetMode="External"/><Relationship Id="rId10083" Type="http://schemas.openxmlformats.org/officeDocument/2006/relationships/hyperlink" Target="https://maps.google.com/?q=16.9944369524964,-96.114252219999997" TargetMode="External"/><Relationship Id="rId11134" Type="http://schemas.openxmlformats.org/officeDocument/2006/relationships/hyperlink" Target="https://maps.google.com/?q=16.835076,-96.008832999999996" TargetMode="External"/><Relationship Id="rId4763" Type="http://schemas.openxmlformats.org/officeDocument/2006/relationships/hyperlink" Target="https://maps.google.com/?q=17.95653902875,-96.656404619311601" TargetMode="External"/><Relationship Id="rId5814" Type="http://schemas.openxmlformats.org/officeDocument/2006/relationships/hyperlink" Target="https://maps.google.com/?q=16.0103785400556,-97.426217060099404" TargetMode="External"/><Relationship Id="rId3365" Type="http://schemas.openxmlformats.org/officeDocument/2006/relationships/hyperlink" Target="https://maps.google.com/?q=17.058955,-96.824352000000005" TargetMode="External"/><Relationship Id="rId4416" Type="http://schemas.openxmlformats.org/officeDocument/2006/relationships/hyperlink" Target="https://maps.google.com/?q=16.00655996,-96.681990729999995" TargetMode="External"/><Relationship Id="rId7986" Type="http://schemas.openxmlformats.org/officeDocument/2006/relationships/hyperlink" Target="https://maps.google.com/?q=18.1631753913562,-96.874023698012195" TargetMode="External"/><Relationship Id="rId286" Type="http://schemas.openxmlformats.org/officeDocument/2006/relationships/hyperlink" Target="https://maps.google.com/?q=16.88496,-97.67801" TargetMode="External"/><Relationship Id="rId3018" Type="http://schemas.openxmlformats.org/officeDocument/2006/relationships/hyperlink" Target="https://maps.google.com/?q=16.939066,-97.013895000000005" TargetMode="External"/><Relationship Id="rId6588" Type="http://schemas.openxmlformats.org/officeDocument/2006/relationships/hyperlink" Target="https://maps.google.com/?q=17.258972,-97.686678" TargetMode="External"/><Relationship Id="rId7639" Type="http://schemas.openxmlformats.org/officeDocument/2006/relationships/hyperlink" Target="https://maps.google.com/?q=17.2314272371225,-95.048592060977299" TargetMode="External"/><Relationship Id="rId10967" Type="http://schemas.openxmlformats.org/officeDocument/2006/relationships/hyperlink" Target="https://maps.google.com/?q=16.2108805981033,-95.210208052208898" TargetMode="External"/><Relationship Id="rId9061" Type="http://schemas.openxmlformats.org/officeDocument/2006/relationships/hyperlink" Target="https://maps.google.com/?q=16.056273,-95.454487" TargetMode="External"/><Relationship Id="rId13440" Type="http://schemas.openxmlformats.org/officeDocument/2006/relationships/hyperlink" Target="https://maps.google.com/?q=17.6840827919453,-97.032165175602003" TargetMode="External"/><Relationship Id="rId420" Type="http://schemas.openxmlformats.org/officeDocument/2006/relationships/hyperlink" Target="https://maps.google.com/?q=16.053025,-97.411844000000002" TargetMode="External"/><Relationship Id="rId1050" Type="http://schemas.openxmlformats.org/officeDocument/2006/relationships/hyperlink" Target="https://maps.google.com/?q=15.707611008723399,-96.525378113871824" TargetMode="External"/><Relationship Id="rId2101" Type="http://schemas.openxmlformats.org/officeDocument/2006/relationships/hyperlink" Target="https://maps.google.com/?q=15.764177,-96.150691" TargetMode="External"/><Relationship Id="rId12042" Type="http://schemas.openxmlformats.org/officeDocument/2006/relationships/hyperlink" Target="https://maps.google.com/?q=16.8067647479148,-96.722488239999905" TargetMode="External"/><Relationship Id="rId5671" Type="http://schemas.openxmlformats.org/officeDocument/2006/relationships/hyperlink" Target="https://maps.google.com/?q=16.431948,-97.897227999999998" TargetMode="External"/><Relationship Id="rId6722" Type="http://schemas.openxmlformats.org/officeDocument/2006/relationships/hyperlink" Target="https://maps.google.com/?q=17.0356157426503,-96.985934050062895" TargetMode="External"/><Relationship Id="rId4273" Type="http://schemas.openxmlformats.org/officeDocument/2006/relationships/hyperlink" Target="https://maps.google.com/?q=16.018424203093,-96.646400579892102" TargetMode="External"/><Relationship Id="rId5324" Type="http://schemas.openxmlformats.org/officeDocument/2006/relationships/hyperlink" Target="https://maps.google.com/?q=15.8074314677751,-96.359781828518393" TargetMode="External"/><Relationship Id="rId8894" Type="http://schemas.openxmlformats.org/officeDocument/2006/relationships/hyperlink" Target="https://maps.google.com/?q=17.379897994,-96.162203942999994" TargetMode="External"/><Relationship Id="rId9945" Type="http://schemas.openxmlformats.org/officeDocument/2006/relationships/hyperlink" Target="https://maps.google.com/?q=16.7077314336433,-96.710628" TargetMode="External"/><Relationship Id="rId1934" Type="http://schemas.openxmlformats.org/officeDocument/2006/relationships/hyperlink" Target="https://maps.google.com/?q=15.777219592725107,-96.137032722725692" TargetMode="External"/><Relationship Id="rId7496" Type="http://schemas.openxmlformats.org/officeDocument/2006/relationships/hyperlink" Target="https://maps.google.com/?q=17.34304762,-97.373323970000001" TargetMode="External"/><Relationship Id="rId8547" Type="http://schemas.openxmlformats.org/officeDocument/2006/relationships/hyperlink" Target="https://maps.google.com/?q=16.9214225936354,-96.607749931600694" TargetMode="External"/><Relationship Id="rId10477" Type="http://schemas.openxmlformats.org/officeDocument/2006/relationships/hyperlink" Target="https://maps.google.com/?q=17.8432018328091,-96.747620591951502" TargetMode="External"/><Relationship Id="rId11528" Type="http://schemas.openxmlformats.org/officeDocument/2006/relationships/hyperlink" Target="https://maps.google.com/?q=16.6154600039285,-96.855104767645301" TargetMode="External"/><Relationship Id="rId11875" Type="http://schemas.openxmlformats.org/officeDocument/2006/relationships/hyperlink" Target="https://maps.google.com/?q=16.541667,-98.069722" TargetMode="External"/><Relationship Id="rId12926" Type="http://schemas.openxmlformats.org/officeDocument/2006/relationships/hyperlink" Target="https://maps.google.com/?q=16.5579828,-97.410569800000005" TargetMode="External"/><Relationship Id="rId6098" Type="http://schemas.openxmlformats.org/officeDocument/2006/relationships/hyperlink" Target="https://maps.google.com/?q=17.977946,-96.702768000000006" TargetMode="External"/><Relationship Id="rId7149" Type="http://schemas.openxmlformats.org/officeDocument/2006/relationships/hyperlink" Target="https://maps.google.com/?q=17.3659911934955,-97.665125639738307" TargetMode="External"/><Relationship Id="rId14001" Type="http://schemas.openxmlformats.org/officeDocument/2006/relationships/hyperlink" Target="https://maps.google.com/?q=16.332014,-95.231966" TargetMode="External"/><Relationship Id="rId3759" Type="http://schemas.openxmlformats.org/officeDocument/2006/relationships/hyperlink" Target="https://maps.google.com/?q=15.762218,-96.143128000000004" TargetMode="External"/><Relationship Id="rId5181" Type="http://schemas.openxmlformats.org/officeDocument/2006/relationships/hyperlink" Target="https://maps.google.com/?q=17.314826,-95.967461999999998" TargetMode="External"/><Relationship Id="rId6232" Type="http://schemas.openxmlformats.org/officeDocument/2006/relationships/hyperlink" Target="https://maps.google.com/?q=17.0091308207208,-97.2673225859523" TargetMode="External"/><Relationship Id="rId7630" Type="http://schemas.openxmlformats.org/officeDocument/2006/relationships/hyperlink" Target="https://maps.google.com/?q=17.2307588673113,-95.053575733882894" TargetMode="External"/><Relationship Id="rId10611" Type="http://schemas.openxmlformats.org/officeDocument/2006/relationships/hyperlink" Target="https://maps.google.com/?q=17.1319139005209,-97.7528281377177" TargetMode="External"/><Relationship Id="rId12783" Type="http://schemas.openxmlformats.org/officeDocument/2006/relationships/hyperlink" Target="https://maps.google.com/?q=17.018337481936143,-96.7200055423279" TargetMode="External"/><Relationship Id="rId13834" Type="http://schemas.openxmlformats.org/officeDocument/2006/relationships/hyperlink" Target="https://maps.google.com/?q=17.090971,-97.7850787" TargetMode="External"/><Relationship Id="rId1791" Type="http://schemas.openxmlformats.org/officeDocument/2006/relationships/hyperlink" Target="https://maps.google.com/?q=18.0647217959975,-96.898008119984496" TargetMode="External"/><Relationship Id="rId2842" Type="http://schemas.openxmlformats.org/officeDocument/2006/relationships/hyperlink" Target="https://maps.google.com/?q=16.9519317176914,-97.709575725352394" TargetMode="External"/><Relationship Id="rId9455" Type="http://schemas.openxmlformats.org/officeDocument/2006/relationships/hyperlink" Target="https://maps.google.com/?q=15.831037,-96.618699000000007" TargetMode="External"/><Relationship Id="rId11385" Type="http://schemas.openxmlformats.org/officeDocument/2006/relationships/hyperlink" Target="https://maps.google.com/?q=17.3439464704561,-97.56169932044563" TargetMode="External"/><Relationship Id="rId12436" Type="http://schemas.openxmlformats.org/officeDocument/2006/relationships/hyperlink" Target="https://maps.google.com/?q=17.2205587171301,-97.271269072634894" TargetMode="External"/><Relationship Id="rId814" Type="http://schemas.openxmlformats.org/officeDocument/2006/relationships/hyperlink" Target="https://maps.google.com/?q=15.697796994045115,-96.524927283916782" TargetMode="External"/><Relationship Id="rId1444" Type="http://schemas.openxmlformats.org/officeDocument/2006/relationships/hyperlink" Target="https://maps.google.com/?q=17.08434,-96.71788" TargetMode="External"/><Relationship Id="rId8057" Type="http://schemas.openxmlformats.org/officeDocument/2006/relationships/hyperlink" Target="https://maps.google.com/?q=16.4967029165784,-97.377334157127294" TargetMode="External"/><Relationship Id="rId9108" Type="http://schemas.openxmlformats.org/officeDocument/2006/relationships/hyperlink" Target="https://maps.google.com/?q=17.915303939673425,-96.65073680437844" TargetMode="External"/><Relationship Id="rId11038" Type="http://schemas.openxmlformats.org/officeDocument/2006/relationships/hyperlink" Target="https://maps.google.com/?q=16.511587,-98.342919" TargetMode="External"/><Relationship Id="rId4667" Type="http://schemas.openxmlformats.org/officeDocument/2006/relationships/hyperlink" Target="https://maps.google.com/?q=17.316621837768256,-96.4822420482081" TargetMode="External"/><Relationship Id="rId5718" Type="http://schemas.openxmlformats.org/officeDocument/2006/relationships/hyperlink" Target="https://maps.google.com/?q=16.38130195,-96.359732949299996" TargetMode="External"/><Relationship Id="rId3269" Type="http://schemas.openxmlformats.org/officeDocument/2006/relationships/hyperlink" Target="https://maps.google.com/?q=17.0603247713129,-96.819273061342301" TargetMode="External"/><Relationship Id="rId7140" Type="http://schemas.openxmlformats.org/officeDocument/2006/relationships/hyperlink" Target="https://maps.google.com/?q=17.344397919996,-97.700638683536098" TargetMode="External"/><Relationship Id="rId10121" Type="http://schemas.openxmlformats.org/officeDocument/2006/relationships/hyperlink" Target="https://maps.google.com/?q=17.1187853435856,-97.514784517444198" TargetMode="External"/><Relationship Id="rId13691" Type="http://schemas.openxmlformats.org/officeDocument/2006/relationships/hyperlink" Target="https://maps.google.com/?q=16.564287,-96.731918" TargetMode="External"/><Relationship Id="rId3750" Type="http://schemas.openxmlformats.org/officeDocument/2006/relationships/hyperlink" Target="https://maps.google.com/?q=15.761714,-96.143293" TargetMode="External"/><Relationship Id="rId4801" Type="http://schemas.openxmlformats.org/officeDocument/2006/relationships/hyperlink" Target="https://maps.google.com/?q=16.8984030078253,-96.500210080552407" TargetMode="External"/><Relationship Id="rId12293" Type="http://schemas.openxmlformats.org/officeDocument/2006/relationships/hyperlink" Target="https://maps.google.com/?q=16.4838849615721,-94.344716498641304" TargetMode="External"/><Relationship Id="rId13344" Type="http://schemas.openxmlformats.org/officeDocument/2006/relationships/hyperlink" Target="https://maps.google.com/?q=16.3144227665775,-96.674798504299105" TargetMode="External"/><Relationship Id="rId671" Type="http://schemas.openxmlformats.org/officeDocument/2006/relationships/hyperlink" Target="https://maps.google.com/?q=16.055021,-97.393434999999997" TargetMode="External"/><Relationship Id="rId2352" Type="http://schemas.openxmlformats.org/officeDocument/2006/relationships/hyperlink" Target="https://maps.google.com/?q=17.059687,-97.698572999999996" TargetMode="External"/><Relationship Id="rId3403" Type="http://schemas.openxmlformats.org/officeDocument/2006/relationships/hyperlink" Target="https://maps.google.com/?q=18.0059866598791,-96.644764048952794" TargetMode="External"/><Relationship Id="rId6973" Type="http://schemas.openxmlformats.org/officeDocument/2006/relationships/hyperlink" Target="https://maps.google.com/?q=17.01428272,-96.519243320000001" TargetMode="External"/><Relationship Id="rId324" Type="http://schemas.openxmlformats.org/officeDocument/2006/relationships/hyperlink" Target="https://maps.google.com/?q=16.054939,-97.395771999999994" TargetMode="External"/><Relationship Id="rId2005" Type="http://schemas.openxmlformats.org/officeDocument/2006/relationships/hyperlink" Target="https://maps.google.com/?q=15.757711617054328,-96.139003688620619" TargetMode="External"/><Relationship Id="rId5575" Type="http://schemas.openxmlformats.org/officeDocument/2006/relationships/hyperlink" Target="https://maps.google.com/?q=17.4438651633134,-96.182388155582501" TargetMode="External"/><Relationship Id="rId6626" Type="http://schemas.openxmlformats.org/officeDocument/2006/relationships/hyperlink" Target="https://maps.google.com/?q=17.266332,-97.333772" TargetMode="External"/><Relationship Id="rId4177" Type="http://schemas.openxmlformats.org/officeDocument/2006/relationships/hyperlink" Target="https://maps.google.com/?q=16.3198051603147,-97.796595999999994" TargetMode="External"/><Relationship Id="rId5228" Type="http://schemas.openxmlformats.org/officeDocument/2006/relationships/hyperlink" Target="https://maps.google.com/?q=17.2826958501961,-97.361856202491893" TargetMode="External"/><Relationship Id="rId8798" Type="http://schemas.openxmlformats.org/officeDocument/2006/relationships/hyperlink" Target="https://maps.google.com/?q=17.213727,-96.249171000000004" TargetMode="External"/><Relationship Id="rId9849" Type="http://schemas.openxmlformats.org/officeDocument/2006/relationships/hyperlink" Target="https://maps.google.com/?q=16.6337619526376,-96.851998445581899" TargetMode="External"/><Relationship Id="rId11779" Type="http://schemas.openxmlformats.org/officeDocument/2006/relationships/hyperlink" Target="https://maps.google.com/?q=17.234068233521008,-97.00346464550782" TargetMode="External"/><Relationship Id="rId1838" Type="http://schemas.openxmlformats.org/officeDocument/2006/relationships/hyperlink" Target="https://maps.google.com/?q=18.0368198506892,-96.898313504555901" TargetMode="External"/><Relationship Id="rId3260" Type="http://schemas.openxmlformats.org/officeDocument/2006/relationships/hyperlink" Target="https://maps.google.com/?q=17.0593629267312,-96.815416069940596" TargetMode="External"/><Relationship Id="rId4311" Type="http://schemas.openxmlformats.org/officeDocument/2006/relationships/hyperlink" Target="https://maps.google.com/?q=16.0268213354132,-96.639104418758194" TargetMode="External"/><Relationship Id="rId181" Type="http://schemas.openxmlformats.org/officeDocument/2006/relationships/hyperlink" Target="https://maps.google.com/?q=17.097922,-97.492137999999997" TargetMode="External"/><Relationship Id="rId7881" Type="http://schemas.openxmlformats.org/officeDocument/2006/relationships/hyperlink" Target="https://maps.google.com/?q=16.3179401317423,-96.409267644180204" TargetMode="External"/><Relationship Id="rId8932" Type="http://schemas.openxmlformats.org/officeDocument/2006/relationships/hyperlink" Target="https://maps.google.com/?q=17.381123966,-96.161261529000001" TargetMode="External"/><Relationship Id="rId10862" Type="http://schemas.openxmlformats.org/officeDocument/2006/relationships/hyperlink" Target="https://maps.google.com/?q=16.3518694255719,-94.482135550926202" TargetMode="External"/><Relationship Id="rId11913" Type="http://schemas.openxmlformats.org/officeDocument/2006/relationships/hyperlink" Target="https://maps.google.com/?q=16.22448068458824,-96.78513053373" TargetMode="External"/><Relationship Id="rId5085" Type="http://schemas.openxmlformats.org/officeDocument/2006/relationships/hyperlink" Target="https://maps.google.com/?q=17.252935,-96.153919999999999" TargetMode="External"/><Relationship Id="rId6483" Type="http://schemas.openxmlformats.org/officeDocument/2006/relationships/hyperlink" Target="https://maps.google.com/?q=17.2564996419958,-97.541498281992602" TargetMode="External"/><Relationship Id="rId7534" Type="http://schemas.openxmlformats.org/officeDocument/2006/relationships/hyperlink" Target="https://maps.google.com/?q=17.9762994849987,-96.7052391173209" TargetMode="External"/><Relationship Id="rId10515" Type="http://schemas.openxmlformats.org/officeDocument/2006/relationships/hyperlink" Target="https://maps.google.com/?q=17.8468333693792,-96.742497871146597" TargetMode="External"/><Relationship Id="rId6136" Type="http://schemas.openxmlformats.org/officeDocument/2006/relationships/hyperlink" Target="https://maps.google.com/?q=16.9525814,-96.609766050000005" TargetMode="External"/><Relationship Id="rId12687" Type="http://schemas.openxmlformats.org/officeDocument/2006/relationships/hyperlink" Target="https://maps.google.com/?q=16.2829296820092,-96.5037446766692" TargetMode="External"/><Relationship Id="rId13738" Type="http://schemas.openxmlformats.org/officeDocument/2006/relationships/hyperlink" Target="https://maps.google.com/?q=17.17233,-96.251267" TargetMode="External"/><Relationship Id="rId1695" Type="http://schemas.openxmlformats.org/officeDocument/2006/relationships/hyperlink" Target="https://maps.google.com/?q=18.0719230521185,-96.897055670665097" TargetMode="External"/><Relationship Id="rId2746" Type="http://schemas.openxmlformats.org/officeDocument/2006/relationships/hyperlink" Target="https://maps.google.com/?q=17.991358,-96.490031999999999" TargetMode="External"/><Relationship Id="rId9359" Type="http://schemas.openxmlformats.org/officeDocument/2006/relationships/hyperlink" Target="https://maps.google.com/?q=16.8182742042351,-95.135738117320102" TargetMode="External"/><Relationship Id="rId11289" Type="http://schemas.openxmlformats.org/officeDocument/2006/relationships/hyperlink" Target="https://maps.google.com/?q=17.8669091364332,-96.308616257672099" TargetMode="External"/><Relationship Id="rId718" Type="http://schemas.openxmlformats.org/officeDocument/2006/relationships/hyperlink" Target="https://maps.google.com/?q=16.06207,-97.383854999999997" TargetMode="External"/><Relationship Id="rId1348" Type="http://schemas.openxmlformats.org/officeDocument/2006/relationships/hyperlink" Target="https://maps.google.com/?q=17.02002153,-96.71813893" TargetMode="External"/><Relationship Id="rId5969" Type="http://schemas.openxmlformats.org/officeDocument/2006/relationships/hyperlink" Target="https://maps.google.com/?q=18.15438583442759,-96.575864744686513" TargetMode="External"/><Relationship Id="rId7391" Type="http://schemas.openxmlformats.org/officeDocument/2006/relationships/hyperlink" Target="https://maps.google.com/?q=17.101987,-97.001631000000003" TargetMode="External"/><Relationship Id="rId8442" Type="http://schemas.openxmlformats.org/officeDocument/2006/relationships/hyperlink" Target="https://maps.google.com/?q=16.7723871388388,-96.660190046626994" TargetMode="External"/><Relationship Id="rId9840" Type="http://schemas.openxmlformats.org/officeDocument/2006/relationships/hyperlink" Target="https://maps.google.com/?q=16.6331064626068,-96.850076802209003" TargetMode="External"/><Relationship Id="rId11770" Type="http://schemas.openxmlformats.org/officeDocument/2006/relationships/hyperlink" Target="https://maps.google.com/?q=17.046689661042855,-96.62902942460633" TargetMode="External"/><Relationship Id="rId12821" Type="http://schemas.openxmlformats.org/officeDocument/2006/relationships/hyperlink" Target="https://maps.google.com/?q=17.8528118131225,-97.442522224536901" TargetMode="External"/><Relationship Id="rId54" Type="http://schemas.openxmlformats.org/officeDocument/2006/relationships/hyperlink" Target="https://maps.google.com/?q=15.907911,-96.449386000000004" TargetMode="External"/><Relationship Id="rId7044" Type="http://schemas.openxmlformats.org/officeDocument/2006/relationships/hyperlink" Target="https://maps.google.com/?q=17.0335161860527,-97.291899616112005" TargetMode="External"/><Relationship Id="rId10372" Type="http://schemas.openxmlformats.org/officeDocument/2006/relationships/hyperlink" Target="https://maps.google.com/?q=17.4368699172891,-96.655852550058896" TargetMode="External"/><Relationship Id="rId11423" Type="http://schemas.openxmlformats.org/officeDocument/2006/relationships/hyperlink" Target="https://maps.google.com/?q=17.3815688597687,-98.188353499336301" TargetMode="External"/><Relationship Id="rId10025" Type="http://schemas.openxmlformats.org/officeDocument/2006/relationships/hyperlink" Target="https://maps.google.com/?q=17.0010900476739,-96.075042978836095" TargetMode="External"/><Relationship Id="rId13595" Type="http://schemas.openxmlformats.org/officeDocument/2006/relationships/hyperlink" Target="https://maps.google.com/?q=17.068498,-96.720205%20" TargetMode="External"/><Relationship Id="rId3654" Type="http://schemas.openxmlformats.org/officeDocument/2006/relationships/hyperlink" Target="https://maps.google.com/?q=15.779820618236311,-96.138413804886682" TargetMode="External"/><Relationship Id="rId4705" Type="http://schemas.openxmlformats.org/officeDocument/2006/relationships/hyperlink" Target="https://maps.google.com/?q=17.020021533143613,-96.718138934852632" TargetMode="External"/><Relationship Id="rId12197" Type="http://schemas.openxmlformats.org/officeDocument/2006/relationships/hyperlink" Target="https://maps.google.com/?q=17.4176324532273,-95.945459374518506" TargetMode="External"/><Relationship Id="rId13248" Type="http://schemas.openxmlformats.org/officeDocument/2006/relationships/hyperlink" Target="https://maps.google.com/?q=17.1481685266642,-96.7437941824912" TargetMode="External"/><Relationship Id="rId575" Type="http://schemas.openxmlformats.org/officeDocument/2006/relationships/hyperlink" Target="https://maps.google.com/?q=16.052507,-97.402904000000007" TargetMode="External"/><Relationship Id="rId2256" Type="http://schemas.openxmlformats.org/officeDocument/2006/relationships/hyperlink" Target="https://maps.google.com/?q=18.0930801347905,-96.931394417401606" TargetMode="External"/><Relationship Id="rId3307" Type="http://schemas.openxmlformats.org/officeDocument/2006/relationships/hyperlink" Target="https://maps.google.com/?q=17.0638606692447,-96.812160262565598" TargetMode="External"/><Relationship Id="rId6877" Type="http://schemas.openxmlformats.org/officeDocument/2006/relationships/hyperlink" Target="https://maps.google.com/?q=16.9706168507797,-97.083815874834102" TargetMode="External"/><Relationship Id="rId7928" Type="http://schemas.openxmlformats.org/officeDocument/2006/relationships/hyperlink" Target="https://maps.google.com/?q=16.3219370213261,-96.4090222098217" TargetMode="External"/><Relationship Id="rId228" Type="http://schemas.openxmlformats.org/officeDocument/2006/relationships/hyperlink" Target="https://maps.google.com/?q=17.095035,-97.494039000000001" TargetMode="External"/><Relationship Id="rId5479" Type="http://schemas.openxmlformats.org/officeDocument/2006/relationships/hyperlink" Target="https://maps.google.com/?q=16.328565,-96.489375999999993" TargetMode="External"/><Relationship Id="rId9350" Type="http://schemas.openxmlformats.org/officeDocument/2006/relationships/hyperlink" Target="https://maps.google.com/?q=16.8178582714362,-95.134439928156695" TargetMode="External"/><Relationship Id="rId10909" Type="http://schemas.openxmlformats.org/officeDocument/2006/relationships/hyperlink" Target="https://maps.google.com/?q=16.1891552058754,-95.183783017909803" TargetMode="External"/><Relationship Id="rId11280" Type="http://schemas.openxmlformats.org/officeDocument/2006/relationships/hyperlink" Target="https://maps.google.com/?q=17.8660414399495,-96.309200965582207" TargetMode="External"/><Relationship Id="rId9003" Type="http://schemas.openxmlformats.org/officeDocument/2006/relationships/hyperlink" Target="https://maps.google.com/?q=17.382225886,-96.161006596999997" TargetMode="External"/><Relationship Id="rId12331" Type="http://schemas.openxmlformats.org/officeDocument/2006/relationships/hyperlink" Target="https://maps.google.com/?q=17.3175872,-96.6155941" TargetMode="External"/><Relationship Id="rId5960" Type="http://schemas.openxmlformats.org/officeDocument/2006/relationships/hyperlink" Target="https://maps.google.com/?q=18.154154335912075,-96.575520173053462" TargetMode="External"/><Relationship Id="rId3164" Type="http://schemas.openxmlformats.org/officeDocument/2006/relationships/hyperlink" Target="https://maps.google.com/?q=16.545177,-97.495906000000005" TargetMode="External"/><Relationship Id="rId4562" Type="http://schemas.openxmlformats.org/officeDocument/2006/relationships/hyperlink" Target="https://maps.google.com/?q=17.1858577993188,-97.303373671337297" TargetMode="External"/><Relationship Id="rId5613" Type="http://schemas.openxmlformats.org/officeDocument/2006/relationships/hyperlink" Target="https://maps.google.com/?q=17.5504799,-96.221780480000007" TargetMode="External"/><Relationship Id="rId14156" Type="http://schemas.openxmlformats.org/officeDocument/2006/relationships/hyperlink" Target="https://maps.google.com/?q=17.3265365722538,-96.4899397162861" TargetMode="External"/><Relationship Id="rId4215" Type="http://schemas.openxmlformats.org/officeDocument/2006/relationships/hyperlink" Target="https://maps.google.com/?q=17.361766,-95.922253999999995" TargetMode="External"/><Relationship Id="rId7785" Type="http://schemas.openxmlformats.org/officeDocument/2006/relationships/hyperlink" Target="https://maps.google.com/?q=17.8444110270732,-96.745102895063198" TargetMode="External"/><Relationship Id="rId8836" Type="http://schemas.openxmlformats.org/officeDocument/2006/relationships/hyperlink" Target="https://maps.google.com/?q=17.2166,-96.243885000000006" TargetMode="External"/><Relationship Id="rId10766" Type="http://schemas.openxmlformats.org/officeDocument/2006/relationships/hyperlink" Target="https://maps.google.com/?q=17.458105,-97.221405000000004" TargetMode="External"/><Relationship Id="rId11817" Type="http://schemas.openxmlformats.org/officeDocument/2006/relationships/hyperlink" Target="https://maps.google.com/?q=16.77581223525323,-96.02630256777574" TargetMode="External"/><Relationship Id="rId6387" Type="http://schemas.openxmlformats.org/officeDocument/2006/relationships/hyperlink" Target="https://maps.google.com/?q=16.4614301185543,-95.0006234371875" TargetMode="External"/><Relationship Id="rId7438" Type="http://schemas.openxmlformats.org/officeDocument/2006/relationships/hyperlink" Target="https://maps.google.com/?q=16.3156805625449,-96.672545735897899" TargetMode="External"/><Relationship Id="rId10419" Type="http://schemas.openxmlformats.org/officeDocument/2006/relationships/hyperlink" Target="https://maps.google.com/?q=17.059342,-96.795409000000006" TargetMode="External"/><Relationship Id="rId2997" Type="http://schemas.openxmlformats.org/officeDocument/2006/relationships/hyperlink" Target="https://maps.google.com/?q=17.952708,-96.737779000000003" TargetMode="External"/><Relationship Id="rId13989" Type="http://schemas.openxmlformats.org/officeDocument/2006/relationships/hyperlink" Target="https://maps.google.com/?q=18.21689825,-96.3333714" TargetMode="External"/><Relationship Id="rId969" Type="http://schemas.openxmlformats.org/officeDocument/2006/relationships/hyperlink" Target="https://maps.google.com/?q=15.68867641356516,-96.514383625406964" TargetMode="External"/><Relationship Id="rId1599" Type="http://schemas.openxmlformats.org/officeDocument/2006/relationships/hyperlink" Target="https://maps.google.com/?q=17.677465,-96.128328999999994" TargetMode="External"/><Relationship Id="rId5470" Type="http://schemas.openxmlformats.org/officeDocument/2006/relationships/hyperlink" Target="https://maps.google.com/?q=16.0111855969855,-97.429825175581996" TargetMode="External"/><Relationship Id="rId6521" Type="http://schemas.openxmlformats.org/officeDocument/2006/relationships/hyperlink" Target="https://maps.google.com/?q=17.2543804228505,-97.568144374541404" TargetMode="External"/><Relationship Id="rId10900" Type="http://schemas.openxmlformats.org/officeDocument/2006/relationships/hyperlink" Target="https://maps.google.com/?q=16.1872764707842,-95.205177831104393" TargetMode="External"/><Relationship Id="rId4072" Type="http://schemas.openxmlformats.org/officeDocument/2006/relationships/hyperlink" Target="https://maps.google.com/?q=17.082948,-96.727685" TargetMode="External"/><Relationship Id="rId5123" Type="http://schemas.openxmlformats.org/officeDocument/2006/relationships/hyperlink" Target="https://maps.google.com/?q=17.253966,-96.154034999999993" TargetMode="External"/><Relationship Id="rId7295" Type="http://schemas.openxmlformats.org/officeDocument/2006/relationships/hyperlink" Target="https://maps.google.com/?q=16.3079765538935,-97.914779162321096" TargetMode="External"/><Relationship Id="rId8693" Type="http://schemas.openxmlformats.org/officeDocument/2006/relationships/hyperlink" Target="https://maps.google.com/?q=16.1416278272298,-96.608365814477395" TargetMode="External"/><Relationship Id="rId9744" Type="http://schemas.openxmlformats.org/officeDocument/2006/relationships/hyperlink" Target="https://maps.google.com/?q=17.2739385905348,-96.798753912274407" TargetMode="External"/><Relationship Id="rId11674" Type="http://schemas.openxmlformats.org/officeDocument/2006/relationships/hyperlink" Target="https://maps.google.com/?q=17.17610971,-97.710159750000003" TargetMode="External"/><Relationship Id="rId12725" Type="http://schemas.openxmlformats.org/officeDocument/2006/relationships/hyperlink" Target="https://maps.google.com/?q=16.2864900390542,-96.504715284898296" TargetMode="External"/><Relationship Id="rId1733" Type="http://schemas.openxmlformats.org/officeDocument/2006/relationships/hyperlink" Target="https://maps.google.com/?q=18.0637942129766,-96.833266793139202" TargetMode="External"/><Relationship Id="rId8346" Type="http://schemas.openxmlformats.org/officeDocument/2006/relationships/hyperlink" Target="https://maps.google.com/?q=16.8435060880626,-97.197207817774199" TargetMode="External"/><Relationship Id="rId10276" Type="http://schemas.openxmlformats.org/officeDocument/2006/relationships/hyperlink" Target="https://maps.google.com/?q=16.245619,-95.146885999999995" TargetMode="External"/><Relationship Id="rId11327" Type="http://schemas.openxmlformats.org/officeDocument/2006/relationships/hyperlink" Target="https://maps.google.com/?q=17.00033,-96.760486" TargetMode="External"/><Relationship Id="rId4956" Type="http://schemas.openxmlformats.org/officeDocument/2006/relationships/hyperlink" Target="https://maps.google.com/?q=17.2666215,-97.590817599999994" TargetMode="External"/><Relationship Id="rId13499" Type="http://schemas.openxmlformats.org/officeDocument/2006/relationships/hyperlink" Target="https://maps.google.com/?q=17.6911401117819,-97.036304364418001" TargetMode="External"/><Relationship Id="rId3558" Type="http://schemas.openxmlformats.org/officeDocument/2006/relationships/hyperlink" Target="https://maps.google.com/?q=15.761508864094752,-96.146205763969874" TargetMode="External"/><Relationship Id="rId4609" Type="http://schemas.openxmlformats.org/officeDocument/2006/relationships/hyperlink" Target="https://maps.google.com/?q=16.558515,-96.820802" TargetMode="External"/><Relationship Id="rId479" Type="http://schemas.openxmlformats.org/officeDocument/2006/relationships/hyperlink" Target="https://maps.google.com/?q=16.053534,-97.409709000000007" TargetMode="External"/><Relationship Id="rId6031" Type="http://schemas.openxmlformats.org/officeDocument/2006/relationships/hyperlink" Target="https://maps.google.com/?q=18.156273186364928,-96.57619015664504" TargetMode="External"/><Relationship Id="rId10410" Type="http://schemas.openxmlformats.org/officeDocument/2006/relationships/hyperlink" Target="https://maps.google.com/?q=17.043568,-96.780265" TargetMode="External"/><Relationship Id="rId13980" Type="http://schemas.openxmlformats.org/officeDocument/2006/relationships/hyperlink" Target="https://maps.google.com/?q=16.658289495338554,-96.00221380609214" TargetMode="External"/><Relationship Id="rId9254" Type="http://schemas.openxmlformats.org/officeDocument/2006/relationships/hyperlink" Target="https://maps.google.com/?q=17.3774011132922,-96.300577648164193" TargetMode="External"/><Relationship Id="rId12582" Type="http://schemas.openxmlformats.org/officeDocument/2006/relationships/hyperlink" Target="https://maps.google.com/?q=16.6267111032676,-96.954764974428599" TargetMode="External"/><Relationship Id="rId13633" Type="http://schemas.openxmlformats.org/officeDocument/2006/relationships/hyperlink" Target="https://maps.google.com/?q=18.081175,-96.118491" TargetMode="External"/><Relationship Id="rId960" Type="http://schemas.openxmlformats.org/officeDocument/2006/relationships/hyperlink" Target="https://maps.google.com/?q=15.68525983727088,-96.511336434899334" TargetMode="External"/><Relationship Id="rId1243" Type="http://schemas.openxmlformats.org/officeDocument/2006/relationships/hyperlink" Target="https://maps.google.com/?q=17.05601879,-96.745880600000007" TargetMode="External"/><Relationship Id="rId1590" Type="http://schemas.openxmlformats.org/officeDocument/2006/relationships/hyperlink" Target="https://maps.google.com/?q=16.523856,-96.600385000000003" TargetMode="External"/><Relationship Id="rId2641" Type="http://schemas.openxmlformats.org/officeDocument/2006/relationships/hyperlink" Target="https://maps.google.com/?q=18.086984,-96.167942999999994" TargetMode="External"/><Relationship Id="rId11184" Type="http://schemas.openxmlformats.org/officeDocument/2006/relationships/hyperlink" Target="https://maps.google.com/?q=16.844949,-96.011622000000003" TargetMode="External"/><Relationship Id="rId12235" Type="http://schemas.openxmlformats.org/officeDocument/2006/relationships/hyperlink" Target="https://maps.google.com/?q=16.41889182,-97.220343529999994" TargetMode="External"/><Relationship Id="rId613" Type="http://schemas.openxmlformats.org/officeDocument/2006/relationships/hyperlink" Target="https://maps.google.com/?q=16.05472,-97.396662000000006" TargetMode="External"/><Relationship Id="rId5864" Type="http://schemas.openxmlformats.org/officeDocument/2006/relationships/hyperlink" Target="https://maps.google.com/?q=15.9760861034092,-97.244962480985507" TargetMode="External"/><Relationship Id="rId6915" Type="http://schemas.openxmlformats.org/officeDocument/2006/relationships/hyperlink" Target="https://maps.google.com/?q=16.30349,-95.243860999999995" TargetMode="External"/><Relationship Id="rId4466" Type="http://schemas.openxmlformats.org/officeDocument/2006/relationships/hyperlink" Target="https://maps.google.com/?q=17.6211703864539,-98.001998953373104" TargetMode="External"/><Relationship Id="rId5517" Type="http://schemas.openxmlformats.org/officeDocument/2006/relationships/hyperlink" Target="https://maps.google.com/?q=17.2779313439276,-97.362627260891799" TargetMode="External"/><Relationship Id="rId3068" Type="http://schemas.openxmlformats.org/officeDocument/2006/relationships/hyperlink" Target="https://maps.google.com/?q=16.9639324969388,-96.941571353051302" TargetMode="External"/><Relationship Id="rId4119" Type="http://schemas.openxmlformats.org/officeDocument/2006/relationships/hyperlink" Target="https://maps.google.com/?q=17.058657,-96.743072990000002" TargetMode="External"/><Relationship Id="rId7689" Type="http://schemas.openxmlformats.org/officeDocument/2006/relationships/hyperlink" Target="https://maps.google.com/?q=17.2054014079731,-97.521108365914301" TargetMode="External"/><Relationship Id="rId13490" Type="http://schemas.openxmlformats.org/officeDocument/2006/relationships/hyperlink" Target="https://maps.google.com/?q=17.6901258781758,-97.0309116367212" TargetMode="External"/><Relationship Id="rId4600" Type="http://schemas.openxmlformats.org/officeDocument/2006/relationships/hyperlink" Target="https://maps.google.com/?q=16.557453,-96.819429999999997" TargetMode="External"/><Relationship Id="rId12092" Type="http://schemas.openxmlformats.org/officeDocument/2006/relationships/hyperlink" Target="https://maps.google.com/?q=16.24686796,-95.328058389999995" TargetMode="External"/><Relationship Id="rId13143" Type="http://schemas.openxmlformats.org/officeDocument/2006/relationships/hyperlink" Target="https://maps.google.com/?q=17.190510630182,-96.514941195106502" TargetMode="External"/><Relationship Id="rId470" Type="http://schemas.openxmlformats.org/officeDocument/2006/relationships/hyperlink" Target="https://maps.google.com/?q=16.053732,-97.409566999999996" TargetMode="External"/><Relationship Id="rId2151" Type="http://schemas.openxmlformats.org/officeDocument/2006/relationships/hyperlink" Target="https://maps.google.com/?q=15.76494,-96.142735000000002" TargetMode="External"/><Relationship Id="rId3202" Type="http://schemas.openxmlformats.org/officeDocument/2006/relationships/hyperlink" Target="https://maps.google.com/?q=16.4894259450979,-96.943293298052097" TargetMode="External"/><Relationship Id="rId123" Type="http://schemas.openxmlformats.org/officeDocument/2006/relationships/hyperlink" Target="https://maps.google.com/?q=17.091677,-97.496729000000002" TargetMode="External"/><Relationship Id="rId5374" Type="http://schemas.openxmlformats.org/officeDocument/2006/relationships/hyperlink" Target="https://maps.google.com/?q=15.9737995558915,-97.242858930059398" TargetMode="External"/><Relationship Id="rId6772" Type="http://schemas.openxmlformats.org/officeDocument/2006/relationships/hyperlink" Target="https://maps.google.com/?q=16.6267060158224,-97.044518172817405" TargetMode="External"/><Relationship Id="rId7823" Type="http://schemas.openxmlformats.org/officeDocument/2006/relationships/hyperlink" Target="https://maps.google.com/?q=17.010228,-96.889042000000003" TargetMode="External"/><Relationship Id="rId10804" Type="http://schemas.openxmlformats.org/officeDocument/2006/relationships/hyperlink" Target="https://maps.google.com/?q=16.3685517026436,-96.3759747949162" TargetMode="External"/><Relationship Id="rId5027" Type="http://schemas.openxmlformats.org/officeDocument/2006/relationships/hyperlink" Target="https://maps.google.com/?q=17.250828,-96.153154999999998" TargetMode="External"/><Relationship Id="rId6425" Type="http://schemas.openxmlformats.org/officeDocument/2006/relationships/hyperlink" Target="https://maps.google.com/?q=17.2515665520844,-97.583360305117907" TargetMode="External"/><Relationship Id="rId9995" Type="http://schemas.openxmlformats.org/officeDocument/2006/relationships/hyperlink" Target="https://maps.google.com/?q=17.1068824326858,-97.491860793865797" TargetMode="External"/><Relationship Id="rId12976" Type="http://schemas.openxmlformats.org/officeDocument/2006/relationships/hyperlink" Target="https://maps.google.com/?q=16.51142,-97.453508999999997" TargetMode="External"/><Relationship Id="rId1984" Type="http://schemas.openxmlformats.org/officeDocument/2006/relationships/hyperlink" Target="https://maps.google.com/?q=15.775304,-96.145901" TargetMode="External"/><Relationship Id="rId8597" Type="http://schemas.openxmlformats.org/officeDocument/2006/relationships/hyperlink" Target="https://maps.google.com/?q=17.8828021935938,-96.728092702327899" TargetMode="External"/><Relationship Id="rId9648" Type="http://schemas.openxmlformats.org/officeDocument/2006/relationships/hyperlink" Target="https://maps.google.com/?q=16.4751920525809,-96.679442821105098" TargetMode="External"/><Relationship Id="rId11578" Type="http://schemas.openxmlformats.org/officeDocument/2006/relationships/hyperlink" Target="https://maps.google.com/?q=16.8507523322122,-96.7529377987766" TargetMode="External"/><Relationship Id="rId12629" Type="http://schemas.openxmlformats.org/officeDocument/2006/relationships/hyperlink" Target="https://maps.google.com/?q=17.114271,-96.840562000000006" TargetMode="External"/><Relationship Id="rId1637" Type="http://schemas.openxmlformats.org/officeDocument/2006/relationships/hyperlink" Target="https://maps.google.com/?q=16.8918409334438,-96.934813647238698" TargetMode="External"/><Relationship Id="rId7199" Type="http://schemas.openxmlformats.org/officeDocument/2006/relationships/hyperlink" Target="https://maps.google.com/?q=16.1735121013188,-97.963610750509304" TargetMode="External"/><Relationship Id="rId14051" Type="http://schemas.openxmlformats.org/officeDocument/2006/relationships/hyperlink" Target="https://maps.google.com/?q=16.5332519617428,-94.95635964050464" TargetMode="External"/><Relationship Id="rId4110" Type="http://schemas.openxmlformats.org/officeDocument/2006/relationships/hyperlink" Target="https://maps.google.com/?q=17.0585929,-96.743018000000006" TargetMode="External"/><Relationship Id="rId7680" Type="http://schemas.openxmlformats.org/officeDocument/2006/relationships/hyperlink" Target="https://maps.google.com/?q=17.2009032371889,-97.5120473988962" TargetMode="External"/><Relationship Id="rId8731" Type="http://schemas.openxmlformats.org/officeDocument/2006/relationships/hyperlink" Target="https://maps.google.com/?q=17.0593242705798,-96.822073593314101" TargetMode="External"/><Relationship Id="rId6282" Type="http://schemas.openxmlformats.org/officeDocument/2006/relationships/hyperlink" Target="https://maps.google.com/?q=18.0506668604679,-96.389041813490195" TargetMode="External"/><Relationship Id="rId7333" Type="http://schemas.openxmlformats.org/officeDocument/2006/relationships/hyperlink" Target="https://maps.google.com/?q=16.5849350025992,-97.655597317790495" TargetMode="External"/><Relationship Id="rId10661" Type="http://schemas.openxmlformats.org/officeDocument/2006/relationships/hyperlink" Target="https://maps.google.com/?q=16.0624520162383,-95.392317561255595" TargetMode="External"/><Relationship Id="rId11712" Type="http://schemas.openxmlformats.org/officeDocument/2006/relationships/hyperlink" Target="https://maps.google.com/?q=17.18307088,-97.709696089999994" TargetMode="External"/><Relationship Id="rId10314" Type="http://schemas.openxmlformats.org/officeDocument/2006/relationships/hyperlink" Target="https://maps.google.com/?q=16.226953,-97.267576000000005" TargetMode="External"/><Relationship Id="rId13884" Type="http://schemas.openxmlformats.org/officeDocument/2006/relationships/hyperlink" Target="https://maps.google.com/?q=16.2765842709588,-96.566703315846297" TargetMode="External"/><Relationship Id="rId2892" Type="http://schemas.openxmlformats.org/officeDocument/2006/relationships/hyperlink" Target="https://maps.google.com/?q=17.534885,-95.944790999999995" TargetMode="External"/><Relationship Id="rId3943" Type="http://schemas.openxmlformats.org/officeDocument/2006/relationships/hyperlink" Target="https://maps.google.com/?q=17.059207,-96.749972" TargetMode="External"/><Relationship Id="rId9158" Type="http://schemas.openxmlformats.org/officeDocument/2006/relationships/hyperlink" Target="https://maps.google.com/?q=17.002476120492,-96.966162174241006" TargetMode="External"/><Relationship Id="rId12486" Type="http://schemas.openxmlformats.org/officeDocument/2006/relationships/hyperlink" Target="https://maps.google.com/?q=17.2225133503719,-97.273116007927896" TargetMode="External"/><Relationship Id="rId13537" Type="http://schemas.openxmlformats.org/officeDocument/2006/relationships/hyperlink" Target="https://maps.google.com/?q=17.1029766787699,-96.66706872271918" TargetMode="External"/><Relationship Id="rId864" Type="http://schemas.openxmlformats.org/officeDocument/2006/relationships/hyperlink" Target="https://maps.google.com/?q=17.093445,-97.497759000000002" TargetMode="External"/><Relationship Id="rId1494" Type="http://schemas.openxmlformats.org/officeDocument/2006/relationships/hyperlink" Target="https://maps.google.com/?q=17.059171,-96.750380000000007" TargetMode="External"/><Relationship Id="rId2545" Type="http://schemas.openxmlformats.org/officeDocument/2006/relationships/hyperlink" Target="https://maps.google.com/?q=17.753295,-96.199742999999998" TargetMode="External"/><Relationship Id="rId11088" Type="http://schemas.openxmlformats.org/officeDocument/2006/relationships/hyperlink" Target="https://maps.google.com/?q=17.254201,-96.155911" TargetMode="External"/><Relationship Id="rId12139" Type="http://schemas.openxmlformats.org/officeDocument/2006/relationships/hyperlink" Target="https://maps.google.com/?q=16.2859343699449,-97.672643279761999" TargetMode="External"/><Relationship Id="rId517" Type="http://schemas.openxmlformats.org/officeDocument/2006/relationships/hyperlink" Target="https://maps.google.com/?q=16.054372,-97.406460999999993" TargetMode="External"/><Relationship Id="rId1147" Type="http://schemas.openxmlformats.org/officeDocument/2006/relationships/hyperlink" Target="https://maps.google.com/?q=16.927334,-97.146298999999999" TargetMode="External"/><Relationship Id="rId5768" Type="http://schemas.openxmlformats.org/officeDocument/2006/relationships/hyperlink" Target="https://maps.google.com/?q=16.998849,-97.233815000000007" TargetMode="External"/><Relationship Id="rId6819" Type="http://schemas.openxmlformats.org/officeDocument/2006/relationships/hyperlink" Target="https://maps.google.com/?q=16.0622584712643,-97.172372597553405" TargetMode="External"/><Relationship Id="rId7190" Type="http://schemas.openxmlformats.org/officeDocument/2006/relationships/hyperlink" Target="https://maps.google.com/?q=16.1721828529565,-97.965960365606705" TargetMode="External"/><Relationship Id="rId8241" Type="http://schemas.openxmlformats.org/officeDocument/2006/relationships/hyperlink" Target="https://maps.google.com/?q=16.425024,-97.644884000000005" TargetMode="External"/><Relationship Id="rId10171" Type="http://schemas.openxmlformats.org/officeDocument/2006/relationships/hyperlink" Target="https://maps.google.com/?q=17.2663218649325,-97.721517348386897" TargetMode="External"/><Relationship Id="rId11222" Type="http://schemas.openxmlformats.org/officeDocument/2006/relationships/hyperlink" Target="https://maps.google.com/?q=17.428232,-96.656786" TargetMode="External"/><Relationship Id="rId12620" Type="http://schemas.openxmlformats.org/officeDocument/2006/relationships/hyperlink" Target="https://maps.google.com/?q=17.111867,-96.845314999999999" TargetMode="External"/><Relationship Id="rId3453" Type="http://schemas.openxmlformats.org/officeDocument/2006/relationships/hyperlink" Target="https://maps.google.com/?q=16.4582318919008,-96.929120185180807" TargetMode="External"/><Relationship Id="rId4851" Type="http://schemas.openxmlformats.org/officeDocument/2006/relationships/hyperlink" Target="https://maps.google.com/?q=17.3389338924769,-96.166505264266803" TargetMode="External"/><Relationship Id="rId5902" Type="http://schemas.openxmlformats.org/officeDocument/2006/relationships/hyperlink" Target="https://maps.google.com/?q=18.14569940679,-96.565699971859601" TargetMode="External"/><Relationship Id="rId13394" Type="http://schemas.openxmlformats.org/officeDocument/2006/relationships/hyperlink" Target="https://maps.google.com/?q=16.3261768372087,-96.673067169311494" TargetMode="External"/><Relationship Id="rId374" Type="http://schemas.openxmlformats.org/officeDocument/2006/relationships/hyperlink" Target="https://maps.google.com/?q=16.053025,-97.411844000000002" TargetMode="External"/><Relationship Id="rId2055" Type="http://schemas.openxmlformats.org/officeDocument/2006/relationships/hyperlink" Target="https://maps.google.com/?q=15.76247263637186,-96.144634905297139" TargetMode="External"/><Relationship Id="rId3106" Type="http://schemas.openxmlformats.org/officeDocument/2006/relationships/hyperlink" Target="https://maps.google.com/?q=15.9952304902,-96.466768964300002" TargetMode="External"/><Relationship Id="rId4504" Type="http://schemas.openxmlformats.org/officeDocument/2006/relationships/hyperlink" Target="https://maps.google.com/?q=17.1788994371425,-97.303864047781104" TargetMode="External"/><Relationship Id="rId13047" Type="http://schemas.openxmlformats.org/officeDocument/2006/relationships/hyperlink" Target="https://maps.google.com/?q=16.5620985,-97.530244300000007" TargetMode="External"/><Relationship Id="rId6676" Type="http://schemas.openxmlformats.org/officeDocument/2006/relationships/hyperlink" Target="https://maps.google.com/?q=16.9429895289657,-97.013264434358604" TargetMode="External"/><Relationship Id="rId7727" Type="http://schemas.openxmlformats.org/officeDocument/2006/relationships/hyperlink" Target="https://maps.google.com/?q=16.6302138361008,-96.802698931331406" TargetMode="External"/><Relationship Id="rId10708" Type="http://schemas.openxmlformats.org/officeDocument/2006/relationships/hyperlink" Target="https://maps.google.com/?q=16.95558,-96.479206000000005" TargetMode="External"/><Relationship Id="rId5278" Type="http://schemas.openxmlformats.org/officeDocument/2006/relationships/hyperlink" Target="https://maps.google.com/?q=15.8254633715703,-96.466025947898203" TargetMode="External"/><Relationship Id="rId6329" Type="http://schemas.openxmlformats.org/officeDocument/2006/relationships/hyperlink" Target="https://maps.google.com/?q=18.059849,-96.391036999999997" TargetMode="External"/><Relationship Id="rId9899" Type="http://schemas.openxmlformats.org/officeDocument/2006/relationships/hyperlink" Target="https://maps.google.com/?q=16.7890908813948,-96.655954205225498" TargetMode="External"/><Relationship Id="rId12130" Type="http://schemas.openxmlformats.org/officeDocument/2006/relationships/hyperlink" Target="https://maps.google.com/?q=16.2842128598415,-97.674740807375002" TargetMode="External"/><Relationship Id="rId1888" Type="http://schemas.openxmlformats.org/officeDocument/2006/relationships/hyperlink" Target="https://maps.google.com/?q=15.776049540182251,-96.136648125638729" TargetMode="External"/><Relationship Id="rId2939" Type="http://schemas.openxmlformats.org/officeDocument/2006/relationships/hyperlink" Target="https://maps.google.com/?q=17.08061825,-96.67004077" TargetMode="External"/><Relationship Id="rId6810" Type="http://schemas.openxmlformats.org/officeDocument/2006/relationships/hyperlink" Target="https://maps.google.com/?q=15.9908182940127,-97.191109270716495" TargetMode="External"/><Relationship Id="rId4361" Type="http://schemas.openxmlformats.org/officeDocument/2006/relationships/hyperlink" Target="https://maps.google.com/?q=15.96016199,-96.64473615" TargetMode="External"/><Relationship Id="rId5412" Type="http://schemas.openxmlformats.org/officeDocument/2006/relationships/hyperlink" Target="https://maps.google.com/?q=16.0981551929375,-97.700916909227303" TargetMode="External"/><Relationship Id="rId4014" Type="http://schemas.openxmlformats.org/officeDocument/2006/relationships/hyperlink" Target="https://maps.google.com/?q=17.018891150417932,-96.718331767274464" TargetMode="External"/><Relationship Id="rId7584" Type="http://schemas.openxmlformats.org/officeDocument/2006/relationships/hyperlink" Target="https://maps.google.com/?q=17.0933281721194,-95.854812408053903" TargetMode="External"/><Relationship Id="rId8982" Type="http://schemas.openxmlformats.org/officeDocument/2006/relationships/hyperlink" Target="https://maps.google.com/?q=17.381839139,-96.160918331999994" TargetMode="External"/><Relationship Id="rId11963" Type="http://schemas.openxmlformats.org/officeDocument/2006/relationships/hyperlink" Target="https://maps.google.com/?q=16.7987838542557,-96.7211485631355" TargetMode="External"/><Relationship Id="rId6186" Type="http://schemas.openxmlformats.org/officeDocument/2006/relationships/hyperlink" Target="https://maps.google.com/?q=16.090126,-97.081435999999997" TargetMode="External"/><Relationship Id="rId7237" Type="http://schemas.openxmlformats.org/officeDocument/2006/relationships/hyperlink" Target="https://maps.google.com/?q=16.096454602518,-97.924377397791503" TargetMode="External"/><Relationship Id="rId8635" Type="http://schemas.openxmlformats.org/officeDocument/2006/relationships/hyperlink" Target="https://maps.google.com/?q=17.9001779661432,-96.715817451149306" TargetMode="External"/><Relationship Id="rId10565" Type="http://schemas.openxmlformats.org/officeDocument/2006/relationships/hyperlink" Target="https://maps.google.com/?q=17.1296417594278,-97.7799073825459" TargetMode="External"/><Relationship Id="rId11616" Type="http://schemas.openxmlformats.org/officeDocument/2006/relationships/hyperlink" Target="https://maps.google.com/?q=16.8371172263774,-96.730242314732493" TargetMode="External"/><Relationship Id="rId10218" Type="http://schemas.openxmlformats.org/officeDocument/2006/relationships/hyperlink" Target="https://maps.google.com/?q=17.28900466332768,-97.35207304613026" TargetMode="External"/><Relationship Id="rId13788" Type="http://schemas.openxmlformats.org/officeDocument/2006/relationships/hyperlink" Target="https://maps.google.com/?q=17.129404,-97.747810999999999" TargetMode="External"/><Relationship Id="rId2796" Type="http://schemas.openxmlformats.org/officeDocument/2006/relationships/hyperlink" Target="https://maps.google.com/?q=16.9954762846656,-97.701968268682506" TargetMode="External"/><Relationship Id="rId3847" Type="http://schemas.openxmlformats.org/officeDocument/2006/relationships/hyperlink" Target="https://maps.google.com/?q=17.1029883610558,-95.945500480581003" TargetMode="External"/><Relationship Id="rId768" Type="http://schemas.openxmlformats.org/officeDocument/2006/relationships/hyperlink" Target="https://maps.google.com/?q=15.687516011082389,-96.512445633808142" TargetMode="External"/><Relationship Id="rId1398" Type="http://schemas.openxmlformats.org/officeDocument/2006/relationships/hyperlink" Target="https://maps.google.com/?q=16.433347,-95.021687" TargetMode="External"/><Relationship Id="rId2449" Type="http://schemas.openxmlformats.org/officeDocument/2006/relationships/hyperlink" Target="https://maps.google.com/?q=17.05143318,-96.624366570000007" TargetMode="External"/><Relationship Id="rId6320" Type="http://schemas.openxmlformats.org/officeDocument/2006/relationships/hyperlink" Target="https://maps.google.com/?q=18.0589497363767,-96.399803893730805" TargetMode="External"/><Relationship Id="rId9890" Type="http://schemas.openxmlformats.org/officeDocument/2006/relationships/hyperlink" Target="https://maps.google.com/?q=16.6382434548484,-96.850058210708696" TargetMode="External"/><Relationship Id="rId8492" Type="http://schemas.openxmlformats.org/officeDocument/2006/relationships/hyperlink" Target="https://maps.google.com/?q=17.1565703354834,-97.528456156512704" TargetMode="External"/><Relationship Id="rId9543" Type="http://schemas.openxmlformats.org/officeDocument/2006/relationships/hyperlink" Target="https://maps.google.com/?q=17.273825,-96.803376" TargetMode="External"/><Relationship Id="rId12871" Type="http://schemas.openxmlformats.org/officeDocument/2006/relationships/hyperlink" Target="https://maps.google.com/?q=17.519447,-97.683766000000006" TargetMode="External"/><Relationship Id="rId13922" Type="http://schemas.openxmlformats.org/officeDocument/2006/relationships/hyperlink" Target="https://maps.google.com/?q=16.8586331584271,-96.815608950628999" TargetMode="External"/><Relationship Id="rId1532" Type="http://schemas.openxmlformats.org/officeDocument/2006/relationships/hyperlink" Target="https://maps.google.com/?q=17.062102,-96.753140999999999" TargetMode="External"/><Relationship Id="rId2930" Type="http://schemas.openxmlformats.org/officeDocument/2006/relationships/hyperlink" Target="https://maps.google.com/?q=17.07827433,-96.664752759999999" TargetMode="External"/><Relationship Id="rId7094" Type="http://schemas.openxmlformats.org/officeDocument/2006/relationships/hyperlink" Target="https://maps.google.com/?q=16.345396,&#160;-98.062647" TargetMode="External"/><Relationship Id="rId8145" Type="http://schemas.openxmlformats.org/officeDocument/2006/relationships/hyperlink" Target="https://maps.google.com/?q=17.356121,-96.303100" TargetMode="External"/><Relationship Id="rId10075" Type="http://schemas.openxmlformats.org/officeDocument/2006/relationships/hyperlink" Target="https://maps.google.com/?q=16.9907344986195,-96.1067909086577" TargetMode="External"/><Relationship Id="rId11473" Type="http://schemas.openxmlformats.org/officeDocument/2006/relationships/hyperlink" Target="https://maps.google.com/?q=16.2995791336374,-96.637852074344494" TargetMode="External"/><Relationship Id="rId12524" Type="http://schemas.openxmlformats.org/officeDocument/2006/relationships/hyperlink" Target="https://maps.google.com/?q=17.2265463583441,-97.273442557183003" TargetMode="External"/><Relationship Id="rId902" Type="http://schemas.openxmlformats.org/officeDocument/2006/relationships/hyperlink" Target="https://maps.google.com/?q=16.88259,-97.675792000000001" TargetMode="External"/><Relationship Id="rId11126" Type="http://schemas.openxmlformats.org/officeDocument/2006/relationships/hyperlink" Target="https://maps.google.com/?q=16.834241,-96.006690000000006" TargetMode="External"/><Relationship Id="rId4755" Type="http://schemas.openxmlformats.org/officeDocument/2006/relationships/hyperlink" Target="https://maps.google.com/?q=17.955266863904,-96.658389999999997" TargetMode="External"/><Relationship Id="rId5806" Type="http://schemas.openxmlformats.org/officeDocument/2006/relationships/hyperlink" Target="https://maps.google.com/?q=17.3122018062111,-97.489180932541004" TargetMode="External"/><Relationship Id="rId13298" Type="http://schemas.openxmlformats.org/officeDocument/2006/relationships/hyperlink" Target="https://maps.google.com/?q=16.1323289225241,-96.332976204477802" TargetMode="External"/><Relationship Id="rId278" Type="http://schemas.openxmlformats.org/officeDocument/2006/relationships/hyperlink" Target="https://maps.google.com/?q=16.88386,-97.677009999999996" TargetMode="External"/><Relationship Id="rId3357" Type="http://schemas.openxmlformats.org/officeDocument/2006/relationships/hyperlink" Target="https://maps.google.com/?q=17.05744,-96.824194000000006" TargetMode="External"/><Relationship Id="rId4408" Type="http://schemas.openxmlformats.org/officeDocument/2006/relationships/hyperlink" Target="https://maps.google.com/?q=16.00344178,-96.682957459999997" TargetMode="External"/><Relationship Id="rId7978" Type="http://schemas.openxmlformats.org/officeDocument/2006/relationships/hyperlink" Target="https://maps.google.com/?q=18.162657050958,-96.873808355227098" TargetMode="External"/><Relationship Id="rId10959" Type="http://schemas.openxmlformats.org/officeDocument/2006/relationships/hyperlink" Target="https://maps.google.com/?q=16.2075249369264,-95.224118999999902" TargetMode="External"/><Relationship Id="rId12381" Type="http://schemas.openxmlformats.org/officeDocument/2006/relationships/hyperlink" Target="https://maps.google.com/?q=16.5525268919499,-96.8196794662705" TargetMode="External"/><Relationship Id="rId13432" Type="http://schemas.openxmlformats.org/officeDocument/2006/relationships/hyperlink" Target="https://maps.google.com/?q=17.6828440557496,-97.036174723240293" TargetMode="External"/><Relationship Id="rId2440" Type="http://schemas.openxmlformats.org/officeDocument/2006/relationships/hyperlink" Target="https://maps.google.com/?q=17.05136998,-96.624454600000007" TargetMode="External"/><Relationship Id="rId9053" Type="http://schemas.openxmlformats.org/officeDocument/2006/relationships/hyperlink" Target="https://maps.google.com/?q=16.054765,-95.477458999999996" TargetMode="External"/><Relationship Id="rId12034" Type="http://schemas.openxmlformats.org/officeDocument/2006/relationships/hyperlink" Target="https://maps.google.com/?q=16.8058317798529,-96.721102752149605" TargetMode="External"/><Relationship Id="rId412" Type="http://schemas.openxmlformats.org/officeDocument/2006/relationships/hyperlink" Target="https://maps.google.com/?q=16.053109,-97.410973999999996" TargetMode="External"/><Relationship Id="rId1042" Type="http://schemas.openxmlformats.org/officeDocument/2006/relationships/hyperlink" Target="https://maps.google.com/?q=15.707146366019476,-96.525071253867438" TargetMode="External"/><Relationship Id="rId5663" Type="http://schemas.openxmlformats.org/officeDocument/2006/relationships/hyperlink" Target="https://maps.google.com/?q=16.437335,-97.856347" TargetMode="External"/><Relationship Id="rId4265" Type="http://schemas.openxmlformats.org/officeDocument/2006/relationships/hyperlink" Target="https://maps.google.com/?q=16.0144573578003,-96.647918922209101" TargetMode="External"/><Relationship Id="rId5316" Type="http://schemas.openxmlformats.org/officeDocument/2006/relationships/hyperlink" Target="https://maps.google.com/?q=15.8059782117907,-96.356896407005195" TargetMode="External"/><Relationship Id="rId6714" Type="http://schemas.openxmlformats.org/officeDocument/2006/relationships/hyperlink" Target="https://maps.google.com/?q=17.030060907076,-96.984018952826005" TargetMode="External"/><Relationship Id="rId8886" Type="http://schemas.openxmlformats.org/officeDocument/2006/relationships/hyperlink" Target="https://maps.google.com/?q=17.379519689,-96.161636114999993" TargetMode="External"/><Relationship Id="rId9937" Type="http://schemas.openxmlformats.org/officeDocument/2006/relationships/hyperlink" Target="https://maps.google.com/?q=16.7052702017343,-96.712583340088699" TargetMode="External"/><Relationship Id="rId11867" Type="http://schemas.openxmlformats.org/officeDocument/2006/relationships/hyperlink" Target="https://maps.google.com/?q=16.338022845505837,-94.51302917790986" TargetMode="External"/><Relationship Id="rId12918" Type="http://schemas.openxmlformats.org/officeDocument/2006/relationships/hyperlink" Target="https://maps.google.com/?q=16.536888,-97.526353" TargetMode="External"/><Relationship Id="rId1926" Type="http://schemas.openxmlformats.org/officeDocument/2006/relationships/hyperlink" Target="https://maps.google.com/?q=15.777020335365483,-96.136988889514697" TargetMode="External"/><Relationship Id="rId7488" Type="http://schemas.openxmlformats.org/officeDocument/2006/relationships/hyperlink" Target="https://maps.google.com/?q=17.34115768,-97.372171159999994" TargetMode="External"/><Relationship Id="rId8539" Type="http://schemas.openxmlformats.org/officeDocument/2006/relationships/hyperlink" Target="https://maps.google.com/?q=16.91702057158,-96.611292739915797" TargetMode="External"/><Relationship Id="rId10469" Type="http://schemas.openxmlformats.org/officeDocument/2006/relationships/hyperlink" Target="https://maps.google.com/?q=16.6647634133429,-97.2543431439572" TargetMode="External"/><Relationship Id="rId3001" Type="http://schemas.openxmlformats.org/officeDocument/2006/relationships/hyperlink" Target="https://maps.google.com/?q=16.935507,-97.009927000000005" TargetMode="External"/><Relationship Id="rId6571" Type="http://schemas.openxmlformats.org/officeDocument/2006/relationships/hyperlink" Target="https://maps.google.com/?q=17.763075,-96.880373" TargetMode="External"/><Relationship Id="rId7622" Type="http://schemas.openxmlformats.org/officeDocument/2006/relationships/hyperlink" Target="https://maps.google.com/?q=17.2303534493756,-95.054690847539405" TargetMode="External"/><Relationship Id="rId10950" Type="http://schemas.openxmlformats.org/officeDocument/2006/relationships/hyperlink" Target="https://maps.google.com/?q=16.2063315098813,-95.217738240551995" TargetMode="External"/><Relationship Id="rId5173" Type="http://schemas.openxmlformats.org/officeDocument/2006/relationships/hyperlink" Target="https://maps.google.com/?q=17.314155,-95.964574999999996" TargetMode="External"/><Relationship Id="rId6224" Type="http://schemas.openxmlformats.org/officeDocument/2006/relationships/hyperlink" Target="https://maps.google.com/?q=16.096915,-97.082800000000006" TargetMode="External"/><Relationship Id="rId9794" Type="http://schemas.openxmlformats.org/officeDocument/2006/relationships/hyperlink" Target="https://maps.google.com/?q=16.6412866928712,-96.752728334417995" TargetMode="External"/><Relationship Id="rId10603" Type="http://schemas.openxmlformats.org/officeDocument/2006/relationships/hyperlink" Target="https://maps.google.com/?q=17.1286712730207,-97.746661833526403" TargetMode="External"/><Relationship Id="rId8396" Type="http://schemas.openxmlformats.org/officeDocument/2006/relationships/hyperlink" Target="https://maps.google.com/?q=16.0898466453761,-96.2453213411045" TargetMode="External"/><Relationship Id="rId9447" Type="http://schemas.openxmlformats.org/officeDocument/2006/relationships/hyperlink" Target="https://maps.google.com/?q=15.8343448383038,-96.639347866235696" TargetMode="External"/><Relationship Id="rId12775" Type="http://schemas.openxmlformats.org/officeDocument/2006/relationships/hyperlink" Target="https://maps.google.com/?q=17.138185152543223,-97.78505871213896" TargetMode="External"/><Relationship Id="rId13826" Type="http://schemas.openxmlformats.org/officeDocument/2006/relationships/hyperlink" Target="https://maps.google.com/?q=17.090499,-97.785233000000005" TargetMode="External"/><Relationship Id="rId1783" Type="http://schemas.openxmlformats.org/officeDocument/2006/relationships/hyperlink" Target="https://maps.google.com/?q=18.0625054004138,-96.896023559454903" TargetMode="External"/><Relationship Id="rId2834" Type="http://schemas.openxmlformats.org/officeDocument/2006/relationships/hyperlink" Target="https://maps.google.com/?q=16.993173294301,-97.716279909227396" TargetMode="External"/><Relationship Id="rId8049" Type="http://schemas.openxmlformats.org/officeDocument/2006/relationships/hyperlink" Target="https://maps.google.com/?q=16.4960008142406,-97.376851359504798" TargetMode="External"/><Relationship Id="rId11377" Type="http://schemas.openxmlformats.org/officeDocument/2006/relationships/hyperlink" Target="https://maps.google.com/?q=16.3774874564808,-94.190675029430395" TargetMode="External"/><Relationship Id="rId12428" Type="http://schemas.openxmlformats.org/officeDocument/2006/relationships/hyperlink" Target="https://maps.google.com/?q=16.5602377121228,-96.821172317791095" TargetMode="External"/><Relationship Id="rId806" Type="http://schemas.openxmlformats.org/officeDocument/2006/relationships/hyperlink" Target="https://maps.google.com/?q=15.694060832743101,-96.52242089454046" TargetMode="External"/><Relationship Id="rId1436" Type="http://schemas.openxmlformats.org/officeDocument/2006/relationships/hyperlink" Target="https://maps.google.com/?q=17.04935,-96.71219" TargetMode="External"/><Relationship Id="rId4659" Type="http://schemas.openxmlformats.org/officeDocument/2006/relationships/hyperlink" Target="https://maps.google.com/?q=17.072858,-96.743183999999999" TargetMode="External"/><Relationship Id="rId8530" Type="http://schemas.openxmlformats.org/officeDocument/2006/relationships/hyperlink" Target="https://maps.google.com/?q=16.9356292119959,-96.613807608632996" TargetMode="External"/><Relationship Id="rId10460" Type="http://schemas.openxmlformats.org/officeDocument/2006/relationships/hyperlink" Target="https://maps.google.com/?q=17.039632,-96.780282" TargetMode="External"/><Relationship Id="rId11511" Type="http://schemas.openxmlformats.org/officeDocument/2006/relationships/hyperlink" Target="https://maps.google.com/?q=16.6114104256081,-96.845498891299002" TargetMode="External"/><Relationship Id="rId6081" Type="http://schemas.openxmlformats.org/officeDocument/2006/relationships/hyperlink" Target="https://maps.google.com/?q=16.6544408532675,-97.332716852962506" TargetMode="External"/><Relationship Id="rId7132" Type="http://schemas.openxmlformats.org/officeDocument/2006/relationships/hyperlink" Target="https://maps.google.com/?q=17.342530606404,-97.667385331664207" TargetMode="External"/><Relationship Id="rId10113" Type="http://schemas.openxmlformats.org/officeDocument/2006/relationships/hyperlink" Target="https://maps.google.com/?q=17.0254258733504,-96.137247597791301" TargetMode="External"/><Relationship Id="rId2691" Type="http://schemas.openxmlformats.org/officeDocument/2006/relationships/hyperlink" Target="https://maps.google.com/?q=16.567299473743,-97.011101728836096" TargetMode="External"/><Relationship Id="rId3742" Type="http://schemas.openxmlformats.org/officeDocument/2006/relationships/hyperlink" Target="https://maps.google.com/?q=15.761573080098627,-96.143528419977102" TargetMode="External"/><Relationship Id="rId12285" Type="http://schemas.openxmlformats.org/officeDocument/2006/relationships/hyperlink" Target="https://maps.google.com/?q=16.4763797322412,-94.356477177909795" TargetMode="External"/><Relationship Id="rId13683" Type="http://schemas.openxmlformats.org/officeDocument/2006/relationships/hyperlink" Target="https://maps.google.com/?q=17.945299,-96.17051" TargetMode="External"/><Relationship Id="rId663" Type="http://schemas.openxmlformats.org/officeDocument/2006/relationships/hyperlink" Target="https://maps.google.com/?q=16.056448,-97.392095999999995" TargetMode="External"/><Relationship Id="rId1293" Type="http://schemas.openxmlformats.org/officeDocument/2006/relationships/hyperlink" Target="https://maps.google.com/?q=17.080164,-96.726157" TargetMode="External"/><Relationship Id="rId2344" Type="http://schemas.openxmlformats.org/officeDocument/2006/relationships/hyperlink" Target="https://maps.google.com/?q=17.095219,-97.665497999999999" TargetMode="External"/><Relationship Id="rId13336" Type="http://schemas.openxmlformats.org/officeDocument/2006/relationships/hyperlink" Target="https://maps.google.com/?q=18.0619492,-97.719021290000001" TargetMode="External"/><Relationship Id="rId316" Type="http://schemas.openxmlformats.org/officeDocument/2006/relationships/hyperlink" Target="https://maps.google.com/?q=16.055584,-97.392645000000002" TargetMode="External"/><Relationship Id="rId6965" Type="http://schemas.openxmlformats.org/officeDocument/2006/relationships/hyperlink" Target="https://maps.google.com/?q=16.38439692,-96.839003559999995" TargetMode="External"/><Relationship Id="rId4169" Type="http://schemas.openxmlformats.org/officeDocument/2006/relationships/hyperlink" Target="https://maps.google.com/?q=16.318207,-97.798417000000001" TargetMode="External"/><Relationship Id="rId5567" Type="http://schemas.openxmlformats.org/officeDocument/2006/relationships/hyperlink" Target="https://maps.google.com/?q=17.602044858365,-96.121168186507902" TargetMode="External"/><Relationship Id="rId6618" Type="http://schemas.openxmlformats.org/officeDocument/2006/relationships/hyperlink" Target="https://maps.google.com/?q=16.725641,-96.667360" TargetMode="External"/><Relationship Id="rId8040" Type="http://schemas.openxmlformats.org/officeDocument/2006/relationships/hyperlink" Target="https://maps.google.com/?q=16.4927053599916,-97.382791183135197" TargetMode="External"/><Relationship Id="rId11021" Type="http://schemas.openxmlformats.org/officeDocument/2006/relationships/hyperlink" Target="https://maps.google.com/?q=17.159043,-97.188001999999997" TargetMode="External"/><Relationship Id="rId4650" Type="http://schemas.openxmlformats.org/officeDocument/2006/relationships/hyperlink" Target="https://maps.google.com/?q=17.071471,-96.742028000000005" TargetMode="External"/><Relationship Id="rId5701" Type="http://schemas.openxmlformats.org/officeDocument/2006/relationships/hyperlink" Target="https://maps.google.com/?q=17.4285661,-96.284481049999997" TargetMode="External"/><Relationship Id="rId13193" Type="http://schemas.openxmlformats.org/officeDocument/2006/relationships/hyperlink" Target="https://maps.google.com/?q=16.5750028180567,-97.0189813817924" TargetMode="External"/><Relationship Id="rId3252" Type="http://schemas.openxmlformats.org/officeDocument/2006/relationships/hyperlink" Target="https://maps.google.com/?q=17.057768975206,-96.824182043568598" TargetMode="External"/><Relationship Id="rId4303" Type="http://schemas.openxmlformats.org/officeDocument/2006/relationships/hyperlink" Target="https://maps.google.com/?q=16.0099045276106,-96.570495933838799" TargetMode="External"/><Relationship Id="rId7873" Type="http://schemas.openxmlformats.org/officeDocument/2006/relationships/hyperlink" Target="https://maps.google.com/?q=16.3167325416628,-96.403242125581997" TargetMode="External"/><Relationship Id="rId173" Type="http://schemas.openxmlformats.org/officeDocument/2006/relationships/hyperlink" Target="https://maps.google.com/?q=17.091043,-97.499135999999993" TargetMode="External"/><Relationship Id="rId6475" Type="http://schemas.openxmlformats.org/officeDocument/2006/relationships/hyperlink" Target="https://maps.google.com/?q=17.2351515782844,-97.553765702145498" TargetMode="External"/><Relationship Id="rId7526" Type="http://schemas.openxmlformats.org/officeDocument/2006/relationships/hyperlink" Target="https://maps.google.com/?q=17.9753593781759,-96.702797226511294" TargetMode="External"/><Relationship Id="rId8924" Type="http://schemas.openxmlformats.org/officeDocument/2006/relationships/hyperlink" Target="https://maps.google.com/?q=17.380705067,-96.163465786000003" TargetMode="External"/><Relationship Id="rId10854" Type="http://schemas.openxmlformats.org/officeDocument/2006/relationships/hyperlink" Target="https://maps.google.com/?q=16.3466633683257,-94.476953319403805" TargetMode="External"/><Relationship Id="rId11905" Type="http://schemas.openxmlformats.org/officeDocument/2006/relationships/hyperlink" Target="https://maps.google.com/?q=17.07680121033464,-96.74724521917751" TargetMode="External"/><Relationship Id="rId5077" Type="http://schemas.openxmlformats.org/officeDocument/2006/relationships/hyperlink" Target="https://maps.google.com/?q=17.25277,-96.155623000000006" TargetMode="External"/><Relationship Id="rId6128" Type="http://schemas.openxmlformats.org/officeDocument/2006/relationships/hyperlink" Target="https://maps.google.com/?q=16.95087183,-96.608981499999999" TargetMode="External"/><Relationship Id="rId10507" Type="http://schemas.openxmlformats.org/officeDocument/2006/relationships/hyperlink" Target="https://maps.google.com/?q=17.8462411996621,-96.743753351451005" TargetMode="External"/><Relationship Id="rId9698" Type="http://schemas.openxmlformats.org/officeDocument/2006/relationships/hyperlink" Target="https://maps.google.com/?q=18.0828371669947,-96.136962048473407" TargetMode="External"/><Relationship Id="rId12679" Type="http://schemas.openxmlformats.org/officeDocument/2006/relationships/hyperlink" Target="https://maps.google.com/?q=16.9233893302411,-97.895014301500495" TargetMode="External"/><Relationship Id="rId1687" Type="http://schemas.openxmlformats.org/officeDocument/2006/relationships/hyperlink" Target="https://maps.google.com/?q=18.0064085823096,-96.894595204903695" TargetMode="External"/><Relationship Id="rId2738" Type="http://schemas.openxmlformats.org/officeDocument/2006/relationships/hyperlink" Target="https://maps.google.com/?q=17.9904460841799,-96.488765165676" TargetMode="External"/><Relationship Id="rId4160" Type="http://schemas.openxmlformats.org/officeDocument/2006/relationships/hyperlink" Target="https://maps.google.com/?q=16.4252212737632,-98.168770689833906" TargetMode="External"/><Relationship Id="rId5211" Type="http://schemas.openxmlformats.org/officeDocument/2006/relationships/hyperlink" Target="https://maps.google.com/?q=17.318124,-95.973983000000004" TargetMode="External"/><Relationship Id="rId8781" Type="http://schemas.openxmlformats.org/officeDocument/2006/relationships/hyperlink" Target="https://maps.google.com/?q=17.209781,-96.252266000000006" TargetMode="External"/><Relationship Id="rId9832" Type="http://schemas.openxmlformats.org/officeDocument/2006/relationships/hyperlink" Target="https://maps.google.com/?q=16.6326993323298,-96.849927430000093" TargetMode="External"/><Relationship Id="rId46" Type="http://schemas.openxmlformats.org/officeDocument/2006/relationships/hyperlink" Target="https://maps.google.com/?q=15.911889,-96.450166999999993" TargetMode="External"/><Relationship Id="rId1821" Type="http://schemas.openxmlformats.org/officeDocument/2006/relationships/hyperlink" Target="https://maps.google.com/?q=18.0353718200292,-96.896680511231196" TargetMode="External"/><Relationship Id="rId7383" Type="http://schemas.openxmlformats.org/officeDocument/2006/relationships/hyperlink" Target="https://maps.google.com/?q=17.0427570440428,-97.297610811981201" TargetMode="External"/><Relationship Id="rId8434" Type="http://schemas.openxmlformats.org/officeDocument/2006/relationships/hyperlink" Target="https://maps.google.com/?q=16.202876316042,-96.825396186508101" TargetMode="External"/><Relationship Id="rId10364" Type="http://schemas.openxmlformats.org/officeDocument/2006/relationships/hyperlink" Target="https://maps.google.com/?q=17.4360901489034,-96.656045689479996" TargetMode="External"/><Relationship Id="rId11762" Type="http://schemas.openxmlformats.org/officeDocument/2006/relationships/hyperlink" Target="https://maps.google.com/?q=16.607188585774164,-98.158431291996" TargetMode="External"/><Relationship Id="rId12813" Type="http://schemas.openxmlformats.org/officeDocument/2006/relationships/hyperlink" Target="https://maps.google.com/?q=17.8483349223583,-97.433547769634103" TargetMode="External"/><Relationship Id="rId7036" Type="http://schemas.openxmlformats.org/officeDocument/2006/relationships/hyperlink" Target="https://maps.google.com/?q=17.0450861119907,-97.298760600669496" TargetMode="External"/><Relationship Id="rId10017" Type="http://schemas.openxmlformats.org/officeDocument/2006/relationships/hyperlink" Target="https://maps.google.com/?q=16.9943867318083,-96.072186721223403" TargetMode="External"/><Relationship Id="rId11415" Type="http://schemas.openxmlformats.org/officeDocument/2006/relationships/hyperlink" Target="https://maps.google.com/?q=17.376435249475,-98.185163011711794" TargetMode="External"/><Relationship Id="rId2595" Type="http://schemas.openxmlformats.org/officeDocument/2006/relationships/hyperlink" Target="https://maps.google.com/?q=18.172908,-96.282685000000001" TargetMode="External"/><Relationship Id="rId3993" Type="http://schemas.openxmlformats.org/officeDocument/2006/relationships/hyperlink" Target="https://maps.google.com/?q=17.05386,-96.735390" TargetMode="External"/><Relationship Id="rId13587" Type="http://schemas.openxmlformats.org/officeDocument/2006/relationships/hyperlink" Target="https://maps.google.com/?q=17.063778,-96.729971000000006" TargetMode="External"/><Relationship Id="rId567" Type="http://schemas.openxmlformats.org/officeDocument/2006/relationships/hyperlink" Target="https://maps.google.com/?q=16.05233,-97.402203999999998" TargetMode="External"/><Relationship Id="rId1197" Type="http://schemas.openxmlformats.org/officeDocument/2006/relationships/hyperlink" Target="https://maps.google.com/?q=17.282415,-96.877921" TargetMode="External"/><Relationship Id="rId2248" Type="http://schemas.openxmlformats.org/officeDocument/2006/relationships/hyperlink" Target="https://maps.google.com/?q=16.52013,-96.968489" TargetMode="External"/><Relationship Id="rId3646" Type="http://schemas.openxmlformats.org/officeDocument/2006/relationships/hyperlink" Target="https://maps.google.com/?q=15.778600755404083,-96.137675495951797" TargetMode="External"/><Relationship Id="rId12189" Type="http://schemas.openxmlformats.org/officeDocument/2006/relationships/hyperlink" Target="https://maps.google.com/?q=17.4172172837373,-95.950604510734706" TargetMode="External"/><Relationship Id="rId6869" Type="http://schemas.openxmlformats.org/officeDocument/2006/relationships/hyperlink" Target="https://maps.google.com/?q=16.9699401,-97.083507999999995" TargetMode="External"/><Relationship Id="rId12670" Type="http://schemas.openxmlformats.org/officeDocument/2006/relationships/hyperlink" Target="https://maps.google.com/?q=16.9211271765452,-97.891640855959494" TargetMode="External"/><Relationship Id="rId13721" Type="http://schemas.openxmlformats.org/officeDocument/2006/relationships/hyperlink" Target="https://maps.google.com/?q=16.896861,-96.766546" TargetMode="External"/><Relationship Id="rId8291" Type="http://schemas.openxmlformats.org/officeDocument/2006/relationships/hyperlink" Target="https://maps.google.com/?q=17.629808008,-97.034151496299998" TargetMode="External"/><Relationship Id="rId9342" Type="http://schemas.openxmlformats.org/officeDocument/2006/relationships/hyperlink" Target="https://maps.google.com/?q=16.8173909878204,-95.135040742976102" TargetMode="External"/><Relationship Id="rId11272" Type="http://schemas.openxmlformats.org/officeDocument/2006/relationships/hyperlink" Target="https://maps.google.com/?q=17.8657610996773,-96.309012716235799" TargetMode="External"/><Relationship Id="rId12323" Type="http://schemas.openxmlformats.org/officeDocument/2006/relationships/hyperlink" Target="https://maps.google.com/?q=16.037809,-97.066583" TargetMode="External"/><Relationship Id="rId701" Type="http://schemas.openxmlformats.org/officeDocument/2006/relationships/hyperlink" Target="https://maps.google.com/?q=16.063052,-97.382220000000004" TargetMode="External"/><Relationship Id="rId1331" Type="http://schemas.openxmlformats.org/officeDocument/2006/relationships/hyperlink" Target="https://maps.google.com/?q=17.01805232,-96.71851994" TargetMode="External"/><Relationship Id="rId5952" Type="http://schemas.openxmlformats.org/officeDocument/2006/relationships/hyperlink" Target="https://maps.google.com/?q=18.153940873444668,-96.574994432399492" TargetMode="External"/><Relationship Id="rId4554" Type="http://schemas.openxmlformats.org/officeDocument/2006/relationships/hyperlink" Target="https://maps.google.com/?q=17.1853045017391,-97.3038962220554" TargetMode="External"/><Relationship Id="rId5605" Type="http://schemas.openxmlformats.org/officeDocument/2006/relationships/hyperlink" Target="https://maps.google.com/?q=17.4623391213429,-96.232110678896007" TargetMode="External"/><Relationship Id="rId13097" Type="http://schemas.openxmlformats.org/officeDocument/2006/relationships/hyperlink" Target="https://maps.google.com/?q=16.5651174,-97.538145600000007" TargetMode="External"/><Relationship Id="rId14148" Type="http://schemas.openxmlformats.org/officeDocument/2006/relationships/hyperlink" Target="https://maps.google.com/?q=16.61983985,-97.54903512" TargetMode="External"/><Relationship Id="rId3156" Type="http://schemas.openxmlformats.org/officeDocument/2006/relationships/hyperlink" Target="https://maps.google.com/?q=16.543812,-97.497651000000005" TargetMode="External"/><Relationship Id="rId4207" Type="http://schemas.openxmlformats.org/officeDocument/2006/relationships/hyperlink" Target="https://maps.google.com/?q=16.564244,-96.731829000000005" TargetMode="External"/><Relationship Id="rId6379" Type="http://schemas.openxmlformats.org/officeDocument/2006/relationships/hyperlink" Target="https://maps.google.com/?q=16.579389,-96.875973999999999" TargetMode="External"/><Relationship Id="rId7777" Type="http://schemas.openxmlformats.org/officeDocument/2006/relationships/hyperlink" Target="https://maps.google.com/?q=16.182794,-96.386098000000004" TargetMode="External"/><Relationship Id="rId8828" Type="http://schemas.openxmlformats.org/officeDocument/2006/relationships/hyperlink" Target="https://maps.google.com/?q=17.216374,-96.246108000000007" TargetMode="External"/><Relationship Id="rId10758" Type="http://schemas.openxmlformats.org/officeDocument/2006/relationships/hyperlink" Target="https://maps.google.com/?q=17.455617,-97.223950000000002" TargetMode="External"/><Relationship Id="rId11809" Type="http://schemas.openxmlformats.org/officeDocument/2006/relationships/hyperlink" Target="https://maps.google.com/?q=16.31610712676214,-96.5017832847252" TargetMode="External"/><Relationship Id="rId12180" Type="http://schemas.openxmlformats.org/officeDocument/2006/relationships/hyperlink" Target="https://maps.google.com/?q=17.4167278857394,-95.944711066606004" TargetMode="External"/><Relationship Id="rId13231" Type="http://schemas.openxmlformats.org/officeDocument/2006/relationships/hyperlink" Target="https://maps.google.com/?q=17.139114422134,-96.7508556986231" TargetMode="External"/><Relationship Id="rId2989" Type="http://schemas.openxmlformats.org/officeDocument/2006/relationships/hyperlink" Target="https://maps.google.com/?q=17.950395,-96.732014000000007" TargetMode="External"/><Relationship Id="rId6860" Type="http://schemas.openxmlformats.org/officeDocument/2006/relationships/hyperlink" Target="https://maps.google.com/?q=16.968361,-97.081378999999998" TargetMode="External"/><Relationship Id="rId7911" Type="http://schemas.openxmlformats.org/officeDocument/2006/relationships/hyperlink" Target="https://maps.google.com/?q=16.3197764473861,-96.410265466270403" TargetMode="External"/><Relationship Id="rId211" Type="http://schemas.openxmlformats.org/officeDocument/2006/relationships/hyperlink" Target="https://maps.google.com/?q=17.094127,-97.495258000000007" TargetMode="External"/><Relationship Id="rId5462" Type="http://schemas.openxmlformats.org/officeDocument/2006/relationships/hyperlink" Target="https://maps.google.com/?q=16.0096976697331,-97.424687605674393" TargetMode="External"/><Relationship Id="rId6513" Type="http://schemas.openxmlformats.org/officeDocument/2006/relationships/hyperlink" Target="https://maps.google.com/?q=17.2249767166142,-97.567944557958796" TargetMode="External"/><Relationship Id="rId4064" Type="http://schemas.openxmlformats.org/officeDocument/2006/relationships/hyperlink" Target="https://maps.google.com/?q=17.080069,-96.725792" TargetMode="External"/><Relationship Id="rId5115" Type="http://schemas.openxmlformats.org/officeDocument/2006/relationships/hyperlink" Target="https://maps.google.com/?q=17.253832,-96.154760999999993" TargetMode="External"/><Relationship Id="rId8685" Type="http://schemas.openxmlformats.org/officeDocument/2006/relationships/hyperlink" Target="https://maps.google.com/?q=16.1854276571481,-96.617150169138299" TargetMode="External"/><Relationship Id="rId9736" Type="http://schemas.openxmlformats.org/officeDocument/2006/relationships/hyperlink" Target="https://maps.google.com/?q=17.2724789898991,-96.806657658283797" TargetMode="External"/><Relationship Id="rId7287" Type="http://schemas.openxmlformats.org/officeDocument/2006/relationships/hyperlink" Target="https://maps.google.com/?q=16.3053041025527,-97.909341927791502" TargetMode="External"/><Relationship Id="rId8338" Type="http://schemas.openxmlformats.org/officeDocument/2006/relationships/hyperlink" Target="https://maps.google.com/?q=16.842541461841,-97.202299092254705" TargetMode="External"/><Relationship Id="rId11666" Type="http://schemas.openxmlformats.org/officeDocument/2006/relationships/hyperlink" Target="https://maps.google.com/?q=17.17417524,-97.706712670000002" TargetMode="External"/><Relationship Id="rId12717" Type="http://schemas.openxmlformats.org/officeDocument/2006/relationships/hyperlink" Target="https://maps.google.com/?q=16.2856602240086,-96.504050774482195" TargetMode="External"/><Relationship Id="rId1725" Type="http://schemas.openxmlformats.org/officeDocument/2006/relationships/hyperlink" Target="https://maps.google.com/?q=18.0633559653567,-96.833353220552297" TargetMode="External"/><Relationship Id="rId10268" Type="http://schemas.openxmlformats.org/officeDocument/2006/relationships/hyperlink" Target="https://maps.google.com/?q=16.244993,-95.147294000000002" TargetMode="External"/><Relationship Id="rId11319" Type="http://schemas.openxmlformats.org/officeDocument/2006/relationships/hyperlink" Target="https://maps.google.com/?q=17.8695746770379,-96.308540770500301" TargetMode="External"/><Relationship Id="rId3897" Type="http://schemas.openxmlformats.org/officeDocument/2006/relationships/hyperlink" Target="https://maps.google.com/?q=17.0784475941075,%09-96.71122686043876" TargetMode="External"/><Relationship Id="rId4948" Type="http://schemas.openxmlformats.org/officeDocument/2006/relationships/hyperlink" Target="https://maps.google.com/?q=15.934372,-96.415554" TargetMode="External"/><Relationship Id="rId11800" Type="http://schemas.openxmlformats.org/officeDocument/2006/relationships/hyperlink" Target="https://maps.google.com/?q=16.74007503601849,-95.35216740244675" TargetMode="External"/><Relationship Id="rId2499" Type="http://schemas.openxmlformats.org/officeDocument/2006/relationships/hyperlink" Target="https://maps.google.com/?q=17.05208752,-96.624219310000001" TargetMode="External"/><Relationship Id="rId6370" Type="http://schemas.openxmlformats.org/officeDocument/2006/relationships/hyperlink" Target="https://maps.google.com/?q=18.036995691540216,-96.5530950140348" TargetMode="External"/><Relationship Id="rId7421" Type="http://schemas.openxmlformats.org/officeDocument/2006/relationships/hyperlink" Target="https://maps.google.com/?q=17.03661,-97.051209999999998" TargetMode="External"/><Relationship Id="rId10402" Type="http://schemas.openxmlformats.org/officeDocument/2006/relationships/hyperlink" Target="https://maps.google.com/?q=17.977527,-96.705687999999995" TargetMode="External"/><Relationship Id="rId2980" Type="http://schemas.openxmlformats.org/officeDocument/2006/relationships/hyperlink" Target="https://maps.google.com/?q=17.9117437644169,-98.011477065061698" TargetMode="External"/><Relationship Id="rId6023" Type="http://schemas.openxmlformats.org/officeDocument/2006/relationships/hyperlink" Target="https://maps.google.com/?q=18.156046770807695,-96.575983636245724" TargetMode="External"/><Relationship Id="rId9593" Type="http://schemas.openxmlformats.org/officeDocument/2006/relationships/hyperlink" Target="https://maps.google.com/?q=17.9931078555767,-96.739807833808001" TargetMode="External"/><Relationship Id="rId12574" Type="http://schemas.openxmlformats.org/officeDocument/2006/relationships/hyperlink" Target="https://maps.google.com/?q=16.5798818529152,-96.952080666085905" TargetMode="External"/><Relationship Id="rId13972" Type="http://schemas.openxmlformats.org/officeDocument/2006/relationships/hyperlink" Target="https://maps.google.com/?q=17.10637537,-96.8420914" TargetMode="External"/><Relationship Id="rId952" Type="http://schemas.openxmlformats.org/officeDocument/2006/relationships/hyperlink" Target="https://maps.google.com/?q=15.684342119977535,-96.511762485286411" TargetMode="External"/><Relationship Id="rId1582" Type="http://schemas.openxmlformats.org/officeDocument/2006/relationships/hyperlink" Target="https://maps.google.com/?q=16.5656893651628,-96.699842378634898" TargetMode="External"/><Relationship Id="rId2633" Type="http://schemas.openxmlformats.org/officeDocument/2006/relationships/hyperlink" Target="https://maps.google.com/?q=18.083205,-96.164683999999994" TargetMode="External"/><Relationship Id="rId8195" Type="http://schemas.openxmlformats.org/officeDocument/2006/relationships/hyperlink" Target="https://maps.google.com/?q=16.670106,-96.308282000000005" TargetMode="External"/><Relationship Id="rId9246" Type="http://schemas.openxmlformats.org/officeDocument/2006/relationships/hyperlink" Target="https://maps.google.com/?q=17.3770644863709,-96.302223129174095" TargetMode="External"/><Relationship Id="rId11176" Type="http://schemas.openxmlformats.org/officeDocument/2006/relationships/hyperlink" Target="https://maps.google.com/?q=16.844101,-96.008540999999994" TargetMode="External"/><Relationship Id="rId12227" Type="http://schemas.openxmlformats.org/officeDocument/2006/relationships/hyperlink" Target="https://maps.google.com/?q=17.4233740948424,-95.951294634383203" TargetMode="External"/><Relationship Id="rId13625" Type="http://schemas.openxmlformats.org/officeDocument/2006/relationships/hyperlink" Target="https://maps.google.com/?q=17.354036,-96.304191" TargetMode="External"/><Relationship Id="rId605" Type="http://schemas.openxmlformats.org/officeDocument/2006/relationships/hyperlink" Target="https://maps.google.com/?q=16.054878,-97.396080999999995" TargetMode="External"/><Relationship Id="rId1235" Type="http://schemas.openxmlformats.org/officeDocument/2006/relationships/hyperlink" Target="https://maps.google.com/?q=17.055754,-96.745626290000004" TargetMode="External"/><Relationship Id="rId4458" Type="http://schemas.openxmlformats.org/officeDocument/2006/relationships/hyperlink" Target="https://maps.google.com/?q=17.612868,-98.012505000000004" TargetMode="External"/><Relationship Id="rId5856" Type="http://schemas.openxmlformats.org/officeDocument/2006/relationships/hyperlink" Target="https://maps.google.com/?q=15.9697495381626,-97.245952144952994" TargetMode="External"/><Relationship Id="rId6907" Type="http://schemas.openxmlformats.org/officeDocument/2006/relationships/hyperlink" Target="https://maps.google.com/?q=17.1641782720335,-94.789872565641403" TargetMode="External"/><Relationship Id="rId5509" Type="http://schemas.openxmlformats.org/officeDocument/2006/relationships/hyperlink" Target="https://maps.google.com/?q=16.346421,-96.488176999999993" TargetMode="External"/><Relationship Id="rId11310" Type="http://schemas.openxmlformats.org/officeDocument/2006/relationships/hyperlink" Target="https://maps.google.com/?q=17.8685228120548,-96.308867100000001" TargetMode="External"/><Relationship Id="rId13482" Type="http://schemas.openxmlformats.org/officeDocument/2006/relationships/hyperlink" Target="https://maps.google.com/?q=17.688930115021,-97.0433169067459" TargetMode="External"/><Relationship Id="rId2490" Type="http://schemas.openxmlformats.org/officeDocument/2006/relationships/hyperlink" Target="https://maps.google.com/?q=17.05198331,-96.624159590000005" TargetMode="External"/><Relationship Id="rId3541" Type="http://schemas.openxmlformats.org/officeDocument/2006/relationships/hyperlink" Target="https://maps.google.com/?q=15.770486,-96.150370" TargetMode="External"/><Relationship Id="rId12084" Type="http://schemas.openxmlformats.org/officeDocument/2006/relationships/hyperlink" Target="https://maps.google.com/?q=16.24604775,-95.326495230000006" TargetMode="External"/><Relationship Id="rId13135" Type="http://schemas.openxmlformats.org/officeDocument/2006/relationships/hyperlink" Target="https://maps.google.com/?q=17.1861692194077,-96.5128088306884" TargetMode="External"/><Relationship Id="rId462" Type="http://schemas.openxmlformats.org/officeDocument/2006/relationships/hyperlink" Target="https://maps.google.com/?q=16.053892,-97.409295" TargetMode="External"/><Relationship Id="rId1092" Type="http://schemas.openxmlformats.org/officeDocument/2006/relationships/hyperlink" Target="https://maps.google.com/?q=16.88223,-97.676150000000007" TargetMode="External"/><Relationship Id="rId2143" Type="http://schemas.openxmlformats.org/officeDocument/2006/relationships/hyperlink" Target="https://maps.google.com/?q=15.764041,-96.141628999999995" TargetMode="External"/><Relationship Id="rId6764" Type="http://schemas.openxmlformats.org/officeDocument/2006/relationships/hyperlink" Target="https://maps.google.com/?q=16.7090264914906,-97.020524660744698" TargetMode="External"/><Relationship Id="rId7815" Type="http://schemas.openxmlformats.org/officeDocument/2006/relationships/hyperlink" Target="https://maps.google.com/?q=17.8464734743896,-96.744705428258996" TargetMode="External"/><Relationship Id="rId115" Type="http://schemas.openxmlformats.org/officeDocument/2006/relationships/hyperlink" Target="https://maps.google.com/?q=17.097239,-97.495690999999994" TargetMode="External"/><Relationship Id="rId5366" Type="http://schemas.openxmlformats.org/officeDocument/2006/relationships/hyperlink" Target="https://maps.google.com/?q=16.1288996742897,-97.602131310339601" TargetMode="External"/><Relationship Id="rId6417" Type="http://schemas.openxmlformats.org/officeDocument/2006/relationships/hyperlink" Target="https://maps.google.com/?q=17.2232990458956,-97.594114315482798" TargetMode="External"/><Relationship Id="rId5019" Type="http://schemas.openxmlformats.org/officeDocument/2006/relationships/hyperlink" Target="https://maps.google.com/?q=17.250375,-96.153087999999997" TargetMode="External"/><Relationship Id="rId8589" Type="http://schemas.openxmlformats.org/officeDocument/2006/relationships/hyperlink" Target="https://maps.google.com/?q=17.881168,-96.724975000000001" TargetMode="External"/><Relationship Id="rId9987" Type="http://schemas.openxmlformats.org/officeDocument/2006/relationships/hyperlink" Target="https://maps.google.com/?q=16.028513,-95.423935" TargetMode="External"/><Relationship Id="rId12968" Type="http://schemas.openxmlformats.org/officeDocument/2006/relationships/hyperlink" Target="https://maps.google.com/?q=16.50703,-97.460971999999998" TargetMode="External"/><Relationship Id="rId1976" Type="http://schemas.openxmlformats.org/officeDocument/2006/relationships/hyperlink" Target="https://maps.google.com/?q=15.77386,-96.145306" TargetMode="External"/><Relationship Id="rId1629" Type="http://schemas.openxmlformats.org/officeDocument/2006/relationships/hyperlink" Target="https://maps.google.com/?q=15.928706,-96.426646000000005" TargetMode="External"/><Relationship Id="rId5500" Type="http://schemas.openxmlformats.org/officeDocument/2006/relationships/hyperlink" Target="https://maps.google.com/?q=16.33985,-96.491664999999998" TargetMode="External"/><Relationship Id="rId14043" Type="http://schemas.openxmlformats.org/officeDocument/2006/relationships/hyperlink" Target="https://maps.google.com/?q=17.068498,-96.720205%20" TargetMode="External"/><Relationship Id="rId3051" Type="http://schemas.openxmlformats.org/officeDocument/2006/relationships/hyperlink" Target="https://maps.google.com/?q=16.9635553677102,-96.939632115934103" TargetMode="External"/><Relationship Id="rId4102" Type="http://schemas.openxmlformats.org/officeDocument/2006/relationships/hyperlink" Target="https://maps.google.com/?q=17.058568,-96.743064000000004" TargetMode="External"/><Relationship Id="rId7672" Type="http://schemas.openxmlformats.org/officeDocument/2006/relationships/hyperlink" Target="https://maps.google.com/?q=17.1919441027,-97.542680051163899" TargetMode="External"/><Relationship Id="rId8723" Type="http://schemas.openxmlformats.org/officeDocument/2006/relationships/hyperlink" Target="https://maps.google.com/?q=17.0572856637738,-96.819084967088102" TargetMode="External"/><Relationship Id="rId10653" Type="http://schemas.openxmlformats.org/officeDocument/2006/relationships/hyperlink" Target="https://maps.google.com/?q=17.1234615866947,-97.789040263175096" TargetMode="External"/><Relationship Id="rId6274" Type="http://schemas.openxmlformats.org/officeDocument/2006/relationships/hyperlink" Target="https://maps.google.com/?q=16.4104113273286,-96.717674998290505" TargetMode="External"/><Relationship Id="rId7325" Type="http://schemas.openxmlformats.org/officeDocument/2006/relationships/hyperlink" Target="https://maps.google.com/?q=16.72912412,-96.466801070000002" TargetMode="External"/><Relationship Id="rId10306" Type="http://schemas.openxmlformats.org/officeDocument/2006/relationships/hyperlink" Target="https://maps.google.com/?q=16.22398593,-97.269340810000003" TargetMode="External"/><Relationship Id="rId11704" Type="http://schemas.openxmlformats.org/officeDocument/2006/relationships/hyperlink" Target="https://maps.google.com/?q=17.18227895,-97.710196960000005" TargetMode="External"/><Relationship Id="rId2884" Type="http://schemas.openxmlformats.org/officeDocument/2006/relationships/hyperlink" Target="https://maps.google.com/?q=18.229272,-96.277794999999998" TargetMode="External"/><Relationship Id="rId9497" Type="http://schemas.openxmlformats.org/officeDocument/2006/relationships/hyperlink" Target="https://maps.google.com/?q=17.316466763582362,-96.48371272293453" TargetMode="External"/><Relationship Id="rId13876" Type="http://schemas.openxmlformats.org/officeDocument/2006/relationships/hyperlink" Target="https://maps.google.com/?q=16.2714748026501,-96.588967280325804" TargetMode="External"/><Relationship Id="rId856" Type="http://schemas.openxmlformats.org/officeDocument/2006/relationships/hyperlink" Target="https://maps.google.com/?q=15.709789498491835,-96.528063005899128" TargetMode="External"/><Relationship Id="rId1486" Type="http://schemas.openxmlformats.org/officeDocument/2006/relationships/hyperlink" Target="https://maps.google.com/?q=17.058951,-96.751512000000005" TargetMode="External"/><Relationship Id="rId2537" Type="http://schemas.openxmlformats.org/officeDocument/2006/relationships/hyperlink" Target="https://maps.google.com/?q=17.9399214239301,-97.973507647909798" TargetMode="External"/><Relationship Id="rId3935" Type="http://schemas.openxmlformats.org/officeDocument/2006/relationships/hyperlink" Target="https://maps.google.com/?q=17.058954,-96.752435000000006" TargetMode="External"/><Relationship Id="rId8099" Type="http://schemas.openxmlformats.org/officeDocument/2006/relationships/hyperlink" Target="https://maps.google.com/?q=17.3548890252807,-96.3038615214017" TargetMode="External"/><Relationship Id="rId12478" Type="http://schemas.openxmlformats.org/officeDocument/2006/relationships/hyperlink" Target="https://maps.google.com/?q=17.2220603953617,-97.2704018757385" TargetMode="External"/><Relationship Id="rId13529" Type="http://schemas.openxmlformats.org/officeDocument/2006/relationships/hyperlink" Target="https://maps.google.com/?q=16.246833916618968,-95.15011720814705" TargetMode="External"/><Relationship Id="rId509" Type="http://schemas.openxmlformats.org/officeDocument/2006/relationships/hyperlink" Target="https://maps.google.com/?q=16.053909,-97.405452999999994" TargetMode="External"/><Relationship Id="rId1139" Type="http://schemas.openxmlformats.org/officeDocument/2006/relationships/hyperlink" Target="https://maps.google.com/?q=16.88496,-97.67801" TargetMode="External"/><Relationship Id="rId5010" Type="http://schemas.openxmlformats.org/officeDocument/2006/relationships/hyperlink" Target="https://maps.google.com/?q=18.081169,-96.118475000000004" TargetMode="External"/><Relationship Id="rId8580" Type="http://schemas.openxmlformats.org/officeDocument/2006/relationships/hyperlink" Target="https://maps.google.com/?q=16.9326382278827,-96.603857565641405" TargetMode="External"/><Relationship Id="rId9631" Type="http://schemas.openxmlformats.org/officeDocument/2006/relationships/hyperlink" Target="https://maps.google.com/?q=17.1532018665661,-96.752152711045198" TargetMode="External"/><Relationship Id="rId11561" Type="http://schemas.openxmlformats.org/officeDocument/2006/relationships/hyperlink" Target="https://maps.google.com/?q=16.8463011843191,-96.748257349702797" TargetMode="External"/><Relationship Id="rId12612" Type="http://schemas.openxmlformats.org/officeDocument/2006/relationships/hyperlink" Target="https://maps.google.com/?q=17.115811,-96.846160999999995" TargetMode="External"/><Relationship Id="rId1620" Type="http://schemas.openxmlformats.org/officeDocument/2006/relationships/hyperlink" Target="https://maps.google.com/?q=17.760008,-96.080929999999995" TargetMode="External"/><Relationship Id="rId7182" Type="http://schemas.openxmlformats.org/officeDocument/2006/relationships/hyperlink" Target="https://maps.google.com/?q=16.2214458571106,-97.920082817791396" TargetMode="External"/><Relationship Id="rId8233" Type="http://schemas.openxmlformats.org/officeDocument/2006/relationships/hyperlink" Target="https://maps.google.com/?q=16.423527,-97.640500000000003" TargetMode="External"/><Relationship Id="rId10163" Type="http://schemas.openxmlformats.org/officeDocument/2006/relationships/hyperlink" Target="https://maps.google.com/?q=17.108046430153,-97.489050051362398" TargetMode="External"/><Relationship Id="rId11214" Type="http://schemas.openxmlformats.org/officeDocument/2006/relationships/hyperlink" Target="https://maps.google.com/?q=17.000128,-97.797441000000006" TargetMode="External"/><Relationship Id="rId3792" Type="http://schemas.openxmlformats.org/officeDocument/2006/relationships/hyperlink" Target="https://maps.google.com/?q=15.76944369564522,-96.234750314803648" TargetMode="External"/><Relationship Id="rId4843" Type="http://schemas.openxmlformats.org/officeDocument/2006/relationships/hyperlink" Target="https://maps.google.com/?q=17.3378434762874,-96.167700959525305" TargetMode="External"/><Relationship Id="rId13386" Type="http://schemas.openxmlformats.org/officeDocument/2006/relationships/hyperlink" Target="https://maps.google.com/?q=16.3240836230738,-96.6710455742394" TargetMode="External"/><Relationship Id="rId2394" Type="http://schemas.openxmlformats.org/officeDocument/2006/relationships/hyperlink" Target="https://maps.google.com/?q=16.5994753879922,-97.219423630336294" TargetMode="External"/><Relationship Id="rId3445" Type="http://schemas.openxmlformats.org/officeDocument/2006/relationships/hyperlink" Target="https://maps.google.com/?q=16.4563983160241,-96.931567220901499" TargetMode="External"/><Relationship Id="rId13039" Type="http://schemas.openxmlformats.org/officeDocument/2006/relationships/hyperlink" Target="https://maps.google.com/?q=16.5617462,-97.539339799999993" TargetMode="External"/><Relationship Id="rId366" Type="http://schemas.openxmlformats.org/officeDocument/2006/relationships/hyperlink" Target="https://maps.google.com/?q=16.053417,-97.409794000000005" TargetMode="External"/><Relationship Id="rId2047" Type="http://schemas.openxmlformats.org/officeDocument/2006/relationships/hyperlink" Target="https://maps.google.com/?q=15.76103830220048,-96.149578882526228" TargetMode="External"/><Relationship Id="rId6668" Type="http://schemas.openxmlformats.org/officeDocument/2006/relationships/hyperlink" Target="https://maps.google.com/?q=16.9391503057038,-97.012604817335202" TargetMode="External"/><Relationship Id="rId7719" Type="http://schemas.openxmlformats.org/officeDocument/2006/relationships/hyperlink" Target="https://maps.google.com/?q=16.6292457213305,-96.798582314278605" TargetMode="External"/><Relationship Id="rId8090" Type="http://schemas.openxmlformats.org/officeDocument/2006/relationships/hyperlink" Target="https://maps.google.com/?q=17.3545075621603,-96.303731436567602" TargetMode="External"/><Relationship Id="rId9141" Type="http://schemas.openxmlformats.org/officeDocument/2006/relationships/hyperlink" Target="https://maps.google.com/?q=16.972165,-97.086849999999998" TargetMode="External"/><Relationship Id="rId13520" Type="http://schemas.openxmlformats.org/officeDocument/2006/relationships/hyperlink" Target="https://maps.google.com/?q=16.828957600293954,-96.67169861045355" TargetMode="External"/><Relationship Id="rId11071" Type="http://schemas.openxmlformats.org/officeDocument/2006/relationships/hyperlink" Target="https://maps.google.com/?q=17.28728637,-97.363627190000003" TargetMode="External"/><Relationship Id="rId12122" Type="http://schemas.openxmlformats.org/officeDocument/2006/relationships/hyperlink" Target="https://maps.google.com/?q=16.3202093228415,-97.663029999524596" TargetMode="External"/><Relationship Id="rId500" Type="http://schemas.openxmlformats.org/officeDocument/2006/relationships/hyperlink" Target="https://maps.google.com/?q=16.054576,-97.408924999999996" TargetMode="External"/><Relationship Id="rId1130" Type="http://schemas.openxmlformats.org/officeDocument/2006/relationships/hyperlink" Target="https://maps.google.com/?q=17.090793,-97.494176999999993" TargetMode="External"/><Relationship Id="rId5751" Type="http://schemas.openxmlformats.org/officeDocument/2006/relationships/hyperlink" Target="https://maps.google.com/?q=18.049573,-96.765307000000007" TargetMode="External"/><Relationship Id="rId6802" Type="http://schemas.openxmlformats.org/officeDocument/2006/relationships/hyperlink" Target="https://maps.google.com/?q=16.3600188095774,-97.049342177909296" TargetMode="External"/><Relationship Id="rId4353" Type="http://schemas.openxmlformats.org/officeDocument/2006/relationships/hyperlink" Target="https://maps.google.com/?q=15.95900187,-96.638277549999998" TargetMode="External"/><Relationship Id="rId5404" Type="http://schemas.openxmlformats.org/officeDocument/2006/relationships/hyperlink" Target="https://maps.google.com/?q=16.0943823900248,-97.6988340343934" TargetMode="External"/><Relationship Id="rId8974" Type="http://schemas.openxmlformats.org/officeDocument/2006/relationships/hyperlink" Target="https://maps.google.com/?q=17.381677415,-96.161026532999998" TargetMode="External"/><Relationship Id="rId4006" Type="http://schemas.openxmlformats.org/officeDocument/2006/relationships/hyperlink" Target="https://maps.google.com/?q=17.018052318891478,-96.718519935406704" TargetMode="External"/><Relationship Id="rId7576" Type="http://schemas.openxmlformats.org/officeDocument/2006/relationships/hyperlink" Target="https://maps.google.com/?q=17.0920250295711,-95.854920000000007" TargetMode="External"/><Relationship Id="rId8627" Type="http://schemas.openxmlformats.org/officeDocument/2006/relationships/hyperlink" Target="https://maps.google.com/?q=17.8994676380974,-96.714770229549302" TargetMode="External"/><Relationship Id="rId11955" Type="http://schemas.openxmlformats.org/officeDocument/2006/relationships/hyperlink" Target="https://maps.google.com/?q=16.7970702626342,-96.716728539999707" TargetMode="External"/><Relationship Id="rId6178" Type="http://schemas.openxmlformats.org/officeDocument/2006/relationships/hyperlink" Target="https://maps.google.com/?q=16.1438127235523,-96.413827854254507" TargetMode="External"/><Relationship Id="rId7229" Type="http://schemas.openxmlformats.org/officeDocument/2006/relationships/hyperlink" Target="https://maps.google.com/?q=16.2296012880496,-97.944860218418299" TargetMode="External"/><Relationship Id="rId10557" Type="http://schemas.openxmlformats.org/officeDocument/2006/relationships/hyperlink" Target="https://maps.google.com/?q=17.093854631334,-97.787951501356602" TargetMode="External"/><Relationship Id="rId11608" Type="http://schemas.openxmlformats.org/officeDocument/2006/relationships/hyperlink" Target="https://maps.google.com/?q=16.8364319237076,-96.734642656808106" TargetMode="External"/><Relationship Id="rId13030" Type="http://schemas.openxmlformats.org/officeDocument/2006/relationships/hyperlink" Target="https://maps.google.com/?q=16.5610591,-97.540055600000002" TargetMode="External"/><Relationship Id="rId2788" Type="http://schemas.openxmlformats.org/officeDocument/2006/relationships/hyperlink" Target="https://maps.google.com/?q=16.9942290572408,-97.7005712489443" TargetMode="External"/><Relationship Id="rId3839" Type="http://schemas.openxmlformats.org/officeDocument/2006/relationships/hyperlink" Target="https://maps.google.com/?q=17.111344627712,-95.943965089480002" TargetMode="External"/><Relationship Id="rId7710" Type="http://schemas.openxmlformats.org/officeDocument/2006/relationships/hyperlink" Target="https://maps.google.com/?q=16.6285424584247,-96.792732826285601" TargetMode="External"/><Relationship Id="rId5261" Type="http://schemas.openxmlformats.org/officeDocument/2006/relationships/hyperlink" Target="https://maps.google.com/?q=15.7210022374225,-96.3913912190424" TargetMode="External"/><Relationship Id="rId6312" Type="http://schemas.openxmlformats.org/officeDocument/2006/relationships/hyperlink" Target="https://maps.google.com/?q=18.0580623023006,-96.393717106538801" TargetMode="External"/><Relationship Id="rId9882" Type="http://schemas.openxmlformats.org/officeDocument/2006/relationships/hyperlink" Target="https://maps.google.com/?q=16.6369586826077,-96.848861227791005" TargetMode="External"/><Relationship Id="rId12863" Type="http://schemas.openxmlformats.org/officeDocument/2006/relationships/hyperlink" Target="https://maps.google.com/?q=17.518432,-97.680811000000006" TargetMode="External"/><Relationship Id="rId96" Type="http://schemas.openxmlformats.org/officeDocument/2006/relationships/hyperlink" Target="https://maps.google.com/?q=17.095454,-97.498896000000002" TargetMode="External"/><Relationship Id="rId1871" Type="http://schemas.openxmlformats.org/officeDocument/2006/relationships/hyperlink" Target="https://maps.google.com/?q=15.77535926548166,-96.136350055465272" TargetMode="External"/><Relationship Id="rId2922" Type="http://schemas.openxmlformats.org/officeDocument/2006/relationships/hyperlink" Target="https://maps.google.com/?q=17.07351689,-96.687915390000001" TargetMode="External"/><Relationship Id="rId8484" Type="http://schemas.openxmlformats.org/officeDocument/2006/relationships/hyperlink" Target="https://maps.google.com/?q=17.1535384512442,-97.529554521103904" TargetMode="External"/><Relationship Id="rId9535" Type="http://schemas.openxmlformats.org/officeDocument/2006/relationships/hyperlink" Target="https://maps.google.com/?q=17.270955,-96.796208" TargetMode="External"/><Relationship Id="rId11465" Type="http://schemas.openxmlformats.org/officeDocument/2006/relationships/hyperlink" Target="https://maps.google.com/?q=16.0062484017572,-97.425261101607006" TargetMode="External"/><Relationship Id="rId12516" Type="http://schemas.openxmlformats.org/officeDocument/2006/relationships/hyperlink" Target="https://maps.google.com/?q=17.2258383543496,-97.273742078197699" TargetMode="External"/><Relationship Id="rId13914" Type="http://schemas.openxmlformats.org/officeDocument/2006/relationships/hyperlink" Target="https://maps.google.com/?q=16.8561786912072,-96.812365999999997" TargetMode="External"/><Relationship Id="rId1524" Type="http://schemas.openxmlformats.org/officeDocument/2006/relationships/hyperlink" Target="https://maps.google.com/?q=17.061861,-96.753832000000003" TargetMode="External"/><Relationship Id="rId7086" Type="http://schemas.openxmlformats.org/officeDocument/2006/relationships/hyperlink" Target="https://maps.google.com/?q=16.326959,-98.056683000000007" TargetMode="External"/><Relationship Id="rId8137" Type="http://schemas.openxmlformats.org/officeDocument/2006/relationships/hyperlink" Target="https://maps.google.com/?q=17.3557978527949,-96.302571382208995" TargetMode="External"/><Relationship Id="rId10067" Type="http://schemas.openxmlformats.org/officeDocument/2006/relationships/hyperlink" Target="https://maps.google.com/?q=16.9698801711543,-96.167052395983902" TargetMode="External"/><Relationship Id="rId11118" Type="http://schemas.openxmlformats.org/officeDocument/2006/relationships/hyperlink" Target="https://maps.google.com/?q=16.833291,-96.009077000000005" TargetMode="External"/><Relationship Id="rId3696" Type="http://schemas.openxmlformats.org/officeDocument/2006/relationships/hyperlink" Target="https://maps.google.com/?q=15.757703568116451,-96.139078404446465" TargetMode="External"/><Relationship Id="rId4747" Type="http://schemas.openxmlformats.org/officeDocument/2006/relationships/hyperlink" Target="https://maps.google.com/?q=17.9528535381729,-96.656297857810799" TargetMode="External"/><Relationship Id="rId2298" Type="http://schemas.openxmlformats.org/officeDocument/2006/relationships/hyperlink" Target="https://maps.google.com/?q=18.1023072016705,-96.872770649643599" TargetMode="External"/><Relationship Id="rId3349" Type="http://schemas.openxmlformats.org/officeDocument/2006/relationships/hyperlink" Target="https://maps.google.com/?q=17.1567619670213,-97.840935860118904" TargetMode="External"/><Relationship Id="rId7220" Type="http://schemas.openxmlformats.org/officeDocument/2006/relationships/hyperlink" Target="https://maps.google.com/?q=16.2285719588461,-97.942803898145897" TargetMode="External"/><Relationship Id="rId9392" Type="http://schemas.openxmlformats.org/officeDocument/2006/relationships/hyperlink" Target="https://maps.google.com/?q=16.8208930194116,-95.137004119975302" TargetMode="External"/><Relationship Id="rId10201" Type="http://schemas.openxmlformats.org/officeDocument/2006/relationships/hyperlink" Target="https://maps.google.com/?q=17.17953486,-97.38257137" TargetMode="External"/><Relationship Id="rId13771" Type="http://schemas.openxmlformats.org/officeDocument/2006/relationships/hyperlink" Target="https://maps.google.com/?q=16.996043,-96.780593" TargetMode="External"/><Relationship Id="rId3830" Type="http://schemas.openxmlformats.org/officeDocument/2006/relationships/hyperlink" Target="https://maps.google.com/?q=18.130615132072464,-96.84308316339978" TargetMode="External"/><Relationship Id="rId9045" Type="http://schemas.openxmlformats.org/officeDocument/2006/relationships/hyperlink" Target="https://maps.google.com/?q=16.05446,-95.479253999999997" TargetMode="External"/><Relationship Id="rId12373" Type="http://schemas.openxmlformats.org/officeDocument/2006/relationships/hyperlink" Target="https://maps.google.com/?q=16.91134799,-96.720077" TargetMode="External"/><Relationship Id="rId13424" Type="http://schemas.openxmlformats.org/officeDocument/2006/relationships/hyperlink" Target="https://maps.google.com/?q=17.6801218937197,-97.037715457671993" TargetMode="External"/><Relationship Id="rId751" Type="http://schemas.openxmlformats.org/officeDocument/2006/relationships/hyperlink" Target="https://maps.google.com/?q=15.683049911403172,-96.510750074363699" TargetMode="External"/><Relationship Id="rId1381" Type="http://schemas.openxmlformats.org/officeDocument/2006/relationships/hyperlink" Target="https://maps.google.com/?q=16.791625,-96.674999" TargetMode="External"/><Relationship Id="rId2432" Type="http://schemas.openxmlformats.org/officeDocument/2006/relationships/hyperlink" Target="https://maps.google.com/?q=17.05120626,-96.624821030000007" TargetMode="External"/><Relationship Id="rId12026" Type="http://schemas.openxmlformats.org/officeDocument/2006/relationships/hyperlink" Target="https://maps.google.com/?q=16.8052794282151,-96.719673234240105" TargetMode="External"/><Relationship Id="rId404" Type="http://schemas.openxmlformats.org/officeDocument/2006/relationships/hyperlink" Target="https://maps.google.com/?q=16.051294,-97.414839000000001" TargetMode="External"/><Relationship Id="rId1034" Type="http://schemas.openxmlformats.org/officeDocument/2006/relationships/hyperlink" Target="https://maps.google.com/?q=15.703153068394593,-96.523769373576854" TargetMode="External"/><Relationship Id="rId5655" Type="http://schemas.openxmlformats.org/officeDocument/2006/relationships/hyperlink" Target="https://maps.google.com/?q=16.43557,-97.855328" TargetMode="External"/><Relationship Id="rId6706" Type="http://schemas.openxmlformats.org/officeDocument/2006/relationships/hyperlink" Target="https://maps.google.com/?q=16.9391929,-96.966045199999996" TargetMode="External"/><Relationship Id="rId4257" Type="http://schemas.openxmlformats.org/officeDocument/2006/relationships/hyperlink" Target="https://maps.google.com/?q=16.0123604,-96.638589429999996" TargetMode="External"/><Relationship Id="rId5308" Type="http://schemas.openxmlformats.org/officeDocument/2006/relationships/hyperlink" Target="https://maps.google.com/?q=15.7216116633659,-96.4715338401666" TargetMode="External"/><Relationship Id="rId8878" Type="http://schemas.openxmlformats.org/officeDocument/2006/relationships/hyperlink" Target="https://maps.google.com/?q=17.378840012,-96.160405425999997" TargetMode="External"/><Relationship Id="rId9929" Type="http://schemas.openxmlformats.org/officeDocument/2006/relationships/hyperlink" Target="https://maps.google.com/?q=16.7120651110161,-96.713254607306098" TargetMode="External"/><Relationship Id="rId11859" Type="http://schemas.openxmlformats.org/officeDocument/2006/relationships/hyperlink" Target="https://maps.google.com/?q=18.030076519428896,-96.67023352628517" TargetMode="External"/><Relationship Id="rId1918" Type="http://schemas.openxmlformats.org/officeDocument/2006/relationships/hyperlink" Target="https://maps.google.com/?q=15.776778141685979,-96.137113531595531" TargetMode="External"/><Relationship Id="rId13281" Type="http://schemas.openxmlformats.org/officeDocument/2006/relationships/hyperlink" Target="https://maps.google.com/?q=16.1394874797052,-96.374120246696506" TargetMode="External"/><Relationship Id="rId261" Type="http://schemas.openxmlformats.org/officeDocument/2006/relationships/hyperlink" Target="https://maps.google.com/?q=16.88422,-97.677009999999996" TargetMode="External"/><Relationship Id="rId3340" Type="http://schemas.openxmlformats.org/officeDocument/2006/relationships/hyperlink" Target="https://maps.google.com/?q=17.0689531355923,-96.812318474868604" TargetMode="External"/><Relationship Id="rId7961" Type="http://schemas.openxmlformats.org/officeDocument/2006/relationships/hyperlink" Target="https://maps.google.com/?q=15.9483458207328,-96.552618859999995" TargetMode="External"/><Relationship Id="rId10942" Type="http://schemas.openxmlformats.org/officeDocument/2006/relationships/hyperlink" Target="https://maps.google.com/?q=16.2048228947135,-95.218517791104404" TargetMode="External"/><Relationship Id="rId6563" Type="http://schemas.openxmlformats.org/officeDocument/2006/relationships/hyperlink" Target="https://maps.google.com/?q=17.762399,-96.878033" TargetMode="External"/><Relationship Id="rId7614" Type="http://schemas.openxmlformats.org/officeDocument/2006/relationships/hyperlink" Target="https://maps.google.com/?q=17.2300617566953,-95.052170256698204" TargetMode="External"/><Relationship Id="rId5165" Type="http://schemas.openxmlformats.org/officeDocument/2006/relationships/hyperlink" Target="https://maps.google.com/?q=17.254981,-96.153661999999997" TargetMode="External"/><Relationship Id="rId6216" Type="http://schemas.openxmlformats.org/officeDocument/2006/relationships/hyperlink" Target="https://maps.google.com/?q=16.0962,-97.078551000000004" TargetMode="External"/><Relationship Id="rId9786" Type="http://schemas.openxmlformats.org/officeDocument/2006/relationships/hyperlink" Target="https://maps.google.com/?q=16.6401801731463,-96.751931519440404" TargetMode="External"/><Relationship Id="rId1775" Type="http://schemas.openxmlformats.org/officeDocument/2006/relationships/hyperlink" Target="https://maps.google.com/?q=18.06240407,-96.846997740000006" TargetMode="External"/><Relationship Id="rId2826" Type="http://schemas.openxmlformats.org/officeDocument/2006/relationships/hyperlink" Target="https://maps.google.com/?q=16.9916090845427,-97.7150557754631" TargetMode="External"/><Relationship Id="rId8388" Type="http://schemas.openxmlformats.org/officeDocument/2006/relationships/hyperlink" Target="https://maps.google.com/?q=16.8468826437807,-97.201121410922198" TargetMode="External"/><Relationship Id="rId9439" Type="http://schemas.openxmlformats.org/officeDocument/2006/relationships/hyperlink" Target="https://maps.google.com/?q=15.831602,-96.655144000000007" TargetMode="External"/><Relationship Id="rId11369" Type="http://schemas.openxmlformats.org/officeDocument/2006/relationships/hyperlink" Target="https://maps.google.com/?q=16.3647887676644,-94.200729008598302" TargetMode="External"/><Relationship Id="rId12767" Type="http://schemas.openxmlformats.org/officeDocument/2006/relationships/hyperlink" Target="https://maps.google.com/?q=17.4578599840837,-97.289030762268496" TargetMode="External"/><Relationship Id="rId13818" Type="http://schemas.openxmlformats.org/officeDocument/2006/relationships/hyperlink" Target="https://maps.google.com/?q=16.99809,-97.799727000000004" TargetMode="External"/><Relationship Id="rId1428" Type="http://schemas.openxmlformats.org/officeDocument/2006/relationships/hyperlink" Target="https://maps.google.com/?q=17.0685288,-96.7203604" TargetMode="External"/><Relationship Id="rId4998" Type="http://schemas.openxmlformats.org/officeDocument/2006/relationships/hyperlink" Target="https://maps.google.com/?q=16.433347,-95.021687" TargetMode="External"/><Relationship Id="rId9920" Type="http://schemas.openxmlformats.org/officeDocument/2006/relationships/hyperlink" Target="https://maps.google.com/?q=16.7073402956754,-96.712037658895497" TargetMode="External"/><Relationship Id="rId11850" Type="http://schemas.openxmlformats.org/officeDocument/2006/relationships/hyperlink" Target="https://maps.google.com/?q=17.22566903843186,-96.2482738173008" TargetMode="External"/><Relationship Id="rId12901" Type="http://schemas.openxmlformats.org/officeDocument/2006/relationships/hyperlink" Target="https://maps.google.com/?q=16.514844,-97.513582" TargetMode="External"/><Relationship Id="rId6073" Type="http://schemas.openxmlformats.org/officeDocument/2006/relationships/hyperlink" Target="https://maps.google.com/?q=18.162287697679282,-96.577433848995497" TargetMode="External"/><Relationship Id="rId7124" Type="http://schemas.openxmlformats.org/officeDocument/2006/relationships/hyperlink" Target="https://maps.google.com/?q=17.3568668229818,-97.658048755722703" TargetMode="External"/><Relationship Id="rId7471" Type="http://schemas.openxmlformats.org/officeDocument/2006/relationships/hyperlink" Target="https://maps.google.com/?q=16.9867518762932,-95.015341892907202" TargetMode="External"/><Relationship Id="rId8522" Type="http://schemas.openxmlformats.org/officeDocument/2006/relationships/hyperlink" Target="https://maps.google.com/?q=16.9221898883738,-96.606141332506198" TargetMode="External"/><Relationship Id="rId10452" Type="http://schemas.openxmlformats.org/officeDocument/2006/relationships/hyperlink" Target="https://maps.google.com/?q=17.0378088,-96.779683800000001" TargetMode="External"/><Relationship Id="rId11503" Type="http://schemas.openxmlformats.org/officeDocument/2006/relationships/hyperlink" Target="https://maps.google.com/?q=16.6102369283086,-96.850494209900802" TargetMode="External"/><Relationship Id="rId10105" Type="http://schemas.openxmlformats.org/officeDocument/2006/relationships/hyperlink" Target="https://maps.google.com/?q=17.0203062890161,-96.132501587790998" TargetMode="External"/><Relationship Id="rId13675" Type="http://schemas.openxmlformats.org/officeDocument/2006/relationships/hyperlink" Target="https://maps.google.com/?q=18.081175,-96.118491" TargetMode="External"/><Relationship Id="rId2683" Type="http://schemas.openxmlformats.org/officeDocument/2006/relationships/hyperlink" Target="https://maps.google.com/?q=17.941296,-96.102165999999997" TargetMode="External"/><Relationship Id="rId3734" Type="http://schemas.openxmlformats.org/officeDocument/2006/relationships/hyperlink" Target="https://maps.google.com/?q=15.759978140790283,-96.142422354611625" TargetMode="External"/><Relationship Id="rId9296" Type="http://schemas.openxmlformats.org/officeDocument/2006/relationships/hyperlink" Target="https://maps.google.com/?q=16.8134575438188,-95.134316546541996" TargetMode="External"/><Relationship Id="rId12277" Type="http://schemas.openxmlformats.org/officeDocument/2006/relationships/hyperlink" Target="https://maps.google.com/?q=16.4857706096541,-94.349622308845099" TargetMode="External"/><Relationship Id="rId13328" Type="http://schemas.openxmlformats.org/officeDocument/2006/relationships/hyperlink" Target="https://maps.google.com/?q=17.4531924440174,-98.006524288360595" TargetMode="External"/><Relationship Id="rId655" Type="http://schemas.openxmlformats.org/officeDocument/2006/relationships/hyperlink" Target="https://maps.google.com/?q=16.057852,-97.390187999999995" TargetMode="External"/><Relationship Id="rId1285" Type="http://schemas.openxmlformats.org/officeDocument/2006/relationships/hyperlink" Target="https://maps.google.com/?q=17.080124,-96.725838" TargetMode="External"/><Relationship Id="rId2336" Type="http://schemas.openxmlformats.org/officeDocument/2006/relationships/hyperlink" Target="https://maps.google.com/?q=17.067158,-97.679584000000006" TargetMode="External"/><Relationship Id="rId6957" Type="http://schemas.openxmlformats.org/officeDocument/2006/relationships/hyperlink" Target="https://maps.google.com/?q=16.3311024,-95.241081399999999" TargetMode="External"/><Relationship Id="rId308" Type="http://schemas.openxmlformats.org/officeDocument/2006/relationships/hyperlink" Target="https://maps.google.com/?q=16.060734,-97.385193000000001" TargetMode="External"/><Relationship Id="rId5559" Type="http://schemas.openxmlformats.org/officeDocument/2006/relationships/hyperlink" Target="https://maps.google.com/?q=18.171817,-96.283851999999996" TargetMode="External"/><Relationship Id="rId9430" Type="http://schemas.openxmlformats.org/officeDocument/2006/relationships/hyperlink" Target="https://maps.google.com/?q=16.776295641833,-95.191278131826294" TargetMode="External"/><Relationship Id="rId8032" Type="http://schemas.openxmlformats.org/officeDocument/2006/relationships/hyperlink" Target="https://maps.google.com/?q=16.488103832583,-97.378466115582" TargetMode="External"/><Relationship Id="rId11360" Type="http://schemas.openxmlformats.org/officeDocument/2006/relationships/hyperlink" Target="https://maps.google.com/?q=16.3807069144286,-94.194780427087906" TargetMode="External"/><Relationship Id="rId12411" Type="http://schemas.openxmlformats.org/officeDocument/2006/relationships/hyperlink" Target="https://maps.google.com/?q=16.5573725587111,-96.816140221655502" TargetMode="External"/><Relationship Id="rId11013" Type="http://schemas.openxmlformats.org/officeDocument/2006/relationships/hyperlink" Target="https://maps.google.com/?q=17.157159,-97.193162999999998" TargetMode="External"/><Relationship Id="rId3591" Type="http://schemas.openxmlformats.org/officeDocument/2006/relationships/hyperlink" Target="https://maps.google.com/?q=15.776517341937673,-96.136510988940586" TargetMode="External"/><Relationship Id="rId4642" Type="http://schemas.openxmlformats.org/officeDocument/2006/relationships/hyperlink" Target="https://maps.google.com/?q=17.081186,-96.74405600" TargetMode="External"/><Relationship Id="rId13185" Type="http://schemas.openxmlformats.org/officeDocument/2006/relationships/hyperlink" Target="https://maps.google.com/?q=16.5722534460007,-97.012414616968698" TargetMode="External"/><Relationship Id="rId2193" Type="http://schemas.openxmlformats.org/officeDocument/2006/relationships/hyperlink" Target="https://maps.google.com/?q=17.0011643829642,-97.236171547696799" TargetMode="External"/><Relationship Id="rId3244" Type="http://schemas.openxmlformats.org/officeDocument/2006/relationships/hyperlink" Target="https://maps.google.com/?q=17.9530441722019,-96.205199413894306" TargetMode="External"/><Relationship Id="rId7865" Type="http://schemas.openxmlformats.org/officeDocument/2006/relationships/hyperlink" Target="https://maps.google.com/?q=16.3163291961773,-96.402690424477498" TargetMode="External"/><Relationship Id="rId8916" Type="http://schemas.openxmlformats.org/officeDocument/2006/relationships/hyperlink" Target="https://maps.google.com/?q=17.380446662,-96.163741461000001" TargetMode="External"/><Relationship Id="rId165" Type="http://schemas.openxmlformats.org/officeDocument/2006/relationships/hyperlink" Target="https://maps.google.com/?q=17.091969,-97.501902999999999" TargetMode="External"/><Relationship Id="rId6467" Type="http://schemas.openxmlformats.org/officeDocument/2006/relationships/hyperlink" Target="https://maps.google.com/?q=16.380211,-97.278298000000007" TargetMode="External"/><Relationship Id="rId7518" Type="http://schemas.openxmlformats.org/officeDocument/2006/relationships/hyperlink" Target="https://maps.google.com/?q=17.9743261555716,-96.707778451985703" TargetMode="External"/><Relationship Id="rId10846" Type="http://schemas.openxmlformats.org/officeDocument/2006/relationships/hyperlink" Target="https://maps.google.com/?q=16.4049293212446,-94.4570966937478" TargetMode="External"/><Relationship Id="rId5069" Type="http://schemas.openxmlformats.org/officeDocument/2006/relationships/hyperlink" Target="https://maps.google.com/?q=17.252472,-96.153767000000002" TargetMode="External"/><Relationship Id="rId1679" Type="http://schemas.openxmlformats.org/officeDocument/2006/relationships/hyperlink" Target="https://maps.google.com/?q=18.0051060802679,-96.897136075074897" TargetMode="External"/><Relationship Id="rId14093" Type="http://schemas.openxmlformats.org/officeDocument/2006/relationships/hyperlink" Target="https://maps.google.com/?q=16.03334877,-95.42405348" TargetMode="External"/><Relationship Id="rId4152" Type="http://schemas.openxmlformats.org/officeDocument/2006/relationships/hyperlink" Target="https://maps.google.com/?q=16.4228665702433,-98.169330125396499" TargetMode="External"/><Relationship Id="rId5203" Type="http://schemas.openxmlformats.org/officeDocument/2006/relationships/hyperlink" Target="https://maps.google.com/?q=17.317512,-95.967769000000004" TargetMode="External"/><Relationship Id="rId5550" Type="http://schemas.openxmlformats.org/officeDocument/2006/relationships/hyperlink" Target="https://maps.google.com/?q=18.252232,-96.286142999999996" TargetMode="External"/><Relationship Id="rId6601" Type="http://schemas.openxmlformats.org/officeDocument/2006/relationships/hyperlink" Target="https://maps.google.com/?q=16.216802,-97.259572" TargetMode="External"/><Relationship Id="rId8773" Type="http://schemas.openxmlformats.org/officeDocument/2006/relationships/hyperlink" Target="https://maps.google.com/?q=17.207311,-96.251990000000006" TargetMode="External"/><Relationship Id="rId9824" Type="http://schemas.openxmlformats.org/officeDocument/2006/relationships/hyperlink" Target="https://maps.google.com/?q=16.6322923609435,-96.850807459688397" TargetMode="External"/><Relationship Id="rId11754" Type="http://schemas.openxmlformats.org/officeDocument/2006/relationships/hyperlink" Target="https://maps.google.com/?q=16.53707914603951,-96.66543262334824" TargetMode="External"/><Relationship Id="rId12805" Type="http://schemas.openxmlformats.org/officeDocument/2006/relationships/hyperlink" Target="https://maps.google.com/?q=16.115029,-97.298118000000002" TargetMode="External"/><Relationship Id="rId38" Type="http://schemas.openxmlformats.org/officeDocument/2006/relationships/hyperlink" Target="https://maps.google.com/?q=17.221016,-97.122168000000002" TargetMode="External"/><Relationship Id="rId1813" Type="http://schemas.openxmlformats.org/officeDocument/2006/relationships/hyperlink" Target="https://maps.google.com/?q=18.0694927059552,-96.899996866770607" TargetMode="External"/><Relationship Id="rId7375" Type="http://schemas.openxmlformats.org/officeDocument/2006/relationships/hyperlink" Target="https://maps.google.com/?q=17.0389081795239,-97.301917969528901" TargetMode="External"/><Relationship Id="rId8426" Type="http://schemas.openxmlformats.org/officeDocument/2006/relationships/hyperlink" Target="https://maps.google.com/?q=16.2006683054657,-96.827664761802794" TargetMode="External"/><Relationship Id="rId10356" Type="http://schemas.openxmlformats.org/officeDocument/2006/relationships/hyperlink" Target="https://maps.google.com/?q=17.4337718925704,-96.656555459428802" TargetMode="External"/><Relationship Id="rId11407" Type="http://schemas.openxmlformats.org/officeDocument/2006/relationships/hyperlink" Target="https://maps.google.com/?q=17.2013685907827,-97.770574258979494" TargetMode="External"/><Relationship Id="rId3985" Type="http://schemas.openxmlformats.org/officeDocument/2006/relationships/hyperlink" Target="https://maps.google.com/?q=17.062461,-96.757001000000002" TargetMode="External"/><Relationship Id="rId7028" Type="http://schemas.openxmlformats.org/officeDocument/2006/relationships/hyperlink" Target="https://maps.google.com/?q=17.0438391283295,-97.301341160348798" TargetMode="External"/><Relationship Id="rId10009" Type="http://schemas.openxmlformats.org/officeDocument/2006/relationships/hyperlink" Target="https://maps.google.com/?q=17.009096941679,-96.076501213865797" TargetMode="External"/><Relationship Id="rId13579" Type="http://schemas.openxmlformats.org/officeDocument/2006/relationships/hyperlink" Target="https://maps.google.com/?q=16.332014,-95.231966" TargetMode="External"/><Relationship Id="rId2587" Type="http://schemas.openxmlformats.org/officeDocument/2006/relationships/hyperlink" Target="https://maps.google.com/?q=16.6002116644161,-97.219686542327906" TargetMode="External"/><Relationship Id="rId3638" Type="http://schemas.openxmlformats.org/officeDocument/2006/relationships/hyperlink" Target="https://maps.google.com/?q=15.777974545181257,-96.137441804363618" TargetMode="External"/><Relationship Id="rId559" Type="http://schemas.openxmlformats.org/officeDocument/2006/relationships/hyperlink" Target="https://maps.google.com/?q=16.052379,-97.401427999999996" TargetMode="External"/><Relationship Id="rId1189" Type="http://schemas.openxmlformats.org/officeDocument/2006/relationships/hyperlink" Target="https://maps.google.com/?q=16.959892,-95.097558" TargetMode="External"/><Relationship Id="rId5060" Type="http://schemas.openxmlformats.org/officeDocument/2006/relationships/hyperlink" Target="https://maps.google.com/?q=17.252027,-96.154178000000002" TargetMode="External"/><Relationship Id="rId6111" Type="http://schemas.openxmlformats.org/officeDocument/2006/relationships/hyperlink" Target="https://maps.google.com/?q=17.975801,-96.705088000000003" TargetMode="External"/><Relationship Id="rId9681" Type="http://schemas.openxmlformats.org/officeDocument/2006/relationships/hyperlink" Target="https://maps.google.com/?q=16.3174648325547,-96.585074340313497" TargetMode="External"/><Relationship Id="rId8283" Type="http://schemas.openxmlformats.org/officeDocument/2006/relationships/hyperlink" Target="https://maps.google.com/?q=17.6250632301,-97.034252019700006" TargetMode="External"/><Relationship Id="rId9334" Type="http://schemas.openxmlformats.org/officeDocument/2006/relationships/hyperlink" Target="https://maps.google.com/?q=16.8169699180811,-95.142481190784494" TargetMode="External"/><Relationship Id="rId12662" Type="http://schemas.openxmlformats.org/officeDocument/2006/relationships/hyperlink" Target="https://maps.google.com/?q=16.9200431658704,-97.8899529779099" TargetMode="External"/><Relationship Id="rId13713" Type="http://schemas.openxmlformats.org/officeDocument/2006/relationships/hyperlink" Target="https://maps.google.com/?q=16.27907,-97.82027" TargetMode="External"/><Relationship Id="rId1670" Type="http://schemas.openxmlformats.org/officeDocument/2006/relationships/hyperlink" Target="https://maps.google.com/?q=18.0472981934343,-96.894811940987594" TargetMode="External"/><Relationship Id="rId2721" Type="http://schemas.openxmlformats.org/officeDocument/2006/relationships/hyperlink" Target="https://maps.google.com/?q=15.9261132608649,-96.418036542327798" TargetMode="External"/><Relationship Id="rId11264" Type="http://schemas.openxmlformats.org/officeDocument/2006/relationships/hyperlink" Target="https://maps.google.com/?q=17.8653868964858,-96.309870891282799" TargetMode="External"/><Relationship Id="rId12315" Type="http://schemas.openxmlformats.org/officeDocument/2006/relationships/hyperlink" Target="https://maps.google.com/?q=17.180527,-96.368975" TargetMode="External"/><Relationship Id="rId1323" Type="http://schemas.openxmlformats.org/officeDocument/2006/relationships/hyperlink" Target="https://maps.google.com/?q=17.094465,-96.75526400" TargetMode="External"/><Relationship Id="rId4893" Type="http://schemas.openxmlformats.org/officeDocument/2006/relationships/hyperlink" Target="https://maps.google.com/?q=16.8047419126354,-96.398720365582705" TargetMode="External"/><Relationship Id="rId5944" Type="http://schemas.openxmlformats.org/officeDocument/2006/relationships/hyperlink" Target="https://maps.google.com/?q=18.153761144034473,-96.571689229753702" TargetMode="External"/><Relationship Id="rId3495" Type="http://schemas.openxmlformats.org/officeDocument/2006/relationships/hyperlink" Target="https://maps.google.com/?q=17.07154412050349,-96.7159122707850" TargetMode="External"/><Relationship Id="rId4546" Type="http://schemas.openxmlformats.org/officeDocument/2006/relationships/hyperlink" Target="https://maps.google.com/?q=17.1846880307675,-97.303030346471004" TargetMode="External"/><Relationship Id="rId13089" Type="http://schemas.openxmlformats.org/officeDocument/2006/relationships/hyperlink" Target="https://maps.google.com/?q=16.5645021,-97.531750560000006" TargetMode="External"/><Relationship Id="rId2097" Type="http://schemas.openxmlformats.org/officeDocument/2006/relationships/hyperlink" Target="https://maps.google.com/?q=15.763866,-96.151722" TargetMode="External"/><Relationship Id="rId3148" Type="http://schemas.openxmlformats.org/officeDocument/2006/relationships/hyperlink" Target="https://maps.google.com/?q=16.587934,-97.443196" TargetMode="External"/><Relationship Id="rId7769" Type="http://schemas.openxmlformats.org/officeDocument/2006/relationships/hyperlink" Target="https://maps.google.com/?q=16.1011771297974,-96.194791857034701" TargetMode="External"/><Relationship Id="rId10000" Type="http://schemas.openxmlformats.org/officeDocument/2006/relationships/hyperlink" Target="https://maps.google.com/?q=17.1212617144274,-97.514045713635497" TargetMode="External"/><Relationship Id="rId9191" Type="http://schemas.openxmlformats.org/officeDocument/2006/relationships/hyperlink" Target="https://maps.google.com/?q=17.3742987948044,-96.301195168494701" TargetMode="External"/><Relationship Id="rId12172" Type="http://schemas.openxmlformats.org/officeDocument/2006/relationships/hyperlink" Target="https://maps.google.com/?q=17.4160879926113,-95.947592303685894" TargetMode="External"/><Relationship Id="rId13570" Type="http://schemas.openxmlformats.org/officeDocument/2006/relationships/hyperlink" Target="https://maps.google.com/?q=17.40895402764706,-96.69168345332268" TargetMode="External"/><Relationship Id="rId550" Type="http://schemas.openxmlformats.org/officeDocument/2006/relationships/hyperlink" Target="https://maps.google.com/?q=16.053514,-97.404672000000005" TargetMode="External"/><Relationship Id="rId1180" Type="http://schemas.openxmlformats.org/officeDocument/2006/relationships/hyperlink" Target="https://maps.google.com/?q=17.507454,-98.141240" TargetMode="External"/><Relationship Id="rId2231" Type="http://schemas.openxmlformats.org/officeDocument/2006/relationships/hyperlink" Target="https://maps.google.com/?q=17.4094701038938,-97.089873122684494" TargetMode="External"/><Relationship Id="rId13223" Type="http://schemas.openxmlformats.org/officeDocument/2006/relationships/hyperlink" Target="https://maps.google.com/?q=17.3466723247541,-97.369095008598293" TargetMode="External"/><Relationship Id="rId203" Type="http://schemas.openxmlformats.org/officeDocument/2006/relationships/hyperlink" Target="https://maps.google.com/?q=17.095144,-97.503765999999999" TargetMode="External"/><Relationship Id="rId6852" Type="http://schemas.openxmlformats.org/officeDocument/2006/relationships/hyperlink" Target="https://maps.google.com/?q=17.0091238509015,-96.978714984719005" TargetMode="External"/><Relationship Id="rId7903" Type="http://schemas.openxmlformats.org/officeDocument/2006/relationships/hyperlink" Target="https://maps.google.com/?q=16.3192690367785,-96.4055647840609" TargetMode="External"/><Relationship Id="rId4056" Type="http://schemas.openxmlformats.org/officeDocument/2006/relationships/hyperlink" Target="https://maps.google.com/?q=17.080188,-96.726730000000003" TargetMode="External"/><Relationship Id="rId5454" Type="http://schemas.openxmlformats.org/officeDocument/2006/relationships/hyperlink" Target="https://maps.google.com/?q=16.00846101929,-97.425826143575904" TargetMode="External"/><Relationship Id="rId6505" Type="http://schemas.openxmlformats.org/officeDocument/2006/relationships/hyperlink" Target="https://maps.google.com/?q=17.2187796054654,-97.570404545141201" TargetMode="External"/><Relationship Id="rId5107" Type="http://schemas.openxmlformats.org/officeDocument/2006/relationships/hyperlink" Target="https://maps.google.com/?q=17.253548,-96.155113" TargetMode="External"/><Relationship Id="rId8677" Type="http://schemas.openxmlformats.org/officeDocument/2006/relationships/hyperlink" Target="https://maps.google.com/?q=16.1826908664339,-96.623835177909797" TargetMode="External"/><Relationship Id="rId9728" Type="http://schemas.openxmlformats.org/officeDocument/2006/relationships/hyperlink" Target="https://maps.google.com/?q=17.2680593754957,-96.796655324477499" TargetMode="External"/><Relationship Id="rId11658" Type="http://schemas.openxmlformats.org/officeDocument/2006/relationships/hyperlink" Target="https://maps.google.com/?q=17.1737956,-97.709311959999994" TargetMode="External"/><Relationship Id="rId1717" Type="http://schemas.openxmlformats.org/officeDocument/2006/relationships/hyperlink" Target="https://maps.google.com/?q=18.0557423586425,-96.826059787672705" TargetMode="External"/><Relationship Id="rId7279" Type="http://schemas.openxmlformats.org/officeDocument/2006/relationships/hyperlink" Target="https://maps.google.com/?q=16.3041304725522,-97.909818500000696" TargetMode="External"/><Relationship Id="rId12709" Type="http://schemas.openxmlformats.org/officeDocument/2006/relationships/hyperlink" Target="https://maps.google.com/?q=16.2843712,-96.504007900000005" TargetMode="External"/><Relationship Id="rId13080" Type="http://schemas.openxmlformats.org/officeDocument/2006/relationships/hyperlink" Target="https://maps.google.com/?q=16.5641871,-97.536467200000004" TargetMode="External"/><Relationship Id="rId14131" Type="http://schemas.openxmlformats.org/officeDocument/2006/relationships/hyperlink" Target="https://maps.google.com/?q=16.83775699,-95.41290761" TargetMode="External"/><Relationship Id="rId3889" Type="http://schemas.openxmlformats.org/officeDocument/2006/relationships/hyperlink" Target="https://maps.google.com/?q=17.0917458263784,-96.067006314237105" TargetMode="External"/><Relationship Id="rId6362" Type="http://schemas.openxmlformats.org/officeDocument/2006/relationships/hyperlink" Target="https://maps.google.com/?q=17.08334,-96.71802" TargetMode="External"/><Relationship Id="rId7413" Type="http://schemas.openxmlformats.org/officeDocument/2006/relationships/hyperlink" Target="https://maps.google.com/?q=17.03523,-97.054181999999997" TargetMode="External"/><Relationship Id="rId7760" Type="http://schemas.openxmlformats.org/officeDocument/2006/relationships/hyperlink" Target="https://maps.google.com/?q=16.070723,-96.304175999999998" TargetMode="External"/><Relationship Id="rId8811" Type="http://schemas.openxmlformats.org/officeDocument/2006/relationships/hyperlink" Target="https://maps.google.com/?q=17.2158,-96.247121000000007" TargetMode="External"/><Relationship Id="rId10741" Type="http://schemas.openxmlformats.org/officeDocument/2006/relationships/hyperlink" Target="https://maps.google.com/?q=16.730439,-94.898475" TargetMode="External"/><Relationship Id="rId6015" Type="http://schemas.openxmlformats.org/officeDocument/2006/relationships/hyperlink" Target="https://maps.google.com/?q=18.155708908800033,-96.576085703662031" TargetMode="External"/><Relationship Id="rId13964" Type="http://schemas.openxmlformats.org/officeDocument/2006/relationships/hyperlink" Target="https://maps.google.com/?q=17.0992758408982,-96.047969163970706" TargetMode="External"/><Relationship Id="rId2972" Type="http://schemas.openxmlformats.org/officeDocument/2006/relationships/hyperlink" Target="https://maps.google.com/?q=16.4592019577594,-97.027558679622103" TargetMode="External"/><Relationship Id="rId8187" Type="http://schemas.openxmlformats.org/officeDocument/2006/relationships/hyperlink" Target="https://maps.google.com/?q=16.666973,-96.308974000000006" TargetMode="External"/><Relationship Id="rId9585" Type="http://schemas.openxmlformats.org/officeDocument/2006/relationships/hyperlink" Target="https://maps.google.com/?q=17.9896543166173,-96.738384818090196" TargetMode="External"/><Relationship Id="rId12566" Type="http://schemas.openxmlformats.org/officeDocument/2006/relationships/hyperlink" Target="https://maps.google.com/?q=16.5495540779573,-96.978433131851801" TargetMode="External"/><Relationship Id="rId13617" Type="http://schemas.openxmlformats.org/officeDocument/2006/relationships/hyperlink" Target="https://maps.google.com/?q=17.335708,-96.164985" TargetMode="External"/><Relationship Id="rId944" Type="http://schemas.openxmlformats.org/officeDocument/2006/relationships/hyperlink" Target="https://maps.google.com/?q=15.68243638459757,-96.509749664799585" TargetMode="External"/><Relationship Id="rId1574" Type="http://schemas.openxmlformats.org/officeDocument/2006/relationships/hyperlink" Target="https://maps.google.com/?q=16.5643171829831,-96.7011878558164" TargetMode="External"/><Relationship Id="rId2625" Type="http://schemas.openxmlformats.org/officeDocument/2006/relationships/hyperlink" Target="https://maps.google.com/?q=18.080512,-96.164688999999996" TargetMode="External"/><Relationship Id="rId9238" Type="http://schemas.openxmlformats.org/officeDocument/2006/relationships/hyperlink" Target="https://maps.google.com/?q=17.3763437391941,-96.301258297663693" TargetMode="External"/><Relationship Id="rId11168" Type="http://schemas.openxmlformats.org/officeDocument/2006/relationships/hyperlink" Target="https://maps.google.com/?q=16.842914,-96.008869000000004" TargetMode="External"/><Relationship Id="rId12219" Type="http://schemas.openxmlformats.org/officeDocument/2006/relationships/hyperlink" Target="https://maps.google.com/?q=17.4187344746108,-95.950497612693596" TargetMode="External"/><Relationship Id="rId1227" Type="http://schemas.openxmlformats.org/officeDocument/2006/relationships/hyperlink" Target="https://maps.google.com/?q=17.047,-96.71366000" TargetMode="External"/><Relationship Id="rId4797" Type="http://schemas.openxmlformats.org/officeDocument/2006/relationships/hyperlink" Target="https://maps.google.com/?q=16.8934173991136,-96.506039636686594" TargetMode="External"/><Relationship Id="rId5848" Type="http://schemas.openxmlformats.org/officeDocument/2006/relationships/hyperlink" Target="https://maps.google.com/?q=16.0931896037521,-97.691604244715293" TargetMode="External"/><Relationship Id="rId3399" Type="http://schemas.openxmlformats.org/officeDocument/2006/relationships/hyperlink" Target="https://maps.google.com/?q=18.0056068430661,-96.642193173541799" TargetMode="External"/><Relationship Id="rId7270" Type="http://schemas.openxmlformats.org/officeDocument/2006/relationships/hyperlink" Target="https://maps.google.com/?q=16.3013171613142,-97.908141737791695" TargetMode="External"/><Relationship Id="rId8321" Type="http://schemas.openxmlformats.org/officeDocument/2006/relationships/hyperlink" Target="https://maps.google.com/?q=16.540504,-98.034544999999994" TargetMode="External"/><Relationship Id="rId10251" Type="http://schemas.openxmlformats.org/officeDocument/2006/relationships/hyperlink" Target="https://maps.google.com/?q=16.2412629139104,-95.152791164581402" TargetMode="External"/><Relationship Id="rId12700" Type="http://schemas.openxmlformats.org/officeDocument/2006/relationships/hyperlink" Target="https://maps.google.com/?q=16.2836873081066,-96.505494512268797" TargetMode="External"/><Relationship Id="rId11302" Type="http://schemas.openxmlformats.org/officeDocument/2006/relationships/hyperlink" Target="https://maps.google.com/?q=17.8677314414575,-96.309344533373306" TargetMode="External"/><Relationship Id="rId3880" Type="http://schemas.openxmlformats.org/officeDocument/2006/relationships/hyperlink" Target="https://maps.google.com/?q=17.1063646300929,-95.934859083962806" TargetMode="External"/><Relationship Id="rId4931" Type="http://schemas.openxmlformats.org/officeDocument/2006/relationships/hyperlink" Target="https://maps.google.com/?q=18.03309994541,-96.669970628310907" TargetMode="External"/><Relationship Id="rId9095" Type="http://schemas.openxmlformats.org/officeDocument/2006/relationships/hyperlink" Target="https://maps.google.com/?q=17.313368316627212,-97.34164603352954" TargetMode="External"/><Relationship Id="rId13474" Type="http://schemas.openxmlformats.org/officeDocument/2006/relationships/hyperlink" Target="https://maps.google.com/?q=17.6879549121469,-97.037434598533395" TargetMode="External"/><Relationship Id="rId1084" Type="http://schemas.openxmlformats.org/officeDocument/2006/relationships/hyperlink" Target="https://maps.google.com/?q=17.09063,-97.493195999999998" TargetMode="External"/><Relationship Id="rId2482" Type="http://schemas.openxmlformats.org/officeDocument/2006/relationships/hyperlink" Target="https://maps.google.com/?q=17.0519113,-96.624220320000006" TargetMode="External"/><Relationship Id="rId3533" Type="http://schemas.openxmlformats.org/officeDocument/2006/relationships/hyperlink" Target="https://maps.google.com/?q=15.766916,-96.150159" TargetMode="External"/><Relationship Id="rId12076" Type="http://schemas.openxmlformats.org/officeDocument/2006/relationships/hyperlink" Target="https://maps.google.com/?q=16.24451656,-95.324180420000005" TargetMode="External"/><Relationship Id="rId13127" Type="http://schemas.openxmlformats.org/officeDocument/2006/relationships/hyperlink" Target="https://maps.google.com/?q=17.1846626264053,-96.512487215938606" TargetMode="External"/><Relationship Id="rId107" Type="http://schemas.openxmlformats.org/officeDocument/2006/relationships/hyperlink" Target="https://maps.google.com/?q=17.090845,-97.499115000000003" TargetMode="External"/><Relationship Id="rId454" Type="http://schemas.openxmlformats.org/officeDocument/2006/relationships/hyperlink" Target="https://maps.google.com/?q=16.052963,-97.410798" TargetMode="External"/><Relationship Id="rId2135" Type="http://schemas.openxmlformats.org/officeDocument/2006/relationships/hyperlink" Target="https://maps.google.com/?q=15.763238,-96.143756999999994" TargetMode="External"/><Relationship Id="rId6756" Type="http://schemas.openxmlformats.org/officeDocument/2006/relationships/hyperlink" Target="https://maps.google.com/?q=16.705314310112,-97.021023551618995" TargetMode="External"/><Relationship Id="rId7807" Type="http://schemas.openxmlformats.org/officeDocument/2006/relationships/hyperlink" Target="https://maps.google.com/?q=17.8461024278039,-96.742853058730901" TargetMode="External"/><Relationship Id="rId5358" Type="http://schemas.openxmlformats.org/officeDocument/2006/relationships/hyperlink" Target="https://maps.google.com/?q=16.5275101457853,-97.168940139881101" TargetMode="External"/><Relationship Id="rId6409" Type="http://schemas.openxmlformats.org/officeDocument/2006/relationships/hyperlink" Target="https://maps.google.com/?q=17.2096736214209,-97.581220872819202" TargetMode="External"/><Relationship Id="rId9979" Type="http://schemas.openxmlformats.org/officeDocument/2006/relationships/hyperlink" Target="https://maps.google.com/?q=16.1044892914931,-95.382244551918504" TargetMode="External"/><Relationship Id="rId12210" Type="http://schemas.openxmlformats.org/officeDocument/2006/relationships/hyperlink" Target="https://maps.google.com/?q=17.4184275478628,-95.948972953013396" TargetMode="External"/><Relationship Id="rId1968" Type="http://schemas.openxmlformats.org/officeDocument/2006/relationships/hyperlink" Target="https://maps.google.com/?q=15.783732562406893,-96.13784591980415" TargetMode="External"/><Relationship Id="rId3390" Type="http://schemas.openxmlformats.org/officeDocument/2006/relationships/hyperlink" Target="https://maps.google.com/?q=16.396524,-96.841009" TargetMode="External"/><Relationship Id="rId4441" Type="http://schemas.openxmlformats.org/officeDocument/2006/relationships/hyperlink" Target="https://maps.google.com/?q=16.5688950294833,-96.698966813050902" TargetMode="External"/><Relationship Id="rId14035" Type="http://schemas.openxmlformats.org/officeDocument/2006/relationships/hyperlink" Target="https://maps.google.com/?q=17.06007,-96.72499" TargetMode="External"/><Relationship Id="rId3043" Type="http://schemas.openxmlformats.org/officeDocument/2006/relationships/hyperlink" Target="https://maps.google.com/?q=16.9634976437813,-96.941368846271601" TargetMode="External"/><Relationship Id="rId10992" Type="http://schemas.openxmlformats.org/officeDocument/2006/relationships/hyperlink" Target="https://maps.google.com/?q=17.1609841407358,-97.589170643382303" TargetMode="External"/><Relationship Id="rId6266" Type="http://schemas.openxmlformats.org/officeDocument/2006/relationships/hyperlink" Target="https://maps.google.com/?q=16.4025950793085,-96.716999874832396" TargetMode="External"/><Relationship Id="rId7664" Type="http://schemas.openxmlformats.org/officeDocument/2006/relationships/hyperlink" Target="https://maps.google.com/?q=17.2328941302068,-95.056046787080504" TargetMode="External"/><Relationship Id="rId8715" Type="http://schemas.openxmlformats.org/officeDocument/2006/relationships/hyperlink" Target="https://maps.google.com/?q=17.0561042805571,-96.823325757791395" TargetMode="External"/><Relationship Id="rId10645" Type="http://schemas.openxmlformats.org/officeDocument/2006/relationships/hyperlink" Target="https://maps.google.com/?q=17.121013559341,-97.782290856686302" TargetMode="External"/><Relationship Id="rId7317" Type="http://schemas.openxmlformats.org/officeDocument/2006/relationships/hyperlink" Target="https://maps.google.com/?q=16.72764835,-96.472712490000006" TargetMode="External"/><Relationship Id="rId13868" Type="http://schemas.openxmlformats.org/officeDocument/2006/relationships/hyperlink" Target="https://maps.google.com/?q=16.26810848286,-96.580818569330106" TargetMode="External"/><Relationship Id="rId2876" Type="http://schemas.openxmlformats.org/officeDocument/2006/relationships/hyperlink" Target="https://maps.google.com/?q=16.9894422852431,-97.682253988343206" TargetMode="External"/><Relationship Id="rId3927" Type="http://schemas.openxmlformats.org/officeDocument/2006/relationships/hyperlink" Target="https://maps.google.com/?q=17.058717,-96.753580999999997" TargetMode="External"/><Relationship Id="rId9489" Type="http://schemas.openxmlformats.org/officeDocument/2006/relationships/hyperlink" Target="https://maps.google.com/?q=17.0555,-96.72563" TargetMode="External"/><Relationship Id="rId848" Type="http://schemas.openxmlformats.org/officeDocument/2006/relationships/hyperlink" Target="https://maps.google.com/?q=15.706809674582109,-96.524080964503867" TargetMode="External"/><Relationship Id="rId1478" Type="http://schemas.openxmlformats.org/officeDocument/2006/relationships/hyperlink" Target="https://maps.google.com/?q=16.43033,-95.97306" TargetMode="External"/><Relationship Id="rId2529" Type="http://schemas.openxmlformats.org/officeDocument/2006/relationships/hyperlink" Target="https://maps.google.com/?q=17.052456766797416,-96.623545562704393" TargetMode="External"/><Relationship Id="rId6400" Type="http://schemas.openxmlformats.org/officeDocument/2006/relationships/hyperlink" Target="https://maps.google.com/?q=17.258308246715,-97.538288166708597" TargetMode="External"/><Relationship Id="rId9970" Type="http://schemas.openxmlformats.org/officeDocument/2006/relationships/hyperlink" Target="https://maps.google.com/?q=16.53586,-97.974465" TargetMode="External"/><Relationship Id="rId5002" Type="http://schemas.openxmlformats.org/officeDocument/2006/relationships/hyperlink" Target="https://maps.google.com/?q=16.95558,-96.479206000000005" TargetMode="External"/><Relationship Id="rId8572" Type="http://schemas.openxmlformats.org/officeDocument/2006/relationships/hyperlink" Target="https://maps.google.com/?q=16.9294198236989,-96.601920560178499" TargetMode="External"/><Relationship Id="rId9623" Type="http://schemas.openxmlformats.org/officeDocument/2006/relationships/hyperlink" Target="https://maps.google.com/?q=17.9987466154076,-96.745401227718006" TargetMode="External"/><Relationship Id="rId12951" Type="http://schemas.openxmlformats.org/officeDocument/2006/relationships/hyperlink" Target="https://maps.google.com/?q=16.549199,-97.506602999999998" TargetMode="External"/><Relationship Id="rId7174" Type="http://schemas.openxmlformats.org/officeDocument/2006/relationships/hyperlink" Target="https://maps.google.com/?q=16.2196456980294,-97.959221353016702" TargetMode="External"/><Relationship Id="rId8225" Type="http://schemas.openxmlformats.org/officeDocument/2006/relationships/hyperlink" Target="https://maps.google.com/?q=16.42176,-97.639126000000005" TargetMode="External"/><Relationship Id="rId11553" Type="http://schemas.openxmlformats.org/officeDocument/2006/relationships/hyperlink" Target="https://maps.google.com/?q=16.8308424641345,-96.706607279762196" TargetMode="External"/><Relationship Id="rId12604" Type="http://schemas.openxmlformats.org/officeDocument/2006/relationships/hyperlink" Target="https://maps.google.com/?q=17.1109884549705,-96.858462519014395" TargetMode="External"/><Relationship Id="rId1612" Type="http://schemas.openxmlformats.org/officeDocument/2006/relationships/hyperlink" Target="https://maps.google.com/?q=17.761143,-96.080586999999994" TargetMode="External"/><Relationship Id="rId10155" Type="http://schemas.openxmlformats.org/officeDocument/2006/relationships/hyperlink" Target="https://maps.google.com/?q=17.0993958330988,-97.492478012724604" TargetMode="External"/><Relationship Id="rId11206" Type="http://schemas.openxmlformats.org/officeDocument/2006/relationships/hyperlink" Target="https://maps.google.com/?q=16.998124,-97.797821999999996" TargetMode="External"/><Relationship Id="rId3784" Type="http://schemas.openxmlformats.org/officeDocument/2006/relationships/hyperlink" Target="https://maps.google.com/?q=15.764842,-96.142866999999995" TargetMode="External"/><Relationship Id="rId4835" Type="http://schemas.openxmlformats.org/officeDocument/2006/relationships/hyperlink" Target="https://maps.google.com/?q=17.3356132937396,-96.166652055513893" TargetMode="External"/><Relationship Id="rId13378" Type="http://schemas.openxmlformats.org/officeDocument/2006/relationships/hyperlink" Target="https://maps.google.com/?q=16.323749129309,-96.678567578222598" TargetMode="External"/><Relationship Id="rId2386" Type="http://schemas.openxmlformats.org/officeDocument/2006/relationships/hyperlink" Target="https://maps.google.com/?q=16.5854059774214,-97.228334077385" TargetMode="External"/><Relationship Id="rId3437" Type="http://schemas.openxmlformats.org/officeDocument/2006/relationships/hyperlink" Target="https://maps.google.com/?q=17.06728,-96.968149999999994" TargetMode="External"/><Relationship Id="rId358" Type="http://schemas.openxmlformats.org/officeDocument/2006/relationships/hyperlink" Target="https://maps.google.com/?q=16.054576,-97.408924999999996" TargetMode="External"/><Relationship Id="rId2039" Type="http://schemas.openxmlformats.org/officeDocument/2006/relationships/hyperlink" Target="https://maps.google.com/?q=15.75964852480774,-96.141391840043809" TargetMode="External"/><Relationship Id="rId9480" Type="http://schemas.openxmlformats.org/officeDocument/2006/relationships/hyperlink" Target="https://maps.google.com/?q=17.063778,-96.729971000000006" TargetMode="External"/><Relationship Id="rId12461" Type="http://schemas.openxmlformats.org/officeDocument/2006/relationships/hyperlink" Target="https://maps.google.com/?q=17.2215133809561,-97.270563386202298" TargetMode="External"/><Relationship Id="rId2520" Type="http://schemas.openxmlformats.org/officeDocument/2006/relationships/hyperlink" Target="https://maps.google.com/?q=17.05221141,-96.624462559999998" TargetMode="External"/><Relationship Id="rId8082" Type="http://schemas.openxmlformats.org/officeDocument/2006/relationships/hyperlink" Target="https://maps.google.com/?q=17.35427016131,-96.303683438776602" TargetMode="External"/><Relationship Id="rId9133" Type="http://schemas.openxmlformats.org/officeDocument/2006/relationships/hyperlink" Target="https://maps.google.com/?q=17.042205,-96.729023999999995" TargetMode="External"/><Relationship Id="rId11063" Type="http://schemas.openxmlformats.org/officeDocument/2006/relationships/hyperlink" Target="https://maps.google.com/?q=17.28027749,-97.370584480000005" TargetMode="External"/><Relationship Id="rId12114" Type="http://schemas.openxmlformats.org/officeDocument/2006/relationships/hyperlink" Target="https://maps.google.com/?q=16.319187884384,-97.664786432956902" TargetMode="External"/><Relationship Id="rId13512" Type="http://schemas.openxmlformats.org/officeDocument/2006/relationships/hyperlink" Target="https://maps.google.com/?q=18.041535626419467,-96.75619370579612" TargetMode="External"/><Relationship Id="rId1122" Type="http://schemas.openxmlformats.org/officeDocument/2006/relationships/hyperlink" Target="https://maps.google.com/?q=17.094055,-97.492358999999993" TargetMode="External"/><Relationship Id="rId3294" Type="http://schemas.openxmlformats.org/officeDocument/2006/relationships/hyperlink" Target="https://maps.google.com/?q=17.0628129899375,-96.813445238798494" TargetMode="External"/><Relationship Id="rId4345" Type="http://schemas.openxmlformats.org/officeDocument/2006/relationships/hyperlink" Target="https://maps.google.com/?q=15.95657968,-96.644389959999998" TargetMode="External"/><Relationship Id="rId4692" Type="http://schemas.openxmlformats.org/officeDocument/2006/relationships/hyperlink" Target="https://maps.google.com/?q=17.062009,-96.757019999999997" TargetMode="External"/><Relationship Id="rId5743" Type="http://schemas.openxmlformats.org/officeDocument/2006/relationships/hyperlink" Target="https://maps.google.com/?q=18.050723,-96.774148999999994" TargetMode="External"/><Relationship Id="rId8966" Type="http://schemas.openxmlformats.org/officeDocument/2006/relationships/hyperlink" Target="https://maps.google.com/?q=17.381584273,-96.160814114000004" TargetMode="External"/><Relationship Id="rId10896" Type="http://schemas.openxmlformats.org/officeDocument/2006/relationships/hyperlink" Target="https://maps.google.com/?q=16.1864352307621,-95.188346432208704" TargetMode="External"/><Relationship Id="rId11947" Type="http://schemas.openxmlformats.org/officeDocument/2006/relationships/hyperlink" Target="https://maps.google.com/?q=17.2402267090427,-97.920401326389296" TargetMode="External"/><Relationship Id="rId7568" Type="http://schemas.openxmlformats.org/officeDocument/2006/relationships/hyperlink" Target="https://maps.google.com/?q=17.3286527531688,-95.269960593237002" TargetMode="External"/><Relationship Id="rId8619" Type="http://schemas.openxmlformats.org/officeDocument/2006/relationships/hyperlink" Target="https://maps.google.com/?q=17.8963759372468,-96.711769523660294" TargetMode="External"/><Relationship Id="rId10549" Type="http://schemas.openxmlformats.org/officeDocument/2006/relationships/hyperlink" Target="https://maps.google.com/?q=17.090441476025,-97.789138459296097" TargetMode="External"/><Relationship Id="rId13022" Type="http://schemas.openxmlformats.org/officeDocument/2006/relationships/hyperlink" Target="https://maps.google.com/?q=16.5058274,-97.553993599999998" TargetMode="External"/><Relationship Id="rId2030" Type="http://schemas.openxmlformats.org/officeDocument/2006/relationships/hyperlink" Target="https://maps.google.com/?q=15.758558918321594,-96.141630909356863" TargetMode="External"/><Relationship Id="rId6651" Type="http://schemas.openxmlformats.org/officeDocument/2006/relationships/hyperlink" Target="https://maps.google.com/?q=17.7538175853841,-96.200176760574195" TargetMode="External"/><Relationship Id="rId7702" Type="http://schemas.openxmlformats.org/officeDocument/2006/relationships/hyperlink" Target="https://maps.google.com/?q=16.6274092619448,-96.7951100320300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
  <sheetViews>
    <sheetView tabSelected="1" workbookViewId="0">
      <selection activeCell="C12" sqref="C12"/>
    </sheetView>
  </sheetViews>
  <sheetFormatPr baseColWidth="10" defaultColWidth="8.7265625" defaultRowHeight="14.5" x14ac:dyDescent="0.35"/>
  <cols>
    <col min="1" max="1" width="9" customWidth="1"/>
    <col min="2" max="2" width="27" customWidth="1"/>
    <col min="3" max="3" width="13" customWidth="1"/>
    <col min="4" max="4" width="3" customWidth="1"/>
  </cols>
  <sheetData>
    <row r="1" spans="1:16" ht="78" customHeight="1" x14ac:dyDescent="0.35">
      <c r="A1" s="7" t="s">
        <v>0</v>
      </c>
      <c r="B1" s="7"/>
      <c r="C1" s="7"/>
      <c r="D1" s="7"/>
      <c r="E1" s="7"/>
      <c r="F1" s="7"/>
      <c r="G1" s="7"/>
      <c r="H1" s="7"/>
      <c r="I1" s="7"/>
      <c r="J1" s="7"/>
      <c r="K1" s="7"/>
      <c r="L1" s="7"/>
      <c r="M1" s="7"/>
      <c r="N1" s="7"/>
      <c r="O1" s="7"/>
      <c r="P1" s="7"/>
    </row>
    <row r="2" spans="1:16" ht="29" x14ac:dyDescent="0.35">
      <c r="A2" s="1"/>
      <c r="B2" s="1" t="s">
        <v>15</v>
      </c>
      <c r="C2" s="1" t="s">
        <v>3401</v>
      </c>
    </row>
    <row r="3" spans="1:16" ht="35" customHeight="1" x14ac:dyDescent="0.35">
      <c r="A3" s="3"/>
      <c r="B3" s="3" t="s">
        <v>3402</v>
      </c>
      <c r="C3" s="3">
        <v>120</v>
      </c>
    </row>
    <row r="4" spans="1:16" ht="35" customHeight="1" x14ac:dyDescent="0.35">
      <c r="A4" s="4"/>
      <c r="B4" s="4" t="s">
        <v>3403</v>
      </c>
      <c r="C4" s="4">
        <v>260</v>
      </c>
    </row>
    <row r="5" spans="1:16" ht="35" customHeight="1" x14ac:dyDescent="0.35">
      <c r="A5" s="5"/>
      <c r="B5" s="5" t="s">
        <v>3393</v>
      </c>
      <c r="C5" s="5">
        <v>144</v>
      </c>
    </row>
    <row r="6" spans="1:16" ht="35" customHeight="1" x14ac:dyDescent="0.35">
      <c r="A6" s="6"/>
      <c r="B6" s="6" t="s">
        <v>3394</v>
      </c>
      <c r="C6" s="6">
        <v>282</v>
      </c>
    </row>
    <row r="7" spans="1:16" ht="35" customHeight="1" x14ac:dyDescent="0.35">
      <c r="A7" s="5"/>
      <c r="B7" s="5" t="s">
        <v>3395</v>
      </c>
      <c r="C7" s="5">
        <v>90</v>
      </c>
    </row>
    <row r="8" spans="1:16" ht="35" customHeight="1" x14ac:dyDescent="0.35">
      <c r="A8" s="6"/>
      <c r="B8" s="6" t="s">
        <v>3396</v>
      </c>
      <c r="C8" s="6">
        <v>191</v>
      </c>
    </row>
    <row r="9" spans="1:16" ht="35" customHeight="1" x14ac:dyDescent="0.35">
      <c r="A9" s="5"/>
      <c r="B9" s="5" t="s">
        <v>3397</v>
      </c>
      <c r="C9" s="5">
        <v>213</v>
      </c>
    </row>
    <row r="10" spans="1:16" ht="35" customHeight="1" x14ac:dyDescent="0.35">
      <c r="A10" s="6"/>
      <c r="B10" s="6" t="s">
        <v>3398</v>
      </c>
      <c r="C10" s="6">
        <v>408</v>
      </c>
    </row>
    <row r="11" spans="1:16" ht="35" customHeight="1" x14ac:dyDescent="0.35">
      <c r="A11" s="5"/>
      <c r="B11" s="5" t="s">
        <v>3399</v>
      </c>
      <c r="C11" s="5">
        <v>12</v>
      </c>
    </row>
    <row r="12" spans="1:16" ht="35" customHeight="1" x14ac:dyDescent="0.35">
      <c r="A12" s="6"/>
      <c r="B12" s="6" t="s">
        <v>3400</v>
      </c>
      <c r="C12" s="6">
        <v>1720</v>
      </c>
    </row>
    <row r="13" spans="1:16" x14ac:dyDescent="0.35">
      <c r="A13" s="2"/>
      <c r="B13" s="2"/>
      <c r="C13" s="2"/>
    </row>
    <row r="14" spans="1:16" x14ac:dyDescent="0.35">
      <c r="A14" s="2"/>
      <c r="B14" s="2"/>
      <c r="C14" s="2"/>
    </row>
    <row r="15" spans="1:16" x14ac:dyDescent="0.35">
      <c r="A15" s="2"/>
      <c r="B15" s="2"/>
      <c r="C15" s="2"/>
    </row>
    <row r="16" spans="1:16" x14ac:dyDescent="0.35">
      <c r="A16" s="2"/>
      <c r="B16" s="2"/>
      <c r="C16" s="2"/>
    </row>
    <row r="17" spans="1:3" x14ac:dyDescent="0.35">
      <c r="A17" s="2"/>
      <c r="B17" s="2"/>
      <c r="C17" s="2"/>
    </row>
    <row r="18" spans="1:3" x14ac:dyDescent="0.35">
      <c r="A18" s="2"/>
      <c r="B18" s="2"/>
      <c r="C18" s="2"/>
    </row>
    <row r="19" spans="1:3" x14ac:dyDescent="0.35">
      <c r="A19" s="2"/>
      <c r="B19" s="2"/>
      <c r="C19" s="2"/>
    </row>
    <row r="20" spans="1:3" x14ac:dyDescent="0.35">
      <c r="A20" s="2"/>
      <c r="B20" s="2"/>
      <c r="C20" s="2"/>
    </row>
    <row r="21" spans="1:3" x14ac:dyDescent="0.35">
      <c r="A21" s="2"/>
      <c r="B21" s="2"/>
      <c r="C21" s="2"/>
    </row>
    <row r="22" spans="1:3" x14ac:dyDescent="0.35">
      <c r="A22" s="2"/>
      <c r="B22" s="2"/>
      <c r="C22" s="2"/>
    </row>
    <row r="23" spans="1:3" x14ac:dyDescent="0.35">
      <c r="A23" s="2"/>
      <c r="B23" s="2"/>
      <c r="C23" s="2"/>
    </row>
    <row r="24" spans="1:3" x14ac:dyDescent="0.35">
      <c r="A24" s="2"/>
      <c r="B24" s="2"/>
      <c r="C24" s="2"/>
    </row>
    <row r="25" spans="1:3" x14ac:dyDescent="0.35">
      <c r="A25" s="2"/>
      <c r="B25" s="2"/>
      <c r="C25" s="2"/>
    </row>
    <row r="26" spans="1:3" x14ac:dyDescent="0.35">
      <c r="A26" s="2"/>
      <c r="B26" s="2"/>
      <c r="C26" s="2"/>
    </row>
    <row r="27" spans="1:3" x14ac:dyDescent="0.35">
      <c r="A27" s="2"/>
      <c r="B27" s="2"/>
      <c r="C27" s="2"/>
    </row>
    <row r="28" spans="1:3" x14ac:dyDescent="0.35">
      <c r="A28" s="2"/>
      <c r="B28" s="2"/>
      <c r="C28" s="2"/>
    </row>
    <row r="29" spans="1:3" x14ac:dyDescent="0.35">
      <c r="A29" s="2"/>
      <c r="B29" s="2"/>
      <c r="C29" s="2"/>
    </row>
    <row r="30" spans="1:3" x14ac:dyDescent="0.35">
      <c r="A30" s="2"/>
      <c r="B30" s="2"/>
      <c r="C30" s="2"/>
    </row>
    <row r="31" spans="1:3" x14ac:dyDescent="0.35">
      <c r="A31" s="2"/>
      <c r="B31" s="2"/>
      <c r="C31" s="2"/>
    </row>
    <row r="32" spans="1:3" x14ac:dyDescent="0.35">
      <c r="A32" s="2"/>
      <c r="B32" s="2"/>
      <c r="C32" s="2"/>
    </row>
    <row r="33" spans="1:3" x14ac:dyDescent="0.35">
      <c r="A33" s="2"/>
      <c r="B33" s="2"/>
      <c r="C33" s="2"/>
    </row>
    <row r="34" spans="1:3" x14ac:dyDescent="0.35">
      <c r="A34" s="2"/>
      <c r="B34" s="2"/>
      <c r="C34" s="2"/>
    </row>
    <row r="35" spans="1:3" x14ac:dyDescent="0.35">
      <c r="A35" s="2"/>
      <c r="B35" s="2"/>
      <c r="C35" s="2"/>
    </row>
    <row r="36" spans="1:3" x14ac:dyDescent="0.35">
      <c r="A36" s="2"/>
      <c r="B36" s="2"/>
      <c r="C36" s="2"/>
    </row>
    <row r="37" spans="1:3" x14ac:dyDescent="0.35">
      <c r="A37" s="2"/>
      <c r="B37" s="2"/>
      <c r="C37" s="2"/>
    </row>
    <row r="38" spans="1:3" x14ac:dyDescent="0.35">
      <c r="A38" s="2"/>
      <c r="B38" s="2"/>
      <c r="C38" s="2"/>
    </row>
    <row r="39" spans="1:3" x14ac:dyDescent="0.35">
      <c r="A39" s="2"/>
      <c r="B39" s="2"/>
      <c r="C39" s="2"/>
    </row>
    <row r="40" spans="1:3" x14ac:dyDescent="0.35">
      <c r="A40" s="2"/>
      <c r="B40" s="2"/>
      <c r="C40" s="2"/>
    </row>
    <row r="41" spans="1:3" x14ac:dyDescent="0.35">
      <c r="A41" s="2"/>
      <c r="B41" s="2"/>
      <c r="C41" s="2"/>
    </row>
    <row r="42" spans="1:3" x14ac:dyDescent="0.35">
      <c r="A42" s="2"/>
      <c r="B42" s="2"/>
      <c r="C42" s="2"/>
    </row>
    <row r="43" spans="1:3" x14ac:dyDescent="0.35">
      <c r="A43" s="2"/>
      <c r="B43" s="2"/>
      <c r="C43" s="2"/>
    </row>
    <row r="44" spans="1:3" x14ac:dyDescent="0.35">
      <c r="A44" s="2"/>
      <c r="B44" s="2"/>
      <c r="C44" s="2"/>
    </row>
    <row r="45" spans="1:3" x14ac:dyDescent="0.35">
      <c r="A45" s="2"/>
      <c r="B45" s="2"/>
      <c r="C45" s="2"/>
    </row>
    <row r="46" spans="1:3" x14ac:dyDescent="0.35">
      <c r="A46" s="2"/>
      <c r="B46" s="2"/>
      <c r="C46" s="2"/>
    </row>
    <row r="47" spans="1:3" x14ac:dyDescent="0.35">
      <c r="A47" s="2"/>
      <c r="B47" s="2"/>
      <c r="C47" s="2"/>
    </row>
    <row r="48" spans="1:3" x14ac:dyDescent="0.35">
      <c r="A48" s="2"/>
      <c r="B48" s="2"/>
      <c r="C48" s="2"/>
    </row>
    <row r="49" spans="1:3" x14ac:dyDescent="0.35">
      <c r="A49" s="2"/>
      <c r="B49" s="2"/>
      <c r="C49" s="2"/>
    </row>
    <row r="50" spans="1:3" x14ac:dyDescent="0.35">
      <c r="A50" s="2"/>
      <c r="B50" s="2"/>
      <c r="C50" s="2"/>
    </row>
    <row r="51" spans="1:3" x14ac:dyDescent="0.35">
      <c r="A51" s="2"/>
      <c r="B51" s="2"/>
      <c r="C51" s="2"/>
    </row>
    <row r="52" spans="1:3" x14ac:dyDescent="0.35">
      <c r="A52" s="2"/>
      <c r="B52" s="2"/>
      <c r="C52" s="2"/>
    </row>
    <row r="53" spans="1:3" x14ac:dyDescent="0.35">
      <c r="A53" s="2"/>
      <c r="B53" s="2"/>
      <c r="C53" s="2"/>
    </row>
    <row r="54" spans="1:3" x14ac:dyDescent="0.35">
      <c r="A54" s="2"/>
      <c r="B54" s="2"/>
      <c r="C54" s="2"/>
    </row>
    <row r="55" spans="1:3" x14ac:dyDescent="0.35">
      <c r="A55" s="2"/>
      <c r="B55" s="2"/>
      <c r="C55" s="2"/>
    </row>
    <row r="56" spans="1:3" x14ac:dyDescent="0.35">
      <c r="A56" s="2"/>
      <c r="B56" s="2"/>
      <c r="C56" s="2"/>
    </row>
    <row r="57" spans="1:3" x14ac:dyDescent="0.35">
      <c r="A57" s="2"/>
      <c r="B57" s="2"/>
      <c r="C57" s="2"/>
    </row>
    <row r="58" spans="1:3" x14ac:dyDescent="0.35">
      <c r="A58" s="2"/>
      <c r="B58" s="2"/>
      <c r="C58" s="2"/>
    </row>
    <row r="59" spans="1:3" x14ac:dyDescent="0.35">
      <c r="A59" s="2"/>
      <c r="B59" s="2"/>
      <c r="C59" s="2"/>
    </row>
    <row r="60" spans="1:3" x14ac:dyDescent="0.35">
      <c r="A60" s="2"/>
      <c r="B60" s="2"/>
      <c r="C60" s="2"/>
    </row>
    <row r="61" spans="1:3" x14ac:dyDescent="0.35">
      <c r="A61" s="2"/>
      <c r="B61" s="2"/>
      <c r="C61" s="2"/>
    </row>
    <row r="62" spans="1:3" x14ac:dyDescent="0.35">
      <c r="A62" s="2"/>
      <c r="B62" s="2"/>
      <c r="C62" s="2"/>
    </row>
    <row r="63" spans="1:3" x14ac:dyDescent="0.35">
      <c r="A63" s="2"/>
      <c r="B63" s="2"/>
      <c r="C63" s="2"/>
    </row>
    <row r="64" spans="1:3" x14ac:dyDescent="0.35">
      <c r="A64" s="2"/>
      <c r="B64" s="2"/>
      <c r="C64" s="2"/>
    </row>
    <row r="65" spans="1:3" x14ac:dyDescent="0.35">
      <c r="A65" s="2"/>
      <c r="B65" s="2"/>
      <c r="C65" s="2"/>
    </row>
    <row r="66" spans="1:3" x14ac:dyDescent="0.35">
      <c r="A66" s="2"/>
      <c r="B66" s="2"/>
      <c r="C66" s="2"/>
    </row>
    <row r="67" spans="1:3" x14ac:dyDescent="0.35">
      <c r="A67" s="2"/>
      <c r="B67" s="2"/>
      <c r="C67" s="2"/>
    </row>
    <row r="68" spans="1:3" x14ac:dyDescent="0.35">
      <c r="A68" s="2"/>
      <c r="B68" s="2"/>
      <c r="C68" s="2"/>
    </row>
    <row r="69" spans="1:3" x14ac:dyDescent="0.35">
      <c r="A69" s="2"/>
      <c r="B69" s="2"/>
      <c r="C69" s="2"/>
    </row>
    <row r="70" spans="1:3" x14ac:dyDescent="0.35">
      <c r="A70" s="2"/>
      <c r="B70" s="2"/>
      <c r="C70" s="2"/>
    </row>
    <row r="71" spans="1:3" x14ac:dyDescent="0.35">
      <c r="A71" s="2"/>
      <c r="B71" s="2"/>
      <c r="C71" s="2"/>
    </row>
    <row r="72" spans="1:3" x14ac:dyDescent="0.35">
      <c r="A72" s="2"/>
      <c r="B72" s="2"/>
      <c r="C72" s="2"/>
    </row>
    <row r="73" spans="1:3" x14ac:dyDescent="0.35">
      <c r="A73" s="2"/>
      <c r="B73" s="2"/>
      <c r="C73" s="2"/>
    </row>
    <row r="74" spans="1:3" x14ac:dyDescent="0.35">
      <c r="A74" s="2"/>
      <c r="B74" s="2"/>
      <c r="C74" s="2"/>
    </row>
    <row r="75" spans="1:3" x14ac:dyDescent="0.35">
      <c r="A75" s="2"/>
      <c r="B75" s="2"/>
      <c r="C75" s="2"/>
    </row>
    <row r="76" spans="1:3" x14ac:dyDescent="0.35">
      <c r="A76" s="2"/>
      <c r="B76" s="2"/>
      <c r="C76" s="2"/>
    </row>
    <row r="77" spans="1:3" x14ac:dyDescent="0.35">
      <c r="A77" s="2"/>
      <c r="B77" s="2"/>
      <c r="C77" s="2"/>
    </row>
    <row r="78" spans="1:3" x14ac:dyDescent="0.35">
      <c r="A78" s="2"/>
      <c r="B78" s="2"/>
      <c r="C78" s="2"/>
    </row>
    <row r="79" spans="1:3" x14ac:dyDescent="0.35">
      <c r="A79" s="2"/>
      <c r="B79" s="2"/>
      <c r="C79" s="2"/>
    </row>
    <row r="80" spans="1:3" x14ac:dyDescent="0.35">
      <c r="A80" s="2"/>
      <c r="B80" s="2"/>
      <c r="C80" s="2"/>
    </row>
    <row r="81" spans="1:3" x14ac:dyDescent="0.35">
      <c r="A81" s="2"/>
      <c r="B81" s="2"/>
      <c r="C81" s="2"/>
    </row>
    <row r="82" spans="1:3" x14ac:dyDescent="0.35">
      <c r="A82" s="2"/>
      <c r="B82" s="2"/>
      <c r="C82" s="2"/>
    </row>
    <row r="83" spans="1:3" x14ac:dyDescent="0.35">
      <c r="A83" s="2"/>
      <c r="B83" s="2"/>
      <c r="C83" s="2"/>
    </row>
    <row r="84" spans="1:3" x14ac:dyDescent="0.35">
      <c r="A84" s="2"/>
      <c r="B84" s="2"/>
      <c r="C84" s="2"/>
    </row>
    <row r="85" spans="1:3" x14ac:dyDescent="0.35">
      <c r="A85" s="2"/>
      <c r="B85" s="2"/>
      <c r="C85" s="2"/>
    </row>
    <row r="86" spans="1:3" x14ac:dyDescent="0.35">
      <c r="A86" s="2"/>
      <c r="B86" s="2"/>
      <c r="C86" s="2"/>
    </row>
    <row r="87" spans="1:3" x14ac:dyDescent="0.35">
      <c r="A87" s="2"/>
      <c r="B87" s="2"/>
      <c r="C87" s="2"/>
    </row>
    <row r="88" spans="1:3" x14ac:dyDescent="0.35">
      <c r="A88" s="2"/>
      <c r="B88" s="2"/>
      <c r="C88" s="2"/>
    </row>
    <row r="89" spans="1:3" x14ac:dyDescent="0.35">
      <c r="A89" s="2"/>
      <c r="B89" s="2"/>
      <c r="C89" s="2"/>
    </row>
    <row r="90" spans="1:3" x14ac:dyDescent="0.35">
      <c r="A90" s="2"/>
      <c r="B90" s="2"/>
      <c r="C90" s="2"/>
    </row>
    <row r="91" spans="1:3" x14ac:dyDescent="0.35">
      <c r="A91" s="2"/>
      <c r="B91" s="2"/>
      <c r="C91" s="2"/>
    </row>
    <row r="92" spans="1:3" x14ac:dyDescent="0.35">
      <c r="A92" s="2"/>
      <c r="B92" s="2"/>
      <c r="C92" s="2"/>
    </row>
    <row r="93" spans="1:3" x14ac:dyDescent="0.35">
      <c r="A93" s="2"/>
      <c r="B93" s="2"/>
      <c r="C93" s="2"/>
    </row>
    <row r="94" spans="1:3" x14ac:dyDescent="0.35">
      <c r="A94" s="2"/>
      <c r="B94" s="2"/>
      <c r="C94" s="2"/>
    </row>
    <row r="95" spans="1:3" x14ac:dyDescent="0.35">
      <c r="A95" s="2"/>
      <c r="B95" s="2"/>
      <c r="C95" s="2"/>
    </row>
    <row r="96" spans="1:3" x14ac:dyDescent="0.35">
      <c r="A96" s="2"/>
      <c r="B96" s="2"/>
      <c r="C96" s="2"/>
    </row>
    <row r="97" spans="1:3" x14ac:dyDescent="0.35">
      <c r="A97" s="2"/>
      <c r="B97" s="2"/>
      <c r="C97" s="2"/>
    </row>
    <row r="98" spans="1:3" x14ac:dyDescent="0.35">
      <c r="A98" s="2"/>
      <c r="B98" s="2"/>
      <c r="C98" s="2"/>
    </row>
    <row r="99" spans="1:3" x14ac:dyDescent="0.35">
      <c r="A99" s="2"/>
      <c r="B99" s="2"/>
      <c r="C99" s="2"/>
    </row>
    <row r="100" spans="1:3" x14ac:dyDescent="0.35">
      <c r="A100" s="2"/>
      <c r="B100" s="2"/>
      <c r="C100" s="2"/>
    </row>
  </sheetData>
  <mergeCells count="1">
    <mergeCell ref="A1:P1"/>
  </mergeCells>
  <pageMargins left="0.6" right="0.6" top="0.3" bottom="0.4" header="0.3" footer="0.3"/>
  <pageSetup paperSize="9" fitToHeight="0" orientation="landscape"/>
  <headerFooter>
    <oddFooter>&amp;L&amp;BPagina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190"/>
  <sheetViews>
    <sheetView workbookViewId="0">
      <selection activeCell="A14190" sqref="A14190:L14190"/>
    </sheetView>
  </sheetViews>
  <sheetFormatPr baseColWidth="10" defaultColWidth="8.7265625" defaultRowHeight="14.5" x14ac:dyDescent="0.35"/>
  <cols>
    <col min="1" max="2" width="38" customWidth="1"/>
    <col min="3" max="3" width="54" customWidth="1"/>
    <col min="4" max="9" width="27" customWidth="1"/>
    <col min="10" max="12" width="15" customWidth="1"/>
  </cols>
  <sheetData>
    <row r="1" spans="1:12" ht="98" customHeight="1" x14ac:dyDescent="0.35">
      <c r="A1" s="7" t="s">
        <v>0</v>
      </c>
      <c r="B1" s="7"/>
      <c r="C1" s="7"/>
      <c r="D1" s="7"/>
      <c r="E1" s="7"/>
      <c r="F1" s="7"/>
      <c r="G1" s="7"/>
      <c r="H1" s="7"/>
      <c r="I1" s="7"/>
      <c r="J1" s="7"/>
      <c r="K1" s="7"/>
      <c r="L1" s="7"/>
    </row>
    <row r="2" spans="1:12" x14ac:dyDescent="0.35">
      <c r="A2" s="1" t="s">
        <v>1</v>
      </c>
      <c r="B2" s="1" t="s">
        <v>3</v>
      </c>
      <c r="C2" s="1" t="s">
        <v>7</v>
      </c>
      <c r="D2" s="1" t="s">
        <v>12</v>
      </c>
      <c r="E2" s="1" t="s">
        <v>15</v>
      </c>
      <c r="F2" s="1" t="s">
        <v>18</v>
      </c>
      <c r="G2" s="1" t="s">
        <v>22</v>
      </c>
      <c r="H2" s="1" t="s">
        <v>26</v>
      </c>
      <c r="I2" s="1" t="s">
        <v>30</v>
      </c>
      <c r="J2" s="1" t="s">
        <v>33</v>
      </c>
      <c r="K2" s="1" t="s">
        <v>34</v>
      </c>
      <c r="L2" s="1" t="s">
        <v>35</v>
      </c>
    </row>
    <row r="3" spans="1:12" x14ac:dyDescent="0.35">
      <c r="A3" s="3" t="s">
        <v>2</v>
      </c>
      <c r="B3" s="3" t="s">
        <v>4</v>
      </c>
      <c r="C3" s="3" t="s">
        <v>8</v>
      </c>
      <c r="D3" s="3" t="s">
        <v>13</v>
      </c>
      <c r="E3" s="3" t="s">
        <v>16</v>
      </c>
      <c r="F3" s="3" t="s">
        <v>19</v>
      </c>
      <c r="G3" s="3" t="s">
        <v>23</v>
      </c>
      <c r="H3" s="3" t="s">
        <v>27</v>
      </c>
      <c r="I3" s="3" t="s">
        <v>31</v>
      </c>
      <c r="J3" s="3">
        <v>17.221881</v>
      </c>
      <c r="K3" s="3">
        <v>-97.119147999999996</v>
      </c>
      <c r="L3" s="3" t="str">
        <f>HYPERLINK("https://maps.google.com/?q=17.221881,-97.119147999999996", "🔗 Ver Mapa")</f>
        <v>🔗 Ver Mapa</v>
      </c>
    </row>
    <row r="4" spans="1:12" x14ac:dyDescent="0.35">
      <c r="A4" s="4" t="s">
        <v>2</v>
      </c>
      <c r="B4" s="4" t="s">
        <v>4</v>
      </c>
      <c r="C4" s="4" t="s">
        <v>8</v>
      </c>
      <c r="D4" s="4" t="s">
        <v>13</v>
      </c>
      <c r="E4" s="4" t="s">
        <v>16</v>
      </c>
      <c r="F4" s="4" t="s">
        <v>19</v>
      </c>
      <c r="G4" s="4" t="s">
        <v>23</v>
      </c>
      <c r="H4" s="4" t="s">
        <v>27</v>
      </c>
      <c r="I4" s="4" t="s">
        <v>31</v>
      </c>
      <c r="J4" s="4">
        <v>17.221800999999999</v>
      </c>
      <c r="K4" s="4">
        <v>-97.118673000000001</v>
      </c>
      <c r="L4" s="4" t="str">
        <f>HYPERLINK("https://maps.google.com/?q=17.221801,-97.118673000000001", "🔗 Ver Mapa")</f>
        <v>🔗 Ver Mapa</v>
      </c>
    </row>
    <row r="5" spans="1:12" ht="29" x14ac:dyDescent="0.35">
      <c r="A5" s="5" t="s">
        <v>2</v>
      </c>
      <c r="B5" s="5" t="s">
        <v>4</v>
      </c>
      <c r="C5" s="5" t="s">
        <v>8</v>
      </c>
      <c r="D5" s="5" t="s">
        <v>13</v>
      </c>
      <c r="E5" s="5" t="s">
        <v>16</v>
      </c>
      <c r="F5" s="5" t="s">
        <v>19</v>
      </c>
      <c r="G5" s="5" t="s">
        <v>23</v>
      </c>
      <c r="H5" s="5" t="s">
        <v>27</v>
      </c>
      <c r="I5" s="5" t="s">
        <v>31</v>
      </c>
      <c r="J5" s="5">
        <v>17.222670000000001</v>
      </c>
      <c r="K5" s="5">
        <v>-97.119223000000005</v>
      </c>
      <c r="L5" s="5" t="str">
        <f>HYPERLINK("https://maps.google.com/?q=17.22267,-97.119223000000005", "🔗 Ver Mapa")</f>
        <v>🔗 Ver Mapa</v>
      </c>
    </row>
    <row r="6" spans="1:12" ht="29" x14ac:dyDescent="0.35">
      <c r="A6" s="6" t="s">
        <v>2</v>
      </c>
      <c r="B6" s="6" t="s">
        <v>4</v>
      </c>
      <c r="C6" s="6" t="s">
        <v>8</v>
      </c>
      <c r="D6" s="6" t="s">
        <v>13</v>
      </c>
      <c r="E6" s="6" t="s">
        <v>16</v>
      </c>
      <c r="F6" s="6" t="s">
        <v>19</v>
      </c>
      <c r="G6" s="6" t="s">
        <v>23</v>
      </c>
      <c r="H6" s="6" t="s">
        <v>27</v>
      </c>
      <c r="I6" s="6" t="s">
        <v>31</v>
      </c>
      <c r="J6" s="6">
        <v>17.222632000000001</v>
      </c>
      <c r="K6" s="6">
        <v>-97.119123000000002</v>
      </c>
      <c r="L6" s="6" t="str">
        <f>HYPERLINK("https://maps.google.com/?q=17.222632,-97.119123000000002", "🔗 Ver Mapa")</f>
        <v>🔗 Ver Mapa</v>
      </c>
    </row>
    <row r="7" spans="1:12" ht="29" x14ac:dyDescent="0.35">
      <c r="A7" s="5" t="s">
        <v>2</v>
      </c>
      <c r="B7" s="5" t="s">
        <v>4</v>
      </c>
      <c r="C7" s="5" t="s">
        <v>8</v>
      </c>
      <c r="D7" s="5" t="s">
        <v>13</v>
      </c>
      <c r="E7" s="5" t="s">
        <v>16</v>
      </c>
      <c r="F7" s="5" t="s">
        <v>19</v>
      </c>
      <c r="G7" s="5" t="s">
        <v>23</v>
      </c>
      <c r="H7" s="5" t="s">
        <v>27</v>
      </c>
      <c r="I7" s="5" t="s">
        <v>31</v>
      </c>
      <c r="J7" s="5">
        <v>17.222525999999998</v>
      </c>
      <c r="K7" s="5">
        <v>-97.119512</v>
      </c>
      <c r="L7" s="5" t="str">
        <f>HYPERLINK("https://maps.google.com/?q=17.222526,-97.119512", "🔗 Ver Mapa")</f>
        <v>🔗 Ver Mapa</v>
      </c>
    </row>
    <row r="8" spans="1:12" ht="29" x14ac:dyDescent="0.35">
      <c r="A8" s="6" t="s">
        <v>2</v>
      </c>
      <c r="B8" s="6" t="s">
        <v>4</v>
      </c>
      <c r="C8" s="6" t="s">
        <v>8</v>
      </c>
      <c r="D8" s="6" t="s">
        <v>13</v>
      </c>
      <c r="E8" s="6" t="s">
        <v>16</v>
      </c>
      <c r="F8" s="6" t="s">
        <v>19</v>
      </c>
      <c r="G8" s="6" t="s">
        <v>23</v>
      </c>
      <c r="H8" s="6" t="s">
        <v>27</v>
      </c>
      <c r="I8" s="6" t="s">
        <v>31</v>
      </c>
      <c r="J8" s="6">
        <v>17.223523</v>
      </c>
      <c r="K8" s="6">
        <v>-97.120254000000003</v>
      </c>
      <c r="L8" s="6" t="str">
        <f>HYPERLINK("https://maps.google.com/?q=17.223523,-97.120254000000003", "🔗 Ver Mapa")</f>
        <v>🔗 Ver Mapa</v>
      </c>
    </row>
    <row r="9" spans="1:12" ht="29" x14ac:dyDescent="0.35">
      <c r="A9" s="5" t="s">
        <v>2</v>
      </c>
      <c r="B9" s="5" t="s">
        <v>4</v>
      </c>
      <c r="C9" s="5" t="s">
        <v>8</v>
      </c>
      <c r="D9" s="5" t="s">
        <v>13</v>
      </c>
      <c r="E9" s="5" t="s">
        <v>16</v>
      </c>
      <c r="F9" s="5" t="s">
        <v>19</v>
      </c>
      <c r="G9" s="5" t="s">
        <v>23</v>
      </c>
      <c r="H9" s="5" t="s">
        <v>27</v>
      </c>
      <c r="I9" s="5" t="s">
        <v>31</v>
      </c>
      <c r="J9" s="5">
        <v>17.222456000000001</v>
      </c>
      <c r="K9" s="5">
        <v>-97.122985</v>
      </c>
      <c r="L9" s="5" t="str">
        <f>HYPERLINK("https://maps.google.com/?q=17.222456,-97.122985", "🔗 Ver Mapa")</f>
        <v>🔗 Ver Mapa</v>
      </c>
    </row>
    <row r="10" spans="1:12" ht="29" x14ac:dyDescent="0.35">
      <c r="A10" s="6" t="s">
        <v>2</v>
      </c>
      <c r="B10" s="6" t="s">
        <v>4</v>
      </c>
      <c r="C10" s="6" t="s">
        <v>8</v>
      </c>
      <c r="D10" s="6" t="s">
        <v>13</v>
      </c>
      <c r="E10" s="6" t="s">
        <v>16</v>
      </c>
      <c r="F10" s="6" t="s">
        <v>19</v>
      </c>
      <c r="G10" s="6" t="s">
        <v>23</v>
      </c>
      <c r="H10" s="6" t="s">
        <v>27</v>
      </c>
      <c r="I10" s="6" t="s">
        <v>31</v>
      </c>
      <c r="J10" s="6">
        <v>17.222742</v>
      </c>
      <c r="K10" s="6">
        <v>-97.120974000000004</v>
      </c>
      <c r="L10" s="6" t="str">
        <f>HYPERLINK("https://maps.google.com/?q=17.222742,-97.120974000000004", "🔗 Ver Mapa")</f>
        <v>🔗 Ver Mapa</v>
      </c>
    </row>
    <row r="11" spans="1:12" ht="29" x14ac:dyDescent="0.35">
      <c r="A11" s="5" t="s">
        <v>2</v>
      </c>
      <c r="B11" s="5" t="s">
        <v>4</v>
      </c>
      <c r="C11" s="5" t="s">
        <v>8</v>
      </c>
      <c r="D11" s="5" t="s">
        <v>13</v>
      </c>
      <c r="E11" s="5" t="s">
        <v>16</v>
      </c>
      <c r="F11" s="5" t="s">
        <v>19</v>
      </c>
      <c r="G11" s="5" t="s">
        <v>23</v>
      </c>
      <c r="H11" s="5" t="s">
        <v>27</v>
      </c>
      <c r="I11" s="5" t="s">
        <v>31</v>
      </c>
      <c r="J11" s="5">
        <v>17.222854999999999</v>
      </c>
      <c r="K11" s="5">
        <v>-97.120855000000006</v>
      </c>
      <c r="L11" s="5" t="str">
        <f>HYPERLINK("https://maps.google.com/?q=17.222855,-97.120855000000006", "🔗 Ver Mapa")</f>
        <v>🔗 Ver Mapa</v>
      </c>
    </row>
    <row r="12" spans="1:12" ht="29" x14ac:dyDescent="0.35">
      <c r="A12" s="6" t="s">
        <v>2</v>
      </c>
      <c r="B12" s="6" t="s">
        <v>4</v>
      </c>
      <c r="C12" s="6" t="s">
        <v>8</v>
      </c>
      <c r="D12" s="6" t="s">
        <v>13</v>
      </c>
      <c r="E12" s="6" t="s">
        <v>16</v>
      </c>
      <c r="F12" s="6" t="s">
        <v>19</v>
      </c>
      <c r="G12" s="6" t="s">
        <v>23</v>
      </c>
      <c r="H12" s="6" t="s">
        <v>27</v>
      </c>
      <c r="I12" s="6" t="s">
        <v>31</v>
      </c>
      <c r="J12" s="6">
        <v>17.222652</v>
      </c>
      <c r="K12" s="6">
        <v>-97.122715999999997</v>
      </c>
      <c r="L12" s="6" t="str">
        <f>HYPERLINK("https://maps.google.com/?q=17.222652,-97.122715999999997", "🔗 Ver Mapa")</f>
        <v>🔗 Ver Mapa</v>
      </c>
    </row>
    <row r="13" spans="1:12" ht="29" x14ac:dyDescent="0.35">
      <c r="A13" s="5" t="s">
        <v>2</v>
      </c>
      <c r="B13" s="5" t="s">
        <v>4</v>
      </c>
      <c r="C13" s="5" t="s">
        <v>8</v>
      </c>
      <c r="D13" s="5" t="s">
        <v>13</v>
      </c>
      <c r="E13" s="5" t="s">
        <v>16</v>
      </c>
      <c r="F13" s="5" t="s">
        <v>19</v>
      </c>
      <c r="G13" s="5" t="s">
        <v>23</v>
      </c>
      <c r="H13" s="5" t="s">
        <v>27</v>
      </c>
      <c r="I13" s="5" t="s">
        <v>31</v>
      </c>
      <c r="J13" s="5">
        <v>17.222812000000001</v>
      </c>
      <c r="K13" s="5">
        <v>-97.120974000000004</v>
      </c>
      <c r="L13" s="5" t="str">
        <f>HYPERLINK("https://maps.google.com/?q=17.222812,-97.120974000000004", "🔗 Ver Mapa")</f>
        <v>🔗 Ver Mapa</v>
      </c>
    </row>
    <row r="14" spans="1:12" ht="29" x14ac:dyDescent="0.35">
      <c r="A14" s="6" t="s">
        <v>2</v>
      </c>
      <c r="B14" s="6" t="s">
        <v>4</v>
      </c>
      <c r="C14" s="6" t="s">
        <v>8</v>
      </c>
      <c r="D14" s="6" t="s">
        <v>13</v>
      </c>
      <c r="E14" s="6" t="s">
        <v>16</v>
      </c>
      <c r="F14" s="6" t="s">
        <v>19</v>
      </c>
      <c r="G14" s="6" t="s">
        <v>23</v>
      </c>
      <c r="H14" s="6" t="s">
        <v>27</v>
      </c>
      <c r="I14" s="6" t="s">
        <v>31</v>
      </c>
      <c r="J14" s="6">
        <v>17.222497000000001</v>
      </c>
      <c r="K14" s="6">
        <v>-97.122590000000002</v>
      </c>
      <c r="L14" s="6" t="str">
        <f>HYPERLINK("https://maps.google.com/?q=17.222497,-97.122590000000002", "🔗 Ver Mapa")</f>
        <v>🔗 Ver Mapa</v>
      </c>
    </row>
    <row r="15" spans="1:12" ht="29" x14ac:dyDescent="0.35">
      <c r="A15" s="5" t="s">
        <v>2</v>
      </c>
      <c r="B15" s="5" t="s">
        <v>4</v>
      </c>
      <c r="C15" s="5" t="s">
        <v>8</v>
      </c>
      <c r="D15" s="5" t="s">
        <v>13</v>
      </c>
      <c r="E15" s="5" t="s">
        <v>16</v>
      </c>
      <c r="F15" s="5" t="s">
        <v>19</v>
      </c>
      <c r="G15" s="5" t="s">
        <v>23</v>
      </c>
      <c r="H15" s="5" t="s">
        <v>27</v>
      </c>
      <c r="I15" s="5" t="s">
        <v>31</v>
      </c>
      <c r="J15" s="5">
        <v>17.222470000000001</v>
      </c>
      <c r="K15" s="5">
        <v>-97.120756999999998</v>
      </c>
      <c r="L15" s="5" t="str">
        <f>HYPERLINK("https://maps.google.com/?q=17.22247,-97.120756999999998", "🔗 Ver Mapa")</f>
        <v>🔗 Ver Mapa</v>
      </c>
    </row>
    <row r="16" spans="1:12" ht="29" x14ac:dyDescent="0.35">
      <c r="A16" s="6" t="s">
        <v>2</v>
      </c>
      <c r="B16" s="6" t="s">
        <v>4</v>
      </c>
      <c r="C16" s="6" t="s">
        <v>8</v>
      </c>
      <c r="D16" s="6" t="s">
        <v>13</v>
      </c>
      <c r="E16" s="6" t="s">
        <v>16</v>
      </c>
      <c r="F16" s="6" t="s">
        <v>19</v>
      </c>
      <c r="G16" s="6" t="s">
        <v>23</v>
      </c>
      <c r="H16" s="6" t="s">
        <v>27</v>
      </c>
      <c r="I16" s="6" t="s">
        <v>31</v>
      </c>
      <c r="J16" s="6">
        <v>17.222664999999999</v>
      </c>
      <c r="K16" s="6">
        <v>-97.122191999999998</v>
      </c>
      <c r="L16" s="6" t="str">
        <f>HYPERLINK("https://maps.google.com/?q=17.222665,-97.122191999999998", "🔗 Ver Mapa")</f>
        <v>🔗 Ver Mapa</v>
      </c>
    </row>
    <row r="17" spans="1:12" ht="29" x14ac:dyDescent="0.35">
      <c r="A17" s="5" t="s">
        <v>2</v>
      </c>
      <c r="B17" s="5" t="s">
        <v>4</v>
      </c>
      <c r="C17" s="5" t="s">
        <v>8</v>
      </c>
      <c r="D17" s="5" t="s">
        <v>13</v>
      </c>
      <c r="E17" s="5" t="s">
        <v>16</v>
      </c>
      <c r="F17" s="5" t="s">
        <v>19</v>
      </c>
      <c r="G17" s="5" t="s">
        <v>23</v>
      </c>
      <c r="H17" s="5" t="s">
        <v>27</v>
      </c>
      <c r="I17" s="5" t="s">
        <v>31</v>
      </c>
      <c r="J17" s="5">
        <v>17.222508000000001</v>
      </c>
      <c r="K17" s="5">
        <v>-97.122512</v>
      </c>
      <c r="L17" s="5" t="str">
        <f>HYPERLINK("https://maps.google.com/?q=17.222508,-97.122512", "🔗 Ver Mapa")</f>
        <v>🔗 Ver Mapa</v>
      </c>
    </row>
    <row r="18" spans="1:12" ht="29" x14ac:dyDescent="0.35">
      <c r="A18" s="6" t="s">
        <v>2</v>
      </c>
      <c r="B18" s="6" t="s">
        <v>4</v>
      </c>
      <c r="C18" s="6" t="s">
        <v>8</v>
      </c>
      <c r="D18" s="6" t="s">
        <v>13</v>
      </c>
      <c r="E18" s="6" t="s">
        <v>16</v>
      </c>
      <c r="F18" s="6" t="s">
        <v>19</v>
      </c>
      <c r="G18" s="6" t="s">
        <v>23</v>
      </c>
      <c r="H18" s="6" t="s">
        <v>27</v>
      </c>
      <c r="I18" s="6" t="s">
        <v>31</v>
      </c>
      <c r="J18" s="6">
        <v>17.222887</v>
      </c>
      <c r="K18" s="6">
        <v>-97.121033999999995</v>
      </c>
      <c r="L18" s="6" t="str">
        <f>HYPERLINK("https://maps.google.com/?q=17.222887,-97.121033999999995", "🔗 Ver Mapa")</f>
        <v>🔗 Ver Mapa</v>
      </c>
    </row>
    <row r="19" spans="1:12" ht="29" x14ac:dyDescent="0.35">
      <c r="A19" s="5" t="s">
        <v>2</v>
      </c>
      <c r="B19" s="5" t="s">
        <v>4</v>
      </c>
      <c r="C19" s="5" t="s">
        <v>8</v>
      </c>
      <c r="D19" s="5" t="s">
        <v>13</v>
      </c>
      <c r="E19" s="5" t="s">
        <v>16</v>
      </c>
      <c r="F19" s="5" t="s">
        <v>19</v>
      </c>
      <c r="G19" s="5" t="s">
        <v>23</v>
      </c>
      <c r="H19" s="5" t="s">
        <v>27</v>
      </c>
      <c r="I19" s="5" t="s">
        <v>31</v>
      </c>
      <c r="J19" s="5">
        <v>17.222719000000001</v>
      </c>
      <c r="K19" s="5">
        <v>-97.120886999999996</v>
      </c>
      <c r="L19" s="5" t="str">
        <f>HYPERLINK("https://maps.google.com/?q=17.222719,-97.120886999999996", "🔗 Ver Mapa")</f>
        <v>🔗 Ver Mapa</v>
      </c>
    </row>
    <row r="20" spans="1:12" ht="29" x14ac:dyDescent="0.35">
      <c r="A20" s="6" t="s">
        <v>2</v>
      </c>
      <c r="B20" s="6" t="s">
        <v>4</v>
      </c>
      <c r="C20" s="6" t="s">
        <v>8</v>
      </c>
      <c r="D20" s="6" t="s">
        <v>13</v>
      </c>
      <c r="E20" s="6" t="s">
        <v>16</v>
      </c>
      <c r="F20" s="6" t="s">
        <v>19</v>
      </c>
      <c r="G20" s="6" t="s">
        <v>23</v>
      </c>
      <c r="H20" s="6" t="s">
        <v>27</v>
      </c>
      <c r="I20" s="6" t="s">
        <v>31</v>
      </c>
      <c r="J20" s="6">
        <v>17.222930000000002</v>
      </c>
      <c r="K20" s="6">
        <v>-97.120839000000004</v>
      </c>
      <c r="L20" s="6" t="str">
        <f>HYPERLINK("https://maps.google.com/?q=17.22293,-97.120839000000004", "🔗 Ver Mapa")</f>
        <v>🔗 Ver Mapa</v>
      </c>
    </row>
    <row r="21" spans="1:12" ht="29" x14ac:dyDescent="0.35">
      <c r="A21" s="5" t="s">
        <v>2</v>
      </c>
      <c r="B21" s="5" t="s">
        <v>4</v>
      </c>
      <c r="C21" s="5" t="s">
        <v>8</v>
      </c>
      <c r="D21" s="5" t="s">
        <v>13</v>
      </c>
      <c r="E21" s="5" t="s">
        <v>16</v>
      </c>
      <c r="F21" s="5" t="s">
        <v>19</v>
      </c>
      <c r="G21" s="5" t="s">
        <v>23</v>
      </c>
      <c r="H21" s="5" t="s">
        <v>27</v>
      </c>
      <c r="I21" s="5" t="s">
        <v>31</v>
      </c>
      <c r="J21" s="5">
        <v>17.221924999999999</v>
      </c>
      <c r="K21" s="5">
        <v>-97.121409999999997</v>
      </c>
      <c r="L21" s="5" t="str">
        <f>HYPERLINK("https://maps.google.com/?q=17.221925,-97.121409999999997", "🔗 Ver Mapa")</f>
        <v>🔗 Ver Mapa</v>
      </c>
    </row>
    <row r="22" spans="1:12" ht="29" x14ac:dyDescent="0.35">
      <c r="A22" s="6" t="s">
        <v>2</v>
      </c>
      <c r="B22" s="6" t="s">
        <v>4</v>
      </c>
      <c r="C22" s="6" t="s">
        <v>8</v>
      </c>
      <c r="D22" s="6" t="s">
        <v>13</v>
      </c>
      <c r="E22" s="6" t="s">
        <v>16</v>
      </c>
      <c r="F22" s="6" t="s">
        <v>19</v>
      </c>
      <c r="G22" s="6" t="s">
        <v>23</v>
      </c>
      <c r="H22" s="6" t="s">
        <v>27</v>
      </c>
      <c r="I22" s="6" t="s">
        <v>31</v>
      </c>
      <c r="J22" s="6">
        <v>17.222342000000001</v>
      </c>
      <c r="K22" s="6">
        <v>-97.118791999999999</v>
      </c>
      <c r="L22" s="6" t="str">
        <f>HYPERLINK("https://maps.google.com/?q=17.222342,-97.118791999999999", "🔗 Ver Mapa")</f>
        <v>🔗 Ver Mapa</v>
      </c>
    </row>
    <row r="23" spans="1:12" ht="29" x14ac:dyDescent="0.35">
      <c r="A23" s="5" t="s">
        <v>2</v>
      </c>
      <c r="B23" s="5" t="s">
        <v>4</v>
      </c>
      <c r="C23" s="5" t="s">
        <v>8</v>
      </c>
      <c r="D23" s="5" t="s">
        <v>13</v>
      </c>
      <c r="E23" s="5" t="s">
        <v>16</v>
      </c>
      <c r="F23" s="5" t="s">
        <v>19</v>
      </c>
      <c r="G23" s="5" t="s">
        <v>23</v>
      </c>
      <c r="H23" s="5" t="s">
        <v>27</v>
      </c>
      <c r="I23" s="5" t="s">
        <v>31</v>
      </c>
      <c r="J23" s="5">
        <v>17.222826000000001</v>
      </c>
      <c r="K23" s="5">
        <v>-97.118205000000003</v>
      </c>
      <c r="L23" s="5" t="str">
        <f>HYPERLINK("https://maps.google.com/?q=17.222826,-97.118205000000003", "🔗 Ver Mapa")</f>
        <v>🔗 Ver Mapa</v>
      </c>
    </row>
    <row r="24" spans="1:12" ht="29" x14ac:dyDescent="0.35">
      <c r="A24" s="6" t="s">
        <v>2</v>
      </c>
      <c r="B24" s="6" t="s">
        <v>4</v>
      </c>
      <c r="C24" s="6" t="s">
        <v>8</v>
      </c>
      <c r="D24" s="6" t="s">
        <v>13</v>
      </c>
      <c r="E24" s="6" t="s">
        <v>16</v>
      </c>
      <c r="F24" s="6" t="s">
        <v>19</v>
      </c>
      <c r="G24" s="6" t="s">
        <v>23</v>
      </c>
      <c r="H24" s="6" t="s">
        <v>27</v>
      </c>
      <c r="I24" s="6" t="s">
        <v>31</v>
      </c>
      <c r="J24" s="6">
        <v>17.222207999999998</v>
      </c>
      <c r="K24" s="6">
        <v>-97.119236999999998</v>
      </c>
      <c r="L24" s="6" t="str">
        <f>HYPERLINK("https://maps.google.com/?q=17.222208,-97.119236999999998", "🔗 Ver Mapa")</f>
        <v>🔗 Ver Mapa</v>
      </c>
    </row>
    <row r="25" spans="1:12" ht="29" x14ac:dyDescent="0.35">
      <c r="A25" s="5" t="s">
        <v>2</v>
      </c>
      <c r="B25" s="5" t="s">
        <v>4</v>
      </c>
      <c r="C25" s="5" t="s">
        <v>8</v>
      </c>
      <c r="D25" s="5" t="s">
        <v>13</v>
      </c>
      <c r="E25" s="5" t="s">
        <v>16</v>
      </c>
      <c r="F25" s="5" t="s">
        <v>19</v>
      </c>
      <c r="G25" s="5" t="s">
        <v>23</v>
      </c>
      <c r="H25" s="5" t="s">
        <v>27</v>
      </c>
      <c r="I25" s="5" t="s">
        <v>31</v>
      </c>
      <c r="J25" s="5">
        <v>17.222090000000001</v>
      </c>
      <c r="K25" s="5">
        <v>-97.122777999999997</v>
      </c>
      <c r="L25" s="5" t="str">
        <f>HYPERLINK("https://maps.google.com/?q=17.22209,-97.122777999999997", "🔗 Ver Mapa")</f>
        <v>🔗 Ver Mapa</v>
      </c>
    </row>
    <row r="26" spans="1:12" ht="29" x14ac:dyDescent="0.35">
      <c r="A26" s="6" t="s">
        <v>2</v>
      </c>
      <c r="B26" s="6" t="s">
        <v>4</v>
      </c>
      <c r="C26" s="6" t="s">
        <v>8</v>
      </c>
      <c r="D26" s="6" t="s">
        <v>13</v>
      </c>
      <c r="E26" s="6" t="s">
        <v>16</v>
      </c>
      <c r="F26" s="6" t="s">
        <v>19</v>
      </c>
      <c r="G26" s="6" t="s">
        <v>23</v>
      </c>
      <c r="H26" s="6" t="s">
        <v>27</v>
      </c>
      <c r="I26" s="6" t="s">
        <v>31</v>
      </c>
      <c r="J26" s="6">
        <v>17.222065000000001</v>
      </c>
      <c r="K26" s="6">
        <v>-97.119255999999993</v>
      </c>
      <c r="L26" s="6" t="str">
        <f>HYPERLINK("https://maps.google.com/?q=17.222065,-97.119255999999993", "🔗 Ver Mapa")</f>
        <v>🔗 Ver Mapa</v>
      </c>
    </row>
    <row r="27" spans="1:12" ht="29" x14ac:dyDescent="0.35">
      <c r="A27" s="5" t="s">
        <v>2</v>
      </c>
      <c r="B27" s="5" t="s">
        <v>4</v>
      </c>
      <c r="C27" s="5" t="s">
        <v>8</v>
      </c>
      <c r="D27" s="5" t="s">
        <v>13</v>
      </c>
      <c r="E27" s="5" t="s">
        <v>16</v>
      </c>
      <c r="F27" s="5" t="s">
        <v>19</v>
      </c>
      <c r="G27" s="5" t="s">
        <v>23</v>
      </c>
      <c r="H27" s="5" t="s">
        <v>27</v>
      </c>
      <c r="I27" s="5" t="s">
        <v>31</v>
      </c>
      <c r="J27" s="5">
        <v>17.222358</v>
      </c>
      <c r="K27" s="5">
        <v>-97.120081999999996</v>
      </c>
      <c r="L27" s="5" t="str">
        <f>HYPERLINK("https://maps.google.com/?q=17.222358,-97.120081999999996", "🔗 Ver Mapa")</f>
        <v>🔗 Ver Mapa</v>
      </c>
    </row>
    <row r="28" spans="1:12" ht="29" x14ac:dyDescent="0.35">
      <c r="A28" s="6" t="s">
        <v>2</v>
      </c>
      <c r="B28" s="6" t="s">
        <v>4</v>
      </c>
      <c r="C28" s="6" t="s">
        <v>8</v>
      </c>
      <c r="D28" s="6" t="s">
        <v>13</v>
      </c>
      <c r="E28" s="6" t="s">
        <v>16</v>
      </c>
      <c r="F28" s="6" t="s">
        <v>19</v>
      </c>
      <c r="G28" s="6" t="s">
        <v>23</v>
      </c>
      <c r="H28" s="6" t="s">
        <v>27</v>
      </c>
      <c r="I28" s="6" t="s">
        <v>31</v>
      </c>
      <c r="J28" s="6">
        <v>17.221854</v>
      </c>
      <c r="K28" s="6">
        <v>-97.121139999999997</v>
      </c>
      <c r="L28" s="6" t="str">
        <f>HYPERLINK("https://maps.google.com/?q=17.221854,-97.121139999999997", "🔗 Ver Mapa")</f>
        <v>🔗 Ver Mapa</v>
      </c>
    </row>
    <row r="29" spans="1:12" ht="29" x14ac:dyDescent="0.35">
      <c r="A29" s="5" t="s">
        <v>2</v>
      </c>
      <c r="B29" s="5" t="s">
        <v>4</v>
      </c>
      <c r="C29" s="5" t="s">
        <v>8</v>
      </c>
      <c r="D29" s="5" t="s">
        <v>13</v>
      </c>
      <c r="E29" s="5" t="s">
        <v>16</v>
      </c>
      <c r="F29" s="5" t="s">
        <v>19</v>
      </c>
      <c r="G29" s="5" t="s">
        <v>23</v>
      </c>
      <c r="H29" s="5" t="s">
        <v>27</v>
      </c>
      <c r="I29" s="5" t="s">
        <v>31</v>
      </c>
      <c r="J29" s="5">
        <v>17.222642</v>
      </c>
      <c r="K29" s="5">
        <v>-97.118487000000002</v>
      </c>
      <c r="L29" s="5" t="str">
        <f>HYPERLINK("https://maps.google.com/?q=17.222642,-97.118487000000002", "🔗 Ver Mapa")</f>
        <v>🔗 Ver Mapa</v>
      </c>
    </row>
    <row r="30" spans="1:12" ht="29" x14ac:dyDescent="0.35">
      <c r="A30" s="6" t="s">
        <v>2</v>
      </c>
      <c r="B30" s="6" t="s">
        <v>4</v>
      </c>
      <c r="C30" s="6" t="s">
        <v>8</v>
      </c>
      <c r="D30" s="6" t="s">
        <v>13</v>
      </c>
      <c r="E30" s="6" t="s">
        <v>16</v>
      </c>
      <c r="F30" s="6" t="s">
        <v>19</v>
      </c>
      <c r="G30" s="6" t="s">
        <v>23</v>
      </c>
      <c r="H30" s="6" t="s">
        <v>27</v>
      </c>
      <c r="I30" s="6" t="s">
        <v>31</v>
      </c>
      <c r="J30" s="6">
        <v>17.222557999999999</v>
      </c>
      <c r="K30" s="6">
        <v>-97.118798999999996</v>
      </c>
      <c r="L30" s="6" t="str">
        <f>HYPERLINK("https://maps.google.com/?q=17.222558,-97.118798999999996", "🔗 Ver Mapa")</f>
        <v>🔗 Ver Mapa</v>
      </c>
    </row>
    <row r="31" spans="1:12" ht="29" x14ac:dyDescent="0.35">
      <c r="A31" s="5" t="s">
        <v>2</v>
      </c>
      <c r="B31" s="5" t="s">
        <v>4</v>
      </c>
      <c r="C31" s="5" t="s">
        <v>8</v>
      </c>
      <c r="D31" s="5" t="s">
        <v>13</v>
      </c>
      <c r="E31" s="5" t="s">
        <v>16</v>
      </c>
      <c r="F31" s="5" t="s">
        <v>19</v>
      </c>
      <c r="G31" s="5" t="s">
        <v>23</v>
      </c>
      <c r="H31" s="5" t="s">
        <v>27</v>
      </c>
      <c r="I31" s="5" t="s">
        <v>31</v>
      </c>
      <c r="J31" s="5">
        <v>17.222753999999998</v>
      </c>
      <c r="K31" s="5">
        <v>-97.118043</v>
      </c>
      <c r="L31" s="5" t="str">
        <f>HYPERLINK("https://maps.google.com/?q=17.222754,-97.118043", "🔗 Ver Mapa")</f>
        <v>🔗 Ver Mapa</v>
      </c>
    </row>
    <row r="32" spans="1:12" ht="29" x14ac:dyDescent="0.35">
      <c r="A32" s="6" t="s">
        <v>2</v>
      </c>
      <c r="B32" s="6" t="s">
        <v>4</v>
      </c>
      <c r="C32" s="6" t="s">
        <v>8</v>
      </c>
      <c r="D32" s="6" t="s">
        <v>13</v>
      </c>
      <c r="E32" s="6" t="s">
        <v>16</v>
      </c>
      <c r="F32" s="6" t="s">
        <v>19</v>
      </c>
      <c r="G32" s="6" t="s">
        <v>23</v>
      </c>
      <c r="H32" s="6" t="s">
        <v>27</v>
      </c>
      <c r="I32" s="6" t="s">
        <v>31</v>
      </c>
      <c r="J32" s="6">
        <v>17.222541</v>
      </c>
      <c r="K32" s="6">
        <v>-97.118333000000007</v>
      </c>
      <c r="L32" s="6" t="str">
        <f>HYPERLINK("https://maps.google.com/?q=17.222541,-97.118333000000007", "🔗 Ver Mapa")</f>
        <v>🔗 Ver Mapa</v>
      </c>
    </row>
    <row r="33" spans="1:12" ht="29" x14ac:dyDescent="0.35">
      <c r="A33" s="5" t="s">
        <v>2</v>
      </c>
      <c r="B33" s="5" t="s">
        <v>4</v>
      </c>
      <c r="C33" s="5" t="s">
        <v>8</v>
      </c>
      <c r="D33" s="5" t="s">
        <v>13</v>
      </c>
      <c r="E33" s="5" t="s">
        <v>16</v>
      </c>
      <c r="F33" s="5" t="s">
        <v>19</v>
      </c>
      <c r="G33" s="5" t="s">
        <v>23</v>
      </c>
      <c r="H33" s="5" t="s">
        <v>27</v>
      </c>
      <c r="I33" s="5" t="s">
        <v>31</v>
      </c>
      <c r="J33" s="5">
        <v>17.222325999999999</v>
      </c>
      <c r="K33" s="5">
        <v>-97.116876000000005</v>
      </c>
      <c r="L33" s="5" t="str">
        <f>HYPERLINK("https://maps.google.com/?q=17.222326,-97.116876000000005", "🔗 Ver Mapa")</f>
        <v>🔗 Ver Mapa</v>
      </c>
    </row>
    <row r="34" spans="1:12" ht="29" x14ac:dyDescent="0.35">
      <c r="A34" s="6" t="s">
        <v>2</v>
      </c>
      <c r="B34" s="6" t="s">
        <v>4</v>
      </c>
      <c r="C34" s="6" t="s">
        <v>8</v>
      </c>
      <c r="D34" s="6" t="s">
        <v>13</v>
      </c>
      <c r="E34" s="6" t="s">
        <v>16</v>
      </c>
      <c r="F34" s="6" t="s">
        <v>19</v>
      </c>
      <c r="G34" s="6" t="s">
        <v>23</v>
      </c>
      <c r="H34" s="6" t="s">
        <v>27</v>
      </c>
      <c r="I34" s="6" t="s">
        <v>31</v>
      </c>
      <c r="J34" s="6">
        <v>17.222185</v>
      </c>
      <c r="K34" s="6">
        <v>-97.122685000000004</v>
      </c>
      <c r="L34" s="6" t="str">
        <f>HYPERLINK("https://maps.google.com/?q=17.222185,-97.122685000000004", "🔗 Ver Mapa")</f>
        <v>🔗 Ver Mapa</v>
      </c>
    </row>
    <row r="35" spans="1:12" ht="29" x14ac:dyDescent="0.35">
      <c r="A35" s="5" t="s">
        <v>2</v>
      </c>
      <c r="B35" s="5" t="s">
        <v>4</v>
      </c>
      <c r="C35" s="5" t="s">
        <v>8</v>
      </c>
      <c r="D35" s="5" t="s">
        <v>13</v>
      </c>
      <c r="E35" s="5" t="s">
        <v>16</v>
      </c>
      <c r="F35" s="5" t="s">
        <v>19</v>
      </c>
      <c r="G35" s="5" t="s">
        <v>23</v>
      </c>
      <c r="H35" s="5" t="s">
        <v>27</v>
      </c>
      <c r="I35" s="5" t="s">
        <v>31</v>
      </c>
      <c r="J35" s="5">
        <v>17.223973000000001</v>
      </c>
      <c r="K35" s="5">
        <v>-97.119905000000003</v>
      </c>
      <c r="L35" s="5" t="str">
        <f>HYPERLINK("https://maps.google.com/?q=17.223973,-97.119905000000003", "🔗 Ver Mapa")</f>
        <v>🔗 Ver Mapa</v>
      </c>
    </row>
    <row r="36" spans="1:12" ht="29" x14ac:dyDescent="0.35">
      <c r="A36" s="6" t="s">
        <v>2</v>
      </c>
      <c r="B36" s="6" t="s">
        <v>4</v>
      </c>
      <c r="C36" s="6" t="s">
        <v>8</v>
      </c>
      <c r="D36" s="6" t="s">
        <v>13</v>
      </c>
      <c r="E36" s="6" t="s">
        <v>16</v>
      </c>
      <c r="F36" s="6" t="s">
        <v>19</v>
      </c>
      <c r="G36" s="6" t="s">
        <v>23</v>
      </c>
      <c r="H36" s="6" t="s">
        <v>27</v>
      </c>
      <c r="I36" s="6" t="s">
        <v>31</v>
      </c>
      <c r="J36" s="6">
        <v>17.222093000000001</v>
      </c>
      <c r="K36" s="6">
        <v>-97.119546</v>
      </c>
      <c r="L36" s="6" t="str">
        <f>HYPERLINK("https://maps.google.com/?q=17.222093,-97.119546", "🔗 Ver Mapa")</f>
        <v>🔗 Ver Mapa</v>
      </c>
    </row>
    <row r="37" spans="1:12" ht="29" x14ac:dyDescent="0.35">
      <c r="A37" s="5" t="s">
        <v>2</v>
      </c>
      <c r="B37" s="5" t="s">
        <v>4</v>
      </c>
      <c r="C37" s="5" t="s">
        <v>8</v>
      </c>
      <c r="D37" s="5" t="s">
        <v>13</v>
      </c>
      <c r="E37" s="5" t="s">
        <v>16</v>
      </c>
      <c r="F37" s="5" t="s">
        <v>19</v>
      </c>
      <c r="G37" s="5" t="s">
        <v>23</v>
      </c>
      <c r="H37" s="5" t="s">
        <v>27</v>
      </c>
      <c r="I37" s="5" t="s">
        <v>31</v>
      </c>
      <c r="J37" s="5">
        <v>17.221516000000001</v>
      </c>
      <c r="K37" s="5">
        <v>-97.120679999999993</v>
      </c>
      <c r="L37" s="5" t="str">
        <f>HYPERLINK("https://maps.google.com/?q=17.221516,-97.120679999999993", "🔗 Ver Mapa")</f>
        <v>🔗 Ver Mapa</v>
      </c>
    </row>
    <row r="38" spans="1:12" ht="29" x14ac:dyDescent="0.35">
      <c r="A38" s="6" t="s">
        <v>2</v>
      </c>
      <c r="B38" s="6" t="s">
        <v>4</v>
      </c>
      <c r="C38" s="6" t="s">
        <v>8</v>
      </c>
      <c r="D38" s="6" t="s">
        <v>13</v>
      </c>
      <c r="E38" s="6" t="s">
        <v>16</v>
      </c>
      <c r="F38" s="6" t="s">
        <v>19</v>
      </c>
      <c r="G38" s="6" t="s">
        <v>23</v>
      </c>
      <c r="H38" s="6" t="s">
        <v>27</v>
      </c>
      <c r="I38" s="6" t="s">
        <v>31</v>
      </c>
      <c r="J38" s="6">
        <v>17.221544000000002</v>
      </c>
      <c r="K38" s="6">
        <v>-97.122290000000007</v>
      </c>
      <c r="L38" s="6" t="str">
        <f>HYPERLINK("https://maps.google.com/?q=17.221544,-97.122290000000007", "🔗 Ver Mapa")</f>
        <v>🔗 Ver Mapa</v>
      </c>
    </row>
    <row r="39" spans="1:12" ht="29" x14ac:dyDescent="0.35">
      <c r="A39" s="5" t="s">
        <v>2</v>
      </c>
      <c r="B39" s="5" t="s">
        <v>4</v>
      </c>
      <c r="C39" s="5" t="s">
        <v>8</v>
      </c>
      <c r="D39" s="5" t="s">
        <v>13</v>
      </c>
      <c r="E39" s="5" t="s">
        <v>16</v>
      </c>
      <c r="F39" s="5" t="s">
        <v>19</v>
      </c>
      <c r="G39" s="5" t="s">
        <v>23</v>
      </c>
      <c r="H39" s="5" t="s">
        <v>27</v>
      </c>
      <c r="I39" s="5" t="s">
        <v>31</v>
      </c>
      <c r="J39" s="5">
        <v>17.221454000000001</v>
      </c>
      <c r="K39" s="5">
        <v>-97.122040999999996</v>
      </c>
      <c r="L39" s="5" t="str">
        <f>HYPERLINK("https://maps.google.com/?q=17.221454,-97.122040999999996", "🔗 Ver Mapa")</f>
        <v>🔗 Ver Mapa</v>
      </c>
    </row>
    <row r="40" spans="1:12" ht="29" x14ac:dyDescent="0.35">
      <c r="A40" s="6" t="s">
        <v>2</v>
      </c>
      <c r="B40" s="6" t="s">
        <v>4</v>
      </c>
      <c r="C40" s="6" t="s">
        <v>8</v>
      </c>
      <c r="D40" s="6" t="s">
        <v>13</v>
      </c>
      <c r="E40" s="6" t="s">
        <v>16</v>
      </c>
      <c r="F40" s="6" t="s">
        <v>19</v>
      </c>
      <c r="G40" s="6" t="s">
        <v>23</v>
      </c>
      <c r="H40" s="6" t="s">
        <v>27</v>
      </c>
      <c r="I40" s="6" t="s">
        <v>31</v>
      </c>
      <c r="J40" s="6">
        <v>17.221015999999999</v>
      </c>
      <c r="K40" s="6">
        <v>-97.122168000000002</v>
      </c>
      <c r="L40" s="6" t="str">
        <f>HYPERLINK("https://maps.google.com/?q=17.221016,-97.122168000000002", "🔗 Ver Mapa")</f>
        <v>🔗 Ver Mapa</v>
      </c>
    </row>
    <row r="41" spans="1:12" ht="29" x14ac:dyDescent="0.35">
      <c r="A41" s="5" t="s">
        <v>2</v>
      </c>
      <c r="B41" s="5" t="s">
        <v>4</v>
      </c>
      <c r="C41" s="5" t="s">
        <v>8</v>
      </c>
      <c r="D41" s="5" t="s">
        <v>13</v>
      </c>
      <c r="E41" s="5" t="s">
        <v>16</v>
      </c>
      <c r="F41" s="5" t="s">
        <v>19</v>
      </c>
      <c r="G41" s="5" t="s">
        <v>23</v>
      </c>
      <c r="H41" s="5" t="s">
        <v>27</v>
      </c>
      <c r="I41" s="5" t="s">
        <v>31</v>
      </c>
      <c r="J41" s="5">
        <v>17.221105999999999</v>
      </c>
      <c r="K41" s="5">
        <v>-97.122146000000001</v>
      </c>
      <c r="L41" s="5" t="str">
        <f>HYPERLINK("https://maps.google.com/?q=17.221106,-97.122146000000001", "🔗 Ver Mapa")</f>
        <v>🔗 Ver Mapa</v>
      </c>
    </row>
    <row r="42" spans="1:12" ht="29" x14ac:dyDescent="0.35">
      <c r="A42" s="6" t="s">
        <v>2</v>
      </c>
      <c r="B42" s="6" t="s">
        <v>4</v>
      </c>
      <c r="C42" s="6" t="s">
        <v>8</v>
      </c>
      <c r="D42" s="6" t="s">
        <v>13</v>
      </c>
      <c r="E42" s="6" t="s">
        <v>16</v>
      </c>
      <c r="F42" s="6" t="s">
        <v>19</v>
      </c>
      <c r="G42" s="6" t="s">
        <v>23</v>
      </c>
      <c r="H42" s="6" t="s">
        <v>27</v>
      </c>
      <c r="I42" s="6" t="s">
        <v>31</v>
      </c>
      <c r="J42" s="6">
        <v>17.221163000000001</v>
      </c>
      <c r="K42" s="6">
        <v>-97.122288999999995</v>
      </c>
      <c r="L42" s="6" t="str">
        <f>HYPERLINK("https://maps.google.com/?q=17.221163,-97.122288999999995", "🔗 Ver Mapa")</f>
        <v>🔗 Ver Mapa</v>
      </c>
    </row>
    <row r="43" spans="1:12" ht="29" x14ac:dyDescent="0.35">
      <c r="A43" s="5" t="s">
        <v>2</v>
      </c>
      <c r="B43" s="5" t="s">
        <v>4</v>
      </c>
      <c r="C43" s="5" t="s">
        <v>8</v>
      </c>
      <c r="D43" s="5" t="s">
        <v>13</v>
      </c>
      <c r="E43" s="5" t="s">
        <v>16</v>
      </c>
      <c r="F43" s="5" t="s">
        <v>19</v>
      </c>
      <c r="G43" s="5" t="s">
        <v>23</v>
      </c>
      <c r="H43" s="5" t="s">
        <v>27</v>
      </c>
      <c r="I43" s="5" t="s">
        <v>31</v>
      </c>
      <c r="J43" s="5">
        <v>17.224851000000001</v>
      </c>
      <c r="K43" s="5">
        <v>-97.121362000000005</v>
      </c>
      <c r="L43" s="5" t="str">
        <f>HYPERLINK("https://maps.google.com/?q=17.224851,-97.121362000000005", "🔗 Ver Mapa")</f>
        <v>🔗 Ver Mapa</v>
      </c>
    </row>
    <row r="44" spans="1:12" ht="29" x14ac:dyDescent="0.35">
      <c r="A44" s="6" t="s">
        <v>2</v>
      </c>
      <c r="B44" s="6" t="s">
        <v>4</v>
      </c>
      <c r="C44" s="6" t="s">
        <v>8</v>
      </c>
      <c r="D44" s="6" t="s">
        <v>13</v>
      </c>
      <c r="E44" s="6" t="s">
        <v>16</v>
      </c>
      <c r="F44" s="6" t="s">
        <v>19</v>
      </c>
      <c r="G44" s="6" t="s">
        <v>23</v>
      </c>
      <c r="H44" s="6" t="s">
        <v>27</v>
      </c>
      <c r="I44" s="6" t="s">
        <v>31</v>
      </c>
      <c r="J44" s="6">
        <v>17.221685999999998</v>
      </c>
      <c r="K44" s="6">
        <v>-97.121823000000006</v>
      </c>
      <c r="L44" s="6" t="str">
        <f>HYPERLINK("https://maps.google.com/?q=17.221686,-97.121823000000006", "🔗 Ver Mapa")</f>
        <v>🔗 Ver Mapa</v>
      </c>
    </row>
    <row r="45" spans="1:12" ht="43.5" x14ac:dyDescent="0.35">
      <c r="A45" s="5" t="s">
        <v>2</v>
      </c>
      <c r="B45" s="5" t="s">
        <v>5</v>
      </c>
      <c r="C45" s="5" t="s">
        <v>9</v>
      </c>
      <c r="D45" s="5" t="s">
        <v>13</v>
      </c>
      <c r="E45" s="5" t="s">
        <v>17</v>
      </c>
      <c r="F45" s="5" t="s">
        <v>20</v>
      </c>
      <c r="G45" s="5" t="s">
        <v>24</v>
      </c>
      <c r="H45" s="5" t="s">
        <v>28</v>
      </c>
      <c r="I45" s="5" t="s">
        <v>32</v>
      </c>
      <c r="J45" s="5">
        <v>15.912785</v>
      </c>
      <c r="K45" s="5">
        <v>-96.450585000000004</v>
      </c>
      <c r="L45" s="5" t="str">
        <f>HYPERLINK("https://maps.google.com/?q=15.912785,-96.450585000000004", "🔗 Ver Mapa")</f>
        <v>🔗 Ver Mapa</v>
      </c>
    </row>
    <row r="46" spans="1:12" ht="43.5" x14ac:dyDescent="0.35">
      <c r="A46" s="6" t="s">
        <v>2</v>
      </c>
      <c r="B46" s="6" t="s">
        <v>5</v>
      </c>
      <c r="C46" s="6" t="s">
        <v>9</v>
      </c>
      <c r="D46" s="6" t="s">
        <v>13</v>
      </c>
      <c r="E46" s="6" t="s">
        <v>17</v>
      </c>
      <c r="F46" s="6" t="s">
        <v>20</v>
      </c>
      <c r="G46" s="6" t="s">
        <v>24</v>
      </c>
      <c r="H46" s="6" t="s">
        <v>28</v>
      </c>
      <c r="I46" s="6" t="s">
        <v>32</v>
      </c>
      <c r="J46" s="6">
        <v>15.912411000000001</v>
      </c>
      <c r="K46" s="6">
        <v>-96.450263000000007</v>
      </c>
      <c r="L46" s="6" t="str">
        <f>HYPERLINK("https://maps.google.com/?q=15.912411,-96.450263000000007", "🔗 Ver Mapa")</f>
        <v>🔗 Ver Mapa</v>
      </c>
    </row>
    <row r="47" spans="1:12" ht="43.5" x14ac:dyDescent="0.35">
      <c r="A47" s="5" t="s">
        <v>2</v>
      </c>
      <c r="B47" s="5" t="s">
        <v>5</v>
      </c>
      <c r="C47" s="5" t="s">
        <v>9</v>
      </c>
      <c r="D47" s="5" t="s">
        <v>13</v>
      </c>
      <c r="E47" s="5" t="s">
        <v>17</v>
      </c>
      <c r="F47" s="5" t="s">
        <v>20</v>
      </c>
      <c r="G47" s="5" t="s">
        <v>24</v>
      </c>
      <c r="H47" s="5" t="s">
        <v>28</v>
      </c>
      <c r="I47" s="5" t="s">
        <v>32</v>
      </c>
      <c r="J47" s="5">
        <v>15.912305999999999</v>
      </c>
      <c r="K47" s="5">
        <v>-96.450056000000004</v>
      </c>
      <c r="L47" s="5" t="str">
        <f>HYPERLINK("https://maps.google.com/?q=15.912306,-96.450056000000004", "🔗 Ver Mapa")</f>
        <v>🔗 Ver Mapa</v>
      </c>
    </row>
    <row r="48" spans="1:12" ht="43.5" x14ac:dyDescent="0.35">
      <c r="A48" s="6" t="s">
        <v>2</v>
      </c>
      <c r="B48" s="6" t="s">
        <v>5</v>
      </c>
      <c r="C48" s="6" t="s">
        <v>9</v>
      </c>
      <c r="D48" s="6" t="s">
        <v>13</v>
      </c>
      <c r="E48" s="6" t="s">
        <v>17</v>
      </c>
      <c r="F48" s="6" t="s">
        <v>20</v>
      </c>
      <c r="G48" s="6" t="s">
        <v>24</v>
      </c>
      <c r="H48" s="6" t="s">
        <v>28</v>
      </c>
      <c r="I48" s="6" t="s">
        <v>32</v>
      </c>
      <c r="J48" s="6">
        <v>15.911889</v>
      </c>
      <c r="K48" s="6">
        <v>-96.450166999999993</v>
      </c>
      <c r="L48" s="6" t="str">
        <f>HYPERLINK("https://maps.google.com/?q=15.911889,-96.450166999999993", "🔗 Ver Mapa")</f>
        <v>🔗 Ver Mapa</v>
      </c>
    </row>
    <row r="49" spans="1:12" ht="43.5" x14ac:dyDescent="0.35">
      <c r="A49" s="5" t="s">
        <v>2</v>
      </c>
      <c r="B49" s="5" t="s">
        <v>5</v>
      </c>
      <c r="C49" s="5" t="s">
        <v>9</v>
      </c>
      <c r="D49" s="5" t="s">
        <v>13</v>
      </c>
      <c r="E49" s="5" t="s">
        <v>17</v>
      </c>
      <c r="F49" s="5" t="s">
        <v>20</v>
      </c>
      <c r="G49" s="5" t="s">
        <v>24</v>
      </c>
      <c r="H49" s="5" t="s">
        <v>28</v>
      </c>
      <c r="I49" s="5" t="s">
        <v>32</v>
      </c>
      <c r="J49" s="5">
        <v>15.91175</v>
      </c>
      <c r="K49" s="5">
        <v>-96.450361000000001</v>
      </c>
      <c r="L49" s="5" t="str">
        <f>HYPERLINK("https://maps.google.com/?q=15.91175,-96.450361000000001", "🔗 Ver Mapa")</f>
        <v>🔗 Ver Mapa</v>
      </c>
    </row>
    <row r="50" spans="1:12" ht="43.5" x14ac:dyDescent="0.35">
      <c r="A50" s="6" t="s">
        <v>2</v>
      </c>
      <c r="B50" s="6" t="s">
        <v>5</v>
      </c>
      <c r="C50" s="6" t="s">
        <v>9</v>
      </c>
      <c r="D50" s="6" t="s">
        <v>13</v>
      </c>
      <c r="E50" s="6" t="s">
        <v>17</v>
      </c>
      <c r="F50" s="6" t="s">
        <v>20</v>
      </c>
      <c r="G50" s="6" t="s">
        <v>24</v>
      </c>
      <c r="H50" s="6" t="s">
        <v>28</v>
      </c>
      <c r="I50" s="6" t="s">
        <v>32</v>
      </c>
      <c r="J50" s="6">
        <v>15.910201000000001</v>
      </c>
      <c r="K50" s="6">
        <v>-96.449759</v>
      </c>
      <c r="L50" s="6" t="str">
        <f>HYPERLINK("https://maps.google.com/?q=15.910201,-96.449759", "🔗 Ver Mapa")</f>
        <v>🔗 Ver Mapa</v>
      </c>
    </row>
    <row r="51" spans="1:12" ht="43.5" x14ac:dyDescent="0.35">
      <c r="A51" s="5" t="s">
        <v>2</v>
      </c>
      <c r="B51" s="5" t="s">
        <v>5</v>
      </c>
      <c r="C51" s="5" t="s">
        <v>9</v>
      </c>
      <c r="D51" s="5" t="s">
        <v>13</v>
      </c>
      <c r="E51" s="5" t="s">
        <v>17</v>
      </c>
      <c r="F51" s="5" t="s">
        <v>20</v>
      </c>
      <c r="G51" s="5" t="s">
        <v>24</v>
      </c>
      <c r="H51" s="5" t="s">
        <v>28</v>
      </c>
      <c r="I51" s="5" t="s">
        <v>32</v>
      </c>
      <c r="J51" s="5">
        <v>15.910022</v>
      </c>
      <c r="K51" s="5">
        <v>-96.449900999999997</v>
      </c>
      <c r="L51" s="5" t="str">
        <f>HYPERLINK("https://maps.google.com/?q=15.910022,-96.449900999999997", "🔗 Ver Mapa")</f>
        <v>🔗 Ver Mapa</v>
      </c>
    </row>
    <row r="52" spans="1:12" ht="43.5" x14ac:dyDescent="0.35">
      <c r="A52" s="6" t="s">
        <v>2</v>
      </c>
      <c r="B52" s="6" t="s">
        <v>5</v>
      </c>
      <c r="C52" s="6" t="s">
        <v>9</v>
      </c>
      <c r="D52" s="6" t="s">
        <v>13</v>
      </c>
      <c r="E52" s="6" t="s">
        <v>17</v>
      </c>
      <c r="F52" s="6" t="s">
        <v>20</v>
      </c>
      <c r="G52" s="6" t="s">
        <v>24</v>
      </c>
      <c r="H52" s="6" t="s">
        <v>28</v>
      </c>
      <c r="I52" s="6" t="s">
        <v>32</v>
      </c>
      <c r="J52" s="6">
        <v>15.909815</v>
      </c>
      <c r="K52" s="6">
        <v>-96.449912999999995</v>
      </c>
      <c r="L52" s="6" t="str">
        <f>HYPERLINK("https://maps.google.com/?q=15.909815,-96.449912999999995", "🔗 Ver Mapa")</f>
        <v>🔗 Ver Mapa</v>
      </c>
    </row>
    <row r="53" spans="1:12" ht="43.5" x14ac:dyDescent="0.35">
      <c r="A53" s="5" t="s">
        <v>2</v>
      </c>
      <c r="B53" s="5" t="s">
        <v>5</v>
      </c>
      <c r="C53" s="5" t="s">
        <v>9</v>
      </c>
      <c r="D53" s="5" t="s">
        <v>13</v>
      </c>
      <c r="E53" s="5" t="s">
        <v>17</v>
      </c>
      <c r="F53" s="5" t="s">
        <v>20</v>
      </c>
      <c r="G53" s="5" t="s">
        <v>24</v>
      </c>
      <c r="H53" s="5" t="s">
        <v>28</v>
      </c>
      <c r="I53" s="5" t="s">
        <v>32</v>
      </c>
      <c r="J53" s="5">
        <v>15.909585</v>
      </c>
      <c r="K53" s="5">
        <v>-96.449561000000003</v>
      </c>
      <c r="L53" s="5" t="str">
        <f>HYPERLINK("https://maps.google.com/?q=15.909585,-96.449561000000003", "🔗 Ver Mapa")</f>
        <v>🔗 Ver Mapa</v>
      </c>
    </row>
    <row r="54" spans="1:12" ht="43.5" x14ac:dyDescent="0.35">
      <c r="A54" s="6" t="s">
        <v>2</v>
      </c>
      <c r="B54" s="6" t="s">
        <v>5</v>
      </c>
      <c r="C54" s="6" t="s">
        <v>9</v>
      </c>
      <c r="D54" s="6" t="s">
        <v>13</v>
      </c>
      <c r="E54" s="6" t="s">
        <v>17</v>
      </c>
      <c r="F54" s="6" t="s">
        <v>20</v>
      </c>
      <c r="G54" s="6" t="s">
        <v>24</v>
      </c>
      <c r="H54" s="6" t="s">
        <v>28</v>
      </c>
      <c r="I54" s="6" t="s">
        <v>32</v>
      </c>
      <c r="J54" s="6">
        <v>15.90851</v>
      </c>
      <c r="K54" s="6">
        <v>-96.449565000000007</v>
      </c>
      <c r="L54" s="6" t="str">
        <f>HYPERLINK("https://maps.google.com/?q=15.90851,-96.449565000000007", "🔗 Ver Mapa")</f>
        <v>🔗 Ver Mapa</v>
      </c>
    </row>
    <row r="55" spans="1:12" ht="43.5" x14ac:dyDescent="0.35">
      <c r="A55" s="5" t="s">
        <v>2</v>
      </c>
      <c r="B55" s="5" t="s">
        <v>5</v>
      </c>
      <c r="C55" s="5" t="s">
        <v>9</v>
      </c>
      <c r="D55" s="5" t="s">
        <v>13</v>
      </c>
      <c r="E55" s="5" t="s">
        <v>17</v>
      </c>
      <c r="F55" s="5" t="s">
        <v>20</v>
      </c>
      <c r="G55" s="5" t="s">
        <v>24</v>
      </c>
      <c r="H55" s="5" t="s">
        <v>28</v>
      </c>
      <c r="I55" s="5" t="s">
        <v>32</v>
      </c>
      <c r="J55" s="5">
        <v>15.908139</v>
      </c>
      <c r="K55" s="5">
        <v>-96.449583000000004</v>
      </c>
      <c r="L55" s="5" t="str">
        <f>HYPERLINK("https://maps.google.com/?q=15.908139,-96.449583000000004", "🔗 Ver Mapa")</f>
        <v>🔗 Ver Mapa</v>
      </c>
    </row>
    <row r="56" spans="1:12" ht="43.5" x14ac:dyDescent="0.35">
      <c r="A56" s="6" t="s">
        <v>2</v>
      </c>
      <c r="B56" s="6" t="s">
        <v>5</v>
      </c>
      <c r="C56" s="6" t="s">
        <v>9</v>
      </c>
      <c r="D56" s="6" t="s">
        <v>13</v>
      </c>
      <c r="E56" s="6" t="s">
        <v>17</v>
      </c>
      <c r="F56" s="6" t="s">
        <v>20</v>
      </c>
      <c r="G56" s="6" t="s">
        <v>24</v>
      </c>
      <c r="H56" s="6" t="s">
        <v>28</v>
      </c>
      <c r="I56" s="6" t="s">
        <v>32</v>
      </c>
      <c r="J56" s="6">
        <v>15.907911</v>
      </c>
      <c r="K56" s="6">
        <v>-96.449386000000004</v>
      </c>
      <c r="L56" s="6" t="str">
        <f>HYPERLINK("https://maps.google.com/?q=15.907911,-96.449386000000004", "🔗 Ver Mapa")</f>
        <v>🔗 Ver Mapa</v>
      </c>
    </row>
    <row r="57" spans="1:12" ht="43.5" x14ac:dyDescent="0.35">
      <c r="A57" s="5" t="s">
        <v>2</v>
      </c>
      <c r="B57" s="5" t="s">
        <v>5</v>
      </c>
      <c r="C57" s="5" t="s">
        <v>9</v>
      </c>
      <c r="D57" s="5" t="s">
        <v>13</v>
      </c>
      <c r="E57" s="5" t="s">
        <v>17</v>
      </c>
      <c r="F57" s="5" t="s">
        <v>20</v>
      </c>
      <c r="G57" s="5" t="s">
        <v>24</v>
      </c>
      <c r="H57" s="5" t="s">
        <v>28</v>
      </c>
      <c r="I57" s="5" t="s">
        <v>32</v>
      </c>
      <c r="J57" s="5">
        <v>15.907728000000001</v>
      </c>
      <c r="K57" s="5">
        <v>-96.449153999999993</v>
      </c>
      <c r="L57" s="5" t="str">
        <f>HYPERLINK("https://maps.google.com/?q=15.907728,-96.449153999999993", "🔗 Ver Mapa")</f>
        <v>🔗 Ver Mapa</v>
      </c>
    </row>
    <row r="58" spans="1:12" ht="43.5" x14ac:dyDescent="0.35">
      <c r="A58" s="6" t="s">
        <v>2</v>
      </c>
      <c r="B58" s="6" t="s">
        <v>5</v>
      </c>
      <c r="C58" s="6" t="s">
        <v>9</v>
      </c>
      <c r="D58" s="6" t="s">
        <v>13</v>
      </c>
      <c r="E58" s="6" t="s">
        <v>17</v>
      </c>
      <c r="F58" s="6" t="s">
        <v>20</v>
      </c>
      <c r="G58" s="6" t="s">
        <v>24</v>
      </c>
      <c r="H58" s="6" t="s">
        <v>28</v>
      </c>
      <c r="I58" s="6" t="s">
        <v>32</v>
      </c>
      <c r="J58" s="6">
        <v>15.907454</v>
      </c>
      <c r="K58" s="6">
        <v>-96.448935000000006</v>
      </c>
      <c r="L58" s="6" t="str">
        <f>HYPERLINK("https://maps.google.com/?q=15.907454,-96.448935000000006", "🔗 Ver Mapa")</f>
        <v>🔗 Ver Mapa</v>
      </c>
    </row>
    <row r="59" spans="1:12" ht="43.5" x14ac:dyDescent="0.35">
      <c r="A59" s="5" t="s">
        <v>2</v>
      </c>
      <c r="B59" s="5" t="s">
        <v>5</v>
      </c>
      <c r="C59" s="5" t="s">
        <v>9</v>
      </c>
      <c r="D59" s="5" t="s">
        <v>13</v>
      </c>
      <c r="E59" s="5" t="s">
        <v>17</v>
      </c>
      <c r="F59" s="5" t="s">
        <v>20</v>
      </c>
      <c r="G59" s="5" t="s">
        <v>24</v>
      </c>
      <c r="H59" s="5" t="s">
        <v>28</v>
      </c>
      <c r="I59" s="5" t="s">
        <v>32</v>
      </c>
      <c r="J59" s="5">
        <v>15.907287</v>
      </c>
      <c r="K59" s="5">
        <v>-96.448525000000004</v>
      </c>
      <c r="L59" s="5" t="str">
        <f>HYPERLINK("https://maps.google.com/?q=15.907287,-96.448525000000004", "🔗 Ver Mapa")</f>
        <v>🔗 Ver Mapa</v>
      </c>
    </row>
    <row r="60" spans="1:12" ht="43.5" x14ac:dyDescent="0.35">
      <c r="A60" s="6" t="s">
        <v>2</v>
      </c>
      <c r="B60" s="6" t="s">
        <v>5</v>
      </c>
      <c r="C60" s="6" t="s">
        <v>9</v>
      </c>
      <c r="D60" s="6" t="s">
        <v>13</v>
      </c>
      <c r="E60" s="6" t="s">
        <v>17</v>
      </c>
      <c r="F60" s="6" t="s">
        <v>20</v>
      </c>
      <c r="G60" s="6" t="s">
        <v>24</v>
      </c>
      <c r="H60" s="6" t="s">
        <v>28</v>
      </c>
      <c r="I60" s="6" t="s">
        <v>32</v>
      </c>
      <c r="J60" s="6">
        <v>15.906573</v>
      </c>
      <c r="K60" s="6">
        <v>-96.448515999999998</v>
      </c>
      <c r="L60" s="6" t="str">
        <f>HYPERLINK("https://maps.google.com/?q=15.906573,-96.448515999999998", "🔗 Ver Mapa")</f>
        <v>🔗 Ver Mapa</v>
      </c>
    </row>
    <row r="61" spans="1:12" ht="43.5" x14ac:dyDescent="0.35">
      <c r="A61" s="5" t="s">
        <v>2</v>
      </c>
      <c r="B61" s="5" t="s">
        <v>5</v>
      </c>
      <c r="C61" s="5" t="s">
        <v>9</v>
      </c>
      <c r="D61" s="5" t="s">
        <v>13</v>
      </c>
      <c r="E61" s="5" t="s">
        <v>17</v>
      </c>
      <c r="F61" s="5" t="s">
        <v>20</v>
      </c>
      <c r="G61" s="5" t="s">
        <v>24</v>
      </c>
      <c r="H61" s="5" t="s">
        <v>28</v>
      </c>
      <c r="I61" s="5" t="s">
        <v>32</v>
      </c>
      <c r="J61" s="5">
        <v>15.905658000000001</v>
      </c>
      <c r="K61" s="5">
        <v>-96.448879000000005</v>
      </c>
      <c r="L61" s="5" t="str">
        <f>HYPERLINK("https://maps.google.com/?q=15.905658,-96.448879000000005", "🔗 Ver Mapa")</f>
        <v>🔗 Ver Mapa</v>
      </c>
    </row>
    <row r="62" spans="1:12" ht="43.5" x14ac:dyDescent="0.35">
      <c r="A62" s="6" t="s">
        <v>2</v>
      </c>
      <c r="B62" s="6" t="s">
        <v>5</v>
      </c>
      <c r="C62" s="6" t="s">
        <v>9</v>
      </c>
      <c r="D62" s="6" t="s">
        <v>13</v>
      </c>
      <c r="E62" s="6" t="s">
        <v>17</v>
      </c>
      <c r="F62" s="6" t="s">
        <v>20</v>
      </c>
      <c r="G62" s="6" t="s">
        <v>24</v>
      </c>
      <c r="H62" s="6" t="s">
        <v>28</v>
      </c>
      <c r="I62" s="6" t="s">
        <v>32</v>
      </c>
      <c r="J62" s="6">
        <v>15.905309000000001</v>
      </c>
      <c r="K62" s="6">
        <v>-96.449188000000007</v>
      </c>
      <c r="L62" s="6" t="str">
        <f>HYPERLINK("https://maps.google.com/?q=15.905309,-96.449188000000007", "🔗 Ver Mapa")</f>
        <v>🔗 Ver Mapa</v>
      </c>
    </row>
    <row r="63" spans="1:12" ht="43.5" x14ac:dyDescent="0.35">
      <c r="A63" s="5" t="s">
        <v>2</v>
      </c>
      <c r="B63" s="5" t="s">
        <v>5</v>
      </c>
      <c r="C63" s="5" t="s">
        <v>9</v>
      </c>
      <c r="D63" s="5" t="s">
        <v>13</v>
      </c>
      <c r="E63" s="5" t="s">
        <v>17</v>
      </c>
      <c r="F63" s="5" t="s">
        <v>20</v>
      </c>
      <c r="G63" s="5" t="s">
        <v>24</v>
      </c>
      <c r="H63" s="5" t="s">
        <v>28</v>
      </c>
      <c r="I63" s="5" t="s">
        <v>32</v>
      </c>
      <c r="J63" s="5">
        <v>15.877053</v>
      </c>
      <c r="K63" s="5">
        <v>-96.458371</v>
      </c>
      <c r="L63" s="5" t="str">
        <f>HYPERLINK("https://maps.google.com/?q=15.877053,-96.458371", "🔗 Ver Mapa")</f>
        <v>🔗 Ver Mapa</v>
      </c>
    </row>
    <row r="64" spans="1:12" ht="43.5" x14ac:dyDescent="0.35">
      <c r="A64" s="6" t="s">
        <v>2</v>
      </c>
      <c r="B64" s="6" t="s">
        <v>5</v>
      </c>
      <c r="C64" s="6" t="s">
        <v>9</v>
      </c>
      <c r="D64" s="6" t="s">
        <v>13</v>
      </c>
      <c r="E64" s="6" t="s">
        <v>17</v>
      </c>
      <c r="F64" s="6" t="s">
        <v>20</v>
      </c>
      <c r="G64" s="6" t="s">
        <v>24</v>
      </c>
      <c r="H64" s="6" t="s">
        <v>28</v>
      </c>
      <c r="I64" s="6" t="s">
        <v>32</v>
      </c>
      <c r="J64" s="6">
        <v>15.876536</v>
      </c>
      <c r="K64" s="6">
        <v>-96.458200000000005</v>
      </c>
      <c r="L64" s="6" t="str">
        <f>HYPERLINK("https://maps.google.com/?q=15.876536,-96.458200000000005", "🔗 Ver Mapa")</f>
        <v>🔗 Ver Mapa</v>
      </c>
    </row>
    <row r="65" spans="1:12" ht="43.5" x14ac:dyDescent="0.35">
      <c r="A65" s="5" t="s">
        <v>2</v>
      </c>
      <c r="B65" s="5" t="s">
        <v>5</v>
      </c>
      <c r="C65" s="5" t="s">
        <v>9</v>
      </c>
      <c r="D65" s="5" t="s">
        <v>13</v>
      </c>
      <c r="E65" s="5" t="s">
        <v>17</v>
      </c>
      <c r="F65" s="5" t="s">
        <v>20</v>
      </c>
      <c r="G65" s="5" t="s">
        <v>24</v>
      </c>
      <c r="H65" s="5" t="s">
        <v>28</v>
      </c>
      <c r="I65" s="5" t="s">
        <v>32</v>
      </c>
      <c r="J65" s="5">
        <v>15.85074</v>
      </c>
      <c r="K65" s="5">
        <v>-96.462868999999998</v>
      </c>
      <c r="L65" s="5" t="str">
        <f>HYPERLINK("https://maps.google.com/?q=15.85074,-96.462868999999998", "🔗 Ver Mapa")</f>
        <v>🔗 Ver Mapa</v>
      </c>
    </row>
    <row r="66" spans="1:12" ht="43.5" x14ac:dyDescent="0.35">
      <c r="A66" s="6" t="s">
        <v>2</v>
      </c>
      <c r="B66" s="6" t="s">
        <v>5</v>
      </c>
      <c r="C66" s="6" t="s">
        <v>9</v>
      </c>
      <c r="D66" s="6" t="s">
        <v>13</v>
      </c>
      <c r="E66" s="6" t="s">
        <v>17</v>
      </c>
      <c r="F66" s="6" t="s">
        <v>20</v>
      </c>
      <c r="G66" s="6" t="s">
        <v>24</v>
      </c>
      <c r="H66" s="6" t="s">
        <v>28</v>
      </c>
      <c r="I66" s="6" t="s">
        <v>32</v>
      </c>
      <c r="J66" s="6">
        <v>15.850179000000001</v>
      </c>
      <c r="K66" s="6">
        <v>-96.462907000000001</v>
      </c>
      <c r="L66" s="6" t="str">
        <f>HYPERLINK("https://maps.google.com/?q=15.850179,-96.462907000000001", "🔗 Ver Mapa")</f>
        <v>🔗 Ver Mapa</v>
      </c>
    </row>
    <row r="67" spans="1:12" ht="43.5" x14ac:dyDescent="0.35">
      <c r="A67" s="5" t="s">
        <v>2</v>
      </c>
      <c r="B67" s="5" t="s">
        <v>5</v>
      </c>
      <c r="C67" s="5" t="s">
        <v>9</v>
      </c>
      <c r="D67" s="5" t="s">
        <v>13</v>
      </c>
      <c r="E67" s="5" t="s">
        <v>17</v>
      </c>
      <c r="F67" s="5" t="s">
        <v>20</v>
      </c>
      <c r="G67" s="5" t="s">
        <v>24</v>
      </c>
      <c r="H67" s="5" t="s">
        <v>28</v>
      </c>
      <c r="I67" s="5" t="s">
        <v>32</v>
      </c>
      <c r="J67" s="5">
        <v>15.805282999999999</v>
      </c>
      <c r="K67" s="5">
        <v>-96.458077000000003</v>
      </c>
      <c r="L67" s="5" t="str">
        <f>HYPERLINK("https://maps.google.com/?q=15.805283,-96.458077000000003", "🔗 Ver Mapa")</f>
        <v>🔗 Ver Mapa</v>
      </c>
    </row>
    <row r="68" spans="1:12" ht="43.5" x14ac:dyDescent="0.35">
      <c r="A68" s="6" t="s">
        <v>2</v>
      </c>
      <c r="B68" s="6" t="s">
        <v>5</v>
      </c>
      <c r="C68" s="6" t="s">
        <v>9</v>
      </c>
      <c r="D68" s="6" t="s">
        <v>13</v>
      </c>
      <c r="E68" s="6" t="s">
        <v>17</v>
      </c>
      <c r="F68" s="6" t="s">
        <v>20</v>
      </c>
      <c r="G68" s="6" t="s">
        <v>24</v>
      </c>
      <c r="H68" s="6" t="s">
        <v>28</v>
      </c>
      <c r="I68" s="6" t="s">
        <v>32</v>
      </c>
      <c r="J68" s="6">
        <v>15.80448</v>
      </c>
      <c r="K68" s="6">
        <v>-96.458021000000002</v>
      </c>
      <c r="L68" s="6" t="str">
        <f>HYPERLINK("https://maps.google.com/?q=15.80448,-96.458021000000002", "🔗 Ver Mapa")</f>
        <v>🔗 Ver Mapa</v>
      </c>
    </row>
    <row r="69" spans="1:12" ht="43.5" x14ac:dyDescent="0.35">
      <c r="A69" s="5" t="s">
        <v>2</v>
      </c>
      <c r="B69" s="5" t="s">
        <v>5</v>
      </c>
      <c r="C69" s="5" t="s">
        <v>9</v>
      </c>
      <c r="D69" s="5" t="s">
        <v>13</v>
      </c>
      <c r="E69" s="5" t="s">
        <v>17</v>
      </c>
      <c r="F69" s="5" t="s">
        <v>20</v>
      </c>
      <c r="G69" s="5" t="s">
        <v>24</v>
      </c>
      <c r="H69" s="5" t="s">
        <v>28</v>
      </c>
      <c r="I69" s="5" t="s">
        <v>32</v>
      </c>
      <c r="J69" s="5">
        <v>15.789536</v>
      </c>
      <c r="K69" s="5">
        <v>-96.460080000000005</v>
      </c>
      <c r="L69" s="5" t="str">
        <f>HYPERLINK("https://maps.google.com/?q=15.789536,-96.460080000000005", "🔗 Ver Mapa")</f>
        <v>🔗 Ver Mapa</v>
      </c>
    </row>
    <row r="70" spans="1:12" ht="43.5" x14ac:dyDescent="0.35">
      <c r="A70" s="6" t="s">
        <v>2</v>
      </c>
      <c r="B70" s="6" t="s">
        <v>5</v>
      </c>
      <c r="C70" s="6" t="s">
        <v>9</v>
      </c>
      <c r="D70" s="6" t="s">
        <v>13</v>
      </c>
      <c r="E70" s="6" t="s">
        <v>17</v>
      </c>
      <c r="F70" s="6" t="s">
        <v>20</v>
      </c>
      <c r="G70" s="6" t="s">
        <v>24</v>
      </c>
      <c r="H70" s="6" t="s">
        <v>28</v>
      </c>
      <c r="I70" s="6" t="s">
        <v>32</v>
      </c>
      <c r="J70" s="6">
        <v>15.789270999999999</v>
      </c>
      <c r="K70" s="6">
        <v>-96.460057000000006</v>
      </c>
      <c r="L70" s="6" t="str">
        <f>HYPERLINK("https://maps.google.com/?q=15.789271,-96.460057000000006", "🔗 Ver Mapa")</f>
        <v>🔗 Ver Mapa</v>
      </c>
    </row>
    <row r="71" spans="1:12" ht="43.5" x14ac:dyDescent="0.35">
      <c r="A71" s="5" t="s">
        <v>2</v>
      </c>
      <c r="B71" s="5" t="s">
        <v>5</v>
      </c>
      <c r="C71" s="5" t="s">
        <v>10</v>
      </c>
      <c r="D71" s="5" t="s">
        <v>13</v>
      </c>
      <c r="E71" s="5" t="s">
        <v>17</v>
      </c>
      <c r="F71" s="5" t="s">
        <v>20</v>
      </c>
      <c r="G71" s="5" t="s">
        <v>24</v>
      </c>
      <c r="H71" s="5" t="s">
        <v>28</v>
      </c>
      <c r="I71" s="5" t="s">
        <v>32</v>
      </c>
      <c r="J71" s="5">
        <v>15.912785</v>
      </c>
      <c r="K71" s="5">
        <v>-96.450585000000004</v>
      </c>
      <c r="L71" s="5" t="str">
        <f>HYPERLINK("https://maps.google.com/?q=15.912785,-96.450585000000004", "🔗 Ver Mapa")</f>
        <v>🔗 Ver Mapa</v>
      </c>
    </row>
    <row r="72" spans="1:12" ht="43.5" x14ac:dyDescent="0.35">
      <c r="A72" s="6" t="s">
        <v>2</v>
      </c>
      <c r="B72" s="6" t="s">
        <v>5</v>
      </c>
      <c r="C72" s="6" t="s">
        <v>10</v>
      </c>
      <c r="D72" s="6" t="s">
        <v>13</v>
      </c>
      <c r="E72" s="6" t="s">
        <v>17</v>
      </c>
      <c r="F72" s="6" t="s">
        <v>20</v>
      </c>
      <c r="G72" s="6" t="s">
        <v>24</v>
      </c>
      <c r="H72" s="6" t="s">
        <v>28</v>
      </c>
      <c r="I72" s="6" t="s">
        <v>32</v>
      </c>
      <c r="J72" s="6">
        <v>15.912411000000001</v>
      </c>
      <c r="K72" s="6">
        <v>-96.450263000000007</v>
      </c>
      <c r="L72" s="6" t="str">
        <f>HYPERLINK("https://maps.google.com/?q=15.912411,-96.450263000000007", "🔗 Ver Mapa")</f>
        <v>🔗 Ver Mapa</v>
      </c>
    </row>
    <row r="73" spans="1:12" ht="43.5" x14ac:dyDescent="0.35">
      <c r="A73" s="5" t="s">
        <v>2</v>
      </c>
      <c r="B73" s="5" t="s">
        <v>5</v>
      </c>
      <c r="C73" s="5" t="s">
        <v>10</v>
      </c>
      <c r="D73" s="5" t="s">
        <v>13</v>
      </c>
      <c r="E73" s="5" t="s">
        <v>17</v>
      </c>
      <c r="F73" s="5" t="s">
        <v>20</v>
      </c>
      <c r="G73" s="5" t="s">
        <v>24</v>
      </c>
      <c r="H73" s="5" t="s">
        <v>28</v>
      </c>
      <c r="I73" s="5" t="s">
        <v>32</v>
      </c>
      <c r="J73" s="5">
        <v>15.912305999999999</v>
      </c>
      <c r="K73" s="5">
        <v>-96.450056000000004</v>
      </c>
      <c r="L73" s="5" t="str">
        <f>HYPERLINK("https://maps.google.com/?q=15.912306,-96.450056000000004", "🔗 Ver Mapa")</f>
        <v>🔗 Ver Mapa</v>
      </c>
    </row>
    <row r="74" spans="1:12" ht="43.5" x14ac:dyDescent="0.35">
      <c r="A74" s="6" t="s">
        <v>2</v>
      </c>
      <c r="B74" s="6" t="s">
        <v>5</v>
      </c>
      <c r="C74" s="6" t="s">
        <v>10</v>
      </c>
      <c r="D74" s="6" t="s">
        <v>13</v>
      </c>
      <c r="E74" s="6" t="s">
        <v>17</v>
      </c>
      <c r="F74" s="6" t="s">
        <v>20</v>
      </c>
      <c r="G74" s="6" t="s">
        <v>24</v>
      </c>
      <c r="H74" s="6" t="s">
        <v>28</v>
      </c>
      <c r="I74" s="6" t="s">
        <v>32</v>
      </c>
      <c r="J74" s="6">
        <v>15.911889</v>
      </c>
      <c r="K74" s="6">
        <v>-96.450166999999993</v>
      </c>
      <c r="L74" s="6" t="str">
        <f>HYPERLINK("https://maps.google.com/?q=15.911889,-96.450166999999993", "🔗 Ver Mapa")</f>
        <v>🔗 Ver Mapa</v>
      </c>
    </row>
    <row r="75" spans="1:12" ht="43.5" x14ac:dyDescent="0.35">
      <c r="A75" s="5" t="s">
        <v>2</v>
      </c>
      <c r="B75" s="5" t="s">
        <v>5</v>
      </c>
      <c r="C75" s="5" t="s">
        <v>10</v>
      </c>
      <c r="D75" s="5" t="s">
        <v>13</v>
      </c>
      <c r="E75" s="5" t="s">
        <v>17</v>
      </c>
      <c r="F75" s="5" t="s">
        <v>20</v>
      </c>
      <c r="G75" s="5" t="s">
        <v>24</v>
      </c>
      <c r="H75" s="5" t="s">
        <v>28</v>
      </c>
      <c r="I75" s="5" t="s">
        <v>32</v>
      </c>
      <c r="J75" s="5">
        <v>15.91175</v>
      </c>
      <c r="K75" s="5">
        <v>-96.450361000000001</v>
      </c>
      <c r="L75" s="5" t="str">
        <f>HYPERLINK("https://maps.google.com/?q=15.91175,-96.450361000000001", "🔗 Ver Mapa")</f>
        <v>🔗 Ver Mapa</v>
      </c>
    </row>
    <row r="76" spans="1:12" ht="43.5" x14ac:dyDescent="0.35">
      <c r="A76" s="6" t="s">
        <v>2</v>
      </c>
      <c r="B76" s="6" t="s">
        <v>5</v>
      </c>
      <c r="C76" s="6" t="s">
        <v>10</v>
      </c>
      <c r="D76" s="6" t="s">
        <v>13</v>
      </c>
      <c r="E76" s="6" t="s">
        <v>17</v>
      </c>
      <c r="F76" s="6" t="s">
        <v>20</v>
      </c>
      <c r="G76" s="6" t="s">
        <v>24</v>
      </c>
      <c r="H76" s="6" t="s">
        <v>28</v>
      </c>
      <c r="I76" s="6" t="s">
        <v>32</v>
      </c>
      <c r="J76" s="6">
        <v>15.910201000000001</v>
      </c>
      <c r="K76" s="6">
        <v>-96.449759</v>
      </c>
      <c r="L76" s="6" t="str">
        <f>HYPERLINK("https://maps.google.com/?q=15.910201,-96.449759", "🔗 Ver Mapa")</f>
        <v>🔗 Ver Mapa</v>
      </c>
    </row>
    <row r="77" spans="1:12" ht="43.5" x14ac:dyDescent="0.35">
      <c r="A77" s="5" t="s">
        <v>2</v>
      </c>
      <c r="B77" s="5" t="s">
        <v>5</v>
      </c>
      <c r="C77" s="5" t="s">
        <v>10</v>
      </c>
      <c r="D77" s="5" t="s">
        <v>13</v>
      </c>
      <c r="E77" s="5" t="s">
        <v>17</v>
      </c>
      <c r="F77" s="5" t="s">
        <v>20</v>
      </c>
      <c r="G77" s="5" t="s">
        <v>24</v>
      </c>
      <c r="H77" s="5" t="s">
        <v>28</v>
      </c>
      <c r="I77" s="5" t="s">
        <v>32</v>
      </c>
      <c r="J77" s="5">
        <v>15.910022</v>
      </c>
      <c r="K77" s="5">
        <v>-96.449900999999997</v>
      </c>
      <c r="L77" s="5" t="str">
        <f>HYPERLINK("https://maps.google.com/?q=15.910022,-96.449900999999997", "🔗 Ver Mapa")</f>
        <v>🔗 Ver Mapa</v>
      </c>
    </row>
    <row r="78" spans="1:12" ht="43.5" x14ac:dyDescent="0.35">
      <c r="A78" s="6" t="s">
        <v>2</v>
      </c>
      <c r="B78" s="6" t="s">
        <v>5</v>
      </c>
      <c r="C78" s="6" t="s">
        <v>10</v>
      </c>
      <c r="D78" s="6" t="s">
        <v>13</v>
      </c>
      <c r="E78" s="6" t="s">
        <v>17</v>
      </c>
      <c r="F78" s="6" t="s">
        <v>20</v>
      </c>
      <c r="G78" s="6" t="s">
        <v>24</v>
      </c>
      <c r="H78" s="6" t="s">
        <v>28</v>
      </c>
      <c r="I78" s="6" t="s">
        <v>32</v>
      </c>
      <c r="J78" s="6">
        <v>15.909815</v>
      </c>
      <c r="K78" s="6">
        <v>-96.449912999999995</v>
      </c>
      <c r="L78" s="6" t="str">
        <f>HYPERLINK("https://maps.google.com/?q=15.909815,-96.449912999999995", "🔗 Ver Mapa")</f>
        <v>🔗 Ver Mapa</v>
      </c>
    </row>
    <row r="79" spans="1:12" ht="43.5" x14ac:dyDescent="0.35">
      <c r="A79" s="5" t="s">
        <v>2</v>
      </c>
      <c r="B79" s="5" t="s">
        <v>5</v>
      </c>
      <c r="C79" s="5" t="s">
        <v>10</v>
      </c>
      <c r="D79" s="5" t="s">
        <v>13</v>
      </c>
      <c r="E79" s="5" t="s">
        <v>17</v>
      </c>
      <c r="F79" s="5" t="s">
        <v>20</v>
      </c>
      <c r="G79" s="5" t="s">
        <v>24</v>
      </c>
      <c r="H79" s="5" t="s">
        <v>28</v>
      </c>
      <c r="I79" s="5" t="s">
        <v>32</v>
      </c>
      <c r="J79" s="5">
        <v>15.909585</v>
      </c>
      <c r="K79" s="5">
        <v>-96.449561000000003</v>
      </c>
      <c r="L79" s="5" t="str">
        <f>HYPERLINK("https://maps.google.com/?q=15.909585,-96.449561000000003", "🔗 Ver Mapa")</f>
        <v>🔗 Ver Mapa</v>
      </c>
    </row>
    <row r="80" spans="1:12" ht="43.5" x14ac:dyDescent="0.35">
      <c r="A80" s="6" t="s">
        <v>2</v>
      </c>
      <c r="B80" s="6" t="s">
        <v>5</v>
      </c>
      <c r="C80" s="6" t="s">
        <v>10</v>
      </c>
      <c r="D80" s="6" t="s">
        <v>13</v>
      </c>
      <c r="E80" s="6" t="s">
        <v>17</v>
      </c>
      <c r="F80" s="6" t="s">
        <v>20</v>
      </c>
      <c r="G80" s="6" t="s">
        <v>24</v>
      </c>
      <c r="H80" s="6" t="s">
        <v>28</v>
      </c>
      <c r="I80" s="6" t="s">
        <v>32</v>
      </c>
      <c r="J80" s="6">
        <v>15.90851</v>
      </c>
      <c r="K80" s="6">
        <v>-96.449565000000007</v>
      </c>
      <c r="L80" s="6" t="str">
        <f>HYPERLINK("https://maps.google.com/?q=15.90851,-96.449565000000007", "🔗 Ver Mapa")</f>
        <v>🔗 Ver Mapa</v>
      </c>
    </row>
    <row r="81" spans="1:12" ht="43.5" x14ac:dyDescent="0.35">
      <c r="A81" s="5" t="s">
        <v>2</v>
      </c>
      <c r="B81" s="5" t="s">
        <v>5</v>
      </c>
      <c r="C81" s="5" t="s">
        <v>10</v>
      </c>
      <c r="D81" s="5" t="s">
        <v>13</v>
      </c>
      <c r="E81" s="5" t="s">
        <v>17</v>
      </c>
      <c r="F81" s="5" t="s">
        <v>20</v>
      </c>
      <c r="G81" s="5" t="s">
        <v>24</v>
      </c>
      <c r="H81" s="5" t="s">
        <v>28</v>
      </c>
      <c r="I81" s="5" t="s">
        <v>32</v>
      </c>
      <c r="J81" s="5">
        <v>15.908139</v>
      </c>
      <c r="K81" s="5">
        <v>-96.449583000000004</v>
      </c>
      <c r="L81" s="5" t="str">
        <f>HYPERLINK("https://maps.google.com/?q=15.908139,-96.449583000000004", "🔗 Ver Mapa")</f>
        <v>🔗 Ver Mapa</v>
      </c>
    </row>
    <row r="82" spans="1:12" ht="43.5" x14ac:dyDescent="0.35">
      <c r="A82" s="6" t="s">
        <v>2</v>
      </c>
      <c r="B82" s="6" t="s">
        <v>5</v>
      </c>
      <c r="C82" s="6" t="s">
        <v>10</v>
      </c>
      <c r="D82" s="6" t="s">
        <v>13</v>
      </c>
      <c r="E82" s="6" t="s">
        <v>17</v>
      </c>
      <c r="F82" s="6" t="s">
        <v>20</v>
      </c>
      <c r="G82" s="6" t="s">
        <v>24</v>
      </c>
      <c r="H82" s="6" t="s">
        <v>28</v>
      </c>
      <c r="I82" s="6" t="s">
        <v>32</v>
      </c>
      <c r="J82" s="6">
        <v>15.907911</v>
      </c>
      <c r="K82" s="6">
        <v>-96.449386000000004</v>
      </c>
      <c r="L82" s="6" t="str">
        <f>HYPERLINK("https://maps.google.com/?q=15.907911,-96.449386000000004", "🔗 Ver Mapa")</f>
        <v>🔗 Ver Mapa</v>
      </c>
    </row>
    <row r="83" spans="1:12" ht="43.5" x14ac:dyDescent="0.35">
      <c r="A83" s="5" t="s">
        <v>2</v>
      </c>
      <c r="B83" s="5" t="s">
        <v>5</v>
      </c>
      <c r="C83" s="5" t="s">
        <v>10</v>
      </c>
      <c r="D83" s="5" t="s">
        <v>13</v>
      </c>
      <c r="E83" s="5" t="s">
        <v>17</v>
      </c>
      <c r="F83" s="5" t="s">
        <v>20</v>
      </c>
      <c r="G83" s="5" t="s">
        <v>24</v>
      </c>
      <c r="H83" s="5" t="s">
        <v>28</v>
      </c>
      <c r="I83" s="5" t="s">
        <v>32</v>
      </c>
      <c r="J83" s="5">
        <v>15.907728000000001</v>
      </c>
      <c r="K83" s="5">
        <v>-96.449153999999993</v>
      </c>
      <c r="L83" s="5" t="str">
        <f>HYPERLINK("https://maps.google.com/?q=15.907728,-96.449153999999993", "🔗 Ver Mapa")</f>
        <v>🔗 Ver Mapa</v>
      </c>
    </row>
    <row r="84" spans="1:12" ht="43.5" x14ac:dyDescent="0.35">
      <c r="A84" s="6" t="s">
        <v>2</v>
      </c>
      <c r="B84" s="6" t="s">
        <v>5</v>
      </c>
      <c r="C84" s="6" t="s">
        <v>10</v>
      </c>
      <c r="D84" s="6" t="s">
        <v>13</v>
      </c>
      <c r="E84" s="6" t="s">
        <v>17</v>
      </c>
      <c r="F84" s="6" t="s">
        <v>20</v>
      </c>
      <c r="G84" s="6" t="s">
        <v>24</v>
      </c>
      <c r="H84" s="6" t="s">
        <v>28</v>
      </c>
      <c r="I84" s="6" t="s">
        <v>32</v>
      </c>
      <c r="J84" s="6">
        <v>15.907454</v>
      </c>
      <c r="K84" s="6">
        <v>-96.448935000000006</v>
      </c>
      <c r="L84" s="6" t="str">
        <f>HYPERLINK("https://maps.google.com/?q=15.907454,-96.448935000000006", "🔗 Ver Mapa")</f>
        <v>🔗 Ver Mapa</v>
      </c>
    </row>
    <row r="85" spans="1:12" ht="43.5" x14ac:dyDescent="0.35">
      <c r="A85" s="5" t="s">
        <v>2</v>
      </c>
      <c r="B85" s="5" t="s">
        <v>5</v>
      </c>
      <c r="C85" s="5" t="s">
        <v>10</v>
      </c>
      <c r="D85" s="5" t="s">
        <v>13</v>
      </c>
      <c r="E85" s="5" t="s">
        <v>17</v>
      </c>
      <c r="F85" s="5" t="s">
        <v>20</v>
      </c>
      <c r="G85" s="5" t="s">
        <v>24</v>
      </c>
      <c r="H85" s="5" t="s">
        <v>28</v>
      </c>
      <c r="I85" s="5" t="s">
        <v>32</v>
      </c>
      <c r="J85" s="5">
        <v>15.907287</v>
      </c>
      <c r="K85" s="5">
        <v>-96.448525000000004</v>
      </c>
      <c r="L85" s="5" t="str">
        <f>HYPERLINK("https://maps.google.com/?q=15.907287,-96.448525000000004", "🔗 Ver Mapa")</f>
        <v>🔗 Ver Mapa</v>
      </c>
    </row>
    <row r="86" spans="1:12" ht="43.5" x14ac:dyDescent="0.35">
      <c r="A86" s="6" t="s">
        <v>2</v>
      </c>
      <c r="B86" s="6" t="s">
        <v>5</v>
      </c>
      <c r="C86" s="6" t="s">
        <v>10</v>
      </c>
      <c r="D86" s="6" t="s">
        <v>13</v>
      </c>
      <c r="E86" s="6" t="s">
        <v>17</v>
      </c>
      <c r="F86" s="6" t="s">
        <v>20</v>
      </c>
      <c r="G86" s="6" t="s">
        <v>24</v>
      </c>
      <c r="H86" s="6" t="s">
        <v>28</v>
      </c>
      <c r="I86" s="6" t="s">
        <v>32</v>
      </c>
      <c r="J86" s="6">
        <v>15.906573</v>
      </c>
      <c r="K86" s="6">
        <v>-96.448515999999998</v>
      </c>
      <c r="L86" s="6" t="str">
        <f>HYPERLINK("https://maps.google.com/?q=15.906573,-96.448515999999998", "🔗 Ver Mapa")</f>
        <v>🔗 Ver Mapa</v>
      </c>
    </row>
    <row r="87" spans="1:12" ht="43.5" x14ac:dyDescent="0.35">
      <c r="A87" s="5" t="s">
        <v>2</v>
      </c>
      <c r="B87" s="5" t="s">
        <v>5</v>
      </c>
      <c r="C87" s="5" t="s">
        <v>10</v>
      </c>
      <c r="D87" s="5" t="s">
        <v>13</v>
      </c>
      <c r="E87" s="5" t="s">
        <v>17</v>
      </c>
      <c r="F87" s="5" t="s">
        <v>20</v>
      </c>
      <c r="G87" s="5" t="s">
        <v>24</v>
      </c>
      <c r="H87" s="5" t="s">
        <v>28</v>
      </c>
      <c r="I87" s="5" t="s">
        <v>32</v>
      </c>
      <c r="J87" s="5">
        <v>15.903753</v>
      </c>
      <c r="K87" s="5">
        <v>-96.450652000000005</v>
      </c>
      <c r="L87" s="5" t="str">
        <f>HYPERLINK("https://maps.google.com/?q=15.903753,-96.450652000000005", "🔗 Ver Mapa")</f>
        <v>🔗 Ver Mapa</v>
      </c>
    </row>
    <row r="88" spans="1:12" ht="43.5" x14ac:dyDescent="0.35">
      <c r="A88" s="6" t="s">
        <v>2</v>
      </c>
      <c r="B88" s="6" t="s">
        <v>5</v>
      </c>
      <c r="C88" s="6" t="s">
        <v>10</v>
      </c>
      <c r="D88" s="6" t="s">
        <v>13</v>
      </c>
      <c r="E88" s="6" t="s">
        <v>17</v>
      </c>
      <c r="F88" s="6" t="s">
        <v>20</v>
      </c>
      <c r="G88" s="6" t="s">
        <v>24</v>
      </c>
      <c r="H88" s="6" t="s">
        <v>28</v>
      </c>
      <c r="I88" s="6" t="s">
        <v>32</v>
      </c>
      <c r="J88" s="6">
        <v>15.903601</v>
      </c>
      <c r="K88" s="6">
        <v>-96.450344999999999</v>
      </c>
      <c r="L88" s="6" t="str">
        <f>HYPERLINK("https://maps.google.com/?q=15.903601,-96.450344999999999", "🔗 Ver Mapa")</f>
        <v>🔗 Ver Mapa</v>
      </c>
    </row>
    <row r="89" spans="1:12" ht="43.5" x14ac:dyDescent="0.35">
      <c r="A89" s="5" t="s">
        <v>2</v>
      </c>
      <c r="B89" s="5" t="s">
        <v>5</v>
      </c>
      <c r="C89" s="5" t="s">
        <v>10</v>
      </c>
      <c r="D89" s="5" t="s">
        <v>13</v>
      </c>
      <c r="E89" s="5" t="s">
        <v>17</v>
      </c>
      <c r="F89" s="5" t="s">
        <v>20</v>
      </c>
      <c r="G89" s="5" t="s">
        <v>24</v>
      </c>
      <c r="H89" s="5" t="s">
        <v>28</v>
      </c>
      <c r="I89" s="5" t="s">
        <v>32</v>
      </c>
      <c r="J89" s="5">
        <v>15.85074</v>
      </c>
      <c r="K89" s="5">
        <v>-96.462868999999998</v>
      </c>
      <c r="L89" s="5" t="str">
        <f>HYPERLINK("https://maps.google.com/?q=15.85074,-96.462868999999998", "🔗 Ver Mapa")</f>
        <v>🔗 Ver Mapa</v>
      </c>
    </row>
    <row r="90" spans="1:12" ht="43.5" x14ac:dyDescent="0.35">
      <c r="A90" s="6" t="s">
        <v>2</v>
      </c>
      <c r="B90" s="6" t="s">
        <v>5</v>
      </c>
      <c r="C90" s="6" t="s">
        <v>10</v>
      </c>
      <c r="D90" s="6" t="s">
        <v>13</v>
      </c>
      <c r="E90" s="6" t="s">
        <v>17</v>
      </c>
      <c r="F90" s="6" t="s">
        <v>20</v>
      </c>
      <c r="G90" s="6" t="s">
        <v>24</v>
      </c>
      <c r="H90" s="6" t="s">
        <v>28</v>
      </c>
      <c r="I90" s="6" t="s">
        <v>32</v>
      </c>
      <c r="J90" s="6">
        <v>15.850179000000001</v>
      </c>
      <c r="K90" s="6">
        <v>-96.462907000000001</v>
      </c>
      <c r="L90" s="6" t="str">
        <f>HYPERLINK("https://maps.google.com/?q=15.850179,-96.462907000000001", "🔗 Ver Mapa")</f>
        <v>🔗 Ver Mapa</v>
      </c>
    </row>
    <row r="91" spans="1:12" ht="43.5" x14ac:dyDescent="0.35">
      <c r="A91" s="5" t="s">
        <v>2</v>
      </c>
      <c r="B91" s="5" t="s">
        <v>5</v>
      </c>
      <c r="C91" s="5" t="s">
        <v>10</v>
      </c>
      <c r="D91" s="5" t="s">
        <v>13</v>
      </c>
      <c r="E91" s="5" t="s">
        <v>17</v>
      </c>
      <c r="F91" s="5" t="s">
        <v>20</v>
      </c>
      <c r="G91" s="5" t="s">
        <v>24</v>
      </c>
      <c r="H91" s="5" t="s">
        <v>28</v>
      </c>
      <c r="I91" s="5" t="s">
        <v>32</v>
      </c>
      <c r="J91" s="5">
        <v>15.832642</v>
      </c>
      <c r="K91" s="5">
        <v>-96.463256999999999</v>
      </c>
      <c r="L91" s="5" t="str">
        <f>HYPERLINK("https://maps.google.com/?q=15.832642,-96.463256999999999", "🔗 Ver Mapa")</f>
        <v>🔗 Ver Mapa</v>
      </c>
    </row>
    <row r="92" spans="1:12" ht="43.5" x14ac:dyDescent="0.35">
      <c r="A92" s="6" t="s">
        <v>2</v>
      </c>
      <c r="B92" s="6" t="s">
        <v>5</v>
      </c>
      <c r="C92" s="6" t="s">
        <v>10</v>
      </c>
      <c r="D92" s="6" t="s">
        <v>13</v>
      </c>
      <c r="E92" s="6" t="s">
        <v>17</v>
      </c>
      <c r="F92" s="6" t="s">
        <v>20</v>
      </c>
      <c r="G92" s="6" t="s">
        <v>24</v>
      </c>
      <c r="H92" s="6" t="s">
        <v>28</v>
      </c>
      <c r="I92" s="6" t="s">
        <v>32</v>
      </c>
      <c r="J92" s="6">
        <v>15.832409</v>
      </c>
      <c r="K92" s="6">
        <v>-96.463735999999997</v>
      </c>
      <c r="L92" s="6" t="str">
        <f>HYPERLINK("https://maps.google.com/?q=15.832409,-96.463735999999997", "🔗 Ver Mapa")</f>
        <v>🔗 Ver Mapa</v>
      </c>
    </row>
    <row r="93" spans="1:12" ht="43.5" x14ac:dyDescent="0.35">
      <c r="A93" s="5" t="s">
        <v>2</v>
      </c>
      <c r="B93" s="5" t="s">
        <v>5</v>
      </c>
      <c r="C93" s="5" t="s">
        <v>10</v>
      </c>
      <c r="D93" s="5" t="s">
        <v>13</v>
      </c>
      <c r="E93" s="5" t="s">
        <v>17</v>
      </c>
      <c r="F93" s="5" t="s">
        <v>20</v>
      </c>
      <c r="G93" s="5" t="s">
        <v>24</v>
      </c>
      <c r="H93" s="5" t="s">
        <v>28</v>
      </c>
      <c r="I93" s="5" t="s">
        <v>32</v>
      </c>
      <c r="J93" s="5">
        <v>15.789536</v>
      </c>
      <c r="K93" s="5">
        <v>-96.460080000000005</v>
      </c>
      <c r="L93" s="5" t="str">
        <f>HYPERLINK("https://maps.google.com/?q=15.789536,-96.460080000000005", "🔗 Ver Mapa")</f>
        <v>🔗 Ver Mapa</v>
      </c>
    </row>
    <row r="94" spans="1:12" ht="43.5" x14ac:dyDescent="0.35">
      <c r="A94" s="6" t="s">
        <v>2</v>
      </c>
      <c r="B94" s="6" t="s">
        <v>5</v>
      </c>
      <c r="C94" s="6" t="s">
        <v>10</v>
      </c>
      <c r="D94" s="6" t="s">
        <v>13</v>
      </c>
      <c r="E94" s="6" t="s">
        <v>17</v>
      </c>
      <c r="F94" s="6" t="s">
        <v>20</v>
      </c>
      <c r="G94" s="6" t="s">
        <v>24</v>
      </c>
      <c r="H94" s="6" t="s">
        <v>28</v>
      </c>
      <c r="I94" s="6" t="s">
        <v>32</v>
      </c>
      <c r="J94" s="6">
        <v>15.789270999999999</v>
      </c>
      <c r="K94" s="6">
        <v>-96.460057000000006</v>
      </c>
      <c r="L94" s="6" t="str">
        <f>HYPERLINK("https://maps.google.com/?q=15.789271,-96.460057000000006", "🔗 Ver Mapa")</f>
        <v>🔗 Ver Mapa</v>
      </c>
    </row>
    <row r="95" spans="1:12" ht="43.5" x14ac:dyDescent="0.35">
      <c r="A95" s="5" t="s">
        <v>2</v>
      </c>
      <c r="B95" s="5" t="s">
        <v>5</v>
      </c>
      <c r="C95" s="5" t="s">
        <v>10</v>
      </c>
      <c r="D95" s="5" t="s">
        <v>13</v>
      </c>
      <c r="E95" s="5" t="s">
        <v>17</v>
      </c>
      <c r="F95" s="5" t="s">
        <v>20</v>
      </c>
      <c r="G95" s="5" t="s">
        <v>24</v>
      </c>
      <c r="H95" s="5" t="s">
        <v>28</v>
      </c>
      <c r="I95" s="5" t="s">
        <v>32</v>
      </c>
      <c r="J95" s="5">
        <v>15.777654</v>
      </c>
      <c r="K95" s="5">
        <v>-96.459810000000004</v>
      </c>
      <c r="L95" s="5" t="str">
        <f>HYPERLINK("https://maps.google.com/?q=15.777654,-96.459810000000004", "🔗 Ver Mapa")</f>
        <v>🔗 Ver Mapa</v>
      </c>
    </row>
    <row r="96" spans="1:12" ht="43.5" x14ac:dyDescent="0.35">
      <c r="A96" s="6" t="s">
        <v>2</v>
      </c>
      <c r="B96" s="6" t="s">
        <v>5</v>
      </c>
      <c r="C96" s="6" t="s">
        <v>10</v>
      </c>
      <c r="D96" s="6" t="s">
        <v>13</v>
      </c>
      <c r="E96" s="6" t="s">
        <v>17</v>
      </c>
      <c r="F96" s="6" t="s">
        <v>20</v>
      </c>
      <c r="G96" s="6" t="s">
        <v>24</v>
      </c>
      <c r="H96" s="6" t="s">
        <v>28</v>
      </c>
      <c r="I96" s="6" t="s">
        <v>32</v>
      </c>
      <c r="J96" s="6">
        <v>15.776157</v>
      </c>
      <c r="K96" s="6">
        <v>-96.459543999999994</v>
      </c>
      <c r="L96" s="6" t="str">
        <f>HYPERLINK("https://maps.google.com/?q=15.776157,-96.459543999999994", "🔗 Ver Mapa")</f>
        <v>🔗 Ver Mapa</v>
      </c>
    </row>
    <row r="97" spans="1:12" ht="43.5" x14ac:dyDescent="0.35">
      <c r="A97" s="5" t="s">
        <v>2</v>
      </c>
      <c r="B97" s="5" t="s">
        <v>5</v>
      </c>
      <c r="C97" s="5" t="s">
        <v>10</v>
      </c>
      <c r="D97" s="5" t="s">
        <v>13</v>
      </c>
      <c r="E97" s="5" t="s">
        <v>17</v>
      </c>
      <c r="F97" s="5" t="s">
        <v>20</v>
      </c>
      <c r="G97" s="5" t="s">
        <v>24</v>
      </c>
      <c r="H97" s="5" t="s">
        <v>28</v>
      </c>
      <c r="I97" s="5" t="s">
        <v>32</v>
      </c>
      <c r="J97" s="5">
        <v>15.775269</v>
      </c>
      <c r="K97" s="5">
        <v>-96.460081000000002</v>
      </c>
      <c r="L97" s="5" t="str">
        <f>HYPERLINK("https://maps.google.com/?q=15.775269,-96.460081000000002", "🔗 Ver Mapa")</f>
        <v>🔗 Ver Mapa</v>
      </c>
    </row>
    <row r="98" spans="1:12" ht="29" x14ac:dyDescent="0.35">
      <c r="A98" s="6" t="s">
        <v>2</v>
      </c>
      <c r="B98" s="6" t="s">
        <v>6</v>
      </c>
      <c r="C98" s="6" t="s">
        <v>11</v>
      </c>
      <c r="D98" s="6" t="s">
        <v>14</v>
      </c>
      <c r="E98" s="6" t="s">
        <v>16</v>
      </c>
      <c r="F98" s="6" t="s">
        <v>21</v>
      </c>
      <c r="G98" s="6" t="s">
        <v>25</v>
      </c>
      <c r="H98" s="6" t="s">
        <v>29</v>
      </c>
      <c r="I98" s="6" t="s">
        <v>31</v>
      </c>
      <c r="J98" s="6">
        <v>17.095454</v>
      </c>
      <c r="K98" s="6">
        <v>-97.498896000000002</v>
      </c>
      <c r="L98" s="6" t="str">
        <f>HYPERLINK("https://maps.google.com/?q=17.095454,-97.498896000000002", "🔗 Ver Mapa")</f>
        <v>🔗 Ver Mapa</v>
      </c>
    </row>
    <row r="99" spans="1:12" ht="29" x14ac:dyDescent="0.35">
      <c r="A99" s="5" t="s">
        <v>2</v>
      </c>
      <c r="B99" s="5" t="s">
        <v>6</v>
      </c>
      <c r="C99" s="5" t="s">
        <v>11</v>
      </c>
      <c r="D99" s="5" t="s">
        <v>14</v>
      </c>
      <c r="E99" s="5" t="s">
        <v>16</v>
      </c>
      <c r="F99" s="5" t="s">
        <v>21</v>
      </c>
      <c r="G99" s="5" t="s">
        <v>25</v>
      </c>
      <c r="H99" s="5" t="s">
        <v>29</v>
      </c>
      <c r="I99" s="5" t="s">
        <v>31</v>
      </c>
      <c r="J99" s="5">
        <v>17.095454</v>
      </c>
      <c r="K99" s="5">
        <v>-97.498896000000002</v>
      </c>
      <c r="L99" s="5" t="str">
        <f>HYPERLINK("https://maps.google.com/?q=17.095454,-97.498896000000002", "🔗 Ver Mapa")</f>
        <v>🔗 Ver Mapa</v>
      </c>
    </row>
    <row r="100" spans="1:12" ht="29" x14ac:dyDescent="0.35">
      <c r="A100" s="6" t="s">
        <v>2</v>
      </c>
      <c r="B100" s="6" t="s">
        <v>6</v>
      </c>
      <c r="C100" s="6" t="s">
        <v>11</v>
      </c>
      <c r="D100" s="6" t="s">
        <v>14</v>
      </c>
      <c r="E100" s="6" t="s">
        <v>16</v>
      </c>
      <c r="F100" s="6" t="s">
        <v>21</v>
      </c>
      <c r="G100" s="6" t="s">
        <v>25</v>
      </c>
      <c r="H100" s="6" t="s">
        <v>29</v>
      </c>
      <c r="I100" s="6" t="s">
        <v>31</v>
      </c>
      <c r="J100" s="6">
        <v>17.095454</v>
      </c>
      <c r="K100" s="6">
        <v>-97.498896000000002</v>
      </c>
      <c r="L100" s="6" t="str">
        <f>HYPERLINK("https://maps.google.com/?q=17.095454,-97.498896000000002", "🔗 Ver Mapa")</f>
        <v>🔗 Ver Mapa</v>
      </c>
    </row>
    <row r="101" spans="1:12" ht="29" x14ac:dyDescent="0.35">
      <c r="A101" s="5" t="s">
        <v>2</v>
      </c>
      <c r="B101" s="5" t="s">
        <v>6</v>
      </c>
      <c r="C101" s="5" t="s">
        <v>11</v>
      </c>
      <c r="D101" s="5" t="s">
        <v>14</v>
      </c>
      <c r="E101" s="5" t="s">
        <v>16</v>
      </c>
      <c r="F101" s="5" t="s">
        <v>21</v>
      </c>
      <c r="G101" s="5" t="s">
        <v>25</v>
      </c>
      <c r="H101" s="5" t="s">
        <v>29</v>
      </c>
      <c r="I101" s="5" t="s">
        <v>31</v>
      </c>
      <c r="J101" s="5">
        <v>17.095454</v>
      </c>
      <c r="K101" s="5">
        <v>-97.498896000000002</v>
      </c>
      <c r="L101" s="5" t="str">
        <f>HYPERLINK("https://maps.google.com/?q=17.095454,-97.498896000000002", "🔗 Ver Mapa")</f>
        <v>🔗 Ver Mapa</v>
      </c>
    </row>
    <row r="102" spans="1:12" ht="29" x14ac:dyDescent="0.35">
      <c r="A102" s="6" t="s">
        <v>2</v>
      </c>
      <c r="B102" s="6" t="s">
        <v>6</v>
      </c>
      <c r="C102" s="6" t="s">
        <v>11</v>
      </c>
      <c r="D102" s="6" t="s">
        <v>14</v>
      </c>
      <c r="E102" s="6" t="s">
        <v>16</v>
      </c>
      <c r="F102" s="6" t="s">
        <v>21</v>
      </c>
      <c r="G102" s="6" t="s">
        <v>25</v>
      </c>
      <c r="H102" s="6" t="s">
        <v>29</v>
      </c>
      <c r="I102" s="6" t="s">
        <v>31</v>
      </c>
      <c r="J102" s="6">
        <v>17.097170999999999</v>
      </c>
      <c r="K102" s="6">
        <v>-97.493083999999996</v>
      </c>
      <c r="L102" s="6" t="str">
        <f>HYPERLINK("https://maps.google.com/?q=17.097171,-97.493083999999996", "🔗 Ver Mapa")</f>
        <v>🔗 Ver Mapa</v>
      </c>
    </row>
    <row r="103" spans="1:12" ht="29" x14ac:dyDescent="0.35">
      <c r="A103" s="5" t="s">
        <v>2</v>
      </c>
      <c r="B103" s="5" t="s">
        <v>6</v>
      </c>
      <c r="C103" s="5" t="s">
        <v>11</v>
      </c>
      <c r="D103" s="5" t="s">
        <v>14</v>
      </c>
      <c r="E103" s="5" t="s">
        <v>16</v>
      </c>
      <c r="F103" s="5" t="s">
        <v>21</v>
      </c>
      <c r="G103" s="5" t="s">
        <v>25</v>
      </c>
      <c r="H103" s="5" t="s">
        <v>29</v>
      </c>
      <c r="I103" s="5" t="s">
        <v>31</v>
      </c>
      <c r="J103" s="5">
        <v>17.097170999999999</v>
      </c>
      <c r="K103" s="5">
        <v>-97.493083999999996</v>
      </c>
      <c r="L103" s="5" t="str">
        <f>HYPERLINK("https://maps.google.com/?q=17.097171,-97.493083999999996", "🔗 Ver Mapa")</f>
        <v>🔗 Ver Mapa</v>
      </c>
    </row>
    <row r="104" spans="1:12" ht="29" x14ac:dyDescent="0.35">
      <c r="A104" s="6" t="s">
        <v>2</v>
      </c>
      <c r="B104" s="6" t="s">
        <v>6</v>
      </c>
      <c r="C104" s="6" t="s">
        <v>11</v>
      </c>
      <c r="D104" s="6" t="s">
        <v>14</v>
      </c>
      <c r="E104" s="6" t="s">
        <v>16</v>
      </c>
      <c r="F104" s="6" t="s">
        <v>21</v>
      </c>
      <c r="G104" s="6" t="s">
        <v>25</v>
      </c>
      <c r="H104" s="6" t="s">
        <v>29</v>
      </c>
      <c r="I104" s="6" t="s">
        <v>31</v>
      </c>
      <c r="J104" s="6">
        <v>17.097170999999999</v>
      </c>
      <c r="K104" s="6">
        <v>-97.493083999999996</v>
      </c>
      <c r="L104" s="6" t="str">
        <f>HYPERLINK("https://maps.google.com/?q=17.097171,-97.493083999999996", "🔗 Ver Mapa")</f>
        <v>🔗 Ver Mapa</v>
      </c>
    </row>
    <row r="105" spans="1:12" ht="29" x14ac:dyDescent="0.35">
      <c r="A105" s="5" t="s">
        <v>2</v>
      </c>
      <c r="B105" s="5" t="s">
        <v>6</v>
      </c>
      <c r="C105" s="5" t="s">
        <v>11</v>
      </c>
      <c r="D105" s="5" t="s">
        <v>14</v>
      </c>
      <c r="E105" s="5" t="s">
        <v>16</v>
      </c>
      <c r="F105" s="5" t="s">
        <v>21</v>
      </c>
      <c r="G105" s="5" t="s">
        <v>25</v>
      </c>
      <c r="H105" s="5" t="s">
        <v>29</v>
      </c>
      <c r="I105" s="5" t="s">
        <v>31</v>
      </c>
      <c r="J105" s="5">
        <v>17.097170999999999</v>
      </c>
      <c r="K105" s="5">
        <v>-97.493083999999996</v>
      </c>
      <c r="L105" s="5" t="str">
        <f>HYPERLINK("https://maps.google.com/?q=17.097171,-97.493083999999996", "🔗 Ver Mapa")</f>
        <v>🔗 Ver Mapa</v>
      </c>
    </row>
    <row r="106" spans="1:12" ht="29" x14ac:dyDescent="0.35">
      <c r="A106" s="6" t="s">
        <v>2</v>
      </c>
      <c r="B106" s="6" t="s">
        <v>6</v>
      </c>
      <c r="C106" s="6" t="s">
        <v>11</v>
      </c>
      <c r="D106" s="6" t="s">
        <v>14</v>
      </c>
      <c r="E106" s="6" t="s">
        <v>16</v>
      </c>
      <c r="F106" s="6" t="s">
        <v>21</v>
      </c>
      <c r="G106" s="6" t="s">
        <v>25</v>
      </c>
      <c r="H106" s="6" t="s">
        <v>29</v>
      </c>
      <c r="I106" s="6" t="s">
        <v>31</v>
      </c>
      <c r="J106" s="6">
        <v>17.090845000000002</v>
      </c>
      <c r="K106" s="6">
        <v>-97.499115000000003</v>
      </c>
      <c r="L106" s="6" t="str">
        <f>HYPERLINK("https://maps.google.com/?q=17.090845,-97.499115000000003", "🔗 Ver Mapa")</f>
        <v>🔗 Ver Mapa</v>
      </c>
    </row>
    <row r="107" spans="1:12" ht="29" x14ac:dyDescent="0.35">
      <c r="A107" s="5" t="s">
        <v>2</v>
      </c>
      <c r="B107" s="5" t="s">
        <v>6</v>
      </c>
      <c r="C107" s="5" t="s">
        <v>11</v>
      </c>
      <c r="D107" s="5" t="s">
        <v>14</v>
      </c>
      <c r="E107" s="5" t="s">
        <v>16</v>
      </c>
      <c r="F107" s="5" t="s">
        <v>21</v>
      </c>
      <c r="G107" s="5" t="s">
        <v>25</v>
      </c>
      <c r="H107" s="5" t="s">
        <v>29</v>
      </c>
      <c r="I107" s="5" t="s">
        <v>31</v>
      </c>
      <c r="J107" s="5">
        <v>17.090845000000002</v>
      </c>
      <c r="K107" s="5">
        <v>-97.499115000000003</v>
      </c>
      <c r="L107" s="5" t="str">
        <f>HYPERLINK("https://maps.google.com/?q=17.090845,-97.499115000000003", "🔗 Ver Mapa")</f>
        <v>🔗 Ver Mapa</v>
      </c>
    </row>
    <row r="108" spans="1:12" ht="29" x14ac:dyDescent="0.35">
      <c r="A108" s="6" t="s">
        <v>2</v>
      </c>
      <c r="B108" s="6" t="s">
        <v>6</v>
      </c>
      <c r="C108" s="6" t="s">
        <v>11</v>
      </c>
      <c r="D108" s="6" t="s">
        <v>14</v>
      </c>
      <c r="E108" s="6" t="s">
        <v>16</v>
      </c>
      <c r="F108" s="6" t="s">
        <v>21</v>
      </c>
      <c r="G108" s="6" t="s">
        <v>25</v>
      </c>
      <c r="H108" s="6" t="s">
        <v>29</v>
      </c>
      <c r="I108" s="6" t="s">
        <v>31</v>
      </c>
      <c r="J108" s="6">
        <v>17.090845000000002</v>
      </c>
      <c r="K108" s="6">
        <v>-97.499115000000003</v>
      </c>
      <c r="L108" s="6" t="str">
        <f>HYPERLINK("https://maps.google.com/?q=17.090845,-97.499115000000003", "🔗 Ver Mapa")</f>
        <v>🔗 Ver Mapa</v>
      </c>
    </row>
    <row r="109" spans="1:12" ht="29" x14ac:dyDescent="0.35">
      <c r="A109" s="5" t="s">
        <v>2</v>
      </c>
      <c r="B109" s="5" t="s">
        <v>6</v>
      </c>
      <c r="C109" s="5" t="s">
        <v>11</v>
      </c>
      <c r="D109" s="5" t="s">
        <v>14</v>
      </c>
      <c r="E109" s="5" t="s">
        <v>16</v>
      </c>
      <c r="F109" s="5" t="s">
        <v>21</v>
      </c>
      <c r="G109" s="5" t="s">
        <v>25</v>
      </c>
      <c r="H109" s="5" t="s">
        <v>29</v>
      </c>
      <c r="I109" s="5" t="s">
        <v>31</v>
      </c>
      <c r="J109" s="5">
        <v>17.090845000000002</v>
      </c>
      <c r="K109" s="5">
        <v>-97.499115000000003</v>
      </c>
      <c r="L109" s="5" t="str">
        <f>HYPERLINK("https://maps.google.com/?q=17.090845,-97.499115000000003", "🔗 Ver Mapa")</f>
        <v>🔗 Ver Mapa</v>
      </c>
    </row>
    <row r="110" spans="1:12" ht="29" x14ac:dyDescent="0.35">
      <c r="A110" s="6" t="s">
        <v>2</v>
      </c>
      <c r="B110" s="6" t="s">
        <v>6</v>
      </c>
      <c r="C110" s="6" t="s">
        <v>11</v>
      </c>
      <c r="D110" s="6" t="s">
        <v>14</v>
      </c>
      <c r="E110" s="6" t="s">
        <v>16</v>
      </c>
      <c r="F110" s="6" t="s">
        <v>21</v>
      </c>
      <c r="G110" s="6" t="s">
        <v>25</v>
      </c>
      <c r="H110" s="6" t="s">
        <v>29</v>
      </c>
      <c r="I110" s="6" t="s">
        <v>31</v>
      </c>
      <c r="J110" s="6">
        <v>17.096420999999999</v>
      </c>
      <c r="K110" s="6">
        <v>-97.496446000000006</v>
      </c>
      <c r="L110" s="6" t="str">
        <f>HYPERLINK("https://maps.google.com/?q=17.096421,-97.496446000000006", "🔗 Ver Mapa")</f>
        <v>🔗 Ver Mapa</v>
      </c>
    </row>
    <row r="111" spans="1:12" ht="29" x14ac:dyDescent="0.35">
      <c r="A111" s="5" t="s">
        <v>2</v>
      </c>
      <c r="B111" s="5" t="s">
        <v>6</v>
      </c>
      <c r="C111" s="5" t="s">
        <v>11</v>
      </c>
      <c r="D111" s="5" t="s">
        <v>14</v>
      </c>
      <c r="E111" s="5" t="s">
        <v>16</v>
      </c>
      <c r="F111" s="5" t="s">
        <v>21</v>
      </c>
      <c r="G111" s="5" t="s">
        <v>25</v>
      </c>
      <c r="H111" s="5" t="s">
        <v>29</v>
      </c>
      <c r="I111" s="5" t="s">
        <v>31</v>
      </c>
      <c r="J111" s="5">
        <v>17.096420999999999</v>
      </c>
      <c r="K111" s="5">
        <v>-97.496446000000006</v>
      </c>
      <c r="L111" s="5" t="str">
        <f>HYPERLINK("https://maps.google.com/?q=17.096421,-97.496446000000006", "🔗 Ver Mapa")</f>
        <v>🔗 Ver Mapa</v>
      </c>
    </row>
    <row r="112" spans="1:12" ht="29" x14ac:dyDescent="0.35">
      <c r="A112" s="6" t="s">
        <v>2</v>
      </c>
      <c r="B112" s="6" t="s">
        <v>6</v>
      </c>
      <c r="C112" s="6" t="s">
        <v>11</v>
      </c>
      <c r="D112" s="6" t="s">
        <v>14</v>
      </c>
      <c r="E112" s="6" t="s">
        <v>16</v>
      </c>
      <c r="F112" s="6" t="s">
        <v>21</v>
      </c>
      <c r="G112" s="6" t="s">
        <v>25</v>
      </c>
      <c r="H112" s="6" t="s">
        <v>29</v>
      </c>
      <c r="I112" s="6" t="s">
        <v>31</v>
      </c>
      <c r="J112" s="6">
        <v>17.096420999999999</v>
      </c>
      <c r="K112" s="6">
        <v>-97.496446000000006</v>
      </c>
      <c r="L112" s="6" t="str">
        <f>HYPERLINK("https://maps.google.com/?q=17.096421,-97.496446000000006", "🔗 Ver Mapa")</f>
        <v>🔗 Ver Mapa</v>
      </c>
    </row>
    <row r="113" spans="1:12" ht="29" x14ac:dyDescent="0.35">
      <c r="A113" s="5" t="s">
        <v>2</v>
      </c>
      <c r="B113" s="5" t="s">
        <v>6</v>
      </c>
      <c r="C113" s="5" t="s">
        <v>11</v>
      </c>
      <c r="D113" s="5" t="s">
        <v>14</v>
      </c>
      <c r="E113" s="5" t="s">
        <v>16</v>
      </c>
      <c r="F113" s="5" t="s">
        <v>21</v>
      </c>
      <c r="G113" s="5" t="s">
        <v>25</v>
      </c>
      <c r="H113" s="5" t="s">
        <v>29</v>
      </c>
      <c r="I113" s="5" t="s">
        <v>31</v>
      </c>
      <c r="J113" s="5">
        <v>17.096420999999999</v>
      </c>
      <c r="K113" s="5">
        <v>-97.496446000000006</v>
      </c>
      <c r="L113" s="5" t="str">
        <f>HYPERLINK("https://maps.google.com/?q=17.096421,-97.496446000000006", "🔗 Ver Mapa")</f>
        <v>🔗 Ver Mapa</v>
      </c>
    </row>
    <row r="114" spans="1:12" ht="29" x14ac:dyDescent="0.35">
      <c r="A114" s="6" t="s">
        <v>2</v>
      </c>
      <c r="B114" s="6" t="s">
        <v>6</v>
      </c>
      <c r="C114" s="6" t="s">
        <v>11</v>
      </c>
      <c r="D114" s="6" t="s">
        <v>14</v>
      </c>
      <c r="E114" s="6" t="s">
        <v>16</v>
      </c>
      <c r="F114" s="6" t="s">
        <v>21</v>
      </c>
      <c r="G114" s="6" t="s">
        <v>25</v>
      </c>
      <c r="H114" s="6" t="s">
        <v>29</v>
      </c>
      <c r="I114" s="6" t="s">
        <v>31</v>
      </c>
      <c r="J114" s="6">
        <v>17.097238999999998</v>
      </c>
      <c r="K114" s="6">
        <v>-97.495690999999994</v>
      </c>
      <c r="L114" s="6" t="str">
        <f>HYPERLINK("https://maps.google.com/?q=17.097239,-97.495690999999994", "🔗 Ver Mapa")</f>
        <v>🔗 Ver Mapa</v>
      </c>
    </row>
    <row r="115" spans="1:12" ht="29" x14ac:dyDescent="0.35">
      <c r="A115" s="5" t="s">
        <v>2</v>
      </c>
      <c r="B115" s="5" t="s">
        <v>6</v>
      </c>
      <c r="C115" s="5" t="s">
        <v>11</v>
      </c>
      <c r="D115" s="5" t="s">
        <v>14</v>
      </c>
      <c r="E115" s="5" t="s">
        <v>16</v>
      </c>
      <c r="F115" s="5" t="s">
        <v>21</v>
      </c>
      <c r="G115" s="5" t="s">
        <v>25</v>
      </c>
      <c r="H115" s="5" t="s">
        <v>29</v>
      </c>
      <c r="I115" s="5" t="s">
        <v>31</v>
      </c>
      <c r="J115" s="5">
        <v>17.097238999999998</v>
      </c>
      <c r="K115" s="5">
        <v>-97.495690999999994</v>
      </c>
      <c r="L115" s="5" t="str">
        <f>HYPERLINK("https://maps.google.com/?q=17.097239,-97.495690999999994", "🔗 Ver Mapa")</f>
        <v>🔗 Ver Mapa</v>
      </c>
    </row>
    <row r="116" spans="1:12" ht="29" x14ac:dyDescent="0.35">
      <c r="A116" s="6" t="s">
        <v>2</v>
      </c>
      <c r="B116" s="6" t="s">
        <v>6</v>
      </c>
      <c r="C116" s="6" t="s">
        <v>11</v>
      </c>
      <c r="D116" s="6" t="s">
        <v>14</v>
      </c>
      <c r="E116" s="6" t="s">
        <v>16</v>
      </c>
      <c r="F116" s="6" t="s">
        <v>21</v>
      </c>
      <c r="G116" s="6" t="s">
        <v>25</v>
      </c>
      <c r="H116" s="6" t="s">
        <v>29</v>
      </c>
      <c r="I116" s="6" t="s">
        <v>31</v>
      </c>
      <c r="J116" s="6">
        <v>17.097238999999998</v>
      </c>
      <c r="K116" s="6">
        <v>-97.495690999999994</v>
      </c>
      <c r="L116" s="6" t="str">
        <f>HYPERLINK("https://maps.google.com/?q=17.097239,-97.495690999999994", "🔗 Ver Mapa")</f>
        <v>🔗 Ver Mapa</v>
      </c>
    </row>
    <row r="117" spans="1:12" ht="29" x14ac:dyDescent="0.35">
      <c r="A117" s="5" t="s">
        <v>2</v>
      </c>
      <c r="B117" s="5" t="s">
        <v>6</v>
      </c>
      <c r="C117" s="5" t="s">
        <v>11</v>
      </c>
      <c r="D117" s="5" t="s">
        <v>14</v>
      </c>
      <c r="E117" s="5" t="s">
        <v>16</v>
      </c>
      <c r="F117" s="5" t="s">
        <v>21</v>
      </c>
      <c r="G117" s="5" t="s">
        <v>25</v>
      </c>
      <c r="H117" s="5" t="s">
        <v>29</v>
      </c>
      <c r="I117" s="5" t="s">
        <v>31</v>
      </c>
      <c r="J117" s="5">
        <v>17.097238999999998</v>
      </c>
      <c r="K117" s="5">
        <v>-97.495690999999994</v>
      </c>
      <c r="L117" s="5" t="str">
        <f>HYPERLINK("https://maps.google.com/?q=17.097239,-97.495690999999994", "🔗 Ver Mapa")</f>
        <v>🔗 Ver Mapa</v>
      </c>
    </row>
    <row r="118" spans="1:12" ht="29" x14ac:dyDescent="0.35">
      <c r="A118" s="6" t="s">
        <v>2</v>
      </c>
      <c r="B118" s="6" t="s">
        <v>6</v>
      </c>
      <c r="C118" s="6" t="s">
        <v>11</v>
      </c>
      <c r="D118" s="6" t="s">
        <v>14</v>
      </c>
      <c r="E118" s="6" t="s">
        <v>16</v>
      </c>
      <c r="F118" s="6" t="s">
        <v>21</v>
      </c>
      <c r="G118" s="6" t="s">
        <v>25</v>
      </c>
      <c r="H118" s="6" t="s">
        <v>29</v>
      </c>
      <c r="I118" s="6" t="s">
        <v>31</v>
      </c>
      <c r="J118" s="6">
        <v>17.094916000000001</v>
      </c>
      <c r="K118" s="6">
        <v>-97.496458000000004</v>
      </c>
      <c r="L118" s="6" t="str">
        <f>HYPERLINK("https://maps.google.com/?q=17.094916,-97.496458000000004", "🔗 Ver Mapa")</f>
        <v>🔗 Ver Mapa</v>
      </c>
    </row>
    <row r="119" spans="1:12" ht="29" x14ac:dyDescent="0.35">
      <c r="A119" s="5" t="s">
        <v>2</v>
      </c>
      <c r="B119" s="5" t="s">
        <v>6</v>
      </c>
      <c r="C119" s="5" t="s">
        <v>11</v>
      </c>
      <c r="D119" s="5" t="s">
        <v>14</v>
      </c>
      <c r="E119" s="5" t="s">
        <v>16</v>
      </c>
      <c r="F119" s="5" t="s">
        <v>21</v>
      </c>
      <c r="G119" s="5" t="s">
        <v>25</v>
      </c>
      <c r="H119" s="5" t="s">
        <v>29</v>
      </c>
      <c r="I119" s="5" t="s">
        <v>31</v>
      </c>
      <c r="J119" s="5">
        <v>17.094916000000001</v>
      </c>
      <c r="K119" s="5">
        <v>-97.496458000000004</v>
      </c>
      <c r="L119" s="5" t="str">
        <f>HYPERLINK("https://maps.google.com/?q=17.094916,-97.496458000000004", "🔗 Ver Mapa")</f>
        <v>🔗 Ver Mapa</v>
      </c>
    </row>
    <row r="120" spans="1:12" ht="29" x14ac:dyDescent="0.35">
      <c r="A120" s="6" t="s">
        <v>2</v>
      </c>
      <c r="B120" s="6" t="s">
        <v>6</v>
      </c>
      <c r="C120" s="6" t="s">
        <v>11</v>
      </c>
      <c r="D120" s="6" t="s">
        <v>14</v>
      </c>
      <c r="E120" s="6" t="s">
        <v>16</v>
      </c>
      <c r="F120" s="6" t="s">
        <v>21</v>
      </c>
      <c r="G120" s="6" t="s">
        <v>25</v>
      </c>
      <c r="H120" s="6" t="s">
        <v>29</v>
      </c>
      <c r="I120" s="6" t="s">
        <v>31</v>
      </c>
      <c r="J120" s="6">
        <v>17.094916000000001</v>
      </c>
      <c r="K120" s="6">
        <v>-97.496458000000004</v>
      </c>
      <c r="L120" s="6" t="str">
        <f>HYPERLINK("https://maps.google.com/?q=17.094916,-97.496458000000004", "🔗 Ver Mapa")</f>
        <v>🔗 Ver Mapa</v>
      </c>
    </row>
    <row r="121" spans="1:12" ht="29" x14ac:dyDescent="0.35">
      <c r="A121" s="5" t="s">
        <v>2</v>
      </c>
      <c r="B121" s="5" t="s">
        <v>6</v>
      </c>
      <c r="C121" s="5" t="s">
        <v>11</v>
      </c>
      <c r="D121" s="5" t="s">
        <v>14</v>
      </c>
      <c r="E121" s="5" t="s">
        <v>16</v>
      </c>
      <c r="F121" s="5" t="s">
        <v>21</v>
      </c>
      <c r="G121" s="5" t="s">
        <v>25</v>
      </c>
      <c r="H121" s="5" t="s">
        <v>29</v>
      </c>
      <c r="I121" s="5" t="s">
        <v>31</v>
      </c>
      <c r="J121" s="5">
        <v>17.094916000000001</v>
      </c>
      <c r="K121" s="5">
        <v>-97.496458000000004</v>
      </c>
      <c r="L121" s="5" t="str">
        <f>HYPERLINK("https://maps.google.com/?q=17.094916,-97.496458000000004", "🔗 Ver Mapa")</f>
        <v>🔗 Ver Mapa</v>
      </c>
    </row>
    <row r="122" spans="1:12" ht="29" x14ac:dyDescent="0.35">
      <c r="A122" s="6" t="s">
        <v>2</v>
      </c>
      <c r="B122" s="6" t="s">
        <v>6</v>
      </c>
      <c r="C122" s="6" t="s">
        <v>11</v>
      </c>
      <c r="D122" s="6" t="s">
        <v>14</v>
      </c>
      <c r="E122" s="6" t="s">
        <v>16</v>
      </c>
      <c r="F122" s="6" t="s">
        <v>21</v>
      </c>
      <c r="G122" s="6" t="s">
        <v>25</v>
      </c>
      <c r="H122" s="6" t="s">
        <v>29</v>
      </c>
      <c r="I122" s="6" t="s">
        <v>31</v>
      </c>
      <c r="J122" s="6">
        <v>17.091677000000001</v>
      </c>
      <c r="K122" s="6">
        <v>-97.496729000000002</v>
      </c>
      <c r="L122" s="6" t="str">
        <f>HYPERLINK("https://maps.google.com/?q=17.091677,-97.496729000000002", "🔗 Ver Mapa")</f>
        <v>🔗 Ver Mapa</v>
      </c>
    </row>
    <row r="123" spans="1:12" ht="29" x14ac:dyDescent="0.35">
      <c r="A123" s="5" t="s">
        <v>2</v>
      </c>
      <c r="B123" s="5" t="s">
        <v>6</v>
      </c>
      <c r="C123" s="5" t="s">
        <v>11</v>
      </c>
      <c r="D123" s="5" t="s">
        <v>14</v>
      </c>
      <c r="E123" s="5" t="s">
        <v>16</v>
      </c>
      <c r="F123" s="5" t="s">
        <v>21</v>
      </c>
      <c r="G123" s="5" t="s">
        <v>25</v>
      </c>
      <c r="H123" s="5" t="s">
        <v>29</v>
      </c>
      <c r="I123" s="5" t="s">
        <v>31</v>
      </c>
      <c r="J123" s="5">
        <v>17.091677000000001</v>
      </c>
      <c r="K123" s="5">
        <v>-97.496729000000002</v>
      </c>
      <c r="L123" s="5" t="str">
        <f>HYPERLINK("https://maps.google.com/?q=17.091677,-97.496729000000002", "🔗 Ver Mapa")</f>
        <v>🔗 Ver Mapa</v>
      </c>
    </row>
    <row r="124" spans="1:12" ht="29" x14ac:dyDescent="0.35">
      <c r="A124" s="6" t="s">
        <v>2</v>
      </c>
      <c r="B124" s="6" t="s">
        <v>6</v>
      </c>
      <c r="C124" s="6" t="s">
        <v>11</v>
      </c>
      <c r="D124" s="6" t="s">
        <v>14</v>
      </c>
      <c r="E124" s="6" t="s">
        <v>16</v>
      </c>
      <c r="F124" s="6" t="s">
        <v>21</v>
      </c>
      <c r="G124" s="6" t="s">
        <v>25</v>
      </c>
      <c r="H124" s="6" t="s">
        <v>29</v>
      </c>
      <c r="I124" s="6" t="s">
        <v>31</v>
      </c>
      <c r="J124" s="6">
        <v>17.091677000000001</v>
      </c>
      <c r="K124" s="6">
        <v>-97.496729000000002</v>
      </c>
      <c r="L124" s="6" t="str">
        <f>HYPERLINK("https://maps.google.com/?q=17.091677,-97.496729000000002", "🔗 Ver Mapa")</f>
        <v>🔗 Ver Mapa</v>
      </c>
    </row>
    <row r="125" spans="1:12" ht="29" x14ac:dyDescent="0.35">
      <c r="A125" s="5" t="s">
        <v>2</v>
      </c>
      <c r="B125" s="5" t="s">
        <v>6</v>
      </c>
      <c r="C125" s="5" t="s">
        <v>11</v>
      </c>
      <c r="D125" s="5" t="s">
        <v>14</v>
      </c>
      <c r="E125" s="5" t="s">
        <v>16</v>
      </c>
      <c r="F125" s="5" t="s">
        <v>21</v>
      </c>
      <c r="G125" s="5" t="s">
        <v>25</v>
      </c>
      <c r="H125" s="5" t="s">
        <v>29</v>
      </c>
      <c r="I125" s="5" t="s">
        <v>31</v>
      </c>
      <c r="J125" s="5">
        <v>17.091677000000001</v>
      </c>
      <c r="K125" s="5">
        <v>-97.496729000000002</v>
      </c>
      <c r="L125" s="5" t="str">
        <f>HYPERLINK("https://maps.google.com/?q=17.091677,-97.496729000000002", "🔗 Ver Mapa")</f>
        <v>🔗 Ver Mapa</v>
      </c>
    </row>
    <row r="126" spans="1:12" ht="29" x14ac:dyDescent="0.35">
      <c r="A126" s="6" t="s">
        <v>2</v>
      </c>
      <c r="B126" s="6" t="s">
        <v>6</v>
      </c>
      <c r="C126" s="6" t="s">
        <v>11</v>
      </c>
      <c r="D126" s="6" t="s">
        <v>14</v>
      </c>
      <c r="E126" s="6" t="s">
        <v>16</v>
      </c>
      <c r="F126" s="6" t="s">
        <v>21</v>
      </c>
      <c r="G126" s="6" t="s">
        <v>25</v>
      </c>
      <c r="H126" s="6" t="s">
        <v>29</v>
      </c>
      <c r="I126" s="6" t="s">
        <v>31</v>
      </c>
      <c r="J126" s="6">
        <v>17.094127</v>
      </c>
      <c r="K126" s="6">
        <v>-97.495258000000007</v>
      </c>
      <c r="L126" s="6" t="str">
        <f>HYPERLINK("https://maps.google.com/?q=17.094127,-97.495258000000007", "🔗 Ver Mapa")</f>
        <v>🔗 Ver Mapa</v>
      </c>
    </row>
    <row r="127" spans="1:12" ht="29" x14ac:dyDescent="0.35">
      <c r="A127" s="5" t="s">
        <v>2</v>
      </c>
      <c r="B127" s="5" t="s">
        <v>6</v>
      </c>
      <c r="C127" s="5" t="s">
        <v>11</v>
      </c>
      <c r="D127" s="5" t="s">
        <v>14</v>
      </c>
      <c r="E127" s="5" t="s">
        <v>16</v>
      </c>
      <c r="F127" s="5" t="s">
        <v>21</v>
      </c>
      <c r="G127" s="5" t="s">
        <v>25</v>
      </c>
      <c r="H127" s="5" t="s">
        <v>29</v>
      </c>
      <c r="I127" s="5" t="s">
        <v>31</v>
      </c>
      <c r="J127" s="5">
        <v>17.094127</v>
      </c>
      <c r="K127" s="5">
        <v>-97.495258000000007</v>
      </c>
      <c r="L127" s="5" t="str">
        <f>HYPERLINK("https://maps.google.com/?q=17.094127,-97.495258000000007", "🔗 Ver Mapa")</f>
        <v>🔗 Ver Mapa</v>
      </c>
    </row>
    <row r="128" spans="1:12" ht="29" x14ac:dyDescent="0.35">
      <c r="A128" s="6" t="s">
        <v>2</v>
      </c>
      <c r="B128" s="6" t="s">
        <v>6</v>
      </c>
      <c r="C128" s="6" t="s">
        <v>11</v>
      </c>
      <c r="D128" s="6" t="s">
        <v>14</v>
      </c>
      <c r="E128" s="6" t="s">
        <v>16</v>
      </c>
      <c r="F128" s="6" t="s">
        <v>21</v>
      </c>
      <c r="G128" s="6" t="s">
        <v>25</v>
      </c>
      <c r="H128" s="6" t="s">
        <v>29</v>
      </c>
      <c r="I128" s="6" t="s">
        <v>31</v>
      </c>
      <c r="J128" s="6">
        <v>17.094127</v>
      </c>
      <c r="K128" s="6">
        <v>-97.495258000000007</v>
      </c>
      <c r="L128" s="6" t="str">
        <f>HYPERLINK("https://maps.google.com/?q=17.094127,-97.495258000000007", "🔗 Ver Mapa")</f>
        <v>🔗 Ver Mapa</v>
      </c>
    </row>
    <row r="129" spans="1:12" ht="29" x14ac:dyDescent="0.35">
      <c r="A129" s="5" t="s">
        <v>2</v>
      </c>
      <c r="B129" s="5" t="s">
        <v>6</v>
      </c>
      <c r="C129" s="5" t="s">
        <v>11</v>
      </c>
      <c r="D129" s="5" t="s">
        <v>14</v>
      </c>
      <c r="E129" s="5" t="s">
        <v>16</v>
      </c>
      <c r="F129" s="5" t="s">
        <v>21</v>
      </c>
      <c r="G129" s="5" t="s">
        <v>25</v>
      </c>
      <c r="H129" s="5" t="s">
        <v>29</v>
      </c>
      <c r="I129" s="5" t="s">
        <v>31</v>
      </c>
      <c r="J129" s="5">
        <v>17.094127</v>
      </c>
      <c r="K129" s="5">
        <v>-97.495258000000007</v>
      </c>
      <c r="L129" s="5" t="str">
        <f>HYPERLINK("https://maps.google.com/?q=17.094127,-97.495258000000007", "🔗 Ver Mapa")</f>
        <v>🔗 Ver Mapa</v>
      </c>
    </row>
    <row r="130" spans="1:12" ht="29" x14ac:dyDescent="0.35">
      <c r="A130" s="6" t="s">
        <v>2</v>
      </c>
      <c r="B130" s="6" t="s">
        <v>6</v>
      </c>
      <c r="C130" s="6" t="s">
        <v>11</v>
      </c>
      <c r="D130" s="6" t="s">
        <v>14</v>
      </c>
      <c r="E130" s="6" t="s">
        <v>16</v>
      </c>
      <c r="F130" s="6" t="s">
        <v>21</v>
      </c>
      <c r="G130" s="6" t="s">
        <v>25</v>
      </c>
      <c r="H130" s="6" t="s">
        <v>29</v>
      </c>
      <c r="I130" s="6" t="s">
        <v>31</v>
      </c>
      <c r="J130" s="6">
        <v>17.095694999999999</v>
      </c>
      <c r="K130" s="6">
        <v>-97.495779999999996</v>
      </c>
      <c r="L130" s="6" t="str">
        <f>HYPERLINK("https://maps.google.com/?q=17.095695,-97.495779999999996", "🔗 Ver Mapa")</f>
        <v>🔗 Ver Mapa</v>
      </c>
    </row>
    <row r="131" spans="1:12" ht="29" x14ac:dyDescent="0.35">
      <c r="A131" s="5" t="s">
        <v>2</v>
      </c>
      <c r="B131" s="5" t="s">
        <v>6</v>
      </c>
      <c r="C131" s="5" t="s">
        <v>11</v>
      </c>
      <c r="D131" s="5" t="s">
        <v>14</v>
      </c>
      <c r="E131" s="5" t="s">
        <v>16</v>
      </c>
      <c r="F131" s="5" t="s">
        <v>21</v>
      </c>
      <c r="G131" s="5" t="s">
        <v>25</v>
      </c>
      <c r="H131" s="5" t="s">
        <v>29</v>
      </c>
      <c r="I131" s="5" t="s">
        <v>31</v>
      </c>
      <c r="J131" s="5">
        <v>17.095694999999999</v>
      </c>
      <c r="K131" s="5">
        <v>-97.495779999999996</v>
      </c>
      <c r="L131" s="5" t="str">
        <f>HYPERLINK("https://maps.google.com/?q=17.095695,-97.495779999999996", "🔗 Ver Mapa")</f>
        <v>🔗 Ver Mapa</v>
      </c>
    </row>
    <row r="132" spans="1:12" ht="29" x14ac:dyDescent="0.35">
      <c r="A132" s="6" t="s">
        <v>2</v>
      </c>
      <c r="B132" s="6" t="s">
        <v>6</v>
      </c>
      <c r="C132" s="6" t="s">
        <v>11</v>
      </c>
      <c r="D132" s="6" t="s">
        <v>14</v>
      </c>
      <c r="E132" s="6" t="s">
        <v>16</v>
      </c>
      <c r="F132" s="6" t="s">
        <v>21</v>
      </c>
      <c r="G132" s="6" t="s">
        <v>25</v>
      </c>
      <c r="H132" s="6" t="s">
        <v>29</v>
      </c>
      <c r="I132" s="6" t="s">
        <v>31</v>
      </c>
      <c r="J132" s="6">
        <v>17.095694999999999</v>
      </c>
      <c r="K132" s="6">
        <v>-97.495779999999996</v>
      </c>
      <c r="L132" s="6" t="str">
        <f>HYPERLINK("https://maps.google.com/?q=17.095695,-97.495779999999996", "🔗 Ver Mapa")</f>
        <v>🔗 Ver Mapa</v>
      </c>
    </row>
    <row r="133" spans="1:12" ht="29" x14ac:dyDescent="0.35">
      <c r="A133" s="5" t="s">
        <v>2</v>
      </c>
      <c r="B133" s="5" t="s">
        <v>6</v>
      </c>
      <c r="C133" s="5" t="s">
        <v>11</v>
      </c>
      <c r="D133" s="5" t="s">
        <v>14</v>
      </c>
      <c r="E133" s="5" t="s">
        <v>16</v>
      </c>
      <c r="F133" s="5" t="s">
        <v>21</v>
      </c>
      <c r="G133" s="5" t="s">
        <v>25</v>
      </c>
      <c r="H133" s="5" t="s">
        <v>29</v>
      </c>
      <c r="I133" s="5" t="s">
        <v>31</v>
      </c>
      <c r="J133" s="5">
        <v>17.095694999999999</v>
      </c>
      <c r="K133" s="5">
        <v>-97.495779999999996</v>
      </c>
      <c r="L133" s="5" t="str">
        <f>HYPERLINK("https://maps.google.com/?q=17.095695,-97.495779999999996", "🔗 Ver Mapa")</f>
        <v>🔗 Ver Mapa</v>
      </c>
    </row>
    <row r="134" spans="1:12" ht="29" x14ac:dyDescent="0.35">
      <c r="A134" s="6" t="s">
        <v>2</v>
      </c>
      <c r="B134" s="6" t="s">
        <v>6</v>
      </c>
      <c r="C134" s="6" t="s">
        <v>11</v>
      </c>
      <c r="D134" s="6" t="s">
        <v>14</v>
      </c>
      <c r="E134" s="6" t="s">
        <v>16</v>
      </c>
      <c r="F134" s="6" t="s">
        <v>21</v>
      </c>
      <c r="G134" s="6" t="s">
        <v>25</v>
      </c>
      <c r="H134" s="6" t="s">
        <v>29</v>
      </c>
      <c r="I134" s="6" t="s">
        <v>31</v>
      </c>
      <c r="J134" s="6">
        <v>17.091930000000001</v>
      </c>
      <c r="K134" s="6">
        <v>-97.498749000000004</v>
      </c>
      <c r="L134" s="6" t="str">
        <f>HYPERLINK("https://maps.google.com/?q=17.09193,-97.498749000000004", "🔗 Ver Mapa")</f>
        <v>🔗 Ver Mapa</v>
      </c>
    </row>
    <row r="135" spans="1:12" ht="29" x14ac:dyDescent="0.35">
      <c r="A135" s="5" t="s">
        <v>2</v>
      </c>
      <c r="B135" s="5" t="s">
        <v>6</v>
      </c>
      <c r="C135" s="5" t="s">
        <v>11</v>
      </c>
      <c r="D135" s="5" t="s">
        <v>14</v>
      </c>
      <c r="E135" s="5" t="s">
        <v>16</v>
      </c>
      <c r="F135" s="5" t="s">
        <v>21</v>
      </c>
      <c r="G135" s="5" t="s">
        <v>25</v>
      </c>
      <c r="H135" s="5" t="s">
        <v>29</v>
      </c>
      <c r="I135" s="5" t="s">
        <v>31</v>
      </c>
      <c r="J135" s="5">
        <v>17.091930000000001</v>
      </c>
      <c r="K135" s="5">
        <v>-97.498749000000004</v>
      </c>
      <c r="L135" s="5" t="str">
        <f>HYPERLINK("https://maps.google.com/?q=17.09193,-97.498749000000004", "🔗 Ver Mapa")</f>
        <v>🔗 Ver Mapa</v>
      </c>
    </row>
    <row r="136" spans="1:12" ht="29" x14ac:dyDescent="0.35">
      <c r="A136" s="6" t="s">
        <v>2</v>
      </c>
      <c r="B136" s="6" t="s">
        <v>6</v>
      </c>
      <c r="C136" s="6" t="s">
        <v>11</v>
      </c>
      <c r="D136" s="6" t="s">
        <v>14</v>
      </c>
      <c r="E136" s="6" t="s">
        <v>16</v>
      </c>
      <c r="F136" s="6" t="s">
        <v>21</v>
      </c>
      <c r="G136" s="6" t="s">
        <v>25</v>
      </c>
      <c r="H136" s="6" t="s">
        <v>29</v>
      </c>
      <c r="I136" s="6" t="s">
        <v>31</v>
      </c>
      <c r="J136" s="6">
        <v>17.091930000000001</v>
      </c>
      <c r="K136" s="6">
        <v>-97.498749000000004</v>
      </c>
      <c r="L136" s="6" t="str">
        <f>HYPERLINK("https://maps.google.com/?q=17.09193,-97.498749000000004", "🔗 Ver Mapa")</f>
        <v>🔗 Ver Mapa</v>
      </c>
    </row>
    <row r="137" spans="1:12" ht="29" x14ac:dyDescent="0.35">
      <c r="A137" s="5" t="s">
        <v>2</v>
      </c>
      <c r="B137" s="5" t="s">
        <v>6</v>
      </c>
      <c r="C137" s="5" t="s">
        <v>11</v>
      </c>
      <c r="D137" s="5" t="s">
        <v>14</v>
      </c>
      <c r="E137" s="5" t="s">
        <v>16</v>
      </c>
      <c r="F137" s="5" t="s">
        <v>21</v>
      </c>
      <c r="G137" s="5" t="s">
        <v>25</v>
      </c>
      <c r="H137" s="5" t="s">
        <v>29</v>
      </c>
      <c r="I137" s="5" t="s">
        <v>31</v>
      </c>
      <c r="J137" s="5">
        <v>17.091930000000001</v>
      </c>
      <c r="K137" s="5">
        <v>-97.498749000000004</v>
      </c>
      <c r="L137" s="5" t="str">
        <f>HYPERLINK("https://maps.google.com/?q=17.09193,-97.498749000000004", "🔗 Ver Mapa")</f>
        <v>🔗 Ver Mapa</v>
      </c>
    </row>
    <row r="138" spans="1:12" ht="29" x14ac:dyDescent="0.35">
      <c r="A138" s="6" t="s">
        <v>2</v>
      </c>
      <c r="B138" s="6" t="s">
        <v>6</v>
      </c>
      <c r="C138" s="6" t="s">
        <v>11</v>
      </c>
      <c r="D138" s="6" t="s">
        <v>14</v>
      </c>
      <c r="E138" s="6" t="s">
        <v>16</v>
      </c>
      <c r="F138" s="6" t="s">
        <v>21</v>
      </c>
      <c r="G138" s="6" t="s">
        <v>25</v>
      </c>
      <c r="H138" s="6" t="s">
        <v>29</v>
      </c>
      <c r="I138" s="6" t="s">
        <v>31</v>
      </c>
      <c r="J138" s="6">
        <v>17.093053000000001</v>
      </c>
      <c r="K138" s="6">
        <v>-97.497435999999993</v>
      </c>
      <c r="L138" s="6" t="str">
        <f>HYPERLINK("https://maps.google.com/?q=17.093053,-97.497435999999993", "🔗 Ver Mapa")</f>
        <v>🔗 Ver Mapa</v>
      </c>
    </row>
    <row r="139" spans="1:12" ht="29" x14ac:dyDescent="0.35">
      <c r="A139" s="5" t="s">
        <v>2</v>
      </c>
      <c r="B139" s="5" t="s">
        <v>6</v>
      </c>
      <c r="C139" s="5" t="s">
        <v>11</v>
      </c>
      <c r="D139" s="5" t="s">
        <v>14</v>
      </c>
      <c r="E139" s="5" t="s">
        <v>16</v>
      </c>
      <c r="F139" s="5" t="s">
        <v>21</v>
      </c>
      <c r="G139" s="5" t="s">
        <v>25</v>
      </c>
      <c r="H139" s="5" t="s">
        <v>29</v>
      </c>
      <c r="I139" s="5" t="s">
        <v>31</v>
      </c>
      <c r="J139" s="5">
        <v>17.093053000000001</v>
      </c>
      <c r="K139" s="5">
        <v>-97.497435999999993</v>
      </c>
      <c r="L139" s="5" t="str">
        <f>HYPERLINK("https://maps.google.com/?q=17.093053,-97.497435999999993", "🔗 Ver Mapa")</f>
        <v>🔗 Ver Mapa</v>
      </c>
    </row>
    <row r="140" spans="1:12" ht="29" x14ac:dyDescent="0.35">
      <c r="A140" s="6" t="s">
        <v>2</v>
      </c>
      <c r="B140" s="6" t="s">
        <v>6</v>
      </c>
      <c r="C140" s="6" t="s">
        <v>11</v>
      </c>
      <c r="D140" s="6" t="s">
        <v>14</v>
      </c>
      <c r="E140" s="6" t="s">
        <v>16</v>
      </c>
      <c r="F140" s="6" t="s">
        <v>21</v>
      </c>
      <c r="G140" s="6" t="s">
        <v>25</v>
      </c>
      <c r="H140" s="6" t="s">
        <v>29</v>
      </c>
      <c r="I140" s="6" t="s">
        <v>31</v>
      </c>
      <c r="J140" s="6">
        <v>17.093053000000001</v>
      </c>
      <c r="K140" s="6">
        <v>-97.497435999999993</v>
      </c>
      <c r="L140" s="6" t="str">
        <f>HYPERLINK("https://maps.google.com/?q=17.093053,-97.497435999999993", "🔗 Ver Mapa")</f>
        <v>🔗 Ver Mapa</v>
      </c>
    </row>
    <row r="141" spans="1:12" ht="29" x14ac:dyDescent="0.35">
      <c r="A141" s="5" t="s">
        <v>2</v>
      </c>
      <c r="B141" s="5" t="s">
        <v>6</v>
      </c>
      <c r="C141" s="5" t="s">
        <v>11</v>
      </c>
      <c r="D141" s="5" t="s">
        <v>14</v>
      </c>
      <c r="E141" s="5" t="s">
        <v>16</v>
      </c>
      <c r="F141" s="5" t="s">
        <v>21</v>
      </c>
      <c r="G141" s="5" t="s">
        <v>25</v>
      </c>
      <c r="H141" s="5" t="s">
        <v>29</v>
      </c>
      <c r="I141" s="5" t="s">
        <v>31</v>
      </c>
      <c r="J141" s="5">
        <v>17.093053000000001</v>
      </c>
      <c r="K141" s="5">
        <v>-97.497435999999993</v>
      </c>
      <c r="L141" s="5" t="str">
        <f>HYPERLINK("https://maps.google.com/?q=17.093053,-97.497435999999993", "🔗 Ver Mapa")</f>
        <v>🔗 Ver Mapa</v>
      </c>
    </row>
    <row r="142" spans="1:12" ht="29" x14ac:dyDescent="0.35">
      <c r="A142" s="6" t="s">
        <v>2</v>
      </c>
      <c r="B142" s="6" t="s">
        <v>6</v>
      </c>
      <c r="C142" s="6" t="s">
        <v>11</v>
      </c>
      <c r="D142" s="6" t="s">
        <v>14</v>
      </c>
      <c r="E142" s="6" t="s">
        <v>16</v>
      </c>
      <c r="F142" s="6" t="s">
        <v>21</v>
      </c>
      <c r="G142" s="6" t="s">
        <v>25</v>
      </c>
      <c r="H142" s="6" t="s">
        <v>29</v>
      </c>
      <c r="I142" s="6" t="s">
        <v>31</v>
      </c>
      <c r="J142" s="6">
        <v>17.097933000000001</v>
      </c>
      <c r="K142" s="6">
        <v>-97.491698999999997</v>
      </c>
      <c r="L142" s="6" t="str">
        <f>HYPERLINK("https://maps.google.com/?q=17.097933,-97.491698999999997", "🔗 Ver Mapa")</f>
        <v>🔗 Ver Mapa</v>
      </c>
    </row>
    <row r="143" spans="1:12" ht="29" x14ac:dyDescent="0.35">
      <c r="A143" s="5" t="s">
        <v>2</v>
      </c>
      <c r="B143" s="5" t="s">
        <v>6</v>
      </c>
      <c r="C143" s="5" t="s">
        <v>11</v>
      </c>
      <c r="D143" s="5" t="s">
        <v>14</v>
      </c>
      <c r="E143" s="5" t="s">
        <v>16</v>
      </c>
      <c r="F143" s="5" t="s">
        <v>21</v>
      </c>
      <c r="G143" s="5" t="s">
        <v>25</v>
      </c>
      <c r="H143" s="5" t="s">
        <v>29</v>
      </c>
      <c r="I143" s="5" t="s">
        <v>31</v>
      </c>
      <c r="J143" s="5">
        <v>17.097933000000001</v>
      </c>
      <c r="K143" s="5">
        <v>-97.491698999999997</v>
      </c>
      <c r="L143" s="5" t="str">
        <f>HYPERLINK("https://maps.google.com/?q=17.097933,-97.491698999999997", "🔗 Ver Mapa")</f>
        <v>🔗 Ver Mapa</v>
      </c>
    </row>
    <row r="144" spans="1:12" ht="29" x14ac:dyDescent="0.35">
      <c r="A144" s="6" t="s">
        <v>2</v>
      </c>
      <c r="B144" s="6" t="s">
        <v>6</v>
      </c>
      <c r="C144" s="6" t="s">
        <v>11</v>
      </c>
      <c r="D144" s="6" t="s">
        <v>14</v>
      </c>
      <c r="E144" s="6" t="s">
        <v>16</v>
      </c>
      <c r="F144" s="6" t="s">
        <v>21</v>
      </c>
      <c r="G144" s="6" t="s">
        <v>25</v>
      </c>
      <c r="H144" s="6" t="s">
        <v>29</v>
      </c>
      <c r="I144" s="6" t="s">
        <v>31</v>
      </c>
      <c r="J144" s="6">
        <v>17.097933000000001</v>
      </c>
      <c r="K144" s="6">
        <v>-97.491698999999997</v>
      </c>
      <c r="L144" s="6" t="str">
        <f>HYPERLINK("https://maps.google.com/?q=17.097933,-97.491698999999997", "🔗 Ver Mapa")</f>
        <v>🔗 Ver Mapa</v>
      </c>
    </row>
    <row r="145" spans="1:12" ht="29" x14ac:dyDescent="0.35">
      <c r="A145" s="5" t="s">
        <v>2</v>
      </c>
      <c r="B145" s="5" t="s">
        <v>6</v>
      </c>
      <c r="C145" s="5" t="s">
        <v>11</v>
      </c>
      <c r="D145" s="5" t="s">
        <v>14</v>
      </c>
      <c r="E145" s="5" t="s">
        <v>16</v>
      </c>
      <c r="F145" s="5" t="s">
        <v>21</v>
      </c>
      <c r="G145" s="5" t="s">
        <v>25</v>
      </c>
      <c r="H145" s="5" t="s">
        <v>29</v>
      </c>
      <c r="I145" s="5" t="s">
        <v>31</v>
      </c>
      <c r="J145" s="5">
        <v>17.097933000000001</v>
      </c>
      <c r="K145" s="5">
        <v>-97.491698999999997</v>
      </c>
      <c r="L145" s="5" t="str">
        <f>HYPERLINK("https://maps.google.com/?q=17.097933,-97.491698999999997", "🔗 Ver Mapa")</f>
        <v>🔗 Ver Mapa</v>
      </c>
    </row>
    <row r="146" spans="1:12" ht="29" x14ac:dyDescent="0.35">
      <c r="A146" s="6" t="s">
        <v>2</v>
      </c>
      <c r="B146" s="6" t="s">
        <v>6</v>
      </c>
      <c r="C146" s="6" t="s">
        <v>11</v>
      </c>
      <c r="D146" s="6" t="s">
        <v>14</v>
      </c>
      <c r="E146" s="6" t="s">
        <v>16</v>
      </c>
      <c r="F146" s="6" t="s">
        <v>21</v>
      </c>
      <c r="G146" s="6" t="s">
        <v>25</v>
      </c>
      <c r="H146" s="6" t="s">
        <v>29</v>
      </c>
      <c r="I146" s="6" t="s">
        <v>31</v>
      </c>
      <c r="J146" s="6">
        <v>17.088630999999999</v>
      </c>
      <c r="K146" s="6">
        <v>-97.501046000000002</v>
      </c>
      <c r="L146" s="6" t="str">
        <f>HYPERLINK("https://maps.google.com/?q=17.088631,-97.501046000000002", "🔗 Ver Mapa")</f>
        <v>🔗 Ver Mapa</v>
      </c>
    </row>
    <row r="147" spans="1:12" ht="29" x14ac:dyDescent="0.35">
      <c r="A147" s="5" t="s">
        <v>2</v>
      </c>
      <c r="B147" s="5" t="s">
        <v>6</v>
      </c>
      <c r="C147" s="5" t="s">
        <v>11</v>
      </c>
      <c r="D147" s="5" t="s">
        <v>14</v>
      </c>
      <c r="E147" s="5" t="s">
        <v>16</v>
      </c>
      <c r="F147" s="5" t="s">
        <v>21</v>
      </c>
      <c r="G147" s="5" t="s">
        <v>25</v>
      </c>
      <c r="H147" s="5" t="s">
        <v>29</v>
      </c>
      <c r="I147" s="5" t="s">
        <v>31</v>
      </c>
      <c r="J147" s="5">
        <v>17.088630999999999</v>
      </c>
      <c r="K147" s="5">
        <v>-97.501046000000002</v>
      </c>
      <c r="L147" s="5" t="str">
        <f>HYPERLINK("https://maps.google.com/?q=17.088631,-97.501046000000002", "🔗 Ver Mapa")</f>
        <v>🔗 Ver Mapa</v>
      </c>
    </row>
    <row r="148" spans="1:12" ht="29" x14ac:dyDescent="0.35">
      <c r="A148" s="6" t="s">
        <v>2</v>
      </c>
      <c r="B148" s="6" t="s">
        <v>6</v>
      </c>
      <c r="C148" s="6" t="s">
        <v>11</v>
      </c>
      <c r="D148" s="6" t="s">
        <v>14</v>
      </c>
      <c r="E148" s="6" t="s">
        <v>16</v>
      </c>
      <c r="F148" s="6" t="s">
        <v>21</v>
      </c>
      <c r="G148" s="6" t="s">
        <v>25</v>
      </c>
      <c r="H148" s="6" t="s">
        <v>29</v>
      </c>
      <c r="I148" s="6" t="s">
        <v>31</v>
      </c>
      <c r="J148" s="6">
        <v>17.088630999999999</v>
      </c>
      <c r="K148" s="6">
        <v>-97.501046000000002</v>
      </c>
      <c r="L148" s="6" t="str">
        <f>HYPERLINK("https://maps.google.com/?q=17.088631,-97.501046000000002", "🔗 Ver Mapa")</f>
        <v>🔗 Ver Mapa</v>
      </c>
    </row>
    <row r="149" spans="1:12" ht="29" x14ac:dyDescent="0.35">
      <c r="A149" s="5" t="s">
        <v>2</v>
      </c>
      <c r="B149" s="5" t="s">
        <v>6</v>
      </c>
      <c r="C149" s="5" t="s">
        <v>11</v>
      </c>
      <c r="D149" s="5" t="s">
        <v>14</v>
      </c>
      <c r="E149" s="5" t="s">
        <v>16</v>
      </c>
      <c r="F149" s="5" t="s">
        <v>21</v>
      </c>
      <c r="G149" s="5" t="s">
        <v>25</v>
      </c>
      <c r="H149" s="5" t="s">
        <v>29</v>
      </c>
      <c r="I149" s="5" t="s">
        <v>31</v>
      </c>
      <c r="J149" s="5">
        <v>17.088630999999999</v>
      </c>
      <c r="K149" s="5">
        <v>-97.501046000000002</v>
      </c>
      <c r="L149" s="5" t="str">
        <f>HYPERLINK("https://maps.google.com/?q=17.088631,-97.501046000000002", "🔗 Ver Mapa")</f>
        <v>🔗 Ver Mapa</v>
      </c>
    </row>
    <row r="150" spans="1:12" ht="29" x14ac:dyDescent="0.35">
      <c r="A150" s="6" t="s">
        <v>2</v>
      </c>
      <c r="B150" s="6" t="s">
        <v>6</v>
      </c>
      <c r="C150" s="6" t="s">
        <v>11</v>
      </c>
      <c r="D150" s="6" t="s">
        <v>14</v>
      </c>
      <c r="E150" s="6" t="s">
        <v>16</v>
      </c>
      <c r="F150" s="6" t="s">
        <v>21</v>
      </c>
      <c r="G150" s="6" t="s">
        <v>25</v>
      </c>
      <c r="H150" s="6" t="s">
        <v>29</v>
      </c>
      <c r="I150" s="6" t="s">
        <v>31</v>
      </c>
      <c r="J150" s="6">
        <v>17.095345999999999</v>
      </c>
      <c r="K150" s="6">
        <v>-97.497557</v>
      </c>
      <c r="L150" s="6" t="str">
        <f>HYPERLINK("https://maps.google.com/?q=17.095346,-97.497557", "🔗 Ver Mapa")</f>
        <v>🔗 Ver Mapa</v>
      </c>
    </row>
    <row r="151" spans="1:12" ht="29" x14ac:dyDescent="0.35">
      <c r="A151" s="5" t="s">
        <v>2</v>
      </c>
      <c r="B151" s="5" t="s">
        <v>6</v>
      </c>
      <c r="C151" s="5" t="s">
        <v>11</v>
      </c>
      <c r="D151" s="5" t="s">
        <v>14</v>
      </c>
      <c r="E151" s="5" t="s">
        <v>16</v>
      </c>
      <c r="F151" s="5" t="s">
        <v>21</v>
      </c>
      <c r="G151" s="5" t="s">
        <v>25</v>
      </c>
      <c r="H151" s="5" t="s">
        <v>29</v>
      </c>
      <c r="I151" s="5" t="s">
        <v>31</v>
      </c>
      <c r="J151" s="5">
        <v>17.095345999999999</v>
      </c>
      <c r="K151" s="5">
        <v>-97.497557</v>
      </c>
      <c r="L151" s="5" t="str">
        <f>HYPERLINK("https://maps.google.com/?q=17.095346,-97.497557", "🔗 Ver Mapa")</f>
        <v>🔗 Ver Mapa</v>
      </c>
    </row>
    <row r="152" spans="1:12" ht="29" x14ac:dyDescent="0.35">
      <c r="A152" s="6" t="s">
        <v>2</v>
      </c>
      <c r="B152" s="6" t="s">
        <v>6</v>
      </c>
      <c r="C152" s="6" t="s">
        <v>11</v>
      </c>
      <c r="D152" s="6" t="s">
        <v>14</v>
      </c>
      <c r="E152" s="6" t="s">
        <v>16</v>
      </c>
      <c r="F152" s="6" t="s">
        <v>21</v>
      </c>
      <c r="G152" s="6" t="s">
        <v>25</v>
      </c>
      <c r="H152" s="6" t="s">
        <v>29</v>
      </c>
      <c r="I152" s="6" t="s">
        <v>31</v>
      </c>
      <c r="J152" s="6">
        <v>17.095345999999999</v>
      </c>
      <c r="K152" s="6">
        <v>-97.497557</v>
      </c>
      <c r="L152" s="6" t="str">
        <f>HYPERLINK("https://maps.google.com/?q=17.095346,-97.497557", "🔗 Ver Mapa")</f>
        <v>🔗 Ver Mapa</v>
      </c>
    </row>
    <row r="153" spans="1:12" ht="29" x14ac:dyDescent="0.35">
      <c r="A153" s="5" t="s">
        <v>2</v>
      </c>
      <c r="B153" s="5" t="s">
        <v>6</v>
      </c>
      <c r="C153" s="5" t="s">
        <v>11</v>
      </c>
      <c r="D153" s="5" t="s">
        <v>14</v>
      </c>
      <c r="E153" s="5" t="s">
        <v>16</v>
      </c>
      <c r="F153" s="5" t="s">
        <v>21</v>
      </c>
      <c r="G153" s="5" t="s">
        <v>25</v>
      </c>
      <c r="H153" s="5" t="s">
        <v>29</v>
      </c>
      <c r="I153" s="5" t="s">
        <v>31</v>
      </c>
      <c r="J153" s="5">
        <v>17.095345999999999</v>
      </c>
      <c r="K153" s="5">
        <v>-97.497557</v>
      </c>
      <c r="L153" s="5" t="str">
        <f>HYPERLINK("https://maps.google.com/?q=17.095346,-97.497557", "🔗 Ver Mapa")</f>
        <v>🔗 Ver Mapa</v>
      </c>
    </row>
    <row r="154" spans="1:12" ht="29" x14ac:dyDescent="0.35">
      <c r="A154" s="6" t="s">
        <v>2</v>
      </c>
      <c r="B154" s="6" t="s">
        <v>6</v>
      </c>
      <c r="C154" s="6" t="s">
        <v>11</v>
      </c>
      <c r="D154" s="6" t="s">
        <v>14</v>
      </c>
      <c r="E154" s="6" t="s">
        <v>16</v>
      </c>
      <c r="F154" s="6" t="s">
        <v>21</v>
      </c>
      <c r="G154" s="6" t="s">
        <v>25</v>
      </c>
      <c r="H154" s="6" t="s">
        <v>29</v>
      </c>
      <c r="I154" s="6" t="s">
        <v>31</v>
      </c>
      <c r="J154" s="6">
        <v>17.091850999999998</v>
      </c>
      <c r="K154" s="6">
        <v>-97.493825999999999</v>
      </c>
      <c r="L154" s="6" t="str">
        <f>HYPERLINK("https://maps.google.com/?q=17.091851,-97.493825999999999", "🔗 Ver Mapa")</f>
        <v>🔗 Ver Mapa</v>
      </c>
    </row>
    <row r="155" spans="1:12" ht="29" x14ac:dyDescent="0.35">
      <c r="A155" s="5" t="s">
        <v>2</v>
      </c>
      <c r="B155" s="5" t="s">
        <v>6</v>
      </c>
      <c r="C155" s="5" t="s">
        <v>11</v>
      </c>
      <c r="D155" s="5" t="s">
        <v>14</v>
      </c>
      <c r="E155" s="5" t="s">
        <v>16</v>
      </c>
      <c r="F155" s="5" t="s">
        <v>21</v>
      </c>
      <c r="G155" s="5" t="s">
        <v>25</v>
      </c>
      <c r="H155" s="5" t="s">
        <v>29</v>
      </c>
      <c r="I155" s="5" t="s">
        <v>31</v>
      </c>
      <c r="J155" s="5">
        <v>17.091850999999998</v>
      </c>
      <c r="K155" s="5">
        <v>-97.493825999999999</v>
      </c>
      <c r="L155" s="5" t="str">
        <f>HYPERLINK("https://maps.google.com/?q=17.091851,-97.493825999999999", "🔗 Ver Mapa")</f>
        <v>🔗 Ver Mapa</v>
      </c>
    </row>
    <row r="156" spans="1:12" ht="29" x14ac:dyDescent="0.35">
      <c r="A156" s="6" t="s">
        <v>2</v>
      </c>
      <c r="B156" s="6" t="s">
        <v>6</v>
      </c>
      <c r="C156" s="6" t="s">
        <v>11</v>
      </c>
      <c r="D156" s="6" t="s">
        <v>14</v>
      </c>
      <c r="E156" s="6" t="s">
        <v>16</v>
      </c>
      <c r="F156" s="6" t="s">
        <v>21</v>
      </c>
      <c r="G156" s="6" t="s">
        <v>25</v>
      </c>
      <c r="H156" s="6" t="s">
        <v>29</v>
      </c>
      <c r="I156" s="6" t="s">
        <v>31</v>
      </c>
      <c r="J156" s="6">
        <v>17.091850999999998</v>
      </c>
      <c r="K156" s="6">
        <v>-97.493825999999999</v>
      </c>
      <c r="L156" s="6" t="str">
        <f>HYPERLINK("https://maps.google.com/?q=17.091851,-97.493825999999999", "🔗 Ver Mapa")</f>
        <v>🔗 Ver Mapa</v>
      </c>
    </row>
    <row r="157" spans="1:12" ht="29" x14ac:dyDescent="0.35">
      <c r="A157" s="5" t="s">
        <v>2</v>
      </c>
      <c r="B157" s="5" t="s">
        <v>6</v>
      </c>
      <c r="C157" s="5" t="s">
        <v>11</v>
      </c>
      <c r="D157" s="5" t="s">
        <v>14</v>
      </c>
      <c r="E157" s="5" t="s">
        <v>16</v>
      </c>
      <c r="F157" s="5" t="s">
        <v>21</v>
      </c>
      <c r="G157" s="5" t="s">
        <v>25</v>
      </c>
      <c r="H157" s="5" t="s">
        <v>29</v>
      </c>
      <c r="I157" s="5" t="s">
        <v>31</v>
      </c>
      <c r="J157" s="5">
        <v>17.091850999999998</v>
      </c>
      <c r="K157" s="5">
        <v>-97.493825999999999</v>
      </c>
      <c r="L157" s="5" t="str">
        <f>HYPERLINK("https://maps.google.com/?q=17.091851,-97.493825999999999", "🔗 Ver Mapa")</f>
        <v>🔗 Ver Mapa</v>
      </c>
    </row>
    <row r="158" spans="1:12" ht="29" x14ac:dyDescent="0.35">
      <c r="A158" s="6" t="s">
        <v>2</v>
      </c>
      <c r="B158" s="6" t="s">
        <v>6</v>
      </c>
      <c r="C158" s="6" t="s">
        <v>11</v>
      </c>
      <c r="D158" s="6" t="s">
        <v>14</v>
      </c>
      <c r="E158" s="6" t="s">
        <v>16</v>
      </c>
      <c r="F158" s="6" t="s">
        <v>21</v>
      </c>
      <c r="G158" s="6" t="s">
        <v>25</v>
      </c>
      <c r="H158" s="6" t="s">
        <v>29</v>
      </c>
      <c r="I158" s="6" t="s">
        <v>31</v>
      </c>
      <c r="J158" s="6">
        <v>17.094224000000001</v>
      </c>
      <c r="K158" s="6">
        <v>-97.493933999999996</v>
      </c>
      <c r="L158" s="6" t="str">
        <f>HYPERLINK("https://maps.google.com/?q=17.094224,-97.493933999999996", "🔗 Ver Mapa")</f>
        <v>🔗 Ver Mapa</v>
      </c>
    </row>
    <row r="159" spans="1:12" ht="29" x14ac:dyDescent="0.35">
      <c r="A159" s="5" t="s">
        <v>2</v>
      </c>
      <c r="B159" s="5" t="s">
        <v>6</v>
      </c>
      <c r="C159" s="5" t="s">
        <v>11</v>
      </c>
      <c r="D159" s="5" t="s">
        <v>14</v>
      </c>
      <c r="E159" s="5" t="s">
        <v>16</v>
      </c>
      <c r="F159" s="5" t="s">
        <v>21</v>
      </c>
      <c r="G159" s="5" t="s">
        <v>25</v>
      </c>
      <c r="H159" s="5" t="s">
        <v>29</v>
      </c>
      <c r="I159" s="5" t="s">
        <v>31</v>
      </c>
      <c r="J159" s="5">
        <v>17.094224000000001</v>
      </c>
      <c r="K159" s="5">
        <v>-97.493933999999996</v>
      </c>
      <c r="L159" s="5" t="str">
        <f>HYPERLINK("https://maps.google.com/?q=17.094224,-97.493933999999996", "🔗 Ver Mapa")</f>
        <v>🔗 Ver Mapa</v>
      </c>
    </row>
    <row r="160" spans="1:12" ht="29" x14ac:dyDescent="0.35">
      <c r="A160" s="6" t="s">
        <v>2</v>
      </c>
      <c r="B160" s="6" t="s">
        <v>6</v>
      </c>
      <c r="C160" s="6" t="s">
        <v>11</v>
      </c>
      <c r="D160" s="6" t="s">
        <v>14</v>
      </c>
      <c r="E160" s="6" t="s">
        <v>16</v>
      </c>
      <c r="F160" s="6" t="s">
        <v>21</v>
      </c>
      <c r="G160" s="6" t="s">
        <v>25</v>
      </c>
      <c r="H160" s="6" t="s">
        <v>29</v>
      </c>
      <c r="I160" s="6" t="s">
        <v>31</v>
      </c>
      <c r="J160" s="6">
        <v>17.094224000000001</v>
      </c>
      <c r="K160" s="6">
        <v>-97.493933999999996</v>
      </c>
      <c r="L160" s="6" t="str">
        <f>HYPERLINK("https://maps.google.com/?q=17.094224,-97.493933999999996", "🔗 Ver Mapa")</f>
        <v>🔗 Ver Mapa</v>
      </c>
    </row>
    <row r="161" spans="1:12" ht="29" x14ac:dyDescent="0.35">
      <c r="A161" s="5" t="s">
        <v>2</v>
      </c>
      <c r="B161" s="5" t="s">
        <v>6</v>
      </c>
      <c r="C161" s="5" t="s">
        <v>11</v>
      </c>
      <c r="D161" s="5" t="s">
        <v>14</v>
      </c>
      <c r="E161" s="5" t="s">
        <v>16</v>
      </c>
      <c r="F161" s="5" t="s">
        <v>21</v>
      </c>
      <c r="G161" s="5" t="s">
        <v>25</v>
      </c>
      <c r="H161" s="5" t="s">
        <v>29</v>
      </c>
      <c r="I161" s="5" t="s">
        <v>31</v>
      </c>
      <c r="J161" s="5">
        <v>17.094224000000001</v>
      </c>
      <c r="K161" s="5">
        <v>-97.493933999999996</v>
      </c>
      <c r="L161" s="5" t="str">
        <f>HYPERLINK("https://maps.google.com/?q=17.094224,-97.493933999999996", "🔗 Ver Mapa")</f>
        <v>🔗 Ver Mapa</v>
      </c>
    </row>
    <row r="162" spans="1:12" ht="29" x14ac:dyDescent="0.35">
      <c r="A162" s="6" t="s">
        <v>2</v>
      </c>
      <c r="B162" s="6" t="s">
        <v>6</v>
      </c>
      <c r="C162" s="6" t="s">
        <v>11</v>
      </c>
      <c r="D162" s="6" t="s">
        <v>14</v>
      </c>
      <c r="E162" s="6" t="s">
        <v>16</v>
      </c>
      <c r="F162" s="6" t="s">
        <v>21</v>
      </c>
      <c r="G162" s="6" t="s">
        <v>25</v>
      </c>
      <c r="H162" s="6" t="s">
        <v>29</v>
      </c>
      <c r="I162" s="6" t="s">
        <v>31</v>
      </c>
      <c r="J162" s="6">
        <v>17.092675</v>
      </c>
      <c r="K162" s="6">
        <v>-97.498296999999994</v>
      </c>
      <c r="L162" s="6" t="str">
        <f>HYPERLINK("https://maps.google.com/?q=17.092675,-97.498296999999994", "🔗 Ver Mapa")</f>
        <v>🔗 Ver Mapa</v>
      </c>
    </row>
    <row r="163" spans="1:12" ht="29" x14ac:dyDescent="0.35">
      <c r="A163" s="5" t="s">
        <v>2</v>
      </c>
      <c r="B163" s="5" t="s">
        <v>6</v>
      </c>
      <c r="C163" s="5" t="s">
        <v>11</v>
      </c>
      <c r="D163" s="5" t="s">
        <v>14</v>
      </c>
      <c r="E163" s="5" t="s">
        <v>16</v>
      </c>
      <c r="F163" s="5" t="s">
        <v>21</v>
      </c>
      <c r="G163" s="5" t="s">
        <v>25</v>
      </c>
      <c r="H163" s="5" t="s">
        <v>29</v>
      </c>
      <c r="I163" s="5" t="s">
        <v>31</v>
      </c>
      <c r="J163" s="5">
        <v>17.092675</v>
      </c>
      <c r="K163" s="5">
        <v>-97.498296999999994</v>
      </c>
      <c r="L163" s="5" t="str">
        <f>HYPERLINK("https://maps.google.com/?q=17.092675,-97.498296999999994", "🔗 Ver Mapa")</f>
        <v>🔗 Ver Mapa</v>
      </c>
    </row>
    <row r="164" spans="1:12" ht="29" x14ac:dyDescent="0.35">
      <c r="A164" s="6" t="s">
        <v>2</v>
      </c>
      <c r="B164" s="6" t="s">
        <v>6</v>
      </c>
      <c r="C164" s="6" t="s">
        <v>11</v>
      </c>
      <c r="D164" s="6" t="s">
        <v>14</v>
      </c>
      <c r="E164" s="6" t="s">
        <v>16</v>
      </c>
      <c r="F164" s="6" t="s">
        <v>21</v>
      </c>
      <c r="G164" s="6" t="s">
        <v>25</v>
      </c>
      <c r="H164" s="6" t="s">
        <v>29</v>
      </c>
      <c r="I164" s="6" t="s">
        <v>31</v>
      </c>
      <c r="J164" s="6">
        <v>17.092675</v>
      </c>
      <c r="K164" s="6">
        <v>-97.498296999999994</v>
      </c>
      <c r="L164" s="6" t="str">
        <f>HYPERLINK("https://maps.google.com/?q=17.092675,-97.498296999999994", "🔗 Ver Mapa")</f>
        <v>🔗 Ver Mapa</v>
      </c>
    </row>
    <row r="165" spans="1:12" ht="29" x14ac:dyDescent="0.35">
      <c r="A165" s="5" t="s">
        <v>2</v>
      </c>
      <c r="B165" s="5" t="s">
        <v>6</v>
      </c>
      <c r="C165" s="5" t="s">
        <v>11</v>
      </c>
      <c r="D165" s="5" t="s">
        <v>14</v>
      </c>
      <c r="E165" s="5" t="s">
        <v>16</v>
      </c>
      <c r="F165" s="5" t="s">
        <v>21</v>
      </c>
      <c r="G165" s="5" t="s">
        <v>25</v>
      </c>
      <c r="H165" s="5" t="s">
        <v>29</v>
      </c>
      <c r="I165" s="5" t="s">
        <v>31</v>
      </c>
      <c r="J165" s="5">
        <v>17.092675</v>
      </c>
      <c r="K165" s="5">
        <v>-97.498296999999994</v>
      </c>
      <c r="L165" s="5" t="str">
        <f>HYPERLINK("https://maps.google.com/?q=17.092675,-97.498296999999994", "🔗 Ver Mapa")</f>
        <v>🔗 Ver Mapa</v>
      </c>
    </row>
    <row r="166" spans="1:12" ht="29" x14ac:dyDescent="0.35">
      <c r="A166" s="6" t="s">
        <v>2</v>
      </c>
      <c r="B166" s="6" t="s">
        <v>6</v>
      </c>
      <c r="C166" s="6" t="s">
        <v>11</v>
      </c>
      <c r="D166" s="6" t="s">
        <v>14</v>
      </c>
      <c r="E166" s="6" t="s">
        <v>16</v>
      </c>
      <c r="F166" s="6" t="s">
        <v>21</v>
      </c>
      <c r="G166" s="6" t="s">
        <v>25</v>
      </c>
      <c r="H166" s="6" t="s">
        <v>29</v>
      </c>
      <c r="I166" s="6" t="s">
        <v>31</v>
      </c>
      <c r="J166" s="6">
        <v>17.091968999999999</v>
      </c>
      <c r="K166" s="6">
        <v>-97.501902999999999</v>
      </c>
      <c r="L166" s="6" t="str">
        <f>HYPERLINK("https://maps.google.com/?q=17.091969,-97.501902999999999", "🔗 Ver Mapa")</f>
        <v>🔗 Ver Mapa</v>
      </c>
    </row>
    <row r="167" spans="1:12" ht="29" x14ac:dyDescent="0.35">
      <c r="A167" s="5" t="s">
        <v>2</v>
      </c>
      <c r="B167" s="5" t="s">
        <v>6</v>
      </c>
      <c r="C167" s="5" t="s">
        <v>11</v>
      </c>
      <c r="D167" s="5" t="s">
        <v>14</v>
      </c>
      <c r="E167" s="5" t="s">
        <v>16</v>
      </c>
      <c r="F167" s="5" t="s">
        <v>21</v>
      </c>
      <c r="G167" s="5" t="s">
        <v>25</v>
      </c>
      <c r="H167" s="5" t="s">
        <v>29</v>
      </c>
      <c r="I167" s="5" t="s">
        <v>31</v>
      </c>
      <c r="J167" s="5">
        <v>17.091968999999999</v>
      </c>
      <c r="K167" s="5">
        <v>-97.501902999999999</v>
      </c>
      <c r="L167" s="5" t="str">
        <f>HYPERLINK("https://maps.google.com/?q=17.091969,-97.501902999999999", "🔗 Ver Mapa")</f>
        <v>🔗 Ver Mapa</v>
      </c>
    </row>
    <row r="168" spans="1:12" ht="29" x14ac:dyDescent="0.35">
      <c r="A168" s="6" t="s">
        <v>2</v>
      </c>
      <c r="B168" s="6" t="s">
        <v>6</v>
      </c>
      <c r="C168" s="6" t="s">
        <v>11</v>
      </c>
      <c r="D168" s="6" t="s">
        <v>14</v>
      </c>
      <c r="E168" s="6" t="s">
        <v>16</v>
      </c>
      <c r="F168" s="6" t="s">
        <v>21</v>
      </c>
      <c r="G168" s="6" t="s">
        <v>25</v>
      </c>
      <c r="H168" s="6" t="s">
        <v>29</v>
      </c>
      <c r="I168" s="6" t="s">
        <v>31</v>
      </c>
      <c r="J168" s="6">
        <v>17.091968999999999</v>
      </c>
      <c r="K168" s="6">
        <v>-97.501902999999999</v>
      </c>
      <c r="L168" s="6" t="str">
        <f>HYPERLINK("https://maps.google.com/?q=17.091969,-97.501902999999999", "🔗 Ver Mapa")</f>
        <v>🔗 Ver Mapa</v>
      </c>
    </row>
    <row r="169" spans="1:12" ht="29" x14ac:dyDescent="0.35">
      <c r="A169" s="5" t="s">
        <v>2</v>
      </c>
      <c r="B169" s="5" t="s">
        <v>6</v>
      </c>
      <c r="C169" s="5" t="s">
        <v>11</v>
      </c>
      <c r="D169" s="5" t="s">
        <v>14</v>
      </c>
      <c r="E169" s="5" t="s">
        <v>16</v>
      </c>
      <c r="F169" s="5" t="s">
        <v>21</v>
      </c>
      <c r="G169" s="5" t="s">
        <v>25</v>
      </c>
      <c r="H169" s="5" t="s">
        <v>29</v>
      </c>
      <c r="I169" s="5" t="s">
        <v>31</v>
      </c>
      <c r="J169" s="5">
        <v>17.091968999999999</v>
      </c>
      <c r="K169" s="5">
        <v>-97.501902999999999</v>
      </c>
      <c r="L169" s="5" t="str">
        <f>HYPERLINK("https://maps.google.com/?q=17.091969,-97.501902999999999", "🔗 Ver Mapa")</f>
        <v>🔗 Ver Mapa</v>
      </c>
    </row>
    <row r="170" spans="1:12" ht="29" x14ac:dyDescent="0.35">
      <c r="A170" s="6" t="s">
        <v>2</v>
      </c>
      <c r="B170" s="6" t="s">
        <v>6</v>
      </c>
      <c r="C170" s="6" t="s">
        <v>11</v>
      </c>
      <c r="D170" s="6" t="s">
        <v>14</v>
      </c>
      <c r="E170" s="6" t="s">
        <v>16</v>
      </c>
      <c r="F170" s="6" t="s">
        <v>21</v>
      </c>
      <c r="G170" s="6" t="s">
        <v>25</v>
      </c>
      <c r="H170" s="6" t="s">
        <v>29</v>
      </c>
      <c r="I170" s="6" t="s">
        <v>31</v>
      </c>
      <c r="J170" s="6">
        <v>17.090115999999998</v>
      </c>
      <c r="K170" s="6">
        <v>-97.500977000000006</v>
      </c>
      <c r="L170" s="6" t="str">
        <f>HYPERLINK("https://maps.google.com/?q=17.090116,-97.500977000000006", "🔗 Ver Mapa")</f>
        <v>🔗 Ver Mapa</v>
      </c>
    </row>
    <row r="171" spans="1:12" ht="29" x14ac:dyDescent="0.35">
      <c r="A171" s="5" t="s">
        <v>2</v>
      </c>
      <c r="B171" s="5" t="s">
        <v>6</v>
      </c>
      <c r="C171" s="5" t="s">
        <v>11</v>
      </c>
      <c r="D171" s="5" t="s">
        <v>14</v>
      </c>
      <c r="E171" s="5" t="s">
        <v>16</v>
      </c>
      <c r="F171" s="5" t="s">
        <v>21</v>
      </c>
      <c r="G171" s="5" t="s">
        <v>25</v>
      </c>
      <c r="H171" s="5" t="s">
        <v>29</v>
      </c>
      <c r="I171" s="5" t="s">
        <v>31</v>
      </c>
      <c r="J171" s="5">
        <v>17.090115999999998</v>
      </c>
      <c r="K171" s="5">
        <v>-97.500977000000006</v>
      </c>
      <c r="L171" s="5" t="str">
        <f>HYPERLINK("https://maps.google.com/?q=17.090116,-97.500977000000006", "🔗 Ver Mapa")</f>
        <v>🔗 Ver Mapa</v>
      </c>
    </row>
    <row r="172" spans="1:12" ht="29" x14ac:dyDescent="0.35">
      <c r="A172" s="6" t="s">
        <v>2</v>
      </c>
      <c r="B172" s="6" t="s">
        <v>6</v>
      </c>
      <c r="C172" s="6" t="s">
        <v>11</v>
      </c>
      <c r="D172" s="6" t="s">
        <v>14</v>
      </c>
      <c r="E172" s="6" t="s">
        <v>16</v>
      </c>
      <c r="F172" s="6" t="s">
        <v>21</v>
      </c>
      <c r="G172" s="6" t="s">
        <v>25</v>
      </c>
      <c r="H172" s="6" t="s">
        <v>29</v>
      </c>
      <c r="I172" s="6" t="s">
        <v>31</v>
      </c>
      <c r="J172" s="6">
        <v>17.090115999999998</v>
      </c>
      <c r="K172" s="6">
        <v>-97.500977000000006</v>
      </c>
      <c r="L172" s="6" t="str">
        <f>HYPERLINK("https://maps.google.com/?q=17.090116,-97.500977000000006", "🔗 Ver Mapa")</f>
        <v>🔗 Ver Mapa</v>
      </c>
    </row>
    <row r="173" spans="1:12" ht="29" x14ac:dyDescent="0.35">
      <c r="A173" s="5" t="s">
        <v>2</v>
      </c>
      <c r="B173" s="5" t="s">
        <v>6</v>
      </c>
      <c r="C173" s="5" t="s">
        <v>11</v>
      </c>
      <c r="D173" s="5" t="s">
        <v>14</v>
      </c>
      <c r="E173" s="5" t="s">
        <v>16</v>
      </c>
      <c r="F173" s="5" t="s">
        <v>21</v>
      </c>
      <c r="G173" s="5" t="s">
        <v>25</v>
      </c>
      <c r="H173" s="5" t="s">
        <v>29</v>
      </c>
      <c r="I173" s="5" t="s">
        <v>31</v>
      </c>
      <c r="J173" s="5">
        <v>17.090115999999998</v>
      </c>
      <c r="K173" s="5">
        <v>-97.500977000000006</v>
      </c>
      <c r="L173" s="5" t="str">
        <f>HYPERLINK("https://maps.google.com/?q=17.090116,-97.500977000000006", "🔗 Ver Mapa")</f>
        <v>🔗 Ver Mapa</v>
      </c>
    </row>
    <row r="174" spans="1:12" ht="29" x14ac:dyDescent="0.35">
      <c r="A174" s="6" t="s">
        <v>2</v>
      </c>
      <c r="B174" s="6" t="s">
        <v>6</v>
      </c>
      <c r="C174" s="6" t="s">
        <v>11</v>
      </c>
      <c r="D174" s="6" t="s">
        <v>14</v>
      </c>
      <c r="E174" s="6" t="s">
        <v>16</v>
      </c>
      <c r="F174" s="6" t="s">
        <v>21</v>
      </c>
      <c r="G174" s="6" t="s">
        <v>25</v>
      </c>
      <c r="H174" s="6" t="s">
        <v>29</v>
      </c>
      <c r="I174" s="6" t="s">
        <v>31</v>
      </c>
      <c r="J174" s="6">
        <v>17.091042999999999</v>
      </c>
      <c r="K174" s="6">
        <v>-97.499135999999993</v>
      </c>
      <c r="L174" s="6" t="str">
        <f>HYPERLINK("https://maps.google.com/?q=17.091043,-97.499135999999993", "🔗 Ver Mapa")</f>
        <v>🔗 Ver Mapa</v>
      </c>
    </row>
    <row r="175" spans="1:12" ht="29" x14ac:dyDescent="0.35">
      <c r="A175" s="5" t="s">
        <v>2</v>
      </c>
      <c r="B175" s="5" t="s">
        <v>6</v>
      </c>
      <c r="C175" s="5" t="s">
        <v>11</v>
      </c>
      <c r="D175" s="5" t="s">
        <v>14</v>
      </c>
      <c r="E175" s="5" t="s">
        <v>16</v>
      </c>
      <c r="F175" s="5" t="s">
        <v>21</v>
      </c>
      <c r="G175" s="5" t="s">
        <v>25</v>
      </c>
      <c r="H175" s="5" t="s">
        <v>29</v>
      </c>
      <c r="I175" s="5" t="s">
        <v>31</v>
      </c>
      <c r="J175" s="5">
        <v>17.091042999999999</v>
      </c>
      <c r="K175" s="5">
        <v>-97.499135999999993</v>
      </c>
      <c r="L175" s="5" t="str">
        <f>HYPERLINK("https://maps.google.com/?q=17.091043,-97.499135999999993", "🔗 Ver Mapa")</f>
        <v>🔗 Ver Mapa</v>
      </c>
    </row>
    <row r="176" spans="1:12" ht="29" x14ac:dyDescent="0.35">
      <c r="A176" s="6" t="s">
        <v>2</v>
      </c>
      <c r="B176" s="6" t="s">
        <v>6</v>
      </c>
      <c r="C176" s="6" t="s">
        <v>11</v>
      </c>
      <c r="D176" s="6" t="s">
        <v>14</v>
      </c>
      <c r="E176" s="6" t="s">
        <v>16</v>
      </c>
      <c r="F176" s="6" t="s">
        <v>21</v>
      </c>
      <c r="G176" s="6" t="s">
        <v>25</v>
      </c>
      <c r="H176" s="6" t="s">
        <v>29</v>
      </c>
      <c r="I176" s="6" t="s">
        <v>31</v>
      </c>
      <c r="J176" s="6">
        <v>17.091042999999999</v>
      </c>
      <c r="K176" s="6">
        <v>-97.499135999999993</v>
      </c>
      <c r="L176" s="6" t="str">
        <f>HYPERLINK("https://maps.google.com/?q=17.091043,-97.499135999999993", "🔗 Ver Mapa")</f>
        <v>🔗 Ver Mapa</v>
      </c>
    </row>
    <row r="177" spans="1:12" ht="29" x14ac:dyDescent="0.35">
      <c r="A177" s="5" t="s">
        <v>2</v>
      </c>
      <c r="B177" s="5" t="s">
        <v>6</v>
      </c>
      <c r="C177" s="5" t="s">
        <v>11</v>
      </c>
      <c r="D177" s="5" t="s">
        <v>14</v>
      </c>
      <c r="E177" s="5" t="s">
        <v>16</v>
      </c>
      <c r="F177" s="5" t="s">
        <v>21</v>
      </c>
      <c r="G177" s="5" t="s">
        <v>25</v>
      </c>
      <c r="H177" s="5" t="s">
        <v>29</v>
      </c>
      <c r="I177" s="5" t="s">
        <v>31</v>
      </c>
      <c r="J177" s="5">
        <v>17.091042999999999</v>
      </c>
      <c r="K177" s="5">
        <v>-97.499135999999993</v>
      </c>
      <c r="L177" s="5" t="str">
        <f>HYPERLINK("https://maps.google.com/?q=17.091043,-97.499135999999993", "🔗 Ver Mapa")</f>
        <v>🔗 Ver Mapa</v>
      </c>
    </row>
    <row r="178" spans="1:12" ht="29" x14ac:dyDescent="0.35">
      <c r="A178" s="6" t="s">
        <v>2</v>
      </c>
      <c r="B178" s="6" t="s">
        <v>6</v>
      </c>
      <c r="C178" s="6" t="s">
        <v>11</v>
      </c>
      <c r="D178" s="6" t="s">
        <v>14</v>
      </c>
      <c r="E178" s="6" t="s">
        <v>16</v>
      </c>
      <c r="F178" s="6" t="s">
        <v>21</v>
      </c>
      <c r="G178" s="6" t="s">
        <v>25</v>
      </c>
      <c r="H178" s="6" t="s">
        <v>29</v>
      </c>
      <c r="I178" s="6" t="s">
        <v>31</v>
      </c>
      <c r="J178" s="6">
        <v>17.096245</v>
      </c>
      <c r="K178" s="6">
        <v>-97.496556999999996</v>
      </c>
      <c r="L178" s="6" t="str">
        <f>HYPERLINK("https://maps.google.com/?q=17.096245,-97.496556999999996", "🔗 Ver Mapa")</f>
        <v>🔗 Ver Mapa</v>
      </c>
    </row>
    <row r="179" spans="1:12" ht="29" x14ac:dyDescent="0.35">
      <c r="A179" s="5" t="s">
        <v>2</v>
      </c>
      <c r="B179" s="5" t="s">
        <v>6</v>
      </c>
      <c r="C179" s="5" t="s">
        <v>11</v>
      </c>
      <c r="D179" s="5" t="s">
        <v>14</v>
      </c>
      <c r="E179" s="5" t="s">
        <v>16</v>
      </c>
      <c r="F179" s="5" t="s">
        <v>21</v>
      </c>
      <c r="G179" s="5" t="s">
        <v>25</v>
      </c>
      <c r="H179" s="5" t="s">
        <v>29</v>
      </c>
      <c r="I179" s="5" t="s">
        <v>31</v>
      </c>
      <c r="J179" s="5">
        <v>17.096245</v>
      </c>
      <c r="K179" s="5">
        <v>-97.496556999999996</v>
      </c>
      <c r="L179" s="5" t="str">
        <f>HYPERLINK("https://maps.google.com/?q=17.096245,-97.496556999999996", "🔗 Ver Mapa")</f>
        <v>🔗 Ver Mapa</v>
      </c>
    </row>
    <row r="180" spans="1:12" ht="29" x14ac:dyDescent="0.35">
      <c r="A180" s="6" t="s">
        <v>2</v>
      </c>
      <c r="B180" s="6" t="s">
        <v>6</v>
      </c>
      <c r="C180" s="6" t="s">
        <v>11</v>
      </c>
      <c r="D180" s="6" t="s">
        <v>14</v>
      </c>
      <c r="E180" s="6" t="s">
        <v>16</v>
      </c>
      <c r="F180" s="6" t="s">
        <v>21</v>
      </c>
      <c r="G180" s="6" t="s">
        <v>25</v>
      </c>
      <c r="H180" s="6" t="s">
        <v>29</v>
      </c>
      <c r="I180" s="6" t="s">
        <v>31</v>
      </c>
      <c r="J180" s="6">
        <v>17.096245</v>
      </c>
      <c r="K180" s="6">
        <v>-97.496556999999996</v>
      </c>
      <c r="L180" s="6" t="str">
        <f>HYPERLINK("https://maps.google.com/?q=17.096245,-97.496556999999996", "🔗 Ver Mapa")</f>
        <v>🔗 Ver Mapa</v>
      </c>
    </row>
    <row r="181" spans="1:12" ht="29" x14ac:dyDescent="0.35">
      <c r="A181" s="5" t="s">
        <v>2</v>
      </c>
      <c r="B181" s="5" t="s">
        <v>6</v>
      </c>
      <c r="C181" s="5" t="s">
        <v>11</v>
      </c>
      <c r="D181" s="5" t="s">
        <v>14</v>
      </c>
      <c r="E181" s="5" t="s">
        <v>16</v>
      </c>
      <c r="F181" s="5" t="s">
        <v>21</v>
      </c>
      <c r="G181" s="5" t="s">
        <v>25</v>
      </c>
      <c r="H181" s="5" t="s">
        <v>29</v>
      </c>
      <c r="I181" s="5" t="s">
        <v>31</v>
      </c>
      <c r="J181" s="5">
        <v>17.096245</v>
      </c>
      <c r="K181" s="5">
        <v>-97.496556999999996</v>
      </c>
      <c r="L181" s="5" t="str">
        <f>HYPERLINK("https://maps.google.com/?q=17.096245,-97.496556999999996", "🔗 Ver Mapa")</f>
        <v>🔗 Ver Mapa</v>
      </c>
    </row>
    <row r="182" spans="1:12" ht="29" x14ac:dyDescent="0.35">
      <c r="A182" s="6" t="s">
        <v>2</v>
      </c>
      <c r="B182" s="6" t="s">
        <v>6</v>
      </c>
      <c r="C182" s="6" t="s">
        <v>11</v>
      </c>
      <c r="D182" s="6" t="s">
        <v>14</v>
      </c>
      <c r="E182" s="6" t="s">
        <v>16</v>
      </c>
      <c r="F182" s="6" t="s">
        <v>21</v>
      </c>
      <c r="G182" s="6" t="s">
        <v>25</v>
      </c>
      <c r="H182" s="6" t="s">
        <v>29</v>
      </c>
      <c r="I182" s="6" t="s">
        <v>31</v>
      </c>
      <c r="J182" s="6">
        <v>17.097922000000001</v>
      </c>
      <c r="K182" s="6">
        <v>-97.492137999999997</v>
      </c>
      <c r="L182" s="6" t="str">
        <f>HYPERLINK("https://maps.google.com/?q=17.097922,-97.492137999999997", "🔗 Ver Mapa")</f>
        <v>🔗 Ver Mapa</v>
      </c>
    </row>
    <row r="183" spans="1:12" ht="29" x14ac:dyDescent="0.35">
      <c r="A183" s="5" t="s">
        <v>2</v>
      </c>
      <c r="B183" s="5" t="s">
        <v>6</v>
      </c>
      <c r="C183" s="5" t="s">
        <v>11</v>
      </c>
      <c r="D183" s="5" t="s">
        <v>14</v>
      </c>
      <c r="E183" s="5" t="s">
        <v>16</v>
      </c>
      <c r="F183" s="5" t="s">
        <v>21</v>
      </c>
      <c r="G183" s="5" t="s">
        <v>25</v>
      </c>
      <c r="H183" s="5" t="s">
        <v>29</v>
      </c>
      <c r="I183" s="5" t="s">
        <v>31</v>
      </c>
      <c r="J183" s="5">
        <v>17.097922000000001</v>
      </c>
      <c r="K183" s="5">
        <v>-97.492137999999997</v>
      </c>
      <c r="L183" s="5" t="str">
        <f>HYPERLINK("https://maps.google.com/?q=17.097922,-97.492137999999997", "🔗 Ver Mapa")</f>
        <v>🔗 Ver Mapa</v>
      </c>
    </row>
    <row r="184" spans="1:12" ht="29" x14ac:dyDescent="0.35">
      <c r="A184" s="6" t="s">
        <v>2</v>
      </c>
      <c r="B184" s="6" t="s">
        <v>6</v>
      </c>
      <c r="C184" s="6" t="s">
        <v>11</v>
      </c>
      <c r="D184" s="6" t="s">
        <v>14</v>
      </c>
      <c r="E184" s="6" t="s">
        <v>16</v>
      </c>
      <c r="F184" s="6" t="s">
        <v>21</v>
      </c>
      <c r="G184" s="6" t="s">
        <v>25</v>
      </c>
      <c r="H184" s="6" t="s">
        <v>29</v>
      </c>
      <c r="I184" s="6" t="s">
        <v>31</v>
      </c>
      <c r="J184" s="6">
        <v>17.097922000000001</v>
      </c>
      <c r="K184" s="6">
        <v>-97.492137999999997</v>
      </c>
      <c r="L184" s="6" t="str">
        <f>HYPERLINK("https://maps.google.com/?q=17.097922,-97.492137999999997", "🔗 Ver Mapa")</f>
        <v>🔗 Ver Mapa</v>
      </c>
    </row>
    <row r="185" spans="1:12" ht="29" x14ac:dyDescent="0.35">
      <c r="A185" s="5" t="s">
        <v>2</v>
      </c>
      <c r="B185" s="5" t="s">
        <v>6</v>
      </c>
      <c r="C185" s="5" t="s">
        <v>11</v>
      </c>
      <c r="D185" s="5" t="s">
        <v>14</v>
      </c>
      <c r="E185" s="5" t="s">
        <v>16</v>
      </c>
      <c r="F185" s="5" t="s">
        <v>21</v>
      </c>
      <c r="G185" s="5" t="s">
        <v>25</v>
      </c>
      <c r="H185" s="5" t="s">
        <v>29</v>
      </c>
      <c r="I185" s="5" t="s">
        <v>31</v>
      </c>
      <c r="J185" s="5">
        <v>17.097922000000001</v>
      </c>
      <c r="K185" s="5">
        <v>-97.492137999999997</v>
      </c>
      <c r="L185" s="5" t="str">
        <f>HYPERLINK("https://maps.google.com/?q=17.097922,-97.492137999999997", "🔗 Ver Mapa")</f>
        <v>🔗 Ver Mapa</v>
      </c>
    </row>
    <row r="186" spans="1:12" ht="29" x14ac:dyDescent="0.35">
      <c r="A186" s="6" t="s">
        <v>2</v>
      </c>
      <c r="B186" s="6" t="s">
        <v>6</v>
      </c>
      <c r="C186" s="6" t="s">
        <v>11</v>
      </c>
      <c r="D186" s="6" t="s">
        <v>14</v>
      </c>
      <c r="E186" s="6" t="s">
        <v>16</v>
      </c>
      <c r="F186" s="6" t="s">
        <v>21</v>
      </c>
      <c r="G186" s="6" t="s">
        <v>25</v>
      </c>
      <c r="H186" s="6" t="s">
        <v>29</v>
      </c>
      <c r="I186" s="6" t="s">
        <v>31</v>
      </c>
      <c r="J186" s="6">
        <v>17.094733999999999</v>
      </c>
      <c r="K186" s="6">
        <v>-97.497703000000001</v>
      </c>
      <c r="L186" s="6" t="str">
        <f>HYPERLINK("https://maps.google.com/?q=17.094734,-97.497703000000001", "🔗 Ver Mapa")</f>
        <v>🔗 Ver Mapa</v>
      </c>
    </row>
    <row r="187" spans="1:12" ht="29" x14ac:dyDescent="0.35">
      <c r="A187" s="5" t="s">
        <v>2</v>
      </c>
      <c r="B187" s="5" t="s">
        <v>6</v>
      </c>
      <c r="C187" s="5" t="s">
        <v>11</v>
      </c>
      <c r="D187" s="5" t="s">
        <v>14</v>
      </c>
      <c r="E187" s="5" t="s">
        <v>16</v>
      </c>
      <c r="F187" s="5" t="s">
        <v>21</v>
      </c>
      <c r="G187" s="5" t="s">
        <v>25</v>
      </c>
      <c r="H187" s="5" t="s">
        <v>29</v>
      </c>
      <c r="I187" s="5" t="s">
        <v>31</v>
      </c>
      <c r="J187" s="5">
        <v>17.094733999999999</v>
      </c>
      <c r="K187" s="5">
        <v>-97.497703000000001</v>
      </c>
      <c r="L187" s="5" t="str">
        <f>HYPERLINK("https://maps.google.com/?q=17.094734,-97.497703000000001", "🔗 Ver Mapa")</f>
        <v>🔗 Ver Mapa</v>
      </c>
    </row>
    <row r="188" spans="1:12" ht="29" x14ac:dyDescent="0.35">
      <c r="A188" s="6" t="s">
        <v>2</v>
      </c>
      <c r="B188" s="6" t="s">
        <v>6</v>
      </c>
      <c r="C188" s="6" t="s">
        <v>11</v>
      </c>
      <c r="D188" s="6" t="s">
        <v>14</v>
      </c>
      <c r="E188" s="6" t="s">
        <v>16</v>
      </c>
      <c r="F188" s="6" t="s">
        <v>21</v>
      </c>
      <c r="G188" s="6" t="s">
        <v>25</v>
      </c>
      <c r="H188" s="6" t="s">
        <v>29</v>
      </c>
      <c r="I188" s="6" t="s">
        <v>31</v>
      </c>
      <c r="J188" s="6">
        <v>17.094733999999999</v>
      </c>
      <c r="K188" s="6">
        <v>-97.497703000000001</v>
      </c>
      <c r="L188" s="6" t="str">
        <f>HYPERLINK("https://maps.google.com/?q=17.094734,-97.497703000000001", "🔗 Ver Mapa")</f>
        <v>🔗 Ver Mapa</v>
      </c>
    </row>
    <row r="189" spans="1:12" ht="29" x14ac:dyDescent="0.35">
      <c r="A189" s="5" t="s">
        <v>2</v>
      </c>
      <c r="B189" s="5" t="s">
        <v>6</v>
      </c>
      <c r="C189" s="5" t="s">
        <v>11</v>
      </c>
      <c r="D189" s="5" t="s">
        <v>14</v>
      </c>
      <c r="E189" s="5" t="s">
        <v>16</v>
      </c>
      <c r="F189" s="5" t="s">
        <v>21</v>
      </c>
      <c r="G189" s="5" t="s">
        <v>25</v>
      </c>
      <c r="H189" s="5" t="s">
        <v>29</v>
      </c>
      <c r="I189" s="5" t="s">
        <v>31</v>
      </c>
      <c r="J189" s="5">
        <v>17.094733999999999</v>
      </c>
      <c r="K189" s="5">
        <v>-97.497703000000001</v>
      </c>
      <c r="L189" s="5" t="str">
        <f>HYPERLINK("https://maps.google.com/?q=17.094734,-97.497703000000001", "🔗 Ver Mapa")</f>
        <v>🔗 Ver Mapa</v>
      </c>
    </row>
    <row r="190" spans="1:12" ht="29" x14ac:dyDescent="0.35">
      <c r="A190" s="6" t="s">
        <v>2</v>
      </c>
      <c r="B190" s="6" t="s">
        <v>6</v>
      </c>
      <c r="C190" s="6" t="s">
        <v>11</v>
      </c>
      <c r="D190" s="6" t="s">
        <v>14</v>
      </c>
      <c r="E190" s="6" t="s">
        <v>16</v>
      </c>
      <c r="F190" s="6" t="s">
        <v>21</v>
      </c>
      <c r="G190" s="6" t="s">
        <v>25</v>
      </c>
      <c r="H190" s="6" t="s">
        <v>29</v>
      </c>
      <c r="I190" s="6" t="s">
        <v>31</v>
      </c>
      <c r="J190" s="6">
        <v>17.091356000000001</v>
      </c>
      <c r="K190" s="6">
        <v>-97.491883000000001</v>
      </c>
      <c r="L190" s="6" t="str">
        <f>HYPERLINK("https://maps.google.com/?q=17.091356,-97.491883000000001", "🔗 Ver Mapa")</f>
        <v>🔗 Ver Mapa</v>
      </c>
    </row>
    <row r="191" spans="1:12" ht="29" x14ac:dyDescent="0.35">
      <c r="A191" s="5" t="s">
        <v>2</v>
      </c>
      <c r="B191" s="5" t="s">
        <v>6</v>
      </c>
      <c r="C191" s="5" t="s">
        <v>11</v>
      </c>
      <c r="D191" s="5" t="s">
        <v>14</v>
      </c>
      <c r="E191" s="5" t="s">
        <v>16</v>
      </c>
      <c r="F191" s="5" t="s">
        <v>21</v>
      </c>
      <c r="G191" s="5" t="s">
        <v>25</v>
      </c>
      <c r="H191" s="5" t="s">
        <v>29</v>
      </c>
      <c r="I191" s="5" t="s">
        <v>31</v>
      </c>
      <c r="J191" s="5">
        <v>17.091356000000001</v>
      </c>
      <c r="K191" s="5">
        <v>-97.491883000000001</v>
      </c>
      <c r="L191" s="5" t="str">
        <f>HYPERLINK("https://maps.google.com/?q=17.091356,-97.491883000000001", "🔗 Ver Mapa")</f>
        <v>🔗 Ver Mapa</v>
      </c>
    </row>
    <row r="192" spans="1:12" ht="29" x14ac:dyDescent="0.35">
      <c r="A192" s="6" t="s">
        <v>2</v>
      </c>
      <c r="B192" s="6" t="s">
        <v>6</v>
      </c>
      <c r="C192" s="6" t="s">
        <v>11</v>
      </c>
      <c r="D192" s="6" t="s">
        <v>14</v>
      </c>
      <c r="E192" s="6" t="s">
        <v>16</v>
      </c>
      <c r="F192" s="6" t="s">
        <v>21</v>
      </c>
      <c r="G192" s="6" t="s">
        <v>25</v>
      </c>
      <c r="H192" s="6" t="s">
        <v>29</v>
      </c>
      <c r="I192" s="6" t="s">
        <v>31</v>
      </c>
      <c r="J192" s="6">
        <v>17.091356000000001</v>
      </c>
      <c r="K192" s="6">
        <v>-97.491883000000001</v>
      </c>
      <c r="L192" s="6" t="str">
        <f>HYPERLINK("https://maps.google.com/?q=17.091356,-97.491883000000001", "🔗 Ver Mapa")</f>
        <v>🔗 Ver Mapa</v>
      </c>
    </row>
    <row r="193" spans="1:12" ht="29" x14ac:dyDescent="0.35">
      <c r="A193" s="5" t="s">
        <v>2</v>
      </c>
      <c r="B193" s="5" t="s">
        <v>6</v>
      </c>
      <c r="C193" s="5" t="s">
        <v>11</v>
      </c>
      <c r="D193" s="5" t="s">
        <v>14</v>
      </c>
      <c r="E193" s="5" t="s">
        <v>16</v>
      </c>
      <c r="F193" s="5" t="s">
        <v>21</v>
      </c>
      <c r="G193" s="5" t="s">
        <v>25</v>
      </c>
      <c r="H193" s="5" t="s">
        <v>29</v>
      </c>
      <c r="I193" s="5" t="s">
        <v>31</v>
      </c>
      <c r="J193" s="5">
        <v>17.091356000000001</v>
      </c>
      <c r="K193" s="5">
        <v>-97.491883000000001</v>
      </c>
      <c r="L193" s="5" t="str">
        <f>HYPERLINK("https://maps.google.com/?q=17.091356,-97.491883000000001", "🔗 Ver Mapa")</f>
        <v>🔗 Ver Mapa</v>
      </c>
    </row>
    <row r="194" spans="1:12" ht="29" x14ac:dyDescent="0.35">
      <c r="A194" s="6" t="s">
        <v>2</v>
      </c>
      <c r="B194" s="6" t="s">
        <v>6</v>
      </c>
      <c r="C194" s="6" t="s">
        <v>11</v>
      </c>
      <c r="D194" s="6" t="s">
        <v>14</v>
      </c>
      <c r="E194" s="6" t="s">
        <v>16</v>
      </c>
      <c r="F194" s="6" t="s">
        <v>21</v>
      </c>
      <c r="G194" s="6" t="s">
        <v>25</v>
      </c>
      <c r="H194" s="6" t="s">
        <v>29</v>
      </c>
      <c r="I194" s="6" t="s">
        <v>31</v>
      </c>
      <c r="J194" s="6">
        <v>17.090076</v>
      </c>
      <c r="K194" s="6">
        <v>-97.503742000000003</v>
      </c>
      <c r="L194" s="6" t="str">
        <f>HYPERLINK("https://maps.google.com/?q=17.090076,-97.503742000000003", "🔗 Ver Mapa")</f>
        <v>🔗 Ver Mapa</v>
      </c>
    </row>
    <row r="195" spans="1:12" ht="29" x14ac:dyDescent="0.35">
      <c r="A195" s="5" t="s">
        <v>2</v>
      </c>
      <c r="B195" s="5" t="s">
        <v>6</v>
      </c>
      <c r="C195" s="5" t="s">
        <v>11</v>
      </c>
      <c r="D195" s="5" t="s">
        <v>14</v>
      </c>
      <c r="E195" s="5" t="s">
        <v>16</v>
      </c>
      <c r="F195" s="5" t="s">
        <v>21</v>
      </c>
      <c r="G195" s="5" t="s">
        <v>25</v>
      </c>
      <c r="H195" s="5" t="s">
        <v>29</v>
      </c>
      <c r="I195" s="5" t="s">
        <v>31</v>
      </c>
      <c r="J195" s="5">
        <v>17.090076</v>
      </c>
      <c r="K195" s="5">
        <v>-97.503742000000003</v>
      </c>
      <c r="L195" s="5" t="str">
        <f>HYPERLINK("https://maps.google.com/?q=17.090076,-97.503742000000003", "🔗 Ver Mapa")</f>
        <v>🔗 Ver Mapa</v>
      </c>
    </row>
    <row r="196" spans="1:12" ht="29" x14ac:dyDescent="0.35">
      <c r="A196" s="6" t="s">
        <v>2</v>
      </c>
      <c r="B196" s="6" t="s">
        <v>6</v>
      </c>
      <c r="C196" s="6" t="s">
        <v>11</v>
      </c>
      <c r="D196" s="6" t="s">
        <v>14</v>
      </c>
      <c r="E196" s="6" t="s">
        <v>16</v>
      </c>
      <c r="F196" s="6" t="s">
        <v>21</v>
      </c>
      <c r="G196" s="6" t="s">
        <v>25</v>
      </c>
      <c r="H196" s="6" t="s">
        <v>29</v>
      </c>
      <c r="I196" s="6" t="s">
        <v>31</v>
      </c>
      <c r="J196" s="6">
        <v>17.090076</v>
      </c>
      <c r="K196" s="6">
        <v>-97.503742000000003</v>
      </c>
      <c r="L196" s="6" t="str">
        <f>HYPERLINK("https://maps.google.com/?q=17.090076,-97.503742000000003", "🔗 Ver Mapa")</f>
        <v>🔗 Ver Mapa</v>
      </c>
    </row>
    <row r="197" spans="1:12" ht="29" x14ac:dyDescent="0.35">
      <c r="A197" s="5" t="s">
        <v>2</v>
      </c>
      <c r="B197" s="5" t="s">
        <v>6</v>
      </c>
      <c r="C197" s="5" t="s">
        <v>11</v>
      </c>
      <c r="D197" s="5" t="s">
        <v>14</v>
      </c>
      <c r="E197" s="5" t="s">
        <v>16</v>
      </c>
      <c r="F197" s="5" t="s">
        <v>21</v>
      </c>
      <c r="G197" s="5" t="s">
        <v>25</v>
      </c>
      <c r="H197" s="5" t="s">
        <v>29</v>
      </c>
      <c r="I197" s="5" t="s">
        <v>31</v>
      </c>
      <c r="J197" s="5">
        <v>17.090076</v>
      </c>
      <c r="K197" s="5">
        <v>-97.503742000000003</v>
      </c>
      <c r="L197" s="5" t="str">
        <f>HYPERLINK("https://maps.google.com/?q=17.090076,-97.503742000000003", "🔗 Ver Mapa")</f>
        <v>🔗 Ver Mapa</v>
      </c>
    </row>
    <row r="198" spans="1:12" ht="29" x14ac:dyDescent="0.35">
      <c r="A198" s="6" t="s">
        <v>2</v>
      </c>
      <c r="B198" s="6" t="s">
        <v>6</v>
      </c>
      <c r="C198" s="6" t="s">
        <v>11</v>
      </c>
      <c r="D198" s="6" t="s">
        <v>14</v>
      </c>
      <c r="E198" s="6" t="s">
        <v>16</v>
      </c>
      <c r="F198" s="6" t="s">
        <v>21</v>
      </c>
      <c r="G198" s="6" t="s">
        <v>25</v>
      </c>
      <c r="H198" s="6" t="s">
        <v>29</v>
      </c>
      <c r="I198" s="6" t="s">
        <v>31</v>
      </c>
      <c r="J198" s="6">
        <v>17.095034999999999</v>
      </c>
      <c r="K198" s="6">
        <v>-97.494039000000001</v>
      </c>
      <c r="L198" s="6" t="str">
        <f>HYPERLINK("https://maps.google.com/?q=17.095035,-97.494039000000001", "🔗 Ver Mapa")</f>
        <v>🔗 Ver Mapa</v>
      </c>
    </row>
    <row r="199" spans="1:12" ht="29" x14ac:dyDescent="0.35">
      <c r="A199" s="5" t="s">
        <v>2</v>
      </c>
      <c r="B199" s="5" t="s">
        <v>6</v>
      </c>
      <c r="C199" s="5" t="s">
        <v>11</v>
      </c>
      <c r="D199" s="5" t="s">
        <v>14</v>
      </c>
      <c r="E199" s="5" t="s">
        <v>16</v>
      </c>
      <c r="F199" s="5" t="s">
        <v>21</v>
      </c>
      <c r="G199" s="5" t="s">
        <v>25</v>
      </c>
      <c r="H199" s="5" t="s">
        <v>29</v>
      </c>
      <c r="I199" s="5" t="s">
        <v>31</v>
      </c>
      <c r="J199" s="5">
        <v>17.095034999999999</v>
      </c>
      <c r="K199" s="5">
        <v>-97.494039000000001</v>
      </c>
      <c r="L199" s="5" t="str">
        <f>HYPERLINK("https://maps.google.com/?q=17.095035,-97.494039000000001", "🔗 Ver Mapa")</f>
        <v>🔗 Ver Mapa</v>
      </c>
    </row>
    <row r="200" spans="1:12" ht="29" x14ac:dyDescent="0.35">
      <c r="A200" s="6" t="s">
        <v>2</v>
      </c>
      <c r="B200" s="6" t="s">
        <v>6</v>
      </c>
      <c r="C200" s="6" t="s">
        <v>11</v>
      </c>
      <c r="D200" s="6" t="s">
        <v>14</v>
      </c>
      <c r="E200" s="6" t="s">
        <v>16</v>
      </c>
      <c r="F200" s="6" t="s">
        <v>21</v>
      </c>
      <c r="G200" s="6" t="s">
        <v>25</v>
      </c>
      <c r="H200" s="6" t="s">
        <v>29</v>
      </c>
      <c r="I200" s="6" t="s">
        <v>31</v>
      </c>
      <c r="J200" s="6">
        <v>17.095034999999999</v>
      </c>
      <c r="K200" s="6">
        <v>-97.494039000000001</v>
      </c>
      <c r="L200" s="6" t="str">
        <f>HYPERLINK("https://maps.google.com/?q=17.095035,-97.494039000000001", "🔗 Ver Mapa")</f>
        <v>🔗 Ver Mapa</v>
      </c>
    </row>
    <row r="201" spans="1:12" ht="29" x14ac:dyDescent="0.35">
      <c r="A201" s="5" t="s">
        <v>2</v>
      </c>
      <c r="B201" s="5" t="s">
        <v>6</v>
      </c>
      <c r="C201" s="5" t="s">
        <v>11</v>
      </c>
      <c r="D201" s="5" t="s">
        <v>14</v>
      </c>
      <c r="E201" s="5" t="s">
        <v>16</v>
      </c>
      <c r="F201" s="5" t="s">
        <v>21</v>
      </c>
      <c r="G201" s="5" t="s">
        <v>25</v>
      </c>
      <c r="H201" s="5" t="s">
        <v>29</v>
      </c>
      <c r="I201" s="5" t="s">
        <v>31</v>
      </c>
      <c r="J201" s="5">
        <v>17.095034999999999</v>
      </c>
      <c r="K201" s="5">
        <v>-97.494039000000001</v>
      </c>
      <c r="L201" s="5" t="str">
        <f>HYPERLINK("https://maps.google.com/?q=17.095035,-97.494039000000001", "🔗 Ver Mapa")</f>
        <v>🔗 Ver Mapa</v>
      </c>
    </row>
    <row r="202" spans="1:12" ht="29" x14ac:dyDescent="0.35">
      <c r="A202" s="6" t="s">
        <v>2</v>
      </c>
      <c r="B202" s="6" t="s">
        <v>6</v>
      </c>
      <c r="C202" s="6" t="s">
        <v>11</v>
      </c>
      <c r="D202" s="6" t="s">
        <v>14</v>
      </c>
      <c r="E202" s="6" t="s">
        <v>16</v>
      </c>
      <c r="F202" s="6" t="s">
        <v>21</v>
      </c>
      <c r="G202" s="6" t="s">
        <v>25</v>
      </c>
      <c r="H202" s="6" t="s">
        <v>29</v>
      </c>
      <c r="I202" s="6" t="s">
        <v>31</v>
      </c>
      <c r="J202" s="6">
        <v>17.095144000000001</v>
      </c>
      <c r="K202" s="6">
        <v>-97.503765999999999</v>
      </c>
      <c r="L202" s="6" t="str">
        <f>HYPERLINK("https://maps.google.com/?q=17.095144,-97.503765999999999", "🔗 Ver Mapa")</f>
        <v>🔗 Ver Mapa</v>
      </c>
    </row>
    <row r="203" spans="1:12" ht="29" x14ac:dyDescent="0.35">
      <c r="A203" s="5" t="s">
        <v>2</v>
      </c>
      <c r="B203" s="5" t="s">
        <v>6</v>
      </c>
      <c r="C203" s="5" t="s">
        <v>11</v>
      </c>
      <c r="D203" s="5" t="s">
        <v>14</v>
      </c>
      <c r="E203" s="5" t="s">
        <v>16</v>
      </c>
      <c r="F203" s="5" t="s">
        <v>21</v>
      </c>
      <c r="G203" s="5" t="s">
        <v>25</v>
      </c>
      <c r="H203" s="5" t="s">
        <v>29</v>
      </c>
      <c r="I203" s="5" t="s">
        <v>31</v>
      </c>
      <c r="J203" s="5">
        <v>17.095144000000001</v>
      </c>
      <c r="K203" s="5">
        <v>-97.503765999999999</v>
      </c>
      <c r="L203" s="5" t="str">
        <f>HYPERLINK("https://maps.google.com/?q=17.095144,-97.503765999999999", "🔗 Ver Mapa")</f>
        <v>🔗 Ver Mapa</v>
      </c>
    </row>
    <row r="204" spans="1:12" ht="29" x14ac:dyDescent="0.35">
      <c r="A204" s="6" t="s">
        <v>2</v>
      </c>
      <c r="B204" s="6" t="s">
        <v>6</v>
      </c>
      <c r="C204" s="6" t="s">
        <v>11</v>
      </c>
      <c r="D204" s="6" t="s">
        <v>14</v>
      </c>
      <c r="E204" s="6" t="s">
        <v>16</v>
      </c>
      <c r="F204" s="6" t="s">
        <v>21</v>
      </c>
      <c r="G204" s="6" t="s">
        <v>25</v>
      </c>
      <c r="H204" s="6" t="s">
        <v>29</v>
      </c>
      <c r="I204" s="6" t="s">
        <v>31</v>
      </c>
      <c r="J204" s="6">
        <v>17.095144000000001</v>
      </c>
      <c r="K204" s="6">
        <v>-97.503765999999999</v>
      </c>
      <c r="L204" s="6" t="str">
        <f>HYPERLINK("https://maps.google.com/?q=17.095144,-97.503765999999999", "🔗 Ver Mapa")</f>
        <v>🔗 Ver Mapa</v>
      </c>
    </row>
    <row r="205" spans="1:12" ht="29" x14ac:dyDescent="0.35">
      <c r="A205" s="5" t="s">
        <v>2</v>
      </c>
      <c r="B205" s="5" t="s">
        <v>6</v>
      </c>
      <c r="C205" s="5" t="s">
        <v>11</v>
      </c>
      <c r="D205" s="5" t="s">
        <v>14</v>
      </c>
      <c r="E205" s="5" t="s">
        <v>16</v>
      </c>
      <c r="F205" s="5" t="s">
        <v>21</v>
      </c>
      <c r="G205" s="5" t="s">
        <v>25</v>
      </c>
      <c r="H205" s="5" t="s">
        <v>29</v>
      </c>
      <c r="I205" s="5" t="s">
        <v>31</v>
      </c>
      <c r="J205" s="5">
        <v>17.095144000000001</v>
      </c>
      <c r="K205" s="5">
        <v>-97.503765999999999</v>
      </c>
      <c r="L205" s="5" t="str">
        <f>HYPERLINK("https://maps.google.com/?q=17.095144,-97.503765999999999", "🔗 Ver Mapa")</f>
        <v>🔗 Ver Mapa</v>
      </c>
    </row>
    <row r="206" spans="1:12" ht="29" x14ac:dyDescent="0.35">
      <c r="A206" s="6" t="s">
        <v>2</v>
      </c>
      <c r="B206" s="6" t="s">
        <v>6</v>
      </c>
      <c r="C206" s="6" t="s">
        <v>36</v>
      </c>
      <c r="D206" s="6" t="s">
        <v>14</v>
      </c>
      <c r="E206" s="6" t="s">
        <v>16</v>
      </c>
      <c r="F206" s="6" t="s">
        <v>21</v>
      </c>
      <c r="G206" s="6" t="s">
        <v>25</v>
      </c>
      <c r="H206" s="6" t="s">
        <v>29</v>
      </c>
      <c r="I206" s="6" t="s">
        <v>31</v>
      </c>
      <c r="J206" s="6">
        <v>17.095454</v>
      </c>
      <c r="K206" s="6">
        <v>-97.498896000000002</v>
      </c>
      <c r="L206" s="6" t="str">
        <f>HYPERLINK("https://maps.google.com/?q=17.095454,-97.498896000000002", "🔗 Ver Mapa")</f>
        <v>🔗 Ver Mapa</v>
      </c>
    </row>
    <row r="207" spans="1:12" ht="29" x14ac:dyDescent="0.35">
      <c r="A207" s="5" t="s">
        <v>2</v>
      </c>
      <c r="B207" s="5" t="s">
        <v>6</v>
      </c>
      <c r="C207" s="5" t="s">
        <v>36</v>
      </c>
      <c r="D207" s="5" t="s">
        <v>14</v>
      </c>
      <c r="E207" s="5" t="s">
        <v>16</v>
      </c>
      <c r="F207" s="5" t="s">
        <v>21</v>
      </c>
      <c r="G207" s="5" t="s">
        <v>25</v>
      </c>
      <c r="H207" s="5" t="s">
        <v>29</v>
      </c>
      <c r="I207" s="5" t="s">
        <v>31</v>
      </c>
      <c r="J207" s="5">
        <v>17.097170999999999</v>
      </c>
      <c r="K207" s="5">
        <v>-97.493083999999996</v>
      </c>
      <c r="L207" s="5" t="str">
        <f>HYPERLINK("https://maps.google.com/?q=17.097171,-97.493083999999996", "🔗 Ver Mapa")</f>
        <v>🔗 Ver Mapa</v>
      </c>
    </row>
    <row r="208" spans="1:12" ht="29" x14ac:dyDescent="0.35">
      <c r="A208" s="6" t="s">
        <v>2</v>
      </c>
      <c r="B208" s="6" t="s">
        <v>6</v>
      </c>
      <c r="C208" s="6" t="s">
        <v>36</v>
      </c>
      <c r="D208" s="6" t="s">
        <v>14</v>
      </c>
      <c r="E208" s="6" t="s">
        <v>16</v>
      </c>
      <c r="F208" s="6" t="s">
        <v>21</v>
      </c>
      <c r="G208" s="6" t="s">
        <v>25</v>
      </c>
      <c r="H208" s="6" t="s">
        <v>29</v>
      </c>
      <c r="I208" s="6" t="s">
        <v>31</v>
      </c>
      <c r="J208" s="6">
        <v>17.090845000000002</v>
      </c>
      <c r="K208" s="6">
        <v>-97.499115000000003</v>
      </c>
      <c r="L208" s="6" t="str">
        <f>HYPERLINK("https://maps.google.com/?q=17.090845,-97.499115000000003", "🔗 Ver Mapa")</f>
        <v>🔗 Ver Mapa</v>
      </c>
    </row>
    <row r="209" spans="1:12" ht="29" x14ac:dyDescent="0.35">
      <c r="A209" s="5" t="s">
        <v>2</v>
      </c>
      <c r="B209" s="5" t="s">
        <v>6</v>
      </c>
      <c r="C209" s="5" t="s">
        <v>36</v>
      </c>
      <c r="D209" s="5" t="s">
        <v>14</v>
      </c>
      <c r="E209" s="5" t="s">
        <v>16</v>
      </c>
      <c r="F209" s="5" t="s">
        <v>21</v>
      </c>
      <c r="G209" s="5" t="s">
        <v>25</v>
      </c>
      <c r="H209" s="5" t="s">
        <v>29</v>
      </c>
      <c r="I209" s="5" t="s">
        <v>31</v>
      </c>
      <c r="J209" s="5">
        <v>17.096420999999999</v>
      </c>
      <c r="K209" s="5">
        <v>-97.496446000000006</v>
      </c>
      <c r="L209" s="5" t="str">
        <f>HYPERLINK("https://maps.google.com/?q=17.096421,-97.496446000000006", "🔗 Ver Mapa")</f>
        <v>🔗 Ver Mapa</v>
      </c>
    </row>
    <row r="210" spans="1:12" ht="29" x14ac:dyDescent="0.35">
      <c r="A210" s="6" t="s">
        <v>2</v>
      </c>
      <c r="B210" s="6" t="s">
        <v>6</v>
      </c>
      <c r="C210" s="6" t="s">
        <v>36</v>
      </c>
      <c r="D210" s="6" t="s">
        <v>14</v>
      </c>
      <c r="E210" s="6" t="s">
        <v>16</v>
      </c>
      <c r="F210" s="6" t="s">
        <v>21</v>
      </c>
      <c r="G210" s="6" t="s">
        <v>25</v>
      </c>
      <c r="H210" s="6" t="s">
        <v>29</v>
      </c>
      <c r="I210" s="6" t="s">
        <v>31</v>
      </c>
      <c r="J210" s="6">
        <v>17.097238999999998</v>
      </c>
      <c r="K210" s="6">
        <v>-97.495690999999994</v>
      </c>
      <c r="L210" s="6" t="str">
        <f>HYPERLINK("https://maps.google.com/?q=17.097239,-97.495690999999994", "🔗 Ver Mapa")</f>
        <v>🔗 Ver Mapa</v>
      </c>
    </row>
    <row r="211" spans="1:12" ht="29" x14ac:dyDescent="0.35">
      <c r="A211" s="5" t="s">
        <v>2</v>
      </c>
      <c r="B211" s="5" t="s">
        <v>6</v>
      </c>
      <c r="C211" s="5" t="s">
        <v>36</v>
      </c>
      <c r="D211" s="5" t="s">
        <v>14</v>
      </c>
      <c r="E211" s="5" t="s">
        <v>16</v>
      </c>
      <c r="F211" s="5" t="s">
        <v>21</v>
      </c>
      <c r="G211" s="5" t="s">
        <v>25</v>
      </c>
      <c r="H211" s="5" t="s">
        <v>29</v>
      </c>
      <c r="I211" s="5" t="s">
        <v>31</v>
      </c>
      <c r="J211" s="5">
        <v>17.094916000000001</v>
      </c>
      <c r="K211" s="5">
        <v>-97.496458000000004</v>
      </c>
      <c r="L211" s="5" t="str">
        <f>HYPERLINK("https://maps.google.com/?q=17.094916,-97.496458000000004", "🔗 Ver Mapa")</f>
        <v>🔗 Ver Mapa</v>
      </c>
    </row>
    <row r="212" spans="1:12" ht="29" x14ac:dyDescent="0.35">
      <c r="A212" s="6" t="s">
        <v>2</v>
      </c>
      <c r="B212" s="6" t="s">
        <v>6</v>
      </c>
      <c r="C212" s="6" t="s">
        <v>36</v>
      </c>
      <c r="D212" s="6" t="s">
        <v>14</v>
      </c>
      <c r="E212" s="6" t="s">
        <v>16</v>
      </c>
      <c r="F212" s="6" t="s">
        <v>21</v>
      </c>
      <c r="G212" s="6" t="s">
        <v>25</v>
      </c>
      <c r="H212" s="6" t="s">
        <v>29</v>
      </c>
      <c r="I212" s="6" t="s">
        <v>31</v>
      </c>
      <c r="J212" s="6">
        <v>17.091677000000001</v>
      </c>
      <c r="K212" s="6">
        <v>-97.496729000000002</v>
      </c>
      <c r="L212" s="6" t="str">
        <f>HYPERLINK("https://maps.google.com/?q=17.091677,-97.496729000000002", "🔗 Ver Mapa")</f>
        <v>🔗 Ver Mapa</v>
      </c>
    </row>
    <row r="213" spans="1:12" ht="29" x14ac:dyDescent="0.35">
      <c r="A213" s="5" t="s">
        <v>2</v>
      </c>
      <c r="B213" s="5" t="s">
        <v>6</v>
      </c>
      <c r="C213" s="5" t="s">
        <v>36</v>
      </c>
      <c r="D213" s="5" t="s">
        <v>14</v>
      </c>
      <c r="E213" s="5" t="s">
        <v>16</v>
      </c>
      <c r="F213" s="5" t="s">
        <v>21</v>
      </c>
      <c r="G213" s="5" t="s">
        <v>25</v>
      </c>
      <c r="H213" s="5" t="s">
        <v>29</v>
      </c>
      <c r="I213" s="5" t="s">
        <v>31</v>
      </c>
      <c r="J213" s="5">
        <v>17.094127</v>
      </c>
      <c r="K213" s="5">
        <v>-97.495258000000007</v>
      </c>
      <c r="L213" s="5" t="str">
        <f>HYPERLINK("https://maps.google.com/?q=17.094127,-97.495258000000007", "🔗 Ver Mapa")</f>
        <v>🔗 Ver Mapa</v>
      </c>
    </row>
    <row r="214" spans="1:12" ht="29" x14ac:dyDescent="0.35">
      <c r="A214" s="6" t="s">
        <v>2</v>
      </c>
      <c r="B214" s="6" t="s">
        <v>6</v>
      </c>
      <c r="C214" s="6" t="s">
        <v>36</v>
      </c>
      <c r="D214" s="6" t="s">
        <v>14</v>
      </c>
      <c r="E214" s="6" t="s">
        <v>16</v>
      </c>
      <c r="F214" s="6" t="s">
        <v>21</v>
      </c>
      <c r="G214" s="6" t="s">
        <v>25</v>
      </c>
      <c r="H214" s="6" t="s">
        <v>29</v>
      </c>
      <c r="I214" s="6" t="s">
        <v>31</v>
      </c>
      <c r="J214" s="6">
        <v>17.095694999999999</v>
      </c>
      <c r="K214" s="6">
        <v>-97.495779999999996</v>
      </c>
      <c r="L214" s="6" t="str">
        <f>HYPERLINK("https://maps.google.com/?q=17.095695,-97.495779999999996", "🔗 Ver Mapa")</f>
        <v>🔗 Ver Mapa</v>
      </c>
    </row>
    <row r="215" spans="1:12" ht="29" x14ac:dyDescent="0.35">
      <c r="A215" s="5" t="s">
        <v>2</v>
      </c>
      <c r="B215" s="5" t="s">
        <v>6</v>
      </c>
      <c r="C215" s="5" t="s">
        <v>36</v>
      </c>
      <c r="D215" s="5" t="s">
        <v>14</v>
      </c>
      <c r="E215" s="5" t="s">
        <v>16</v>
      </c>
      <c r="F215" s="5" t="s">
        <v>21</v>
      </c>
      <c r="G215" s="5" t="s">
        <v>25</v>
      </c>
      <c r="H215" s="5" t="s">
        <v>29</v>
      </c>
      <c r="I215" s="5" t="s">
        <v>31</v>
      </c>
      <c r="J215" s="5">
        <v>17.091930000000001</v>
      </c>
      <c r="K215" s="5">
        <v>-97.498749000000004</v>
      </c>
      <c r="L215" s="5" t="str">
        <f>HYPERLINK("https://maps.google.com/?q=17.09193,-97.498749000000004", "🔗 Ver Mapa")</f>
        <v>🔗 Ver Mapa</v>
      </c>
    </row>
    <row r="216" spans="1:12" ht="29" x14ac:dyDescent="0.35">
      <c r="A216" s="6" t="s">
        <v>2</v>
      </c>
      <c r="B216" s="6" t="s">
        <v>6</v>
      </c>
      <c r="C216" s="6" t="s">
        <v>36</v>
      </c>
      <c r="D216" s="6" t="s">
        <v>14</v>
      </c>
      <c r="E216" s="6" t="s">
        <v>16</v>
      </c>
      <c r="F216" s="6" t="s">
        <v>21</v>
      </c>
      <c r="G216" s="6" t="s">
        <v>25</v>
      </c>
      <c r="H216" s="6" t="s">
        <v>29</v>
      </c>
      <c r="I216" s="6" t="s">
        <v>31</v>
      </c>
      <c r="J216" s="6">
        <v>17.093053000000001</v>
      </c>
      <c r="K216" s="6">
        <v>-97.497435999999993</v>
      </c>
      <c r="L216" s="6" t="str">
        <f>HYPERLINK("https://maps.google.com/?q=17.093053,-97.497435999999993", "🔗 Ver Mapa")</f>
        <v>🔗 Ver Mapa</v>
      </c>
    </row>
    <row r="217" spans="1:12" ht="29" x14ac:dyDescent="0.35">
      <c r="A217" s="5" t="s">
        <v>2</v>
      </c>
      <c r="B217" s="5" t="s">
        <v>6</v>
      </c>
      <c r="C217" s="5" t="s">
        <v>36</v>
      </c>
      <c r="D217" s="5" t="s">
        <v>14</v>
      </c>
      <c r="E217" s="5" t="s">
        <v>16</v>
      </c>
      <c r="F217" s="5" t="s">
        <v>21</v>
      </c>
      <c r="G217" s="5" t="s">
        <v>25</v>
      </c>
      <c r="H217" s="5" t="s">
        <v>29</v>
      </c>
      <c r="I217" s="5" t="s">
        <v>31</v>
      </c>
      <c r="J217" s="5">
        <v>17.097933000000001</v>
      </c>
      <c r="K217" s="5">
        <v>-97.491698999999997</v>
      </c>
      <c r="L217" s="5" t="str">
        <f>HYPERLINK("https://maps.google.com/?q=17.097933,-97.491698999999997", "🔗 Ver Mapa")</f>
        <v>🔗 Ver Mapa</v>
      </c>
    </row>
    <row r="218" spans="1:12" ht="29" x14ac:dyDescent="0.35">
      <c r="A218" s="6" t="s">
        <v>2</v>
      </c>
      <c r="B218" s="6" t="s">
        <v>6</v>
      </c>
      <c r="C218" s="6" t="s">
        <v>36</v>
      </c>
      <c r="D218" s="6" t="s">
        <v>14</v>
      </c>
      <c r="E218" s="6" t="s">
        <v>16</v>
      </c>
      <c r="F218" s="6" t="s">
        <v>21</v>
      </c>
      <c r="G218" s="6" t="s">
        <v>25</v>
      </c>
      <c r="H218" s="6" t="s">
        <v>29</v>
      </c>
      <c r="I218" s="6" t="s">
        <v>31</v>
      </c>
      <c r="J218" s="6">
        <v>17.088630999999999</v>
      </c>
      <c r="K218" s="6">
        <v>-97.501046000000002</v>
      </c>
      <c r="L218" s="6" t="str">
        <f>HYPERLINK("https://maps.google.com/?q=17.088631,-97.501046000000002", "🔗 Ver Mapa")</f>
        <v>🔗 Ver Mapa</v>
      </c>
    </row>
    <row r="219" spans="1:12" ht="29" x14ac:dyDescent="0.35">
      <c r="A219" s="5" t="s">
        <v>2</v>
      </c>
      <c r="B219" s="5" t="s">
        <v>6</v>
      </c>
      <c r="C219" s="5" t="s">
        <v>36</v>
      </c>
      <c r="D219" s="5" t="s">
        <v>14</v>
      </c>
      <c r="E219" s="5" t="s">
        <v>16</v>
      </c>
      <c r="F219" s="5" t="s">
        <v>21</v>
      </c>
      <c r="G219" s="5" t="s">
        <v>25</v>
      </c>
      <c r="H219" s="5" t="s">
        <v>29</v>
      </c>
      <c r="I219" s="5" t="s">
        <v>31</v>
      </c>
      <c r="J219" s="5">
        <v>17.095345999999999</v>
      </c>
      <c r="K219" s="5">
        <v>-97.497557</v>
      </c>
      <c r="L219" s="5" t="str">
        <f>HYPERLINK("https://maps.google.com/?q=17.095346,-97.497557", "🔗 Ver Mapa")</f>
        <v>🔗 Ver Mapa</v>
      </c>
    </row>
    <row r="220" spans="1:12" ht="29" x14ac:dyDescent="0.35">
      <c r="A220" s="6" t="s">
        <v>2</v>
      </c>
      <c r="B220" s="6" t="s">
        <v>6</v>
      </c>
      <c r="C220" s="6" t="s">
        <v>36</v>
      </c>
      <c r="D220" s="6" t="s">
        <v>14</v>
      </c>
      <c r="E220" s="6" t="s">
        <v>16</v>
      </c>
      <c r="F220" s="6" t="s">
        <v>21</v>
      </c>
      <c r="G220" s="6" t="s">
        <v>25</v>
      </c>
      <c r="H220" s="6" t="s">
        <v>29</v>
      </c>
      <c r="I220" s="6" t="s">
        <v>31</v>
      </c>
      <c r="J220" s="6">
        <v>17.091850999999998</v>
      </c>
      <c r="K220" s="6">
        <v>-97.493825999999999</v>
      </c>
      <c r="L220" s="6" t="str">
        <f>HYPERLINK("https://maps.google.com/?q=17.091851,-97.493825999999999", "🔗 Ver Mapa")</f>
        <v>🔗 Ver Mapa</v>
      </c>
    </row>
    <row r="221" spans="1:12" ht="29" x14ac:dyDescent="0.35">
      <c r="A221" s="5" t="s">
        <v>2</v>
      </c>
      <c r="B221" s="5" t="s">
        <v>6</v>
      </c>
      <c r="C221" s="5" t="s">
        <v>36</v>
      </c>
      <c r="D221" s="5" t="s">
        <v>14</v>
      </c>
      <c r="E221" s="5" t="s">
        <v>16</v>
      </c>
      <c r="F221" s="5" t="s">
        <v>21</v>
      </c>
      <c r="G221" s="5" t="s">
        <v>25</v>
      </c>
      <c r="H221" s="5" t="s">
        <v>29</v>
      </c>
      <c r="I221" s="5" t="s">
        <v>31</v>
      </c>
      <c r="J221" s="5">
        <v>17.094224000000001</v>
      </c>
      <c r="K221" s="5">
        <v>-97.493933999999996</v>
      </c>
      <c r="L221" s="5" t="str">
        <f>HYPERLINK("https://maps.google.com/?q=17.094224,-97.493933999999996", "🔗 Ver Mapa")</f>
        <v>🔗 Ver Mapa</v>
      </c>
    </row>
    <row r="222" spans="1:12" ht="29" x14ac:dyDescent="0.35">
      <c r="A222" s="6" t="s">
        <v>2</v>
      </c>
      <c r="B222" s="6" t="s">
        <v>6</v>
      </c>
      <c r="C222" s="6" t="s">
        <v>36</v>
      </c>
      <c r="D222" s="6" t="s">
        <v>14</v>
      </c>
      <c r="E222" s="6" t="s">
        <v>16</v>
      </c>
      <c r="F222" s="6" t="s">
        <v>21</v>
      </c>
      <c r="G222" s="6" t="s">
        <v>25</v>
      </c>
      <c r="H222" s="6" t="s">
        <v>29</v>
      </c>
      <c r="I222" s="6" t="s">
        <v>31</v>
      </c>
      <c r="J222" s="6">
        <v>17.092675</v>
      </c>
      <c r="K222" s="6">
        <v>-97.498296999999994</v>
      </c>
      <c r="L222" s="6" t="str">
        <f>HYPERLINK("https://maps.google.com/?q=17.092675,-97.498296999999994", "🔗 Ver Mapa")</f>
        <v>🔗 Ver Mapa</v>
      </c>
    </row>
    <row r="223" spans="1:12" ht="29" x14ac:dyDescent="0.35">
      <c r="A223" s="5" t="s">
        <v>2</v>
      </c>
      <c r="B223" s="5" t="s">
        <v>6</v>
      </c>
      <c r="C223" s="5" t="s">
        <v>36</v>
      </c>
      <c r="D223" s="5" t="s">
        <v>14</v>
      </c>
      <c r="E223" s="5" t="s">
        <v>16</v>
      </c>
      <c r="F223" s="5" t="s">
        <v>21</v>
      </c>
      <c r="G223" s="5" t="s">
        <v>25</v>
      </c>
      <c r="H223" s="5" t="s">
        <v>29</v>
      </c>
      <c r="I223" s="5" t="s">
        <v>31</v>
      </c>
      <c r="J223" s="5">
        <v>17.090115999999998</v>
      </c>
      <c r="K223" s="5">
        <v>-97.500977000000006</v>
      </c>
      <c r="L223" s="5" t="str">
        <f>HYPERLINK("https://maps.google.com/?q=17.090116,-97.500977000000006", "🔗 Ver Mapa")</f>
        <v>🔗 Ver Mapa</v>
      </c>
    </row>
    <row r="224" spans="1:12" ht="29" x14ac:dyDescent="0.35">
      <c r="A224" s="6" t="s">
        <v>2</v>
      </c>
      <c r="B224" s="6" t="s">
        <v>6</v>
      </c>
      <c r="C224" s="6" t="s">
        <v>36</v>
      </c>
      <c r="D224" s="6" t="s">
        <v>14</v>
      </c>
      <c r="E224" s="6" t="s">
        <v>16</v>
      </c>
      <c r="F224" s="6" t="s">
        <v>21</v>
      </c>
      <c r="G224" s="6" t="s">
        <v>25</v>
      </c>
      <c r="H224" s="6" t="s">
        <v>29</v>
      </c>
      <c r="I224" s="6" t="s">
        <v>31</v>
      </c>
      <c r="J224" s="6">
        <v>17.091042999999999</v>
      </c>
      <c r="K224" s="6">
        <v>-97.499135999999993</v>
      </c>
      <c r="L224" s="6" t="str">
        <f>HYPERLINK("https://maps.google.com/?q=17.091043,-97.499135999999993", "🔗 Ver Mapa")</f>
        <v>🔗 Ver Mapa</v>
      </c>
    </row>
    <row r="225" spans="1:12" ht="29" x14ac:dyDescent="0.35">
      <c r="A225" s="5" t="s">
        <v>2</v>
      </c>
      <c r="B225" s="5" t="s">
        <v>6</v>
      </c>
      <c r="C225" s="5" t="s">
        <v>36</v>
      </c>
      <c r="D225" s="5" t="s">
        <v>14</v>
      </c>
      <c r="E225" s="5" t="s">
        <v>16</v>
      </c>
      <c r="F225" s="5" t="s">
        <v>21</v>
      </c>
      <c r="G225" s="5" t="s">
        <v>25</v>
      </c>
      <c r="H225" s="5" t="s">
        <v>29</v>
      </c>
      <c r="I225" s="5" t="s">
        <v>31</v>
      </c>
      <c r="J225" s="5">
        <v>17.096245</v>
      </c>
      <c r="K225" s="5">
        <v>-97.496556999999996</v>
      </c>
      <c r="L225" s="5" t="str">
        <f>HYPERLINK("https://maps.google.com/?q=17.096245,-97.496556999999996", "🔗 Ver Mapa")</f>
        <v>🔗 Ver Mapa</v>
      </c>
    </row>
    <row r="226" spans="1:12" ht="29" x14ac:dyDescent="0.35">
      <c r="A226" s="6" t="s">
        <v>2</v>
      </c>
      <c r="B226" s="6" t="s">
        <v>6</v>
      </c>
      <c r="C226" s="6" t="s">
        <v>36</v>
      </c>
      <c r="D226" s="6" t="s">
        <v>14</v>
      </c>
      <c r="E226" s="6" t="s">
        <v>16</v>
      </c>
      <c r="F226" s="6" t="s">
        <v>21</v>
      </c>
      <c r="G226" s="6" t="s">
        <v>25</v>
      </c>
      <c r="H226" s="6" t="s">
        <v>29</v>
      </c>
      <c r="I226" s="6" t="s">
        <v>31</v>
      </c>
      <c r="J226" s="6">
        <v>17.097922000000001</v>
      </c>
      <c r="K226" s="6">
        <v>-97.492137999999997</v>
      </c>
      <c r="L226" s="6" t="str">
        <f>HYPERLINK("https://maps.google.com/?q=17.097922,-97.492137999999997", "🔗 Ver Mapa")</f>
        <v>🔗 Ver Mapa</v>
      </c>
    </row>
    <row r="227" spans="1:12" ht="29" x14ac:dyDescent="0.35">
      <c r="A227" s="5" t="s">
        <v>2</v>
      </c>
      <c r="B227" s="5" t="s">
        <v>6</v>
      </c>
      <c r="C227" s="5" t="s">
        <v>36</v>
      </c>
      <c r="D227" s="5" t="s">
        <v>14</v>
      </c>
      <c r="E227" s="5" t="s">
        <v>16</v>
      </c>
      <c r="F227" s="5" t="s">
        <v>21</v>
      </c>
      <c r="G227" s="5" t="s">
        <v>25</v>
      </c>
      <c r="H227" s="5" t="s">
        <v>29</v>
      </c>
      <c r="I227" s="5" t="s">
        <v>31</v>
      </c>
      <c r="J227" s="5">
        <v>17.094733999999999</v>
      </c>
      <c r="K227" s="5">
        <v>-97.497703000000001</v>
      </c>
      <c r="L227" s="5" t="str">
        <f>HYPERLINK("https://maps.google.com/?q=17.094734,-97.497703000000001", "🔗 Ver Mapa")</f>
        <v>🔗 Ver Mapa</v>
      </c>
    </row>
    <row r="228" spans="1:12" ht="29" x14ac:dyDescent="0.35">
      <c r="A228" s="6" t="s">
        <v>2</v>
      </c>
      <c r="B228" s="6" t="s">
        <v>6</v>
      </c>
      <c r="C228" s="6" t="s">
        <v>36</v>
      </c>
      <c r="D228" s="6" t="s">
        <v>14</v>
      </c>
      <c r="E228" s="6" t="s">
        <v>16</v>
      </c>
      <c r="F228" s="6" t="s">
        <v>21</v>
      </c>
      <c r="G228" s="6" t="s">
        <v>25</v>
      </c>
      <c r="H228" s="6" t="s">
        <v>29</v>
      </c>
      <c r="I228" s="6" t="s">
        <v>31</v>
      </c>
      <c r="J228" s="6">
        <v>17.091356000000001</v>
      </c>
      <c r="K228" s="6">
        <v>-97.491883000000001</v>
      </c>
      <c r="L228" s="6" t="str">
        <f>HYPERLINK("https://maps.google.com/?q=17.091356,-97.491883000000001", "🔗 Ver Mapa")</f>
        <v>🔗 Ver Mapa</v>
      </c>
    </row>
    <row r="229" spans="1:12" ht="29" x14ac:dyDescent="0.35">
      <c r="A229" s="5" t="s">
        <v>2</v>
      </c>
      <c r="B229" s="5" t="s">
        <v>6</v>
      </c>
      <c r="C229" s="5" t="s">
        <v>36</v>
      </c>
      <c r="D229" s="5" t="s">
        <v>14</v>
      </c>
      <c r="E229" s="5" t="s">
        <v>16</v>
      </c>
      <c r="F229" s="5" t="s">
        <v>21</v>
      </c>
      <c r="G229" s="5" t="s">
        <v>25</v>
      </c>
      <c r="H229" s="5" t="s">
        <v>29</v>
      </c>
      <c r="I229" s="5" t="s">
        <v>31</v>
      </c>
      <c r="J229" s="5">
        <v>17.090076</v>
      </c>
      <c r="K229" s="5">
        <v>-97.503742000000003</v>
      </c>
      <c r="L229" s="5" t="str">
        <f>HYPERLINK("https://maps.google.com/?q=17.090076,-97.503742000000003", "🔗 Ver Mapa")</f>
        <v>🔗 Ver Mapa</v>
      </c>
    </row>
    <row r="230" spans="1:12" ht="29" x14ac:dyDescent="0.35">
      <c r="A230" s="6" t="s">
        <v>2</v>
      </c>
      <c r="B230" s="6" t="s">
        <v>6</v>
      </c>
      <c r="C230" s="6" t="s">
        <v>36</v>
      </c>
      <c r="D230" s="6" t="s">
        <v>14</v>
      </c>
      <c r="E230" s="6" t="s">
        <v>16</v>
      </c>
      <c r="F230" s="6" t="s">
        <v>21</v>
      </c>
      <c r="G230" s="6" t="s">
        <v>25</v>
      </c>
      <c r="H230" s="6" t="s">
        <v>29</v>
      </c>
      <c r="I230" s="6" t="s">
        <v>31</v>
      </c>
      <c r="J230" s="6">
        <v>17.095034999999999</v>
      </c>
      <c r="K230" s="6">
        <v>-97.494039000000001</v>
      </c>
      <c r="L230" s="6" t="str">
        <f>HYPERLINK("https://maps.google.com/?q=17.095035,-97.494039000000001", "🔗 Ver Mapa")</f>
        <v>🔗 Ver Mapa</v>
      </c>
    </row>
    <row r="231" spans="1:12" ht="29" x14ac:dyDescent="0.35">
      <c r="A231" s="5" t="s">
        <v>2</v>
      </c>
      <c r="B231" s="5" t="s">
        <v>6</v>
      </c>
      <c r="C231" s="5" t="s">
        <v>36</v>
      </c>
      <c r="D231" s="5" t="s">
        <v>14</v>
      </c>
      <c r="E231" s="5" t="s">
        <v>16</v>
      </c>
      <c r="F231" s="5" t="s">
        <v>21</v>
      </c>
      <c r="G231" s="5" t="s">
        <v>25</v>
      </c>
      <c r="H231" s="5" t="s">
        <v>29</v>
      </c>
      <c r="I231" s="5" t="s">
        <v>31</v>
      </c>
      <c r="J231" s="5">
        <v>17.095144000000001</v>
      </c>
      <c r="K231" s="5">
        <v>-97.503765999999999</v>
      </c>
      <c r="L231" s="5" t="str">
        <f>HYPERLINK("https://maps.google.com/?q=17.095144,-97.503765999999999", "🔗 Ver Mapa")</f>
        <v>🔗 Ver Mapa</v>
      </c>
    </row>
    <row r="232" spans="1:12" ht="29" x14ac:dyDescent="0.35">
      <c r="A232" s="6" t="s">
        <v>2</v>
      </c>
      <c r="B232" s="6" t="s">
        <v>37</v>
      </c>
      <c r="C232" s="6" t="s">
        <v>38</v>
      </c>
      <c r="D232" s="6" t="s">
        <v>14</v>
      </c>
      <c r="E232" s="6" t="s">
        <v>39</v>
      </c>
      <c r="F232" s="6" t="s">
        <v>40</v>
      </c>
      <c r="G232" s="6" t="s">
        <v>41</v>
      </c>
      <c r="H232" s="6" t="s">
        <v>42</v>
      </c>
      <c r="I232" s="6" t="s">
        <v>31</v>
      </c>
      <c r="J232" s="6">
        <v>16.882380000000001</v>
      </c>
      <c r="K232" s="6">
        <v>-97.675309999999996</v>
      </c>
      <c r="L232" s="6" t="str">
        <f>HYPERLINK("https://maps.google.com/?q=16.88238,-97.675309999999996", "🔗 Ver Mapa")</f>
        <v>🔗 Ver Mapa</v>
      </c>
    </row>
    <row r="233" spans="1:12" ht="29" x14ac:dyDescent="0.35">
      <c r="A233" s="5" t="s">
        <v>2</v>
      </c>
      <c r="B233" s="5" t="s">
        <v>37</v>
      </c>
      <c r="C233" s="5" t="s">
        <v>38</v>
      </c>
      <c r="D233" s="5" t="s">
        <v>14</v>
      </c>
      <c r="E233" s="5" t="s">
        <v>39</v>
      </c>
      <c r="F233" s="5" t="s">
        <v>40</v>
      </c>
      <c r="G233" s="5" t="s">
        <v>41</v>
      </c>
      <c r="H233" s="5" t="s">
        <v>42</v>
      </c>
      <c r="I233" s="5" t="s">
        <v>31</v>
      </c>
      <c r="J233" s="5">
        <v>16.882400000000001</v>
      </c>
      <c r="K233" s="5">
        <v>-97.676109999999994</v>
      </c>
      <c r="L233" s="5" t="str">
        <f>HYPERLINK("https://maps.google.com/?q=16.8824,-97.676109999999994", "🔗 Ver Mapa")</f>
        <v>🔗 Ver Mapa</v>
      </c>
    </row>
    <row r="234" spans="1:12" ht="29" x14ac:dyDescent="0.35">
      <c r="A234" s="6" t="s">
        <v>2</v>
      </c>
      <c r="B234" s="6" t="s">
        <v>37</v>
      </c>
      <c r="C234" s="6" t="s">
        <v>38</v>
      </c>
      <c r="D234" s="6" t="s">
        <v>14</v>
      </c>
      <c r="E234" s="6" t="s">
        <v>39</v>
      </c>
      <c r="F234" s="6" t="s">
        <v>40</v>
      </c>
      <c r="G234" s="6" t="s">
        <v>41</v>
      </c>
      <c r="H234" s="6" t="s">
        <v>42</v>
      </c>
      <c r="I234" s="6" t="s">
        <v>31</v>
      </c>
      <c r="J234" s="6">
        <v>16.88214</v>
      </c>
      <c r="K234" s="6">
        <v>-97.676140000000004</v>
      </c>
      <c r="L234" s="6" t="str">
        <f>HYPERLINK("https://maps.google.com/?q=16.88214,-97.676140000000004", "🔗 Ver Mapa")</f>
        <v>🔗 Ver Mapa</v>
      </c>
    </row>
    <row r="235" spans="1:12" ht="29" x14ac:dyDescent="0.35">
      <c r="A235" s="5" t="s">
        <v>2</v>
      </c>
      <c r="B235" s="5" t="s">
        <v>37</v>
      </c>
      <c r="C235" s="5" t="s">
        <v>38</v>
      </c>
      <c r="D235" s="5" t="s">
        <v>14</v>
      </c>
      <c r="E235" s="5" t="s">
        <v>39</v>
      </c>
      <c r="F235" s="5" t="s">
        <v>40</v>
      </c>
      <c r="G235" s="5" t="s">
        <v>41</v>
      </c>
      <c r="H235" s="5" t="s">
        <v>42</v>
      </c>
      <c r="I235" s="5" t="s">
        <v>31</v>
      </c>
      <c r="J235" s="5">
        <v>16.882400000000001</v>
      </c>
      <c r="K235" s="5">
        <v>-97.6768</v>
      </c>
      <c r="L235" s="5" t="str">
        <f>HYPERLINK("https://maps.google.com/?q=16.8824,-97.6768", "🔗 Ver Mapa")</f>
        <v>🔗 Ver Mapa</v>
      </c>
    </row>
    <row r="236" spans="1:12" ht="29" x14ac:dyDescent="0.35">
      <c r="A236" s="6" t="s">
        <v>2</v>
      </c>
      <c r="B236" s="6" t="s">
        <v>37</v>
      </c>
      <c r="C236" s="6" t="s">
        <v>38</v>
      </c>
      <c r="D236" s="6" t="s">
        <v>14</v>
      </c>
      <c r="E236" s="6" t="s">
        <v>39</v>
      </c>
      <c r="F236" s="6" t="s">
        <v>40</v>
      </c>
      <c r="G236" s="6" t="s">
        <v>41</v>
      </c>
      <c r="H236" s="6" t="s">
        <v>42</v>
      </c>
      <c r="I236" s="6" t="s">
        <v>31</v>
      </c>
      <c r="J236" s="6">
        <v>16.882680000000001</v>
      </c>
      <c r="K236" s="6">
        <v>-97.674850000000006</v>
      </c>
      <c r="L236" s="6" t="str">
        <f>HYPERLINK("https://maps.google.com/?q=16.88268,-97.674850000000006", "🔗 Ver Mapa")</f>
        <v>🔗 Ver Mapa</v>
      </c>
    </row>
    <row r="237" spans="1:12" ht="29" x14ac:dyDescent="0.35">
      <c r="A237" s="5" t="s">
        <v>2</v>
      </c>
      <c r="B237" s="5" t="s">
        <v>37</v>
      </c>
      <c r="C237" s="5" t="s">
        <v>38</v>
      </c>
      <c r="D237" s="5" t="s">
        <v>14</v>
      </c>
      <c r="E237" s="5" t="s">
        <v>39</v>
      </c>
      <c r="F237" s="5" t="s">
        <v>40</v>
      </c>
      <c r="G237" s="5" t="s">
        <v>41</v>
      </c>
      <c r="H237" s="5" t="s">
        <v>42</v>
      </c>
      <c r="I237" s="5" t="s">
        <v>31</v>
      </c>
      <c r="J237" s="5">
        <v>16.88298</v>
      </c>
      <c r="K237" s="5">
        <v>-97.674750000000003</v>
      </c>
      <c r="L237" s="5" t="str">
        <f>HYPERLINK("https://maps.google.com/?q=16.88298,-97.674750000000003", "🔗 Ver Mapa")</f>
        <v>🔗 Ver Mapa</v>
      </c>
    </row>
    <row r="238" spans="1:12" ht="29" x14ac:dyDescent="0.35">
      <c r="A238" s="6" t="s">
        <v>2</v>
      </c>
      <c r="B238" s="6" t="s">
        <v>37</v>
      </c>
      <c r="C238" s="6" t="s">
        <v>38</v>
      </c>
      <c r="D238" s="6" t="s">
        <v>14</v>
      </c>
      <c r="E238" s="6" t="s">
        <v>39</v>
      </c>
      <c r="F238" s="6" t="s">
        <v>40</v>
      </c>
      <c r="G238" s="6" t="s">
        <v>41</v>
      </c>
      <c r="H238" s="6" t="s">
        <v>42</v>
      </c>
      <c r="I238" s="6" t="s">
        <v>31</v>
      </c>
      <c r="J238" s="6">
        <v>16.882760000000001</v>
      </c>
      <c r="K238" s="6">
        <v>-97.674930000000003</v>
      </c>
      <c r="L238" s="6" t="str">
        <f>HYPERLINK("https://maps.google.com/?q=16.88276,-97.674930000000003", "🔗 Ver Mapa")</f>
        <v>🔗 Ver Mapa</v>
      </c>
    </row>
    <row r="239" spans="1:12" ht="29" x14ac:dyDescent="0.35">
      <c r="A239" s="5" t="s">
        <v>2</v>
      </c>
      <c r="B239" s="5" t="s">
        <v>37</v>
      </c>
      <c r="C239" s="5" t="s">
        <v>38</v>
      </c>
      <c r="D239" s="5" t="s">
        <v>14</v>
      </c>
      <c r="E239" s="5" t="s">
        <v>39</v>
      </c>
      <c r="F239" s="5" t="s">
        <v>40</v>
      </c>
      <c r="G239" s="5" t="s">
        <v>41</v>
      </c>
      <c r="H239" s="5" t="s">
        <v>42</v>
      </c>
      <c r="I239" s="5" t="s">
        <v>31</v>
      </c>
      <c r="J239" s="5">
        <v>16.883510000000001</v>
      </c>
      <c r="K239" s="5">
        <v>-97.675939999999997</v>
      </c>
      <c r="L239" s="5" t="str">
        <f>HYPERLINK("https://maps.google.com/?q=16.88351,-97.675939999999997", "🔗 Ver Mapa")</f>
        <v>🔗 Ver Mapa</v>
      </c>
    </row>
    <row r="240" spans="1:12" ht="29" x14ac:dyDescent="0.35">
      <c r="A240" s="6" t="s">
        <v>2</v>
      </c>
      <c r="B240" s="6" t="s">
        <v>37</v>
      </c>
      <c r="C240" s="6" t="s">
        <v>38</v>
      </c>
      <c r="D240" s="6" t="s">
        <v>14</v>
      </c>
      <c r="E240" s="6" t="s">
        <v>39</v>
      </c>
      <c r="F240" s="6" t="s">
        <v>40</v>
      </c>
      <c r="G240" s="6" t="s">
        <v>41</v>
      </c>
      <c r="H240" s="6" t="s">
        <v>42</v>
      </c>
      <c r="I240" s="6" t="s">
        <v>31</v>
      </c>
      <c r="J240" s="6">
        <v>16.884150000000002</v>
      </c>
      <c r="K240" s="6">
        <v>-97.675799999999995</v>
      </c>
      <c r="L240" s="6" t="str">
        <f>HYPERLINK("https://maps.google.com/?q=16.88415,-97.675799999999995", "🔗 Ver Mapa")</f>
        <v>🔗 Ver Mapa</v>
      </c>
    </row>
    <row r="241" spans="1:12" ht="29" x14ac:dyDescent="0.35">
      <c r="A241" s="5" t="s">
        <v>2</v>
      </c>
      <c r="B241" s="5" t="s">
        <v>37</v>
      </c>
      <c r="C241" s="5" t="s">
        <v>38</v>
      </c>
      <c r="D241" s="5" t="s">
        <v>14</v>
      </c>
      <c r="E241" s="5" t="s">
        <v>39</v>
      </c>
      <c r="F241" s="5" t="s">
        <v>40</v>
      </c>
      <c r="G241" s="5" t="s">
        <v>41</v>
      </c>
      <c r="H241" s="5" t="s">
        <v>42</v>
      </c>
      <c r="I241" s="5" t="s">
        <v>31</v>
      </c>
      <c r="J241" s="5">
        <v>16.88335</v>
      </c>
      <c r="K241" s="5">
        <v>-97.676419999999993</v>
      </c>
      <c r="L241" s="5" t="str">
        <f>HYPERLINK("https://maps.google.com/?q=16.88335,-97.676419999999993", "🔗 Ver Mapa")</f>
        <v>🔗 Ver Mapa</v>
      </c>
    </row>
    <row r="242" spans="1:12" ht="29" x14ac:dyDescent="0.35">
      <c r="A242" s="6" t="s">
        <v>2</v>
      </c>
      <c r="B242" s="6" t="s">
        <v>37</v>
      </c>
      <c r="C242" s="6" t="s">
        <v>38</v>
      </c>
      <c r="D242" s="6" t="s">
        <v>14</v>
      </c>
      <c r="E242" s="6" t="s">
        <v>39</v>
      </c>
      <c r="F242" s="6" t="s">
        <v>40</v>
      </c>
      <c r="G242" s="6" t="s">
        <v>41</v>
      </c>
      <c r="H242" s="6" t="s">
        <v>42</v>
      </c>
      <c r="I242" s="6" t="s">
        <v>31</v>
      </c>
      <c r="J242" s="6">
        <v>16.883839999999999</v>
      </c>
      <c r="K242" s="6">
        <v>-97.676360000000003</v>
      </c>
      <c r="L242" s="6" t="str">
        <f>HYPERLINK("https://maps.google.com/?q=16.88384,-97.676360000000003", "🔗 Ver Mapa")</f>
        <v>🔗 Ver Mapa</v>
      </c>
    </row>
    <row r="243" spans="1:12" ht="29" x14ac:dyDescent="0.35">
      <c r="A243" s="5" t="s">
        <v>2</v>
      </c>
      <c r="B243" s="5" t="s">
        <v>37</v>
      </c>
      <c r="C243" s="5" t="s">
        <v>38</v>
      </c>
      <c r="D243" s="5" t="s">
        <v>14</v>
      </c>
      <c r="E243" s="5" t="s">
        <v>39</v>
      </c>
      <c r="F243" s="5" t="s">
        <v>40</v>
      </c>
      <c r="G243" s="5" t="s">
        <v>41</v>
      </c>
      <c r="H243" s="5" t="s">
        <v>42</v>
      </c>
      <c r="I243" s="5" t="s">
        <v>31</v>
      </c>
      <c r="J243" s="5">
        <v>16.883980000000001</v>
      </c>
      <c r="K243" s="5">
        <v>-97.676609999999997</v>
      </c>
      <c r="L243" s="5" t="str">
        <f>HYPERLINK("https://maps.google.com/?q=16.88398,-97.676609999999997", "🔗 Ver Mapa")</f>
        <v>🔗 Ver Mapa</v>
      </c>
    </row>
    <row r="244" spans="1:12" ht="29" x14ac:dyDescent="0.35">
      <c r="A244" s="6" t="s">
        <v>2</v>
      </c>
      <c r="B244" s="6" t="s">
        <v>37</v>
      </c>
      <c r="C244" s="6" t="s">
        <v>38</v>
      </c>
      <c r="D244" s="6" t="s">
        <v>14</v>
      </c>
      <c r="E244" s="6" t="s">
        <v>39</v>
      </c>
      <c r="F244" s="6" t="s">
        <v>40</v>
      </c>
      <c r="G244" s="6" t="s">
        <v>41</v>
      </c>
      <c r="H244" s="6" t="s">
        <v>42</v>
      </c>
      <c r="I244" s="6" t="s">
        <v>31</v>
      </c>
      <c r="J244" s="6">
        <v>16.883209999999998</v>
      </c>
      <c r="K244" s="6">
        <v>-97.676429999999996</v>
      </c>
      <c r="L244" s="6" t="str">
        <f>HYPERLINK("https://maps.google.com/?q=16.88321,-97.676429999999996", "🔗 Ver Mapa")</f>
        <v>🔗 Ver Mapa</v>
      </c>
    </row>
    <row r="245" spans="1:12" ht="29" x14ac:dyDescent="0.35">
      <c r="A245" s="5" t="s">
        <v>2</v>
      </c>
      <c r="B245" s="5" t="s">
        <v>37</v>
      </c>
      <c r="C245" s="5" t="s">
        <v>38</v>
      </c>
      <c r="D245" s="5" t="s">
        <v>14</v>
      </c>
      <c r="E245" s="5" t="s">
        <v>39</v>
      </c>
      <c r="F245" s="5" t="s">
        <v>40</v>
      </c>
      <c r="G245" s="5" t="s">
        <v>41</v>
      </c>
      <c r="H245" s="5" t="s">
        <v>42</v>
      </c>
      <c r="I245" s="5" t="s">
        <v>31</v>
      </c>
      <c r="J245" s="5">
        <v>16.88306</v>
      </c>
      <c r="K245" s="5">
        <v>-97.676590000000004</v>
      </c>
      <c r="L245" s="5" t="str">
        <f>HYPERLINK("https://maps.google.com/?q=16.88306,-97.676590000000004", "🔗 Ver Mapa")</f>
        <v>🔗 Ver Mapa</v>
      </c>
    </row>
    <row r="246" spans="1:12" ht="29" x14ac:dyDescent="0.35">
      <c r="A246" s="6" t="s">
        <v>2</v>
      </c>
      <c r="B246" s="6" t="s">
        <v>37</v>
      </c>
      <c r="C246" s="6" t="s">
        <v>38</v>
      </c>
      <c r="D246" s="6" t="s">
        <v>14</v>
      </c>
      <c r="E246" s="6" t="s">
        <v>39</v>
      </c>
      <c r="F246" s="6" t="s">
        <v>40</v>
      </c>
      <c r="G246" s="6" t="s">
        <v>41</v>
      </c>
      <c r="H246" s="6" t="s">
        <v>42</v>
      </c>
      <c r="I246" s="6" t="s">
        <v>31</v>
      </c>
      <c r="J246" s="6">
        <v>16.883859999999999</v>
      </c>
      <c r="K246" s="6">
        <v>-97.677009999999996</v>
      </c>
      <c r="L246" s="6" t="str">
        <f>HYPERLINK("https://maps.google.com/?q=16.88386,-97.677009999999996", "🔗 Ver Mapa")</f>
        <v>🔗 Ver Mapa</v>
      </c>
    </row>
    <row r="247" spans="1:12" ht="29" x14ac:dyDescent="0.35">
      <c r="A247" s="5" t="s">
        <v>2</v>
      </c>
      <c r="B247" s="5" t="s">
        <v>37</v>
      </c>
      <c r="C247" s="5" t="s">
        <v>38</v>
      </c>
      <c r="D247" s="5" t="s">
        <v>14</v>
      </c>
      <c r="E247" s="5" t="s">
        <v>39</v>
      </c>
      <c r="F247" s="5" t="s">
        <v>40</v>
      </c>
      <c r="G247" s="5" t="s">
        <v>41</v>
      </c>
      <c r="H247" s="5" t="s">
        <v>42</v>
      </c>
      <c r="I247" s="5" t="s">
        <v>31</v>
      </c>
      <c r="J247" s="5">
        <v>16.883230000000001</v>
      </c>
      <c r="K247" s="5">
        <v>-97.677350000000004</v>
      </c>
      <c r="L247" s="5" t="str">
        <f>HYPERLINK("https://maps.google.com/?q=16.88323,-97.677350000000004", "🔗 Ver Mapa")</f>
        <v>🔗 Ver Mapa</v>
      </c>
    </row>
    <row r="248" spans="1:12" ht="29" x14ac:dyDescent="0.35">
      <c r="A248" s="6" t="s">
        <v>2</v>
      </c>
      <c r="B248" s="6" t="s">
        <v>37</v>
      </c>
      <c r="C248" s="6" t="s">
        <v>38</v>
      </c>
      <c r="D248" s="6" t="s">
        <v>14</v>
      </c>
      <c r="E248" s="6" t="s">
        <v>39</v>
      </c>
      <c r="F248" s="6" t="s">
        <v>40</v>
      </c>
      <c r="G248" s="6" t="s">
        <v>41</v>
      </c>
      <c r="H248" s="6" t="s">
        <v>42</v>
      </c>
      <c r="I248" s="6" t="s">
        <v>31</v>
      </c>
      <c r="J248" s="6">
        <v>16.883579999999998</v>
      </c>
      <c r="K248" s="6">
        <v>-97.677269999999993</v>
      </c>
      <c r="L248" s="6" t="str">
        <f>HYPERLINK("https://maps.google.com/?q=16.88358,-97.677269999999993", "🔗 Ver Mapa")</f>
        <v>🔗 Ver Mapa</v>
      </c>
    </row>
    <row r="249" spans="1:12" ht="29" x14ac:dyDescent="0.35">
      <c r="A249" s="5" t="s">
        <v>2</v>
      </c>
      <c r="B249" s="5" t="s">
        <v>37</v>
      </c>
      <c r="C249" s="5" t="s">
        <v>38</v>
      </c>
      <c r="D249" s="5" t="s">
        <v>14</v>
      </c>
      <c r="E249" s="5" t="s">
        <v>39</v>
      </c>
      <c r="F249" s="5" t="s">
        <v>40</v>
      </c>
      <c r="G249" s="5" t="s">
        <v>41</v>
      </c>
      <c r="H249" s="5" t="s">
        <v>42</v>
      </c>
      <c r="I249" s="5" t="s">
        <v>31</v>
      </c>
      <c r="J249" s="5">
        <v>16.883089999999999</v>
      </c>
      <c r="K249" s="5">
        <v>-97.677809999999994</v>
      </c>
      <c r="L249" s="5" t="str">
        <f>HYPERLINK("https://maps.google.com/?q=16.88309,-97.677809999999994", "🔗 Ver Mapa")</f>
        <v>🔗 Ver Mapa</v>
      </c>
    </row>
    <row r="250" spans="1:12" ht="29" x14ac:dyDescent="0.35">
      <c r="A250" s="6" t="s">
        <v>2</v>
      </c>
      <c r="B250" s="6" t="s">
        <v>37</v>
      </c>
      <c r="C250" s="6" t="s">
        <v>38</v>
      </c>
      <c r="D250" s="6" t="s">
        <v>14</v>
      </c>
      <c r="E250" s="6" t="s">
        <v>39</v>
      </c>
      <c r="F250" s="6" t="s">
        <v>40</v>
      </c>
      <c r="G250" s="6" t="s">
        <v>41</v>
      </c>
      <c r="H250" s="6" t="s">
        <v>42</v>
      </c>
      <c r="I250" s="6" t="s">
        <v>31</v>
      </c>
      <c r="J250" s="6">
        <v>16.882539999999999</v>
      </c>
      <c r="K250" s="6">
        <v>-97.676699999999997</v>
      </c>
      <c r="L250" s="6" t="str">
        <f>HYPERLINK("https://maps.google.com/?q=16.88254,-97.676699999999997", "🔗 Ver Mapa")</f>
        <v>🔗 Ver Mapa</v>
      </c>
    </row>
    <row r="251" spans="1:12" ht="29" x14ac:dyDescent="0.35">
      <c r="A251" s="5" t="s">
        <v>2</v>
      </c>
      <c r="B251" s="5" t="s">
        <v>37</v>
      </c>
      <c r="C251" s="5" t="s">
        <v>38</v>
      </c>
      <c r="D251" s="5" t="s">
        <v>14</v>
      </c>
      <c r="E251" s="5" t="s">
        <v>39</v>
      </c>
      <c r="F251" s="5" t="s">
        <v>40</v>
      </c>
      <c r="G251" s="5" t="s">
        <v>41</v>
      </c>
      <c r="H251" s="5" t="s">
        <v>42</v>
      </c>
      <c r="I251" s="5" t="s">
        <v>31</v>
      </c>
      <c r="J251" s="5">
        <v>16.88466</v>
      </c>
      <c r="K251" s="5">
        <v>-97.67765</v>
      </c>
      <c r="L251" s="5" t="str">
        <f>HYPERLINK("https://maps.google.com/?q=16.88466,-97.67765", "🔗 Ver Mapa")</f>
        <v>🔗 Ver Mapa</v>
      </c>
    </row>
    <row r="252" spans="1:12" ht="29" x14ac:dyDescent="0.35">
      <c r="A252" s="6" t="s">
        <v>2</v>
      </c>
      <c r="B252" s="6" t="s">
        <v>37</v>
      </c>
      <c r="C252" s="6" t="s">
        <v>38</v>
      </c>
      <c r="D252" s="6" t="s">
        <v>14</v>
      </c>
      <c r="E252" s="6" t="s">
        <v>39</v>
      </c>
      <c r="F252" s="6" t="s">
        <v>40</v>
      </c>
      <c r="G252" s="6" t="s">
        <v>41</v>
      </c>
      <c r="H252" s="6" t="s">
        <v>42</v>
      </c>
      <c r="I252" s="6" t="s">
        <v>31</v>
      </c>
      <c r="J252" s="6">
        <v>16.884589999999999</v>
      </c>
      <c r="K252" s="6">
        <v>-97.677610000000001</v>
      </c>
      <c r="L252" s="6" t="str">
        <f>HYPERLINK("https://maps.google.com/?q=16.88459,-97.677610000000001", "🔗 Ver Mapa")</f>
        <v>🔗 Ver Mapa</v>
      </c>
    </row>
    <row r="253" spans="1:12" ht="29" x14ac:dyDescent="0.35">
      <c r="A253" s="5" t="s">
        <v>2</v>
      </c>
      <c r="B253" s="5" t="s">
        <v>37</v>
      </c>
      <c r="C253" s="5" t="s">
        <v>38</v>
      </c>
      <c r="D253" s="5" t="s">
        <v>14</v>
      </c>
      <c r="E253" s="5" t="s">
        <v>39</v>
      </c>
      <c r="F253" s="5" t="s">
        <v>40</v>
      </c>
      <c r="G253" s="5" t="s">
        <v>41</v>
      </c>
      <c r="H253" s="5" t="s">
        <v>42</v>
      </c>
      <c r="I253" s="5" t="s">
        <v>31</v>
      </c>
      <c r="J253" s="5">
        <v>16.884650000000001</v>
      </c>
      <c r="K253" s="5">
        <v>-97.677880000000002</v>
      </c>
      <c r="L253" s="5" t="str">
        <f>HYPERLINK("https://maps.google.com/?q=16.88465,-97.677880000000002", "🔗 Ver Mapa")</f>
        <v>🔗 Ver Mapa</v>
      </c>
    </row>
    <row r="254" spans="1:12" ht="29" x14ac:dyDescent="0.35">
      <c r="A254" s="6" t="s">
        <v>2</v>
      </c>
      <c r="B254" s="6" t="s">
        <v>37</v>
      </c>
      <c r="C254" s="6" t="s">
        <v>38</v>
      </c>
      <c r="D254" s="6" t="s">
        <v>14</v>
      </c>
      <c r="E254" s="6" t="s">
        <v>39</v>
      </c>
      <c r="F254" s="6" t="s">
        <v>40</v>
      </c>
      <c r="G254" s="6" t="s">
        <v>41</v>
      </c>
      <c r="H254" s="6" t="s">
        <v>42</v>
      </c>
      <c r="I254" s="6" t="s">
        <v>31</v>
      </c>
      <c r="J254" s="6">
        <v>16.88447</v>
      </c>
      <c r="K254" s="6">
        <v>-97.678129999999996</v>
      </c>
      <c r="L254" s="6" t="str">
        <f>HYPERLINK("https://maps.google.com/?q=16.88447,-97.678129999999996", "🔗 Ver Mapa")</f>
        <v>🔗 Ver Mapa</v>
      </c>
    </row>
    <row r="255" spans="1:12" ht="29" x14ac:dyDescent="0.35">
      <c r="A255" s="5" t="s">
        <v>2</v>
      </c>
      <c r="B255" s="5" t="s">
        <v>37</v>
      </c>
      <c r="C255" s="5" t="s">
        <v>38</v>
      </c>
      <c r="D255" s="5" t="s">
        <v>14</v>
      </c>
      <c r="E255" s="5" t="s">
        <v>39</v>
      </c>
      <c r="F255" s="5" t="s">
        <v>40</v>
      </c>
      <c r="G255" s="5" t="s">
        <v>41</v>
      </c>
      <c r="H255" s="5" t="s">
        <v>42</v>
      </c>
      <c r="I255" s="5" t="s">
        <v>31</v>
      </c>
      <c r="J255" s="5">
        <v>16.88552</v>
      </c>
      <c r="K255" s="5">
        <v>-97.678430000000006</v>
      </c>
      <c r="L255" s="5" t="str">
        <f>HYPERLINK("https://maps.google.com/?q=16.88552,-97.678430000000006", "🔗 Ver Mapa")</f>
        <v>🔗 Ver Mapa</v>
      </c>
    </row>
    <row r="256" spans="1:12" ht="29" x14ac:dyDescent="0.35">
      <c r="A256" s="6" t="s">
        <v>2</v>
      </c>
      <c r="B256" s="6" t="s">
        <v>37</v>
      </c>
      <c r="C256" s="6" t="s">
        <v>38</v>
      </c>
      <c r="D256" s="6" t="s">
        <v>14</v>
      </c>
      <c r="E256" s="6" t="s">
        <v>39</v>
      </c>
      <c r="F256" s="6" t="s">
        <v>40</v>
      </c>
      <c r="G256" s="6" t="s">
        <v>41</v>
      </c>
      <c r="H256" s="6" t="s">
        <v>42</v>
      </c>
      <c r="I256" s="6" t="s">
        <v>31</v>
      </c>
      <c r="J256" s="6">
        <v>16.885809999999999</v>
      </c>
      <c r="K256" s="6">
        <v>-97.678659999999994</v>
      </c>
      <c r="L256" s="6" t="str">
        <f>HYPERLINK("https://maps.google.com/?q=16.88581,-97.678659999999994", "🔗 Ver Mapa")</f>
        <v>🔗 Ver Mapa</v>
      </c>
    </row>
    <row r="257" spans="1:12" ht="29" x14ac:dyDescent="0.35">
      <c r="A257" s="5" t="s">
        <v>2</v>
      </c>
      <c r="B257" s="5" t="s">
        <v>37</v>
      </c>
      <c r="C257" s="5" t="s">
        <v>38</v>
      </c>
      <c r="D257" s="5" t="s">
        <v>14</v>
      </c>
      <c r="E257" s="5" t="s">
        <v>39</v>
      </c>
      <c r="F257" s="5" t="s">
        <v>40</v>
      </c>
      <c r="G257" s="5" t="s">
        <v>41</v>
      </c>
      <c r="H257" s="5" t="s">
        <v>42</v>
      </c>
      <c r="I257" s="5" t="s">
        <v>31</v>
      </c>
      <c r="J257" s="5">
        <v>16.885660000000001</v>
      </c>
      <c r="K257" s="5">
        <v>-97.678179999999998</v>
      </c>
      <c r="L257" s="5" t="str">
        <f>HYPERLINK("https://maps.google.com/?q=16.88566,-97.678179999999998", "🔗 Ver Mapa")</f>
        <v>🔗 Ver Mapa</v>
      </c>
    </row>
    <row r="258" spans="1:12" ht="29" x14ac:dyDescent="0.35">
      <c r="A258" s="6" t="s">
        <v>2</v>
      </c>
      <c r="B258" s="6" t="s">
        <v>37</v>
      </c>
      <c r="C258" s="6" t="s">
        <v>38</v>
      </c>
      <c r="D258" s="6" t="s">
        <v>14</v>
      </c>
      <c r="E258" s="6" t="s">
        <v>39</v>
      </c>
      <c r="F258" s="6" t="s">
        <v>40</v>
      </c>
      <c r="G258" s="6" t="s">
        <v>41</v>
      </c>
      <c r="H258" s="6" t="s">
        <v>42</v>
      </c>
      <c r="I258" s="6" t="s">
        <v>31</v>
      </c>
      <c r="J258" s="6">
        <v>16.886220000000002</v>
      </c>
      <c r="K258" s="6">
        <v>-97.677959999999999</v>
      </c>
      <c r="L258" s="6" t="str">
        <f>HYPERLINK("https://maps.google.com/?q=16.88622,-97.677959999999999", "🔗 Ver Mapa")</f>
        <v>🔗 Ver Mapa</v>
      </c>
    </row>
    <row r="259" spans="1:12" ht="29" x14ac:dyDescent="0.35">
      <c r="A259" s="5" t="s">
        <v>2</v>
      </c>
      <c r="B259" s="5" t="s">
        <v>37</v>
      </c>
      <c r="C259" s="5" t="s">
        <v>38</v>
      </c>
      <c r="D259" s="5" t="s">
        <v>14</v>
      </c>
      <c r="E259" s="5" t="s">
        <v>39</v>
      </c>
      <c r="F259" s="5" t="s">
        <v>40</v>
      </c>
      <c r="G259" s="5" t="s">
        <v>41</v>
      </c>
      <c r="H259" s="5" t="s">
        <v>42</v>
      </c>
      <c r="I259" s="5" t="s">
        <v>31</v>
      </c>
      <c r="J259" s="5">
        <v>16.88636</v>
      </c>
      <c r="K259" s="5">
        <v>-97.677700000000002</v>
      </c>
      <c r="L259" s="5" t="str">
        <f>HYPERLINK("https://maps.google.com/?q=16.88636,-97.677700000000002", "🔗 Ver Mapa")</f>
        <v>🔗 Ver Mapa</v>
      </c>
    </row>
    <row r="260" spans="1:12" ht="29" x14ac:dyDescent="0.35">
      <c r="A260" s="6" t="s">
        <v>2</v>
      </c>
      <c r="B260" s="6" t="s">
        <v>37</v>
      </c>
      <c r="C260" s="6" t="s">
        <v>38</v>
      </c>
      <c r="D260" s="6" t="s">
        <v>14</v>
      </c>
      <c r="E260" s="6" t="s">
        <v>39</v>
      </c>
      <c r="F260" s="6" t="s">
        <v>40</v>
      </c>
      <c r="G260" s="6" t="s">
        <v>41</v>
      </c>
      <c r="H260" s="6" t="s">
        <v>42</v>
      </c>
      <c r="I260" s="6" t="s">
        <v>31</v>
      </c>
      <c r="J260" s="6">
        <v>16.886959999999998</v>
      </c>
      <c r="K260" s="6">
        <v>-97.679270000000002</v>
      </c>
      <c r="L260" s="6" t="str">
        <f>HYPERLINK("https://maps.google.com/?q=16.88696,-97.679270000000002", "🔗 Ver Mapa")</f>
        <v>🔗 Ver Mapa</v>
      </c>
    </row>
    <row r="261" spans="1:12" ht="29" x14ac:dyDescent="0.35">
      <c r="A261" s="5" t="s">
        <v>2</v>
      </c>
      <c r="B261" s="5" t="s">
        <v>37</v>
      </c>
      <c r="C261" s="5" t="s">
        <v>38</v>
      </c>
      <c r="D261" s="5" t="s">
        <v>14</v>
      </c>
      <c r="E261" s="5" t="s">
        <v>39</v>
      </c>
      <c r="F261" s="5" t="s">
        <v>40</v>
      </c>
      <c r="G261" s="5" t="s">
        <v>41</v>
      </c>
      <c r="H261" s="5" t="s">
        <v>42</v>
      </c>
      <c r="I261" s="5" t="s">
        <v>31</v>
      </c>
      <c r="J261" s="5">
        <v>16.880009999999999</v>
      </c>
      <c r="K261" s="5">
        <v>-97.673090000000002</v>
      </c>
      <c r="L261" s="5" t="str">
        <f>HYPERLINK("https://maps.google.com/?q=16.88001,-97.673090000000002", "🔗 Ver Mapa")</f>
        <v>🔗 Ver Mapa</v>
      </c>
    </row>
    <row r="262" spans="1:12" ht="29" x14ac:dyDescent="0.35">
      <c r="A262" s="6" t="s">
        <v>2</v>
      </c>
      <c r="B262" s="6" t="s">
        <v>37</v>
      </c>
      <c r="C262" s="6" t="s">
        <v>38</v>
      </c>
      <c r="D262" s="6" t="s">
        <v>14</v>
      </c>
      <c r="E262" s="6" t="s">
        <v>39</v>
      </c>
      <c r="F262" s="6" t="s">
        <v>40</v>
      </c>
      <c r="G262" s="6" t="s">
        <v>41</v>
      </c>
      <c r="H262" s="6" t="s">
        <v>42</v>
      </c>
      <c r="I262" s="6" t="s">
        <v>31</v>
      </c>
      <c r="J262" s="6">
        <v>16.887450000000001</v>
      </c>
      <c r="K262" s="6">
        <v>-97.682010000000005</v>
      </c>
      <c r="L262" s="6" t="str">
        <f>HYPERLINK("https://maps.google.com/?q=16.88745,-97.682010000000005", "🔗 Ver Mapa")</f>
        <v>🔗 Ver Mapa</v>
      </c>
    </row>
    <row r="263" spans="1:12" ht="29" x14ac:dyDescent="0.35">
      <c r="A263" s="5" t="s">
        <v>2</v>
      </c>
      <c r="B263" s="5" t="s">
        <v>37</v>
      </c>
      <c r="C263" s="5" t="s">
        <v>38</v>
      </c>
      <c r="D263" s="5" t="s">
        <v>14</v>
      </c>
      <c r="E263" s="5" t="s">
        <v>39</v>
      </c>
      <c r="F263" s="5" t="s">
        <v>40</v>
      </c>
      <c r="G263" s="5" t="s">
        <v>41</v>
      </c>
      <c r="H263" s="5" t="s">
        <v>42</v>
      </c>
      <c r="I263" s="5" t="s">
        <v>31</v>
      </c>
      <c r="J263" s="5">
        <v>16.884219999999999</v>
      </c>
      <c r="K263" s="5">
        <v>-97.677009999999996</v>
      </c>
      <c r="L263" s="5" t="str">
        <f>HYPERLINK("https://maps.google.com/?q=16.88422,-97.677009999999996", "🔗 Ver Mapa")</f>
        <v>🔗 Ver Mapa</v>
      </c>
    </row>
    <row r="264" spans="1:12" ht="29" x14ac:dyDescent="0.35">
      <c r="A264" s="6" t="s">
        <v>2</v>
      </c>
      <c r="B264" s="6" t="s">
        <v>37</v>
      </c>
      <c r="C264" s="6" t="s">
        <v>38</v>
      </c>
      <c r="D264" s="6" t="s">
        <v>14</v>
      </c>
      <c r="E264" s="6" t="s">
        <v>39</v>
      </c>
      <c r="F264" s="6" t="s">
        <v>40</v>
      </c>
      <c r="G264" s="6" t="s">
        <v>41</v>
      </c>
      <c r="H264" s="6" t="s">
        <v>42</v>
      </c>
      <c r="I264" s="6" t="s">
        <v>31</v>
      </c>
      <c r="J264" s="6">
        <v>16.88644</v>
      </c>
      <c r="K264" s="6">
        <v>-97.678719999999998</v>
      </c>
      <c r="L264" s="6" t="str">
        <f>HYPERLINK("https://maps.google.com/?q=16.88644,-97.678719999999998", "🔗 Ver Mapa")</f>
        <v>🔗 Ver Mapa</v>
      </c>
    </row>
    <row r="265" spans="1:12" ht="29" x14ac:dyDescent="0.35">
      <c r="A265" s="5" t="s">
        <v>2</v>
      </c>
      <c r="B265" s="5" t="s">
        <v>37</v>
      </c>
      <c r="C265" s="5" t="s">
        <v>38</v>
      </c>
      <c r="D265" s="5" t="s">
        <v>14</v>
      </c>
      <c r="E265" s="5" t="s">
        <v>39</v>
      </c>
      <c r="F265" s="5" t="s">
        <v>40</v>
      </c>
      <c r="G265" s="5" t="s">
        <v>41</v>
      </c>
      <c r="H265" s="5" t="s">
        <v>42</v>
      </c>
      <c r="I265" s="5" t="s">
        <v>31</v>
      </c>
      <c r="J265" s="5">
        <v>16.889880000000002</v>
      </c>
      <c r="K265" s="5">
        <v>-97.682410000000004</v>
      </c>
      <c r="L265" s="5" t="str">
        <f>HYPERLINK("https://maps.google.com/?q=16.88988,-97.682410000000004", "🔗 Ver Mapa")</f>
        <v>🔗 Ver Mapa</v>
      </c>
    </row>
    <row r="266" spans="1:12" ht="29" x14ac:dyDescent="0.35">
      <c r="A266" s="6" t="s">
        <v>2</v>
      </c>
      <c r="B266" s="6" t="s">
        <v>37</v>
      </c>
      <c r="C266" s="6" t="s">
        <v>43</v>
      </c>
      <c r="D266" s="6" t="s">
        <v>14</v>
      </c>
      <c r="E266" s="6" t="s">
        <v>39</v>
      </c>
      <c r="F266" s="6" t="s">
        <v>40</v>
      </c>
      <c r="G266" s="6" t="s">
        <v>41</v>
      </c>
      <c r="H266" s="6" t="s">
        <v>42</v>
      </c>
      <c r="I266" s="6" t="s">
        <v>31</v>
      </c>
      <c r="J266" s="6">
        <v>16.882380000000001</v>
      </c>
      <c r="K266" s="6">
        <v>-97.675309999999996</v>
      </c>
      <c r="L266" s="6" t="str">
        <f>HYPERLINK("https://maps.google.com/?q=16.88238,-97.675309999999996", "🔗 Ver Mapa")</f>
        <v>🔗 Ver Mapa</v>
      </c>
    </row>
    <row r="267" spans="1:12" ht="29" x14ac:dyDescent="0.35">
      <c r="A267" s="5" t="s">
        <v>2</v>
      </c>
      <c r="B267" s="5" t="s">
        <v>37</v>
      </c>
      <c r="C267" s="5" t="s">
        <v>43</v>
      </c>
      <c r="D267" s="5" t="s">
        <v>14</v>
      </c>
      <c r="E267" s="5" t="s">
        <v>39</v>
      </c>
      <c r="F267" s="5" t="s">
        <v>40</v>
      </c>
      <c r="G267" s="5" t="s">
        <v>41</v>
      </c>
      <c r="H267" s="5" t="s">
        <v>42</v>
      </c>
      <c r="I267" s="5" t="s">
        <v>31</v>
      </c>
      <c r="J267" s="5">
        <v>16.882400000000001</v>
      </c>
      <c r="K267" s="5">
        <v>-97.676109999999994</v>
      </c>
      <c r="L267" s="5" t="str">
        <f>HYPERLINK("https://maps.google.com/?q=16.8824,-97.676109999999994", "🔗 Ver Mapa")</f>
        <v>🔗 Ver Mapa</v>
      </c>
    </row>
    <row r="268" spans="1:12" ht="29" x14ac:dyDescent="0.35">
      <c r="A268" s="6" t="s">
        <v>2</v>
      </c>
      <c r="B268" s="6" t="s">
        <v>37</v>
      </c>
      <c r="C268" s="6" t="s">
        <v>43</v>
      </c>
      <c r="D268" s="6" t="s">
        <v>14</v>
      </c>
      <c r="E268" s="6" t="s">
        <v>39</v>
      </c>
      <c r="F268" s="6" t="s">
        <v>40</v>
      </c>
      <c r="G268" s="6" t="s">
        <v>41</v>
      </c>
      <c r="H268" s="6" t="s">
        <v>42</v>
      </c>
      <c r="I268" s="6" t="s">
        <v>31</v>
      </c>
      <c r="J268" s="6">
        <v>16.88214</v>
      </c>
      <c r="K268" s="6">
        <v>-97.676140000000004</v>
      </c>
      <c r="L268" s="6" t="str">
        <f>HYPERLINK("https://maps.google.com/?q=16.88214,-97.676140000000004", "🔗 Ver Mapa")</f>
        <v>🔗 Ver Mapa</v>
      </c>
    </row>
    <row r="269" spans="1:12" ht="29" x14ac:dyDescent="0.35">
      <c r="A269" s="5" t="s">
        <v>2</v>
      </c>
      <c r="B269" s="5" t="s">
        <v>37</v>
      </c>
      <c r="C269" s="5" t="s">
        <v>43</v>
      </c>
      <c r="D269" s="5" t="s">
        <v>14</v>
      </c>
      <c r="E269" s="5" t="s">
        <v>39</v>
      </c>
      <c r="F269" s="5" t="s">
        <v>40</v>
      </c>
      <c r="G269" s="5" t="s">
        <v>41</v>
      </c>
      <c r="H269" s="5" t="s">
        <v>42</v>
      </c>
      <c r="I269" s="5" t="s">
        <v>31</v>
      </c>
      <c r="J269" s="5">
        <v>16.882400000000001</v>
      </c>
      <c r="K269" s="5">
        <v>-97.6768</v>
      </c>
      <c r="L269" s="5" t="str">
        <f>HYPERLINK("https://maps.google.com/?q=16.8824,-97.6768", "🔗 Ver Mapa")</f>
        <v>🔗 Ver Mapa</v>
      </c>
    </row>
    <row r="270" spans="1:12" ht="29" x14ac:dyDescent="0.35">
      <c r="A270" s="6" t="s">
        <v>2</v>
      </c>
      <c r="B270" s="6" t="s">
        <v>37</v>
      </c>
      <c r="C270" s="6" t="s">
        <v>43</v>
      </c>
      <c r="D270" s="6" t="s">
        <v>14</v>
      </c>
      <c r="E270" s="6" t="s">
        <v>39</v>
      </c>
      <c r="F270" s="6" t="s">
        <v>40</v>
      </c>
      <c r="G270" s="6" t="s">
        <v>41</v>
      </c>
      <c r="H270" s="6" t="s">
        <v>42</v>
      </c>
      <c r="I270" s="6" t="s">
        <v>31</v>
      </c>
      <c r="J270" s="6">
        <v>16.882680000000001</v>
      </c>
      <c r="K270" s="6">
        <v>-97.674850000000006</v>
      </c>
      <c r="L270" s="6" t="str">
        <f>HYPERLINK("https://maps.google.com/?q=16.88268,-97.674850000000006", "🔗 Ver Mapa")</f>
        <v>🔗 Ver Mapa</v>
      </c>
    </row>
    <row r="271" spans="1:12" ht="29" x14ac:dyDescent="0.35">
      <c r="A271" s="5" t="s">
        <v>2</v>
      </c>
      <c r="B271" s="5" t="s">
        <v>37</v>
      </c>
      <c r="C271" s="5" t="s">
        <v>43</v>
      </c>
      <c r="D271" s="5" t="s">
        <v>14</v>
      </c>
      <c r="E271" s="5" t="s">
        <v>39</v>
      </c>
      <c r="F271" s="5" t="s">
        <v>40</v>
      </c>
      <c r="G271" s="5" t="s">
        <v>41</v>
      </c>
      <c r="H271" s="5" t="s">
        <v>42</v>
      </c>
      <c r="I271" s="5" t="s">
        <v>31</v>
      </c>
      <c r="J271" s="5">
        <v>16.88298</v>
      </c>
      <c r="K271" s="5">
        <v>-97.674750000000003</v>
      </c>
      <c r="L271" s="5" t="str">
        <f>HYPERLINK("https://maps.google.com/?q=16.88298,-97.674750000000003", "🔗 Ver Mapa")</f>
        <v>🔗 Ver Mapa</v>
      </c>
    </row>
    <row r="272" spans="1:12" ht="29" x14ac:dyDescent="0.35">
      <c r="A272" s="6" t="s">
        <v>2</v>
      </c>
      <c r="B272" s="6" t="s">
        <v>37</v>
      </c>
      <c r="C272" s="6" t="s">
        <v>43</v>
      </c>
      <c r="D272" s="6" t="s">
        <v>14</v>
      </c>
      <c r="E272" s="6" t="s">
        <v>39</v>
      </c>
      <c r="F272" s="6" t="s">
        <v>40</v>
      </c>
      <c r="G272" s="6" t="s">
        <v>41</v>
      </c>
      <c r="H272" s="6" t="s">
        <v>42</v>
      </c>
      <c r="I272" s="6" t="s">
        <v>31</v>
      </c>
      <c r="J272" s="6">
        <v>16.882760000000001</v>
      </c>
      <c r="K272" s="6">
        <v>-97.674930000000003</v>
      </c>
      <c r="L272" s="6" t="str">
        <f>HYPERLINK("https://maps.google.com/?q=16.88276,-97.674930000000003", "🔗 Ver Mapa")</f>
        <v>🔗 Ver Mapa</v>
      </c>
    </row>
    <row r="273" spans="1:12" ht="29" x14ac:dyDescent="0.35">
      <c r="A273" s="5" t="s">
        <v>2</v>
      </c>
      <c r="B273" s="5" t="s">
        <v>37</v>
      </c>
      <c r="C273" s="5" t="s">
        <v>43</v>
      </c>
      <c r="D273" s="5" t="s">
        <v>14</v>
      </c>
      <c r="E273" s="5" t="s">
        <v>39</v>
      </c>
      <c r="F273" s="5" t="s">
        <v>40</v>
      </c>
      <c r="G273" s="5" t="s">
        <v>41</v>
      </c>
      <c r="H273" s="5" t="s">
        <v>42</v>
      </c>
      <c r="I273" s="5" t="s">
        <v>31</v>
      </c>
      <c r="J273" s="5">
        <v>16.883510000000001</v>
      </c>
      <c r="K273" s="5">
        <v>-97.675939999999997</v>
      </c>
      <c r="L273" s="5" t="str">
        <f>HYPERLINK("https://maps.google.com/?q=16.88351,-97.675939999999997", "🔗 Ver Mapa")</f>
        <v>🔗 Ver Mapa</v>
      </c>
    </row>
    <row r="274" spans="1:12" ht="29" x14ac:dyDescent="0.35">
      <c r="A274" s="6" t="s">
        <v>2</v>
      </c>
      <c r="B274" s="6" t="s">
        <v>37</v>
      </c>
      <c r="C274" s="6" t="s">
        <v>43</v>
      </c>
      <c r="D274" s="6" t="s">
        <v>14</v>
      </c>
      <c r="E274" s="6" t="s">
        <v>39</v>
      </c>
      <c r="F274" s="6" t="s">
        <v>40</v>
      </c>
      <c r="G274" s="6" t="s">
        <v>41</v>
      </c>
      <c r="H274" s="6" t="s">
        <v>42</v>
      </c>
      <c r="I274" s="6" t="s">
        <v>31</v>
      </c>
      <c r="J274" s="6">
        <v>16.88374</v>
      </c>
      <c r="K274" s="6">
        <v>-97.675719999999998</v>
      </c>
      <c r="L274" s="6" t="str">
        <f>HYPERLINK("https://maps.google.com/?q=16.88374,-97.675719999999998", "🔗 Ver Mapa")</f>
        <v>🔗 Ver Mapa</v>
      </c>
    </row>
    <row r="275" spans="1:12" ht="29" x14ac:dyDescent="0.35">
      <c r="A275" s="5" t="s">
        <v>2</v>
      </c>
      <c r="B275" s="5" t="s">
        <v>37</v>
      </c>
      <c r="C275" s="5" t="s">
        <v>43</v>
      </c>
      <c r="D275" s="5" t="s">
        <v>14</v>
      </c>
      <c r="E275" s="5" t="s">
        <v>39</v>
      </c>
      <c r="F275" s="5" t="s">
        <v>40</v>
      </c>
      <c r="G275" s="5" t="s">
        <v>41</v>
      </c>
      <c r="H275" s="5" t="s">
        <v>42</v>
      </c>
      <c r="I275" s="5" t="s">
        <v>31</v>
      </c>
      <c r="J275" s="5">
        <v>16.884150000000002</v>
      </c>
      <c r="K275" s="5">
        <v>-97.675799999999995</v>
      </c>
      <c r="L275" s="5" t="str">
        <f>HYPERLINK("https://maps.google.com/?q=16.88415,-97.675799999999995", "🔗 Ver Mapa")</f>
        <v>🔗 Ver Mapa</v>
      </c>
    </row>
    <row r="276" spans="1:12" ht="29" x14ac:dyDescent="0.35">
      <c r="A276" s="6" t="s">
        <v>2</v>
      </c>
      <c r="B276" s="6" t="s">
        <v>37</v>
      </c>
      <c r="C276" s="6" t="s">
        <v>43</v>
      </c>
      <c r="D276" s="6" t="s">
        <v>14</v>
      </c>
      <c r="E276" s="6" t="s">
        <v>39</v>
      </c>
      <c r="F276" s="6" t="s">
        <v>40</v>
      </c>
      <c r="G276" s="6" t="s">
        <v>41</v>
      </c>
      <c r="H276" s="6" t="s">
        <v>42</v>
      </c>
      <c r="I276" s="6" t="s">
        <v>31</v>
      </c>
      <c r="J276" s="6">
        <v>16.883800000000001</v>
      </c>
      <c r="K276" s="6">
        <v>-97.676119999999997</v>
      </c>
      <c r="L276" s="6" t="str">
        <f>HYPERLINK("https://maps.google.com/?q=16.8838,-97.676119999999997", "🔗 Ver Mapa")</f>
        <v>🔗 Ver Mapa</v>
      </c>
    </row>
    <row r="277" spans="1:12" ht="29" x14ac:dyDescent="0.35">
      <c r="A277" s="5" t="s">
        <v>2</v>
      </c>
      <c r="B277" s="5" t="s">
        <v>37</v>
      </c>
      <c r="C277" s="5" t="s">
        <v>43</v>
      </c>
      <c r="D277" s="5" t="s">
        <v>14</v>
      </c>
      <c r="E277" s="5" t="s">
        <v>39</v>
      </c>
      <c r="F277" s="5" t="s">
        <v>40</v>
      </c>
      <c r="G277" s="5" t="s">
        <v>41</v>
      </c>
      <c r="H277" s="5" t="s">
        <v>42</v>
      </c>
      <c r="I277" s="5" t="s">
        <v>31</v>
      </c>
      <c r="J277" s="5">
        <v>16.883839999999999</v>
      </c>
      <c r="K277" s="5">
        <v>-97.676360000000003</v>
      </c>
      <c r="L277" s="5" t="str">
        <f>HYPERLINK("https://maps.google.com/?q=16.88384,-97.676360000000003", "🔗 Ver Mapa")</f>
        <v>🔗 Ver Mapa</v>
      </c>
    </row>
    <row r="278" spans="1:12" ht="29" x14ac:dyDescent="0.35">
      <c r="A278" s="6" t="s">
        <v>2</v>
      </c>
      <c r="B278" s="6" t="s">
        <v>37</v>
      </c>
      <c r="C278" s="6" t="s">
        <v>43</v>
      </c>
      <c r="D278" s="6" t="s">
        <v>14</v>
      </c>
      <c r="E278" s="6" t="s">
        <v>39</v>
      </c>
      <c r="F278" s="6" t="s">
        <v>40</v>
      </c>
      <c r="G278" s="6" t="s">
        <v>41</v>
      </c>
      <c r="H278" s="6" t="s">
        <v>42</v>
      </c>
      <c r="I278" s="6" t="s">
        <v>31</v>
      </c>
      <c r="J278" s="6">
        <v>16.883209999999998</v>
      </c>
      <c r="K278" s="6">
        <v>-97.676429999999996</v>
      </c>
      <c r="L278" s="6" t="str">
        <f>HYPERLINK("https://maps.google.com/?q=16.88321,-97.676429999999996", "🔗 Ver Mapa")</f>
        <v>🔗 Ver Mapa</v>
      </c>
    </row>
    <row r="279" spans="1:12" ht="29" x14ac:dyDescent="0.35">
      <c r="A279" s="5" t="s">
        <v>2</v>
      </c>
      <c r="B279" s="5" t="s">
        <v>37</v>
      </c>
      <c r="C279" s="5" t="s">
        <v>43</v>
      </c>
      <c r="D279" s="5" t="s">
        <v>14</v>
      </c>
      <c r="E279" s="5" t="s">
        <v>39</v>
      </c>
      <c r="F279" s="5" t="s">
        <v>40</v>
      </c>
      <c r="G279" s="5" t="s">
        <v>41</v>
      </c>
      <c r="H279" s="5" t="s">
        <v>42</v>
      </c>
      <c r="I279" s="5" t="s">
        <v>31</v>
      </c>
      <c r="J279" s="5">
        <v>16.88306</v>
      </c>
      <c r="K279" s="5">
        <v>-97.676590000000004</v>
      </c>
      <c r="L279" s="5" t="str">
        <f>HYPERLINK("https://maps.google.com/?q=16.88306,-97.676590000000004", "🔗 Ver Mapa")</f>
        <v>🔗 Ver Mapa</v>
      </c>
    </row>
    <row r="280" spans="1:12" ht="29" x14ac:dyDescent="0.35">
      <c r="A280" s="6" t="s">
        <v>2</v>
      </c>
      <c r="B280" s="6" t="s">
        <v>37</v>
      </c>
      <c r="C280" s="6" t="s">
        <v>43</v>
      </c>
      <c r="D280" s="6" t="s">
        <v>14</v>
      </c>
      <c r="E280" s="6" t="s">
        <v>39</v>
      </c>
      <c r="F280" s="6" t="s">
        <v>40</v>
      </c>
      <c r="G280" s="6" t="s">
        <v>41</v>
      </c>
      <c r="H280" s="6" t="s">
        <v>42</v>
      </c>
      <c r="I280" s="6" t="s">
        <v>31</v>
      </c>
      <c r="J280" s="6">
        <v>16.883859999999999</v>
      </c>
      <c r="K280" s="6">
        <v>-97.677009999999996</v>
      </c>
      <c r="L280" s="6" t="str">
        <f>HYPERLINK("https://maps.google.com/?q=16.88386,-97.677009999999996", "🔗 Ver Mapa")</f>
        <v>🔗 Ver Mapa</v>
      </c>
    </row>
    <row r="281" spans="1:12" ht="29" x14ac:dyDescent="0.35">
      <c r="A281" s="5" t="s">
        <v>2</v>
      </c>
      <c r="B281" s="5" t="s">
        <v>37</v>
      </c>
      <c r="C281" s="5" t="s">
        <v>43</v>
      </c>
      <c r="D281" s="5" t="s">
        <v>14</v>
      </c>
      <c r="E281" s="5" t="s">
        <v>39</v>
      </c>
      <c r="F281" s="5" t="s">
        <v>40</v>
      </c>
      <c r="G281" s="5" t="s">
        <v>41</v>
      </c>
      <c r="H281" s="5" t="s">
        <v>42</v>
      </c>
      <c r="I281" s="5" t="s">
        <v>31</v>
      </c>
      <c r="J281" s="5">
        <v>16.883230000000001</v>
      </c>
      <c r="K281" s="5">
        <v>-97.677350000000004</v>
      </c>
      <c r="L281" s="5" t="str">
        <f>HYPERLINK("https://maps.google.com/?q=16.88323,-97.677350000000004", "🔗 Ver Mapa")</f>
        <v>🔗 Ver Mapa</v>
      </c>
    </row>
    <row r="282" spans="1:12" ht="29" x14ac:dyDescent="0.35">
      <c r="A282" s="6" t="s">
        <v>2</v>
      </c>
      <c r="B282" s="6" t="s">
        <v>37</v>
      </c>
      <c r="C282" s="6" t="s">
        <v>43</v>
      </c>
      <c r="D282" s="6" t="s">
        <v>14</v>
      </c>
      <c r="E282" s="6" t="s">
        <v>39</v>
      </c>
      <c r="F282" s="6" t="s">
        <v>40</v>
      </c>
      <c r="G282" s="6" t="s">
        <v>41</v>
      </c>
      <c r="H282" s="6" t="s">
        <v>42</v>
      </c>
      <c r="I282" s="6" t="s">
        <v>31</v>
      </c>
      <c r="J282" s="6">
        <v>16.883579999999998</v>
      </c>
      <c r="K282" s="6">
        <v>-97.677269999999993</v>
      </c>
      <c r="L282" s="6" t="str">
        <f>HYPERLINK("https://maps.google.com/?q=16.88358,-97.677269999999993", "🔗 Ver Mapa")</f>
        <v>🔗 Ver Mapa</v>
      </c>
    </row>
    <row r="283" spans="1:12" ht="29" x14ac:dyDescent="0.35">
      <c r="A283" s="5" t="s">
        <v>2</v>
      </c>
      <c r="B283" s="5" t="s">
        <v>37</v>
      </c>
      <c r="C283" s="5" t="s">
        <v>43</v>
      </c>
      <c r="D283" s="5" t="s">
        <v>14</v>
      </c>
      <c r="E283" s="5" t="s">
        <v>39</v>
      </c>
      <c r="F283" s="5" t="s">
        <v>40</v>
      </c>
      <c r="G283" s="5" t="s">
        <v>41</v>
      </c>
      <c r="H283" s="5" t="s">
        <v>42</v>
      </c>
      <c r="I283" s="5" t="s">
        <v>31</v>
      </c>
      <c r="J283" s="5">
        <v>16.883089999999999</v>
      </c>
      <c r="K283" s="5">
        <v>-97.677809999999994</v>
      </c>
      <c r="L283" s="5" t="str">
        <f>HYPERLINK("https://maps.google.com/?q=16.88309,-97.677809999999994", "🔗 Ver Mapa")</f>
        <v>🔗 Ver Mapa</v>
      </c>
    </row>
    <row r="284" spans="1:12" ht="29" x14ac:dyDescent="0.35">
      <c r="A284" s="6" t="s">
        <v>2</v>
      </c>
      <c r="B284" s="6" t="s">
        <v>37</v>
      </c>
      <c r="C284" s="6" t="s">
        <v>43</v>
      </c>
      <c r="D284" s="6" t="s">
        <v>14</v>
      </c>
      <c r="E284" s="6" t="s">
        <v>39</v>
      </c>
      <c r="F284" s="6" t="s">
        <v>40</v>
      </c>
      <c r="G284" s="6" t="s">
        <v>41</v>
      </c>
      <c r="H284" s="6" t="s">
        <v>42</v>
      </c>
      <c r="I284" s="6" t="s">
        <v>31</v>
      </c>
      <c r="J284" s="6">
        <v>16.882539999999999</v>
      </c>
      <c r="K284" s="6">
        <v>-97.676699999999997</v>
      </c>
      <c r="L284" s="6" t="str">
        <f>HYPERLINK("https://maps.google.com/?q=16.88254,-97.676699999999997", "🔗 Ver Mapa")</f>
        <v>🔗 Ver Mapa</v>
      </c>
    </row>
    <row r="285" spans="1:12" ht="29" x14ac:dyDescent="0.35">
      <c r="A285" s="5" t="s">
        <v>2</v>
      </c>
      <c r="B285" s="5" t="s">
        <v>37</v>
      </c>
      <c r="C285" s="5" t="s">
        <v>43</v>
      </c>
      <c r="D285" s="5" t="s">
        <v>14</v>
      </c>
      <c r="E285" s="5" t="s">
        <v>39</v>
      </c>
      <c r="F285" s="5" t="s">
        <v>40</v>
      </c>
      <c r="G285" s="5" t="s">
        <v>41</v>
      </c>
      <c r="H285" s="5" t="s">
        <v>42</v>
      </c>
      <c r="I285" s="5" t="s">
        <v>31</v>
      </c>
      <c r="J285" s="5">
        <v>16.88466</v>
      </c>
      <c r="K285" s="5">
        <v>-97.67765</v>
      </c>
      <c r="L285" s="5" t="str">
        <f>HYPERLINK("https://maps.google.com/?q=16.88466,-97.67765", "🔗 Ver Mapa")</f>
        <v>🔗 Ver Mapa</v>
      </c>
    </row>
    <row r="286" spans="1:12" ht="29" x14ac:dyDescent="0.35">
      <c r="A286" s="6" t="s">
        <v>2</v>
      </c>
      <c r="B286" s="6" t="s">
        <v>37</v>
      </c>
      <c r="C286" s="6" t="s">
        <v>43</v>
      </c>
      <c r="D286" s="6" t="s">
        <v>14</v>
      </c>
      <c r="E286" s="6" t="s">
        <v>39</v>
      </c>
      <c r="F286" s="6" t="s">
        <v>40</v>
      </c>
      <c r="G286" s="6" t="s">
        <v>41</v>
      </c>
      <c r="H286" s="6" t="s">
        <v>42</v>
      </c>
      <c r="I286" s="6" t="s">
        <v>31</v>
      </c>
      <c r="J286" s="6">
        <v>16.884589999999999</v>
      </c>
      <c r="K286" s="6">
        <v>-97.677610000000001</v>
      </c>
      <c r="L286" s="6" t="str">
        <f>HYPERLINK("https://maps.google.com/?q=16.88459,-97.677610000000001", "🔗 Ver Mapa")</f>
        <v>🔗 Ver Mapa</v>
      </c>
    </row>
    <row r="287" spans="1:12" ht="29" x14ac:dyDescent="0.35">
      <c r="A287" s="5" t="s">
        <v>2</v>
      </c>
      <c r="B287" s="5" t="s">
        <v>37</v>
      </c>
      <c r="C287" s="5" t="s">
        <v>43</v>
      </c>
      <c r="D287" s="5" t="s">
        <v>14</v>
      </c>
      <c r="E287" s="5" t="s">
        <v>39</v>
      </c>
      <c r="F287" s="5" t="s">
        <v>40</v>
      </c>
      <c r="G287" s="5" t="s">
        <v>41</v>
      </c>
      <c r="H287" s="5" t="s">
        <v>42</v>
      </c>
      <c r="I287" s="5" t="s">
        <v>31</v>
      </c>
      <c r="J287" s="5">
        <v>16.884650000000001</v>
      </c>
      <c r="K287" s="5">
        <v>-97.677880000000002</v>
      </c>
      <c r="L287" s="5" t="str">
        <f>HYPERLINK("https://maps.google.com/?q=16.88465,-97.677880000000002", "🔗 Ver Mapa")</f>
        <v>🔗 Ver Mapa</v>
      </c>
    </row>
    <row r="288" spans="1:12" ht="29" x14ac:dyDescent="0.35">
      <c r="A288" s="6" t="s">
        <v>2</v>
      </c>
      <c r="B288" s="6" t="s">
        <v>37</v>
      </c>
      <c r="C288" s="6" t="s">
        <v>43</v>
      </c>
      <c r="D288" s="6" t="s">
        <v>14</v>
      </c>
      <c r="E288" s="6" t="s">
        <v>39</v>
      </c>
      <c r="F288" s="6" t="s">
        <v>40</v>
      </c>
      <c r="G288" s="6" t="s">
        <v>41</v>
      </c>
      <c r="H288" s="6" t="s">
        <v>42</v>
      </c>
      <c r="I288" s="6" t="s">
        <v>31</v>
      </c>
      <c r="J288" s="6">
        <v>16.88496</v>
      </c>
      <c r="K288" s="6">
        <v>-97.67801</v>
      </c>
      <c r="L288" s="6" t="str">
        <f>HYPERLINK("https://maps.google.com/?q=16.88496,-97.67801", "🔗 Ver Mapa")</f>
        <v>🔗 Ver Mapa</v>
      </c>
    </row>
    <row r="289" spans="1:12" ht="29" x14ac:dyDescent="0.35">
      <c r="A289" s="5" t="s">
        <v>2</v>
      </c>
      <c r="B289" s="5" t="s">
        <v>37</v>
      </c>
      <c r="C289" s="5" t="s">
        <v>43</v>
      </c>
      <c r="D289" s="5" t="s">
        <v>14</v>
      </c>
      <c r="E289" s="5" t="s">
        <v>39</v>
      </c>
      <c r="F289" s="5" t="s">
        <v>40</v>
      </c>
      <c r="G289" s="5" t="s">
        <v>41</v>
      </c>
      <c r="H289" s="5" t="s">
        <v>42</v>
      </c>
      <c r="I289" s="5" t="s">
        <v>31</v>
      </c>
      <c r="J289" s="5">
        <v>16.88552</v>
      </c>
      <c r="K289" s="5">
        <v>-97.678430000000006</v>
      </c>
      <c r="L289" s="5" t="str">
        <f>HYPERLINK("https://maps.google.com/?q=16.88552,-97.678430000000006", "🔗 Ver Mapa")</f>
        <v>🔗 Ver Mapa</v>
      </c>
    </row>
    <row r="290" spans="1:12" ht="29" x14ac:dyDescent="0.35">
      <c r="A290" s="6" t="s">
        <v>2</v>
      </c>
      <c r="B290" s="6" t="s">
        <v>37</v>
      </c>
      <c r="C290" s="6" t="s">
        <v>43</v>
      </c>
      <c r="D290" s="6" t="s">
        <v>14</v>
      </c>
      <c r="E290" s="6" t="s">
        <v>39</v>
      </c>
      <c r="F290" s="6" t="s">
        <v>40</v>
      </c>
      <c r="G290" s="6" t="s">
        <v>41</v>
      </c>
      <c r="H290" s="6" t="s">
        <v>42</v>
      </c>
      <c r="I290" s="6" t="s">
        <v>31</v>
      </c>
      <c r="J290" s="6">
        <v>16.884979999999999</v>
      </c>
      <c r="K290" s="6">
        <v>-97.679010000000005</v>
      </c>
      <c r="L290" s="6" t="str">
        <f>HYPERLINK("https://maps.google.com/?q=16.88498,-97.679010000000005", "🔗 Ver Mapa")</f>
        <v>🔗 Ver Mapa</v>
      </c>
    </row>
    <row r="291" spans="1:12" ht="29" x14ac:dyDescent="0.35">
      <c r="A291" s="5" t="s">
        <v>2</v>
      </c>
      <c r="B291" s="5" t="s">
        <v>37</v>
      </c>
      <c r="C291" s="5" t="s">
        <v>43</v>
      </c>
      <c r="D291" s="5" t="s">
        <v>14</v>
      </c>
      <c r="E291" s="5" t="s">
        <v>39</v>
      </c>
      <c r="F291" s="5" t="s">
        <v>40</v>
      </c>
      <c r="G291" s="5" t="s">
        <v>41</v>
      </c>
      <c r="H291" s="5" t="s">
        <v>42</v>
      </c>
      <c r="I291" s="5" t="s">
        <v>31</v>
      </c>
      <c r="J291" s="5">
        <v>16.885660000000001</v>
      </c>
      <c r="K291" s="5">
        <v>-97.678179999999998</v>
      </c>
      <c r="L291" s="5" t="str">
        <f>HYPERLINK("https://maps.google.com/?q=16.88566,-97.678179999999998", "🔗 Ver Mapa")</f>
        <v>🔗 Ver Mapa</v>
      </c>
    </row>
    <row r="292" spans="1:12" ht="29" x14ac:dyDescent="0.35">
      <c r="A292" s="6" t="s">
        <v>2</v>
      </c>
      <c r="B292" s="6" t="s">
        <v>37</v>
      </c>
      <c r="C292" s="6" t="s">
        <v>43</v>
      </c>
      <c r="D292" s="6" t="s">
        <v>14</v>
      </c>
      <c r="E292" s="6" t="s">
        <v>39</v>
      </c>
      <c r="F292" s="6" t="s">
        <v>40</v>
      </c>
      <c r="G292" s="6" t="s">
        <v>41</v>
      </c>
      <c r="H292" s="6" t="s">
        <v>42</v>
      </c>
      <c r="I292" s="6" t="s">
        <v>31</v>
      </c>
      <c r="J292" s="6">
        <v>16.886220000000002</v>
      </c>
      <c r="K292" s="6">
        <v>-97.677959999999999</v>
      </c>
      <c r="L292" s="6" t="str">
        <f>HYPERLINK("https://maps.google.com/?q=16.88622,-97.677959999999999", "🔗 Ver Mapa")</f>
        <v>🔗 Ver Mapa</v>
      </c>
    </row>
    <row r="293" spans="1:12" ht="29" x14ac:dyDescent="0.35">
      <c r="A293" s="5" t="s">
        <v>2</v>
      </c>
      <c r="B293" s="5" t="s">
        <v>37</v>
      </c>
      <c r="C293" s="5" t="s">
        <v>43</v>
      </c>
      <c r="D293" s="5" t="s">
        <v>14</v>
      </c>
      <c r="E293" s="5" t="s">
        <v>39</v>
      </c>
      <c r="F293" s="5" t="s">
        <v>40</v>
      </c>
      <c r="G293" s="5" t="s">
        <v>41</v>
      </c>
      <c r="H293" s="5" t="s">
        <v>42</v>
      </c>
      <c r="I293" s="5" t="s">
        <v>31</v>
      </c>
      <c r="J293" s="5">
        <v>16.88636</v>
      </c>
      <c r="K293" s="5">
        <v>-97.677700000000002</v>
      </c>
      <c r="L293" s="5" t="str">
        <f>HYPERLINK("https://maps.google.com/?q=16.88636,-97.677700000000002", "🔗 Ver Mapa")</f>
        <v>🔗 Ver Mapa</v>
      </c>
    </row>
    <row r="294" spans="1:12" ht="29" x14ac:dyDescent="0.35">
      <c r="A294" s="6" t="s">
        <v>2</v>
      </c>
      <c r="B294" s="6" t="s">
        <v>37</v>
      </c>
      <c r="C294" s="6" t="s">
        <v>43</v>
      </c>
      <c r="D294" s="6" t="s">
        <v>14</v>
      </c>
      <c r="E294" s="6" t="s">
        <v>39</v>
      </c>
      <c r="F294" s="6" t="s">
        <v>40</v>
      </c>
      <c r="G294" s="6" t="s">
        <v>41</v>
      </c>
      <c r="H294" s="6" t="s">
        <v>42</v>
      </c>
      <c r="I294" s="6" t="s">
        <v>31</v>
      </c>
      <c r="J294" s="6">
        <v>16.886959999999998</v>
      </c>
      <c r="K294" s="6">
        <v>-97.679270000000002</v>
      </c>
      <c r="L294" s="6" t="str">
        <f>HYPERLINK("https://maps.google.com/?q=16.88696,-97.679270000000002", "🔗 Ver Mapa")</f>
        <v>🔗 Ver Mapa</v>
      </c>
    </row>
    <row r="295" spans="1:12" ht="29" x14ac:dyDescent="0.35">
      <c r="A295" s="5" t="s">
        <v>2</v>
      </c>
      <c r="B295" s="5" t="s">
        <v>37</v>
      </c>
      <c r="C295" s="5" t="s">
        <v>43</v>
      </c>
      <c r="D295" s="5" t="s">
        <v>14</v>
      </c>
      <c r="E295" s="5" t="s">
        <v>39</v>
      </c>
      <c r="F295" s="5" t="s">
        <v>40</v>
      </c>
      <c r="G295" s="5" t="s">
        <v>41</v>
      </c>
      <c r="H295" s="5" t="s">
        <v>42</v>
      </c>
      <c r="I295" s="5" t="s">
        <v>31</v>
      </c>
      <c r="J295" s="5">
        <v>16.880009999999999</v>
      </c>
      <c r="K295" s="5">
        <v>-97.673090000000002</v>
      </c>
      <c r="L295" s="5" t="str">
        <f>HYPERLINK("https://maps.google.com/?q=16.88001,-97.673090000000002", "🔗 Ver Mapa")</f>
        <v>🔗 Ver Mapa</v>
      </c>
    </row>
    <row r="296" spans="1:12" ht="29" x14ac:dyDescent="0.35">
      <c r="A296" s="6" t="s">
        <v>2</v>
      </c>
      <c r="B296" s="6" t="s">
        <v>37</v>
      </c>
      <c r="C296" s="6" t="s">
        <v>43</v>
      </c>
      <c r="D296" s="6" t="s">
        <v>14</v>
      </c>
      <c r="E296" s="6" t="s">
        <v>39</v>
      </c>
      <c r="F296" s="6" t="s">
        <v>40</v>
      </c>
      <c r="G296" s="6" t="s">
        <v>41</v>
      </c>
      <c r="H296" s="6" t="s">
        <v>42</v>
      </c>
      <c r="I296" s="6" t="s">
        <v>31</v>
      </c>
      <c r="J296" s="6">
        <v>16.887450000000001</v>
      </c>
      <c r="K296" s="6">
        <v>-97.682010000000005</v>
      </c>
      <c r="L296" s="6" t="str">
        <f>HYPERLINK("https://maps.google.com/?q=16.88745,-97.682010000000005", "🔗 Ver Mapa")</f>
        <v>🔗 Ver Mapa</v>
      </c>
    </row>
    <row r="297" spans="1:12" ht="29" x14ac:dyDescent="0.35">
      <c r="A297" s="5" t="s">
        <v>2</v>
      </c>
      <c r="B297" s="5" t="s">
        <v>37</v>
      </c>
      <c r="C297" s="5" t="s">
        <v>43</v>
      </c>
      <c r="D297" s="5" t="s">
        <v>14</v>
      </c>
      <c r="E297" s="5" t="s">
        <v>39</v>
      </c>
      <c r="F297" s="5" t="s">
        <v>40</v>
      </c>
      <c r="G297" s="5" t="s">
        <v>41</v>
      </c>
      <c r="H297" s="5" t="s">
        <v>42</v>
      </c>
      <c r="I297" s="5" t="s">
        <v>31</v>
      </c>
      <c r="J297" s="5">
        <v>16.884219999999999</v>
      </c>
      <c r="K297" s="5">
        <v>-97.677009999999996</v>
      </c>
      <c r="L297" s="5" t="str">
        <f>HYPERLINK("https://maps.google.com/?q=16.88422,-97.677009999999996", "🔗 Ver Mapa")</f>
        <v>🔗 Ver Mapa</v>
      </c>
    </row>
    <row r="298" spans="1:12" ht="29" x14ac:dyDescent="0.35">
      <c r="A298" s="6" t="s">
        <v>2</v>
      </c>
      <c r="B298" s="6" t="s">
        <v>37</v>
      </c>
      <c r="C298" s="6" t="s">
        <v>43</v>
      </c>
      <c r="D298" s="6" t="s">
        <v>14</v>
      </c>
      <c r="E298" s="6" t="s">
        <v>39</v>
      </c>
      <c r="F298" s="6" t="s">
        <v>40</v>
      </c>
      <c r="G298" s="6" t="s">
        <v>41</v>
      </c>
      <c r="H298" s="6" t="s">
        <v>42</v>
      </c>
      <c r="I298" s="6" t="s">
        <v>31</v>
      </c>
      <c r="J298" s="6">
        <v>16.88644</v>
      </c>
      <c r="K298" s="6">
        <v>-97.678719999999998</v>
      </c>
      <c r="L298" s="6" t="str">
        <f>HYPERLINK("https://maps.google.com/?q=16.88644,-97.678719999999998", "🔗 Ver Mapa")</f>
        <v>🔗 Ver Mapa</v>
      </c>
    </row>
    <row r="299" spans="1:12" ht="29" x14ac:dyDescent="0.35">
      <c r="A299" s="5" t="s">
        <v>2</v>
      </c>
      <c r="B299" s="5" t="s">
        <v>37</v>
      </c>
      <c r="C299" s="5" t="s">
        <v>43</v>
      </c>
      <c r="D299" s="5" t="s">
        <v>14</v>
      </c>
      <c r="E299" s="5" t="s">
        <v>39</v>
      </c>
      <c r="F299" s="5" t="s">
        <v>40</v>
      </c>
      <c r="G299" s="5" t="s">
        <v>41</v>
      </c>
      <c r="H299" s="5" t="s">
        <v>42</v>
      </c>
      <c r="I299" s="5" t="s">
        <v>31</v>
      </c>
      <c r="J299" s="5">
        <v>16.889880000000002</v>
      </c>
      <c r="K299" s="5">
        <v>-97.682410000000004</v>
      </c>
      <c r="L299" s="5" t="str">
        <f>HYPERLINK("https://maps.google.com/?q=16.88988,-97.682410000000004", "🔗 Ver Mapa")</f>
        <v>🔗 Ver Mapa</v>
      </c>
    </row>
    <row r="300" spans="1:12" ht="29" x14ac:dyDescent="0.35">
      <c r="A300" s="6" t="s">
        <v>2</v>
      </c>
      <c r="B300" s="6" t="s">
        <v>44</v>
      </c>
      <c r="C300" s="6" t="s">
        <v>45</v>
      </c>
      <c r="D300" s="6" t="s">
        <v>13</v>
      </c>
      <c r="E300" s="6" t="s">
        <v>17</v>
      </c>
      <c r="F300" s="6" t="s">
        <v>46</v>
      </c>
      <c r="G300" s="6" t="s">
        <v>47</v>
      </c>
      <c r="H300" s="6" t="s">
        <v>48</v>
      </c>
      <c r="I300" s="6" t="s">
        <v>32</v>
      </c>
      <c r="J300" s="6">
        <v>16.063258999999999</v>
      </c>
      <c r="K300" s="6">
        <v>-97.380872999999994</v>
      </c>
      <c r="L300" s="6" t="str">
        <f>HYPERLINK("https://maps.google.com/?q=16.063259,-97.380872999999994", "🔗 Ver Mapa")</f>
        <v>🔗 Ver Mapa</v>
      </c>
    </row>
    <row r="301" spans="1:12" ht="29" x14ac:dyDescent="0.35">
      <c r="A301" s="5" t="s">
        <v>2</v>
      </c>
      <c r="B301" s="5" t="s">
        <v>44</v>
      </c>
      <c r="C301" s="5" t="s">
        <v>45</v>
      </c>
      <c r="D301" s="5" t="s">
        <v>13</v>
      </c>
      <c r="E301" s="5" t="s">
        <v>17</v>
      </c>
      <c r="F301" s="5" t="s">
        <v>46</v>
      </c>
      <c r="G301" s="5" t="s">
        <v>47</v>
      </c>
      <c r="H301" s="5" t="s">
        <v>48</v>
      </c>
      <c r="I301" s="5" t="s">
        <v>32</v>
      </c>
      <c r="J301" s="5">
        <v>16.063313999999998</v>
      </c>
      <c r="K301" s="5">
        <v>-97.380975000000007</v>
      </c>
      <c r="L301" s="5" t="str">
        <f>HYPERLINK("https://maps.google.com/?q=16.063314,-97.380975000000007", "🔗 Ver Mapa")</f>
        <v>🔗 Ver Mapa</v>
      </c>
    </row>
    <row r="302" spans="1:12" ht="29" x14ac:dyDescent="0.35">
      <c r="A302" s="6" t="s">
        <v>2</v>
      </c>
      <c r="B302" s="6" t="s">
        <v>44</v>
      </c>
      <c r="C302" s="6" t="s">
        <v>45</v>
      </c>
      <c r="D302" s="6" t="s">
        <v>13</v>
      </c>
      <c r="E302" s="6" t="s">
        <v>17</v>
      </c>
      <c r="F302" s="6" t="s">
        <v>46</v>
      </c>
      <c r="G302" s="6" t="s">
        <v>47</v>
      </c>
      <c r="H302" s="6" t="s">
        <v>48</v>
      </c>
      <c r="I302" s="6" t="s">
        <v>32</v>
      </c>
      <c r="J302" s="6">
        <v>16.063372000000001</v>
      </c>
      <c r="K302" s="6">
        <v>-97.381553999999994</v>
      </c>
      <c r="L302" s="6" t="str">
        <f>HYPERLINK("https://maps.google.com/?q=16.063372,-97.381553999999994", "🔗 Ver Mapa")</f>
        <v>🔗 Ver Mapa</v>
      </c>
    </row>
    <row r="303" spans="1:12" ht="29" x14ac:dyDescent="0.35">
      <c r="A303" s="5" t="s">
        <v>2</v>
      </c>
      <c r="B303" s="5" t="s">
        <v>44</v>
      </c>
      <c r="C303" s="5" t="s">
        <v>45</v>
      </c>
      <c r="D303" s="5" t="s">
        <v>13</v>
      </c>
      <c r="E303" s="5" t="s">
        <v>17</v>
      </c>
      <c r="F303" s="5" t="s">
        <v>46</v>
      </c>
      <c r="G303" s="5" t="s">
        <v>47</v>
      </c>
      <c r="H303" s="5" t="s">
        <v>48</v>
      </c>
      <c r="I303" s="5" t="s">
        <v>32</v>
      </c>
      <c r="J303" s="5">
        <v>16.063051999999999</v>
      </c>
      <c r="K303" s="5">
        <v>-97.382220000000004</v>
      </c>
      <c r="L303" s="5" t="str">
        <f>HYPERLINK("https://maps.google.com/?q=16.063052,-97.382220000000004", "🔗 Ver Mapa")</f>
        <v>🔗 Ver Mapa</v>
      </c>
    </row>
    <row r="304" spans="1:12" ht="29" x14ac:dyDescent="0.35">
      <c r="A304" s="6" t="s">
        <v>2</v>
      </c>
      <c r="B304" s="6" t="s">
        <v>44</v>
      </c>
      <c r="C304" s="6" t="s">
        <v>45</v>
      </c>
      <c r="D304" s="6" t="s">
        <v>13</v>
      </c>
      <c r="E304" s="6" t="s">
        <v>17</v>
      </c>
      <c r="F304" s="6" t="s">
        <v>46</v>
      </c>
      <c r="G304" s="6" t="s">
        <v>47</v>
      </c>
      <c r="H304" s="6" t="s">
        <v>48</v>
      </c>
      <c r="I304" s="6" t="s">
        <v>32</v>
      </c>
      <c r="J304" s="6">
        <v>16.062811</v>
      </c>
      <c r="K304" s="6">
        <v>-97.382633999999996</v>
      </c>
      <c r="L304" s="6" t="str">
        <f>HYPERLINK("https://maps.google.com/?q=16.062811,-97.382633999999996", "🔗 Ver Mapa")</f>
        <v>🔗 Ver Mapa</v>
      </c>
    </row>
    <row r="305" spans="1:12" ht="29" x14ac:dyDescent="0.35">
      <c r="A305" s="5" t="s">
        <v>2</v>
      </c>
      <c r="B305" s="5" t="s">
        <v>44</v>
      </c>
      <c r="C305" s="5" t="s">
        <v>45</v>
      </c>
      <c r="D305" s="5" t="s">
        <v>13</v>
      </c>
      <c r="E305" s="5" t="s">
        <v>17</v>
      </c>
      <c r="F305" s="5" t="s">
        <v>46</v>
      </c>
      <c r="G305" s="5" t="s">
        <v>47</v>
      </c>
      <c r="H305" s="5" t="s">
        <v>48</v>
      </c>
      <c r="I305" s="5" t="s">
        <v>32</v>
      </c>
      <c r="J305" s="5">
        <v>16.062678999999999</v>
      </c>
      <c r="K305" s="5">
        <v>-97.383121000000003</v>
      </c>
      <c r="L305" s="5" t="str">
        <f>HYPERLINK("https://maps.google.com/?q=16.062679,-97.383121000000003", "🔗 Ver Mapa")</f>
        <v>🔗 Ver Mapa</v>
      </c>
    </row>
    <row r="306" spans="1:12" ht="29" x14ac:dyDescent="0.35">
      <c r="A306" s="6" t="s">
        <v>2</v>
      </c>
      <c r="B306" s="6" t="s">
        <v>44</v>
      </c>
      <c r="C306" s="6" t="s">
        <v>45</v>
      </c>
      <c r="D306" s="6" t="s">
        <v>13</v>
      </c>
      <c r="E306" s="6" t="s">
        <v>17</v>
      </c>
      <c r="F306" s="6" t="s">
        <v>46</v>
      </c>
      <c r="G306" s="6" t="s">
        <v>47</v>
      </c>
      <c r="H306" s="6" t="s">
        <v>48</v>
      </c>
      <c r="I306" s="6" t="s">
        <v>32</v>
      </c>
      <c r="J306" s="6">
        <v>16.062358</v>
      </c>
      <c r="K306" s="6">
        <v>-97.383600000000001</v>
      </c>
      <c r="L306" s="6" t="str">
        <f>HYPERLINK("https://maps.google.com/?q=16.062358,-97.383600000000001", "🔗 Ver Mapa")</f>
        <v>🔗 Ver Mapa</v>
      </c>
    </row>
    <row r="307" spans="1:12" ht="29" x14ac:dyDescent="0.35">
      <c r="A307" s="5" t="s">
        <v>2</v>
      </c>
      <c r="B307" s="5" t="s">
        <v>44</v>
      </c>
      <c r="C307" s="5" t="s">
        <v>45</v>
      </c>
      <c r="D307" s="5" t="s">
        <v>13</v>
      </c>
      <c r="E307" s="5" t="s">
        <v>17</v>
      </c>
      <c r="F307" s="5" t="s">
        <v>46</v>
      </c>
      <c r="G307" s="5" t="s">
        <v>47</v>
      </c>
      <c r="H307" s="5" t="s">
        <v>48</v>
      </c>
      <c r="I307" s="5" t="s">
        <v>32</v>
      </c>
      <c r="J307" s="5">
        <v>16.062069999999999</v>
      </c>
      <c r="K307" s="5">
        <v>-97.383854999999997</v>
      </c>
      <c r="L307" s="5" t="str">
        <f>HYPERLINK("https://maps.google.com/?q=16.06207,-97.383854999999997", "🔗 Ver Mapa")</f>
        <v>🔗 Ver Mapa</v>
      </c>
    </row>
    <row r="308" spans="1:12" ht="29" x14ac:dyDescent="0.35">
      <c r="A308" s="6" t="s">
        <v>2</v>
      </c>
      <c r="B308" s="6" t="s">
        <v>44</v>
      </c>
      <c r="C308" s="6" t="s">
        <v>45</v>
      </c>
      <c r="D308" s="6" t="s">
        <v>13</v>
      </c>
      <c r="E308" s="6" t="s">
        <v>17</v>
      </c>
      <c r="F308" s="6" t="s">
        <v>46</v>
      </c>
      <c r="G308" s="6" t="s">
        <v>47</v>
      </c>
      <c r="H308" s="6" t="s">
        <v>48</v>
      </c>
      <c r="I308" s="6" t="s">
        <v>32</v>
      </c>
      <c r="J308" s="6">
        <v>16.061629</v>
      </c>
      <c r="K308" s="6">
        <v>-97.383989</v>
      </c>
      <c r="L308" s="6" t="str">
        <f>HYPERLINK("https://maps.google.com/?q=16.061629,-97.383989", "🔗 Ver Mapa")</f>
        <v>🔗 Ver Mapa</v>
      </c>
    </row>
    <row r="309" spans="1:12" ht="29" x14ac:dyDescent="0.35">
      <c r="A309" s="5" t="s">
        <v>2</v>
      </c>
      <c r="B309" s="5" t="s">
        <v>44</v>
      </c>
      <c r="C309" s="5" t="s">
        <v>45</v>
      </c>
      <c r="D309" s="5" t="s">
        <v>13</v>
      </c>
      <c r="E309" s="5" t="s">
        <v>17</v>
      </c>
      <c r="F309" s="5" t="s">
        <v>46</v>
      </c>
      <c r="G309" s="5" t="s">
        <v>47</v>
      </c>
      <c r="H309" s="5" t="s">
        <v>48</v>
      </c>
      <c r="I309" s="5" t="s">
        <v>32</v>
      </c>
      <c r="J309" s="5">
        <v>16.061124</v>
      </c>
      <c r="K309" s="5">
        <v>-97.384180000000001</v>
      </c>
      <c r="L309" s="5" t="str">
        <f>HYPERLINK("https://maps.google.com/?q=16.061124,-97.384180000000001", "🔗 Ver Mapa")</f>
        <v>🔗 Ver Mapa</v>
      </c>
    </row>
    <row r="310" spans="1:12" ht="29" x14ac:dyDescent="0.35">
      <c r="A310" s="6" t="s">
        <v>2</v>
      </c>
      <c r="B310" s="6" t="s">
        <v>44</v>
      </c>
      <c r="C310" s="6" t="s">
        <v>45</v>
      </c>
      <c r="D310" s="6" t="s">
        <v>13</v>
      </c>
      <c r="E310" s="6" t="s">
        <v>17</v>
      </c>
      <c r="F310" s="6" t="s">
        <v>46</v>
      </c>
      <c r="G310" s="6" t="s">
        <v>47</v>
      </c>
      <c r="H310" s="6" t="s">
        <v>48</v>
      </c>
      <c r="I310" s="6" t="s">
        <v>32</v>
      </c>
      <c r="J310" s="6">
        <v>16.060734</v>
      </c>
      <c r="K310" s="6">
        <v>-97.385193000000001</v>
      </c>
      <c r="L310" s="6" t="str">
        <f>HYPERLINK("https://maps.google.com/?q=16.060734,-97.385193000000001", "🔗 Ver Mapa")</f>
        <v>🔗 Ver Mapa</v>
      </c>
    </row>
    <row r="311" spans="1:12" ht="29" x14ac:dyDescent="0.35">
      <c r="A311" s="5" t="s">
        <v>2</v>
      </c>
      <c r="B311" s="5" t="s">
        <v>44</v>
      </c>
      <c r="C311" s="5" t="s">
        <v>45</v>
      </c>
      <c r="D311" s="5" t="s">
        <v>13</v>
      </c>
      <c r="E311" s="5" t="s">
        <v>17</v>
      </c>
      <c r="F311" s="5" t="s">
        <v>46</v>
      </c>
      <c r="G311" s="5" t="s">
        <v>47</v>
      </c>
      <c r="H311" s="5" t="s">
        <v>48</v>
      </c>
      <c r="I311" s="5" t="s">
        <v>32</v>
      </c>
      <c r="J311" s="5">
        <v>16.060272999999999</v>
      </c>
      <c r="K311" s="5">
        <v>-97.386354999999995</v>
      </c>
      <c r="L311" s="5" t="str">
        <f>HYPERLINK("https://maps.google.com/?q=16.060273,-97.386354999999995", "🔗 Ver Mapa")</f>
        <v>🔗 Ver Mapa</v>
      </c>
    </row>
    <row r="312" spans="1:12" ht="29" x14ac:dyDescent="0.35">
      <c r="A312" s="6" t="s">
        <v>2</v>
      </c>
      <c r="B312" s="6" t="s">
        <v>44</v>
      </c>
      <c r="C312" s="6" t="s">
        <v>45</v>
      </c>
      <c r="D312" s="6" t="s">
        <v>13</v>
      </c>
      <c r="E312" s="6" t="s">
        <v>17</v>
      </c>
      <c r="F312" s="6" t="s">
        <v>46</v>
      </c>
      <c r="G312" s="6" t="s">
        <v>47</v>
      </c>
      <c r="H312" s="6" t="s">
        <v>48</v>
      </c>
      <c r="I312" s="6" t="s">
        <v>32</v>
      </c>
      <c r="J312" s="6">
        <v>16.059802999999999</v>
      </c>
      <c r="K312" s="6">
        <v>-97.387564999999995</v>
      </c>
      <c r="L312" s="6" t="str">
        <f>HYPERLINK("https://maps.google.com/?q=16.059803,-97.387564999999995", "🔗 Ver Mapa")</f>
        <v>🔗 Ver Mapa</v>
      </c>
    </row>
    <row r="313" spans="1:12" ht="29" x14ac:dyDescent="0.35">
      <c r="A313" s="5" t="s">
        <v>2</v>
      </c>
      <c r="B313" s="5" t="s">
        <v>44</v>
      </c>
      <c r="C313" s="5" t="s">
        <v>45</v>
      </c>
      <c r="D313" s="5" t="s">
        <v>13</v>
      </c>
      <c r="E313" s="5" t="s">
        <v>17</v>
      </c>
      <c r="F313" s="5" t="s">
        <v>46</v>
      </c>
      <c r="G313" s="5" t="s">
        <v>47</v>
      </c>
      <c r="H313" s="5" t="s">
        <v>48</v>
      </c>
      <c r="I313" s="5" t="s">
        <v>32</v>
      </c>
      <c r="J313" s="5">
        <v>16.059289</v>
      </c>
      <c r="K313" s="5">
        <v>-97.388876999999994</v>
      </c>
      <c r="L313" s="5" t="str">
        <f>HYPERLINK("https://maps.google.com/?q=16.059289,-97.388876999999994", "🔗 Ver Mapa")</f>
        <v>🔗 Ver Mapa</v>
      </c>
    </row>
    <row r="314" spans="1:12" ht="29" x14ac:dyDescent="0.35">
      <c r="A314" s="6" t="s">
        <v>2</v>
      </c>
      <c r="B314" s="6" t="s">
        <v>44</v>
      </c>
      <c r="C314" s="6" t="s">
        <v>45</v>
      </c>
      <c r="D314" s="6" t="s">
        <v>13</v>
      </c>
      <c r="E314" s="6" t="s">
        <v>17</v>
      </c>
      <c r="F314" s="6" t="s">
        <v>46</v>
      </c>
      <c r="G314" s="6" t="s">
        <v>47</v>
      </c>
      <c r="H314" s="6" t="s">
        <v>48</v>
      </c>
      <c r="I314" s="6" t="s">
        <v>32</v>
      </c>
      <c r="J314" s="6">
        <v>16.058444999999999</v>
      </c>
      <c r="K314" s="6">
        <v>-97.389632000000006</v>
      </c>
      <c r="L314" s="6" t="str">
        <f>HYPERLINK("https://maps.google.com/?q=16.058445,-97.389632000000006", "🔗 Ver Mapa")</f>
        <v>🔗 Ver Mapa</v>
      </c>
    </row>
    <row r="315" spans="1:12" ht="29" x14ac:dyDescent="0.35">
      <c r="A315" s="5" t="s">
        <v>2</v>
      </c>
      <c r="B315" s="5" t="s">
        <v>44</v>
      </c>
      <c r="C315" s="5" t="s">
        <v>45</v>
      </c>
      <c r="D315" s="5" t="s">
        <v>13</v>
      </c>
      <c r="E315" s="5" t="s">
        <v>17</v>
      </c>
      <c r="F315" s="5" t="s">
        <v>46</v>
      </c>
      <c r="G315" s="5" t="s">
        <v>47</v>
      </c>
      <c r="H315" s="5" t="s">
        <v>48</v>
      </c>
      <c r="I315" s="5" t="s">
        <v>32</v>
      </c>
      <c r="J315" s="5">
        <v>16.057852</v>
      </c>
      <c r="K315" s="5">
        <v>-97.390187999999995</v>
      </c>
      <c r="L315" s="5" t="str">
        <f>HYPERLINK("https://maps.google.com/?q=16.057852,-97.390187999999995", "🔗 Ver Mapa")</f>
        <v>🔗 Ver Mapa</v>
      </c>
    </row>
    <row r="316" spans="1:12" ht="29" x14ac:dyDescent="0.35">
      <c r="A316" s="6" t="s">
        <v>2</v>
      </c>
      <c r="B316" s="6" t="s">
        <v>44</v>
      </c>
      <c r="C316" s="6" t="s">
        <v>45</v>
      </c>
      <c r="D316" s="6" t="s">
        <v>13</v>
      </c>
      <c r="E316" s="6" t="s">
        <v>17</v>
      </c>
      <c r="F316" s="6" t="s">
        <v>46</v>
      </c>
      <c r="G316" s="6" t="s">
        <v>47</v>
      </c>
      <c r="H316" s="6" t="s">
        <v>48</v>
      </c>
      <c r="I316" s="6" t="s">
        <v>32</v>
      </c>
      <c r="J316" s="6">
        <v>16.056773</v>
      </c>
      <c r="K316" s="6">
        <v>-97.390822999999997</v>
      </c>
      <c r="L316" s="6" t="str">
        <f>HYPERLINK("https://maps.google.com/?q=16.056773,-97.390822999999997", "🔗 Ver Mapa")</f>
        <v>🔗 Ver Mapa</v>
      </c>
    </row>
    <row r="317" spans="1:12" ht="29" x14ac:dyDescent="0.35">
      <c r="A317" s="5" t="s">
        <v>2</v>
      </c>
      <c r="B317" s="5" t="s">
        <v>44</v>
      </c>
      <c r="C317" s="5" t="s">
        <v>45</v>
      </c>
      <c r="D317" s="5" t="s">
        <v>13</v>
      </c>
      <c r="E317" s="5" t="s">
        <v>17</v>
      </c>
      <c r="F317" s="5" t="s">
        <v>46</v>
      </c>
      <c r="G317" s="5" t="s">
        <v>47</v>
      </c>
      <c r="H317" s="5" t="s">
        <v>48</v>
      </c>
      <c r="I317" s="5" t="s">
        <v>32</v>
      </c>
      <c r="J317" s="5">
        <v>16.056448</v>
      </c>
      <c r="K317" s="5">
        <v>-97.392095999999995</v>
      </c>
      <c r="L317" s="5" t="str">
        <f>HYPERLINK("https://maps.google.com/?q=16.056448,-97.392095999999995", "🔗 Ver Mapa")</f>
        <v>🔗 Ver Mapa</v>
      </c>
    </row>
    <row r="318" spans="1:12" ht="29" x14ac:dyDescent="0.35">
      <c r="A318" s="6" t="s">
        <v>2</v>
      </c>
      <c r="B318" s="6" t="s">
        <v>44</v>
      </c>
      <c r="C318" s="6" t="s">
        <v>45</v>
      </c>
      <c r="D318" s="6" t="s">
        <v>13</v>
      </c>
      <c r="E318" s="6" t="s">
        <v>17</v>
      </c>
      <c r="F318" s="6" t="s">
        <v>46</v>
      </c>
      <c r="G318" s="6" t="s">
        <v>47</v>
      </c>
      <c r="H318" s="6" t="s">
        <v>48</v>
      </c>
      <c r="I318" s="6" t="s">
        <v>32</v>
      </c>
      <c r="J318" s="6">
        <v>16.055584</v>
      </c>
      <c r="K318" s="6">
        <v>-97.392645000000002</v>
      </c>
      <c r="L318" s="6" t="str">
        <f>HYPERLINK("https://maps.google.com/?q=16.055584,-97.392645000000002", "🔗 Ver Mapa")</f>
        <v>🔗 Ver Mapa</v>
      </c>
    </row>
    <row r="319" spans="1:12" ht="29" x14ac:dyDescent="0.35">
      <c r="A319" s="5" t="s">
        <v>2</v>
      </c>
      <c r="B319" s="5" t="s">
        <v>44</v>
      </c>
      <c r="C319" s="5" t="s">
        <v>45</v>
      </c>
      <c r="D319" s="5" t="s">
        <v>13</v>
      </c>
      <c r="E319" s="5" t="s">
        <v>17</v>
      </c>
      <c r="F319" s="5" t="s">
        <v>46</v>
      </c>
      <c r="G319" s="5" t="s">
        <v>47</v>
      </c>
      <c r="H319" s="5" t="s">
        <v>48</v>
      </c>
      <c r="I319" s="5" t="s">
        <v>32</v>
      </c>
      <c r="J319" s="5">
        <v>16.055021</v>
      </c>
      <c r="K319" s="5">
        <v>-97.393434999999997</v>
      </c>
      <c r="L319" s="5" t="str">
        <f>HYPERLINK("https://maps.google.com/?q=16.055021,-97.393434999999997", "🔗 Ver Mapa")</f>
        <v>🔗 Ver Mapa</v>
      </c>
    </row>
    <row r="320" spans="1:12" ht="29" x14ac:dyDescent="0.35">
      <c r="A320" s="6" t="s">
        <v>2</v>
      </c>
      <c r="B320" s="6" t="s">
        <v>44</v>
      </c>
      <c r="C320" s="6" t="s">
        <v>45</v>
      </c>
      <c r="D320" s="6" t="s">
        <v>13</v>
      </c>
      <c r="E320" s="6" t="s">
        <v>17</v>
      </c>
      <c r="F320" s="6" t="s">
        <v>46</v>
      </c>
      <c r="G320" s="6" t="s">
        <v>47</v>
      </c>
      <c r="H320" s="6" t="s">
        <v>48</v>
      </c>
      <c r="I320" s="6" t="s">
        <v>32</v>
      </c>
      <c r="J320" s="6">
        <v>16.054565</v>
      </c>
      <c r="K320" s="6">
        <v>-97.394046000000003</v>
      </c>
      <c r="L320" s="6" t="str">
        <f>HYPERLINK("https://maps.google.com/?q=16.054565,-97.394046000000003", "🔗 Ver Mapa")</f>
        <v>🔗 Ver Mapa</v>
      </c>
    </row>
    <row r="321" spans="1:12" ht="29" x14ac:dyDescent="0.35">
      <c r="A321" s="5" t="s">
        <v>2</v>
      </c>
      <c r="B321" s="5" t="s">
        <v>44</v>
      </c>
      <c r="C321" s="5" t="s">
        <v>45</v>
      </c>
      <c r="D321" s="5" t="s">
        <v>13</v>
      </c>
      <c r="E321" s="5" t="s">
        <v>17</v>
      </c>
      <c r="F321" s="5" t="s">
        <v>46</v>
      </c>
      <c r="G321" s="5" t="s">
        <v>47</v>
      </c>
      <c r="H321" s="5" t="s">
        <v>48</v>
      </c>
      <c r="I321" s="5" t="s">
        <v>32</v>
      </c>
      <c r="J321" s="5">
        <v>16.054514000000001</v>
      </c>
      <c r="K321" s="5">
        <v>-97.394467000000006</v>
      </c>
      <c r="L321" s="5" t="str">
        <f>HYPERLINK("https://maps.google.com/?q=16.054514,-97.394467000000006", "🔗 Ver Mapa")</f>
        <v>🔗 Ver Mapa</v>
      </c>
    </row>
    <row r="322" spans="1:12" ht="29" x14ac:dyDescent="0.35">
      <c r="A322" s="6" t="s">
        <v>2</v>
      </c>
      <c r="B322" s="6" t="s">
        <v>44</v>
      </c>
      <c r="C322" s="6" t="s">
        <v>45</v>
      </c>
      <c r="D322" s="6" t="s">
        <v>13</v>
      </c>
      <c r="E322" s="6" t="s">
        <v>17</v>
      </c>
      <c r="F322" s="6" t="s">
        <v>46</v>
      </c>
      <c r="G322" s="6" t="s">
        <v>47</v>
      </c>
      <c r="H322" s="6" t="s">
        <v>48</v>
      </c>
      <c r="I322" s="6" t="s">
        <v>32</v>
      </c>
      <c r="J322" s="6">
        <v>16.054345999999999</v>
      </c>
      <c r="K322" s="6">
        <v>-97.394972999999993</v>
      </c>
      <c r="L322" s="6" t="str">
        <f>HYPERLINK("https://maps.google.com/?q=16.054346,-97.394972999999993", "🔗 Ver Mapa")</f>
        <v>🔗 Ver Mapa</v>
      </c>
    </row>
    <row r="323" spans="1:12" ht="29" x14ac:dyDescent="0.35">
      <c r="A323" s="5" t="s">
        <v>2</v>
      </c>
      <c r="B323" s="5" t="s">
        <v>44</v>
      </c>
      <c r="C323" s="5" t="s">
        <v>45</v>
      </c>
      <c r="D323" s="5" t="s">
        <v>13</v>
      </c>
      <c r="E323" s="5" t="s">
        <v>17</v>
      </c>
      <c r="F323" s="5" t="s">
        <v>46</v>
      </c>
      <c r="G323" s="5" t="s">
        <v>47</v>
      </c>
      <c r="H323" s="5" t="s">
        <v>48</v>
      </c>
      <c r="I323" s="5" t="s">
        <v>32</v>
      </c>
      <c r="J323" s="5">
        <v>16.054392</v>
      </c>
      <c r="K323" s="5">
        <v>-97.395160000000004</v>
      </c>
      <c r="L323" s="5" t="str">
        <f>HYPERLINK("https://maps.google.com/?q=16.054392,-97.395160000000004", "🔗 Ver Mapa")</f>
        <v>🔗 Ver Mapa</v>
      </c>
    </row>
    <row r="324" spans="1:12" ht="29" x14ac:dyDescent="0.35">
      <c r="A324" s="6" t="s">
        <v>2</v>
      </c>
      <c r="B324" s="6" t="s">
        <v>44</v>
      </c>
      <c r="C324" s="6" t="s">
        <v>45</v>
      </c>
      <c r="D324" s="6" t="s">
        <v>13</v>
      </c>
      <c r="E324" s="6" t="s">
        <v>17</v>
      </c>
      <c r="F324" s="6" t="s">
        <v>46</v>
      </c>
      <c r="G324" s="6" t="s">
        <v>47</v>
      </c>
      <c r="H324" s="6" t="s">
        <v>48</v>
      </c>
      <c r="I324" s="6" t="s">
        <v>32</v>
      </c>
      <c r="J324" s="6">
        <v>16.054601000000002</v>
      </c>
      <c r="K324" s="6">
        <v>-97.39528</v>
      </c>
      <c r="L324" s="6" t="str">
        <f>HYPERLINK("https://maps.google.com/?q=16.054601,-97.39528", "🔗 Ver Mapa")</f>
        <v>🔗 Ver Mapa</v>
      </c>
    </row>
    <row r="325" spans="1:12" ht="29" x14ac:dyDescent="0.35">
      <c r="A325" s="5" t="s">
        <v>2</v>
      </c>
      <c r="B325" s="5" t="s">
        <v>44</v>
      </c>
      <c r="C325" s="5" t="s">
        <v>45</v>
      </c>
      <c r="D325" s="5" t="s">
        <v>13</v>
      </c>
      <c r="E325" s="5" t="s">
        <v>17</v>
      </c>
      <c r="F325" s="5" t="s">
        <v>46</v>
      </c>
      <c r="G325" s="5" t="s">
        <v>47</v>
      </c>
      <c r="H325" s="5" t="s">
        <v>48</v>
      </c>
      <c r="I325" s="5" t="s">
        <v>32</v>
      </c>
      <c r="J325" s="5">
        <v>16.05481</v>
      </c>
      <c r="K325" s="5">
        <v>-97.395390000000006</v>
      </c>
      <c r="L325" s="5" t="str">
        <f>HYPERLINK("https://maps.google.com/?q=16.05481,-97.395390000000006", "🔗 Ver Mapa")</f>
        <v>🔗 Ver Mapa</v>
      </c>
    </row>
    <row r="326" spans="1:12" ht="29" x14ac:dyDescent="0.35">
      <c r="A326" s="6" t="s">
        <v>2</v>
      </c>
      <c r="B326" s="6" t="s">
        <v>44</v>
      </c>
      <c r="C326" s="6" t="s">
        <v>45</v>
      </c>
      <c r="D326" s="6" t="s">
        <v>13</v>
      </c>
      <c r="E326" s="6" t="s">
        <v>17</v>
      </c>
      <c r="F326" s="6" t="s">
        <v>46</v>
      </c>
      <c r="G326" s="6" t="s">
        <v>47</v>
      </c>
      <c r="H326" s="6" t="s">
        <v>48</v>
      </c>
      <c r="I326" s="6" t="s">
        <v>32</v>
      </c>
      <c r="J326" s="6">
        <v>16.054939000000001</v>
      </c>
      <c r="K326" s="6">
        <v>-97.395771999999994</v>
      </c>
      <c r="L326" s="6" t="str">
        <f>HYPERLINK("https://maps.google.com/?q=16.054939,-97.395771999999994", "🔗 Ver Mapa")</f>
        <v>🔗 Ver Mapa</v>
      </c>
    </row>
    <row r="327" spans="1:12" ht="29" x14ac:dyDescent="0.35">
      <c r="A327" s="5" t="s">
        <v>2</v>
      </c>
      <c r="B327" s="5" t="s">
        <v>44</v>
      </c>
      <c r="C327" s="5" t="s">
        <v>45</v>
      </c>
      <c r="D327" s="5" t="s">
        <v>13</v>
      </c>
      <c r="E327" s="5" t="s">
        <v>17</v>
      </c>
      <c r="F327" s="5" t="s">
        <v>46</v>
      </c>
      <c r="G327" s="5" t="s">
        <v>47</v>
      </c>
      <c r="H327" s="5" t="s">
        <v>48</v>
      </c>
      <c r="I327" s="5" t="s">
        <v>32</v>
      </c>
      <c r="J327" s="5">
        <v>16.054877999999999</v>
      </c>
      <c r="K327" s="5">
        <v>-97.396080999999995</v>
      </c>
      <c r="L327" s="5" t="str">
        <f>HYPERLINK("https://maps.google.com/?q=16.054878,-97.396080999999995", "🔗 Ver Mapa")</f>
        <v>🔗 Ver Mapa</v>
      </c>
    </row>
    <row r="328" spans="1:12" ht="29" x14ac:dyDescent="0.35">
      <c r="A328" s="6" t="s">
        <v>2</v>
      </c>
      <c r="B328" s="6" t="s">
        <v>44</v>
      </c>
      <c r="C328" s="6" t="s">
        <v>45</v>
      </c>
      <c r="D328" s="6" t="s">
        <v>13</v>
      </c>
      <c r="E328" s="6" t="s">
        <v>17</v>
      </c>
      <c r="F328" s="6" t="s">
        <v>46</v>
      </c>
      <c r="G328" s="6" t="s">
        <v>47</v>
      </c>
      <c r="H328" s="6" t="s">
        <v>48</v>
      </c>
      <c r="I328" s="6" t="s">
        <v>32</v>
      </c>
      <c r="J328" s="6">
        <v>16.054745</v>
      </c>
      <c r="K328" s="6">
        <v>-97.396428</v>
      </c>
      <c r="L328" s="6" t="str">
        <f>HYPERLINK("https://maps.google.com/?q=16.054745,-97.396428", "🔗 Ver Mapa")</f>
        <v>🔗 Ver Mapa</v>
      </c>
    </row>
    <row r="329" spans="1:12" ht="29" x14ac:dyDescent="0.35">
      <c r="A329" s="5" t="s">
        <v>2</v>
      </c>
      <c r="B329" s="5" t="s">
        <v>44</v>
      </c>
      <c r="C329" s="5" t="s">
        <v>45</v>
      </c>
      <c r="D329" s="5" t="s">
        <v>13</v>
      </c>
      <c r="E329" s="5" t="s">
        <v>17</v>
      </c>
      <c r="F329" s="5" t="s">
        <v>46</v>
      </c>
      <c r="G329" s="5" t="s">
        <v>47</v>
      </c>
      <c r="H329" s="5" t="s">
        <v>48</v>
      </c>
      <c r="I329" s="5" t="s">
        <v>32</v>
      </c>
      <c r="J329" s="5">
        <v>16.05472</v>
      </c>
      <c r="K329" s="5">
        <v>-97.396662000000006</v>
      </c>
      <c r="L329" s="5" t="str">
        <f>HYPERLINK("https://maps.google.com/?q=16.05472,-97.396662000000006", "🔗 Ver Mapa")</f>
        <v>🔗 Ver Mapa</v>
      </c>
    </row>
    <row r="330" spans="1:12" ht="29" x14ac:dyDescent="0.35">
      <c r="A330" s="6" t="s">
        <v>2</v>
      </c>
      <c r="B330" s="6" t="s">
        <v>44</v>
      </c>
      <c r="C330" s="6" t="s">
        <v>45</v>
      </c>
      <c r="D330" s="6" t="s">
        <v>13</v>
      </c>
      <c r="E330" s="6" t="s">
        <v>17</v>
      </c>
      <c r="F330" s="6" t="s">
        <v>46</v>
      </c>
      <c r="G330" s="6" t="s">
        <v>47</v>
      </c>
      <c r="H330" s="6" t="s">
        <v>48</v>
      </c>
      <c r="I330" s="6" t="s">
        <v>32</v>
      </c>
      <c r="J330" s="6">
        <v>16.054639999999999</v>
      </c>
      <c r="K330" s="6">
        <v>-97.396859000000006</v>
      </c>
      <c r="L330" s="6" t="str">
        <f>HYPERLINK("https://maps.google.com/?q=16.05464,-97.396859000000006", "🔗 Ver Mapa")</f>
        <v>🔗 Ver Mapa</v>
      </c>
    </row>
    <row r="331" spans="1:12" ht="29" x14ac:dyDescent="0.35">
      <c r="A331" s="5" t="s">
        <v>2</v>
      </c>
      <c r="B331" s="5" t="s">
        <v>44</v>
      </c>
      <c r="C331" s="5" t="s">
        <v>45</v>
      </c>
      <c r="D331" s="5" t="s">
        <v>13</v>
      </c>
      <c r="E331" s="5" t="s">
        <v>17</v>
      </c>
      <c r="F331" s="5" t="s">
        <v>46</v>
      </c>
      <c r="G331" s="5" t="s">
        <v>47</v>
      </c>
      <c r="H331" s="5" t="s">
        <v>48</v>
      </c>
      <c r="I331" s="5" t="s">
        <v>32</v>
      </c>
      <c r="J331" s="5">
        <v>16.054752000000001</v>
      </c>
      <c r="K331" s="5">
        <v>-97.397278</v>
      </c>
      <c r="L331" s="5" t="str">
        <f>HYPERLINK("https://maps.google.com/?q=16.054752,-97.397278", "🔗 Ver Mapa")</f>
        <v>🔗 Ver Mapa</v>
      </c>
    </row>
    <row r="332" spans="1:12" ht="29" x14ac:dyDescent="0.35">
      <c r="A332" s="6" t="s">
        <v>2</v>
      </c>
      <c r="B332" s="6" t="s">
        <v>44</v>
      </c>
      <c r="C332" s="6" t="s">
        <v>45</v>
      </c>
      <c r="D332" s="6" t="s">
        <v>13</v>
      </c>
      <c r="E332" s="6" t="s">
        <v>17</v>
      </c>
      <c r="F332" s="6" t="s">
        <v>46</v>
      </c>
      <c r="G332" s="6" t="s">
        <v>47</v>
      </c>
      <c r="H332" s="6" t="s">
        <v>48</v>
      </c>
      <c r="I332" s="6" t="s">
        <v>32</v>
      </c>
      <c r="J332" s="6">
        <v>16.054648</v>
      </c>
      <c r="K332" s="6">
        <v>-97.397980000000004</v>
      </c>
      <c r="L332" s="6" t="str">
        <f>HYPERLINK("https://maps.google.com/?q=16.054648,-97.397980000000004", "🔗 Ver Mapa")</f>
        <v>🔗 Ver Mapa</v>
      </c>
    </row>
    <row r="333" spans="1:12" ht="29" x14ac:dyDescent="0.35">
      <c r="A333" s="5" t="s">
        <v>2</v>
      </c>
      <c r="B333" s="5" t="s">
        <v>44</v>
      </c>
      <c r="C333" s="5" t="s">
        <v>45</v>
      </c>
      <c r="D333" s="5" t="s">
        <v>13</v>
      </c>
      <c r="E333" s="5" t="s">
        <v>17</v>
      </c>
      <c r="F333" s="5" t="s">
        <v>46</v>
      </c>
      <c r="G333" s="5" t="s">
        <v>47</v>
      </c>
      <c r="H333" s="5" t="s">
        <v>48</v>
      </c>
      <c r="I333" s="5" t="s">
        <v>32</v>
      </c>
      <c r="J333" s="5">
        <v>16.054417000000001</v>
      </c>
      <c r="K333" s="5">
        <v>-97.398411999999993</v>
      </c>
      <c r="L333" s="5" t="str">
        <f>HYPERLINK("https://maps.google.com/?q=16.054417,-97.398411999999993", "🔗 Ver Mapa")</f>
        <v>🔗 Ver Mapa</v>
      </c>
    </row>
    <row r="334" spans="1:12" ht="29" x14ac:dyDescent="0.35">
      <c r="A334" s="6" t="s">
        <v>2</v>
      </c>
      <c r="B334" s="6" t="s">
        <v>44</v>
      </c>
      <c r="C334" s="6" t="s">
        <v>45</v>
      </c>
      <c r="D334" s="6" t="s">
        <v>13</v>
      </c>
      <c r="E334" s="6" t="s">
        <v>17</v>
      </c>
      <c r="F334" s="6" t="s">
        <v>46</v>
      </c>
      <c r="G334" s="6" t="s">
        <v>47</v>
      </c>
      <c r="H334" s="6" t="s">
        <v>48</v>
      </c>
      <c r="I334" s="6" t="s">
        <v>32</v>
      </c>
      <c r="J334" s="6">
        <v>16.054402</v>
      </c>
      <c r="K334" s="6">
        <v>-97.398934999999994</v>
      </c>
      <c r="L334" s="6" t="str">
        <f>HYPERLINK("https://maps.google.com/?q=16.054402,-97.398934999999994", "🔗 Ver Mapa")</f>
        <v>🔗 Ver Mapa</v>
      </c>
    </row>
    <row r="335" spans="1:12" ht="29" x14ac:dyDescent="0.35">
      <c r="A335" s="5" t="s">
        <v>2</v>
      </c>
      <c r="B335" s="5" t="s">
        <v>44</v>
      </c>
      <c r="C335" s="5" t="s">
        <v>45</v>
      </c>
      <c r="D335" s="5" t="s">
        <v>13</v>
      </c>
      <c r="E335" s="5" t="s">
        <v>17</v>
      </c>
      <c r="F335" s="5" t="s">
        <v>46</v>
      </c>
      <c r="G335" s="5" t="s">
        <v>47</v>
      </c>
      <c r="H335" s="5" t="s">
        <v>48</v>
      </c>
      <c r="I335" s="5" t="s">
        <v>32</v>
      </c>
      <c r="J335" s="5">
        <v>16.054164</v>
      </c>
      <c r="K335" s="5">
        <v>-97.399693999999997</v>
      </c>
      <c r="L335" s="5" t="str">
        <f>HYPERLINK("https://maps.google.com/?q=16.054164,-97.399693999999997", "🔗 Ver Mapa")</f>
        <v>🔗 Ver Mapa</v>
      </c>
    </row>
    <row r="336" spans="1:12" ht="29" x14ac:dyDescent="0.35">
      <c r="A336" s="6" t="s">
        <v>2</v>
      </c>
      <c r="B336" s="6" t="s">
        <v>44</v>
      </c>
      <c r="C336" s="6" t="s">
        <v>45</v>
      </c>
      <c r="D336" s="6" t="s">
        <v>13</v>
      </c>
      <c r="E336" s="6" t="s">
        <v>17</v>
      </c>
      <c r="F336" s="6" t="s">
        <v>46</v>
      </c>
      <c r="G336" s="6" t="s">
        <v>47</v>
      </c>
      <c r="H336" s="6" t="s">
        <v>48</v>
      </c>
      <c r="I336" s="6" t="s">
        <v>32</v>
      </c>
      <c r="J336" s="6">
        <v>16.053570000000001</v>
      </c>
      <c r="K336" s="6">
        <v>-97.399941999999996</v>
      </c>
      <c r="L336" s="6" t="str">
        <f>HYPERLINK("https://maps.google.com/?q=16.05357,-97.399941999999996", "🔗 Ver Mapa")</f>
        <v>🔗 Ver Mapa</v>
      </c>
    </row>
    <row r="337" spans="1:12" ht="29" x14ac:dyDescent="0.35">
      <c r="A337" s="5" t="s">
        <v>2</v>
      </c>
      <c r="B337" s="5" t="s">
        <v>44</v>
      </c>
      <c r="C337" s="5" t="s">
        <v>45</v>
      </c>
      <c r="D337" s="5" t="s">
        <v>13</v>
      </c>
      <c r="E337" s="5" t="s">
        <v>17</v>
      </c>
      <c r="F337" s="5" t="s">
        <v>46</v>
      </c>
      <c r="G337" s="5" t="s">
        <v>47</v>
      </c>
      <c r="H337" s="5" t="s">
        <v>48</v>
      </c>
      <c r="I337" s="5" t="s">
        <v>32</v>
      </c>
      <c r="J337" s="5">
        <v>16.053301999999999</v>
      </c>
      <c r="K337" s="5">
        <v>-97.400412000000003</v>
      </c>
      <c r="L337" s="5" t="str">
        <f>HYPERLINK("https://maps.google.com/?q=16.053302,-97.400412000000003", "🔗 Ver Mapa")</f>
        <v>🔗 Ver Mapa</v>
      </c>
    </row>
    <row r="338" spans="1:12" ht="29" x14ac:dyDescent="0.35">
      <c r="A338" s="6" t="s">
        <v>2</v>
      </c>
      <c r="B338" s="6" t="s">
        <v>44</v>
      </c>
      <c r="C338" s="6" t="s">
        <v>45</v>
      </c>
      <c r="D338" s="6" t="s">
        <v>13</v>
      </c>
      <c r="E338" s="6" t="s">
        <v>17</v>
      </c>
      <c r="F338" s="6" t="s">
        <v>46</v>
      </c>
      <c r="G338" s="6" t="s">
        <v>47</v>
      </c>
      <c r="H338" s="6" t="s">
        <v>48</v>
      </c>
      <c r="I338" s="6" t="s">
        <v>32</v>
      </c>
      <c r="J338" s="6">
        <v>16.052824000000001</v>
      </c>
      <c r="K338" s="6">
        <v>-97.400602000000006</v>
      </c>
      <c r="L338" s="6" t="str">
        <f>HYPERLINK("https://maps.google.com/?q=16.052824,-97.400602000000006", "🔗 Ver Mapa")</f>
        <v>🔗 Ver Mapa</v>
      </c>
    </row>
    <row r="339" spans="1:12" ht="29" x14ac:dyDescent="0.35">
      <c r="A339" s="5" t="s">
        <v>2</v>
      </c>
      <c r="B339" s="5" t="s">
        <v>44</v>
      </c>
      <c r="C339" s="5" t="s">
        <v>45</v>
      </c>
      <c r="D339" s="5" t="s">
        <v>13</v>
      </c>
      <c r="E339" s="5" t="s">
        <v>17</v>
      </c>
      <c r="F339" s="5" t="s">
        <v>46</v>
      </c>
      <c r="G339" s="5" t="s">
        <v>47</v>
      </c>
      <c r="H339" s="5" t="s">
        <v>48</v>
      </c>
      <c r="I339" s="5" t="s">
        <v>32</v>
      </c>
      <c r="J339" s="5">
        <v>16.052378999999998</v>
      </c>
      <c r="K339" s="5">
        <v>-97.401427999999996</v>
      </c>
      <c r="L339" s="5" t="str">
        <f>HYPERLINK("https://maps.google.com/?q=16.052379,-97.401427999999996", "🔗 Ver Mapa")</f>
        <v>🔗 Ver Mapa</v>
      </c>
    </row>
    <row r="340" spans="1:12" ht="29" x14ac:dyDescent="0.35">
      <c r="A340" s="6" t="s">
        <v>2</v>
      </c>
      <c r="B340" s="6" t="s">
        <v>44</v>
      </c>
      <c r="C340" s="6" t="s">
        <v>45</v>
      </c>
      <c r="D340" s="6" t="s">
        <v>13</v>
      </c>
      <c r="E340" s="6" t="s">
        <v>17</v>
      </c>
      <c r="F340" s="6" t="s">
        <v>46</v>
      </c>
      <c r="G340" s="6" t="s">
        <v>47</v>
      </c>
      <c r="H340" s="6" t="s">
        <v>48</v>
      </c>
      <c r="I340" s="6" t="s">
        <v>32</v>
      </c>
      <c r="J340" s="6">
        <v>16.052147000000001</v>
      </c>
      <c r="K340" s="6">
        <v>-97.401859999999999</v>
      </c>
      <c r="L340" s="6" t="str">
        <f>HYPERLINK("https://maps.google.com/?q=16.052147,-97.401859999999999", "🔗 Ver Mapa")</f>
        <v>🔗 Ver Mapa</v>
      </c>
    </row>
    <row r="341" spans="1:12" ht="29" x14ac:dyDescent="0.35">
      <c r="A341" s="5" t="s">
        <v>2</v>
      </c>
      <c r="B341" s="5" t="s">
        <v>44</v>
      </c>
      <c r="C341" s="5" t="s">
        <v>45</v>
      </c>
      <c r="D341" s="5" t="s">
        <v>13</v>
      </c>
      <c r="E341" s="5" t="s">
        <v>17</v>
      </c>
      <c r="F341" s="5" t="s">
        <v>46</v>
      </c>
      <c r="G341" s="5" t="s">
        <v>47</v>
      </c>
      <c r="H341" s="5" t="s">
        <v>48</v>
      </c>
      <c r="I341" s="5" t="s">
        <v>32</v>
      </c>
      <c r="J341" s="5">
        <v>16.052330000000001</v>
      </c>
      <c r="K341" s="5">
        <v>-97.402203999999998</v>
      </c>
      <c r="L341" s="5" t="str">
        <f>HYPERLINK("https://maps.google.com/?q=16.05233,-97.402203999999998", "🔗 Ver Mapa")</f>
        <v>🔗 Ver Mapa</v>
      </c>
    </row>
    <row r="342" spans="1:12" ht="29" x14ac:dyDescent="0.35">
      <c r="A342" s="6" t="s">
        <v>2</v>
      </c>
      <c r="B342" s="6" t="s">
        <v>44</v>
      </c>
      <c r="C342" s="6" t="s">
        <v>45</v>
      </c>
      <c r="D342" s="6" t="s">
        <v>13</v>
      </c>
      <c r="E342" s="6" t="s">
        <v>17</v>
      </c>
      <c r="F342" s="6" t="s">
        <v>46</v>
      </c>
      <c r="G342" s="6" t="s">
        <v>47</v>
      </c>
      <c r="H342" s="6" t="s">
        <v>48</v>
      </c>
      <c r="I342" s="6" t="s">
        <v>32</v>
      </c>
      <c r="J342" s="6">
        <v>16.052225</v>
      </c>
      <c r="K342" s="6">
        <v>-97.402579000000003</v>
      </c>
      <c r="L342" s="6" t="str">
        <f>HYPERLINK("https://maps.google.com/?q=16.052225,-97.402579000000003", "🔗 Ver Mapa")</f>
        <v>🔗 Ver Mapa</v>
      </c>
    </row>
    <row r="343" spans="1:12" ht="29" x14ac:dyDescent="0.35">
      <c r="A343" s="5" t="s">
        <v>2</v>
      </c>
      <c r="B343" s="5" t="s">
        <v>44</v>
      </c>
      <c r="C343" s="5" t="s">
        <v>45</v>
      </c>
      <c r="D343" s="5" t="s">
        <v>13</v>
      </c>
      <c r="E343" s="5" t="s">
        <v>17</v>
      </c>
      <c r="F343" s="5" t="s">
        <v>46</v>
      </c>
      <c r="G343" s="5" t="s">
        <v>47</v>
      </c>
      <c r="H343" s="5" t="s">
        <v>48</v>
      </c>
      <c r="I343" s="5" t="s">
        <v>32</v>
      </c>
      <c r="J343" s="5">
        <v>16.052506999999999</v>
      </c>
      <c r="K343" s="5">
        <v>-97.402904000000007</v>
      </c>
      <c r="L343" s="5" t="str">
        <f>HYPERLINK("https://maps.google.com/?q=16.052507,-97.402904000000007", "🔗 Ver Mapa")</f>
        <v>🔗 Ver Mapa</v>
      </c>
    </row>
    <row r="344" spans="1:12" ht="29" x14ac:dyDescent="0.35">
      <c r="A344" s="6" t="s">
        <v>2</v>
      </c>
      <c r="B344" s="6" t="s">
        <v>44</v>
      </c>
      <c r="C344" s="6" t="s">
        <v>45</v>
      </c>
      <c r="D344" s="6" t="s">
        <v>13</v>
      </c>
      <c r="E344" s="6" t="s">
        <v>17</v>
      </c>
      <c r="F344" s="6" t="s">
        <v>46</v>
      </c>
      <c r="G344" s="6" t="s">
        <v>47</v>
      </c>
      <c r="H344" s="6" t="s">
        <v>48</v>
      </c>
      <c r="I344" s="6" t="s">
        <v>32</v>
      </c>
      <c r="J344" s="6">
        <v>16.052696999999998</v>
      </c>
      <c r="K344" s="6">
        <v>-97.402968000000001</v>
      </c>
      <c r="L344" s="6" t="str">
        <f>HYPERLINK("https://maps.google.com/?q=16.052697,-97.402968000000001", "🔗 Ver Mapa")</f>
        <v>🔗 Ver Mapa</v>
      </c>
    </row>
    <row r="345" spans="1:12" ht="29" x14ac:dyDescent="0.35">
      <c r="A345" s="5" t="s">
        <v>2</v>
      </c>
      <c r="B345" s="5" t="s">
        <v>44</v>
      </c>
      <c r="C345" s="5" t="s">
        <v>45</v>
      </c>
      <c r="D345" s="5" t="s">
        <v>13</v>
      </c>
      <c r="E345" s="5" t="s">
        <v>17</v>
      </c>
      <c r="F345" s="5" t="s">
        <v>46</v>
      </c>
      <c r="G345" s="5" t="s">
        <v>47</v>
      </c>
      <c r="H345" s="5" t="s">
        <v>48</v>
      </c>
      <c r="I345" s="5" t="s">
        <v>32</v>
      </c>
      <c r="J345" s="5">
        <v>16.052689999999998</v>
      </c>
      <c r="K345" s="5">
        <v>-97.403136000000003</v>
      </c>
      <c r="L345" s="5" t="str">
        <f>HYPERLINK("https://maps.google.com/?q=16.05269,-97.403136000000003", "🔗 Ver Mapa")</f>
        <v>🔗 Ver Mapa</v>
      </c>
    </row>
    <row r="346" spans="1:12" ht="29" x14ac:dyDescent="0.35">
      <c r="A346" s="6" t="s">
        <v>2</v>
      </c>
      <c r="B346" s="6" t="s">
        <v>44</v>
      </c>
      <c r="C346" s="6" t="s">
        <v>45</v>
      </c>
      <c r="D346" s="6" t="s">
        <v>13</v>
      </c>
      <c r="E346" s="6" t="s">
        <v>17</v>
      </c>
      <c r="F346" s="6" t="s">
        <v>46</v>
      </c>
      <c r="G346" s="6" t="s">
        <v>47</v>
      </c>
      <c r="H346" s="6" t="s">
        <v>48</v>
      </c>
      <c r="I346" s="6" t="s">
        <v>32</v>
      </c>
      <c r="J346" s="6">
        <v>16.052547000000001</v>
      </c>
      <c r="K346" s="6">
        <v>-97.403398999999993</v>
      </c>
      <c r="L346" s="6" t="str">
        <f>HYPERLINK("https://maps.google.com/?q=16.052547,-97.403398999999993", "🔗 Ver Mapa")</f>
        <v>🔗 Ver Mapa</v>
      </c>
    </row>
    <row r="347" spans="1:12" ht="29" x14ac:dyDescent="0.35">
      <c r="A347" s="5" t="s">
        <v>2</v>
      </c>
      <c r="B347" s="5" t="s">
        <v>44</v>
      </c>
      <c r="C347" s="5" t="s">
        <v>45</v>
      </c>
      <c r="D347" s="5" t="s">
        <v>13</v>
      </c>
      <c r="E347" s="5" t="s">
        <v>17</v>
      </c>
      <c r="F347" s="5" t="s">
        <v>46</v>
      </c>
      <c r="G347" s="5" t="s">
        <v>47</v>
      </c>
      <c r="H347" s="5" t="s">
        <v>48</v>
      </c>
      <c r="I347" s="5" t="s">
        <v>32</v>
      </c>
      <c r="J347" s="5">
        <v>16.052602</v>
      </c>
      <c r="K347" s="5">
        <v>-97.403557000000006</v>
      </c>
      <c r="L347" s="5" t="str">
        <f>HYPERLINK("https://maps.google.com/?q=16.052602,-97.403557000000006", "🔗 Ver Mapa")</f>
        <v>🔗 Ver Mapa</v>
      </c>
    </row>
    <row r="348" spans="1:12" ht="29" x14ac:dyDescent="0.35">
      <c r="A348" s="6" t="s">
        <v>2</v>
      </c>
      <c r="B348" s="6" t="s">
        <v>44</v>
      </c>
      <c r="C348" s="6" t="s">
        <v>45</v>
      </c>
      <c r="D348" s="6" t="s">
        <v>13</v>
      </c>
      <c r="E348" s="6" t="s">
        <v>17</v>
      </c>
      <c r="F348" s="6" t="s">
        <v>46</v>
      </c>
      <c r="G348" s="6" t="s">
        <v>47</v>
      </c>
      <c r="H348" s="6" t="s">
        <v>48</v>
      </c>
      <c r="I348" s="6" t="s">
        <v>32</v>
      </c>
      <c r="J348" s="6">
        <v>16.053554999999999</v>
      </c>
      <c r="K348" s="6">
        <v>-97.404110000000003</v>
      </c>
      <c r="L348" s="6" t="str">
        <f>HYPERLINK("https://maps.google.com/?q=16.053555,-97.404110000000003", "🔗 Ver Mapa")</f>
        <v>🔗 Ver Mapa</v>
      </c>
    </row>
    <row r="349" spans="1:12" ht="29" x14ac:dyDescent="0.35">
      <c r="A349" s="5" t="s">
        <v>2</v>
      </c>
      <c r="B349" s="5" t="s">
        <v>44</v>
      </c>
      <c r="C349" s="5" t="s">
        <v>45</v>
      </c>
      <c r="D349" s="5" t="s">
        <v>13</v>
      </c>
      <c r="E349" s="5" t="s">
        <v>17</v>
      </c>
      <c r="F349" s="5" t="s">
        <v>46</v>
      </c>
      <c r="G349" s="5" t="s">
        <v>47</v>
      </c>
      <c r="H349" s="5" t="s">
        <v>48</v>
      </c>
      <c r="I349" s="5" t="s">
        <v>32</v>
      </c>
      <c r="J349" s="5">
        <v>16.053514</v>
      </c>
      <c r="K349" s="5">
        <v>-97.404672000000005</v>
      </c>
      <c r="L349" s="5" t="str">
        <f>HYPERLINK("https://maps.google.com/?q=16.053514,-97.404672000000005", "🔗 Ver Mapa")</f>
        <v>🔗 Ver Mapa</v>
      </c>
    </row>
    <row r="350" spans="1:12" ht="29" x14ac:dyDescent="0.35">
      <c r="A350" s="6" t="s">
        <v>2</v>
      </c>
      <c r="B350" s="6" t="s">
        <v>44</v>
      </c>
      <c r="C350" s="6" t="s">
        <v>45</v>
      </c>
      <c r="D350" s="6" t="s">
        <v>13</v>
      </c>
      <c r="E350" s="6" t="s">
        <v>17</v>
      </c>
      <c r="F350" s="6" t="s">
        <v>46</v>
      </c>
      <c r="G350" s="6" t="s">
        <v>47</v>
      </c>
      <c r="H350" s="6" t="s">
        <v>48</v>
      </c>
      <c r="I350" s="6" t="s">
        <v>32</v>
      </c>
      <c r="J350" s="6">
        <v>16.053498999999999</v>
      </c>
      <c r="K350" s="6">
        <v>-97.405055000000004</v>
      </c>
      <c r="L350" s="6" t="str">
        <f>HYPERLINK("https://maps.google.com/?q=16.053499,-97.405055000000004", "🔗 Ver Mapa")</f>
        <v>🔗 Ver Mapa</v>
      </c>
    </row>
    <row r="351" spans="1:12" ht="29" x14ac:dyDescent="0.35">
      <c r="A351" s="5" t="s">
        <v>2</v>
      </c>
      <c r="B351" s="5" t="s">
        <v>44</v>
      </c>
      <c r="C351" s="5" t="s">
        <v>45</v>
      </c>
      <c r="D351" s="5" t="s">
        <v>13</v>
      </c>
      <c r="E351" s="5" t="s">
        <v>17</v>
      </c>
      <c r="F351" s="5" t="s">
        <v>46</v>
      </c>
      <c r="G351" s="5" t="s">
        <v>47</v>
      </c>
      <c r="H351" s="5" t="s">
        <v>48</v>
      </c>
      <c r="I351" s="5" t="s">
        <v>32</v>
      </c>
      <c r="J351" s="5">
        <v>16.053909000000001</v>
      </c>
      <c r="K351" s="5">
        <v>-97.405452999999994</v>
      </c>
      <c r="L351" s="5" t="str">
        <f>HYPERLINK("https://maps.google.com/?q=16.053909,-97.405452999999994", "🔗 Ver Mapa")</f>
        <v>🔗 Ver Mapa</v>
      </c>
    </row>
    <row r="352" spans="1:12" ht="29" x14ac:dyDescent="0.35">
      <c r="A352" s="6" t="s">
        <v>2</v>
      </c>
      <c r="B352" s="6" t="s">
        <v>44</v>
      </c>
      <c r="C352" s="6" t="s">
        <v>45</v>
      </c>
      <c r="D352" s="6" t="s">
        <v>13</v>
      </c>
      <c r="E352" s="6" t="s">
        <v>17</v>
      </c>
      <c r="F352" s="6" t="s">
        <v>46</v>
      </c>
      <c r="G352" s="6" t="s">
        <v>47</v>
      </c>
      <c r="H352" s="6" t="s">
        <v>48</v>
      </c>
      <c r="I352" s="6" t="s">
        <v>32</v>
      </c>
      <c r="J352" s="6">
        <v>16.054273999999999</v>
      </c>
      <c r="K352" s="6">
        <v>-97.406011000000007</v>
      </c>
      <c r="L352" s="6" t="str">
        <f>HYPERLINK("https://maps.google.com/?q=16.054274,-97.406011000000007", "🔗 Ver Mapa")</f>
        <v>🔗 Ver Mapa</v>
      </c>
    </row>
    <row r="353" spans="1:12" ht="29" x14ac:dyDescent="0.35">
      <c r="A353" s="5" t="s">
        <v>2</v>
      </c>
      <c r="B353" s="5" t="s">
        <v>44</v>
      </c>
      <c r="C353" s="5" t="s">
        <v>45</v>
      </c>
      <c r="D353" s="5" t="s">
        <v>13</v>
      </c>
      <c r="E353" s="5" t="s">
        <v>17</v>
      </c>
      <c r="F353" s="5" t="s">
        <v>46</v>
      </c>
      <c r="G353" s="5" t="s">
        <v>47</v>
      </c>
      <c r="H353" s="5" t="s">
        <v>48</v>
      </c>
      <c r="I353" s="5" t="s">
        <v>32</v>
      </c>
      <c r="J353" s="5">
        <v>16.054372000000001</v>
      </c>
      <c r="K353" s="5">
        <v>-97.406460999999993</v>
      </c>
      <c r="L353" s="5" t="str">
        <f>HYPERLINK("https://maps.google.com/?q=16.054372,-97.406460999999993", "🔗 Ver Mapa")</f>
        <v>🔗 Ver Mapa</v>
      </c>
    </row>
    <row r="354" spans="1:12" ht="29" x14ac:dyDescent="0.35">
      <c r="A354" s="6" t="s">
        <v>2</v>
      </c>
      <c r="B354" s="6" t="s">
        <v>44</v>
      </c>
      <c r="C354" s="6" t="s">
        <v>45</v>
      </c>
      <c r="D354" s="6" t="s">
        <v>13</v>
      </c>
      <c r="E354" s="6" t="s">
        <v>17</v>
      </c>
      <c r="F354" s="6" t="s">
        <v>46</v>
      </c>
      <c r="G354" s="6" t="s">
        <v>47</v>
      </c>
      <c r="H354" s="6" t="s">
        <v>48</v>
      </c>
      <c r="I354" s="6" t="s">
        <v>32</v>
      </c>
      <c r="J354" s="6">
        <v>16.054679</v>
      </c>
      <c r="K354" s="6">
        <v>-97.406904999999995</v>
      </c>
      <c r="L354" s="6" t="str">
        <f>HYPERLINK("https://maps.google.com/?q=16.054679,-97.406904999999995", "🔗 Ver Mapa")</f>
        <v>🔗 Ver Mapa</v>
      </c>
    </row>
    <row r="355" spans="1:12" ht="29" x14ac:dyDescent="0.35">
      <c r="A355" s="5" t="s">
        <v>2</v>
      </c>
      <c r="B355" s="5" t="s">
        <v>44</v>
      </c>
      <c r="C355" s="5" t="s">
        <v>45</v>
      </c>
      <c r="D355" s="5" t="s">
        <v>13</v>
      </c>
      <c r="E355" s="5" t="s">
        <v>17</v>
      </c>
      <c r="F355" s="5" t="s">
        <v>46</v>
      </c>
      <c r="G355" s="5" t="s">
        <v>47</v>
      </c>
      <c r="H355" s="5" t="s">
        <v>48</v>
      </c>
      <c r="I355" s="5" t="s">
        <v>32</v>
      </c>
      <c r="J355" s="5">
        <v>16.055035</v>
      </c>
      <c r="K355" s="5">
        <v>-97.407435000000007</v>
      </c>
      <c r="L355" s="5" t="str">
        <f>HYPERLINK("https://maps.google.com/?q=16.055035,-97.407435000000007", "🔗 Ver Mapa")</f>
        <v>🔗 Ver Mapa</v>
      </c>
    </row>
    <row r="356" spans="1:12" ht="29" x14ac:dyDescent="0.35">
      <c r="A356" s="6" t="s">
        <v>2</v>
      </c>
      <c r="B356" s="6" t="s">
        <v>44</v>
      </c>
      <c r="C356" s="6" t="s">
        <v>45</v>
      </c>
      <c r="D356" s="6" t="s">
        <v>13</v>
      </c>
      <c r="E356" s="6" t="s">
        <v>17</v>
      </c>
      <c r="F356" s="6" t="s">
        <v>46</v>
      </c>
      <c r="G356" s="6" t="s">
        <v>47</v>
      </c>
      <c r="H356" s="6" t="s">
        <v>48</v>
      </c>
      <c r="I356" s="6" t="s">
        <v>32</v>
      </c>
      <c r="J356" s="6">
        <v>16.055126999999999</v>
      </c>
      <c r="K356" s="6">
        <v>-97.407696000000001</v>
      </c>
      <c r="L356" s="6" t="str">
        <f>HYPERLINK("https://maps.google.com/?q=16.055127,-97.407696000000001", "🔗 Ver Mapa")</f>
        <v>🔗 Ver Mapa</v>
      </c>
    </row>
    <row r="357" spans="1:12" ht="29" x14ac:dyDescent="0.35">
      <c r="A357" s="5" t="s">
        <v>2</v>
      </c>
      <c r="B357" s="5" t="s">
        <v>44</v>
      </c>
      <c r="C357" s="5" t="s">
        <v>45</v>
      </c>
      <c r="D357" s="5" t="s">
        <v>13</v>
      </c>
      <c r="E357" s="5" t="s">
        <v>17</v>
      </c>
      <c r="F357" s="5" t="s">
        <v>46</v>
      </c>
      <c r="G357" s="5" t="s">
        <v>47</v>
      </c>
      <c r="H357" s="5" t="s">
        <v>48</v>
      </c>
      <c r="I357" s="5" t="s">
        <v>32</v>
      </c>
      <c r="J357" s="5">
        <v>16.055149</v>
      </c>
      <c r="K357" s="5">
        <v>-97.408117000000004</v>
      </c>
      <c r="L357" s="5" t="str">
        <f>HYPERLINK("https://maps.google.com/?q=16.055149,-97.408117000000004", "🔗 Ver Mapa")</f>
        <v>🔗 Ver Mapa</v>
      </c>
    </row>
    <row r="358" spans="1:12" ht="29" x14ac:dyDescent="0.35">
      <c r="A358" s="6" t="s">
        <v>2</v>
      </c>
      <c r="B358" s="6" t="s">
        <v>44</v>
      </c>
      <c r="C358" s="6" t="s">
        <v>45</v>
      </c>
      <c r="D358" s="6" t="s">
        <v>13</v>
      </c>
      <c r="E358" s="6" t="s">
        <v>17</v>
      </c>
      <c r="F358" s="6" t="s">
        <v>46</v>
      </c>
      <c r="G358" s="6" t="s">
        <v>47</v>
      </c>
      <c r="H358" s="6" t="s">
        <v>48</v>
      </c>
      <c r="I358" s="6" t="s">
        <v>32</v>
      </c>
      <c r="J358" s="6">
        <v>16.055024</v>
      </c>
      <c r="K358" s="6">
        <v>-97.408378999999996</v>
      </c>
      <c r="L358" s="6" t="str">
        <f>HYPERLINK("https://maps.google.com/?q=16.055024,-97.408378999999996", "🔗 Ver Mapa")</f>
        <v>🔗 Ver Mapa</v>
      </c>
    </row>
    <row r="359" spans="1:12" ht="29" x14ac:dyDescent="0.35">
      <c r="A359" s="5" t="s">
        <v>2</v>
      </c>
      <c r="B359" s="5" t="s">
        <v>44</v>
      </c>
      <c r="C359" s="5" t="s">
        <v>45</v>
      </c>
      <c r="D359" s="5" t="s">
        <v>13</v>
      </c>
      <c r="E359" s="5" t="s">
        <v>17</v>
      </c>
      <c r="F359" s="5" t="s">
        <v>46</v>
      </c>
      <c r="G359" s="5" t="s">
        <v>47</v>
      </c>
      <c r="H359" s="5" t="s">
        <v>48</v>
      </c>
      <c r="I359" s="5" t="s">
        <v>32</v>
      </c>
      <c r="J359" s="5">
        <v>16.054818000000001</v>
      </c>
      <c r="K359" s="5">
        <v>-97.408604999999994</v>
      </c>
      <c r="L359" s="5" t="str">
        <f>HYPERLINK("https://maps.google.com/?q=16.054818,-97.408604999999994", "🔗 Ver Mapa")</f>
        <v>🔗 Ver Mapa</v>
      </c>
    </row>
    <row r="360" spans="1:12" ht="29" x14ac:dyDescent="0.35">
      <c r="A360" s="6" t="s">
        <v>2</v>
      </c>
      <c r="B360" s="6" t="s">
        <v>44</v>
      </c>
      <c r="C360" s="6" t="s">
        <v>45</v>
      </c>
      <c r="D360" s="6" t="s">
        <v>13</v>
      </c>
      <c r="E360" s="6" t="s">
        <v>17</v>
      </c>
      <c r="F360" s="6" t="s">
        <v>46</v>
      </c>
      <c r="G360" s="6" t="s">
        <v>47</v>
      </c>
      <c r="H360" s="6" t="s">
        <v>48</v>
      </c>
      <c r="I360" s="6" t="s">
        <v>32</v>
      </c>
      <c r="J360" s="6">
        <v>16.054576000000001</v>
      </c>
      <c r="K360" s="6">
        <v>-97.408924999999996</v>
      </c>
      <c r="L360" s="6" t="str">
        <f>HYPERLINK("https://maps.google.com/?q=16.054576,-97.408924999999996", "🔗 Ver Mapa")</f>
        <v>🔗 Ver Mapa</v>
      </c>
    </row>
    <row r="361" spans="1:12" ht="29" x14ac:dyDescent="0.35">
      <c r="A361" s="5" t="s">
        <v>2</v>
      </c>
      <c r="B361" s="5" t="s">
        <v>44</v>
      </c>
      <c r="C361" s="5" t="s">
        <v>45</v>
      </c>
      <c r="D361" s="5" t="s">
        <v>13</v>
      </c>
      <c r="E361" s="5" t="s">
        <v>17</v>
      </c>
      <c r="F361" s="5" t="s">
        <v>46</v>
      </c>
      <c r="G361" s="5" t="s">
        <v>47</v>
      </c>
      <c r="H361" s="5" t="s">
        <v>48</v>
      </c>
      <c r="I361" s="5" t="s">
        <v>32</v>
      </c>
      <c r="J361" s="5">
        <v>16.054297999999999</v>
      </c>
      <c r="K361" s="5">
        <v>-97.409160999999997</v>
      </c>
      <c r="L361" s="5" t="str">
        <f>HYPERLINK("https://maps.google.com/?q=16.054298,-97.409160999999997", "🔗 Ver Mapa")</f>
        <v>🔗 Ver Mapa</v>
      </c>
    </row>
    <row r="362" spans="1:12" ht="29" x14ac:dyDescent="0.35">
      <c r="A362" s="6" t="s">
        <v>2</v>
      </c>
      <c r="B362" s="6" t="s">
        <v>44</v>
      </c>
      <c r="C362" s="6" t="s">
        <v>45</v>
      </c>
      <c r="D362" s="6" t="s">
        <v>13</v>
      </c>
      <c r="E362" s="6" t="s">
        <v>17</v>
      </c>
      <c r="F362" s="6" t="s">
        <v>46</v>
      </c>
      <c r="G362" s="6" t="s">
        <v>47</v>
      </c>
      <c r="H362" s="6" t="s">
        <v>48</v>
      </c>
      <c r="I362" s="6" t="s">
        <v>32</v>
      </c>
      <c r="J362" s="6">
        <v>16.054064</v>
      </c>
      <c r="K362" s="6">
        <v>-97.409265000000005</v>
      </c>
      <c r="L362" s="6" t="str">
        <f>HYPERLINK("https://maps.google.com/?q=16.054064,-97.409265000000005", "🔗 Ver Mapa")</f>
        <v>🔗 Ver Mapa</v>
      </c>
    </row>
    <row r="363" spans="1:12" ht="29" x14ac:dyDescent="0.35">
      <c r="A363" s="5" t="s">
        <v>2</v>
      </c>
      <c r="B363" s="5" t="s">
        <v>44</v>
      </c>
      <c r="C363" s="5" t="s">
        <v>45</v>
      </c>
      <c r="D363" s="5" t="s">
        <v>13</v>
      </c>
      <c r="E363" s="5" t="s">
        <v>17</v>
      </c>
      <c r="F363" s="5" t="s">
        <v>46</v>
      </c>
      <c r="G363" s="5" t="s">
        <v>47</v>
      </c>
      <c r="H363" s="5" t="s">
        <v>48</v>
      </c>
      <c r="I363" s="5" t="s">
        <v>32</v>
      </c>
      <c r="J363" s="5">
        <v>16.053892000000001</v>
      </c>
      <c r="K363" s="5">
        <v>-97.409295</v>
      </c>
      <c r="L363" s="5" t="str">
        <f>HYPERLINK("https://maps.google.com/?q=16.053892,-97.409295", "🔗 Ver Mapa")</f>
        <v>🔗 Ver Mapa</v>
      </c>
    </row>
    <row r="364" spans="1:12" ht="29" x14ac:dyDescent="0.35">
      <c r="A364" s="6" t="s">
        <v>2</v>
      </c>
      <c r="B364" s="6" t="s">
        <v>44</v>
      </c>
      <c r="C364" s="6" t="s">
        <v>45</v>
      </c>
      <c r="D364" s="6" t="s">
        <v>13</v>
      </c>
      <c r="E364" s="6" t="s">
        <v>17</v>
      </c>
      <c r="F364" s="6" t="s">
        <v>46</v>
      </c>
      <c r="G364" s="6" t="s">
        <v>47</v>
      </c>
      <c r="H364" s="6" t="s">
        <v>48</v>
      </c>
      <c r="I364" s="6" t="s">
        <v>32</v>
      </c>
      <c r="J364" s="6">
        <v>16.053640000000001</v>
      </c>
      <c r="K364" s="6">
        <v>-97.409344000000004</v>
      </c>
      <c r="L364" s="6" t="str">
        <f>HYPERLINK("https://maps.google.com/?q=16.05364,-97.409344000000004", "🔗 Ver Mapa")</f>
        <v>🔗 Ver Mapa</v>
      </c>
    </row>
    <row r="365" spans="1:12" ht="29" x14ac:dyDescent="0.35">
      <c r="A365" s="5" t="s">
        <v>2</v>
      </c>
      <c r="B365" s="5" t="s">
        <v>44</v>
      </c>
      <c r="C365" s="5" t="s">
        <v>45</v>
      </c>
      <c r="D365" s="5" t="s">
        <v>13</v>
      </c>
      <c r="E365" s="5" t="s">
        <v>17</v>
      </c>
      <c r="F365" s="5" t="s">
        <v>46</v>
      </c>
      <c r="G365" s="5" t="s">
        <v>47</v>
      </c>
      <c r="H365" s="5" t="s">
        <v>48</v>
      </c>
      <c r="I365" s="5" t="s">
        <v>32</v>
      </c>
      <c r="J365" s="5">
        <v>16.053732</v>
      </c>
      <c r="K365" s="5">
        <v>-97.409566999999996</v>
      </c>
      <c r="L365" s="5" t="str">
        <f>HYPERLINK("https://maps.google.com/?q=16.053732,-97.409566999999996", "🔗 Ver Mapa")</f>
        <v>🔗 Ver Mapa</v>
      </c>
    </row>
    <row r="366" spans="1:12" ht="29" x14ac:dyDescent="0.35">
      <c r="A366" s="6" t="s">
        <v>2</v>
      </c>
      <c r="B366" s="6" t="s">
        <v>44</v>
      </c>
      <c r="C366" s="6" t="s">
        <v>45</v>
      </c>
      <c r="D366" s="6" t="s">
        <v>13</v>
      </c>
      <c r="E366" s="6" t="s">
        <v>17</v>
      </c>
      <c r="F366" s="6" t="s">
        <v>46</v>
      </c>
      <c r="G366" s="6" t="s">
        <v>47</v>
      </c>
      <c r="H366" s="6" t="s">
        <v>48</v>
      </c>
      <c r="I366" s="6" t="s">
        <v>32</v>
      </c>
      <c r="J366" s="6">
        <v>16.053678000000001</v>
      </c>
      <c r="K366" s="6">
        <v>-97.409670000000006</v>
      </c>
      <c r="L366" s="6" t="str">
        <f>HYPERLINK("https://maps.google.com/?q=16.053678,-97.409670000000006", "🔗 Ver Mapa")</f>
        <v>🔗 Ver Mapa</v>
      </c>
    </row>
    <row r="367" spans="1:12" ht="29" x14ac:dyDescent="0.35">
      <c r="A367" s="5" t="s">
        <v>2</v>
      </c>
      <c r="B367" s="5" t="s">
        <v>44</v>
      </c>
      <c r="C367" s="5" t="s">
        <v>45</v>
      </c>
      <c r="D367" s="5" t="s">
        <v>13</v>
      </c>
      <c r="E367" s="5" t="s">
        <v>17</v>
      </c>
      <c r="F367" s="5" t="s">
        <v>46</v>
      </c>
      <c r="G367" s="5" t="s">
        <v>47</v>
      </c>
      <c r="H367" s="5" t="s">
        <v>48</v>
      </c>
      <c r="I367" s="5" t="s">
        <v>32</v>
      </c>
      <c r="J367" s="5">
        <v>16.053533999999999</v>
      </c>
      <c r="K367" s="5">
        <v>-97.409709000000007</v>
      </c>
      <c r="L367" s="5" t="str">
        <f>HYPERLINK("https://maps.google.com/?q=16.053534,-97.409709000000007", "🔗 Ver Mapa")</f>
        <v>🔗 Ver Mapa</v>
      </c>
    </row>
    <row r="368" spans="1:12" ht="29" x14ac:dyDescent="0.35">
      <c r="A368" s="6" t="s">
        <v>2</v>
      </c>
      <c r="B368" s="6" t="s">
        <v>44</v>
      </c>
      <c r="C368" s="6" t="s">
        <v>45</v>
      </c>
      <c r="D368" s="6" t="s">
        <v>13</v>
      </c>
      <c r="E368" s="6" t="s">
        <v>17</v>
      </c>
      <c r="F368" s="6" t="s">
        <v>46</v>
      </c>
      <c r="G368" s="6" t="s">
        <v>47</v>
      </c>
      <c r="H368" s="6" t="s">
        <v>48</v>
      </c>
      <c r="I368" s="6" t="s">
        <v>32</v>
      </c>
      <c r="J368" s="6">
        <v>16.053417</v>
      </c>
      <c r="K368" s="6">
        <v>-97.409794000000005</v>
      </c>
      <c r="L368" s="6" t="str">
        <f>HYPERLINK("https://maps.google.com/?q=16.053417,-97.409794000000005", "🔗 Ver Mapa")</f>
        <v>🔗 Ver Mapa</v>
      </c>
    </row>
    <row r="369" spans="1:12" ht="29" x14ac:dyDescent="0.35">
      <c r="A369" s="5" t="s">
        <v>2</v>
      </c>
      <c r="B369" s="5" t="s">
        <v>44</v>
      </c>
      <c r="C369" s="5" t="s">
        <v>45</v>
      </c>
      <c r="D369" s="5" t="s">
        <v>13</v>
      </c>
      <c r="E369" s="5" t="s">
        <v>17</v>
      </c>
      <c r="F369" s="5" t="s">
        <v>46</v>
      </c>
      <c r="G369" s="5" t="s">
        <v>47</v>
      </c>
      <c r="H369" s="5" t="s">
        <v>48</v>
      </c>
      <c r="I369" s="5" t="s">
        <v>32</v>
      </c>
      <c r="J369" s="5">
        <v>16.053419000000002</v>
      </c>
      <c r="K369" s="5">
        <v>-97.410045999999994</v>
      </c>
      <c r="L369" s="5" t="str">
        <f>HYPERLINK("https://maps.google.com/?q=16.053419,-97.410045999999994", "🔗 Ver Mapa")</f>
        <v>🔗 Ver Mapa</v>
      </c>
    </row>
    <row r="370" spans="1:12" ht="29" x14ac:dyDescent="0.35">
      <c r="A370" s="6" t="s">
        <v>2</v>
      </c>
      <c r="B370" s="6" t="s">
        <v>44</v>
      </c>
      <c r="C370" s="6" t="s">
        <v>45</v>
      </c>
      <c r="D370" s="6" t="s">
        <v>13</v>
      </c>
      <c r="E370" s="6" t="s">
        <v>17</v>
      </c>
      <c r="F370" s="6" t="s">
        <v>46</v>
      </c>
      <c r="G370" s="6" t="s">
        <v>47</v>
      </c>
      <c r="H370" s="6" t="s">
        <v>48</v>
      </c>
      <c r="I370" s="6" t="s">
        <v>32</v>
      </c>
      <c r="J370" s="6">
        <v>16.053402999999999</v>
      </c>
      <c r="K370" s="6">
        <v>-97.410289000000006</v>
      </c>
      <c r="L370" s="6" t="str">
        <f>HYPERLINK("https://maps.google.com/?q=16.053403,-97.410289000000006", "🔗 Ver Mapa")</f>
        <v>🔗 Ver Mapa</v>
      </c>
    </row>
    <row r="371" spans="1:12" ht="29" x14ac:dyDescent="0.35">
      <c r="A371" s="5" t="s">
        <v>2</v>
      </c>
      <c r="B371" s="5" t="s">
        <v>44</v>
      </c>
      <c r="C371" s="5" t="s">
        <v>45</v>
      </c>
      <c r="D371" s="5" t="s">
        <v>13</v>
      </c>
      <c r="E371" s="5" t="s">
        <v>17</v>
      </c>
      <c r="F371" s="5" t="s">
        <v>46</v>
      </c>
      <c r="G371" s="5" t="s">
        <v>47</v>
      </c>
      <c r="H371" s="5" t="s">
        <v>48</v>
      </c>
      <c r="I371" s="5" t="s">
        <v>32</v>
      </c>
      <c r="J371" s="5">
        <v>16.053052000000001</v>
      </c>
      <c r="K371" s="5">
        <v>-97.410488000000001</v>
      </c>
      <c r="L371" s="5" t="str">
        <f>HYPERLINK("https://maps.google.com/?q=16.053052,-97.410488000000001", "🔗 Ver Mapa")</f>
        <v>🔗 Ver Mapa</v>
      </c>
    </row>
    <row r="372" spans="1:12" ht="29" x14ac:dyDescent="0.35">
      <c r="A372" s="6" t="s">
        <v>2</v>
      </c>
      <c r="B372" s="6" t="s">
        <v>44</v>
      </c>
      <c r="C372" s="6" t="s">
        <v>45</v>
      </c>
      <c r="D372" s="6" t="s">
        <v>13</v>
      </c>
      <c r="E372" s="6" t="s">
        <v>17</v>
      </c>
      <c r="F372" s="6" t="s">
        <v>46</v>
      </c>
      <c r="G372" s="6" t="s">
        <v>47</v>
      </c>
      <c r="H372" s="6" t="s">
        <v>48</v>
      </c>
      <c r="I372" s="6" t="s">
        <v>32</v>
      </c>
      <c r="J372" s="6">
        <v>16.052970999999999</v>
      </c>
      <c r="K372" s="6">
        <v>-97.410639000000003</v>
      </c>
      <c r="L372" s="6" t="str">
        <f>HYPERLINK("https://maps.google.com/?q=16.052971,-97.410639000000003", "🔗 Ver Mapa")</f>
        <v>🔗 Ver Mapa</v>
      </c>
    </row>
    <row r="373" spans="1:12" ht="29" x14ac:dyDescent="0.35">
      <c r="A373" s="5" t="s">
        <v>2</v>
      </c>
      <c r="B373" s="5" t="s">
        <v>44</v>
      </c>
      <c r="C373" s="5" t="s">
        <v>45</v>
      </c>
      <c r="D373" s="5" t="s">
        <v>13</v>
      </c>
      <c r="E373" s="5" t="s">
        <v>17</v>
      </c>
      <c r="F373" s="5" t="s">
        <v>46</v>
      </c>
      <c r="G373" s="5" t="s">
        <v>47</v>
      </c>
      <c r="H373" s="5" t="s">
        <v>48</v>
      </c>
      <c r="I373" s="5" t="s">
        <v>32</v>
      </c>
      <c r="J373" s="5">
        <v>16.052962999999998</v>
      </c>
      <c r="K373" s="5">
        <v>-97.410798</v>
      </c>
      <c r="L373" s="5" t="str">
        <f>HYPERLINK("https://maps.google.com/?q=16.052963,-97.410798", "🔗 Ver Mapa")</f>
        <v>🔗 Ver Mapa</v>
      </c>
    </row>
    <row r="374" spans="1:12" ht="29" x14ac:dyDescent="0.35">
      <c r="A374" s="6" t="s">
        <v>2</v>
      </c>
      <c r="B374" s="6" t="s">
        <v>44</v>
      </c>
      <c r="C374" s="6" t="s">
        <v>45</v>
      </c>
      <c r="D374" s="6" t="s">
        <v>13</v>
      </c>
      <c r="E374" s="6" t="s">
        <v>17</v>
      </c>
      <c r="F374" s="6" t="s">
        <v>46</v>
      </c>
      <c r="G374" s="6" t="s">
        <v>47</v>
      </c>
      <c r="H374" s="6" t="s">
        <v>48</v>
      </c>
      <c r="I374" s="6" t="s">
        <v>32</v>
      </c>
      <c r="J374" s="6">
        <v>16.053108999999999</v>
      </c>
      <c r="K374" s="6">
        <v>-97.410973999999996</v>
      </c>
      <c r="L374" s="6" t="str">
        <f>HYPERLINK("https://maps.google.com/?q=16.053109,-97.410973999999996", "🔗 Ver Mapa")</f>
        <v>🔗 Ver Mapa</v>
      </c>
    </row>
    <row r="375" spans="1:12" ht="29" x14ac:dyDescent="0.35">
      <c r="A375" s="5" t="s">
        <v>2</v>
      </c>
      <c r="B375" s="5" t="s">
        <v>44</v>
      </c>
      <c r="C375" s="5" t="s">
        <v>45</v>
      </c>
      <c r="D375" s="5" t="s">
        <v>13</v>
      </c>
      <c r="E375" s="5" t="s">
        <v>17</v>
      </c>
      <c r="F375" s="5" t="s">
        <v>46</v>
      </c>
      <c r="G375" s="5" t="s">
        <v>47</v>
      </c>
      <c r="H375" s="5" t="s">
        <v>48</v>
      </c>
      <c r="I375" s="5" t="s">
        <v>32</v>
      </c>
      <c r="J375" s="5">
        <v>16.052966999999999</v>
      </c>
      <c r="K375" s="5">
        <v>-97.411302000000006</v>
      </c>
      <c r="L375" s="5" t="str">
        <f>HYPERLINK("https://maps.google.com/?q=16.052967,-97.411302000000006", "🔗 Ver Mapa")</f>
        <v>🔗 Ver Mapa</v>
      </c>
    </row>
    <row r="376" spans="1:12" ht="29" x14ac:dyDescent="0.35">
      <c r="A376" s="6" t="s">
        <v>2</v>
      </c>
      <c r="B376" s="6" t="s">
        <v>44</v>
      </c>
      <c r="C376" s="6" t="s">
        <v>45</v>
      </c>
      <c r="D376" s="6" t="s">
        <v>13</v>
      </c>
      <c r="E376" s="6" t="s">
        <v>17</v>
      </c>
      <c r="F376" s="6" t="s">
        <v>46</v>
      </c>
      <c r="G376" s="6" t="s">
        <v>47</v>
      </c>
      <c r="H376" s="6" t="s">
        <v>48</v>
      </c>
      <c r="I376" s="6" t="s">
        <v>32</v>
      </c>
      <c r="J376" s="6">
        <v>16.053025000000002</v>
      </c>
      <c r="K376" s="6">
        <v>-97.411844000000002</v>
      </c>
      <c r="L376" s="6" t="str">
        <f>HYPERLINK("https://maps.google.com/?q=16.053025,-97.411844000000002", "🔗 Ver Mapa")</f>
        <v>🔗 Ver Mapa</v>
      </c>
    </row>
    <row r="377" spans="1:12" ht="29" x14ac:dyDescent="0.35">
      <c r="A377" s="5" t="s">
        <v>2</v>
      </c>
      <c r="B377" s="5" t="s">
        <v>44</v>
      </c>
      <c r="C377" s="5" t="s">
        <v>45</v>
      </c>
      <c r="D377" s="5" t="s">
        <v>13</v>
      </c>
      <c r="E377" s="5" t="s">
        <v>17</v>
      </c>
      <c r="F377" s="5" t="s">
        <v>46</v>
      </c>
      <c r="G377" s="5" t="s">
        <v>47</v>
      </c>
      <c r="H377" s="5" t="s">
        <v>48</v>
      </c>
      <c r="I377" s="5" t="s">
        <v>32</v>
      </c>
      <c r="J377" s="5">
        <v>16.053028999999999</v>
      </c>
      <c r="K377" s="5">
        <v>-97.412347999999994</v>
      </c>
      <c r="L377" s="5" t="str">
        <f>HYPERLINK("https://maps.google.com/?q=16.053029,-97.412347999999994", "🔗 Ver Mapa")</f>
        <v>🔗 Ver Mapa</v>
      </c>
    </row>
    <row r="378" spans="1:12" ht="29" x14ac:dyDescent="0.35">
      <c r="A378" s="6" t="s">
        <v>2</v>
      </c>
      <c r="B378" s="6" t="s">
        <v>44</v>
      </c>
      <c r="C378" s="6" t="s">
        <v>45</v>
      </c>
      <c r="D378" s="6" t="s">
        <v>13</v>
      </c>
      <c r="E378" s="6" t="s">
        <v>17</v>
      </c>
      <c r="F378" s="6" t="s">
        <v>46</v>
      </c>
      <c r="G378" s="6" t="s">
        <v>47</v>
      </c>
      <c r="H378" s="6" t="s">
        <v>48</v>
      </c>
      <c r="I378" s="6" t="s">
        <v>32</v>
      </c>
      <c r="J378" s="6">
        <v>16.052932999999999</v>
      </c>
      <c r="K378" s="6">
        <v>-97.412751</v>
      </c>
      <c r="L378" s="6" t="str">
        <f>HYPERLINK("https://maps.google.com/?q=16.052933,-97.412751", "🔗 Ver Mapa")</f>
        <v>🔗 Ver Mapa</v>
      </c>
    </row>
    <row r="379" spans="1:12" ht="29" x14ac:dyDescent="0.35">
      <c r="A379" s="5" t="s">
        <v>2</v>
      </c>
      <c r="B379" s="5" t="s">
        <v>44</v>
      </c>
      <c r="C379" s="5" t="s">
        <v>45</v>
      </c>
      <c r="D379" s="5" t="s">
        <v>13</v>
      </c>
      <c r="E379" s="5" t="s">
        <v>17</v>
      </c>
      <c r="F379" s="5" t="s">
        <v>46</v>
      </c>
      <c r="G379" s="5" t="s">
        <v>47</v>
      </c>
      <c r="H379" s="5" t="s">
        <v>48</v>
      </c>
      <c r="I379" s="5" t="s">
        <v>32</v>
      </c>
      <c r="J379" s="5">
        <v>16.052523999999998</v>
      </c>
      <c r="K379" s="5">
        <v>-97.413661000000005</v>
      </c>
      <c r="L379" s="5" t="str">
        <f>HYPERLINK("https://maps.google.com/?q=16.052524,-97.413661000000005", "🔗 Ver Mapa")</f>
        <v>🔗 Ver Mapa</v>
      </c>
    </row>
    <row r="380" spans="1:12" ht="29" x14ac:dyDescent="0.35">
      <c r="A380" s="6" t="s">
        <v>2</v>
      </c>
      <c r="B380" s="6" t="s">
        <v>44</v>
      </c>
      <c r="C380" s="6" t="s">
        <v>45</v>
      </c>
      <c r="D380" s="6" t="s">
        <v>13</v>
      </c>
      <c r="E380" s="6" t="s">
        <v>17</v>
      </c>
      <c r="F380" s="6" t="s">
        <v>46</v>
      </c>
      <c r="G380" s="6" t="s">
        <v>47</v>
      </c>
      <c r="H380" s="6" t="s">
        <v>48</v>
      </c>
      <c r="I380" s="6" t="s">
        <v>32</v>
      </c>
      <c r="J380" s="6">
        <v>16.051959</v>
      </c>
      <c r="K380" s="6">
        <v>-97.414291000000006</v>
      </c>
      <c r="L380" s="6" t="str">
        <f>HYPERLINK("https://maps.google.com/?q=16.051959,-97.414291000000006", "🔗 Ver Mapa")</f>
        <v>🔗 Ver Mapa</v>
      </c>
    </row>
    <row r="381" spans="1:12" ht="29" x14ac:dyDescent="0.35">
      <c r="A381" s="5" t="s">
        <v>2</v>
      </c>
      <c r="B381" s="5" t="s">
        <v>44</v>
      </c>
      <c r="C381" s="5" t="s">
        <v>45</v>
      </c>
      <c r="D381" s="5" t="s">
        <v>13</v>
      </c>
      <c r="E381" s="5" t="s">
        <v>17</v>
      </c>
      <c r="F381" s="5" t="s">
        <v>46</v>
      </c>
      <c r="G381" s="5" t="s">
        <v>47</v>
      </c>
      <c r="H381" s="5" t="s">
        <v>48</v>
      </c>
      <c r="I381" s="5" t="s">
        <v>32</v>
      </c>
      <c r="J381" s="5">
        <v>16.051293999999999</v>
      </c>
      <c r="K381" s="5">
        <v>-97.414839000000001</v>
      </c>
      <c r="L381" s="5" t="str">
        <f>HYPERLINK("https://maps.google.com/?q=16.051294,-97.414839000000001", "🔗 Ver Mapa")</f>
        <v>🔗 Ver Mapa</v>
      </c>
    </row>
    <row r="382" spans="1:12" ht="29" x14ac:dyDescent="0.35">
      <c r="A382" s="6" t="s">
        <v>2</v>
      </c>
      <c r="B382" s="6" t="s">
        <v>44</v>
      </c>
      <c r="C382" s="6" t="s">
        <v>45</v>
      </c>
      <c r="D382" s="6" t="s">
        <v>13</v>
      </c>
      <c r="E382" s="6" t="s">
        <v>17</v>
      </c>
      <c r="F382" s="6" t="s">
        <v>46</v>
      </c>
      <c r="G382" s="6" t="s">
        <v>47</v>
      </c>
      <c r="H382" s="6" t="s">
        <v>48</v>
      </c>
      <c r="I382" s="6" t="s">
        <v>32</v>
      </c>
      <c r="J382" s="6">
        <v>16.050431</v>
      </c>
      <c r="K382" s="6">
        <v>-97.415443999999994</v>
      </c>
      <c r="L382" s="6" t="str">
        <f>HYPERLINK("https://maps.google.com/?q=16.050431,-97.415443999999994", "🔗 Ver Mapa")</f>
        <v>🔗 Ver Mapa</v>
      </c>
    </row>
    <row r="383" spans="1:12" ht="58" x14ac:dyDescent="0.35">
      <c r="A383" s="5" t="s">
        <v>2</v>
      </c>
      <c r="B383" s="5" t="s">
        <v>49</v>
      </c>
      <c r="C383" s="5" t="s">
        <v>50</v>
      </c>
      <c r="D383" s="5" t="s">
        <v>51</v>
      </c>
      <c r="E383" s="5" t="s">
        <v>52</v>
      </c>
      <c r="F383" s="5" t="s">
        <v>53</v>
      </c>
      <c r="G383" s="5" t="s">
        <v>54</v>
      </c>
      <c r="H383" s="5" t="s">
        <v>55</v>
      </c>
      <c r="I383" s="5" t="s">
        <v>31</v>
      </c>
      <c r="J383" s="5">
        <v>16.911138000000001</v>
      </c>
      <c r="K383" s="5">
        <v>-96.557592999999997</v>
      </c>
      <c r="L383" s="5" t="str">
        <f>HYPERLINK("https://maps.google.com/?q=16.911138,-96.557593", "🔗 Ver Mapa")</f>
        <v>🔗 Ver Mapa</v>
      </c>
    </row>
    <row r="384" spans="1:12" ht="29" x14ac:dyDescent="0.35">
      <c r="A384" s="6" t="s">
        <v>2</v>
      </c>
      <c r="B384" s="6" t="s">
        <v>37</v>
      </c>
      <c r="C384" s="6" t="s">
        <v>43</v>
      </c>
      <c r="D384" s="6" t="s">
        <v>14</v>
      </c>
      <c r="E384" s="6" t="s">
        <v>39</v>
      </c>
      <c r="F384" s="6" t="s">
        <v>40</v>
      </c>
      <c r="G384" s="6" t="s">
        <v>41</v>
      </c>
      <c r="H384" s="6" t="s">
        <v>42</v>
      </c>
      <c r="I384" s="6" t="s">
        <v>31</v>
      </c>
      <c r="J384" s="6">
        <v>16.88391</v>
      </c>
      <c r="K384" s="6">
        <v>-97.675730000000001</v>
      </c>
      <c r="L384" s="6" t="str">
        <f>HYPERLINK("https://maps.google.com/?q=16.88391,-97.675730000000001", "🔗 Ver Mapa")</f>
        <v>🔗 Ver Mapa</v>
      </c>
    </row>
    <row r="385" spans="1:12" ht="29" x14ac:dyDescent="0.35">
      <c r="A385" s="5" t="s">
        <v>2</v>
      </c>
      <c r="B385" s="5" t="s">
        <v>37</v>
      </c>
      <c r="C385" s="5" t="s">
        <v>43</v>
      </c>
      <c r="D385" s="5" t="s">
        <v>14</v>
      </c>
      <c r="E385" s="5" t="s">
        <v>39</v>
      </c>
      <c r="F385" s="5" t="s">
        <v>40</v>
      </c>
      <c r="G385" s="5" t="s">
        <v>41</v>
      </c>
      <c r="H385" s="5" t="s">
        <v>42</v>
      </c>
      <c r="I385" s="5" t="s">
        <v>31</v>
      </c>
      <c r="J385" s="5">
        <v>16.88335</v>
      </c>
      <c r="K385" s="5">
        <v>-97.676419999999993</v>
      </c>
      <c r="L385" s="5" t="str">
        <f>HYPERLINK("https://maps.google.com/?q=16.88335,-97.676419999999993", "🔗 Ver Mapa")</f>
        <v>🔗 Ver Mapa</v>
      </c>
    </row>
    <row r="386" spans="1:12" ht="29" x14ac:dyDescent="0.35">
      <c r="A386" s="6" t="s">
        <v>2</v>
      </c>
      <c r="B386" s="6" t="s">
        <v>37</v>
      </c>
      <c r="C386" s="6" t="s">
        <v>43</v>
      </c>
      <c r="D386" s="6" t="s">
        <v>14</v>
      </c>
      <c r="E386" s="6" t="s">
        <v>39</v>
      </c>
      <c r="F386" s="6" t="s">
        <v>40</v>
      </c>
      <c r="G386" s="6" t="s">
        <v>41</v>
      </c>
      <c r="H386" s="6" t="s">
        <v>42</v>
      </c>
      <c r="I386" s="6" t="s">
        <v>31</v>
      </c>
      <c r="J386" s="6">
        <v>16.883980000000001</v>
      </c>
      <c r="K386" s="6">
        <v>-97.676609999999997</v>
      </c>
      <c r="L386" s="6" t="str">
        <f>HYPERLINK("https://maps.google.com/?q=16.88398,-97.676609999999997", "🔗 Ver Mapa")</f>
        <v>🔗 Ver Mapa</v>
      </c>
    </row>
    <row r="387" spans="1:12" ht="29" x14ac:dyDescent="0.35">
      <c r="A387" s="5" t="s">
        <v>2</v>
      </c>
      <c r="B387" s="5" t="s">
        <v>37</v>
      </c>
      <c r="C387" s="5" t="s">
        <v>43</v>
      </c>
      <c r="D387" s="5" t="s">
        <v>14</v>
      </c>
      <c r="E387" s="5" t="s">
        <v>39</v>
      </c>
      <c r="F387" s="5" t="s">
        <v>40</v>
      </c>
      <c r="G387" s="5" t="s">
        <v>41</v>
      </c>
      <c r="H387" s="5" t="s">
        <v>42</v>
      </c>
      <c r="I387" s="5" t="s">
        <v>31</v>
      </c>
      <c r="J387" s="5">
        <v>16.884789999999999</v>
      </c>
      <c r="K387" s="5">
        <v>-97.677760000000006</v>
      </c>
      <c r="L387" s="5" t="str">
        <f>HYPERLINK("https://maps.google.com/?q=16.88479,-97.677760000000006", "🔗 Ver Mapa")</f>
        <v>🔗 Ver Mapa</v>
      </c>
    </row>
    <row r="388" spans="1:12" ht="29" x14ac:dyDescent="0.35">
      <c r="A388" s="6" t="s">
        <v>2</v>
      </c>
      <c r="B388" s="6" t="s">
        <v>37</v>
      </c>
      <c r="C388" s="6" t="s">
        <v>43</v>
      </c>
      <c r="D388" s="6" t="s">
        <v>14</v>
      </c>
      <c r="E388" s="6" t="s">
        <v>39</v>
      </c>
      <c r="F388" s="6" t="s">
        <v>40</v>
      </c>
      <c r="G388" s="6" t="s">
        <v>41</v>
      </c>
      <c r="H388" s="6" t="s">
        <v>42</v>
      </c>
      <c r="I388" s="6" t="s">
        <v>31</v>
      </c>
      <c r="J388" s="6">
        <v>16.88447</v>
      </c>
      <c r="K388" s="6">
        <v>-97.678129999999996</v>
      </c>
      <c r="L388" s="6" t="str">
        <f>HYPERLINK("https://maps.google.com/?q=16.88447,-97.678129999999996", "🔗 Ver Mapa")</f>
        <v>🔗 Ver Mapa</v>
      </c>
    </row>
    <row r="389" spans="1:12" ht="29" x14ac:dyDescent="0.35">
      <c r="A389" s="5" t="s">
        <v>2</v>
      </c>
      <c r="B389" s="5" t="s">
        <v>37</v>
      </c>
      <c r="C389" s="5" t="s">
        <v>43</v>
      </c>
      <c r="D389" s="5" t="s">
        <v>14</v>
      </c>
      <c r="E389" s="5" t="s">
        <v>39</v>
      </c>
      <c r="F389" s="5" t="s">
        <v>40</v>
      </c>
      <c r="G389" s="5" t="s">
        <v>41</v>
      </c>
      <c r="H389" s="5" t="s">
        <v>42</v>
      </c>
      <c r="I389" s="5" t="s">
        <v>31</v>
      </c>
      <c r="J389" s="5">
        <v>16.885809999999999</v>
      </c>
      <c r="K389" s="5">
        <v>-97.678659999999994</v>
      </c>
      <c r="L389" s="5" t="str">
        <f>HYPERLINK("https://maps.google.com/?q=16.88581,-97.678659999999994", "🔗 Ver Mapa")</f>
        <v>🔗 Ver Mapa</v>
      </c>
    </row>
    <row r="390" spans="1:12" ht="29" x14ac:dyDescent="0.35">
      <c r="A390" s="6" t="s">
        <v>2</v>
      </c>
      <c r="B390" s="6" t="s">
        <v>56</v>
      </c>
      <c r="C390" s="6" t="s">
        <v>57</v>
      </c>
      <c r="D390" s="6" t="s">
        <v>58</v>
      </c>
      <c r="E390" s="6" t="s">
        <v>17</v>
      </c>
      <c r="F390" s="6" t="s">
        <v>59</v>
      </c>
      <c r="G390" s="6" t="s">
        <v>60</v>
      </c>
      <c r="H390" s="6" t="s">
        <v>61</v>
      </c>
      <c r="I390" s="6" t="s">
        <v>31</v>
      </c>
      <c r="J390" s="6">
        <v>16.33906</v>
      </c>
      <c r="K390" s="6">
        <v>-98.050399999999996</v>
      </c>
      <c r="L390" s="6" t="str">
        <f>HYPERLINK("https://maps.google.com/?q=16.33906,-98.0504", "🔗 Ver Mapa")</f>
        <v>🔗 Ver Mapa</v>
      </c>
    </row>
    <row r="391" spans="1:12" ht="29" x14ac:dyDescent="0.35">
      <c r="A391" s="5" t="s">
        <v>2</v>
      </c>
      <c r="B391" s="5" t="s">
        <v>44</v>
      </c>
      <c r="C391" s="5" t="s">
        <v>62</v>
      </c>
      <c r="D391" s="5" t="s">
        <v>13</v>
      </c>
      <c r="E391" s="5" t="s">
        <v>17</v>
      </c>
      <c r="F391" s="5" t="s">
        <v>46</v>
      </c>
      <c r="G391" s="5" t="s">
        <v>47</v>
      </c>
      <c r="H391" s="5" t="s">
        <v>48</v>
      </c>
      <c r="I391" s="5" t="s">
        <v>32</v>
      </c>
      <c r="J391" s="5">
        <v>16.063258999999999</v>
      </c>
      <c r="K391" s="5">
        <v>-97.380872999999994</v>
      </c>
      <c r="L391" s="5" t="str">
        <f>HYPERLINK("https://maps.google.com/?q=16.063259,-97.380872999999994", "🔗 Ver Mapa")</f>
        <v>🔗 Ver Mapa</v>
      </c>
    </row>
    <row r="392" spans="1:12" ht="29" x14ac:dyDescent="0.35">
      <c r="A392" s="6" t="s">
        <v>2</v>
      </c>
      <c r="B392" s="6" t="s">
        <v>44</v>
      </c>
      <c r="C392" s="6" t="s">
        <v>62</v>
      </c>
      <c r="D392" s="6" t="s">
        <v>13</v>
      </c>
      <c r="E392" s="6" t="s">
        <v>17</v>
      </c>
      <c r="F392" s="6" t="s">
        <v>46</v>
      </c>
      <c r="G392" s="6" t="s">
        <v>47</v>
      </c>
      <c r="H392" s="6" t="s">
        <v>48</v>
      </c>
      <c r="I392" s="6" t="s">
        <v>32</v>
      </c>
      <c r="J392" s="6">
        <v>16.063258999999999</v>
      </c>
      <c r="K392" s="6">
        <v>-97.380872999999994</v>
      </c>
      <c r="L392" s="6" t="str">
        <f>HYPERLINK("https://maps.google.com/?q=16.063259,-97.380872999999994", "🔗 Ver Mapa")</f>
        <v>🔗 Ver Mapa</v>
      </c>
    </row>
    <row r="393" spans="1:12" ht="29" x14ac:dyDescent="0.35">
      <c r="A393" s="5" t="s">
        <v>2</v>
      </c>
      <c r="B393" s="5" t="s">
        <v>44</v>
      </c>
      <c r="C393" s="5" t="s">
        <v>62</v>
      </c>
      <c r="D393" s="5" t="s">
        <v>13</v>
      </c>
      <c r="E393" s="5" t="s">
        <v>17</v>
      </c>
      <c r="F393" s="5" t="s">
        <v>46</v>
      </c>
      <c r="G393" s="5" t="s">
        <v>47</v>
      </c>
      <c r="H393" s="5" t="s">
        <v>48</v>
      </c>
      <c r="I393" s="5" t="s">
        <v>32</v>
      </c>
      <c r="J393" s="5">
        <v>16.063258999999999</v>
      </c>
      <c r="K393" s="5">
        <v>-97.380872999999994</v>
      </c>
      <c r="L393" s="5" t="str">
        <f>HYPERLINK("https://maps.google.com/?q=16.063259,-97.380872999999994", "🔗 Ver Mapa")</f>
        <v>🔗 Ver Mapa</v>
      </c>
    </row>
    <row r="394" spans="1:12" ht="29" x14ac:dyDescent="0.35">
      <c r="A394" s="6" t="s">
        <v>2</v>
      </c>
      <c r="B394" s="6" t="s">
        <v>44</v>
      </c>
      <c r="C394" s="6" t="s">
        <v>62</v>
      </c>
      <c r="D394" s="6" t="s">
        <v>13</v>
      </c>
      <c r="E394" s="6" t="s">
        <v>17</v>
      </c>
      <c r="F394" s="6" t="s">
        <v>46</v>
      </c>
      <c r="G394" s="6" t="s">
        <v>47</v>
      </c>
      <c r="H394" s="6" t="s">
        <v>48</v>
      </c>
      <c r="I394" s="6" t="s">
        <v>32</v>
      </c>
      <c r="J394" s="6">
        <v>16.063258999999999</v>
      </c>
      <c r="K394" s="6">
        <v>-97.380872999999994</v>
      </c>
      <c r="L394" s="6" t="str">
        <f>HYPERLINK("https://maps.google.com/?q=16.063259,-97.380872999999994", "🔗 Ver Mapa")</f>
        <v>🔗 Ver Mapa</v>
      </c>
    </row>
    <row r="395" spans="1:12" ht="29" x14ac:dyDescent="0.35">
      <c r="A395" s="5" t="s">
        <v>2</v>
      </c>
      <c r="B395" s="5" t="s">
        <v>44</v>
      </c>
      <c r="C395" s="5" t="s">
        <v>62</v>
      </c>
      <c r="D395" s="5" t="s">
        <v>13</v>
      </c>
      <c r="E395" s="5" t="s">
        <v>17</v>
      </c>
      <c r="F395" s="5" t="s">
        <v>46</v>
      </c>
      <c r="G395" s="5" t="s">
        <v>47</v>
      </c>
      <c r="H395" s="5" t="s">
        <v>48</v>
      </c>
      <c r="I395" s="5" t="s">
        <v>32</v>
      </c>
      <c r="J395" s="5">
        <v>16.063313999999998</v>
      </c>
      <c r="K395" s="5">
        <v>-97.380975000000007</v>
      </c>
      <c r="L395" s="5" t="str">
        <f>HYPERLINK("https://maps.google.com/?q=16.063314,-97.380975000000007", "🔗 Ver Mapa")</f>
        <v>🔗 Ver Mapa</v>
      </c>
    </row>
    <row r="396" spans="1:12" ht="29" x14ac:dyDescent="0.35">
      <c r="A396" s="6" t="s">
        <v>2</v>
      </c>
      <c r="B396" s="6" t="s">
        <v>44</v>
      </c>
      <c r="C396" s="6" t="s">
        <v>62</v>
      </c>
      <c r="D396" s="6" t="s">
        <v>13</v>
      </c>
      <c r="E396" s="6" t="s">
        <v>17</v>
      </c>
      <c r="F396" s="6" t="s">
        <v>46</v>
      </c>
      <c r="G396" s="6" t="s">
        <v>47</v>
      </c>
      <c r="H396" s="6" t="s">
        <v>48</v>
      </c>
      <c r="I396" s="6" t="s">
        <v>32</v>
      </c>
      <c r="J396" s="6">
        <v>16.063313999999998</v>
      </c>
      <c r="K396" s="6">
        <v>-97.380975000000007</v>
      </c>
      <c r="L396" s="6" t="str">
        <f>HYPERLINK("https://maps.google.com/?q=16.063314,-97.380975000000007", "🔗 Ver Mapa")</f>
        <v>🔗 Ver Mapa</v>
      </c>
    </row>
    <row r="397" spans="1:12" ht="29" x14ac:dyDescent="0.35">
      <c r="A397" s="5" t="s">
        <v>2</v>
      </c>
      <c r="B397" s="5" t="s">
        <v>44</v>
      </c>
      <c r="C397" s="5" t="s">
        <v>62</v>
      </c>
      <c r="D397" s="5" t="s">
        <v>13</v>
      </c>
      <c r="E397" s="5" t="s">
        <v>17</v>
      </c>
      <c r="F397" s="5" t="s">
        <v>46</v>
      </c>
      <c r="G397" s="5" t="s">
        <v>47</v>
      </c>
      <c r="H397" s="5" t="s">
        <v>48</v>
      </c>
      <c r="I397" s="5" t="s">
        <v>32</v>
      </c>
      <c r="J397" s="5">
        <v>16.063313999999998</v>
      </c>
      <c r="K397" s="5">
        <v>-97.380975000000007</v>
      </c>
      <c r="L397" s="5" t="str">
        <f>HYPERLINK("https://maps.google.com/?q=16.063314,-97.380975000000007", "🔗 Ver Mapa")</f>
        <v>🔗 Ver Mapa</v>
      </c>
    </row>
    <row r="398" spans="1:12" ht="29" x14ac:dyDescent="0.35">
      <c r="A398" s="6" t="s">
        <v>2</v>
      </c>
      <c r="B398" s="6" t="s">
        <v>44</v>
      </c>
      <c r="C398" s="6" t="s">
        <v>62</v>
      </c>
      <c r="D398" s="6" t="s">
        <v>13</v>
      </c>
      <c r="E398" s="6" t="s">
        <v>17</v>
      </c>
      <c r="F398" s="6" t="s">
        <v>46</v>
      </c>
      <c r="G398" s="6" t="s">
        <v>47</v>
      </c>
      <c r="H398" s="6" t="s">
        <v>48</v>
      </c>
      <c r="I398" s="6" t="s">
        <v>32</v>
      </c>
      <c r="J398" s="6">
        <v>16.063313999999998</v>
      </c>
      <c r="K398" s="6">
        <v>-97.380975000000007</v>
      </c>
      <c r="L398" s="6" t="str">
        <f>HYPERLINK("https://maps.google.com/?q=16.063314,-97.380975000000007", "🔗 Ver Mapa")</f>
        <v>🔗 Ver Mapa</v>
      </c>
    </row>
    <row r="399" spans="1:12" ht="29" x14ac:dyDescent="0.35">
      <c r="A399" s="5" t="s">
        <v>2</v>
      </c>
      <c r="B399" s="5" t="s">
        <v>44</v>
      </c>
      <c r="C399" s="5" t="s">
        <v>62</v>
      </c>
      <c r="D399" s="5" t="s">
        <v>13</v>
      </c>
      <c r="E399" s="5" t="s">
        <v>17</v>
      </c>
      <c r="F399" s="5" t="s">
        <v>46</v>
      </c>
      <c r="G399" s="5" t="s">
        <v>47</v>
      </c>
      <c r="H399" s="5" t="s">
        <v>48</v>
      </c>
      <c r="I399" s="5" t="s">
        <v>32</v>
      </c>
      <c r="J399" s="5">
        <v>16.051959</v>
      </c>
      <c r="K399" s="5">
        <v>-97.414291000000006</v>
      </c>
      <c r="L399" s="5" t="str">
        <f>HYPERLINK("https://maps.google.com/?q=16.051959,-97.414291000000006", "🔗 Ver Mapa")</f>
        <v>🔗 Ver Mapa</v>
      </c>
    </row>
    <row r="400" spans="1:12" ht="29" x14ac:dyDescent="0.35">
      <c r="A400" s="6" t="s">
        <v>2</v>
      </c>
      <c r="B400" s="6" t="s">
        <v>44</v>
      </c>
      <c r="C400" s="6" t="s">
        <v>62</v>
      </c>
      <c r="D400" s="6" t="s">
        <v>13</v>
      </c>
      <c r="E400" s="6" t="s">
        <v>17</v>
      </c>
      <c r="F400" s="6" t="s">
        <v>46</v>
      </c>
      <c r="G400" s="6" t="s">
        <v>47</v>
      </c>
      <c r="H400" s="6" t="s">
        <v>48</v>
      </c>
      <c r="I400" s="6" t="s">
        <v>32</v>
      </c>
      <c r="J400" s="6">
        <v>16.051959</v>
      </c>
      <c r="K400" s="6">
        <v>-97.414291000000006</v>
      </c>
      <c r="L400" s="6" t="str">
        <f>HYPERLINK("https://maps.google.com/?q=16.051959,-97.414291000000006", "🔗 Ver Mapa")</f>
        <v>🔗 Ver Mapa</v>
      </c>
    </row>
    <row r="401" spans="1:12" ht="29" x14ac:dyDescent="0.35">
      <c r="A401" s="5" t="s">
        <v>2</v>
      </c>
      <c r="B401" s="5" t="s">
        <v>44</v>
      </c>
      <c r="C401" s="5" t="s">
        <v>62</v>
      </c>
      <c r="D401" s="5" t="s">
        <v>13</v>
      </c>
      <c r="E401" s="5" t="s">
        <v>17</v>
      </c>
      <c r="F401" s="5" t="s">
        <v>46</v>
      </c>
      <c r="G401" s="5" t="s">
        <v>47</v>
      </c>
      <c r="H401" s="5" t="s">
        <v>48</v>
      </c>
      <c r="I401" s="5" t="s">
        <v>32</v>
      </c>
      <c r="J401" s="5">
        <v>16.051959</v>
      </c>
      <c r="K401" s="5">
        <v>-97.414291000000006</v>
      </c>
      <c r="L401" s="5" t="str">
        <f>HYPERLINK("https://maps.google.com/?q=16.051959,-97.414291000000006", "🔗 Ver Mapa")</f>
        <v>🔗 Ver Mapa</v>
      </c>
    </row>
    <row r="402" spans="1:12" ht="29" x14ac:dyDescent="0.35">
      <c r="A402" s="6" t="s">
        <v>2</v>
      </c>
      <c r="B402" s="6" t="s">
        <v>44</v>
      </c>
      <c r="C402" s="6" t="s">
        <v>62</v>
      </c>
      <c r="D402" s="6" t="s">
        <v>13</v>
      </c>
      <c r="E402" s="6" t="s">
        <v>17</v>
      </c>
      <c r="F402" s="6" t="s">
        <v>46</v>
      </c>
      <c r="G402" s="6" t="s">
        <v>47</v>
      </c>
      <c r="H402" s="6" t="s">
        <v>48</v>
      </c>
      <c r="I402" s="6" t="s">
        <v>32</v>
      </c>
      <c r="J402" s="6">
        <v>16.051959</v>
      </c>
      <c r="K402" s="6">
        <v>-97.414291000000006</v>
      </c>
      <c r="L402" s="6" t="str">
        <f>HYPERLINK("https://maps.google.com/?q=16.051959,-97.414291000000006", "🔗 Ver Mapa")</f>
        <v>🔗 Ver Mapa</v>
      </c>
    </row>
    <row r="403" spans="1:12" ht="29" x14ac:dyDescent="0.35">
      <c r="A403" s="5" t="s">
        <v>2</v>
      </c>
      <c r="B403" s="5" t="s">
        <v>44</v>
      </c>
      <c r="C403" s="5" t="s">
        <v>62</v>
      </c>
      <c r="D403" s="5" t="s">
        <v>13</v>
      </c>
      <c r="E403" s="5" t="s">
        <v>17</v>
      </c>
      <c r="F403" s="5" t="s">
        <v>46</v>
      </c>
      <c r="G403" s="5" t="s">
        <v>47</v>
      </c>
      <c r="H403" s="5" t="s">
        <v>48</v>
      </c>
      <c r="I403" s="5" t="s">
        <v>32</v>
      </c>
      <c r="J403" s="5">
        <v>16.051293999999999</v>
      </c>
      <c r="K403" s="5">
        <v>-97.414839000000001</v>
      </c>
      <c r="L403" s="5" t="str">
        <f>HYPERLINK("https://maps.google.com/?q=16.051294,-97.414839000000001", "🔗 Ver Mapa")</f>
        <v>🔗 Ver Mapa</v>
      </c>
    </row>
    <row r="404" spans="1:12" ht="29" x14ac:dyDescent="0.35">
      <c r="A404" s="6" t="s">
        <v>2</v>
      </c>
      <c r="B404" s="6" t="s">
        <v>44</v>
      </c>
      <c r="C404" s="6" t="s">
        <v>62</v>
      </c>
      <c r="D404" s="6" t="s">
        <v>13</v>
      </c>
      <c r="E404" s="6" t="s">
        <v>17</v>
      </c>
      <c r="F404" s="6" t="s">
        <v>46</v>
      </c>
      <c r="G404" s="6" t="s">
        <v>47</v>
      </c>
      <c r="H404" s="6" t="s">
        <v>48</v>
      </c>
      <c r="I404" s="6" t="s">
        <v>32</v>
      </c>
      <c r="J404" s="6">
        <v>16.051293999999999</v>
      </c>
      <c r="K404" s="6">
        <v>-97.414839000000001</v>
      </c>
      <c r="L404" s="6" t="str">
        <f>HYPERLINK("https://maps.google.com/?q=16.051294,-97.414839000000001", "🔗 Ver Mapa")</f>
        <v>🔗 Ver Mapa</v>
      </c>
    </row>
    <row r="405" spans="1:12" ht="29" x14ac:dyDescent="0.35">
      <c r="A405" s="5" t="s">
        <v>2</v>
      </c>
      <c r="B405" s="5" t="s">
        <v>44</v>
      </c>
      <c r="C405" s="5" t="s">
        <v>62</v>
      </c>
      <c r="D405" s="5" t="s">
        <v>13</v>
      </c>
      <c r="E405" s="5" t="s">
        <v>17</v>
      </c>
      <c r="F405" s="5" t="s">
        <v>46</v>
      </c>
      <c r="G405" s="5" t="s">
        <v>47</v>
      </c>
      <c r="H405" s="5" t="s">
        <v>48</v>
      </c>
      <c r="I405" s="5" t="s">
        <v>32</v>
      </c>
      <c r="J405" s="5">
        <v>16.051293999999999</v>
      </c>
      <c r="K405" s="5">
        <v>-97.414839000000001</v>
      </c>
      <c r="L405" s="5" t="str">
        <f>HYPERLINK("https://maps.google.com/?q=16.051294,-97.414839000000001", "🔗 Ver Mapa")</f>
        <v>🔗 Ver Mapa</v>
      </c>
    </row>
    <row r="406" spans="1:12" ht="29" x14ac:dyDescent="0.35">
      <c r="A406" s="6" t="s">
        <v>2</v>
      </c>
      <c r="B406" s="6" t="s">
        <v>44</v>
      </c>
      <c r="C406" s="6" t="s">
        <v>62</v>
      </c>
      <c r="D406" s="6" t="s">
        <v>13</v>
      </c>
      <c r="E406" s="6" t="s">
        <v>17</v>
      </c>
      <c r="F406" s="6" t="s">
        <v>46</v>
      </c>
      <c r="G406" s="6" t="s">
        <v>47</v>
      </c>
      <c r="H406" s="6" t="s">
        <v>48</v>
      </c>
      <c r="I406" s="6" t="s">
        <v>32</v>
      </c>
      <c r="J406" s="6">
        <v>16.051293999999999</v>
      </c>
      <c r="K406" s="6">
        <v>-97.414839000000001</v>
      </c>
      <c r="L406" s="6" t="str">
        <f>HYPERLINK("https://maps.google.com/?q=16.051294,-97.414839000000001", "🔗 Ver Mapa")</f>
        <v>🔗 Ver Mapa</v>
      </c>
    </row>
    <row r="407" spans="1:12" ht="29" x14ac:dyDescent="0.35">
      <c r="A407" s="5" t="s">
        <v>2</v>
      </c>
      <c r="B407" s="5" t="s">
        <v>44</v>
      </c>
      <c r="C407" s="5" t="s">
        <v>62</v>
      </c>
      <c r="D407" s="5" t="s">
        <v>13</v>
      </c>
      <c r="E407" s="5" t="s">
        <v>17</v>
      </c>
      <c r="F407" s="5" t="s">
        <v>46</v>
      </c>
      <c r="G407" s="5" t="s">
        <v>47</v>
      </c>
      <c r="H407" s="5" t="s">
        <v>48</v>
      </c>
      <c r="I407" s="5" t="s">
        <v>32</v>
      </c>
      <c r="J407" s="5">
        <v>16.050431</v>
      </c>
      <c r="K407" s="5">
        <v>-97.415443999999994</v>
      </c>
      <c r="L407" s="5" t="str">
        <f>HYPERLINK("https://maps.google.com/?q=16.050431,-97.415443999999994", "🔗 Ver Mapa")</f>
        <v>🔗 Ver Mapa</v>
      </c>
    </row>
    <row r="408" spans="1:12" ht="29" x14ac:dyDescent="0.35">
      <c r="A408" s="6" t="s">
        <v>2</v>
      </c>
      <c r="B408" s="6" t="s">
        <v>44</v>
      </c>
      <c r="C408" s="6" t="s">
        <v>62</v>
      </c>
      <c r="D408" s="6" t="s">
        <v>13</v>
      </c>
      <c r="E408" s="6" t="s">
        <v>17</v>
      </c>
      <c r="F408" s="6" t="s">
        <v>46</v>
      </c>
      <c r="G408" s="6" t="s">
        <v>47</v>
      </c>
      <c r="H408" s="6" t="s">
        <v>48</v>
      </c>
      <c r="I408" s="6" t="s">
        <v>32</v>
      </c>
      <c r="J408" s="6">
        <v>16.050431</v>
      </c>
      <c r="K408" s="6">
        <v>-97.415443999999994</v>
      </c>
      <c r="L408" s="6" t="str">
        <f>HYPERLINK("https://maps.google.com/?q=16.050431,-97.415443999999994", "🔗 Ver Mapa")</f>
        <v>🔗 Ver Mapa</v>
      </c>
    </row>
    <row r="409" spans="1:12" ht="29" x14ac:dyDescent="0.35">
      <c r="A409" s="5" t="s">
        <v>2</v>
      </c>
      <c r="B409" s="5" t="s">
        <v>44</v>
      </c>
      <c r="C409" s="5" t="s">
        <v>62</v>
      </c>
      <c r="D409" s="5" t="s">
        <v>13</v>
      </c>
      <c r="E409" s="5" t="s">
        <v>17</v>
      </c>
      <c r="F409" s="5" t="s">
        <v>46</v>
      </c>
      <c r="G409" s="5" t="s">
        <v>47</v>
      </c>
      <c r="H409" s="5" t="s">
        <v>48</v>
      </c>
      <c r="I409" s="5" t="s">
        <v>32</v>
      </c>
      <c r="J409" s="5">
        <v>16.050431</v>
      </c>
      <c r="K409" s="5">
        <v>-97.415443999999994</v>
      </c>
      <c r="L409" s="5" t="str">
        <f>HYPERLINK("https://maps.google.com/?q=16.050431,-97.415443999999994", "🔗 Ver Mapa")</f>
        <v>🔗 Ver Mapa</v>
      </c>
    </row>
    <row r="410" spans="1:12" ht="29" x14ac:dyDescent="0.35">
      <c r="A410" s="6" t="s">
        <v>2</v>
      </c>
      <c r="B410" s="6" t="s">
        <v>44</v>
      </c>
      <c r="C410" s="6" t="s">
        <v>62</v>
      </c>
      <c r="D410" s="6" t="s">
        <v>13</v>
      </c>
      <c r="E410" s="6" t="s">
        <v>17</v>
      </c>
      <c r="F410" s="6" t="s">
        <v>46</v>
      </c>
      <c r="G410" s="6" t="s">
        <v>47</v>
      </c>
      <c r="H410" s="6" t="s">
        <v>48</v>
      </c>
      <c r="I410" s="6" t="s">
        <v>32</v>
      </c>
      <c r="J410" s="6">
        <v>16.050431</v>
      </c>
      <c r="K410" s="6">
        <v>-97.415443999999994</v>
      </c>
      <c r="L410" s="6" t="str">
        <f>HYPERLINK("https://maps.google.com/?q=16.050431,-97.415443999999994", "🔗 Ver Mapa")</f>
        <v>🔗 Ver Mapa</v>
      </c>
    </row>
    <row r="411" spans="1:12" ht="29" x14ac:dyDescent="0.35">
      <c r="A411" s="5" t="s">
        <v>2</v>
      </c>
      <c r="B411" s="5" t="s">
        <v>44</v>
      </c>
      <c r="C411" s="5" t="s">
        <v>62</v>
      </c>
      <c r="D411" s="5" t="s">
        <v>13</v>
      </c>
      <c r="E411" s="5" t="s">
        <v>17</v>
      </c>
      <c r="F411" s="5" t="s">
        <v>46</v>
      </c>
      <c r="G411" s="5" t="s">
        <v>47</v>
      </c>
      <c r="H411" s="5" t="s">
        <v>48</v>
      </c>
      <c r="I411" s="5" t="s">
        <v>32</v>
      </c>
      <c r="J411" s="5">
        <v>16.053108999999999</v>
      </c>
      <c r="K411" s="5">
        <v>-97.410973999999996</v>
      </c>
      <c r="L411" s="5" t="str">
        <f>HYPERLINK("https://maps.google.com/?q=16.053109,-97.410973999999996", "🔗 Ver Mapa")</f>
        <v>🔗 Ver Mapa</v>
      </c>
    </row>
    <row r="412" spans="1:12" ht="29" x14ac:dyDescent="0.35">
      <c r="A412" s="6" t="s">
        <v>2</v>
      </c>
      <c r="B412" s="6" t="s">
        <v>44</v>
      </c>
      <c r="C412" s="6" t="s">
        <v>62</v>
      </c>
      <c r="D412" s="6" t="s">
        <v>13</v>
      </c>
      <c r="E412" s="6" t="s">
        <v>17</v>
      </c>
      <c r="F412" s="6" t="s">
        <v>46</v>
      </c>
      <c r="G412" s="6" t="s">
        <v>47</v>
      </c>
      <c r="H412" s="6" t="s">
        <v>48</v>
      </c>
      <c r="I412" s="6" t="s">
        <v>32</v>
      </c>
      <c r="J412" s="6">
        <v>16.053108999999999</v>
      </c>
      <c r="K412" s="6">
        <v>-97.410973999999996</v>
      </c>
      <c r="L412" s="6" t="str">
        <f>HYPERLINK("https://maps.google.com/?q=16.053109,-97.410973999999996", "🔗 Ver Mapa")</f>
        <v>🔗 Ver Mapa</v>
      </c>
    </row>
    <row r="413" spans="1:12" ht="29" x14ac:dyDescent="0.35">
      <c r="A413" s="5" t="s">
        <v>2</v>
      </c>
      <c r="B413" s="5" t="s">
        <v>44</v>
      </c>
      <c r="C413" s="5" t="s">
        <v>62</v>
      </c>
      <c r="D413" s="5" t="s">
        <v>13</v>
      </c>
      <c r="E413" s="5" t="s">
        <v>17</v>
      </c>
      <c r="F413" s="5" t="s">
        <v>46</v>
      </c>
      <c r="G413" s="5" t="s">
        <v>47</v>
      </c>
      <c r="H413" s="5" t="s">
        <v>48</v>
      </c>
      <c r="I413" s="5" t="s">
        <v>32</v>
      </c>
      <c r="J413" s="5">
        <v>16.053108999999999</v>
      </c>
      <c r="K413" s="5">
        <v>-97.410973999999996</v>
      </c>
      <c r="L413" s="5" t="str">
        <f>HYPERLINK("https://maps.google.com/?q=16.053109,-97.410973999999996", "🔗 Ver Mapa")</f>
        <v>🔗 Ver Mapa</v>
      </c>
    </row>
    <row r="414" spans="1:12" ht="29" x14ac:dyDescent="0.35">
      <c r="A414" s="6" t="s">
        <v>2</v>
      </c>
      <c r="B414" s="6" t="s">
        <v>44</v>
      </c>
      <c r="C414" s="6" t="s">
        <v>62</v>
      </c>
      <c r="D414" s="6" t="s">
        <v>13</v>
      </c>
      <c r="E414" s="6" t="s">
        <v>17</v>
      </c>
      <c r="F414" s="6" t="s">
        <v>46</v>
      </c>
      <c r="G414" s="6" t="s">
        <v>47</v>
      </c>
      <c r="H414" s="6" t="s">
        <v>48</v>
      </c>
      <c r="I414" s="6" t="s">
        <v>32</v>
      </c>
      <c r="J414" s="6">
        <v>16.053108999999999</v>
      </c>
      <c r="K414" s="6">
        <v>-97.410973999999996</v>
      </c>
      <c r="L414" s="6" t="str">
        <f>HYPERLINK("https://maps.google.com/?q=16.053109,-97.410973999999996", "🔗 Ver Mapa")</f>
        <v>🔗 Ver Mapa</v>
      </c>
    </row>
    <row r="415" spans="1:12" ht="29" x14ac:dyDescent="0.35">
      <c r="A415" s="5" t="s">
        <v>2</v>
      </c>
      <c r="B415" s="5" t="s">
        <v>44</v>
      </c>
      <c r="C415" s="5" t="s">
        <v>62</v>
      </c>
      <c r="D415" s="5" t="s">
        <v>13</v>
      </c>
      <c r="E415" s="5" t="s">
        <v>17</v>
      </c>
      <c r="F415" s="5" t="s">
        <v>46</v>
      </c>
      <c r="G415" s="5" t="s">
        <v>47</v>
      </c>
      <c r="H415" s="5" t="s">
        <v>48</v>
      </c>
      <c r="I415" s="5" t="s">
        <v>32</v>
      </c>
      <c r="J415" s="5">
        <v>16.052966999999999</v>
      </c>
      <c r="K415" s="5">
        <v>-97.411302000000006</v>
      </c>
      <c r="L415" s="5" t="str">
        <f>HYPERLINK("https://maps.google.com/?q=16.052967,-97.411302000000006", "🔗 Ver Mapa")</f>
        <v>🔗 Ver Mapa</v>
      </c>
    </row>
    <row r="416" spans="1:12" ht="29" x14ac:dyDescent="0.35">
      <c r="A416" s="6" t="s">
        <v>2</v>
      </c>
      <c r="B416" s="6" t="s">
        <v>44</v>
      </c>
      <c r="C416" s="6" t="s">
        <v>62</v>
      </c>
      <c r="D416" s="6" t="s">
        <v>13</v>
      </c>
      <c r="E416" s="6" t="s">
        <v>17</v>
      </c>
      <c r="F416" s="6" t="s">
        <v>46</v>
      </c>
      <c r="G416" s="6" t="s">
        <v>47</v>
      </c>
      <c r="H416" s="6" t="s">
        <v>48</v>
      </c>
      <c r="I416" s="6" t="s">
        <v>32</v>
      </c>
      <c r="J416" s="6">
        <v>16.052966999999999</v>
      </c>
      <c r="K416" s="6">
        <v>-97.411302000000006</v>
      </c>
      <c r="L416" s="6" t="str">
        <f>HYPERLINK("https://maps.google.com/?q=16.052967,-97.411302000000006", "🔗 Ver Mapa")</f>
        <v>🔗 Ver Mapa</v>
      </c>
    </row>
    <row r="417" spans="1:12" ht="29" x14ac:dyDescent="0.35">
      <c r="A417" s="5" t="s">
        <v>2</v>
      </c>
      <c r="B417" s="5" t="s">
        <v>44</v>
      </c>
      <c r="C417" s="5" t="s">
        <v>62</v>
      </c>
      <c r="D417" s="5" t="s">
        <v>13</v>
      </c>
      <c r="E417" s="5" t="s">
        <v>17</v>
      </c>
      <c r="F417" s="5" t="s">
        <v>46</v>
      </c>
      <c r="G417" s="5" t="s">
        <v>47</v>
      </c>
      <c r="H417" s="5" t="s">
        <v>48</v>
      </c>
      <c r="I417" s="5" t="s">
        <v>32</v>
      </c>
      <c r="J417" s="5">
        <v>16.052966999999999</v>
      </c>
      <c r="K417" s="5">
        <v>-97.411302000000006</v>
      </c>
      <c r="L417" s="5" t="str">
        <f>HYPERLINK("https://maps.google.com/?q=16.052967,-97.411302000000006", "🔗 Ver Mapa")</f>
        <v>🔗 Ver Mapa</v>
      </c>
    </row>
    <row r="418" spans="1:12" ht="29" x14ac:dyDescent="0.35">
      <c r="A418" s="6" t="s">
        <v>2</v>
      </c>
      <c r="B418" s="6" t="s">
        <v>44</v>
      </c>
      <c r="C418" s="6" t="s">
        <v>62</v>
      </c>
      <c r="D418" s="6" t="s">
        <v>13</v>
      </c>
      <c r="E418" s="6" t="s">
        <v>17</v>
      </c>
      <c r="F418" s="6" t="s">
        <v>46</v>
      </c>
      <c r="G418" s="6" t="s">
        <v>47</v>
      </c>
      <c r="H418" s="6" t="s">
        <v>48</v>
      </c>
      <c r="I418" s="6" t="s">
        <v>32</v>
      </c>
      <c r="J418" s="6">
        <v>16.052966999999999</v>
      </c>
      <c r="K418" s="6">
        <v>-97.411302000000006</v>
      </c>
      <c r="L418" s="6" t="str">
        <f>HYPERLINK("https://maps.google.com/?q=16.052967,-97.411302000000006", "🔗 Ver Mapa")</f>
        <v>🔗 Ver Mapa</v>
      </c>
    </row>
    <row r="419" spans="1:12" ht="29" x14ac:dyDescent="0.35">
      <c r="A419" s="5" t="s">
        <v>2</v>
      </c>
      <c r="B419" s="5" t="s">
        <v>44</v>
      </c>
      <c r="C419" s="5" t="s">
        <v>62</v>
      </c>
      <c r="D419" s="5" t="s">
        <v>13</v>
      </c>
      <c r="E419" s="5" t="s">
        <v>17</v>
      </c>
      <c r="F419" s="5" t="s">
        <v>46</v>
      </c>
      <c r="G419" s="5" t="s">
        <v>47</v>
      </c>
      <c r="H419" s="5" t="s">
        <v>48</v>
      </c>
      <c r="I419" s="5" t="s">
        <v>32</v>
      </c>
      <c r="J419" s="5">
        <v>16.053025000000002</v>
      </c>
      <c r="K419" s="5">
        <v>-97.411844000000002</v>
      </c>
      <c r="L419" s="5" t="str">
        <f>HYPERLINK("https://maps.google.com/?q=16.053025,-97.411844000000002", "🔗 Ver Mapa")</f>
        <v>🔗 Ver Mapa</v>
      </c>
    </row>
    <row r="420" spans="1:12" ht="29" x14ac:dyDescent="0.35">
      <c r="A420" s="6" t="s">
        <v>2</v>
      </c>
      <c r="B420" s="6" t="s">
        <v>44</v>
      </c>
      <c r="C420" s="6" t="s">
        <v>62</v>
      </c>
      <c r="D420" s="6" t="s">
        <v>13</v>
      </c>
      <c r="E420" s="6" t="s">
        <v>17</v>
      </c>
      <c r="F420" s="6" t="s">
        <v>46</v>
      </c>
      <c r="G420" s="6" t="s">
        <v>47</v>
      </c>
      <c r="H420" s="6" t="s">
        <v>48</v>
      </c>
      <c r="I420" s="6" t="s">
        <v>32</v>
      </c>
      <c r="J420" s="6">
        <v>16.053025000000002</v>
      </c>
      <c r="K420" s="6">
        <v>-97.411844000000002</v>
      </c>
      <c r="L420" s="6" t="str">
        <f>HYPERLINK("https://maps.google.com/?q=16.053025,-97.411844000000002", "🔗 Ver Mapa")</f>
        <v>🔗 Ver Mapa</v>
      </c>
    </row>
    <row r="421" spans="1:12" ht="29" x14ac:dyDescent="0.35">
      <c r="A421" s="5" t="s">
        <v>2</v>
      </c>
      <c r="B421" s="5" t="s">
        <v>44</v>
      </c>
      <c r="C421" s="5" t="s">
        <v>62</v>
      </c>
      <c r="D421" s="5" t="s">
        <v>13</v>
      </c>
      <c r="E421" s="5" t="s">
        <v>17</v>
      </c>
      <c r="F421" s="5" t="s">
        <v>46</v>
      </c>
      <c r="G421" s="5" t="s">
        <v>47</v>
      </c>
      <c r="H421" s="5" t="s">
        <v>48</v>
      </c>
      <c r="I421" s="5" t="s">
        <v>32</v>
      </c>
      <c r="J421" s="5">
        <v>16.053025000000002</v>
      </c>
      <c r="K421" s="5">
        <v>-97.411844000000002</v>
      </c>
      <c r="L421" s="5" t="str">
        <f>HYPERLINK("https://maps.google.com/?q=16.053025,-97.411844000000002", "🔗 Ver Mapa")</f>
        <v>🔗 Ver Mapa</v>
      </c>
    </row>
    <row r="422" spans="1:12" ht="29" x14ac:dyDescent="0.35">
      <c r="A422" s="6" t="s">
        <v>2</v>
      </c>
      <c r="B422" s="6" t="s">
        <v>44</v>
      </c>
      <c r="C422" s="6" t="s">
        <v>62</v>
      </c>
      <c r="D422" s="6" t="s">
        <v>13</v>
      </c>
      <c r="E422" s="6" t="s">
        <v>17</v>
      </c>
      <c r="F422" s="6" t="s">
        <v>46</v>
      </c>
      <c r="G422" s="6" t="s">
        <v>47</v>
      </c>
      <c r="H422" s="6" t="s">
        <v>48</v>
      </c>
      <c r="I422" s="6" t="s">
        <v>32</v>
      </c>
      <c r="J422" s="6">
        <v>16.053025000000002</v>
      </c>
      <c r="K422" s="6">
        <v>-97.411844000000002</v>
      </c>
      <c r="L422" s="6" t="str">
        <f>HYPERLINK("https://maps.google.com/?q=16.053025,-97.411844000000002", "🔗 Ver Mapa")</f>
        <v>🔗 Ver Mapa</v>
      </c>
    </row>
    <row r="423" spans="1:12" ht="29" x14ac:dyDescent="0.35">
      <c r="A423" s="5" t="s">
        <v>2</v>
      </c>
      <c r="B423" s="5" t="s">
        <v>44</v>
      </c>
      <c r="C423" s="5" t="s">
        <v>62</v>
      </c>
      <c r="D423" s="5" t="s">
        <v>13</v>
      </c>
      <c r="E423" s="5" t="s">
        <v>17</v>
      </c>
      <c r="F423" s="5" t="s">
        <v>46</v>
      </c>
      <c r="G423" s="5" t="s">
        <v>47</v>
      </c>
      <c r="H423" s="5" t="s">
        <v>48</v>
      </c>
      <c r="I423" s="5" t="s">
        <v>32</v>
      </c>
      <c r="J423" s="5">
        <v>16.053028999999999</v>
      </c>
      <c r="K423" s="5">
        <v>-97.412347999999994</v>
      </c>
      <c r="L423" s="5" t="str">
        <f>HYPERLINK("https://maps.google.com/?q=16.053029,-97.412347999999994", "🔗 Ver Mapa")</f>
        <v>🔗 Ver Mapa</v>
      </c>
    </row>
    <row r="424" spans="1:12" ht="29" x14ac:dyDescent="0.35">
      <c r="A424" s="6" t="s">
        <v>2</v>
      </c>
      <c r="B424" s="6" t="s">
        <v>44</v>
      </c>
      <c r="C424" s="6" t="s">
        <v>62</v>
      </c>
      <c r="D424" s="6" t="s">
        <v>13</v>
      </c>
      <c r="E424" s="6" t="s">
        <v>17</v>
      </c>
      <c r="F424" s="6" t="s">
        <v>46</v>
      </c>
      <c r="G424" s="6" t="s">
        <v>47</v>
      </c>
      <c r="H424" s="6" t="s">
        <v>48</v>
      </c>
      <c r="I424" s="6" t="s">
        <v>32</v>
      </c>
      <c r="J424" s="6">
        <v>16.053028999999999</v>
      </c>
      <c r="K424" s="6">
        <v>-97.412347999999994</v>
      </c>
      <c r="L424" s="6" t="str">
        <f>HYPERLINK("https://maps.google.com/?q=16.053029,-97.412347999999994", "🔗 Ver Mapa")</f>
        <v>🔗 Ver Mapa</v>
      </c>
    </row>
    <row r="425" spans="1:12" ht="29" x14ac:dyDescent="0.35">
      <c r="A425" s="5" t="s">
        <v>2</v>
      </c>
      <c r="B425" s="5" t="s">
        <v>44</v>
      </c>
      <c r="C425" s="5" t="s">
        <v>62</v>
      </c>
      <c r="D425" s="5" t="s">
        <v>13</v>
      </c>
      <c r="E425" s="5" t="s">
        <v>17</v>
      </c>
      <c r="F425" s="5" t="s">
        <v>46</v>
      </c>
      <c r="G425" s="5" t="s">
        <v>47</v>
      </c>
      <c r="H425" s="5" t="s">
        <v>48</v>
      </c>
      <c r="I425" s="5" t="s">
        <v>32</v>
      </c>
      <c r="J425" s="5">
        <v>16.053028999999999</v>
      </c>
      <c r="K425" s="5">
        <v>-97.412347999999994</v>
      </c>
      <c r="L425" s="5" t="str">
        <f>HYPERLINK("https://maps.google.com/?q=16.053029,-97.412347999999994", "🔗 Ver Mapa")</f>
        <v>🔗 Ver Mapa</v>
      </c>
    </row>
    <row r="426" spans="1:12" ht="29" x14ac:dyDescent="0.35">
      <c r="A426" s="6" t="s">
        <v>2</v>
      </c>
      <c r="B426" s="6" t="s">
        <v>44</v>
      </c>
      <c r="C426" s="6" t="s">
        <v>62</v>
      </c>
      <c r="D426" s="6" t="s">
        <v>13</v>
      </c>
      <c r="E426" s="6" t="s">
        <v>17</v>
      </c>
      <c r="F426" s="6" t="s">
        <v>46</v>
      </c>
      <c r="G426" s="6" t="s">
        <v>47</v>
      </c>
      <c r="H426" s="6" t="s">
        <v>48</v>
      </c>
      <c r="I426" s="6" t="s">
        <v>32</v>
      </c>
      <c r="J426" s="6">
        <v>16.053028999999999</v>
      </c>
      <c r="K426" s="6">
        <v>-97.412347999999994</v>
      </c>
      <c r="L426" s="6" t="str">
        <f>HYPERLINK("https://maps.google.com/?q=16.053029,-97.412347999999994", "🔗 Ver Mapa")</f>
        <v>🔗 Ver Mapa</v>
      </c>
    </row>
    <row r="427" spans="1:12" ht="29" x14ac:dyDescent="0.35">
      <c r="A427" s="5" t="s">
        <v>2</v>
      </c>
      <c r="B427" s="5" t="s">
        <v>44</v>
      </c>
      <c r="C427" s="5" t="s">
        <v>62</v>
      </c>
      <c r="D427" s="5" t="s">
        <v>13</v>
      </c>
      <c r="E427" s="5" t="s">
        <v>17</v>
      </c>
      <c r="F427" s="5" t="s">
        <v>46</v>
      </c>
      <c r="G427" s="5" t="s">
        <v>47</v>
      </c>
      <c r="H427" s="5" t="s">
        <v>48</v>
      </c>
      <c r="I427" s="5" t="s">
        <v>32</v>
      </c>
      <c r="J427" s="5">
        <v>16.052932999999999</v>
      </c>
      <c r="K427" s="5">
        <v>-97.412751</v>
      </c>
      <c r="L427" s="5" t="str">
        <f>HYPERLINK("https://maps.google.com/?q=16.052933,-97.412751", "🔗 Ver Mapa")</f>
        <v>🔗 Ver Mapa</v>
      </c>
    </row>
    <row r="428" spans="1:12" ht="29" x14ac:dyDescent="0.35">
      <c r="A428" s="6" t="s">
        <v>2</v>
      </c>
      <c r="B428" s="6" t="s">
        <v>44</v>
      </c>
      <c r="C428" s="6" t="s">
        <v>62</v>
      </c>
      <c r="D428" s="6" t="s">
        <v>13</v>
      </c>
      <c r="E428" s="6" t="s">
        <v>17</v>
      </c>
      <c r="F428" s="6" t="s">
        <v>46</v>
      </c>
      <c r="G428" s="6" t="s">
        <v>47</v>
      </c>
      <c r="H428" s="6" t="s">
        <v>48</v>
      </c>
      <c r="I428" s="6" t="s">
        <v>32</v>
      </c>
      <c r="J428" s="6">
        <v>16.052932999999999</v>
      </c>
      <c r="K428" s="6">
        <v>-97.412751</v>
      </c>
      <c r="L428" s="6" t="str">
        <f>HYPERLINK("https://maps.google.com/?q=16.052933,-97.412751", "🔗 Ver Mapa")</f>
        <v>🔗 Ver Mapa</v>
      </c>
    </row>
    <row r="429" spans="1:12" ht="29" x14ac:dyDescent="0.35">
      <c r="A429" s="5" t="s">
        <v>2</v>
      </c>
      <c r="B429" s="5" t="s">
        <v>44</v>
      </c>
      <c r="C429" s="5" t="s">
        <v>62</v>
      </c>
      <c r="D429" s="5" t="s">
        <v>13</v>
      </c>
      <c r="E429" s="5" t="s">
        <v>17</v>
      </c>
      <c r="F429" s="5" t="s">
        <v>46</v>
      </c>
      <c r="G429" s="5" t="s">
        <v>47</v>
      </c>
      <c r="H429" s="5" t="s">
        <v>48</v>
      </c>
      <c r="I429" s="5" t="s">
        <v>32</v>
      </c>
      <c r="J429" s="5">
        <v>16.052932999999999</v>
      </c>
      <c r="K429" s="5">
        <v>-97.412751</v>
      </c>
      <c r="L429" s="5" t="str">
        <f>HYPERLINK("https://maps.google.com/?q=16.052933,-97.412751", "🔗 Ver Mapa")</f>
        <v>🔗 Ver Mapa</v>
      </c>
    </row>
    <row r="430" spans="1:12" ht="29" x14ac:dyDescent="0.35">
      <c r="A430" s="6" t="s">
        <v>2</v>
      </c>
      <c r="B430" s="6" t="s">
        <v>44</v>
      </c>
      <c r="C430" s="6" t="s">
        <v>62</v>
      </c>
      <c r="D430" s="6" t="s">
        <v>13</v>
      </c>
      <c r="E430" s="6" t="s">
        <v>17</v>
      </c>
      <c r="F430" s="6" t="s">
        <v>46</v>
      </c>
      <c r="G430" s="6" t="s">
        <v>47</v>
      </c>
      <c r="H430" s="6" t="s">
        <v>48</v>
      </c>
      <c r="I430" s="6" t="s">
        <v>32</v>
      </c>
      <c r="J430" s="6">
        <v>16.052932999999999</v>
      </c>
      <c r="K430" s="6">
        <v>-97.412751</v>
      </c>
      <c r="L430" s="6" t="str">
        <f>HYPERLINK("https://maps.google.com/?q=16.052933,-97.412751", "🔗 Ver Mapa")</f>
        <v>🔗 Ver Mapa</v>
      </c>
    </row>
    <row r="431" spans="1:12" ht="29" x14ac:dyDescent="0.35">
      <c r="A431" s="5" t="s">
        <v>2</v>
      </c>
      <c r="B431" s="5" t="s">
        <v>44</v>
      </c>
      <c r="C431" s="5" t="s">
        <v>62</v>
      </c>
      <c r="D431" s="5" t="s">
        <v>13</v>
      </c>
      <c r="E431" s="5" t="s">
        <v>17</v>
      </c>
      <c r="F431" s="5" t="s">
        <v>46</v>
      </c>
      <c r="G431" s="5" t="s">
        <v>47</v>
      </c>
      <c r="H431" s="5" t="s">
        <v>48</v>
      </c>
      <c r="I431" s="5" t="s">
        <v>32</v>
      </c>
      <c r="J431" s="5">
        <v>16.052523999999998</v>
      </c>
      <c r="K431" s="5">
        <v>-97.413661000000005</v>
      </c>
      <c r="L431" s="5" t="str">
        <f>HYPERLINK("https://maps.google.com/?q=16.052524,-97.413661000000005", "🔗 Ver Mapa")</f>
        <v>🔗 Ver Mapa</v>
      </c>
    </row>
    <row r="432" spans="1:12" ht="29" x14ac:dyDescent="0.35">
      <c r="A432" s="6" t="s">
        <v>2</v>
      </c>
      <c r="B432" s="6" t="s">
        <v>44</v>
      </c>
      <c r="C432" s="6" t="s">
        <v>62</v>
      </c>
      <c r="D432" s="6" t="s">
        <v>13</v>
      </c>
      <c r="E432" s="6" t="s">
        <v>17</v>
      </c>
      <c r="F432" s="6" t="s">
        <v>46</v>
      </c>
      <c r="G432" s="6" t="s">
        <v>47</v>
      </c>
      <c r="H432" s="6" t="s">
        <v>48</v>
      </c>
      <c r="I432" s="6" t="s">
        <v>32</v>
      </c>
      <c r="J432" s="6">
        <v>16.052523999999998</v>
      </c>
      <c r="K432" s="6">
        <v>-97.413661000000005</v>
      </c>
      <c r="L432" s="6" t="str">
        <f>HYPERLINK("https://maps.google.com/?q=16.052524,-97.413661000000005", "🔗 Ver Mapa")</f>
        <v>🔗 Ver Mapa</v>
      </c>
    </row>
    <row r="433" spans="1:12" ht="29" x14ac:dyDescent="0.35">
      <c r="A433" s="5" t="s">
        <v>2</v>
      </c>
      <c r="B433" s="5" t="s">
        <v>44</v>
      </c>
      <c r="C433" s="5" t="s">
        <v>62</v>
      </c>
      <c r="D433" s="5" t="s">
        <v>13</v>
      </c>
      <c r="E433" s="5" t="s">
        <v>17</v>
      </c>
      <c r="F433" s="5" t="s">
        <v>46</v>
      </c>
      <c r="G433" s="5" t="s">
        <v>47</v>
      </c>
      <c r="H433" s="5" t="s">
        <v>48</v>
      </c>
      <c r="I433" s="5" t="s">
        <v>32</v>
      </c>
      <c r="J433" s="5">
        <v>16.052523999999998</v>
      </c>
      <c r="K433" s="5">
        <v>-97.413661000000005</v>
      </c>
      <c r="L433" s="5" t="str">
        <f>HYPERLINK("https://maps.google.com/?q=16.052524,-97.413661000000005", "🔗 Ver Mapa")</f>
        <v>🔗 Ver Mapa</v>
      </c>
    </row>
    <row r="434" spans="1:12" ht="29" x14ac:dyDescent="0.35">
      <c r="A434" s="6" t="s">
        <v>2</v>
      </c>
      <c r="B434" s="6" t="s">
        <v>44</v>
      </c>
      <c r="C434" s="6" t="s">
        <v>62</v>
      </c>
      <c r="D434" s="6" t="s">
        <v>13</v>
      </c>
      <c r="E434" s="6" t="s">
        <v>17</v>
      </c>
      <c r="F434" s="6" t="s">
        <v>46</v>
      </c>
      <c r="G434" s="6" t="s">
        <v>47</v>
      </c>
      <c r="H434" s="6" t="s">
        <v>48</v>
      </c>
      <c r="I434" s="6" t="s">
        <v>32</v>
      </c>
      <c r="J434" s="6">
        <v>16.052523999999998</v>
      </c>
      <c r="K434" s="6">
        <v>-97.413661000000005</v>
      </c>
      <c r="L434" s="6" t="str">
        <f>HYPERLINK("https://maps.google.com/?q=16.052524,-97.413661000000005", "🔗 Ver Mapa")</f>
        <v>🔗 Ver Mapa</v>
      </c>
    </row>
    <row r="435" spans="1:12" ht="29" x14ac:dyDescent="0.35">
      <c r="A435" s="5" t="s">
        <v>2</v>
      </c>
      <c r="B435" s="5" t="s">
        <v>44</v>
      </c>
      <c r="C435" s="5" t="s">
        <v>62</v>
      </c>
      <c r="D435" s="5" t="s">
        <v>13</v>
      </c>
      <c r="E435" s="5" t="s">
        <v>17</v>
      </c>
      <c r="F435" s="5" t="s">
        <v>46</v>
      </c>
      <c r="G435" s="5" t="s">
        <v>47</v>
      </c>
      <c r="H435" s="5" t="s">
        <v>48</v>
      </c>
      <c r="I435" s="5" t="s">
        <v>32</v>
      </c>
      <c r="J435" s="5">
        <v>16.053417</v>
      </c>
      <c r="K435" s="5">
        <v>-97.409794000000005</v>
      </c>
      <c r="L435" s="5" t="str">
        <f>HYPERLINK("https://maps.google.com/?q=16.053417,-97.409794000000005", "🔗 Ver Mapa")</f>
        <v>🔗 Ver Mapa</v>
      </c>
    </row>
    <row r="436" spans="1:12" ht="29" x14ac:dyDescent="0.35">
      <c r="A436" s="6" t="s">
        <v>2</v>
      </c>
      <c r="B436" s="6" t="s">
        <v>44</v>
      </c>
      <c r="C436" s="6" t="s">
        <v>62</v>
      </c>
      <c r="D436" s="6" t="s">
        <v>13</v>
      </c>
      <c r="E436" s="6" t="s">
        <v>17</v>
      </c>
      <c r="F436" s="6" t="s">
        <v>46</v>
      </c>
      <c r="G436" s="6" t="s">
        <v>47</v>
      </c>
      <c r="H436" s="6" t="s">
        <v>48</v>
      </c>
      <c r="I436" s="6" t="s">
        <v>32</v>
      </c>
      <c r="J436" s="6">
        <v>16.053417</v>
      </c>
      <c r="K436" s="6">
        <v>-97.409794000000005</v>
      </c>
      <c r="L436" s="6" t="str">
        <f>HYPERLINK("https://maps.google.com/?q=16.053417,-97.409794000000005", "🔗 Ver Mapa")</f>
        <v>🔗 Ver Mapa</v>
      </c>
    </row>
    <row r="437" spans="1:12" ht="29" x14ac:dyDescent="0.35">
      <c r="A437" s="5" t="s">
        <v>2</v>
      </c>
      <c r="B437" s="5" t="s">
        <v>44</v>
      </c>
      <c r="C437" s="5" t="s">
        <v>62</v>
      </c>
      <c r="D437" s="5" t="s">
        <v>13</v>
      </c>
      <c r="E437" s="5" t="s">
        <v>17</v>
      </c>
      <c r="F437" s="5" t="s">
        <v>46</v>
      </c>
      <c r="G437" s="5" t="s">
        <v>47</v>
      </c>
      <c r="H437" s="5" t="s">
        <v>48</v>
      </c>
      <c r="I437" s="5" t="s">
        <v>32</v>
      </c>
      <c r="J437" s="5">
        <v>16.053417</v>
      </c>
      <c r="K437" s="5">
        <v>-97.409794000000005</v>
      </c>
      <c r="L437" s="5" t="str">
        <f>HYPERLINK("https://maps.google.com/?q=16.053417,-97.409794000000005", "🔗 Ver Mapa")</f>
        <v>🔗 Ver Mapa</v>
      </c>
    </row>
    <row r="438" spans="1:12" ht="29" x14ac:dyDescent="0.35">
      <c r="A438" s="6" t="s">
        <v>2</v>
      </c>
      <c r="B438" s="6" t="s">
        <v>44</v>
      </c>
      <c r="C438" s="6" t="s">
        <v>62</v>
      </c>
      <c r="D438" s="6" t="s">
        <v>13</v>
      </c>
      <c r="E438" s="6" t="s">
        <v>17</v>
      </c>
      <c r="F438" s="6" t="s">
        <v>46</v>
      </c>
      <c r="G438" s="6" t="s">
        <v>47</v>
      </c>
      <c r="H438" s="6" t="s">
        <v>48</v>
      </c>
      <c r="I438" s="6" t="s">
        <v>32</v>
      </c>
      <c r="J438" s="6">
        <v>16.053417</v>
      </c>
      <c r="K438" s="6">
        <v>-97.409794000000005</v>
      </c>
      <c r="L438" s="6" t="str">
        <f>HYPERLINK("https://maps.google.com/?q=16.053417,-97.409794000000005", "🔗 Ver Mapa")</f>
        <v>🔗 Ver Mapa</v>
      </c>
    </row>
    <row r="439" spans="1:12" ht="29" x14ac:dyDescent="0.35">
      <c r="A439" s="5" t="s">
        <v>2</v>
      </c>
      <c r="B439" s="5" t="s">
        <v>44</v>
      </c>
      <c r="C439" s="5" t="s">
        <v>62</v>
      </c>
      <c r="D439" s="5" t="s">
        <v>13</v>
      </c>
      <c r="E439" s="5" t="s">
        <v>17</v>
      </c>
      <c r="F439" s="5" t="s">
        <v>46</v>
      </c>
      <c r="G439" s="5" t="s">
        <v>47</v>
      </c>
      <c r="H439" s="5" t="s">
        <v>48</v>
      </c>
      <c r="I439" s="5" t="s">
        <v>32</v>
      </c>
      <c r="J439" s="5">
        <v>16.053419000000002</v>
      </c>
      <c r="K439" s="5">
        <v>-97.410045999999994</v>
      </c>
      <c r="L439" s="5" t="str">
        <f>HYPERLINK("https://maps.google.com/?q=16.053419,-97.410045999999994", "🔗 Ver Mapa")</f>
        <v>🔗 Ver Mapa</v>
      </c>
    </row>
    <row r="440" spans="1:12" ht="29" x14ac:dyDescent="0.35">
      <c r="A440" s="6" t="s">
        <v>2</v>
      </c>
      <c r="B440" s="6" t="s">
        <v>44</v>
      </c>
      <c r="C440" s="6" t="s">
        <v>62</v>
      </c>
      <c r="D440" s="6" t="s">
        <v>13</v>
      </c>
      <c r="E440" s="6" t="s">
        <v>17</v>
      </c>
      <c r="F440" s="6" t="s">
        <v>46</v>
      </c>
      <c r="G440" s="6" t="s">
        <v>47</v>
      </c>
      <c r="H440" s="6" t="s">
        <v>48</v>
      </c>
      <c r="I440" s="6" t="s">
        <v>32</v>
      </c>
      <c r="J440" s="6">
        <v>16.053419000000002</v>
      </c>
      <c r="K440" s="6">
        <v>-97.410045999999994</v>
      </c>
      <c r="L440" s="6" t="str">
        <f>HYPERLINK("https://maps.google.com/?q=16.053419,-97.410045999999994", "🔗 Ver Mapa")</f>
        <v>🔗 Ver Mapa</v>
      </c>
    </row>
    <row r="441" spans="1:12" ht="29" x14ac:dyDescent="0.35">
      <c r="A441" s="5" t="s">
        <v>2</v>
      </c>
      <c r="B441" s="5" t="s">
        <v>44</v>
      </c>
      <c r="C441" s="5" t="s">
        <v>62</v>
      </c>
      <c r="D441" s="5" t="s">
        <v>13</v>
      </c>
      <c r="E441" s="5" t="s">
        <v>17</v>
      </c>
      <c r="F441" s="5" t="s">
        <v>46</v>
      </c>
      <c r="G441" s="5" t="s">
        <v>47</v>
      </c>
      <c r="H441" s="5" t="s">
        <v>48</v>
      </c>
      <c r="I441" s="5" t="s">
        <v>32</v>
      </c>
      <c r="J441" s="5">
        <v>16.053419000000002</v>
      </c>
      <c r="K441" s="5">
        <v>-97.410045999999994</v>
      </c>
      <c r="L441" s="5" t="str">
        <f>HYPERLINK("https://maps.google.com/?q=16.053419,-97.410045999999994", "🔗 Ver Mapa")</f>
        <v>🔗 Ver Mapa</v>
      </c>
    </row>
    <row r="442" spans="1:12" ht="29" x14ac:dyDescent="0.35">
      <c r="A442" s="6" t="s">
        <v>2</v>
      </c>
      <c r="B442" s="6" t="s">
        <v>44</v>
      </c>
      <c r="C442" s="6" t="s">
        <v>62</v>
      </c>
      <c r="D442" s="6" t="s">
        <v>13</v>
      </c>
      <c r="E442" s="6" t="s">
        <v>17</v>
      </c>
      <c r="F442" s="6" t="s">
        <v>46</v>
      </c>
      <c r="G442" s="6" t="s">
        <v>47</v>
      </c>
      <c r="H442" s="6" t="s">
        <v>48</v>
      </c>
      <c r="I442" s="6" t="s">
        <v>32</v>
      </c>
      <c r="J442" s="6">
        <v>16.053419000000002</v>
      </c>
      <c r="K442" s="6">
        <v>-97.410045999999994</v>
      </c>
      <c r="L442" s="6" t="str">
        <f>HYPERLINK("https://maps.google.com/?q=16.053419,-97.410045999999994", "🔗 Ver Mapa")</f>
        <v>🔗 Ver Mapa</v>
      </c>
    </row>
    <row r="443" spans="1:12" ht="29" x14ac:dyDescent="0.35">
      <c r="A443" s="5" t="s">
        <v>2</v>
      </c>
      <c r="B443" s="5" t="s">
        <v>44</v>
      </c>
      <c r="C443" s="5" t="s">
        <v>62</v>
      </c>
      <c r="D443" s="5" t="s">
        <v>13</v>
      </c>
      <c r="E443" s="5" t="s">
        <v>17</v>
      </c>
      <c r="F443" s="5" t="s">
        <v>46</v>
      </c>
      <c r="G443" s="5" t="s">
        <v>47</v>
      </c>
      <c r="H443" s="5" t="s">
        <v>48</v>
      </c>
      <c r="I443" s="5" t="s">
        <v>32</v>
      </c>
      <c r="J443" s="5">
        <v>16.053402999999999</v>
      </c>
      <c r="K443" s="5">
        <v>-97.410289000000006</v>
      </c>
      <c r="L443" s="5" t="str">
        <f>HYPERLINK("https://maps.google.com/?q=16.053403,-97.410289000000006", "🔗 Ver Mapa")</f>
        <v>🔗 Ver Mapa</v>
      </c>
    </row>
    <row r="444" spans="1:12" ht="29" x14ac:dyDescent="0.35">
      <c r="A444" s="6" t="s">
        <v>2</v>
      </c>
      <c r="B444" s="6" t="s">
        <v>44</v>
      </c>
      <c r="C444" s="6" t="s">
        <v>62</v>
      </c>
      <c r="D444" s="6" t="s">
        <v>13</v>
      </c>
      <c r="E444" s="6" t="s">
        <v>17</v>
      </c>
      <c r="F444" s="6" t="s">
        <v>46</v>
      </c>
      <c r="G444" s="6" t="s">
        <v>47</v>
      </c>
      <c r="H444" s="6" t="s">
        <v>48</v>
      </c>
      <c r="I444" s="6" t="s">
        <v>32</v>
      </c>
      <c r="J444" s="6">
        <v>16.053402999999999</v>
      </c>
      <c r="K444" s="6">
        <v>-97.410289000000006</v>
      </c>
      <c r="L444" s="6" t="str">
        <f>HYPERLINK("https://maps.google.com/?q=16.053403,-97.410289000000006", "🔗 Ver Mapa")</f>
        <v>🔗 Ver Mapa</v>
      </c>
    </row>
    <row r="445" spans="1:12" ht="29" x14ac:dyDescent="0.35">
      <c r="A445" s="5" t="s">
        <v>2</v>
      </c>
      <c r="B445" s="5" t="s">
        <v>44</v>
      </c>
      <c r="C445" s="5" t="s">
        <v>62</v>
      </c>
      <c r="D445" s="5" t="s">
        <v>13</v>
      </c>
      <c r="E445" s="5" t="s">
        <v>17</v>
      </c>
      <c r="F445" s="5" t="s">
        <v>46</v>
      </c>
      <c r="G445" s="5" t="s">
        <v>47</v>
      </c>
      <c r="H445" s="5" t="s">
        <v>48</v>
      </c>
      <c r="I445" s="5" t="s">
        <v>32</v>
      </c>
      <c r="J445" s="5">
        <v>16.053402999999999</v>
      </c>
      <c r="K445" s="5">
        <v>-97.410289000000006</v>
      </c>
      <c r="L445" s="5" t="str">
        <f>HYPERLINK("https://maps.google.com/?q=16.053403,-97.410289000000006", "🔗 Ver Mapa")</f>
        <v>🔗 Ver Mapa</v>
      </c>
    </row>
    <row r="446" spans="1:12" ht="29" x14ac:dyDescent="0.35">
      <c r="A446" s="6" t="s">
        <v>2</v>
      </c>
      <c r="B446" s="6" t="s">
        <v>44</v>
      </c>
      <c r="C446" s="6" t="s">
        <v>62</v>
      </c>
      <c r="D446" s="6" t="s">
        <v>13</v>
      </c>
      <c r="E446" s="6" t="s">
        <v>17</v>
      </c>
      <c r="F446" s="6" t="s">
        <v>46</v>
      </c>
      <c r="G446" s="6" t="s">
        <v>47</v>
      </c>
      <c r="H446" s="6" t="s">
        <v>48</v>
      </c>
      <c r="I446" s="6" t="s">
        <v>32</v>
      </c>
      <c r="J446" s="6">
        <v>16.053402999999999</v>
      </c>
      <c r="K446" s="6">
        <v>-97.410289000000006</v>
      </c>
      <c r="L446" s="6" t="str">
        <f>HYPERLINK("https://maps.google.com/?q=16.053403,-97.410289000000006", "🔗 Ver Mapa")</f>
        <v>🔗 Ver Mapa</v>
      </c>
    </row>
    <row r="447" spans="1:12" ht="29" x14ac:dyDescent="0.35">
      <c r="A447" s="5" t="s">
        <v>2</v>
      </c>
      <c r="B447" s="5" t="s">
        <v>44</v>
      </c>
      <c r="C447" s="5" t="s">
        <v>62</v>
      </c>
      <c r="D447" s="5" t="s">
        <v>13</v>
      </c>
      <c r="E447" s="5" t="s">
        <v>17</v>
      </c>
      <c r="F447" s="5" t="s">
        <v>46</v>
      </c>
      <c r="G447" s="5" t="s">
        <v>47</v>
      </c>
      <c r="H447" s="5" t="s">
        <v>48</v>
      </c>
      <c r="I447" s="5" t="s">
        <v>32</v>
      </c>
      <c r="J447" s="5">
        <v>16.053052000000001</v>
      </c>
      <c r="K447" s="5">
        <v>-97.410488000000001</v>
      </c>
      <c r="L447" s="5" t="str">
        <f>HYPERLINK("https://maps.google.com/?q=16.053052,-97.410488000000001", "🔗 Ver Mapa")</f>
        <v>🔗 Ver Mapa</v>
      </c>
    </row>
    <row r="448" spans="1:12" ht="29" x14ac:dyDescent="0.35">
      <c r="A448" s="6" t="s">
        <v>2</v>
      </c>
      <c r="B448" s="6" t="s">
        <v>44</v>
      </c>
      <c r="C448" s="6" t="s">
        <v>62</v>
      </c>
      <c r="D448" s="6" t="s">
        <v>13</v>
      </c>
      <c r="E448" s="6" t="s">
        <v>17</v>
      </c>
      <c r="F448" s="6" t="s">
        <v>46</v>
      </c>
      <c r="G448" s="6" t="s">
        <v>47</v>
      </c>
      <c r="H448" s="6" t="s">
        <v>48</v>
      </c>
      <c r="I448" s="6" t="s">
        <v>32</v>
      </c>
      <c r="J448" s="6">
        <v>16.053052000000001</v>
      </c>
      <c r="K448" s="6">
        <v>-97.410488000000001</v>
      </c>
      <c r="L448" s="6" t="str">
        <f>HYPERLINK("https://maps.google.com/?q=16.053052,-97.410488000000001", "🔗 Ver Mapa")</f>
        <v>🔗 Ver Mapa</v>
      </c>
    </row>
    <row r="449" spans="1:12" ht="29" x14ac:dyDescent="0.35">
      <c r="A449" s="5" t="s">
        <v>2</v>
      </c>
      <c r="B449" s="5" t="s">
        <v>44</v>
      </c>
      <c r="C449" s="5" t="s">
        <v>62</v>
      </c>
      <c r="D449" s="5" t="s">
        <v>13</v>
      </c>
      <c r="E449" s="5" t="s">
        <v>17</v>
      </c>
      <c r="F449" s="5" t="s">
        <v>46</v>
      </c>
      <c r="G449" s="5" t="s">
        <v>47</v>
      </c>
      <c r="H449" s="5" t="s">
        <v>48</v>
      </c>
      <c r="I449" s="5" t="s">
        <v>32</v>
      </c>
      <c r="J449" s="5">
        <v>16.053052000000001</v>
      </c>
      <c r="K449" s="5">
        <v>-97.410488000000001</v>
      </c>
      <c r="L449" s="5" t="str">
        <f>HYPERLINK("https://maps.google.com/?q=16.053052,-97.410488000000001", "🔗 Ver Mapa")</f>
        <v>🔗 Ver Mapa</v>
      </c>
    </row>
    <row r="450" spans="1:12" ht="29" x14ac:dyDescent="0.35">
      <c r="A450" s="6" t="s">
        <v>2</v>
      </c>
      <c r="B450" s="6" t="s">
        <v>44</v>
      </c>
      <c r="C450" s="6" t="s">
        <v>62</v>
      </c>
      <c r="D450" s="6" t="s">
        <v>13</v>
      </c>
      <c r="E450" s="6" t="s">
        <v>17</v>
      </c>
      <c r="F450" s="6" t="s">
        <v>46</v>
      </c>
      <c r="G450" s="6" t="s">
        <v>47</v>
      </c>
      <c r="H450" s="6" t="s">
        <v>48</v>
      </c>
      <c r="I450" s="6" t="s">
        <v>32</v>
      </c>
      <c r="J450" s="6">
        <v>16.053052000000001</v>
      </c>
      <c r="K450" s="6">
        <v>-97.410488000000001</v>
      </c>
      <c r="L450" s="6" t="str">
        <f>HYPERLINK("https://maps.google.com/?q=16.053052,-97.410488000000001", "🔗 Ver Mapa")</f>
        <v>🔗 Ver Mapa</v>
      </c>
    </row>
    <row r="451" spans="1:12" ht="29" x14ac:dyDescent="0.35">
      <c r="A451" s="5" t="s">
        <v>2</v>
      </c>
      <c r="B451" s="5" t="s">
        <v>44</v>
      </c>
      <c r="C451" s="5" t="s">
        <v>62</v>
      </c>
      <c r="D451" s="5" t="s">
        <v>13</v>
      </c>
      <c r="E451" s="5" t="s">
        <v>17</v>
      </c>
      <c r="F451" s="5" t="s">
        <v>46</v>
      </c>
      <c r="G451" s="5" t="s">
        <v>47</v>
      </c>
      <c r="H451" s="5" t="s">
        <v>48</v>
      </c>
      <c r="I451" s="5" t="s">
        <v>32</v>
      </c>
      <c r="J451" s="5">
        <v>16.052970999999999</v>
      </c>
      <c r="K451" s="5">
        <v>-97.410639000000003</v>
      </c>
      <c r="L451" s="5" t="str">
        <f>HYPERLINK("https://maps.google.com/?q=16.052971,-97.410639000000003", "🔗 Ver Mapa")</f>
        <v>🔗 Ver Mapa</v>
      </c>
    </row>
    <row r="452" spans="1:12" ht="29" x14ac:dyDescent="0.35">
      <c r="A452" s="6" t="s">
        <v>2</v>
      </c>
      <c r="B452" s="6" t="s">
        <v>44</v>
      </c>
      <c r="C452" s="6" t="s">
        <v>62</v>
      </c>
      <c r="D452" s="6" t="s">
        <v>13</v>
      </c>
      <c r="E452" s="6" t="s">
        <v>17</v>
      </c>
      <c r="F452" s="6" t="s">
        <v>46</v>
      </c>
      <c r="G452" s="6" t="s">
        <v>47</v>
      </c>
      <c r="H452" s="6" t="s">
        <v>48</v>
      </c>
      <c r="I452" s="6" t="s">
        <v>32</v>
      </c>
      <c r="J452" s="6">
        <v>16.052970999999999</v>
      </c>
      <c r="K452" s="6">
        <v>-97.410639000000003</v>
      </c>
      <c r="L452" s="6" t="str">
        <f>HYPERLINK("https://maps.google.com/?q=16.052971,-97.410639000000003", "🔗 Ver Mapa")</f>
        <v>🔗 Ver Mapa</v>
      </c>
    </row>
    <row r="453" spans="1:12" ht="29" x14ac:dyDescent="0.35">
      <c r="A453" s="5" t="s">
        <v>2</v>
      </c>
      <c r="B453" s="5" t="s">
        <v>44</v>
      </c>
      <c r="C453" s="5" t="s">
        <v>62</v>
      </c>
      <c r="D453" s="5" t="s">
        <v>13</v>
      </c>
      <c r="E453" s="5" t="s">
        <v>17</v>
      </c>
      <c r="F453" s="5" t="s">
        <v>46</v>
      </c>
      <c r="G453" s="5" t="s">
        <v>47</v>
      </c>
      <c r="H453" s="5" t="s">
        <v>48</v>
      </c>
      <c r="I453" s="5" t="s">
        <v>32</v>
      </c>
      <c r="J453" s="5">
        <v>16.052970999999999</v>
      </c>
      <c r="K453" s="5">
        <v>-97.410639000000003</v>
      </c>
      <c r="L453" s="5" t="str">
        <f>HYPERLINK("https://maps.google.com/?q=16.052971,-97.410639000000003", "🔗 Ver Mapa")</f>
        <v>🔗 Ver Mapa</v>
      </c>
    </row>
    <row r="454" spans="1:12" ht="29" x14ac:dyDescent="0.35">
      <c r="A454" s="6" t="s">
        <v>2</v>
      </c>
      <c r="B454" s="6" t="s">
        <v>44</v>
      </c>
      <c r="C454" s="6" t="s">
        <v>62</v>
      </c>
      <c r="D454" s="6" t="s">
        <v>13</v>
      </c>
      <c r="E454" s="6" t="s">
        <v>17</v>
      </c>
      <c r="F454" s="6" t="s">
        <v>46</v>
      </c>
      <c r="G454" s="6" t="s">
        <v>47</v>
      </c>
      <c r="H454" s="6" t="s">
        <v>48</v>
      </c>
      <c r="I454" s="6" t="s">
        <v>32</v>
      </c>
      <c r="J454" s="6">
        <v>16.052970999999999</v>
      </c>
      <c r="K454" s="6">
        <v>-97.410639000000003</v>
      </c>
      <c r="L454" s="6" t="str">
        <f>HYPERLINK("https://maps.google.com/?q=16.052971,-97.410639000000003", "🔗 Ver Mapa")</f>
        <v>🔗 Ver Mapa</v>
      </c>
    </row>
    <row r="455" spans="1:12" ht="29" x14ac:dyDescent="0.35">
      <c r="A455" s="5" t="s">
        <v>2</v>
      </c>
      <c r="B455" s="5" t="s">
        <v>44</v>
      </c>
      <c r="C455" s="5" t="s">
        <v>62</v>
      </c>
      <c r="D455" s="5" t="s">
        <v>13</v>
      </c>
      <c r="E455" s="5" t="s">
        <v>17</v>
      </c>
      <c r="F455" s="5" t="s">
        <v>46</v>
      </c>
      <c r="G455" s="5" t="s">
        <v>47</v>
      </c>
      <c r="H455" s="5" t="s">
        <v>48</v>
      </c>
      <c r="I455" s="5" t="s">
        <v>32</v>
      </c>
      <c r="J455" s="5">
        <v>16.052962999999998</v>
      </c>
      <c r="K455" s="5">
        <v>-97.410798</v>
      </c>
      <c r="L455" s="5" t="str">
        <f>HYPERLINK("https://maps.google.com/?q=16.052963,-97.410798", "🔗 Ver Mapa")</f>
        <v>🔗 Ver Mapa</v>
      </c>
    </row>
    <row r="456" spans="1:12" ht="29" x14ac:dyDescent="0.35">
      <c r="A456" s="6" t="s">
        <v>2</v>
      </c>
      <c r="B456" s="6" t="s">
        <v>44</v>
      </c>
      <c r="C456" s="6" t="s">
        <v>62</v>
      </c>
      <c r="D456" s="6" t="s">
        <v>13</v>
      </c>
      <c r="E456" s="6" t="s">
        <v>17</v>
      </c>
      <c r="F456" s="6" t="s">
        <v>46</v>
      </c>
      <c r="G456" s="6" t="s">
        <v>47</v>
      </c>
      <c r="H456" s="6" t="s">
        <v>48</v>
      </c>
      <c r="I456" s="6" t="s">
        <v>32</v>
      </c>
      <c r="J456" s="6">
        <v>16.052962999999998</v>
      </c>
      <c r="K456" s="6">
        <v>-97.410798</v>
      </c>
      <c r="L456" s="6" t="str">
        <f>HYPERLINK("https://maps.google.com/?q=16.052963,-97.410798", "🔗 Ver Mapa")</f>
        <v>🔗 Ver Mapa</v>
      </c>
    </row>
    <row r="457" spans="1:12" ht="29" x14ac:dyDescent="0.35">
      <c r="A457" s="5" t="s">
        <v>2</v>
      </c>
      <c r="B457" s="5" t="s">
        <v>44</v>
      </c>
      <c r="C457" s="5" t="s">
        <v>62</v>
      </c>
      <c r="D457" s="5" t="s">
        <v>13</v>
      </c>
      <c r="E457" s="5" t="s">
        <v>17</v>
      </c>
      <c r="F457" s="5" t="s">
        <v>46</v>
      </c>
      <c r="G457" s="5" t="s">
        <v>47</v>
      </c>
      <c r="H457" s="5" t="s">
        <v>48</v>
      </c>
      <c r="I457" s="5" t="s">
        <v>32</v>
      </c>
      <c r="J457" s="5">
        <v>16.052962999999998</v>
      </c>
      <c r="K457" s="5">
        <v>-97.410798</v>
      </c>
      <c r="L457" s="5" t="str">
        <f>HYPERLINK("https://maps.google.com/?q=16.052963,-97.410798", "🔗 Ver Mapa")</f>
        <v>🔗 Ver Mapa</v>
      </c>
    </row>
    <row r="458" spans="1:12" ht="29" x14ac:dyDescent="0.35">
      <c r="A458" s="6" t="s">
        <v>2</v>
      </c>
      <c r="B458" s="6" t="s">
        <v>44</v>
      </c>
      <c r="C458" s="6" t="s">
        <v>62</v>
      </c>
      <c r="D458" s="6" t="s">
        <v>13</v>
      </c>
      <c r="E458" s="6" t="s">
        <v>17</v>
      </c>
      <c r="F458" s="6" t="s">
        <v>46</v>
      </c>
      <c r="G458" s="6" t="s">
        <v>47</v>
      </c>
      <c r="H458" s="6" t="s">
        <v>48</v>
      </c>
      <c r="I458" s="6" t="s">
        <v>32</v>
      </c>
      <c r="J458" s="6">
        <v>16.052962999999998</v>
      </c>
      <c r="K458" s="6">
        <v>-97.410798</v>
      </c>
      <c r="L458" s="6" t="str">
        <f>HYPERLINK("https://maps.google.com/?q=16.052963,-97.410798", "🔗 Ver Mapa")</f>
        <v>🔗 Ver Mapa</v>
      </c>
    </row>
    <row r="459" spans="1:12" ht="29" x14ac:dyDescent="0.35">
      <c r="A459" s="5" t="s">
        <v>2</v>
      </c>
      <c r="B459" s="5" t="s">
        <v>44</v>
      </c>
      <c r="C459" s="5" t="s">
        <v>62</v>
      </c>
      <c r="D459" s="5" t="s">
        <v>13</v>
      </c>
      <c r="E459" s="5" t="s">
        <v>17</v>
      </c>
      <c r="F459" s="5" t="s">
        <v>46</v>
      </c>
      <c r="G459" s="5" t="s">
        <v>47</v>
      </c>
      <c r="H459" s="5" t="s">
        <v>48</v>
      </c>
      <c r="I459" s="5" t="s">
        <v>32</v>
      </c>
      <c r="J459" s="5">
        <v>16.054064</v>
      </c>
      <c r="K459" s="5">
        <v>-97.409265000000005</v>
      </c>
      <c r="L459" s="5" t="str">
        <f>HYPERLINK("https://maps.google.com/?q=16.054064,-97.409265000000005", "🔗 Ver Mapa")</f>
        <v>🔗 Ver Mapa</v>
      </c>
    </row>
    <row r="460" spans="1:12" ht="29" x14ac:dyDescent="0.35">
      <c r="A460" s="6" t="s">
        <v>2</v>
      </c>
      <c r="B460" s="6" t="s">
        <v>44</v>
      </c>
      <c r="C460" s="6" t="s">
        <v>62</v>
      </c>
      <c r="D460" s="6" t="s">
        <v>13</v>
      </c>
      <c r="E460" s="6" t="s">
        <v>17</v>
      </c>
      <c r="F460" s="6" t="s">
        <v>46</v>
      </c>
      <c r="G460" s="6" t="s">
        <v>47</v>
      </c>
      <c r="H460" s="6" t="s">
        <v>48</v>
      </c>
      <c r="I460" s="6" t="s">
        <v>32</v>
      </c>
      <c r="J460" s="6">
        <v>16.054064</v>
      </c>
      <c r="K460" s="6">
        <v>-97.409265000000005</v>
      </c>
      <c r="L460" s="6" t="str">
        <f>HYPERLINK("https://maps.google.com/?q=16.054064,-97.409265000000005", "🔗 Ver Mapa")</f>
        <v>🔗 Ver Mapa</v>
      </c>
    </row>
    <row r="461" spans="1:12" ht="29" x14ac:dyDescent="0.35">
      <c r="A461" s="5" t="s">
        <v>2</v>
      </c>
      <c r="B461" s="5" t="s">
        <v>44</v>
      </c>
      <c r="C461" s="5" t="s">
        <v>62</v>
      </c>
      <c r="D461" s="5" t="s">
        <v>13</v>
      </c>
      <c r="E461" s="5" t="s">
        <v>17</v>
      </c>
      <c r="F461" s="5" t="s">
        <v>46</v>
      </c>
      <c r="G461" s="5" t="s">
        <v>47</v>
      </c>
      <c r="H461" s="5" t="s">
        <v>48</v>
      </c>
      <c r="I461" s="5" t="s">
        <v>32</v>
      </c>
      <c r="J461" s="5">
        <v>16.054064</v>
      </c>
      <c r="K461" s="5">
        <v>-97.409265000000005</v>
      </c>
      <c r="L461" s="5" t="str">
        <f>HYPERLINK("https://maps.google.com/?q=16.054064,-97.409265000000005", "🔗 Ver Mapa")</f>
        <v>🔗 Ver Mapa</v>
      </c>
    </row>
    <row r="462" spans="1:12" ht="29" x14ac:dyDescent="0.35">
      <c r="A462" s="6" t="s">
        <v>2</v>
      </c>
      <c r="B462" s="6" t="s">
        <v>44</v>
      </c>
      <c r="C462" s="6" t="s">
        <v>62</v>
      </c>
      <c r="D462" s="6" t="s">
        <v>13</v>
      </c>
      <c r="E462" s="6" t="s">
        <v>17</v>
      </c>
      <c r="F462" s="6" t="s">
        <v>46</v>
      </c>
      <c r="G462" s="6" t="s">
        <v>47</v>
      </c>
      <c r="H462" s="6" t="s">
        <v>48</v>
      </c>
      <c r="I462" s="6" t="s">
        <v>32</v>
      </c>
      <c r="J462" s="6">
        <v>16.054064</v>
      </c>
      <c r="K462" s="6">
        <v>-97.409265000000005</v>
      </c>
      <c r="L462" s="6" t="str">
        <f>HYPERLINK("https://maps.google.com/?q=16.054064,-97.409265000000005", "🔗 Ver Mapa")</f>
        <v>🔗 Ver Mapa</v>
      </c>
    </row>
    <row r="463" spans="1:12" ht="29" x14ac:dyDescent="0.35">
      <c r="A463" s="5" t="s">
        <v>2</v>
      </c>
      <c r="B463" s="5" t="s">
        <v>44</v>
      </c>
      <c r="C463" s="5" t="s">
        <v>62</v>
      </c>
      <c r="D463" s="5" t="s">
        <v>13</v>
      </c>
      <c r="E463" s="5" t="s">
        <v>17</v>
      </c>
      <c r="F463" s="5" t="s">
        <v>46</v>
      </c>
      <c r="G463" s="5" t="s">
        <v>47</v>
      </c>
      <c r="H463" s="5" t="s">
        <v>48</v>
      </c>
      <c r="I463" s="5" t="s">
        <v>32</v>
      </c>
      <c r="J463" s="5">
        <v>16.053892000000001</v>
      </c>
      <c r="K463" s="5">
        <v>-97.409295</v>
      </c>
      <c r="L463" s="5" t="str">
        <f>HYPERLINK("https://maps.google.com/?q=16.053892,-97.409295", "🔗 Ver Mapa")</f>
        <v>🔗 Ver Mapa</v>
      </c>
    </row>
    <row r="464" spans="1:12" ht="29" x14ac:dyDescent="0.35">
      <c r="A464" s="6" t="s">
        <v>2</v>
      </c>
      <c r="B464" s="6" t="s">
        <v>44</v>
      </c>
      <c r="C464" s="6" t="s">
        <v>62</v>
      </c>
      <c r="D464" s="6" t="s">
        <v>13</v>
      </c>
      <c r="E464" s="6" t="s">
        <v>17</v>
      </c>
      <c r="F464" s="6" t="s">
        <v>46</v>
      </c>
      <c r="G464" s="6" t="s">
        <v>47</v>
      </c>
      <c r="H464" s="6" t="s">
        <v>48</v>
      </c>
      <c r="I464" s="6" t="s">
        <v>32</v>
      </c>
      <c r="J464" s="6">
        <v>16.053892000000001</v>
      </c>
      <c r="K464" s="6">
        <v>-97.409295</v>
      </c>
      <c r="L464" s="6" t="str">
        <f>HYPERLINK("https://maps.google.com/?q=16.053892,-97.409295", "🔗 Ver Mapa")</f>
        <v>🔗 Ver Mapa</v>
      </c>
    </row>
    <row r="465" spans="1:12" ht="29" x14ac:dyDescent="0.35">
      <c r="A465" s="5" t="s">
        <v>2</v>
      </c>
      <c r="B465" s="5" t="s">
        <v>44</v>
      </c>
      <c r="C465" s="5" t="s">
        <v>62</v>
      </c>
      <c r="D465" s="5" t="s">
        <v>13</v>
      </c>
      <c r="E465" s="5" t="s">
        <v>17</v>
      </c>
      <c r="F465" s="5" t="s">
        <v>46</v>
      </c>
      <c r="G465" s="5" t="s">
        <v>47</v>
      </c>
      <c r="H465" s="5" t="s">
        <v>48</v>
      </c>
      <c r="I465" s="5" t="s">
        <v>32</v>
      </c>
      <c r="J465" s="5">
        <v>16.053892000000001</v>
      </c>
      <c r="K465" s="5">
        <v>-97.409295</v>
      </c>
      <c r="L465" s="5" t="str">
        <f>HYPERLINK("https://maps.google.com/?q=16.053892,-97.409295", "🔗 Ver Mapa")</f>
        <v>🔗 Ver Mapa</v>
      </c>
    </row>
    <row r="466" spans="1:12" ht="29" x14ac:dyDescent="0.35">
      <c r="A466" s="6" t="s">
        <v>2</v>
      </c>
      <c r="B466" s="6" t="s">
        <v>44</v>
      </c>
      <c r="C466" s="6" t="s">
        <v>62</v>
      </c>
      <c r="D466" s="6" t="s">
        <v>13</v>
      </c>
      <c r="E466" s="6" t="s">
        <v>17</v>
      </c>
      <c r="F466" s="6" t="s">
        <v>46</v>
      </c>
      <c r="G466" s="6" t="s">
        <v>47</v>
      </c>
      <c r="H466" s="6" t="s">
        <v>48</v>
      </c>
      <c r="I466" s="6" t="s">
        <v>32</v>
      </c>
      <c r="J466" s="6">
        <v>16.053892000000001</v>
      </c>
      <c r="K466" s="6">
        <v>-97.409295</v>
      </c>
      <c r="L466" s="6" t="str">
        <f>HYPERLINK("https://maps.google.com/?q=16.053892,-97.409295", "🔗 Ver Mapa")</f>
        <v>🔗 Ver Mapa</v>
      </c>
    </row>
    <row r="467" spans="1:12" ht="29" x14ac:dyDescent="0.35">
      <c r="A467" s="5" t="s">
        <v>2</v>
      </c>
      <c r="B467" s="5" t="s">
        <v>44</v>
      </c>
      <c r="C467" s="5" t="s">
        <v>62</v>
      </c>
      <c r="D467" s="5" t="s">
        <v>13</v>
      </c>
      <c r="E467" s="5" t="s">
        <v>17</v>
      </c>
      <c r="F467" s="5" t="s">
        <v>46</v>
      </c>
      <c r="G467" s="5" t="s">
        <v>47</v>
      </c>
      <c r="H467" s="5" t="s">
        <v>48</v>
      </c>
      <c r="I467" s="5" t="s">
        <v>32</v>
      </c>
      <c r="J467" s="5">
        <v>16.053640000000001</v>
      </c>
      <c r="K467" s="5">
        <v>-97.409344000000004</v>
      </c>
      <c r="L467" s="5" t="str">
        <f>HYPERLINK("https://maps.google.com/?q=16.05364,-97.409344000000004", "🔗 Ver Mapa")</f>
        <v>🔗 Ver Mapa</v>
      </c>
    </row>
    <row r="468" spans="1:12" ht="29" x14ac:dyDescent="0.35">
      <c r="A468" s="6" t="s">
        <v>2</v>
      </c>
      <c r="B468" s="6" t="s">
        <v>44</v>
      </c>
      <c r="C468" s="6" t="s">
        <v>62</v>
      </c>
      <c r="D468" s="6" t="s">
        <v>13</v>
      </c>
      <c r="E468" s="6" t="s">
        <v>17</v>
      </c>
      <c r="F468" s="6" t="s">
        <v>46</v>
      </c>
      <c r="G468" s="6" t="s">
        <v>47</v>
      </c>
      <c r="H468" s="6" t="s">
        <v>48</v>
      </c>
      <c r="I468" s="6" t="s">
        <v>32</v>
      </c>
      <c r="J468" s="6">
        <v>16.053640000000001</v>
      </c>
      <c r="K468" s="6">
        <v>-97.409344000000004</v>
      </c>
      <c r="L468" s="6" t="str">
        <f>HYPERLINK("https://maps.google.com/?q=16.05364,-97.409344000000004", "🔗 Ver Mapa")</f>
        <v>🔗 Ver Mapa</v>
      </c>
    </row>
    <row r="469" spans="1:12" ht="29" x14ac:dyDescent="0.35">
      <c r="A469" s="5" t="s">
        <v>2</v>
      </c>
      <c r="B469" s="5" t="s">
        <v>44</v>
      </c>
      <c r="C469" s="5" t="s">
        <v>62</v>
      </c>
      <c r="D469" s="5" t="s">
        <v>13</v>
      </c>
      <c r="E469" s="5" t="s">
        <v>17</v>
      </c>
      <c r="F469" s="5" t="s">
        <v>46</v>
      </c>
      <c r="G469" s="5" t="s">
        <v>47</v>
      </c>
      <c r="H469" s="5" t="s">
        <v>48</v>
      </c>
      <c r="I469" s="5" t="s">
        <v>32</v>
      </c>
      <c r="J469" s="5">
        <v>16.053640000000001</v>
      </c>
      <c r="K469" s="5">
        <v>-97.409344000000004</v>
      </c>
      <c r="L469" s="5" t="str">
        <f>HYPERLINK("https://maps.google.com/?q=16.05364,-97.409344000000004", "🔗 Ver Mapa")</f>
        <v>🔗 Ver Mapa</v>
      </c>
    </row>
    <row r="470" spans="1:12" ht="29" x14ac:dyDescent="0.35">
      <c r="A470" s="6" t="s">
        <v>2</v>
      </c>
      <c r="B470" s="6" t="s">
        <v>44</v>
      </c>
      <c r="C470" s="6" t="s">
        <v>62</v>
      </c>
      <c r="D470" s="6" t="s">
        <v>13</v>
      </c>
      <c r="E470" s="6" t="s">
        <v>17</v>
      </c>
      <c r="F470" s="6" t="s">
        <v>46</v>
      </c>
      <c r="G470" s="6" t="s">
        <v>47</v>
      </c>
      <c r="H470" s="6" t="s">
        <v>48</v>
      </c>
      <c r="I470" s="6" t="s">
        <v>32</v>
      </c>
      <c r="J470" s="6">
        <v>16.053640000000001</v>
      </c>
      <c r="K470" s="6">
        <v>-97.409344000000004</v>
      </c>
      <c r="L470" s="6" t="str">
        <f>HYPERLINK("https://maps.google.com/?q=16.05364,-97.409344000000004", "🔗 Ver Mapa")</f>
        <v>🔗 Ver Mapa</v>
      </c>
    </row>
    <row r="471" spans="1:12" ht="29" x14ac:dyDescent="0.35">
      <c r="A471" s="5" t="s">
        <v>2</v>
      </c>
      <c r="B471" s="5" t="s">
        <v>44</v>
      </c>
      <c r="C471" s="5" t="s">
        <v>62</v>
      </c>
      <c r="D471" s="5" t="s">
        <v>13</v>
      </c>
      <c r="E471" s="5" t="s">
        <v>17</v>
      </c>
      <c r="F471" s="5" t="s">
        <v>46</v>
      </c>
      <c r="G471" s="5" t="s">
        <v>47</v>
      </c>
      <c r="H471" s="5" t="s">
        <v>48</v>
      </c>
      <c r="I471" s="5" t="s">
        <v>32</v>
      </c>
      <c r="J471" s="5">
        <v>16.053732</v>
      </c>
      <c r="K471" s="5">
        <v>-97.409566999999996</v>
      </c>
      <c r="L471" s="5" t="str">
        <f>HYPERLINK("https://maps.google.com/?q=16.053732,-97.409566999999996", "🔗 Ver Mapa")</f>
        <v>🔗 Ver Mapa</v>
      </c>
    </row>
    <row r="472" spans="1:12" ht="29" x14ac:dyDescent="0.35">
      <c r="A472" s="6" t="s">
        <v>2</v>
      </c>
      <c r="B472" s="6" t="s">
        <v>44</v>
      </c>
      <c r="C472" s="6" t="s">
        <v>62</v>
      </c>
      <c r="D472" s="6" t="s">
        <v>13</v>
      </c>
      <c r="E472" s="6" t="s">
        <v>17</v>
      </c>
      <c r="F472" s="6" t="s">
        <v>46</v>
      </c>
      <c r="G472" s="6" t="s">
        <v>47</v>
      </c>
      <c r="H472" s="6" t="s">
        <v>48</v>
      </c>
      <c r="I472" s="6" t="s">
        <v>32</v>
      </c>
      <c r="J472" s="6">
        <v>16.053732</v>
      </c>
      <c r="K472" s="6">
        <v>-97.409566999999996</v>
      </c>
      <c r="L472" s="6" t="str">
        <f>HYPERLINK("https://maps.google.com/?q=16.053732,-97.409566999999996", "🔗 Ver Mapa")</f>
        <v>🔗 Ver Mapa</v>
      </c>
    </row>
    <row r="473" spans="1:12" ht="29" x14ac:dyDescent="0.35">
      <c r="A473" s="5" t="s">
        <v>2</v>
      </c>
      <c r="B473" s="5" t="s">
        <v>44</v>
      </c>
      <c r="C473" s="5" t="s">
        <v>62</v>
      </c>
      <c r="D473" s="5" t="s">
        <v>13</v>
      </c>
      <c r="E473" s="5" t="s">
        <v>17</v>
      </c>
      <c r="F473" s="5" t="s">
        <v>46</v>
      </c>
      <c r="G473" s="5" t="s">
        <v>47</v>
      </c>
      <c r="H473" s="5" t="s">
        <v>48</v>
      </c>
      <c r="I473" s="5" t="s">
        <v>32</v>
      </c>
      <c r="J473" s="5">
        <v>16.053732</v>
      </c>
      <c r="K473" s="5">
        <v>-97.409566999999996</v>
      </c>
      <c r="L473" s="5" t="str">
        <f>HYPERLINK("https://maps.google.com/?q=16.053732,-97.409566999999996", "🔗 Ver Mapa")</f>
        <v>🔗 Ver Mapa</v>
      </c>
    </row>
    <row r="474" spans="1:12" ht="29" x14ac:dyDescent="0.35">
      <c r="A474" s="6" t="s">
        <v>2</v>
      </c>
      <c r="B474" s="6" t="s">
        <v>44</v>
      </c>
      <c r="C474" s="6" t="s">
        <v>62</v>
      </c>
      <c r="D474" s="6" t="s">
        <v>13</v>
      </c>
      <c r="E474" s="6" t="s">
        <v>17</v>
      </c>
      <c r="F474" s="6" t="s">
        <v>46</v>
      </c>
      <c r="G474" s="6" t="s">
        <v>47</v>
      </c>
      <c r="H474" s="6" t="s">
        <v>48</v>
      </c>
      <c r="I474" s="6" t="s">
        <v>32</v>
      </c>
      <c r="J474" s="6">
        <v>16.053732</v>
      </c>
      <c r="K474" s="6">
        <v>-97.409566999999996</v>
      </c>
      <c r="L474" s="6" t="str">
        <f>HYPERLINK("https://maps.google.com/?q=16.053732,-97.409566999999996", "🔗 Ver Mapa")</f>
        <v>🔗 Ver Mapa</v>
      </c>
    </row>
    <row r="475" spans="1:12" ht="29" x14ac:dyDescent="0.35">
      <c r="A475" s="5" t="s">
        <v>2</v>
      </c>
      <c r="B475" s="5" t="s">
        <v>44</v>
      </c>
      <c r="C475" s="5" t="s">
        <v>62</v>
      </c>
      <c r="D475" s="5" t="s">
        <v>13</v>
      </c>
      <c r="E475" s="5" t="s">
        <v>17</v>
      </c>
      <c r="F475" s="5" t="s">
        <v>46</v>
      </c>
      <c r="G475" s="5" t="s">
        <v>47</v>
      </c>
      <c r="H475" s="5" t="s">
        <v>48</v>
      </c>
      <c r="I475" s="5" t="s">
        <v>32</v>
      </c>
      <c r="J475" s="5">
        <v>16.053678000000001</v>
      </c>
      <c r="K475" s="5">
        <v>-97.409670000000006</v>
      </c>
      <c r="L475" s="5" t="str">
        <f>HYPERLINK("https://maps.google.com/?q=16.053678,-97.409670000000006", "🔗 Ver Mapa")</f>
        <v>🔗 Ver Mapa</v>
      </c>
    </row>
    <row r="476" spans="1:12" ht="29" x14ac:dyDescent="0.35">
      <c r="A476" s="6" t="s">
        <v>2</v>
      </c>
      <c r="B476" s="6" t="s">
        <v>44</v>
      </c>
      <c r="C476" s="6" t="s">
        <v>62</v>
      </c>
      <c r="D476" s="6" t="s">
        <v>13</v>
      </c>
      <c r="E476" s="6" t="s">
        <v>17</v>
      </c>
      <c r="F476" s="6" t="s">
        <v>46</v>
      </c>
      <c r="G476" s="6" t="s">
        <v>47</v>
      </c>
      <c r="H476" s="6" t="s">
        <v>48</v>
      </c>
      <c r="I476" s="6" t="s">
        <v>32</v>
      </c>
      <c r="J476" s="6">
        <v>16.053678000000001</v>
      </c>
      <c r="K476" s="6">
        <v>-97.409670000000006</v>
      </c>
      <c r="L476" s="6" t="str">
        <f>HYPERLINK("https://maps.google.com/?q=16.053678,-97.409670000000006", "🔗 Ver Mapa")</f>
        <v>🔗 Ver Mapa</v>
      </c>
    </row>
    <row r="477" spans="1:12" ht="29" x14ac:dyDescent="0.35">
      <c r="A477" s="5" t="s">
        <v>2</v>
      </c>
      <c r="B477" s="5" t="s">
        <v>44</v>
      </c>
      <c r="C477" s="5" t="s">
        <v>62</v>
      </c>
      <c r="D477" s="5" t="s">
        <v>13</v>
      </c>
      <c r="E477" s="5" t="s">
        <v>17</v>
      </c>
      <c r="F477" s="5" t="s">
        <v>46</v>
      </c>
      <c r="G477" s="5" t="s">
        <v>47</v>
      </c>
      <c r="H477" s="5" t="s">
        <v>48</v>
      </c>
      <c r="I477" s="5" t="s">
        <v>32</v>
      </c>
      <c r="J477" s="5">
        <v>16.053678000000001</v>
      </c>
      <c r="K477" s="5">
        <v>-97.409670000000006</v>
      </c>
      <c r="L477" s="5" t="str">
        <f>HYPERLINK("https://maps.google.com/?q=16.053678,-97.409670000000006", "🔗 Ver Mapa")</f>
        <v>🔗 Ver Mapa</v>
      </c>
    </row>
    <row r="478" spans="1:12" ht="29" x14ac:dyDescent="0.35">
      <c r="A478" s="6" t="s">
        <v>2</v>
      </c>
      <c r="B478" s="6" t="s">
        <v>44</v>
      </c>
      <c r="C478" s="6" t="s">
        <v>62</v>
      </c>
      <c r="D478" s="6" t="s">
        <v>13</v>
      </c>
      <c r="E478" s="6" t="s">
        <v>17</v>
      </c>
      <c r="F478" s="6" t="s">
        <v>46</v>
      </c>
      <c r="G478" s="6" t="s">
        <v>47</v>
      </c>
      <c r="H478" s="6" t="s">
        <v>48</v>
      </c>
      <c r="I478" s="6" t="s">
        <v>32</v>
      </c>
      <c r="J478" s="6">
        <v>16.053678000000001</v>
      </c>
      <c r="K478" s="6">
        <v>-97.409670000000006</v>
      </c>
      <c r="L478" s="6" t="str">
        <f>HYPERLINK("https://maps.google.com/?q=16.053678,-97.409670000000006", "🔗 Ver Mapa")</f>
        <v>🔗 Ver Mapa</v>
      </c>
    </row>
    <row r="479" spans="1:12" ht="29" x14ac:dyDescent="0.35">
      <c r="A479" s="5" t="s">
        <v>2</v>
      </c>
      <c r="B479" s="5" t="s">
        <v>44</v>
      </c>
      <c r="C479" s="5" t="s">
        <v>62</v>
      </c>
      <c r="D479" s="5" t="s">
        <v>13</v>
      </c>
      <c r="E479" s="5" t="s">
        <v>17</v>
      </c>
      <c r="F479" s="5" t="s">
        <v>46</v>
      </c>
      <c r="G479" s="5" t="s">
        <v>47</v>
      </c>
      <c r="H479" s="5" t="s">
        <v>48</v>
      </c>
      <c r="I479" s="5" t="s">
        <v>32</v>
      </c>
      <c r="J479" s="5">
        <v>16.053533999999999</v>
      </c>
      <c r="K479" s="5">
        <v>-97.409709000000007</v>
      </c>
      <c r="L479" s="5" t="str">
        <f>HYPERLINK("https://maps.google.com/?q=16.053534,-97.409709000000007", "🔗 Ver Mapa")</f>
        <v>🔗 Ver Mapa</v>
      </c>
    </row>
    <row r="480" spans="1:12" ht="29" x14ac:dyDescent="0.35">
      <c r="A480" s="6" t="s">
        <v>2</v>
      </c>
      <c r="B480" s="6" t="s">
        <v>44</v>
      </c>
      <c r="C480" s="6" t="s">
        <v>62</v>
      </c>
      <c r="D480" s="6" t="s">
        <v>13</v>
      </c>
      <c r="E480" s="6" t="s">
        <v>17</v>
      </c>
      <c r="F480" s="6" t="s">
        <v>46</v>
      </c>
      <c r="G480" s="6" t="s">
        <v>47</v>
      </c>
      <c r="H480" s="6" t="s">
        <v>48</v>
      </c>
      <c r="I480" s="6" t="s">
        <v>32</v>
      </c>
      <c r="J480" s="6">
        <v>16.053533999999999</v>
      </c>
      <c r="K480" s="6">
        <v>-97.409709000000007</v>
      </c>
      <c r="L480" s="6" t="str">
        <f>HYPERLINK("https://maps.google.com/?q=16.053534,-97.409709000000007", "🔗 Ver Mapa")</f>
        <v>🔗 Ver Mapa</v>
      </c>
    </row>
    <row r="481" spans="1:12" ht="29" x14ac:dyDescent="0.35">
      <c r="A481" s="5" t="s">
        <v>2</v>
      </c>
      <c r="B481" s="5" t="s">
        <v>44</v>
      </c>
      <c r="C481" s="5" t="s">
        <v>62</v>
      </c>
      <c r="D481" s="5" t="s">
        <v>13</v>
      </c>
      <c r="E481" s="5" t="s">
        <v>17</v>
      </c>
      <c r="F481" s="5" t="s">
        <v>46</v>
      </c>
      <c r="G481" s="5" t="s">
        <v>47</v>
      </c>
      <c r="H481" s="5" t="s">
        <v>48</v>
      </c>
      <c r="I481" s="5" t="s">
        <v>32</v>
      </c>
      <c r="J481" s="5">
        <v>16.053533999999999</v>
      </c>
      <c r="K481" s="5">
        <v>-97.409709000000007</v>
      </c>
      <c r="L481" s="5" t="str">
        <f>HYPERLINK("https://maps.google.com/?q=16.053534,-97.409709000000007", "🔗 Ver Mapa")</f>
        <v>🔗 Ver Mapa</v>
      </c>
    </row>
    <row r="482" spans="1:12" ht="29" x14ac:dyDescent="0.35">
      <c r="A482" s="6" t="s">
        <v>2</v>
      </c>
      <c r="B482" s="6" t="s">
        <v>44</v>
      </c>
      <c r="C482" s="6" t="s">
        <v>62</v>
      </c>
      <c r="D482" s="6" t="s">
        <v>13</v>
      </c>
      <c r="E482" s="6" t="s">
        <v>17</v>
      </c>
      <c r="F482" s="6" t="s">
        <v>46</v>
      </c>
      <c r="G482" s="6" t="s">
        <v>47</v>
      </c>
      <c r="H482" s="6" t="s">
        <v>48</v>
      </c>
      <c r="I482" s="6" t="s">
        <v>32</v>
      </c>
      <c r="J482" s="6">
        <v>16.053533999999999</v>
      </c>
      <c r="K482" s="6">
        <v>-97.409709000000007</v>
      </c>
      <c r="L482" s="6" t="str">
        <f>HYPERLINK("https://maps.google.com/?q=16.053534,-97.409709000000007", "🔗 Ver Mapa")</f>
        <v>🔗 Ver Mapa</v>
      </c>
    </row>
    <row r="483" spans="1:12" ht="29" x14ac:dyDescent="0.35">
      <c r="A483" s="5" t="s">
        <v>2</v>
      </c>
      <c r="B483" s="5" t="s">
        <v>44</v>
      </c>
      <c r="C483" s="5" t="s">
        <v>62</v>
      </c>
      <c r="D483" s="5" t="s">
        <v>13</v>
      </c>
      <c r="E483" s="5" t="s">
        <v>17</v>
      </c>
      <c r="F483" s="5" t="s">
        <v>46</v>
      </c>
      <c r="G483" s="5" t="s">
        <v>47</v>
      </c>
      <c r="H483" s="5" t="s">
        <v>48</v>
      </c>
      <c r="I483" s="5" t="s">
        <v>32</v>
      </c>
      <c r="J483" s="5">
        <v>16.055126999999999</v>
      </c>
      <c r="K483" s="5">
        <v>-97.407696000000001</v>
      </c>
      <c r="L483" s="5" t="str">
        <f>HYPERLINK("https://maps.google.com/?q=16.055127,-97.407696000000001", "🔗 Ver Mapa")</f>
        <v>🔗 Ver Mapa</v>
      </c>
    </row>
    <row r="484" spans="1:12" ht="29" x14ac:dyDescent="0.35">
      <c r="A484" s="6" t="s">
        <v>2</v>
      </c>
      <c r="B484" s="6" t="s">
        <v>44</v>
      </c>
      <c r="C484" s="6" t="s">
        <v>62</v>
      </c>
      <c r="D484" s="6" t="s">
        <v>13</v>
      </c>
      <c r="E484" s="6" t="s">
        <v>17</v>
      </c>
      <c r="F484" s="6" t="s">
        <v>46</v>
      </c>
      <c r="G484" s="6" t="s">
        <v>47</v>
      </c>
      <c r="H484" s="6" t="s">
        <v>48</v>
      </c>
      <c r="I484" s="6" t="s">
        <v>32</v>
      </c>
      <c r="J484" s="6">
        <v>16.055126999999999</v>
      </c>
      <c r="K484" s="6">
        <v>-97.407696000000001</v>
      </c>
      <c r="L484" s="6" t="str">
        <f>HYPERLINK("https://maps.google.com/?q=16.055127,-97.407696000000001", "🔗 Ver Mapa")</f>
        <v>🔗 Ver Mapa</v>
      </c>
    </row>
    <row r="485" spans="1:12" ht="29" x14ac:dyDescent="0.35">
      <c r="A485" s="5" t="s">
        <v>2</v>
      </c>
      <c r="B485" s="5" t="s">
        <v>44</v>
      </c>
      <c r="C485" s="5" t="s">
        <v>62</v>
      </c>
      <c r="D485" s="5" t="s">
        <v>13</v>
      </c>
      <c r="E485" s="5" t="s">
        <v>17</v>
      </c>
      <c r="F485" s="5" t="s">
        <v>46</v>
      </c>
      <c r="G485" s="5" t="s">
        <v>47</v>
      </c>
      <c r="H485" s="5" t="s">
        <v>48</v>
      </c>
      <c r="I485" s="5" t="s">
        <v>32</v>
      </c>
      <c r="J485" s="5">
        <v>16.055126999999999</v>
      </c>
      <c r="K485" s="5">
        <v>-97.407696000000001</v>
      </c>
      <c r="L485" s="5" t="str">
        <f>HYPERLINK("https://maps.google.com/?q=16.055127,-97.407696000000001", "🔗 Ver Mapa")</f>
        <v>🔗 Ver Mapa</v>
      </c>
    </row>
    <row r="486" spans="1:12" ht="29" x14ac:dyDescent="0.35">
      <c r="A486" s="6" t="s">
        <v>2</v>
      </c>
      <c r="B486" s="6" t="s">
        <v>44</v>
      </c>
      <c r="C486" s="6" t="s">
        <v>62</v>
      </c>
      <c r="D486" s="6" t="s">
        <v>13</v>
      </c>
      <c r="E486" s="6" t="s">
        <v>17</v>
      </c>
      <c r="F486" s="6" t="s">
        <v>46</v>
      </c>
      <c r="G486" s="6" t="s">
        <v>47</v>
      </c>
      <c r="H486" s="6" t="s">
        <v>48</v>
      </c>
      <c r="I486" s="6" t="s">
        <v>32</v>
      </c>
      <c r="J486" s="6">
        <v>16.055126999999999</v>
      </c>
      <c r="K486" s="6">
        <v>-97.407696000000001</v>
      </c>
      <c r="L486" s="6" t="str">
        <f>HYPERLINK("https://maps.google.com/?q=16.055127,-97.407696000000001", "🔗 Ver Mapa")</f>
        <v>🔗 Ver Mapa</v>
      </c>
    </row>
    <row r="487" spans="1:12" ht="29" x14ac:dyDescent="0.35">
      <c r="A487" s="5" t="s">
        <v>2</v>
      </c>
      <c r="B487" s="5" t="s">
        <v>44</v>
      </c>
      <c r="C487" s="5" t="s">
        <v>62</v>
      </c>
      <c r="D487" s="5" t="s">
        <v>13</v>
      </c>
      <c r="E487" s="5" t="s">
        <v>17</v>
      </c>
      <c r="F487" s="5" t="s">
        <v>46</v>
      </c>
      <c r="G487" s="5" t="s">
        <v>47</v>
      </c>
      <c r="H487" s="5" t="s">
        <v>48</v>
      </c>
      <c r="I487" s="5" t="s">
        <v>32</v>
      </c>
      <c r="J487" s="5">
        <v>16.055149</v>
      </c>
      <c r="K487" s="5">
        <v>-97.408117000000004</v>
      </c>
      <c r="L487" s="5" t="str">
        <f>HYPERLINK("https://maps.google.com/?q=16.055149,-97.408117000000004", "🔗 Ver Mapa")</f>
        <v>🔗 Ver Mapa</v>
      </c>
    </row>
    <row r="488" spans="1:12" ht="29" x14ac:dyDescent="0.35">
      <c r="A488" s="6" t="s">
        <v>2</v>
      </c>
      <c r="B488" s="6" t="s">
        <v>44</v>
      </c>
      <c r="C488" s="6" t="s">
        <v>62</v>
      </c>
      <c r="D488" s="6" t="s">
        <v>13</v>
      </c>
      <c r="E488" s="6" t="s">
        <v>17</v>
      </c>
      <c r="F488" s="6" t="s">
        <v>46</v>
      </c>
      <c r="G488" s="6" t="s">
        <v>47</v>
      </c>
      <c r="H488" s="6" t="s">
        <v>48</v>
      </c>
      <c r="I488" s="6" t="s">
        <v>32</v>
      </c>
      <c r="J488" s="6">
        <v>16.055149</v>
      </c>
      <c r="K488" s="6">
        <v>-97.408117000000004</v>
      </c>
      <c r="L488" s="6" t="str">
        <f>HYPERLINK("https://maps.google.com/?q=16.055149,-97.408117000000004", "🔗 Ver Mapa")</f>
        <v>🔗 Ver Mapa</v>
      </c>
    </row>
    <row r="489" spans="1:12" ht="29" x14ac:dyDescent="0.35">
      <c r="A489" s="5" t="s">
        <v>2</v>
      </c>
      <c r="B489" s="5" t="s">
        <v>44</v>
      </c>
      <c r="C489" s="5" t="s">
        <v>62</v>
      </c>
      <c r="D489" s="5" t="s">
        <v>13</v>
      </c>
      <c r="E489" s="5" t="s">
        <v>17</v>
      </c>
      <c r="F489" s="5" t="s">
        <v>46</v>
      </c>
      <c r="G489" s="5" t="s">
        <v>47</v>
      </c>
      <c r="H489" s="5" t="s">
        <v>48</v>
      </c>
      <c r="I489" s="5" t="s">
        <v>32</v>
      </c>
      <c r="J489" s="5">
        <v>16.055149</v>
      </c>
      <c r="K489" s="5">
        <v>-97.408117000000004</v>
      </c>
      <c r="L489" s="5" t="str">
        <f>HYPERLINK("https://maps.google.com/?q=16.055149,-97.408117000000004", "🔗 Ver Mapa")</f>
        <v>🔗 Ver Mapa</v>
      </c>
    </row>
    <row r="490" spans="1:12" ht="29" x14ac:dyDescent="0.35">
      <c r="A490" s="6" t="s">
        <v>2</v>
      </c>
      <c r="B490" s="6" t="s">
        <v>44</v>
      </c>
      <c r="C490" s="6" t="s">
        <v>62</v>
      </c>
      <c r="D490" s="6" t="s">
        <v>13</v>
      </c>
      <c r="E490" s="6" t="s">
        <v>17</v>
      </c>
      <c r="F490" s="6" t="s">
        <v>46</v>
      </c>
      <c r="G490" s="6" t="s">
        <v>47</v>
      </c>
      <c r="H490" s="6" t="s">
        <v>48</v>
      </c>
      <c r="I490" s="6" t="s">
        <v>32</v>
      </c>
      <c r="J490" s="6">
        <v>16.055149</v>
      </c>
      <c r="K490" s="6">
        <v>-97.408117000000004</v>
      </c>
      <c r="L490" s="6" t="str">
        <f>HYPERLINK("https://maps.google.com/?q=16.055149,-97.408117000000004", "🔗 Ver Mapa")</f>
        <v>🔗 Ver Mapa</v>
      </c>
    </row>
    <row r="491" spans="1:12" ht="29" x14ac:dyDescent="0.35">
      <c r="A491" s="5" t="s">
        <v>2</v>
      </c>
      <c r="B491" s="5" t="s">
        <v>44</v>
      </c>
      <c r="C491" s="5" t="s">
        <v>62</v>
      </c>
      <c r="D491" s="5" t="s">
        <v>13</v>
      </c>
      <c r="E491" s="5" t="s">
        <v>17</v>
      </c>
      <c r="F491" s="5" t="s">
        <v>46</v>
      </c>
      <c r="G491" s="5" t="s">
        <v>47</v>
      </c>
      <c r="H491" s="5" t="s">
        <v>48</v>
      </c>
      <c r="I491" s="5" t="s">
        <v>32</v>
      </c>
      <c r="J491" s="5">
        <v>16.055024</v>
      </c>
      <c r="K491" s="5">
        <v>-97.408378999999996</v>
      </c>
      <c r="L491" s="5" t="str">
        <f>HYPERLINK("https://maps.google.com/?q=16.055024,-97.408378999999996", "🔗 Ver Mapa")</f>
        <v>🔗 Ver Mapa</v>
      </c>
    </row>
    <row r="492" spans="1:12" ht="29" x14ac:dyDescent="0.35">
      <c r="A492" s="6" t="s">
        <v>2</v>
      </c>
      <c r="B492" s="6" t="s">
        <v>44</v>
      </c>
      <c r="C492" s="6" t="s">
        <v>62</v>
      </c>
      <c r="D492" s="6" t="s">
        <v>13</v>
      </c>
      <c r="E492" s="6" t="s">
        <v>17</v>
      </c>
      <c r="F492" s="6" t="s">
        <v>46</v>
      </c>
      <c r="G492" s="6" t="s">
        <v>47</v>
      </c>
      <c r="H492" s="6" t="s">
        <v>48</v>
      </c>
      <c r="I492" s="6" t="s">
        <v>32</v>
      </c>
      <c r="J492" s="6">
        <v>16.055024</v>
      </c>
      <c r="K492" s="6">
        <v>-97.408378999999996</v>
      </c>
      <c r="L492" s="6" t="str">
        <f>HYPERLINK("https://maps.google.com/?q=16.055024,-97.408378999999996", "🔗 Ver Mapa")</f>
        <v>🔗 Ver Mapa</v>
      </c>
    </row>
    <row r="493" spans="1:12" ht="29" x14ac:dyDescent="0.35">
      <c r="A493" s="5" t="s">
        <v>2</v>
      </c>
      <c r="B493" s="5" t="s">
        <v>44</v>
      </c>
      <c r="C493" s="5" t="s">
        <v>62</v>
      </c>
      <c r="D493" s="5" t="s">
        <v>13</v>
      </c>
      <c r="E493" s="5" t="s">
        <v>17</v>
      </c>
      <c r="F493" s="5" t="s">
        <v>46</v>
      </c>
      <c r="G493" s="5" t="s">
        <v>47</v>
      </c>
      <c r="H493" s="5" t="s">
        <v>48</v>
      </c>
      <c r="I493" s="5" t="s">
        <v>32</v>
      </c>
      <c r="J493" s="5">
        <v>16.055024</v>
      </c>
      <c r="K493" s="5">
        <v>-97.408378999999996</v>
      </c>
      <c r="L493" s="5" t="str">
        <f>HYPERLINK("https://maps.google.com/?q=16.055024,-97.408378999999996", "🔗 Ver Mapa")</f>
        <v>🔗 Ver Mapa</v>
      </c>
    </row>
    <row r="494" spans="1:12" ht="29" x14ac:dyDescent="0.35">
      <c r="A494" s="6" t="s">
        <v>2</v>
      </c>
      <c r="B494" s="6" t="s">
        <v>44</v>
      </c>
      <c r="C494" s="6" t="s">
        <v>62</v>
      </c>
      <c r="D494" s="6" t="s">
        <v>13</v>
      </c>
      <c r="E494" s="6" t="s">
        <v>17</v>
      </c>
      <c r="F494" s="6" t="s">
        <v>46</v>
      </c>
      <c r="G494" s="6" t="s">
        <v>47</v>
      </c>
      <c r="H494" s="6" t="s">
        <v>48</v>
      </c>
      <c r="I494" s="6" t="s">
        <v>32</v>
      </c>
      <c r="J494" s="6">
        <v>16.055024</v>
      </c>
      <c r="K494" s="6">
        <v>-97.408378999999996</v>
      </c>
      <c r="L494" s="6" t="str">
        <f>HYPERLINK("https://maps.google.com/?q=16.055024,-97.408378999999996", "🔗 Ver Mapa")</f>
        <v>🔗 Ver Mapa</v>
      </c>
    </row>
    <row r="495" spans="1:12" ht="29" x14ac:dyDescent="0.35">
      <c r="A495" s="5" t="s">
        <v>2</v>
      </c>
      <c r="B495" s="5" t="s">
        <v>44</v>
      </c>
      <c r="C495" s="5" t="s">
        <v>62</v>
      </c>
      <c r="D495" s="5" t="s">
        <v>13</v>
      </c>
      <c r="E495" s="5" t="s">
        <v>17</v>
      </c>
      <c r="F495" s="5" t="s">
        <v>46</v>
      </c>
      <c r="G495" s="5" t="s">
        <v>47</v>
      </c>
      <c r="H495" s="5" t="s">
        <v>48</v>
      </c>
      <c r="I495" s="5" t="s">
        <v>32</v>
      </c>
      <c r="J495" s="5">
        <v>16.054818000000001</v>
      </c>
      <c r="K495" s="5">
        <v>-97.408604999999994</v>
      </c>
      <c r="L495" s="5" t="str">
        <f>HYPERLINK("https://maps.google.com/?q=16.054818,-97.408604999999994", "🔗 Ver Mapa")</f>
        <v>🔗 Ver Mapa</v>
      </c>
    </row>
    <row r="496" spans="1:12" ht="29" x14ac:dyDescent="0.35">
      <c r="A496" s="6" t="s">
        <v>2</v>
      </c>
      <c r="B496" s="6" t="s">
        <v>44</v>
      </c>
      <c r="C496" s="6" t="s">
        <v>62</v>
      </c>
      <c r="D496" s="6" t="s">
        <v>13</v>
      </c>
      <c r="E496" s="6" t="s">
        <v>17</v>
      </c>
      <c r="F496" s="6" t="s">
        <v>46</v>
      </c>
      <c r="G496" s="6" t="s">
        <v>47</v>
      </c>
      <c r="H496" s="6" t="s">
        <v>48</v>
      </c>
      <c r="I496" s="6" t="s">
        <v>32</v>
      </c>
      <c r="J496" s="6">
        <v>16.054818000000001</v>
      </c>
      <c r="K496" s="6">
        <v>-97.408604999999994</v>
      </c>
      <c r="L496" s="6" t="str">
        <f>HYPERLINK("https://maps.google.com/?q=16.054818,-97.408604999999994", "🔗 Ver Mapa")</f>
        <v>🔗 Ver Mapa</v>
      </c>
    </row>
    <row r="497" spans="1:12" ht="29" x14ac:dyDescent="0.35">
      <c r="A497" s="5" t="s">
        <v>2</v>
      </c>
      <c r="B497" s="5" t="s">
        <v>44</v>
      </c>
      <c r="C497" s="5" t="s">
        <v>62</v>
      </c>
      <c r="D497" s="5" t="s">
        <v>13</v>
      </c>
      <c r="E497" s="5" t="s">
        <v>17</v>
      </c>
      <c r="F497" s="5" t="s">
        <v>46</v>
      </c>
      <c r="G497" s="5" t="s">
        <v>47</v>
      </c>
      <c r="H497" s="5" t="s">
        <v>48</v>
      </c>
      <c r="I497" s="5" t="s">
        <v>32</v>
      </c>
      <c r="J497" s="5">
        <v>16.054818000000001</v>
      </c>
      <c r="K497" s="5">
        <v>-97.408604999999994</v>
      </c>
      <c r="L497" s="5" t="str">
        <f>HYPERLINK("https://maps.google.com/?q=16.054818,-97.408604999999994", "🔗 Ver Mapa")</f>
        <v>🔗 Ver Mapa</v>
      </c>
    </row>
    <row r="498" spans="1:12" ht="29" x14ac:dyDescent="0.35">
      <c r="A498" s="6" t="s">
        <v>2</v>
      </c>
      <c r="B498" s="6" t="s">
        <v>44</v>
      </c>
      <c r="C498" s="6" t="s">
        <v>62</v>
      </c>
      <c r="D498" s="6" t="s">
        <v>13</v>
      </c>
      <c r="E498" s="6" t="s">
        <v>17</v>
      </c>
      <c r="F498" s="6" t="s">
        <v>46</v>
      </c>
      <c r="G498" s="6" t="s">
        <v>47</v>
      </c>
      <c r="H498" s="6" t="s">
        <v>48</v>
      </c>
      <c r="I498" s="6" t="s">
        <v>32</v>
      </c>
      <c r="J498" s="6">
        <v>16.054818000000001</v>
      </c>
      <c r="K498" s="6">
        <v>-97.408604999999994</v>
      </c>
      <c r="L498" s="6" t="str">
        <f>HYPERLINK("https://maps.google.com/?q=16.054818,-97.408604999999994", "🔗 Ver Mapa")</f>
        <v>🔗 Ver Mapa</v>
      </c>
    </row>
    <row r="499" spans="1:12" ht="29" x14ac:dyDescent="0.35">
      <c r="A499" s="5" t="s">
        <v>2</v>
      </c>
      <c r="B499" s="5" t="s">
        <v>44</v>
      </c>
      <c r="C499" s="5" t="s">
        <v>62</v>
      </c>
      <c r="D499" s="5" t="s">
        <v>13</v>
      </c>
      <c r="E499" s="5" t="s">
        <v>17</v>
      </c>
      <c r="F499" s="5" t="s">
        <v>46</v>
      </c>
      <c r="G499" s="5" t="s">
        <v>47</v>
      </c>
      <c r="H499" s="5" t="s">
        <v>48</v>
      </c>
      <c r="I499" s="5" t="s">
        <v>32</v>
      </c>
      <c r="J499" s="5">
        <v>16.054576000000001</v>
      </c>
      <c r="K499" s="5">
        <v>-97.408924999999996</v>
      </c>
      <c r="L499" s="5" t="str">
        <f>HYPERLINK("https://maps.google.com/?q=16.054576,-97.408924999999996", "🔗 Ver Mapa")</f>
        <v>🔗 Ver Mapa</v>
      </c>
    </row>
    <row r="500" spans="1:12" ht="29" x14ac:dyDescent="0.35">
      <c r="A500" s="6" t="s">
        <v>2</v>
      </c>
      <c r="B500" s="6" t="s">
        <v>44</v>
      </c>
      <c r="C500" s="6" t="s">
        <v>62</v>
      </c>
      <c r="D500" s="6" t="s">
        <v>13</v>
      </c>
      <c r="E500" s="6" t="s">
        <v>17</v>
      </c>
      <c r="F500" s="6" t="s">
        <v>46</v>
      </c>
      <c r="G500" s="6" t="s">
        <v>47</v>
      </c>
      <c r="H500" s="6" t="s">
        <v>48</v>
      </c>
      <c r="I500" s="6" t="s">
        <v>32</v>
      </c>
      <c r="J500" s="6">
        <v>16.054576000000001</v>
      </c>
      <c r="K500" s="6">
        <v>-97.408924999999996</v>
      </c>
      <c r="L500" s="6" t="str">
        <f>HYPERLINK("https://maps.google.com/?q=16.054576,-97.408924999999996", "🔗 Ver Mapa")</f>
        <v>🔗 Ver Mapa</v>
      </c>
    </row>
    <row r="501" spans="1:12" ht="29" x14ac:dyDescent="0.35">
      <c r="A501" s="5" t="s">
        <v>2</v>
      </c>
      <c r="B501" s="5" t="s">
        <v>44</v>
      </c>
      <c r="C501" s="5" t="s">
        <v>62</v>
      </c>
      <c r="D501" s="5" t="s">
        <v>13</v>
      </c>
      <c r="E501" s="5" t="s">
        <v>17</v>
      </c>
      <c r="F501" s="5" t="s">
        <v>46</v>
      </c>
      <c r="G501" s="5" t="s">
        <v>47</v>
      </c>
      <c r="H501" s="5" t="s">
        <v>48</v>
      </c>
      <c r="I501" s="5" t="s">
        <v>32</v>
      </c>
      <c r="J501" s="5">
        <v>16.054576000000001</v>
      </c>
      <c r="K501" s="5">
        <v>-97.408924999999996</v>
      </c>
      <c r="L501" s="5" t="str">
        <f>HYPERLINK("https://maps.google.com/?q=16.054576,-97.408924999999996", "🔗 Ver Mapa")</f>
        <v>🔗 Ver Mapa</v>
      </c>
    </row>
    <row r="502" spans="1:12" ht="29" x14ac:dyDescent="0.35">
      <c r="A502" s="6" t="s">
        <v>2</v>
      </c>
      <c r="B502" s="6" t="s">
        <v>44</v>
      </c>
      <c r="C502" s="6" t="s">
        <v>62</v>
      </c>
      <c r="D502" s="6" t="s">
        <v>13</v>
      </c>
      <c r="E502" s="6" t="s">
        <v>17</v>
      </c>
      <c r="F502" s="6" t="s">
        <v>46</v>
      </c>
      <c r="G502" s="6" t="s">
        <v>47</v>
      </c>
      <c r="H502" s="6" t="s">
        <v>48</v>
      </c>
      <c r="I502" s="6" t="s">
        <v>32</v>
      </c>
      <c r="J502" s="6">
        <v>16.054576000000001</v>
      </c>
      <c r="K502" s="6">
        <v>-97.408924999999996</v>
      </c>
      <c r="L502" s="6" t="str">
        <f>HYPERLINK("https://maps.google.com/?q=16.054576,-97.408924999999996", "🔗 Ver Mapa")</f>
        <v>🔗 Ver Mapa</v>
      </c>
    </row>
    <row r="503" spans="1:12" ht="29" x14ac:dyDescent="0.35">
      <c r="A503" s="5" t="s">
        <v>2</v>
      </c>
      <c r="B503" s="5" t="s">
        <v>44</v>
      </c>
      <c r="C503" s="5" t="s">
        <v>62</v>
      </c>
      <c r="D503" s="5" t="s">
        <v>13</v>
      </c>
      <c r="E503" s="5" t="s">
        <v>17</v>
      </c>
      <c r="F503" s="5" t="s">
        <v>46</v>
      </c>
      <c r="G503" s="5" t="s">
        <v>47</v>
      </c>
      <c r="H503" s="5" t="s">
        <v>48</v>
      </c>
      <c r="I503" s="5" t="s">
        <v>32</v>
      </c>
      <c r="J503" s="5">
        <v>16.054297999999999</v>
      </c>
      <c r="K503" s="5">
        <v>-97.409160999999997</v>
      </c>
      <c r="L503" s="5" t="str">
        <f>HYPERLINK("https://maps.google.com/?q=16.054298,-97.409160999999997", "🔗 Ver Mapa")</f>
        <v>🔗 Ver Mapa</v>
      </c>
    </row>
    <row r="504" spans="1:12" ht="29" x14ac:dyDescent="0.35">
      <c r="A504" s="6" t="s">
        <v>2</v>
      </c>
      <c r="B504" s="6" t="s">
        <v>44</v>
      </c>
      <c r="C504" s="6" t="s">
        <v>62</v>
      </c>
      <c r="D504" s="6" t="s">
        <v>13</v>
      </c>
      <c r="E504" s="6" t="s">
        <v>17</v>
      </c>
      <c r="F504" s="6" t="s">
        <v>46</v>
      </c>
      <c r="G504" s="6" t="s">
        <v>47</v>
      </c>
      <c r="H504" s="6" t="s">
        <v>48</v>
      </c>
      <c r="I504" s="6" t="s">
        <v>32</v>
      </c>
      <c r="J504" s="6">
        <v>16.054297999999999</v>
      </c>
      <c r="K504" s="6">
        <v>-97.409160999999997</v>
      </c>
      <c r="L504" s="6" t="str">
        <f>HYPERLINK("https://maps.google.com/?q=16.054298,-97.409160999999997", "🔗 Ver Mapa")</f>
        <v>🔗 Ver Mapa</v>
      </c>
    </row>
    <row r="505" spans="1:12" ht="29" x14ac:dyDescent="0.35">
      <c r="A505" s="5" t="s">
        <v>2</v>
      </c>
      <c r="B505" s="5" t="s">
        <v>44</v>
      </c>
      <c r="C505" s="5" t="s">
        <v>62</v>
      </c>
      <c r="D505" s="5" t="s">
        <v>13</v>
      </c>
      <c r="E505" s="5" t="s">
        <v>17</v>
      </c>
      <c r="F505" s="5" t="s">
        <v>46</v>
      </c>
      <c r="G505" s="5" t="s">
        <v>47</v>
      </c>
      <c r="H505" s="5" t="s">
        <v>48</v>
      </c>
      <c r="I505" s="5" t="s">
        <v>32</v>
      </c>
      <c r="J505" s="5">
        <v>16.054297999999999</v>
      </c>
      <c r="K505" s="5">
        <v>-97.409160999999997</v>
      </c>
      <c r="L505" s="5" t="str">
        <f>HYPERLINK("https://maps.google.com/?q=16.054298,-97.409160999999997", "🔗 Ver Mapa")</f>
        <v>🔗 Ver Mapa</v>
      </c>
    </row>
    <row r="506" spans="1:12" ht="29" x14ac:dyDescent="0.35">
      <c r="A506" s="6" t="s">
        <v>2</v>
      </c>
      <c r="B506" s="6" t="s">
        <v>44</v>
      </c>
      <c r="C506" s="6" t="s">
        <v>62</v>
      </c>
      <c r="D506" s="6" t="s">
        <v>13</v>
      </c>
      <c r="E506" s="6" t="s">
        <v>17</v>
      </c>
      <c r="F506" s="6" t="s">
        <v>46</v>
      </c>
      <c r="G506" s="6" t="s">
        <v>47</v>
      </c>
      <c r="H506" s="6" t="s">
        <v>48</v>
      </c>
      <c r="I506" s="6" t="s">
        <v>32</v>
      </c>
      <c r="J506" s="6">
        <v>16.054297999999999</v>
      </c>
      <c r="K506" s="6">
        <v>-97.409160999999997</v>
      </c>
      <c r="L506" s="6" t="str">
        <f>HYPERLINK("https://maps.google.com/?q=16.054298,-97.409160999999997", "🔗 Ver Mapa")</f>
        <v>🔗 Ver Mapa</v>
      </c>
    </row>
    <row r="507" spans="1:12" ht="29" x14ac:dyDescent="0.35">
      <c r="A507" s="5" t="s">
        <v>2</v>
      </c>
      <c r="B507" s="5" t="s">
        <v>44</v>
      </c>
      <c r="C507" s="5" t="s">
        <v>62</v>
      </c>
      <c r="D507" s="5" t="s">
        <v>13</v>
      </c>
      <c r="E507" s="5" t="s">
        <v>17</v>
      </c>
      <c r="F507" s="5" t="s">
        <v>46</v>
      </c>
      <c r="G507" s="5" t="s">
        <v>47</v>
      </c>
      <c r="H507" s="5" t="s">
        <v>48</v>
      </c>
      <c r="I507" s="5" t="s">
        <v>32</v>
      </c>
      <c r="J507" s="5">
        <v>16.053498999999999</v>
      </c>
      <c r="K507" s="5">
        <v>-97.405055000000004</v>
      </c>
      <c r="L507" s="5" t="str">
        <f>HYPERLINK("https://maps.google.com/?q=16.053499,-97.405055000000004", "🔗 Ver Mapa")</f>
        <v>🔗 Ver Mapa</v>
      </c>
    </row>
    <row r="508" spans="1:12" ht="29" x14ac:dyDescent="0.35">
      <c r="A508" s="6" t="s">
        <v>2</v>
      </c>
      <c r="B508" s="6" t="s">
        <v>44</v>
      </c>
      <c r="C508" s="6" t="s">
        <v>62</v>
      </c>
      <c r="D508" s="6" t="s">
        <v>13</v>
      </c>
      <c r="E508" s="6" t="s">
        <v>17</v>
      </c>
      <c r="F508" s="6" t="s">
        <v>46</v>
      </c>
      <c r="G508" s="6" t="s">
        <v>47</v>
      </c>
      <c r="H508" s="6" t="s">
        <v>48</v>
      </c>
      <c r="I508" s="6" t="s">
        <v>32</v>
      </c>
      <c r="J508" s="6">
        <v>16.053498999999999</v>
      </c>
      <c r="K508" s="6">
        <v>-97.405055000000004</v>
      </c>
      <c r="L508" s="6" t="str">
        <f>HYPERLINK("https://maps.google.com/?q=16.053499,-97.405055000000004", "🔗 Ver Mapa")</f>
        <v>🔗 Ver Mapa</v>
      </c>
    </row>
    <row r="509" spans="1:12" ht="29" x14ac:dyDescent="0.35">
      <c r="A509" s="5" t="s">
        <v>2</v>
      </c>
      <c r="B509" s="5" t="s">
        <v>44</v>
      </c>
      <c r="C509" s="5" t="s">
        <v>62</v>
      </c>
      <c r="D509" s="5" t="s">
        <v>13</v>
      </c>
      <c r="E509" s="5" t="s">
        <v>17</v>
      </c>
      <c r="F509" s="5" t="s">
        <v>46</v>
      </c>
      <c r="G509" s="5" t="s">
        <v>47</v>
      </c>
      <c r="H509" s="5" t="s">
        <v>48</v>
      </c>
      <c r="I509" s="5" t="s">
        <v>32</v>
      </c>
      <c r="J509" s="5">
        <v>16.053498999999999</v>
      </c>
      <c r="K509" s="5">
        <v>-97.405055000000004</v>
      </c>
      <c r="L509" s="5" t="str">
        <f>HYPERLINK("https://maps.google.com/?q=16.053499,-97.405055000000004", "🔗 Ver Mapa")</f>
        <v>🔗 Ver Mapa</v>
      </c>
    </row>
    <row r="510" spans="1:12" ht="29" x14ac:dyDescent="0.35">
      <c r="A510" s="6" t="s">
        <v>2</v>
      </c>
      <c r="B510" s="6" t="s">
        <v>44</v>
      </c>
      <c r="C510" s="6" t="s">
        <v>62</v>
      </c>
      <c r="D510" s="6" t="s">
        <v>13</v>
      </c>
      <c r="E510" s="6" t="s">
        <v>17</v>
      </c>
      <c r="F510" s="6" t="s">
        <v>46</v>
      </c>
      <c r="G510" s="6" t="s">
        <v>47</v>
      </c>
      <c r="H510" s="6" t="s">
        <v>48</v>
      </c>
      <c r="I510" s="6" t="s">
        <v>32</v>
      </c>
      <c r="J510" s="6">
        <v>16.053498999999999</v>
      </c>
      <c r="K510" s="6">
        <v>-97.405055000000004</v>
      </c>
      <c r="L510" s="6" t="str">
        <f>HYPERLINK("https://maps.google.com/?q=16.053499,-97.405055000000004", "🔗 Ver Mapa")</f>
        <v>🔗 Ver Mapa</v>
      </c>
    </row>
    <row r="511" spans="1:12" ht="29" x14ac:dyDescent="0.35">
      <c r="A511" s="5" t="s">
        <v>2</v>
      </c>
      <c r="B511" s="5" t="s">
        <v>44</v>
      </c>
      <c r="C511" s="5" t="s">
        <v>62</v>
      </c>
      <c r="D511" s="5" t="s">
        <v>13</v>
      </c>
      <c r="E511" s="5" t="s">
        <v>17</v>
      </c>
      <c r="F511" s="5" t="s">
        <v>46</v>
      </c>
      <c r="G511" s="5" t="s">
        <v>47</v>
      </c>
      <c r="H511" s="5" t="s">
        <v>48</v>
      </c>
      <c r="I511" s="5" t="s">
        <v>32</v>
      </c>
      <c r="J511" s="5">
        <v>16.053909000000001</v>
      </c>
      <c r="K511" s="5">
        <v>-97.405452999999994</v>
      </c>
      <c r="L511" s="5" t="str">
        <f>HYPERLINK("https://maps.google.com/?q=16.053909,-97.405452999999994", "🔗 Ver Mapa")</f>
        <v>🔗 Ver Mapa</v>
      </c>
    </row>
    <row r="512" spans="1:12" ht="29" x14ac:dyDescent="0.35">
      <c r="A512" s="6" t="s">
        <v>2</v>
      </c>
      <c r="B512" s="6" t="s">
        <v>44</v>
      </c>
      <c r="C512" s="6" t="s">
        <v>62</v>
      </c>
      <c r="D512" s="6" t="s">
        <v>13</v>
      </c>
      <c r="E512" s="6" t="s">
        <v>17</v>
      </c>
      <c r="F512" s="6" t="s">
        <v>46</v>
      </c>
      <c r="G512" s="6" t="s">
        <v>47</v>
      </c>
      <c r="H512" s="6" t="s">
        <v>48</v>
      </c>
      <c r="I512" s="6" t="s">
        <v>32</v>
      </c>
      <c r="J512" s="6">
        <v>16.053909000000001</v>
      </c>
      <c r="K512" s="6">
        <v>-97.405452999999994</v>
      </c>
      <c r="L512" s="6" t="str">
        <f>HYPERLINK("https://maps.google.com/?q=16.053909,-97.405452999999994", "🔗 Ver Mapa")</f>
        <v>🔗 Ver Mapa</v>
      </c>
    </row>
    <row r="513" spans="1:12" ht="29" x14ac:dyDescent="0.35">
      <c r="A513" s="5" t="s">
        <v>2</v>
      </c>
      <c r="B513" s="5" t="s">
        <v>44</v>
      </c>
      <c r="C513" s="5" t="s">
        <v>62</v>
      </c>
      <c r="D513" s="5" t="s">
        <v>13</v>
      </c>
      <c r="E513" s="5" t="s">
        <v>17</v>
      </c>
      <c r="F513" s="5" t="s">
        <v>46</v>
      </c>
      <c r="G513" s="5" t="s">
        <v>47</v>
      </c>
      <c r="H513" s="5" t="s">
        <v>48</v>
      </c>
      <c r="I513" s="5" t="s">
        <v>32</v>
      </c>
      <c r="J513" s="5">
        <v>16.053909000000001</v>
      </c>
      <c r="K513" s="5">
        <v>-97.405452999999994</v>
      </c>
      <c r="L513" s="5" t="str">
        <f>HYPERLINK("https://maps.google.com/?q=16.053909,-97.405452999999994", "🔗 Ver Mapa")</f>
        <v>🔗 Ver Mapa</v>
      </c>
    </row>
    <row r="514" spans="1:12" ht="29" x14ac:dyDescent="0.35">
      <c r="A514" s="6" t="s">
        <v>2</v>
      </c>
      <c r="B514" s="6" t="s">
        <v>44</v>
      </c>
      <c r="C514" s="6" t="s">
        <v>62</v>
      </c>
      <c r="D514" s="6" t="s">
        <v>13</v>
      </c>
      <c r="E514" s="6" t="s">
        <v>17</v>
      </c>
      <c r="F514" s="6" t="s">
        <v>46</v>
      </c>
      <c r="G514" s="6" t="s">
        <v>47</v>
      </c>
      <c r="H514" s="6" t="s">
        <v>48</v>
      </c>
      <c r="I514" s="6" t="s">
        <v>32</v>
      </c>
      <c r="J514" s="6">
        <v>16.053909000000001</v>
      </c>
      <c r="K514" s="6">
        <v>-97.405452999999994</v>
      </c>
      <c r="L514" s="6" t="str">
        <f>HYPERLINK("https://maps.google.com/?q=16.053909,-97.405452999999994", "🔗 Ver Mapa")</f>
        <v>🔗 Ver Mapa</v>
      </c>
    </row>
    <row r="515" spans="1:12" ht="29" x14ac:dyDescent="0.35">
      <c r="A515" s="5" t="s">
        <v>2</v>
      </c>
      <c r="B515" s="5" t="s">
        <v>44</v>
      </c>
      <c r="C515" s="5" t="s">
        <v>62</v>
      </c>
      <c r="D515" s="5" t="s">
        <v>13</v>
      </c>
      <c r="E515" s="5" t="s">
        <v>17</v>
      </c>
      <c r="F515" s="5" t="s">
        <v>46</v>
      </c>
      <c r="G515" s="5" t="s">
        <v>47</v>
      </c>
      <c r="H515" s="5" t="s">
        <v>48</v>
      </c>
      <c r="I515" s="5" t="s">
        <v>32</v>
      </c>
      <c r="J515" s="5">
        <v>16.054273999999999</v>
      </c>
      <c r="K515" s="5">
        <v>-97.406011000000007</v>
      </c>
      <c r="L515" s="5" t="str">
        <f>HYPERLINK("https://maps.google.com/?q=16.054274,-97.406011000000007", "🔗 Ver Mapa")</f>
        <v>🔗 Ver Mapa</v>
      </c>
    </row>
    <row r="516" spans="1:12" ht="29" x14ac:dyDescent="0.35">
      <c r="A516" s="6" t="s">
        <v>2</v>
      </c>
      <c r="B516" s="6" t="s">
        <v>44</v>
      </c>
      <c r="C516" s="6" t="s">
        <v>62</v>
      </c>
      <c r="D516" s="6" t="s">
        <v>13</v>
      </c>
      <c r="E516" s="6" t="s">
        <v>17</v>
      </c>
      <c r="F516" s="6" t="s">
        <v>46</v>
      </c>
      <c r="G516" s="6" t="s">
        <v>47</v>
      </c>
      <c r="H516" s="6" t="s">
        <v>48</v>
      </c>
      <c r="I516" s="6" t="s">
        <v>32</v>
      </c>
      <c r="J516" s="6">
        <v>16.054273999999999</v>
      </c>
      <c r="K516" s="6">
        <v>-97.406011000000007</v>
      </c>
      <c r="L516" s="6" t="str">
        <f>HYPERLINK("https://maps.google.com/?q=16.054274,-97.406011000000007", "🔗 Ver Mapa")</f>
        <v>🔗 Ver Mapa</v>
      </c>
    </row>
    <row r="517" spans="1:12" ht="29" x14ac:dyDescent="0.35">
      <c r="A517" s="5" t="s">
        <v>2</v>
      </c>
      <c r="B517" s="5" t="s">
        <v>44</v>
      </c>
      <c r="C517" s="5" t="s">
        <v>62</v>
      </c>
      <c r="D517" s="5" t="s">
        <v>13</v>
      </c>
      <c r="E517" s="5" t="s">
        <v>17</v>
      </c>
      <c r="F517" s="5" t="s">
        <v>46</v>
      </c>
      <c r="G517" s="5" t="s">
        <v>47</v>
      </c>
      <c r="H517" s="5" t="s">
        <v>48</v>
      </c>
      <c r="I517" s="5" t="s">
        <v>32</v>
      </c>
      <c r="J517" s="5">
        <v>16.054273999999999</v>
      </c>
      <c r="K517" s="5">
        <v>-97.406011000000007</v>
      </c>
      <c r="L517" s="5" t="str">
        <f>HYPERLINK("https://maps.google.com/?q=16.054274,-97.406011000000007", "🔗 Ver Mapa")</f>
        <v>🔗 Ver Mapa</v>
      </c>
    </row>
    <row r="518" spans="1:12" ht="29" x14ac:dyDescent="0.35">
      <c r="A518" s="6" t="s">
        <v>2</v>
      </c>
      <c r="B518" s="6" t="s">
        <v>44</v>
      </c>
      <c r="C518" s="6" t="s">
        <v>62</v>
      </c>
      <c r="D518" s="6" t="s">
        <v>13</v>
      </c>
      <c r="E518" s="6" t="s">
        <v>17</v>
      </c>
      <c r="F518" s="6" t="s">
        <v>46</v>
      </c>
      <c r="G518" s="6" t="s">
        <v>47</v>
      </c>
      <c r="H518" s="6" t="s">
        <v>48</v>
      </c>
      <c r="I518" s="6" t="s">
        <v>32</v>
      </c>
      <c r="J518" s="6">
        <v>16.054273999999999</v>
      </c>
      <c r="K518" s="6">
        <v>-97.406011000000007</v>
      </c>
      <c r="L518" s="6" t="str">
        <f>HYPERLINK("https://maps.google.com/?q=16.054274,-97.406011000000007", "🔗 Ver Mapa")</f>
        <v>🔗 Ver Mapa</v>
      </c>
    </row>
    <row r="519" spans="1:12" ht="29" x14ac:dyDescent="0.35">
      <c r="A519" s="5" t="s">
        <v>2</v>
      </c>
      <c r="B519" s="5" t="s">
        <v>44</v>
      </c>
      <c r="C519" s="5" t="s">
        <v>62</v>
      </c>
      <c r="D519" s="5" t="s">
        <v>13</v>
      </c>
      <c r="E519" s="5" t="s">
        <v>17</v>
      </c>
      <c r="F519" s="5" t="s">
        <v>46</v>
      </c>
      <c r="G519" s="5" t="s">
        <v>47</v>
      </c>
      <c r="H519" s="5" t="s">
        <v>48</v>
      </c>
      <c r="I519" s="5" t="s">
        <v>32</v>
      </c>
      <c r="J519" s="5">
        <v>16.054372000000001</v>
      </c>
      <c r="K519" s="5">
        <v>-97.406460999999993</v>
      </c>
      <c r="L519" s="5" t="str">
        <f>HYPERLINK("https://maps.google.com/?q=16.054372,-97.406460999999993", "🔗 Ver Mapa")</f>
        <v>🔗 Ver Mapa</v>
      </c>
    </row>
    <row r="520" spans="1:12" ht="29" x14ac:dyDescent="0.35">
      <c r="A520" s="6" t="s">
        <v>2</v>
      </c>
      <c r="B520" s="6" t="s">
        <v>44</v>
      </c>
      <c r="C520" s="6" t="s">
        <v>62</v>
      </c>
      <c r="D520" s="6" t="s">
        <v>13</v>
      </c>
      <c r="E520" s="6" t="s">
        <v>17</v>
      </c>
      <c r="F520" s="6" t="s">
        <v>46</v>
      </c>
      <c r="G520" s="6" t="s">
        <v>47</v>
      </c>
      <c r="H520" s="6" t="s">
        <v>48</v>
      </c>
      <c r="I520" s="6" t="s">
        <v>32</v>
      </c>
      <c r="J520" s="6">
        <v>16.054372000000001</v>
      </c>
      <c r="K520" s="6">
        <v>-97.406460999999993</v>
      </c>
      <c r="L520" s="6" t="str">
        <f>HYPERLINK("https://maps.google.com/?q=16.054372,-97.406460999999993", "🔗 Ver Mapa")</f>
        <v>🔗 Ver Mapa</v>
      </c>
    </row>
    <row r="521" spans="1:12" ht="29" x14ac:dyDescent="0.35">
      <c r="A521" s="5" t="s">
        <v>2</v>
      </c>
      <c r="B521" s="5" t="s">
        <v>44</v>
      </c>
      <c r="C521" s="5" t="s">
        <v>62</v>
      </c>
      <c r="D521" s="5" t="s">
        <v>13</v>
      </c>
      <c r="E521" s="5" t="s">
        <v>17</v>
      </c>
      <c r="F521" s="5" t="s">
        <v>46</v>
      </c>
      <c r="G521" s="5" t="s">
        <v>47</v>
      </c>
      <c r="H521" s="5" t="s">
        <v>48</v>
      </c>
      <c r="I521" s="5" t="s">
        <v>32</v>
      </c>
      <c r="J521" s="5">
        <v>16.054372000000001</v>
      </c>
      <c r="K521" s="5">
        <v>-97.406460999999993</v>
      </c>
      <c r="L521" s="5" t="str">
        <f>HYPERLINK("https://maps.google.com/?q=16.054372,-97.406460999999993", "🔗 Ver Mapa")</f>
        <v>🔗 Ver Mapa</v>
      </c>
    </row>
    <row r="522" spans="1:12" ht="29" x14ac:dyDescent="0.35">
      <c r="A522" s="6" t="s">
        <v>2</v>
      </c>
      <c r="B522" s="6" t="s">
        <v>44</v>
      </c>
      <c r="C522" s="6" t="s">
        <v>62</v>
      </c>
      <c r="D522" s="6" t="s">
        <v>13</v>
      </c>
      <c r="E522" s="6" t="s">
        <v>17</v>
      </c>
      <c r="F522" s="6" t="s">
        <v>46</v>
      </c>
      <c r="G522" s="6" t="s">
        <v>47</v>
      </c>
      <c r="H522" s="6" t="s">
        <v>48</v>
      </c>
      <c r="I522" s="6" t="s">
        <v>32</v>
      </c>
      <c r="J522" s="6">
        <v>16.054372000000001</v>
      </c>
      <c r="K522" s="6">
        <v>-97.406460999999993</v>
      </c>
      <c r="L522" s="6" t="str">
        <f>HYPERLINK("https://maps.google.com/?q=16.054372,-97.406460999999993", "🔗 Ver Mapa")</f>
        <v>🔗 Ver Mapa</v>
      </c>
    </row>
    <row r="523" spans="1:12" ht="29" x14ac:dyDescent="0.35">
      <c r="A523" s="5" t="s">
        <v>2</v>
      </c>
      <c r="B523" s="5" t="s">
        <v>44</v>
      </c>
      <c r="C523" s="5" t="s">
        <v>62</v>
      </c>
      <c r="D523" s="5" t="s">
        <v>13</v>
      </c>
      <c r="E523" s="5" t="s">
        <v>17</v>
      </c>
      <c r="F523" s="5" t="s">
        <v>46</v>
      </c>
      <c r="G523" s="5" t="s">
        <v>47</v>
      </c>
      <c r="H523" s="5" t="s">
        <v>48</v>
      </c>
      <c r="I523" s="5" t="s">
        <v>32</v>
      </c>
      <c r="J523" s="5">
        <v>16.054679</v>
      </c>
      <c r="K523" s="5">
        <v>-97.406904999999995</v>
      </c>
      <c r="L523" s="5" t="str">
        <f>HYPERLINK("https://maps.google.com/?q=16.054679,-97.406904999999995", "🔗 Ver Mapa")</f>
        <v>🔗 Ver Mapa</v>
      </c>
    </row>
    <row r="524" spans="1:12" ht="29" x14ac:dyDescent="0.35">
      <c r="A524" s="6" t="s">
        <v>2</v>
      </c>
      <c r="B524" s="6" t="s">
        <v>44</v>
      </c>
      <c r="C524" s="6" t="s">
        <v>62</v>
      </c>
      <c r="D524" s="6" t="s">
        <v>13</v>
      </c>
      <c r="E524" s="6" t="s">
        <v>17</v>
      </c>
      <c r="F524" s="6" t="s">
        <v>46</v>
      </c>
      <c r="G524" s="6" t="s">
        <v>47</v>
      </c>
      <c r="H524" s="6" t="s">
        <v>48</v>
      </c>
      <c r="I524" s="6" t="s">
        <v>32</v>
      </c>
      <c r="J524" s="6">
        <v>16.054679</v>
      </c>
      <c r="K524" s="6">
        <v>-97.406904999999995</v>
      </c>
      <c r="L524" s="6" t="str">
        <f>HYPERLINK("https://maps.google.com/?q=16.054679,-97.406904999999995", "🔗 Ver Mapa")</f>
        <v>🔗 Ver Mapa</v>
      </c>
    </row>
    <row r="525" spans="1:12" ht="29" x14ac:dyDescent="0.35">
      <c r="A525" s="5" t="s">
        <v>2</v>
      </c>
      <c r="B525" s="5" t="s">
        <v>44</v>
      </c>
      <c r="C525" s="5" t="s">
        <v>62</v>
      </c>
      <c r="D525" s="5" t="s">
        <v>13</v>
      </c>
      <c r="E525" s="5" t="s">
        <v>17</v>
      </c>
      <c r="F525" s="5" t="s">
        <v>46</v>
      </c>
      <c r="G525" s="5" t="s">
        <v>47</v>
      </c>
      <c r="H525" s="5" t="s">
        <v>48</v>
      </c>
      <c r="I525" s="5" t="s">
        <v>32</v>
      </c>
      <c r="J525" s="5">
        <v>16.054679</v>
      </c>
      <c r="K525" s="5">
        <v>-97.406904999999995</v>
      </c>
      <c r="L525" s="5" t="str">
        <f>HYPERLINK("https://maps.google.com/?q=16.054679,-97.406904999999995", "🔗 Ver Mapa")</f>
        <v>🔗 Ver Mapa</v>
      </c>
    </row>
    <row r="526" spans="1:12" ht="29" x14ac:dyDescent="0.35">
      <c r="A526" s="6" t="s">
        <v>2</v>
      </c>
      <c r="B526" s="6" t="s">
        <v>44</v>
      </c>
      <c r="C526" s="6" t="s">
        <v>62</v>
      </c>
      <c r="D526" s="6" t="s">
        <v>13</v>
      </c>
      <c r="E526" s="6" t="s">
        <v>17</v>
      </c>
      <c r="F526" s="6" t="s">
        <v>46</v>
      </c>
      <c r="G526" s="6" t="s">
        <v>47</v>
      </c>
      <c r="H526" s="6" t="s">
        <v>48</v>
      </c>
      <c r="I526" s="6" t="s">
        <v>32</v>
      </c>
      <c r="J526" s="6">
        <v>16.054679</v>
      </c>
      <c r="K526" s="6">
        <v>-97.406904999999995</v>
      </c>
      <c r="L526" s="6" t="str">
        <f>HYPERLINK("https://maps.google.com/?q=16.054679,-97.406904999999995", "🔗 Ver Mapa")</f>
        <v>🔗 Ver Mapa</v>
      </c>
    </row>
    <row r="527" spans="1:12" ht="29" x14ac:dyDescent="0.35">
      <c r="A527" s="5" t="s">
        <v>2</v>
      </c>
      <c r="B527" s="5" t="s">
        <v>44</v>
      </c>
      <c r="C527" s="5" t="s">
        <v>62</v>
      </c>
      <c r="D527" s="5" t="s">
        <v>13</v>
      </c>
      <c r="E527" s="5" t="s">
        <v>17</v>
      </c>
      <c r="F527" s="5" t="s">
        <v>46</v>
      </c>
      <c r="G527" s="5" t="s">
        <v>47</v>
      </c>
      <c r="H527" s="5" t="s">
        <v>48</v>
      </c>
      <c r="I527" s="5" t="s">
        <v>32</v>
      </c>
      <c r="J527" s="5">
        <v>16.055035</v>
      </c>
      <c r="K527" s="5">
        <v>-97.407435000000007</v>
      </c>
      <c r="L527" s="5" t="str">
        <f>HYPERLINK("https://maps.google.com/?q=16.055035,-97.407435000000007", "🔗 Ver Mapa")</f>
        <v>🔗 Ver Mapa</v>
      </c>
    </row>
    <row r="528" spans="1:12" ht="29" x14ac:dyDescent="0.35">
      <c r="A528" s="6" t="s">
        <v>2</v>
      </c>
      <c r="B528" s="6" t="s">
        <v>44</v>
      </c>
      <c r="C528" s="6" t="s">
        <v>62</v>
      </c>
      <c r="D528" s="6" t="s">
        <v>13</v>
      </c>
      <c r="E528" s="6" t="s">
        <v>17</v>
      </c>
      <c r="F528" s="6" t="s">
        <v>46</v>
      </c>
      <c r="G528" s="6" t="s">
        <v>47</v>
      </c>
      <c r="H528" s="6" t="s">
        <v>48</v>
      </c>
      <c r="I528" s="6" t="s">
        <v>32</v>
      </c>
      <c r="J528" s="6">
        <v>16.055035</v>
      </c>
      <c r="K528" s="6">
        <v>-97.407435000000007</v>
      </c>
      <c r="L528" s="6" t="str">
        <f>HYPERLINK("https://maps.google.com/?q=16.055035,-97.407435000000007", "🔗 Ver Mapa")</f>
        <v>🔗 Ver Mapa</v>
      </c>
    </row>
    <row r="529" spans="1:12" ht="29" x14ac:dyDescent="0.35">
      <c r="A529" s="5" t="s">
        <v>2</v>
      </c>
      <c r="B529" s="5" t="s">
        <v>44</v>
      </c>
      <c r="C529" s="5" t="s">
        <v>62</v>
      </c>
      <c r="D529" s="5" t="s">
        <v>13</v>
      </c>
      <c r="E529" s="5" t="s">
        <v>17</v>
      </c>
      <c r="F529" s="5" t="s">
        <v>46</v>
      </c>
      <c r="G529" s="5" t="s">
        <v>47</v>
      </c>
      <c r="H529" s="5" t="s">
        <v>48</v>
      </c>
      <c r="I529" s="5" t="s">
        <v>32</v>
      </c>
      <c r="J529" s="5">
        <v>16.055035</v>
      </c>
      <c r="K529" s="5">
        <v>-97.407435000000007</v>
      </c>
      <c r="L529" s="5" t="str">
        <f>HYPERLINK("https://maps.google.com/?q=16.055035,-97.407435000000007", "🔗 Ver Mapa")</f>
        <v>🔗 Ver Mapa</v>
      </c>
    </row>
    <row r="530" spans="1:12" ht="29" x14ac:dyDescent="0.35">
      <c r="A530" s="6" t="s">
        <v>2</v>
      </c>
      <c r="B530" s="6" t="s">
        <v>44</v>
      </c>
      <c r="C530" s="6" t="s">
        <v>62</v>
      </c>
      <c r="D530" s="6" t="s">
        <v>13</v>
      </c>
      <c r="E530" s="6" t="s">
        <v>17</v>
      </c>
      <c r="F530" s="6" t="s">
        <v>46</v>
      </c>
      <c r="G530" s="6" t="s">
        <v>47</v>
      </c>
      <c r="H530" s="6" t="s">
        <v>48</v>
      </c>
      <c r="I530" s="6" t="s">
        <v>32</v>
      </c>
      <c r="J530" s="6">
        <v>16.055035</v>
      </c>
      <c r="K530" s="6">
        <v>-97.407435000000007</v>
      </c>
      <c r="L530" s="6" t="str">
        <f>HYPERLINK("https://maps.google.com/?q=16.055035,-97.407435000000007", "🔗 Ver Mapa")</f>
        <v>🔗 Ver Mapa</v>
      </c>
    </row>
    <row r="531" spans="1:12" ht="29" x14ac:dyDescent="0.35">
      <c r="A531" s="5" t="s">
        <v>2</v>
      </c>
      <c r="B531" s="5" t="s">
        <v>44</v>
      </c>
      <c r="C531" s="5" t="s">
        <v>62</v>
      </c>
      <c r="D531" s="5" t="s">
        <v>13</v>
      </c>
      <c r="E531" s="5" t="s">
        <v>17</v>
      </c>
      <c r="F531" s="5" t="s">
        <v>46</v>
      </c>
      <c r="G531" s="5" t="s">
        <v>47</v>
      </c>
      <c r="H531" s="5" t="s">
        <v>48</v>
      </c>
      <c r="I531" s="5" t="s">
        <v>32</v>
      </c>
      <c r="J531" s="5">
        <v>16.052696999999998</v>
      </c>
      <c r="K531" s="5">
        <v>-97.402968000000001</v>
      </c>
      <c r="L531" s="5" t="str">
        <f>HYPERLINK("https://maps.google.com/?q=16.052697,-97.402968000000001", "🔗 Ver Mapa")</f>
        <v>🔗 Ver Mapa</v>
      </c>
    </row>
    <row r="532" spans="1:12" ht="29" x14ac:dyDescent="0.35">
      <c r="A532" s="6" t="s">
        <v>2</v>
      </c>
      <c r="B532" s="6" t="s">
        <v>44</v>
      </c>
      <c r="C532" s="6" t="s">
        <v>62</v>
      </c>
      <c r="D532" s="6" t="s">
        <v>13</v>
      </c>
      <c r="E532" s="6" t="s">
        <v>17</v>
      </c>
      <c r="F532" s="6" t="s">
        <v>46</v>
      </c>
      <c r="G532" s="6" t="s">
        <v>47</v>
      </c>
      <c r="H532" s="6" t="s">
        <v>48</v>
      </c>
      <c r="I532" s="6" t="s">
        <v>32</v>
      </c>
      <c r="J532" s="6">
        <v>16.052696999999998</v>
      </c>
      <c r="K532" s="6">
        <v>-97.402968000000001</v>
      </c>
      <c r="L532" s="6" t="str">
        <f>HYPERLINK("https://maps.google.com/?q=16.052697,-97.402968000000001", "🔗 Ver Mapa")</f>
        <v>🔗 Ver Mapa</v>
      </c>
    </row>
    <row r="533" spans="1:12" ht="29" x14ac:dyDescent="0.35">
      <c r="A533" s="5" t="s">
        <v>2</v>
      </c>
      <c r="B533" s="5" t="s">
        <v>44</v>
      </c>
      <c r="C533" s="5" t="s">
        <v>62</v>
      </c>
      <c r="D533" s="5" t="s">
        <v>13</v>
      </c>
      <c r="E533" s="5" t="s">
        <v>17</v>
      </c>
      <c r="F533" s="5" t="s">
        <v>46</v>
      </c>
      <c r="G533" s="5" t="s">
        <v>47</v>
      </c>
      <c r="H533" s="5" t="s">
        <v>48</v>
      </c>
      <c r="I533" s="5" t="s">
        <v>32</v>
      </c>
      <c r="J533" s="5">
        <v>16.052696999999998</v>
      </c>
      <c r="K533" s="5">
        <v>-97.402968000000001</v>
      </c>
      <c r="L533" s="5" t="str">
        <f>HYPERLINK("https://maps.google.com/?q=16.052697,-97.402968000000001", "🔗 Ver Mapa")</f>
        <v>🔗 Ver Mapa</v>
      </c>
    </row>
    <row r="534" spans="1:12" ht="29" x14ac:dyDescent="0.35">
      <c r="A534" s="6" t="s">
        <v>2</v>
      </c>
      <c r="B534" s="6" t="s">
        <v>44</v>
      </c>
      <c r="C534" s="6" t="s">
        <v>62</v>
      </c>
      <c r="D534" s="6" t="s">
        <v>13</v>
      </c>
      <c r="E534" s="6" t="s">
        <v>17</v>
      </c>
      <c r="F534" s="6" t="s">
        <v>46</v>
      </c>
      <c r="G534" s="6" t="s">
        <v>47</v>
      </c>
      <c r="H534" s="6" t="s">
        <v>48</v>
      </c>
      <c r="I534" s="6" t="s">
        <v>32</v>
      </c>
      <c r="J534" s="6">
        <v>16.052696999999998</v>
      </c>
      <c r="K534" s="6">
        <v>-97.402968000000001</v>
      </c>
      <c r="L534" s="6" t="str">
        <f>HYPERLINK("https://maps.google.com/?q=16.052697,-97.402968000000001", "🔗 Ver Mapa")</f>
        <v>🔗 Ver Mapa</v>
      </c>
    </row>
    <row r="535" spans="1:12" ht="29" x14ac:dyDescent="0.35">
      <c r="A535" s="5" t="s">
        <v>2</v>
      </c>
      <c r="B535" s="5" t="s">
        <v>44</v>
      </c>
      <c r="C535" s="5" t="s">
        <v>62</v>
      </c>
      <c r="D535" s="5" t="s">
        <v>13</v>
      </c>
      <c r="E535" s="5" t="s">
        <v>17</v>
      </c>
      <c r="F535" s="5" t="s">
        <v>46</v>
      </c>
      <c r="G535" s="5" t="s">
        <v>47</v>
      </c>
      <c r="H535" s="5" t="s">
        <v>48</v>
      </c>
      <c r="I535" s="5" t="s">
        <v>32</v>
      </c>
      <c r="J535" s="5">
        <v>16.052689999999998</v>
      </c>
      <c r="K535" s="5">
        <v>-97.403136000000003</v>
      </c>
      <c r="L535" s="5" t="str">
        <f>HYPERLINK("https://maps.google.com/?q=16.05269,-97.403136000000003", "🔗 Ver Mapa")</f>
        <v>🔗 Ver Mapa</v>
      </c>
    </row>
    <row r="536" spans="1:12" ht="29" x14ac:dyDescent="0.35">
      <c r="A536" s="6" t="s">
        <v>2</v>
      </c>
      <c r="B536" s="6" t="s">
        <v>44</v>
      </c>
      <c r="C536" s="6" t="s">
        <v>62</v>
      </c>
      <c r="D536" s="6" t="s">
        <v>13</v>
      </c>
      <c r="E536" s="6" t="s">
        <v>17</v>
      </c>
      <c r="F536" s="6" t="s">
        <v>46</v>
      </c>
      <c r="G536" s="6" t="s">
        <v>47</v>
      </c>
      <c r="H536" s="6" t="s">
        <v>48</v>
      </c>
      <c r="I536" s="6" t="s">
        <v>32</v>
      </c>
      <c r="J536" s="6">
        <v>16.052689999999998</v>
      </c>
      <c r="K536" s="6">
        <v>-97.403136000000003</v>
      </c>
      <c r="L536" s="6" t="str">
        <f>HYPERLINK("https://maps.google.com/?q=16.05269,-97.403136000000003", "🔗 Ver Mapa")</f>
        <v>🔗 Ver Mapa</v>
      </c>
    </row>
    <row r="537" spans="1:12" ht="29" x14ac:dyDescent="0.35">
      <c r="A537" s="5" t="s">
        <v>2</v>
      </c>
      <c r="B537" s="5" t="s">
        <v>44</v>
      </c>
      <c r="C537" s="5" t="s">
        <v>62</v>
      </c>
      <c r="D537" s="5" t="s">
        <v>13</v>
      </c>
      <c r="E537" s="5" t="s">
        <v>17</v>
      </c>
      <c r="F537" s="5" t="s">
        <v>46</v>
      </c>
      <c r="G537" s="5" t="s">
        <v>47</v>
      </c>
      <c r="H537" s="5" t="s">
        <v>48</v>
      </c>
      <c r="I537" s="5" t="s">
        <v>32</v>
      </c>
      <c r="J537" s="5">
        <v>16.052689999999998</v>
      </c>
      <c r="K537" s="5">
        <v>-97.403136000000003</v>
      </c>
      <c r="L537" s="5" t="str">
        <f>HYPERLINK("https://maps.google.com/?q=16.05269,-97.403136000000003", "🔗 Ver Mapa")</f>
        <v>🔗 Ver Mapa</v>
      </c>
    </row>
    <row r="538" spans="1:12" ht="29" x14ac:dyDescent="0.35">
      <c r="A538" s="6" t="s">
        <v>2</v>
      </c>
      <c r="B538" s="6" t="s">
        <v>44</v>
      </c>
      <c r="C538" s="6" t="s">
        <v>62</v>
      </c>
      <c r="D538" s="6" t="s">
        <v>13</v>
      </c>
      <c r="E538" s="6" t="s">
        <v>17</v>
      </c>
      <c r="F538" s="6" t="s">
        <v>46</v>
      </c>
      <c r="G538" s="6" t="s">
        <v>47</v>
      </c>
      <c r="H538" s="6" t="s">
        <v>48</v>
      </c>
      <c r="I538" s="6" t="s">
        <v>32</v>
      </c>
      <c r="J538" s="6">
        <v>16.052689999999998</v>
      </c>
      <c r="K538" s="6">
        <v>-97.403136000000003</v>
      </c>
      <c r="L538" s="6" t="str">
        <f>HYPERLINK("https://maps.google.com/?q=16.05269,-97.403136000000003", "🔗 Ver Mapa")</f>
        <v>🔗 Ver Mapa</v>
      </c>
    </row>
    <row r="539" spans="1:12" ht="29" x14ac:dyDescent="0.35">
      <c r="A539" s="5" t="s">
        <v>2</v>
      </c>
      <c r="B539" s="5" t="s">
        <v>44</v>
      </c>
      <c r="C539" s="5" t="s">
        <v>62</v>
      </c>
      <c r="D539" s="5" t="s">
        <v>13</v>
      </c>
      <c r="E539" s="5" t="s">
        <v>17</v>
      </c>
      <c r="F539" s="5" t="s">
        <v>46</v>
      </c>
      <c r="G539" s="5" t="s">
        <v>47</v>
      </c>
      <c r="H539" s="5" t="s">
        <v>48</v>
      </c>
      <c r="I539" s="5" t="s">
        <v>32</v>
      </c>
      <c r="J539" s="5">
        <v>16.052547000000001</v>
      </c>
      <c r="K539" s="5">
        <v>-97.403398999999993</v>
      </c>
      <c r="L539" s="5" t="str">
        <f>HYPERLINK("https://maps.google.com/?q=16.052547,-97.403398999999993", "🔗 Ver Mapa")</f>
        <v>🔗 Ver Mapa</v>
      </c>
    </row>
    <row r="540" spans="1:12" ht="29" x14ac:dyDescent="0.35">
      <c r="A540" s="6" t="s">
        <v>2</v>
      </c>
      <c r="B540" s="6" t="s">
        <v>44</v>
      </c>
      <c r="C540" s="6" t="s">
        <v>62</v>
      </c>
      <c r="D540" s="6" t="s">
        <v>13</v>
      </c>
      <c r="E540" s="6" t="s">
        <v>17</v>
      </c>
      <c r="F540" s="6" t="s">
        <v>46</v>
      </c>
      <c r="G540" s="6" t="s">
        <v>47</v>
      </c>
      <c r="H540" s="6" t="s">
        <v>48</v>
      </c>
      <c r="I540" s="6" t="s">
        <v>32</v>
      </c>
      <c r="J540" s="6">
        <v>16.052547000000001</v>
      </c>
      <c r="K540" s="6">
        <v>-97.403398999999993</v>
      </c>
      <c r="L540" s="6" t="str">
        <f>HYPERLINK("https://maps.google.com/?q=16.052547,-97.403398999999993", "🔗 Ver Mapa")</f>
        <v>🔗 Ver Mapa</v>
      </c>
    </row>
    <row r="541" spans="1:12" ht="29" x14ac:dyDescent="0.35">
      <c r="A541" s="5" t="s">
        <v>2</v>
      </c>
      <c r="B541" s="5" t="s">
        <v>44</v>
      </c>
      <c r="C541" s="5" t="s">
        <v>62</v>
      </c>
      <c r="D541" s="5" t="s">
        <v>13</v>
      </c>
      <c r="E541" s="5" t="s">
        <v>17</v>
      </c>
      <c r="F541" s="5" t="s">
        <v>46</v>
      </c>
      <c r="G541" s="5" t="s">
        <v>47</v>
      </c>
      <c r="H541" s="5" t="s">
        <v>48</v>
      </c>
      <c r="I541" s="5" t="s">
        <v>32</v>
      </c>
      <c r="J541" s="5">
        <v>16.052547000000001</v>
      </c>
      <c r="K541" s="5">
        <v>-97.403398999999993</v>
      </c>
      <c r="L541" s="5" t="str">
        <f>HYPERLINK("https://maps.google.com/?q=16.052547,-97.403398999999993", "🔗 Ver Mapa")</f>
        <v>🔗 Ver Mapa</v>
      </c>
    </row>
    <row r="542" spans="1:12" ht="29" x14ac:dyDescent="0.35">
      <c r="A542" s="6" t="s">
        <v>2</v>
      </c>
      <c r="B542" s="6" t="s">
        <v>44</v>
      </c>
      <c r="C542" s="6" t="s">
        <v>62</v>
      </c>
      <c r="D542" s="6" t="s">
        <v>13</v>
      </c>
      <c r="E542" s="6" t="s">
        <v>17</v>
      </c>
      <c r="F542" s="6" t="s">
        <v>46</v>
      </c>
      <c r="G542" s="6" t="s">
        <v>47</v>
      </c>
      <c r="H542" s="6" t="s">
        <v>48</v>
      </c>
      <c r="I542" s="6" t="s">
        <v>32</v>
      </c>
      <c r="J542" s="6">
        <v>16.052547000000001</v>
      </c>
      <c r="K542" s="6">
        <v>-97.403398999999993</v>
      </c>
      <c r="L542" s="6" t="str">
        <f>HYPERLINK("https://maps.google.com/?q=16.052547,-97.403398999999993", "🔗 Ver Mapa")</f>
        <v>🔗 Ver Mapa</v>
      </c>
    </row>
    <row r="543" spans="1:12" ht="29" x14ac:dyDescent="0.35">
      <c r="A543" s="5" t="s">
        <v>2</v>
      </c>
      <c r="B543" s="5" t="s">
        <v>44</v>
      </c>
      <c r="C543" s="5" t="s">
        <v>62</v>
      </c>
      <c r="D543" s="5" t="s">
        <v>13</v>
      </c>
      <c r="E543" s="5" t="s">
        <v>17</v>
      </c>
      <c r="F543" s="5" t="s">
        <v>46</v>
      </c>
      <c r="G543" s="5" t="s">
        <v>47</v>
      </c>
      <c r="H543" s="5" t="s">
        <v>48</v>
      </c>
      <c r="I543" s="5" t="s">
        <v>32</v>
      </c>
      <c r="J543" s="5">
        <v>16.052602</v>
      </c>
      <c r="K543" s="5">
        <v>-97.403557000000006</v>
      </c>
      <c r="L543" s="5" t="str">
        <f>HYPERLINK("https://maps.google.com/?q=16.052602,-97.403557000000006", "🔗 Ver Mapa")</f>
        <v>🔗 Ver Mapa</v>
      </c>
    </row>
    <row r="544" spans="1:12" ht="29" x14ac:dyDescent="0.35">
      <c r="A544" s="6" t="s">
        <v>2</v>
      </c>
      <c r="B544" s="6" t="s">
        <v>44</v>
      </c>
      <c r="C544" s="6" t="s">
        <v>62</v>
      </c>
      <c r="D544" s="6" t="s">
        <v>13</v>
      </c>
      <c r="E544" s="6" t="s">
        <v>17</v>
      </c>
      <c r="F544" s="6" t="s">
        <v>46</v>
      </c>
      <c r="G544" s="6" t="s">
        <v>47</v>
      </c>
      <c r="H544" s="6" t="s">
        <v>48</v>
      </c>
      <c r="I544" s="6" t="s">
        <v>32</v>
      </c>
      <c r="J544" s="6">
        <v>16.052602</v>
      </c>
      <c r="K544" s="6">
        <v>-97.403557000000006</v>
      </c>
      <c r="L544" s="6" t="str">
        <f>HYPERLINK("https://maps.google.com/?q=16.052602,-97.403557000000006", "🔗 Ver Mapa")</f>
        <v>🔗 Ver Mapa</v>
      </c>
    </row>
    <row r="545" spans="1:12" ht="29" x14ac:dyDescent="0.35">
      <c r="A545" s="5" t="s">
        <v>2</v>
      </c>
      <c r="B545" s="5" t="s">
        <v>44</v>
      </c>
      <c r="C545" s="5" t="s">
        <v>62</v>
      </c>
      <c r="D545" s="5" t="s">
        <v>13</v>
      </c>
      <c r="E545" s="5" t="s">
        <v>17</v>
      </c>
      <c r="F545" s="5" t="s">
        <v>46</v>
      </c>
      <c r="G545" s="5" t="s">
        <v>47</v>
      </c>
      <c r="H545" s="5" t="s">
        <v>48</v>
      </c>
      <c r="I545" s="5" t="s">
        <v>32</v>
      </c>
      <c r="J545" s="5">
        <v>16.052602</v>
      </c>
      <c r="K545" s="5">
        <v>-97.403557000000006</v>
      </c>
      <c r="L545" s="5" t="str">
        <f>HYPERLINK("https://maps.google.com/?q=16.052602,-97.403557000000006", "🔗 Ver Mapa")</f>
        <v>🔗 Ver Mapa</v>
      </c>
    </row>
    <row r="546" spans="1:12" ht="29" x14ac:dyDescent="0.35">
      <c r="A546" s="6" t="s">
        <v>2</v>
      </c>
      <c r="B546" s="6" t="s">
        <v>44</v>
      </c>
      <c r="C546" s="6" t="s">
        <v>62</v>
      </c>
      <c r="D546" s="6" t="s">
        <v>13</v>
      </c>
      <c r="E546" s="6" t="s">
        <v>17</v>
      </c>
      <c r="F546" s="6" t="s">
        <v>46</v>
      </c>
      <c r="G546" s="6" t="s">
        <v>47</v>
      </c>
      <c r="H546" s="6" t="s">
        <v>48</v>
      </c>
      <c r="I546" s="6" t="s">
        <v>32</v>
      </c>
      <c r="J546" s="6">
        <v>16.052602</v>
      </c>
      <c r="K546" s="6">
        <v>-97.403557000000006</v>
      </c>
      <c r="L546" s="6" t="str">
        <f>HYPERLINK("https://maps.google.com/?q=16.052602,-97.403557000000006", "🔗 Ver Mapa")</f>
        <v>🔗 Ver Mapa</v>
      </c>
    </row>
    <row r="547" spans="1:12" ht="29" x14ac:dyDescent="0.35">
      <c r="A547" s="5" t="s">
        <v>2</v>
      </c>
      <c r="B547" s="5" t="s">
        <v>44</v>
      </c>
      <c r="C547" s="5" t="s">
        <v>62</v>
      </c>
      <c r="D547" s="5" t="s">
        <v>13</v>
      </c>
      <c r="E547" s="5" t="s">
        <v>17</v>
      </c>
      <c r="F547" s="5" t="s">
        <v>46</v>
      </c>
      <c r="G547" s="5" t="s">
        <v>47</v>
      </c>
      <c r="H547" s="5" t="s">
        <v>48</v>
      </c>
      <c r="I547" s="5" t="s">
        <v>32</v>
      </c>
      <c r="J547" s="5">
        <v>16.053554999999999</v>
      </c>
      <c r="K547" s="5">
        <v>-97.404110000000003</v>
      </c>
      <c r="L547" s="5" t="str">
        <f>HYPERLINK("https://maps.google.com/?q=16.053555,-97.404110000000003", "🔗 Ver Mapa")</f>
        <v>🔗 Ver Mapa</v>
      </c>
    </row>
    <row r="548" spans="1:12" ht="29" x14ac:dyDescent="0.35">
      <c r="A548" s="6" t="s">
        <v>2</v>
      </c>
      <c r="B548" s="6" t="s">
        <v>44</v>
      </c>
      <c r="C548" s="6" t="s">
        <v>62</v>
      </c>
      <c r="D548" s="6" t="s">
        <v>13</v>
      </c>
      <c r="E548" s="6" t="s">
        <v>17</v>
      </c>
      <c r="F548" s="6" t="s">
        <v>46</v>
      </c>
      <c r="G548" s="6" t="s">
        <v>47</v>
      </c>
      <c r="H548" s="6" t="s">
        <v>48</v>
      </c>
      <c r="I548" s="6" t="s">
        <v>32</v>
      </c>
      <c r="J548" s="6">
        <v>16.053554999999999</v>
      </c>
      <c r="K548" s="6">
        <v>-97.404110000000003</v>
      </c>
      <c r="L548" s="6" t="str">
        <f>HYPERLINK("https://maps.google.com/?q=16.053555,-97.404110000000003", "🔗 Ver Mapa")</f>
        <v>🔗 Ver Mapa</v>
      </c>
    </row>
    <row r="549" spans="1:12" ht="29" x14ac:dyDescent="0.35">
      <c r="A549" s="5" t="s">
        <v>2</v>
      </c>
      <c r="B549" s="5" t="s">
        <v>44</v>
      </c>
      <c r="C549" s="5" t="s">
        <v>62</v>
      </c>
      <c r="D549" s="5" t="s">
        <v>13</v>
      </c>
      <c r="E549" s="5" t="s">
        <v>17</v>
      </c>
      <c r="F549" s="5" t="s">
        <v>46</v>
      </c>
      <c r="G549" s="5" t="s">
        <v>47</v>
      </c>
      <c r="H549" s="5" t="s">
        <v>48</v>
      </c>
      <c r="I549" s="5" t="s">
        <v>32</v>
      </c>
      <c r="J549" s="5">
        <v>16.053554999999999</v>
      </c>
      <c r="K549" s="5">
        <v>-97.404110000000003</v>
      </c>
      <c r="L549" s="5" t="str">
        <f>HYPERLINK("https://maps.google.com/?q=16.053555,-97.404110000000003", "🔗 Ver Mapa")</f>
        <v>🔗 Ver Mapa</v>
      </c>
    </row>
    <row r="550" spans="1:12" ht="29" x14ac:dyDescent="0.35">
      <c r="A550" s="6" t="s">
        <v>2</v>
      </c>
      <c r="B550" s="6" t="s">
        <v>44</v>
      </c>
      <c r="C550" s="6" t="s">
        <v>62</v>
      </c>
      <c r="D550" s="6" t="s">
        <v>13</v>
      </c>
      <c r="E550" s="6" t="s">
        <v>17</v>
      </c>
      <c r="F550" s="6" t="s">
        <v>46</v>
      </c>
      <c r="G550" s="6" t="s">
        <v>47</v>
      </c>
      <c r="H550" s="6" t="s">
        <v>48</v>
      </c>
      <c r="I550" s="6" t="s">
        <v>32</v>
      </c>
      <c r="J550" s="6">
        <v>16.053554999999999</v>
      </c>
      <c r="K550" s="6">
        <v>-97.404110000000003</v>
      </c>
      <c r="L550" s="6" t="str">
        <f>HYPERLINK("https://maps.google.com/?q=16.053555,-97.404110000000003", "🔗 Ver Mapa")</f>
        <v>🔗 Ver Mapa</v>
      </c>
    </row>
    <row r="551" spans="1:12" ht="29" x14ac:dyDescent="0.35">
      <c r="A551" s="5" t="s">
        <v>2</v>
      </c>
      <c r="B551" s="5" t="s">
        <v>44</v>
      </c>
      <c r="C551" s="5" t="s">
        <v>62</v>
      </c>
      <c r="D551" s="5" t="s">
        <v>13</v>
      </c>
      <c r="E551" s="5" t="s">
        <v>17</v>
      </c>
      <c r="F551" s="5" t="s">
        <v>46</v>
      </c>
      <c r="G551" s="5" t="s">
        <v>47</v>
      </c>
      <c r="H551" s="5" t="s">
        <v>48</v>
      </c>
      <c r="I551" s="5" t="s">
        <v>32</v>
      </c>
      <c r="J551" s="5">
        <v>16.053514</v>
      </c>
      <c r="K551" s="5">
        <v>-97.404672000000005</v>
      </c>
      <c r="L551" s="5" t="str">
        <f>HYPERLINK("https://maps.google.com/?q=16.053514,-97.404672000000005", "🔗 Ver Mapa")</f>
        <v>🔗 Ver Mapa</v>
      </c>
    </row>
    <row r="552" spans="1:12" ht="29" x14ac:dyDescent="0.35">
      <c r="A552" s="6" t="s">
        <v>2</v>
      </c>
      <c r="B552" s="6" t="s">
        <v>44</v>
      </c>
      <c r="C552" s="6" t="s">
        <v>62</v>
      </c>
      <c r="D552" s="6" t="s">
        <v>13</v>
      </c>
      <c r="E552" s="6" t="s">
        <v>17</v>
      </c>
      <c r="F552" s="6" t="s">
        <v>46</v>
      </c>
      <c r="G552" s="6" t="s">
        <v>47</v>
      </c>
      <c r="H552" s="6" t="s">
        <v>48</v>
      </c>
      <c r="I552" s="6" t="s">
        <v>32</v>
      </c>
      <c r="J552" s="6">
        <v>16.053514</v>
      </c>
      <c r="K552" s="6">
        <v>-97.404672000000005</v>
      </c>
      <c r="L552" s="6" t="str">
        <f>HYPERLINK("https://maps.google.com/?q=16.053514,-97.404672000000005", "🔗 Ver Mapa")</f>
        <v>🔗 Ver Mapa</v>
      </c>
    </row>
    <row r="553" spans="1:12" ht="29" x14ac:dyDescent="0.35">
      <c r="A553" s="5" t="s">
        <v>2</v>
      </c>
      <c r="B553" s="5" t="s">
        <v>44</v>
      </c>
      <c r="C553" s="5" t="s">
        <v>62</v>
      </c>
      <c r="D553" s="5" t="s">
        <v>13</v>
      </c>
      <c r="E553" s="5" t="s">
        <v>17</v>
      </c>
      <c r="F553" s="5" t="s">
        <v>46</v>
      </c>
      <c r="G553" s="5" t="s">
        <v>47</v>
      </c>
      <c r="H553" s="5" t="s">
        <v>48</v>
      </c>
      <c r="I553" s="5" t="s">
        <v>32</v>
      </c>
      <c r="J553" s="5">
        <v>16.053514</v>
      </c>
      <c r="K553" s="5">
        <v>-97.404672000000005</v>
      </c>
      <c r="L553" s="5" t="str">
        <f>HYPERLINK("https://maps.google.com/?q=16.053514,-97.404672000000005", "🔗 Ver Mapa")</f>
        <v>🔗 Ver Mapa</v>
      </c>
    </row>
    <row r="554" spans="1:12" ht="29" x14ac:dyDescent="0.35">
      <c r="A554" s="6" t="s">
        <v>2</v>
      </c>
      <c r="B554" s="6" t="s">
        <v>44</v>
      </c>
      <c r="C554" s="6" t="s">
        <v>62</v>
      </c>
      <c r="D554" s="6" t="s">
        <v>13</v>
      </c>
      <c r="E554" s="6" t="s">
        <v>17</v>
      </c>
      <c r="F554" s="6" t="s">
        <v>46</v>
      </c>
      <c r="G554" s="6" t="s">
        <v>47</v>
      </c>
      <c r="H554" s="6" t="s">
        <v>48</v>
      </c>
      <c r="I554" s="6" t="s">
        <v>32</v>
      </c>
      <c r="J554" s="6">
        <v>16.053514</v>
      </c>
      <c r="K554" s="6">
        <v>-97.404672000000005</v>
      </c>
      <c r="L554" s="6" t="str">
        <f>HYPERLINK("https://maps.google.com/?q=16.053514,-97.404672000000005", "🔗 Ver Mapa")</f>
        <v>🔗 Ver Mapa</v>
      </c>
    </row>
    <row r="555" spans="1:12" ht="29" x14ac:dyDescent="0.35">
      <c r="A555" s="5" t="s">
        <v>2</v>
      </c>
      <c r="B555" s="5" t="s">
        <v>44</v>
      </c>
      <c r="C555" s="5" t="s">
        <v>62</v>
      </c>
      <c r="D555" s="5" t="s">
        <v>13</v>
      </c>
      <c r="E555" s="5" t="s">
        <v>17</v>
      </c>
      <c r="F555" s="5" t="s">
        <v>46</v>
      </c>
      <c r="G555" s="5" t="s">
        <v>47</v>
      </c>
      <c r="H555" s="5" t="s">
        <v>48</v>
      </c>
      <c r="I555" s="5" t="s">
        <v>32</v>
      </c>
      <c r="J555" s="5">
        <v>16.052824000000001</v>
      </c>
      <c r="K555" s="5">
        <v>-97.400602000000006</v>
      </c>
      <c r="L555" s="5" t="str">
        <f>HYPERLINK("https://maps.google.com/?q=16.052824,-97.400602000000006", "🔗 Ver Mapa")</f>
        <v>🔗 Ver Mapa</v>
      </c>
    </row>
    <row r="556" spans="1:12" ht="29" x14ac:dyDescent="0.35">
      <c r="A556" s="6" t="s">
        <v>2</v>
      </c>
      <c r="B556" s="6" t="s">
        <v>44</v>
      </c>
      <c r="C556" s="6" t="s">
        <v>62</v>
      </c>
      <c r="D556" s="6" t="s">
        <v>13</v>
      </c>
      <c r="E556" s="6" t="s">
        <v>17</v>
      </c>
      <c r="F556" s="6" t="s">
        <v>46</v>
      </c>
      <c r="G556" s="6" t="s">
        <v>47</v>
      </c>
      <c r="H556" s="6" t="s">
        <v>48</v>
      </c>
      <c r="I556" s="6" t="s">
        <v>32</v>
      </c>
      <c r="J556" s="6">
        <v>16.052824000000001</v>
      </c>
      <c r="K556" s="6">
        <v>-97.400602000000006</v>
      </c>
      <c r="L556" s="6" t="str">
        <f>HYPERLINK("https://maps.google.com/?q=16.052824,-97.400602000000006", "🔗 Ver Mapa")</f>
        <v>🔗 Ver Mapa</v>
      </c>
    </row>
    <row r="557" spans="1:12" ht="29" x14ac:dyDescent="0.35">
      <c r="A557" s="5" t="s">
        <v>2</v>
      </c>
      <c r="B557" s="5" t="s">
        <v>44</v>
      </c>
      <c r="C557" s="5" t="s">
        <v>62</v>
      </c>
      <c r="D557" s="5" t="s">
        <v>13</v>
      </c>
      <c r="E557" s="5" t="s">
        <v>17</v>
      </c>
      <c r="F557" s="5" t="s">
        <v>46</v>
      </c>
      <c r="G557" s="5" t="s">
        <v>47</v>
      </c>
      <c r="H557" s="5" t="s">
        <v>48</v>
      </c>
      <c r="I557" s="5" t="s">
        <v>32</v>
      </c>
      <c r="J557" s="5">
        <v>16.052824000000001</v>
      </c>
      <c r="K557" s="5">
        <v>-97.400602000000006</v>
      </c>
      <c r="L557" s="5" t="str">
        <f>HYPERLINK("https://maps.google.com/?q=16.052824,-97.400602000000006", "🔗 Ver Mapa")</f>
        <v>🔗 Ver Mapa</v>
      </c>
    </row>
    <row r="558" spans="1:12" ht="29" x14ac:dyDescent="0.35">
      <c r="A558" s="6" t="s">
        <v>2</v>
      </c>
      <c r="B558" s="6" t="s">
        <v>44</v>
      </c>
      <c r="C558" s="6" t="s">
        <v>62</v>
      </c>
      <c r="D558" s="6" t="s">
        <v>13</v>
      </c>
      <c r="E558" s="6" t="s">
        <v>17</v>
      </c>
      <c r="F558" s="6" t="s">
        <v>46</v>
      </c>
      <c r="G558" s="6" t="s">
        <v>47</v>
      </c>
      <c r="H558" s="6" t="s">
        <v>48</v>
      </c>
      <c r="I558" s="6" t="s">
        <v>32</v>
      </c>
      <c r="J558" s="6">
        <v>16.052824000000001</v>
      </c>
      <c r="K558" s="6">
        <v>-97.400602000000006</v>
      </c>
      <c r="L558" s="6" t="str">
        <f>HYPERLINK("https://maps.google.com/?q=16.052824,-97.400602000000006", "🔗 Ver Mapa")</f>
        <v>🔗 Ver Mapa</v>
      </c>
    </row>
    <row r="559" spans="1:12" ht="29" x14ac:dyDescent="0.35">
      <c r="A559" s="5" t="s">
        <v>2</v>
      </c>
      <c r="B559" s="5" t="s">
        <v>44</v>
      </c>
      <c r="C559" s="5" t="s">
        <v>62</v>
      </c>
      <c r="D559" s="5" t="s">
        <v>13</v>
      </c>
      <c r="E559" s="5" t="s">
        <v>17</v>
      </c>
      <c r="F559" s="5" t="s">
        <v>46</v>
      </c>
      <c r="G559" s="5" t="s">
        <v>47</v>
      </c>
      <c r="H559" s="5" t="s">
        <v>48</v>
      </c>
      <c r="I559" s="5" t="s">
        <v>32</v>
      </c>
      <c r="J559" s="5">
        <v>16.052378999999998</v>
      </c>
      <c r="K559" s="5">
        <v>-97.401427999999996</v>
      </c>
      <c r="L559" s="5" t="str">
        <f>HYPERLINK("https://maps.google.com/?q=16.052379,-97.401427999999996", "🔗 Ver Mapa")</f>
        <v>🔗 Ver Mapa</v>
      </c>
    </row>
    <row r="560" spans="1:12" ht="29" x14ac:dyDescent="0.35">
      <c r="A560" s="6" t="s">
        <v>2</v>
      </c>
      <c r="B560" s="6" t="s">
        <v>44</v>
      </c>
      <c r="C560" s="6" t="s">
        <v>62</v>
      </c>
      <c r="D560" s="6" t="s">
        <v>13</v>
      </c>
      <c r="E560" s="6" t="s">
        <v>17</v>
      </c>
      <c r="F560" s="6" t="s">
        <v>46</v>
      </c>
      <c r="G560" s="6" t="s">
        <v>47</v>
      </c>
      <c r="H560" s="6" t="s">
        <v>48</v>
      </c>
      <c r="I560" s="6" t="s">
        <v>32</v>
      </c>
      <c r="J560" s="6">
        <v>16.052378999999998</v>
      </c>
      <c r="K560" s="6">
        <v>-97.401427999999996</v>
      </c>
      <c r="L560" s="6" t="str">
        <f>HYPERLINK("https://maps.google.com/?q=16.052379,-97.401427999999996", "🔗 Ver Mapa")</f>
        <v>🔗 Ver Mapa</v>
      </c>
    </row>
    <row r="561" spans="1:12" ht="29" x14ac:dyDescent="0.35">
      <c r="A561" s="5" t="s">
        <v>2</v>
      </c>
      <c r="B561" s="5" t="s">
        <v>44</v>
      </c>
      <c r="C561" s="5" t="s">
        <v>62</v>
      </c>
      <c r="D561" s="5" t="s">
        <v>13</v>
      </c>
      <c r="E561" s="5" t="s">
        <v>17</v>
      </c>
      <c r="F561" s="5" t="s">
        <v>46</v>
      </c>
      <c r="G561" s="5" t="s">
        <v>47</v>
      </c>
      <c r="H561" s="5" t="s">
        <v>48</v>
      </c>
      <c r="I561" s="5" t="s">
        <v>32</v>
      </c>
      <c r="J561" s="5">
        <v>16.052378999999998</v>
      </c>
      <c r="K561" s="5">
        <v>-97.401427999999996</v>
      </c>
      <c r="L561" s="5" t="str">
        <f>HYPERLINK("https://maps.google.com/?q=16.052379,-97.401427999999996", "🔗 Ver Mapa")</f>
        <v>🔗 Ver Mapa</v>
      </c>
    </row>
    <row r="562" spans="1:12" ht="29" x14ac:dyDescent="0.35">
      <c r="A562" s="6" t="s">
        <v>2</v>
      </c>
      <c r="B562" s="6" t="s">
        <v>44</v>
      </c>
      <c r="C562" s="6" t="s">
        <v>62</v>
      </c>
      <c r="D562" s="6" t="s">
        <v>13</v>
      </c>
      <c r="E562" s="6" t="s">
        <v>17</v>
      </c>
      <c r="F562" s="6" t="s">
        <v>46</v>
      </c>
      <c r="G562" s="6" t="s">
        <v>47</v>
      </c>
      <c r="H562" s="6" t="s">
        <v>48</v>
      </c>
      <c r="I562" s="6" t="s">
        <v>32</v>
      </c>
      <c r="J562" s="6">
        <v>16.052378999999998</v>
      </c>
      <c r="K562" s="6">
        <v>-97.401427999999996</v>
      </c>
      <c r="L562" s="6" t="str">
        <f>HYPERLINK("https://maps.google.com/?q=16.052379,-97.401427999999996", "🔗 Ver Mapa")</f>
        <v>🔗 Ver Mapa</v>
      </c>
    </row>
    <row r="563" spans="1:12" ht="29" x14ac:dyDescent="0.35">
      <c r="A563" s="5" t="s">
        <v>2</v>
      </c>
      <c r="B563" s="5" t="s">
        <v>44</v>
      </c>
      <c r="C563" s="5" t="s">
        <v>62</v>
      </c>
      <c r="D563" s="5" t="s">
        <v>13</v>
      </c>
      <c r="E563" s="5" t="s">
        <v>17</v>
      </c>
      <c r="F563" s="5" t="s">
        <v>46</v>
      </c>
      <c r="G563" s="5" t="s">
        <v>47</v>
      </c>
      <c r="H563" s="5" t="s">
        <v>48</v>
      </c>
      <c r="I563" s="5" t="s">
        <v>32</v>
      </c>
      <c r="J563" s="5">
        <v>16.052147000000001</v>
      </c>
      <c r="K563" s="5">
        <v>-97.401859999999999</v>
      </c>
      <c r="L563" s="5" t="str">
        <f>HYPERLINK("https://maps.google.com/?q=16.052147,-97.401859999999999", "🔗 Ver Mapa")</f>
        <v>🔗 Ver Mapa</v>
      </c>
    </row>
    <row r="564" spans="1:12" ht="29" x14ac:dyDescent="0.35">
      <c r="A564" s="6" t="s">
        <v>2</v>
      </c>
      <c r="B564" s="6" t="s">
        <v>44</v>
      </c>
      <c r="C564" s="6" t="s">
        <v>62</v>
      </c>
      <c r="D564" s="6" t="s">
        <v>13</v>
      </c>
      <c r="E564" s="6" t="s">
        <v>17</v>
      </c>
      <c r="F564" s="6" t="s">
        <v>46</v>
      </c>
      <c r="G564" s="6" t="s">
        <v>47</v>
      </c>
      <c r="H564" s="6" t="s">
        <v>48</v>
      </c>
      <c r="I564" s="6" t="s">
        <v>32</v>
      </c>
      <c r="J564" s="6">
        <v>16.052147000000001</v>
      </c>
      <c r="K564" s="6">
        <v>-97.401859999999999</v>
      </c>
      <c r="L564" s="6" t="str">
        <f>HYPERLINK("https://maps.google.com/?q=16.052147,-97.401859999999999", "🔗 Ver Mapa")</f>
        <v>🔗 Ver Mapa</v>
      </c>
    </row>
    <row r="565" spans="1:12" ht="29" x14ac:dyDescent="0.35">
      <c r="A565" s="5" t="s">
        <v>2</v>
      </c>
      <c r="B565" s="5" t="s">
        <v>44</v>
      </c>
      <c r="C565" s="5" t="s">
        <v>62</v>
      </c>
      <c r="D565" s="5" t="s">
        <v>13</v>
      </c>
      <c r="E565" s="5" t="s">
        <v>17</v>
      </c>
      <c r="F565" s="5" t="s">
        <v>46</v>
      </c>
      <c r="G565" s="5" t="s">
        <v>47</v>
      </c>
      <c r="H565" s="5" t="s">
        <v>48</v>
      </c>
      <c r="I565" s="5" t="s">
        <v>32</v>
      </c>
      <c r="J565" s="5">
        <v>16.052147000000001</v>
      </c>
      <c r="K565" s="5">
        <v>-97.401859999999999</v>
      </c>
      <c r="L565" s="5" t="str">
        <f>HYPERLINK("https://maps.google.com/?q=16.052147,-97.401859999999999", "🔗 Ver Mapa")</f>
        <v>🔗 Ver Mapa</v>
      </c>
    </row>
    <row r="566" spans="1:12" ht="29" x14ac:dyDescent="0.35">
      <c r="A566" s="6" t="s">
        <v>2</v>
      </c>
      <c r="B566" s="6" t="s">
        <v>44</v>
      </c>
      <c r="C566" s="6" t="s">
        <v>62</v>
      </c>
      <c r="D566" s="6" t="s">
        <v>13</v>
      </c>
      <c r="E566" s="6" t="s">
        <v>17</v>
      </c>
      <c r="F566" s="6" t="s">
        <v>46</v>
      </c>
      <c r="G566" s="6" t="s">
        <v>47</v>
      </c>
      <c r="H566" s="6" t="s">
        <v>48</v>
      </c>
      <c r="I566" s="6" t="s">
        <v>32</v>
      </c>
      <c r="J566" s="6">
        <v>16.052147000000001</v>
      </c>
      <c r="K566" s="6">
        <v>-97.401859999999999</v>
      </c>
      <c r="L566" s="6" t="str">
        <f>HYPERLINK("https://maps.google.com/?q=16.052147,-97.401859999999999", "🔗 Ver Mapa")</f>
        <v>🔗 Ver Mapa</v>
      </c>
    </row>
    <row r="567" spans="1:12" ht="29" x14ac:dyDescent="0.35">
      <c r="A567" s="5" t="s">
        <v>2</v>
      </c>
      <c r="B567" s="5" t="s">
        <v>44</v>
      </c>
      <c r="C567" s="5" t="s">
        <v>62</v>
      </c>
      <c r="D567" s="5" t="s">
        <v>13</v>
      </c>
      <c r="E567" s="5" t="s">
        <v>17</v>
      </c>
      <c r="F567" s="5" t="s">
        <v>46</v>
      </c>
      <c r="G567" s="5" t="s">
        <v>47</v>
      </c>
      <c r="H567" s="5" t="s">
        <v>48</v>
      </c>
      <c r="I567" s="5" t="s">
        <v>32</v>
      </c>
      <c r="J567" s="5">
        <v>16.052330000000001</v>
      </c>
      <c r="K567" s="5">
        <v>-97.402203999999998</v>
      </c>
      <c r="L567" s="5" t="str">
        <f>HYPERLINK("https://maps.google.com/?q=16.05233,-97.402203999999998", "🔗 Ver Mapa")</f>
        <v>🔗 Ver Mapa</v>
      </c>
    </row>
    <row r="568" spans="1:12" ht="29" x14ac:dyDescent="0.35">
      <c r="A568" s="6" t="s">
        <v>2</v>
      </c>
      <c r="B568" s="6" t="s">
        <v>44</v>
      </c>
      <c r="C568" s="6" t="s">
        <v>62</v>
      </c>
      <c r="D568" s="6" t="s">
        <v>13</v>
      </c>
      <c r="E568" s="6" t="s">
        <v>17</v>
      </c>
      <c r="F568" s="6" t="s">
        <v>46</v>
      </c>
      <c r="G568" s="6" t="s">
        <v>47</v>
      </c>
      <c r="H568" s="6" t="s">
        <v>48</v>
      </c>
      <c r="I568" s="6" t="s">
        <v>32</v>
      </c>
      <c r="J568" s="6">
        <v>16.052330000000001</v>
      </c>
      <c r="K568" s="6">
        <v>-97.402203999999998</v>
      </c>
      <c r="L568" s="6" t="str">
        <f>HYPERLINK("https://maps.google.com/?q=16.05233,-97.402203999999998", "🔗 Ver Mapa")</f>
        <v>🔗 Ver Mapa</v>
      </c>
    </row>
    <row r="569" spans="1:12" ht="29" x14ac:dyDescent="0.35">
      <c r="A569" s="5" t="s">
        <v>2</v>
      </c>
      <c r="B569" s="5" t="s">
        <v>44</v>
      </c>
      <c r="C569" s="5" t="s">
        <v>62</v>
      </c>
      <c r="D569" s="5" t="s">
        <v>13</v>
      </c>
      <c r="E569" s="5" t="s">
        <v>17</v>
      </c>
      <c r="F569" s="5" t="s">
        <v>46</v>
      </c>
      <c r="G569" s="5" t="s">
        <v>47</v>
      </c>
      <c r="H569" s="5" t="s">
        <v>48</v>
      </c>
      <c r="I569" s="5" t="s">
        <v>32</v>
      </c>
      <c r="J569" s="5">
        <v>16.052330000000001</v>
      </c>
      <c r="K569" s="5">
        <v>-97.402203999999998</v>
      </c>
      <c r="L569" s="5" t="str">
        <f>HYPERLINK("https://maps.google.com/?q=16.05233,-97.402203999999998", "🔗 Ver Mapa")</f>
        <v>🔗 Ver Mapa</v>
      </c>
    </row>
    <row r="570" spans="1:12" ht="29" x14ac:dyDescent="0.35">
      <c r="A570" s="6" t="s">
        <v>2</v>
      </c>
      <c r="B570" s="6" t="s">
        <v>44</v>
      </c>
      <c r="C570" s="6" t="s">
        <v>62</v>
      </c>
      <c r="D570" s="6" t="s">
        <v>13</v>
      </c>
      <c r="E570" s="6" t="s">
        <v>17</v>
      </c>
      <c r="F570" s="6" t="s">
        <v>46</v>
      </c>
      <c r="G570" s="6" t="s">
        <v>47</v>
      </c>
      <c r="H570" s="6" t="s">
        <v>48</v>
      </c>
      <c r="I570" s="6" t="s">
        <v>32</v>
      </c>
      <c r="J570" s="6">
        <v>16.052330000000001</v>
      </c>
      <c r="K570" s="6">
        <v>-97.402203999999998</v>
      </c>
      <c r="L570" s="6" t="str">
        <f>HYPERLINK("https://maps.google.com/?q=16.05233,-97.402203999999998", "🔗 Ver Mapa")</f>
        <v>🔗 Ver Mapa</v>
      </c>
    </row>
    <row r="571" spans="1:12" ht="29" x14ac:dyDescent="0.35">
      <c r="A571" s="5" t="s">
        <v>2</v>
      </c>
      <c r="B571" s="5" t="s">
        <v>44</v>
      </c>
      <c r="C571" s="5" t="s">
        <v>62</v>
      </c>
      <c r="D571" s="5" t="s">
        <v>13</v>
      </c>
      <c r="E571" s="5" t="s">
        <v>17</v>
      </c>
      <c r="F571" s="5" t="s">
        <v>46</v>
      </c>
      <c r="G571" s="5" t="s">
        <v>47</v>
      </c>
      <c r="H571" s="5" t="s">
        <v>48</v>
      </c>
      <c r="I571" s="5" t="s">
        <v>32</v>
      </c>
      <c r="J571" s="5">
        <v>16.052225</v>
      </c>
      <c r="K571" s="5">
        <v>-97.402579000000003</v>
      </c>
      <c r="L571" s="5" t="str">
        <f>HYPERLINK("https://maps.google.com/?q=16.052225,-97.402579000000003", "🔗 Ver Mapa")</f>
        <v>🔗 Ver Mapa</v>
      </c>
    </row>
    <row r="572" spans="1:12" ht="29" x14ac:dyDescent="0.35">
      <c r="A572" s="6" t="s">
        <v>2</v>
      </c>
      <c r="B572" s="6" t="s">
        <v>44</v>
      </c>
      <c r="C572" s="6" t="s">
        <v>62</v>
      </c>
      <c r="D572" s="6" t="s">
        <v>13</v>
      </c>
      <c r="E572" s="6" t="s">
        <v>17</v>
      </c>
      <c r="F572" s="6" t="s">
        <v>46</v>
      </c>
      <c r="G572" s="6" t="s">
        <v>47</v>
      </c>
      <c r="H572" s="6" t="s">
        <v>48</v>
      </c>
      <c r="I572" s="6" t="s">
        <v>32</v>
      </c>
      <c r="J572" s="6">
        <v>16.052225</v>
      </c>
      <c r="K572" s="6">
        <v>-97.402579000000003</v>
      </c>
      <c r="L572" s="6" t="str">
        <f>HYPERLINK("https://maps.google.com/?q=16.052225,-97.402579000000003", "🔗 Ver Mapa")</f>
        <v>🔗 Ver Mapa</v>
      </c>
    </row>
    <row r="573" spans="1:12" ht="29" x14ac:dyDescent="0.35">
      <c r="A573" s="5" t="s">
        <v>2</v>
      </c>
      <c r="B573" s="5" t="s">
        <v>44</v>
      </c>
      <c r="C573" s="5" t="s">
        <v>62</v>
      </c>
      <c r="D573" s="5" t="s">
        <v>13</v>
      </c>
      <c r="E573" s="5" t="s">
        <v>17</v>
      </c>
      <c r="F573" s="5" t="s">
        <v>46</v>
      </c>
      <c r="G573" s="5" t="s">
        <v>47</v>
      </c>
      <c r="H573" s="5" t="s">
        <v>48</v>
      </c>
      <c r="I573" s="5" t="s">
        <v>32</v>
      </c>
      <c r="J573" s="5">
        <v>16.052225</v>
      </c>
      <c r="K573" s="5">
        <v>-97.402579000000003</v>
      </c>
      <c r="L573" s="5" t="str">
        <f>HYPERLINK("https://maps.google.com/?q=16.052225,-97.402579000000003", "🔗 Ver Mapa")</f>
        <v>🔗 Ver Mapa</v>
      </c>
    </row>
    <row r="574" spans="1:12" ht="29" x14ac:dyDescent="0.35">
      <c r="A574" s="6" t="s">
        <v>2</v>
      </c>
      <c r="B574" s="6" t="s">
        <v>44</v>
      </c>
      <c r="C574" s="6" t="s">
        <v>62</v>
      </c>
      <c r="D574" s="6" t="s">
        <v>13</v>
      </c>
      <c r="E574" s="6" t="s">
        <v>17</v>
      </c>
      <c r="F574" s="6" t="s">
        <v>46</v>
      </c>
      <c r="G574" s="6" t="s">
        <v>47</v>
      </c>
      <c r="H574" s="6" t="s">
        <v>48</v>
      </c>
      <c r="I574" s="6" t="s">
        <v>32</v>
      </c>
      <c r="J574" s="6">
        <v>16.052225</v>
      </c>
      <c r="K574" s="6">
        <v>-97.402579000000003</v>
      </c>
      <c r="L574" s="6" t="str">
        <f>HYPERLINK("https://maps.google.com/?q=16.052225,-97.402579000000003", "🔗 Ver Mapa")</f>
        <v>🔗 Ver Mapa</v>
      </c>
    </row>
    <row r="575" spans="1:12" ht="29" x14ac:dyDescent="0.35">
      <c r="A575" s="5" t="s">
        <v>2</v>
      </c>
      <c r="B575" s="5" t="s">
        <v>44</v>
      </c>
      <c r="C575" s="5" t="s">
        <v>62</v>
      </c>
      <c r="D575" s="5" t="s">
        <v>13</v>
      </c>
      <c r="E575" s="5" t="s">
        <v>17</v>
      </c>
      <c r="F575" s="5" t="s">
        <v>46</v>
      </c>
      <c r="G575" s="5" t="s">
        <v>47</v>
      </c>
      <c r="H575" s="5" t="s">
        <v>48</v>
      </c>
      <c r="I575" s="5" t="s">
        <v>32</v>
      </c>
      <c r="J575" s="5">
        <v>16.052506999999999</v>
      </c>
      <c r="K575" s="5">
        <v>-97.402904000000007</v>
      </c>
      <c r="L575" s="5" t="str">
        <f>HYPERLINK("https://maps.google.com/?q=16.052507,-97.402904000000007", "🔗 Ver Mapa")</f>
        <v>🔗 Ver Mapa</v>
      </c>
    </row>
    <row r="576" spans="1:12" ht="29" x14ac:dyDescent="0.35">
      <c r="A576" s="6" t="s">
        <v>2</v>
      </c>
      <c r="B576" s="6" t="s">
        <v>44</v>
      </c>
      <c r="C576" s="6" t="s">
        <v>62</v>
      </c>
      <c r="D576" s="6" t="s">
        <v>13</v>
      </c>
      <c r="E576" s="6" t="s">
        <v>17</v>
      </c>
      <c r="F576" s="6" t="s">
        <v>46</v>
      </c>
      <c r="G576" s="6" t="s">
        <v>47</v>
      </c>
      <c r="H576" s="6" t="s">
        <v>48</v>
      </c>
      <c r="I576" s="6" t="s">
        <v>32</v>
      </c>
      <c r="J576" s="6">
        <v>16.052506999999999</v>
      </c>
      <c r="K576" s="6">
        <v>-97.402904000000007</v>
      </c>
      <c r="L576" s="6" t="str">
        <f>HYPERLINK("https://maps.google.com/?q=16.052507,-97.402904000000007", "🔗 Ver Mapa")</f>
        <v>🔗 Ver Mapa</v>
      </c>
    </row>
    <row r="577" spans="1:12" ht="29" x14ac:dyDescent="0.35">
      <c r="A577" s="5" t="s">
        <v>2</v>
      </c>
      <c r="B577" s="5" t="s">
        <v>44</v>
      </c>
      <c r="C577" s="5" t="s">
        <v>62</v>
      </c>
      <c r="D577" s="5" t="s">
        <v>13</v>
      </c>
      <c r="E577" s="5" t="s">
        <v>17</v>
      </c>
      <c r="F577" s="5" t="s">
        <v>46</v>
      </c>
      <c r="G577" s="5" t="s">
        <v>47</v>
      </c>
      <c r="H577" s="5" t="s">
        <v>48</v>
      </c>
      <c r="I577" s="5" t="s">
        <v>32</v>
      </c>
      <c r="J577" s="5">
        <v>16.052506999999999</v>
      </c>
      <c r="K577" s="5">
        <v>-97.402904000000007</v>
      </c>
      <c r="L577" s="5" t="str">
        <f>HYPERLINK("https://maps.google.com/?q=16.052507,-97.402904000000007", "🔗 Ver Mapa")</f>
        <v>🔗 Ver Mapa</v>
      </c>
    </row>
    <row r="578" spans="1:12" ht="29" x14ac:dyDescent="0.35">
      <c r="A578" s="6" t="s">
        <v>2</v>
      </c>
      <c r="B578" s="6" t="s">
        <v>44</v>
      </c>
      <c r="C578" s="6" t="s">
        <v>62</v>
      </c>
      <c r="D578" s="6" t="s">
        <v>13</v>
      </c>
      <c r="E578" s="6" t="s">
        <v>17</v>
      </c>
      <c r="F578" s="6" t="s">
        <v>46</v>
      </c>
      <c r="G578" s="6" t="s">
        <v>47</v>
      </c>
      <c r="H578" s="6" t="s">
        <v>48</v>
      </c>
      <c r="I578" s="6" t="s">
        <v>32</v>
      </c>
      <c r="J578" s="6">
        <v>16.052506999999999</v>
      </c>
      <c r="K578" s="6">
        <v>-97.402904000000007</v>
      </c>
      <c r="L578" s="6" t="str">
        <f>HYPERLINK("https://maps.google.com/?q=16.052507,-97.402904000000007", "🔗 Ver Mapa")</f>
        <v>🔗 Ver Mapa</v>
      </c>
    </row>
    <row r="579" spans="1:12" ht="29" x14ac:dyDescent="0.35">
      <c r="A579" s="5" t="s">
        <v>2</v>
      </c>
      <c r="B579" s="5" t="s">
        <v>44</v>
      </c>
      <c r="C579" s="5" t="s">
        <v>62</v>
      </c>
      <c r="D579" s="5" t="s">
        <v>13</v>
      </c>
      <c r="E579" s="5" t="s">
        <v>17</v>
      </c>
      <c r="F579" s="5" t="s">
        <v>46</v>
      </c>
      <c r="G579" s="5" t="s">
        <v>47</v>
      </c>
      <c r="H579" s="5" t="s">
        <v>48</v>
      </c>
      <c r="I579" s="5" t="s">
        <v>32</v>
      </c>
      <c r="J579" s="5">
        <v>16.054648</v>
      </c>
      <c r="K579" s="5">
        <v>-97.397980000000004</v>
      </c>
      <c r="L579" s="5" t="str">
        <f>HYPERLINK("https://maps.google.com/?q=16.054648,-97.397980000000004", "🔗 Ver Mapa")</f>
        <v>🔗 Ver Mapa</v>
      </c>
    </row>
    <row r="580" spans="1:12" ht="29" x14ac:dyDescent="0.35">
      <c r="A580" s="6" t="s">
        <v>2</v>
      </c>
      <c r="B580" s="6" t="s">
        <v>44</v>
      </c>
      <c r="C580" s="6" t="s">
        <v>62</v>
      </c>
      <c r="D580" s="6" t="s">
        <v>13</v>
      </c>
      <c r="E580" s="6" t="s">
        <v>17</v>
      </c>
      <c r="F580" s="6" t="s">
        <v>46</v>
      </c>
      <c r="G580" s="6" t="s">
        <v>47</v>
      </c>
      <c r="H580" s="6" t="s">
        <v>48</v>
      </c>
      <c r="I580" s="6" t="s">
        <v>32</v>
      </c>
      <c r="J580" s="6">
        <v>16.054648</v>
      </c>
      <c r="K580" s="6">
        <v>-97.397980000000004</v>
      </c>
      <c r="L580" s="6" t="str">
        <f>HYPERLINK("https://maps.google.com/?q=16.054648,-97.397980000000004", "🔗 Ver Mapa")</f>
        <v>🔗 Ver Mapa</v>
      </c>
    </row>
    <row r="581" spans="1:12" ht="29" x14ac:dyDescent="0.35">
      <c r="A581" s="5" t="s">
        <v>2</v>
      </c>
      <c r="B581" s="5" t="s">
        <v>44</v>
      </c>
      <c r="C581" s="5" t="s">
        <v>62</v>
      </c>
      <c r="D581" s="5" t="s">
        <v>13</v>
      </c>
      <c r="E581" s="5" t="s">
        <v>17</v>
      </c>
      <c r="F581" s="5" t="s">
        <v>46</v>
      </c>
      <c r="G581" s="5" t="s">
        <v>47</v>
      </c>
      <c r="H581" s="5" t="s">
        <v>48</v>
      </c>
      <c r="I581" s="5" t="s">
        <v>32</v>
      </c>
      <c r="J581" s="5">
        <v>16.054648</v>
      </c>
      <c r="K581" s="5">
        <v>-97.397980000000004</v>
      </c>
      <c r="L581" s="5" t="str">
        <f>HYPERLINK("https://maps.google.com/?q=16.054648,-97.397980000000004", "🔗 Ver Mapa")</f>
        <v>🔗 Ver Mapa</v>
      </c>
    </row>
    <row r="582" spans="1:12" ht="29" x14ac:dyDescent="0.35">
      <c r="A582" s="6" t="s">
        <v>2</v>
      </c>
      <c r="B582" s="6" t="s">
        <v>44</v>
      </c>
      <c r="C582" s="6" t="s">
        <v>62</v>
      </c>
      <c r="D582" s="6" t="s">
        <v>13</v>
      </c>
      <c r="E582" s="6" t="s">
        <v>17</v>
      </c>
      <c r="F582" s="6" t="s">
        <v>46</v>
      </c>
      <c r="G582" s="6" t="s">
        <v>47</v>
      </c>
      <c r="H582" s="6" t="s">
        <v>48</v>
      </c>
      <c r="I582" s="6" t="s">
        <v>32</v>
      </c>
      <c r="J582" s="6">
        <v>16.054648</v>
      </c>
      <c r="K582" s="6">
        <v>-97.397980000000004</v>
      </c>
      <c r="L582" s="6" t="str">
        <f>HYPERLINK("https://maps.google.com/?q=16.054648,-97.397980000000004", "🔗 Ver Mapa")</f>
        <v>🔗 Ver Mapa</v>
      </c>
    </row>
    <row r="583" spans="1:12" ht="29" x14ac:dyDescent="0.35">
      <c r="A583" s="5" t="s">
        <v>2</v>
      </c>
      <c r="B583" s="5" t="s">
        <v>44</v>
      </c>
      <c r="C583" s="5" t="s">
        <v>62</v>
      </c>
      <c r="D583" s="5" t="s">
        <v>13</v>
      </c>
      <c r="E583" s="5" t="s">
        <v>17</v>
      </c>
      <c r="F583" s="5" t="s">
        <v>46</v>
      </c>
      <c r="G583" s="5" t="s">
        <v>47</v>
      </c>
      <c r="H583" s="5" t="s">
        <v>48</v>
      </c>
      <c r="I583" s="5" t="s">
        <v>32</v>
      </c>
      <c r="J583" s="5">
        <v>16.054417000000001</v>
      </c>
      <c r="K583" s="5">
        <v>-97.398411999999993</v>
      </c>
      <c r="L583" s="5" t="str">
        <f>HYPERLINK("https://maps.google.com/?q=16.054417,-97.398411999999993", "🔗 Ver Mapa")</f>
        <v>🔗 Ver Mapa</v>
      </c>
    </row>
    <row r="584" spans="1:12" ht="29" x14ac:dyDescent="0.35">
      <c r="A584" s="6" t="s">
        <v>2</v>
      </c>
      <c r="B584" s="6" t="s">
        <v>44</v>
      </c>
      <c r="C584" s="6" t="s">
        <v>62</v>
      </c>
      <c r="D584" s="6" t="s">
        <v>13</v>
      </c>
      <c r="E584" s="6" t="s">
        <v>17</v>
      </c>
      <c r="F584" s="6" t="s">
        <v>46</v>
      </c>
      <c r="G584" s="6" t="s">
        <v>47</v>
      </c>
      <c r="H584" s="6" t="s">
        <v>48</v>
      </c>
      <c r="I584" s="6" t="s">
        <v>32</v>
      </c>
      <c r="J584" s="6">
        <v>16.054417000000001</v>
      </c>
      <c r="K584" s="6">
        <v>-97.398411999999993</v>
      </c>
      <c r="L584" s="6" t="str">
        <f>HYPERLINK("https://maps.google.com/?q=16.054417,-97.398411999999993", "🔗 Ver Mapa")</f>
        <v>🔗 Ver Mapa</v>
      </c>
    </row>
    <row r="585" spans="1:12" ht="29" x14ac:dyDescent="0.35">
      <c r="A585" s="5" t="s">
        <v>2</v>
      </c>
      <c r="B585" s="5" t="s">
        <v>44</v>
      </c>
      <c r="C585" s="5" t="s">
        <v>62</v>
      </c>
      <c r="D585" s="5" t="s">
        <v>13</v>
      </c>
      <c r="E585" s="5" t="s">
        <v>17</v>
      </c>
      <c r="F585" s="5" t="s">
        <v>46</v>
      </c>
      <c r="G585" s="5" t="s">
        <v>47</v>
      </c>
      <c r="H585" s="5" t="s">
        <v>48</v>
      </c>
      <c r="I585" s="5" t="s">
        <v>32</v>
      </c>
      <c r="J585" s="5">
        <v>16.054417000000001</v>
      </c>
      <c r="K585" s="5">
        <v>-97.398411999999993</v>
      </c>
      <c r="L585" s="5" t="str">
        <f>HYPERLINK("https://maps.google.com/?q=16.054417,-97.398411999999993", "🔗 Ver Mapa")</f>
        <v>🔗 Ver Mapa</v>
      </c>
    </row>
    <row r="586" spans="1:12" ht="29" x14ac:dyDescent="0.35">
      <c r="A586" s="6" t="s">
        <v>2</v>
      </c>
      <c r="B586" s="6" t="s">
        <v>44</v>
      </c>
      <c r="C586" s="6" t="s">
        <v>62</v>
      </c>
      <c r="D586" s="6" t="s">
        <v>13</v>
      </c>
      <c r="E586" s="6" t="s">
        <v>17</v>
      </c>
      <c r="F586" s="6" t="s">
        <v>46</v>
      </c>
      <c r="G586" s="6" t="s">
        <v>47</v>
      </c>
      <c r="H586" s="6" t="s">
        <v>48</v>
      </c>
      <c r="I586" s="6" t="s">
        <v>32</v>
      </c>
      <c r="J586" s="6">
        <v>16.054417000000001</v>
      </c>
      <c r="K586" s="6">
        <v>-97.398411999999993</v>
      </c>
      <c r="L586" s="6" t="str">
        <f>HYPERLINK("https://maps.google.com/?q=16.054417,-97.398411999999993", "🔗 Ver Mapa")</f>
        <v>🔗 Ver Mapa</v>
      </c>
    </row>
    <row r="587" spans="1:12" ht="29" x14ac:dyDescent="0.35">
      <c r="A587" s="5" t="s">
        <v>2</v>
      </c>
      <c r="B587" s="5" t="s">
        <v>44</v>
      </c>
      <c r="C587" s="5" t="s">
        <v>62</v>
      </c>
      <c r="D587" s="5" t="s">
        <v>13</v>
      </c>
      <c r="E587" s="5" t="s">
        <v>17</v>
      </c>
      <c r="F587" s="5" t="s">
        <v>46</v>
      </c>
      <c r="G587" s="5" t="s">
        <v>47</v>
      </c>
      <c r="H587" s="5" t="s">
        <v>48</v>
      </c>
      <c r="I587" s="5" t="s">
        <v>32</v>
      </c>
      <c r="J587" s="5">
        <v>16.054402</v>
      </c>
      <c r="K587" s="5">
        <v>-97.398934999999994</v>
      </c>
      <c r="L587" s="5" t="str">
        <f>HYPERLINK("https://maps.google.com/?q=16.054402,-97.398934999999994", "🔗 Ver Mapa")</f>
        <v>🔗 Ver Mapa</v>
      </c>
    </row>
    <row r="588" spans="1:12" ht="29" x14ac:dyDescent="0.35">
      <c r="A588" s="6" t="s">
        <v>2</v>
      </c>
      <c r="B588" s="6" t="s">
        <v>44</v>
      </c>
      <c r="C588" s="6" t="s">
        <v>62</v>
      </c>
      <c r="D588" s="6" t="s">
        <v>13</v>
      </c>
      <c r="E588" s="6" t="s">
        <v>17</v>
      </c>
      <c r="F588" s="6" t="s">
        <v>46</v>
      </c>
      <c r="G588" s="6" t="s">
        <v>47</v>
      </c>
      <c r="H588" s="6" t="s">
        <v>48</v>
      </c>
      <c r="I588" s="6" t="s">
        <v>32</v>
      </c>
      <c r="J588" s="6">
        <v>16.054402</v>
      </c>
      <c r="K588" s="6">
        <v>-97.398934999999994</v>
      </c>
      <c r="L588" s="6" t="str">
        <f>HYPERLINK("https://maps.google.com/?q=16.054402,-97.398934999999994", "🔗 Ver Mapa")</f>
        <v>🔗 Ver Mapa</v>
      </c>
    </row>
    <row r="589" spans="1:12" ht="29" x14ac:dyDescent="0.35">
      <c r="A589" s="5" t="s">
        <v>2</v>
      </c>
      <c r="B589" s="5" t="s">
        <v>44</v>
      </c>
      <c r="C589" s="5" t="s">
        <v>62</v>
      </c>
      <c r="D589" s="5" t="s">
        <v>13</v>
      </c>
      <c r="E589" s="5" t="s">
        <v>17</v>
      </c>
      <c r="F589" s="5" t="s">
        <v>46</v>
      </c>
      <c r="G589" s="5" t="s">
        <v>47</v>
      </c>
      <c r="H589" s="5" t="s">
        <v>48</v>
      </c>
      <c r="I589" s="5" t="s">
        <v>32</v>
      </c>
      <c r="J589" s="5">
        <v>16.054402</v>
      </c>
      <c r="K589" s="5">
        <v>-97.398934999999994</v>
      </c>
      <c r="L589" s="5" t="str">
        <f>HYPERLINK("https://maps.google.com/?q=16.054402,-97.398934999999994", "🔗 Ver Mapa")</f>
        <v>🔗 Ver Mapa</v>
      </c>
    </row>
    <row r="590" spans="1:12" ht="29" x14ac:dyDescent="0.35">
      <c r="A590" s="6" t="s">
        <v>2</v>
      </c>
      <c r="B590" s="6" t="s">
        <v>44</v>
      </c>
      <c r="C590" s="6" t="s">
        <v>62</v>
      </c>
      <c r="D590" s="6" t="s">
        <v>13</v>
      </c>
      <c r="E590" s="6" t="s">
        <v>17</v>
      </c>
      <c r="F590" s="6" t="s">
        <v>46</v>
      </c>
      <c r="G590" s="6" t="s">
        <v>47</v>
      </c>
      <c r="H590" s="6" t="s">
        <v>48</v>
      </c>
      <c r="I590" s="6" t="s">
        <v>32</v>
      </c>
      <c r="J590" s="6">
        <v>16.054402</v>
      </c>
      <c r="K590" s="6">
        <v>-97.398934999999994</v>
      </c>
      <c r="L590" s="6" t="str">
        <f>HYPERLINK("https://maps.google.com/?q=16.054402,-97.398934999999994", "🔗 Ver Mapa")</f>
        <v>🔗 Ver Mapa</v>
      </c>
    </row>
    <row r="591" spans="1:12" ht="29" x14ac:dyDescent="0.35">
      <c r="A591" s="5" t="s">
        <v>2</v>
      </c>
      <c r="B591" s="5" t="s">
        <v>44</v>
      </c>
      <c r="C591" s="5" t="s">
        <v>62</v>
      </c>
      <c r="D591" s="5" t="s">
        <v>13</v>
      </c>
      <c r="E591" s="5" t="s">
        <v>17</v>
      </c>
      <c r="F591" s="5" t="s">
        <v>46</v>
      </c>
      <c r="G591" s="5" t="s">
        <v>47</v>
      </c>
      <c r="H591" s="5" t="s">
        <v>48</v>
      </c>
      <c r="I591" s="5" t="s">
        <v>32</v>
      </c>
      <c r="J591" s="5">
        <v>16.054164</v>
      </c>
      <c r="K591" s="5">
        <v>-97.399693999999997</v>
      </c>
      <c r="L591" s="5" t="str">
        <f>HYPERLINK("https://maps.google.com/?q=16.054164,-97.399693999999997", "🔗 Ver Mapa")</f>
        <v>🔗 Ver Mapa</v>
      </c>
    </row>
    <row r="592" spans="1:12" ht="29" x14ac:dyDescent="0.35">
      <c r="A592" s="6" t="s">
        <v>2</v>
      </c>
      <c r="B592" s="6" t="s">
        <v>44</v>
      </c>
      <c r="C592" s="6" t="s">
        <v>62</v>
      </c>
      <c r="D592" s="6" t="s">
        <v>13</v>
      </c>
      <c r="E592" s="6" t="s">
        <v>17</v>
      </c>
      <c r="F592" s="6" t="s">
        <v>46</v>
      </c>
      <c r="G592" s="6" t="s">
        <v>47</v>
      </c>
      <c r="H592" s="6" t="s">
        <v>48</v>
      </c>
      <c r="I592" s="6" t="s">
        <v>32</v>
      </c>
      <c r="J592" s="6">
        <v>16.054164</v>
      </c>
      <c r="K592" s="6">
        <v>-97.399693999999997</v>
      </c>
      <c r="L592" s="6" t="str">
        <f>HYPERLINK("https://maps.google.com/?q=16.054164,-97.399693999999997", "🔗 Ver Mapa")</f>
        <v>🔗 Ver Mapa</v>
      </c>
    </row>
    <row r="593" spans="1:12" ht="29" x14ac:dyDescent="0.35">
      <c r="A593" s="5" t="s">
        <v>2</v>
      </c>
      <c r="B593" s="5" t="s">
        <v>44</v>
      </c>
      <c r="C593" s="5" t="s">
        <v>62</v>
      </c>
      <c r="D593" s="5" t="s">
        <v>13</v>
      </c>
      <c r="E593" s="5" t="s">
        <v>17</v>
      </c>
      <c r="F593" s="5" t="s">
        <v>46</v>
      </c>
      <c r="G593" s="5" t="s">
        <v>47</v>
      </c>
      <c r="H593" s="5" t="s">
        <v>48</v>
      </c>
      <c r="I593" s="5" t="s">
        <v>32</v>
      </c>
      <c r="J593" s="5">
        <v>16.054164</v>
      </c>
      <c r="K593" s="5">
        <v>-97.399693999999997</v>
      </c>
      <c r="L593" s="5" t="str">
        <f>HYPERLINK("https://maps.google.com/?q=16.054164,-97.399693999999997", "🔗 Ver Mapa")</f>
        <v>🔗 Ver Mapa</v>
      </c>
    </row>
    <row r="594" spans="1:12" ht="29" x14ac:dyDescent="0.35">
      <c r="A594" s="6" t="s">
        <v>2</v>
      </c>
      <c r="B594" s="6" t="s">
        <v>44</v>
      </c>
      <c r="C594" s="6" t="s">
        <v>62</v>
      </c>
      <c r="D594" s="6" t="s">
        <v>13</v>
      </c>
      <c r="E594" s="6" t="s">
        <v>17</v>
      </c>
      <c r="F594" s="6" t="s">
        <v>46</v>
      </c>
      <c r="G594" s="6" t="s">
        <v>47</v>
      </c>
      <c r="H594" s="6" t="s">
        <v>48</v>
      </c>
      <c r="I594" s="6" t="s">
        <v>32</v>
      </c>
      <c r="J594" s="6">
        <v>16.054164</v>
      </c>
      <c r="K594" s="6">
        <v>-97.399693999999997</v>
      </c>
      <c r="L594" s="6" t="str">
        <f>HYPERLINK("https://maps.google.com/?q=16.054164,-97.399693999999997", "🔗 Ver Mapa")</f>
        <v>🔗 Ver Mapa</v>
      </c>
    </row>
    <row r="595" spans="1:12" ht="29" x14ac:dyDescent="0.35">
      <c r="A595" s="5" t="s">
        <v>2</v>
      </c>
      <c r="B595" s="5" t="s">
        <v>44</v>
      </c>
      <c r="C595" s="5" t="s">
        <v>62</v>
      </c>
      <c r="D595" s="5" t="s">
        <v>13</v>
      </c>
      <c r="E595" s="5" t="s">
        <v>17</v>
      </c>
      <c r="F595" s="5" t="s">
        <v>46</v>
      </c>
      <c r="G595" s="5" t="s">
        <v>47</v>
      </c>
      <c r="H595" s="5" t="s">
        <v>48</v>
      </c>
      <c r="I595" s="5" t="s">
        <v>32</v>
      </c>
      <c r="J595" s="5">
        <v>16.053570000000001</v>
      </c>
      <c r="K595" s="5">
        <v>-97.399941999999996</v>
      </c>
      <c r="L595" s="5" t="str">
        <f>HYPERLINK("https://maps.google.com/?q=16.05357,-97.399941999999996", "🔗 Ver Mapa")</f>
        <v>🔗 Ver Mapa</v>
      </c>
    </row>
    <row r="596" spans="1:12" ht="29" x14ac:dyDescent="0.35">
      <c r="A596" s="6" t="s">
        <v>2</v>
      </c>
      <c r="B596" s="6" t="s">
        <v>44</v>
      </c>
      <c r="C596" s="6" t="s">
        <v>62</v>
      </c>
      <c r="D596" s="6" t="s">
        <v>13</v>
      </c>
      <c r="E596" s="6" t="s">
        <v>17</v>
      </c>
      <c r="F596" s="6" t="s">
        <v>46</v>
      </c>
      <c r="G596" s="6" t="s">
        <v>47</v>
      </c>
      <c r="H596" s="6" t="s">
        <v>48</v>
      </c>
      <c r="I596" s="6" t="s">
        <v>32</v>
      </c>
      <c r="J596" s="6">
        <v>16.053570000000001</v>
      </c>
      <c r="K596" s="6">
        <v>-97.399941999999996</v>
      </c>
      <c r="L596" s="6" t="str">
        <f>HYPERLINK("https://maps.google.com/?q=16.05357,-97.399941999999996", "🔗 Ver Mapa")</f>
        <v>🔗 Ver Mapa</v>
      </c>
    </row>
    <row r="597" spans="1:12" ht="29" x14ac:dyDescent="0.35">
      <c r="A597" s="5" t="s">
        <v>2</v>
      </c>
      <c r="B597" s="5" t="s">
        <v>44</v>
      </c>
      <c r="C597" s="5" t="s">
        <v>62</v>
      </c>
      <c r="D597" s="5" t="s">
        <v>13</v>
      </c>
      <c r="E597" s="5" t="s">
        <v>17</v>
      </c>
      <c r="F597" s="5" t="s">
        <v>46</v>
      </c>
      <c r="G597" s="5" t="s">
        <v>47</v>
      </c>
      <c r="H597" s="5" t="s">
        <v>48</v>
      </c>
      <c r="I597" s="5" t="s">
        <v>32</v>
      </c>
      <c r="J597" s="5">
        <v>16.053570000000001</v>
      </c>
      <c r="K597" s="5">
        <v>-97.399941999999996</v>
      </c>
      <c r="L597" s="5" t="str">
        <f>HYPERLINK("https://maps.google.com/?q=16.05357,-97.399941999999996", "🔗 Ver Mapa")</f>
        <v>🔗 Ver Mapa</v>
      </c>
    </row>
    <row r="598" spans="1:12" ht="29" x14ac:dyDescent="0.35">
      <c r="A598" s="6" t="s">
        <v>2</v>
      </c>
      <c r="B598" s="6" t="s">
        <v>44</v>
      </c>
      <c r="C598" s="6" t="s">
        <v>62</v>
      </c>
      <c r="D598" s="6" t="s">
        <v>13</v>
      </c>
      <c r="E598" s="6" t="s">
        <v>17</v>
      </c>
      <c r="F598" s="6" t="s">
        <v>46</v>
      </c>
      <c r="G598" s="6" t="s">
        <v>47</v>
      </c>
      <c r="H598" s="6" t="s">
        <v>48</v>
      </c>
      <c r="I598" s="6" t="s">
        <v>32</v>
      </c>
      <c r="J598" s="6">
        <v>16.053570000000001</v>
      </c>
      <c r="K598" s="6">
        <v>-97.399941999999996</v>
      </c>
      <c r="L598" s="6" t="str">
        <f>HYPERLINK("https://maps.google.com/?q=16.05357,-97.399941999999996", "🔗 Ver Mapa")</f>
        <v>🔗 Ver Mapa</v>
      </c>
    </row>
    <row r="599" spans="1:12" ht="29" x14ac:dyDescent="0.35">
      <c r="A599" s="5" t="s">
        <v>2</v>
      </c>
      <c r="B599" s="5" t="s">
        <v>44</v>
      </c>
      <c r="C599" s="5" t="s">
        <v>62</v>
      </c>
      <c r="D599" s="5" t="s">
        <v>13</v>
      </c>
      <c r="E599" s="5" t="s">
        <v>17</v>
      </c>
      <c r="F599" s="5" t="s">
        <v>46</v>
      </c>
      <c r="G599" s="5" t="s">
        <v>47</v>
      </c>
      <c r="H599" s="5" t="s">
        <v>48</v>
      </c>
      <c r="I599" s="5" t="s">
        <v>32</v>
      </c>
      <c r="J599" s="5">
        <v>16.053301999999999</v>
      </c>
      <c r="K599" s="5">
        <v>-97.400412000000003</v>
      </c>
      <c r="L599" s="5" t="str">
        <f>HYPERLINK("https://maps.google.com/?q=16.053302,-97.400412000000003", "🔗 Ver Mapa")</f>
        <v>🔗 Ver Mapa</v>
      </c>
    </row>
    <row r="600" spans="1:12" ht="29" x14ac:dyDescent="0.35">
      <c r="A600" s="6" t="s">
        <v>2</v>
      </c>
      <c r="B600" s="6" t="s">
        <v>44</v>
      </c>
      <c r="C600" s="6" t="s">
        <v>62</v>
      </c>
      <c r="D600" s="6" t="s">
        <v>13</v>
      </c>
      <c r="E600" s="6" t="s">
        <v>17</v>
      </c>
      <c r="F600" s="6" t="s">
        <v>46</v>
      </c>
      <c r="G600" s="6" t="s">
        <v>47</v>
      </c>
      <c r="H600" s="6" t="s">
        <v>48</v>
      </c>
      <c r="I600" s="6" t="s">
        <v>32</v>
      </c>
      <c r="J600" s="6">
        <v>16.053301999999999</v>
      </c>
      <c r="K600" s="6">
        <v>-97.400412000000003</v>
      </c>
      <c r="L600" s="6" t="str">
        <f>HYPERLINK("https://maps.google.com/?q=16.053302,-97.400412000000003", "🔗 Ver Mapa")</f>
        <v>🔗 Ver Mapa</v>
      </c>
    </row>
    <row r="601" spans="1:12" ht="29" x14ac:dyDescent="0.35">
      <c r="A601" s="5" t="s">
        <v>2</v>
      </c>
      <c r="B601" s="5" t="s">
        <v>44</v>
      </c>
      <c r="C601" s="5" t="s">
        <v>62</v>
      </c>
      <c r="D601" s="5" t="s">
        <v>13</v>
      </c>
      <c r="E601" s="5" t="s">
        <v>17</v>
      </c>
      <c r="F601" s="5" t="s">
        <v>46</v>
      </c>
      <c r="G601" s="5" t="s">
        <v>47</v>
      </c>
      <c r="H601" s="5" t="s">
        <v>48</v>
      </c>
      <c r="I601" s="5" t="s">
        <v>32</v>
      </c>
      <c r="J601" s="5">
        <v>16.053301999999999</v>
      </c>
      <c r="K601" s="5">
        <v>-97.400412000000003</v>
      </c>
      <c r="L601" s="5" t="str">
        <f>HYPERLINK("https://maps.google.com/?q=16.053302,-97.400412000000003", "🔗 Ver Mapa")</f>
        <v>🔗 Ver Mapa</v>
      </c>
    </row>
    <row r="602" spans="1:12" ht="29" x14ac:dyDescent="0.35">
      <c r="A602" s="6" t="s">
        <v>2</v>
      </c>
      <c r="B602" s="6" t="s">
        <v>44</v>
      </c>
      <c r="C602" s="6" t="s">
        <v>62</v>
      </c>
      <c r="D602" s="6" t="s">
        <v>13</v>
      </c>
      <c r="E602" s="6" t="s">
        <v>17</v>
      </c>
      <c r="F602" s="6" t="s">
        <v>46</v>
      </c>
      <c r="G602" s="6" t="s">
        <v>47</v>
      </c>
      <c r="H602" s="6" t="s">
        <v>48</v>
      </c>
      <c r="I602" s="6" t="s">
        <v>32</v>
      </c>
      <c r="J602" s="6">
        <v>16.053301999999999</v>
      </c>
      <c r="K602" s="6">
        <v>-97.400412000000003</v>
      </c>
      <c r="L602" s="6" t="str">
        <f>HYPERLINK("https://maps.google.com/?q=16.053302,-97.400412000000003", "🔗 Ver Mapa")</f>
        <v>🔗 Ver Mapa</v>
      </c>
    </row>
    <row r="603" spans="1:12" ht="29" x14ac:dyDescent="0.35">
      <c r="A603" s="5" t="s">
        <v>2</v>
      </c>
      <c r="B603" s="5" t="s">
        <v>44</v>
      </c>
      <c r="C603" s="5" t="s">
        <v>62</v>
      </c>
      <c r="D603" s="5" t="s">
        <v>13</v>
      </c>
      <c r="E603" s="5" t="s">
        <v>17</v>
      </c>
      <c r="F603" s="5" t="s">
        <v>46</v>
      </c>
      <c r="G603" s="5" t="s">
        <v>47</v>
      </c>
      <c r="H603" s="5" t="s">
        <v>48</v>
      </c>
      <c r="I603" s="5" t="s">
        <v>32</v>
      </c>
      <c r="J603" s="5">
        <v>16.054939000000001</v>
      </c>
      <c r="K603" s="5">
        <v>-97.395771999999994</v>
      </c>
      <c r="L603" s="5" t="str">
        <f>HYPERLINK("https://maps.google.com/?q=16.054939,-97.395771999999994", "🔗 Ver Mapa")</f>
        <v>🔗 Ver Mapa</v>
      </c>
    </row>
    <row r="604" spans="1:12" ht="29" x14ac:dyDescent="0.35">
      <c r="A604" s="6" t="s">
        <v>2</v>
      </c>
      <c r="B604" s="6" t="s">
        <v>44</v>
      </c>
      <c r="C604" s="6" t="s">
        <v>62</v>
      </c>
      <c r="D604" s="6" t="s">
        <v>13</v>
      </c>
      <c r="E604" s="6" t="s">
        <v>17</v>
      </c>
      <c r="F604" s="6" t="s">
        <v>46</v>
      </c>
      <c r="G604" s="6" t="s">
        <v>47</v>
      </c>
      <c r="H604" s="6" t="s">
        <v>48</v>
      </c>
      <c r="I604" s="6" t="s">
        <v>32</v>
      </c>
      <c r="J604" s="6">
        <v>16.054939000000001</v>
      </c>
      <c r="K604" s="6">
        <v>-97.395771999999994</v>
      </c>
      <c r="L604" s="6" t="str">
        <f>HYPERLINK("https://maps.google.com/?q=16.054939,-97.395771999999994", "🔗 Ver Mapa")</f>
        <v>🔗 Ver Mapa</v>
      </c>
    </row>
    <row r="605" spans="1:12" ht="29" x14ac:dyDescent="0.35">
      <c r="A605" s="5" t="s">
        <v>2</v>
      </c>
      <c r="B605" s="5" t="s">
        <v>44</v>
      </c>
      <c r="C605" s="5" t="s">
        <v>62</v>
      </c>
      <c r="D605" s="5" t="s">
        <v>13</v>
      </c>
      <c r="E605" s="5" t="s">
        <v>17</v>
      </c>
      <c r="F605" s="5" t="s">
        <v>46</v>
      </c>
      <c r="G605" s="5" t="s">
        <v>47</v>
      </c>
      <c r="H605" s="5" t="s">
        <v>48</v>
      </c>
      <c r="I605" s="5" t="s">
        <v>32</v>
      </c>
      <c r="J605" s="5">
        <v>16.054939000000001</v>
      </c>
      <c r="K605" s="5">
        <v>-97.395771999999994</v>
      </c>
      <c r="L605" s="5" t="str">
        <f>HYPERLINK("https://maps.google.com/?q=16.054939,-97.395771999999994", "🔗 Ver Mapa")</f>
        <v>🔗 Ver Mapa</v>
      </c>
    </row>
    <row r="606" spans="1:12" ht="29" x14ac:dyDescent="0.35">
      <c r="A606" s="6" t="s">
        <v>2</v>
      </c>
      <c r="B606" s="6" t="s">
        <v>44</v>
      </c>
      <c r="C606" s="6" t="s">
        <v>62</v>
      </c>
      <c r="D606" s="6" t="s">
        <v>13</v>
      </c>
      <c r="E606" s="6" t="s">
        <v>17</v>
      </c>
      <c r="F606" s="6" t="s">
        <v>46</v>
      </c>
      <c r="G606" s="6" t="s">
        <v>47</v>
      </c>
      <c r="H606" s="6" t="s">
        <v>48</v>
      </c>
      <c r="I606" s="6" t="s">
        <v>32</v>
      </c>
      <c r="J606" s="6">
        <v>16.054939000000001</v>
      </c>
      <c r="K606" s="6">
        <v>-97.395771999999994</v>
      </c>
      <c r="L606" s="6" t="str">
        <f>HYPERLINK("https://maps.google.com/?q=16.054939,-97.395771999999994", "🔗 Ver Mapa")</f>
        <v>🔗 Ver Mapa</v>
      </c>
    </row>
    <row r="607" spans="1:12" ht="29" x14ac:dyDescent="0.35">
      <c r="A607" s="5" t="s">
        <v>2</v>
      </c>
      <c r="B607" s="5" t="s">
        <v>44</v>
      </c>
      <c r="C607" s="5" t="s">
        <v>62</v>
      </c>
      <c r="D607" s="5" t="s">
        <v>13</v>
      </c>
      <c r="E607" s="5" t="s">
        <v>17</v>
      </c>
      <c r="F607" s="5" t="s">
        <v>46</v>
      </c>
      <c r="G607" s="5" t="s">
        <v>47</v>
      </c>
      <c r="H607" s="5" t="s">
        <v>48</v>
      </c>
      <c r="I607" s="5" t="s">
        <v>32</v>
      </c>
      <c r="J607" s="5">
        <v>16.054877999999999</v>
      </c>
      <c r="K607" s="5">
        <v>-97.396080999999995</v>
      </c>
      <c r="L607" s="5" t="str">
        <f>HYPERLINK("https://maps.google.com/?q=16.054878,-97.396080999999995", "🔗 Ver Mapa")</f>
        <v>🔗 Ver Mapa</v>
      </c>
    </row>
    <row r="608" spans="1:12" ht="29" x14ac:dyDescent="0.35">
      <c r="A608" s="6" t="s">
        <v>2</v>
      </c>
      <c r="B608" s="6" t="s">
        <v>44</v>
      </c>
      <c r="C608" s="6" t="s">
        <v>62</v>
      </c>
      <c r="D608" s="6" t="s">
        <v>13</v>
      </c>
      <c r="E608" s="6" t="s">
        <v>17</v>
      </c>
      <c r="F608" s="6" t="s">
        <v>46</v>
      </c>
      <c r="G608" s="6" t="s">
        <v>47</v>
      </c>
      <c r="H608" s="6" t="s">
        <v>48</v>
      </c>
      <c r="I608" s="6" t="s">
        <v>32</v>
      </c>
      <c r="J608" s="6">
        <v>16.054877999999999</v>
      </c>
      <c r="K608" s="6">
        <v>-97.396080999999995</v>
      </c>
      <c r="L608" s="6" t="str">
        <f>HYPERLINK("https://maps.google.com/?q=16.054878,-97.396080999999995", "🔗 Ver Mapa")</f>
        <v>🔗 Ver Mapa</v>
      </c>
    </row>
    <row r="609" spans="1:12" ht="29" x14ac:dyDescent="0.35">
      <c r="A609" s="5" t="s">
        <v>2</v>
      </c>
      <c r="B609" s="5" t="s">
        <v>44</v>
      </c>
      <c r="C609" s="5" t="s">
        <v>62</v>
      </c>
      <c r="D609" s="5" t="s">
        <v>13</v>
      </c>
      <c r="E609" s="5" t="s">
        <v>17</v>
      </c>
      <c r="F609" s="5" t="s">
        <v>46</v>
      </c>
      <c r="G609" s="5" t="s">
        <v>47</v>
      </c>
      <c r="H609" s="5" t="s">
        <v>48</v>
      </c>
      <c r="I609" s="5" t="s">
        <v>32</v>
      </c>
      <c r="J609" s="5">
        <v>16.054877999999999</v>
      </c>
      <c r="K609" s="5">
        <v>-97.396080999999995</v>
      </c>
      <c r="L609" s="5" t="str">
        <f>HYPERLINK("https://maps.google.com/?q=16.054878,-97.396080999999995", "🔗 Ver Mapa")</f>
        <v>🔗 Ver Mapa</v>
      </c>
    </row>
    <row r="610" spans="1:12" ht="29" x14ac:dyDescent="0.35">
      <c r="A610" s="6" t="s">
        <v>2</v>
      </c>
      <c r="B610" s="6" t="s">
        <v>44</v>
      </c>
      <c r="C610" s="6" t="s">
        <v>62</v>
      </c>
      <c r="D610" s="6" t="s">
        <v>13</v>
      </c>
      <c r="E610" s="6" t="s">
        <v>17</v>
      </c>
      <c r="F610" s="6" t="s">
        <v>46</v>
      </c>
      <c r="G610" s="6" t="s">
        <v>47</v>
      </c>
      <c r="H610" s="6" t="s">
        <v>48</v>
      </c>
      <c r="I610" s="6" t="s">
        <v>32</v>
      </c>
      <c r="J610" s="6">
        <v>16.054877999999999</v>
      </c>
      <c r="K610" s="6">
        <v>-97.396080999999995</v>
      </c>
      <c r="L610" s="6" t="str">
        <f>HYPERLINK("https://maps.google.com/?q=16.054878,-97.396080999999995", "🔗 Ver Mapa")</f>
        <v>🔗 Ver Mapa</v>
      </c>
    </row>
    <row r="611" spans="1:12" ht="29" x14ac:dyDescent="0.35">
      <c r="A611" s="5" t="s">
        <v>2</v>
      </c>
      <c r="B611" s="5" t="s">
        <v>44</v>
      </c>
      <c r="C611" s="5" t="s">
        <v>62</v>
      </c>
      <c r="D611" s="5" t="s">
        <v>13</v>
      </c>
      <c r="E611" s="5" t="s">
        <v>17</v>
      </c>
      <c r="F611" s="5" t="s">
        <v>46</v>
      </c>
      <c r="G611" s="5" t="s">
        <v>47</v>
      </c>
      <c r="H611" s="5" t="s">
        <v>48</v>
      </c>
      <c r="I611" s="5" t="s">
        <v>32</v>
      </c>
      <c r="J611" s="5">
        <v>16.054745</v>
      </c>
      <c r="K611" s="5">
        <v>-97.396428</v>
      </c>
      <c r="L611" s="5" t="str">
        <f>HYPERLINK("https://maps.google.com/?q=16.054745,-97.396428", "🔗 Ver Mapa")</f>
        <v>🔗 Ver Mapa</v>
      </c>
    </row>
    <row r="612" spans="1:12" ht="29" x14ac:dyDescent="0.35">
      <c r="A612" s="6" t="s">
        <v>2</v>
      </c>
      <c r="B612" s="6" t="s">
        <v>44</v>
      </c>
      <c r="C612" s="6" t="s">
        <v>62</v>
      </c>
      <c r="D612" s="6" t="s">
        <v>13</v>
      </c>
      <c r="E612" s="6" t="s">
        <v>17</v>
      </c>
      <c r="F612" s="6" t="s">
        <v>46</v>
      </c>
      <c r="G612" s="6" t="s">
        <v>47</v>
      </c>
      <c r="H612" s="6" t="s">
        <v>48</v>
      </c>
      <c r="I612" s="6" t="s">
        <v>32</v>
      </c>
      <c r="J612" s="6">
        <v>16.054745</v>
      </c>
      <c r="K612" s="6">
        <v>-97.396428</v>
      </c>
      <c r="L612" s="6" t="str">
        <f>HYPERLINK("https://maps.google.com/?q=16.054745,-97.396428", "🔗 Ver Mapa")</f>
        <v>🔗 Ver Mapa</v>
      </c>
    </row>
    <row r="613" spans="1:12" ht="29" x14ac:dyDescent="0.35">
      <c r="A613" s="5" t="s">
        <v>2</v>
      </c>
      <c r="B613" s="5" t="s">
        <v>44</v>
      </c>
      <c r="C613" s="5" t="s">
        <v>62</v>
      </c>
      <c r="D613" s="5" t="s">
        <v>13</v>
      </c>
      <c r="E613" s="5" t="s">
        <v>17</v>
      </c>
      <c r="F613" s="5" t="s">
        <v>46</v>
      </c>
      <c r="G613" s="5" t="s">
        <v>47</v>
      </c>
      <c r="H613" s="5" t="s">
        <v>48</v>
      </c>
      <c r="I613" s="5" t="s">
        <v>32</v>
      </c>
      <c r="J613" s="5">
        <v>16.054745</v>
      </c>
      <c r="K613" s="5">
        <v>-97.396428</v>
      </c>
      <c r="L613" s="5" t="str">
        <f>HYPERLINK("https://maps.google.com/?q=16.054745,-97.396428", "🔗 Ver Mapa")</f>
        <v>🔗 Ver Mapa</v>
      </c>
    </row>
    <row r="614" spans="1:12" ht="29" x14ac:dyDescent="0.35">
      <c r="A614" s="6" t="s">
        <v>2</v>
      </c>
      <c r="B614" s="6" t="s">
        <v>44</v>
      </c>
      <c r="C614" s="6" t="s">
        <v>62</v>
      </c>
      <c r="D614" s="6" t="s">
        <v>13</v>
      </c>
      <c r="E614" s="6" t="s">
        <v>17</v>
      </c>
      <c r="F614" s="6" t="s">
        <v>46</v>
      </c>
      <c r="G614" s="6" t="s">
        <v>47</v>
      </c>
      <c r="H614" s="6" t="s">
        <v>48</v>
      </c>
      <c r="I614" s="6" t="s">
        <v>32</v>
      </c>
      <c r="J614" s="6">
        <v>16.054745</v>
      </c>
      <c r="K614" s="6">
        <v>-97.396428</v>
      </c>
      <c r="L614" s="6" t="str">
        <f>HYPERLINK("https://maps.google.com/?q=16.054745,-97.396428", "🔗 Ver Mapa")</f>
        <v>🔗 Ver Mapa</v>
      </c>
    </row>
    <row r="615" spans="1:12" ht="29" x14ac:dyDescent="0.35">
      <c r="A615" s="5" t="s">
        <v>2</v>
      </c>
      <c r="B615" s="5" t="s">
        <v>44</v>
      </c>
      <c r="C615" s="5" t="s">
        <v>62</v>
      </c>
      <c r="D615" s="5" t="s">
        <v>13</v>
      </c>
      <c r="E615" s="5" t="s">
        <v>17</v>
      </c>
      <c r="F615" s="5" t="s">
        <v>46</v>
      </c>
      <c r="G615" s="5" t="s">
        <v>47</v>
      </c>
      <c r="H615" s="5" t="s">
        <v>48</v>
      </c>
      <c r="I615" s="5" t="s">
        <v>32</v>
      </c>
      <c r="J615" s="5">
        <v>16.05472</v>
      </c>
      <c r="K615" s="5">
        <v>-97.396662000000006</v>
      </c>
      <c r="L615" s="5" t="str">
        <f>HYPERLINK("https://maps.google.com/?q=16.05472,-97.396662000000006", "🔗 Ver Mapa")</f>
        <v>🔗 Ver Mapa</v>
      </c>
    </row>
    <row r="616" spans="1:12" ht="29" x14ac:dyDescent="0.35">
      <c r="A616" s="6" t="s">
        <v>2</v>
      </c>
      <c r="B616" s="6" t="s">
        <v>44</v>
      </c>
      <c r="C616" s="6" t="s">
        <v>62</v>
      </c>
      <c r="D616" s="6" t="s">
        <v>13</v>
      </c>
      <c r="E616" s="6" t="s">
        <v>17</v>
      </c>
      <c r="F616" s="6" t="s">
        <v>46</v>
      </c>
      <c r="G616" s="6" t="s">
        <v>47</v>
      </c>
      <c r="H616" s="6" t="s">
        <v>48</v>
      </c>
      <c r="I616" s="6" t="s">
        <v>32</v>
      </c>
      <c r="J616" s="6">
        <v>16.05472</v>
      </c>
      <c r="K616" s="6">
        <v>-97.396662000000006</v>
      </c>
      <c r="L616" s="6" t="str">
        <f>HYPERLINK("https://maps.google.com/?q=16.05472,-97.396662000000006", "🔗 Ver Mapa")</f>
        <v>🔗 Ver Mapa</v>
      </c>
    </row>
    <row r="617" spans="1:12" ht="29" x14ac:dyDescent="0.35">
      <c r="A617" s="5" t="s">
        <v>2</v>
      </c>
      <c r="B617" s="5" t="s">
        <v>44</v>
      </c>
      <c r="C617" s="5" t="s">
        <v>62</v>
      </c>
      <c r="D617" s="5" t="s">
        <v>13</v>
      </c>
      <c r="E617" s="5" t="s">
        <v>17</v>
      </c>
      <c r="F617" s="5" t="s">
        <v>46</v>
      </c>
      <c r="G617" s="5" t="s">
        <v>47</v>
      </c>
      <c r="H617" s="5" t="s">
        <v>48</v>
      </c>
      <c r="I617" s="5" t="s">
        <v>32</v>
      </c>
      <c r="J617" s="5">
        <v>16.05472</v>
      </c>
      <c r="K617" s="5">
        <v>-97.396662000000006</v>
      </c>
      <c r="L617" s="5" t="str">
        <f>HYPERLINK("https://maps.google.com/?q=16.05472,-97.396662000000006", "🔗 Ver Mapa")</f>
        <v>🔗 Ver Mapa</v>
      </c>
    </row>
    <row r="618" spans="1:12" ht="29" x14ac:dyDescent="0.35">
      <c r="A618" s="6" t="s">
        <v>2</v>
      </c>
      <c r="B618" s="6" t="s">
        <v>44</v>
      </c>
      <c r="C618" s="6" t="s">
        <v>62</v>
      </c>
      <c r="D618" s="6" t="s">
        <v>13</v>
      </c>
      <c r="E618" s="6" t="s">
        <v>17</v>
      </c>
      <c r="F618" s="6" t="s">
        <v>46</v>
      </c>
      <c r="G618" s="6" t="s">
        <v>47</v>
      </c>
      <c r="H618" s="6" t="s">
        <v>48</v>
      </c>
      <c r="I618" s="6" t="s">
        <v>32</v>
      </c>
      <c r="J618" s="6">
        <v>16.05472</v>
      </c>
      <c r="K618" s="6">
        <v>-97.396662000000006</v>
      </c>
      <c r="L618" s="6" t="str">
        <f>HYPERLINK("https://maps.google.com/?q=16.05472,-97.396662000000006", "🔗 Ver Mapa")</f>
        <v>🔗 Ver Mapa</v>
      </c>
    </row>
    <row r="619" spans="1:12" ht="29" x14ac:dyDescent="0.35">
      <c r="A619" s="5" t="s">
        <v>2</v>
      </c>
      <c r="B619" s="5" t="s">
        <v>44</v>
      </c>
      <c r="C619" s="5" t="s">
        <v>62</v>
      </c>
      <c r="D619" s="5" t="s">
        <v>13</v>
      </c>
      <c r="E619" s="5" t="s">
        <v>17</v>
      </c>
      <c r="F619" s="5" t="s">
        <v>46</v>
      </c>
      <c r="G619" s="5" t="s">
        <v>47</v>
      </c>
      <c r="H619" s="5" t="s">
        <v>48</v>
      </c>
      <c r="I619" s="5" t="s">
        <v>32</v>
      </c>
      <c r="J619" s="5">
        <v>16.054639999999999</v>
      </c>
      <c r="K619" s="5">
        <v>-97.396859000000006</v>
      </c>
      <c r="L619" s="5" t="str">
        <f>HYPERLINK("https://maps.google.com/?q=16.05464,-97.396859000000006", "🔗 Ver Mapa")</f>
        <v>🔗 Ver Mapa</v>
      </c>
    </row>
    <row r="620" spans="1:12" ht="29" x14ac:dyDescent="0.35">
      <c r="A620" s="6" t="s">
        <v>2</v>
      </c>
      <c r="B620" s="6" t="s">
        <v>44</v>
      </c>
      <c r="C620" s="6" t="s">
        <v>62</v>
      </c>
      <c r="D620" s="6" t="s">
        <v>13</v>
      </c>
      <c r="E620" s="6" t="s">
        <v>17</v>
      </c>
      <c r="F620" s="6" t="s">
        <v>46</v>
      </c>
      <c r="G620" s="6" t="s">
        <v>47</v>
      </c>
      <c r="H620" s="6" t="s">
        <v>48</v>
      </c>
      <c r="I620" s="6" t="s">
        <v>32</v>
      </c>
      <c r="J620" s="6">
        <v>16.054639999999999</v>
      </c>
      <c r="K620" s="6">
        <v>-97.396859000000006</v>
      </c>
      <c r="L620" s="6" t="str">
        <f>HYPERLINK("https://maps.google.com/?q=16.05464,-97.396859000000006", "🔗 Ver Mapa")</f>
        <v>🔗 Ver Mapa</v>
      </c>
    </row>
    <row r="621" spans="1:12" ht="29" x14ac:dyDescent="0.35">
      <c r="A621" s="5" t="s">
        <v>2</v>
      </c>
      <c r="B621" s="5" t="s">
        <v>44</v>
      </c>
      <c r="C621" s="5" t="s">
        <v>62</v>
      </c>
      <c r="D621" s="5" t="s">
        <v>13</v>
      </c>
      <c r="E621" s="5" t="s">
        <v>17</v>
      </c>
      <c r="F621" s="5" t="s">
        <v>46</v>
      </c>
      <c r="G621" s="5" t="s">
        <v>47</v>
      </c>
      <c r="H621" s="5" t="s">
        <v>48</v>
      </c>
      <c r="I621" s="5" t="s">
        <v>32</v>
      </c>
      <c r="J621" s="5">
        <v>16.054639999999999</v>
      </c>
      <c r="K621" s="5">
        <v>-97.396859000000006</v>
      </c>
      <c r="L621" s="5" t="str">
        <f>HYPERLINK("https://maps.google.com/?q=16.05464,-97.396859000000006", "🔗 Ver Mapa")</f>
        <v>🔗 Ver Mapa</v>
      </c>
    </row>
    <row r="622" spans="1:12" ht="29" x14ac:dyDescent="0.35">
      <c r="A622" s="6" t="s">
        <v>2</v>
      </c>
      <c r="B622" s="6" t="s">
        <v>44</v>
      </c>
      <c r="C622" s="6" t="s">
        <v>62</v>
      </c>
      <c r="D622" s="6" t="s">
        <v>13</v>
      </c>
      <c r="E622" s="6" t="s">
        <v>17</v>
      </c>
      <c r="F622" s="6" t="s">
        <v>46</v>
      </c>
      <c r="G622" s="6" t="s">
        <v>47</v>
      </c>
      <c r="H622" s="6" t="s">
        <v>48</v>
      </c>
      <c r="I622" s="6" t="s">
        <v>32</v>
      </c>
      <c r="J622" s="6">
        <v>16.054639999999999</v>
      </c>
      <c r="K622" s="6">
        <v>-97.396859000000006</v>
      </c>
      <c r="L622" s="6" t="str">
        <f>HYPERLINK("https://maps.google.com/?q=16.05464,-97.396859000000006", "🔗 Ver Mapa")</f>
        <v>🔗 Ver Mapa</v>
      </c>
    </row>
    <row r="623" spans="1:12" ht="29" x14ac:dyDescent="0.35">
      <c r="A623" s="5" t="s">
        <v>2</v>
      </c>
      <c r="B623" s="5" t="s">
        <v>44</v>
      </c>
      <c r="C623" s="5" t="s">
        <v>62</v>
      </c>
      <c r="D623" s="5" t="s">
        <v>13</v>
      </c>
      <c r="E623" s="5" t="s">
        <v>17</v>
      </c>
      <c r="F623" s="5" t="s">
        <v>46</v>
      </c>
      <c r="G623" s="5" t="s">
        <v>47</v>
      </c>
      <c r="H623" s="5" t="s">
        <v>48</v>
      </c>
      <c r="I623" s="5" t="s">
        <v>32</v>
      </c>
      <c r="J623" s="5">
        <v>16.054752000000001</v>
      </c>
      <c r="K623" s="5">
        <v>-97.397278</v>
      </c>
      <c r="L623" s="5" t="str">
        <f>HYPERLINK("https://maps.google.com/?q=16.054752,-97.397278", "🔗 Ver Mapa")</f>
        <v>🔗 Ver Mapa</v>
      </c>
    </row>
    <row r="624" spans="1:12" ht="29" x14ac:dyDescent="0.35">
      <c r="A624" s="6" t="s">
        <v>2</v>
      </c>
      <c r="B624" s="6" t="s">
        <v>44</v>
      </c>
      <c r="C624" s="6" t="s">
        <v>62</v>
      </c>
      <c r="D624" s="6" t="s">
        <v>13</v>
      </c>
      <c r="E624" s="6" t="s">
        <v>17</v>
      </c>
      <c r="F624" s="6" t="s">
        <v>46</v>
      </c>
      <c r="G624" s="6" t="s">
        <v>47</v>
      </c>
      <c r="H624" s="6" t="s">
        <v>48</v>
      </c>
      <c r="I624" s="6" t="s">
        <v>32</v>
      </c>
      <c r="J624" s="6">
        <v>16.054752000000001</v>
      </c>
      <c r="K624" s="6">
        <v>-97.397278</v>
      </c>
      <c r="L624" s="6" t="str">
        <f>HYPERLINK("https://maps.google.com/?q=16.054752,-97.397278", "🔗 Ver Mapa")</f>
        <v>🔗 Ver Mapa</v>
      </c>
    </row>
    <row r="625" spans="1:12" ht="29" x14ac:dyDescent="0.35">
      <c r="A625" s="5" t="s">
        <v>2</v>
      </c>
      <c r="B625" s="5" t="s">
        <v>44</v>
      </c>
      <c r="C625" s="5" t="s">
        <v>62</v>
      </c>
      <c r="D625" s="5" t="s">
        <v>13</v>
      </c>
      <c r="E625" s="5" t="s">
        <v>17</v>
      </c>
      <c r="F625" s="5" t="s">
        <v>46</v>
      </c>
      <c r="G625" s="5" t="s">
        <v>47</v>
      </c>
      <c r="H625" s="5" t="s">
        <v>48</v>
      </c>
      <c r="I625" s="5" t="s">
        <v>32</v>
      </c>
      <c r="J625" s="5">
        <v>16.054752000000001</v>
      </c>
      <c r="K625" s="5">
        <v>-97.397278</v>
      </c>
      <c r="L625" s="5" t="str">
        <f>HYPERLINK("https://maps.google.com/?q=16.054752,-97.397278", "🔗 Ver Mapa")</f>
        <v>🔗 Ver Mapa</v>
      </c>
    </row>
    <row r="626" spans="1:12" ht="29" x14ac:dyDescent="0.35">
      <c r="A626" s="6" t="s">
        <v>2</v>
      </c>
      <c r="B626" s="6" t="s">
        <v>44</v>
      </c>
      <c r="C626" s="6" t="s">
        <v>62</v>
      </c>
      <c r="D626" s="6" t="s">
        <v>13</v>
      </c>
      <c r="E626" s="6" t="s">
        <v>17</v>
      </c>
      <c r="F626" s="6" t="s">
        <v>46</v>
      </c>
      <c r="G626" s="6" t="s">
        <v>47</v>
      </c>
      <c r="H626" s="6" t="s">
        <v>48</v>
      </c>
      <c r="I626" s="6" t="s">
        <v>32</v>
      </c>
      <c r="J626" s="6">
        <v>16.054752000000001</v>
      </c>
      <c r="K626" s="6">
        <v>-97.397278</v>
      </c>
      <c r="L626" s="6" t="str">
        <f>HYPERLINK("https://maps.google.com/?q=16.054752,-97.397278", "🔗 Ver Mapa")</f>
        <v>🔗 Ver Mapa</v>
      </c>
    </row>
    <row r="627" spans="1:12" ht="29" x14ac:dyDescent="0.35">
      <c r="A627" s="5" t="s">
        <v>2</v>
      </c>
      <c r="B627" s="5" t="s">
        <v>44</v>
      </c>
      <c r="C627" s="5" t="s">
        <v>62</v>
      </c>
      <c r="D627" s="5" t="s">
        <v>13</v>
      </c>
      <c r="E627" s="5" t="s">
        <v>17</v>
      </c>
      <c r="F627" s="5" t="s">
        <v>46</v>
      </c>
      <c r="G627" s="5" t="s">
        <v>47</v>
      </c>
      <c r="H627" s="5" t="s">
        <v>48</v>
      </c>
      <c r="I627" s="5" t="s">
        <v>32</v>
      </c>
      <c r="J627" s="5">
        <v>16.054565</v>
      </c>
      <c r="K627" s="5">
        <v>-97.394046000000003</v>
      </c>
      <c r="L627" s="5" t="str">
        <f>HYPERLINK("https://maps.google.com/?q=16.054565,-97.394046000000003", "🔗 Ver Mapa")</f>
        <v>🔗 Ver Mapa</v>
      </c>
    </row>
    <row r="628" spans="1:12" ht="29" x14ac:dyDescent="0.35">
      <c r="A628" s="6" t="s">
        <v>2</v>
      </c>
      <c r="B628" s="6" t="s">
        <v>44</v>
      </c>
      <c r="C628" s="6" t="s">
        <v>62</v>
      </c>
      <c r="D628" s="6" t="s">
        <v>13</v>
      </c>
      <c r="E628" s="6" t="s">
        <v>17</v>
      </c>
      <c r="F628" s="6" t="s">
        <v>46</v>
      </c>
      <c r="G628" s="6" t="s">
        <v>47</v>
      </c>
      <c r="H628" s="6" t="s">
        <v>48</v>
      </c>
      <c r="I628" s="6" t="s">
        <v>32</v>
      </c>
      <c r="J628" s="6">
        <v>16.054565</v>
      </c>
      <c r="K628" s="6">
        <v>-97.394046000000003</v>
      </c>
      <c r="L628" s="6" t="str">
        <f>HYPERLINK("https://maps.google.com/?q=16.054565,-97.394046000000003", "🔗 Ver Mapa")</f>
        <v>🔗 Ver Mapa</v>
      </c>
    </row>
    <row r="629" spans="1:12" ht="29" x14ac:dyDescent="0.35">
      <c r="A629" s="5" t="s">
        <v>2</v>
      </c>
      <c r="B629" s="5" t="s">
        <v>44</v>
      </c>
      <c r="C629" s="5" t="s">
        <v>62</v>
      </c>
      <c r="D629" s="5" t="s">
        <v>13</v>
      </c>
      <c r="E629" s="5" t="s">
        <v>17</v>
      </c>
      <c r="F629" s="5" t="s">
        <v>46</v>
      </c>
      <c r="G629" s="5" t="s">
        <v>47</v>
      </c>
      <c r="H629" s="5" t="s">
        <v>48</v>
      </c>
      <c r="I629" s="5" t="s">
        <v>32</v>
      </c>
      <c r="J629" s="5">
        <v>16.054565</v>
      </c>
      <c r="K629" s="5">
        <v>-97.394046000000003</v>
      </c>
      <c r="L629" s="5" t="str">
        <f>HYPERLINK("https://maps.google.com/?q=16.054565,-97.394046000000003", "🔗 Ver Mapa")</f>
        <v>🔗 Ver Mapa</v>
      </c>
    </row>
    <row r="630" spans="1:12" ht="29" x14ac:dyDescent="0.35">
      <c r="A630" s="6" t="s">
        <v>2</v>
      </c>
      <c r="B630" s="6" t="s">
        <v>44</v>
      </c>
      <c r="C630" s="6" t="s">
        <v>62</v>
      </c>
      <c r="D630" s="6" t="s">
        <v>13</v>
      </c>
      <c r="E630" s="6" t="s">
        <v>17</v>
      </c>
      <c r="F630" s="6" t="s">
        <v>46</v>
      </c>
      <c r="G630" s="6" t="s">
        <v>47</v>
      </c>
      <c r="H630" s="6" t="s">
        <v>48</v>
      </c>
      <c r="I630" s="6" t="s">
        <v>32</v>
      </c>
      <c r="J630" s="6">
        <v>16.054565</v>
      </c>
      <c r="K630" s="6">
        <v>-97.394046000000003</v>
      </c>
      <c r="L630" s="6" t="str">
        <f>HYPERLINK("https://maps.google.com/?q=16.054565,-97.394046000000003", "🔗 Ver Mapa")</f>
        <v>🔗 Ver Mapa</v>
      </c>
    </row>
    <row r="631" spans="1:12" ht="29" x14ac:dyDescent="0.35">
      <c r="A631" s="5" t="s">
        <v>2</v>
      </c>
      <c r="B631" s="5" t="s">
        <v>44</v>
      </c>
      <c r="C631" s="5" t="s">
        <v>62</v>
      </c>
      <c r="D631" s="5" t="s">
        <v>13</v>
      </c>
      <c r="E631" s="5" t="s">
        <v>17</v>
      </c>
      <c r="F631" s="5" t="s">
        <v>46</v>
      </c>
      <c r="G631" s="5" t="s">
        <v>47</v>
      </c>
      <c r="H631" s="5" t="s">
        <v>48</v>
      </c>
      <c r="I631" s="5" t="s">
        <v>32</v>
      </c>
      <c r="J631" s="5">
        <v>16.054514000000001</v>
      </c>
      <c r="K631" s="5">
        <v>-97.394467000000006</v>
      </c>
      <c r="L631" s="5" t="str">
        <f>HYPERLINK("https://maps.google.com/?q=16.054514,-97.394467000000006", "🔗 Ver Mapa")</f>
        <v>🔗 Ver Mapa</v>
      </c>
    </row>
    <row r="632" spans="1:12" ht="29" x14ac:dyDescent="0.35">
      <c r="A632" s="6" t="s">
        <v>2</v>
      </c>
      <c r="B632" s="6" t="s">
        <v>44</v>
      </c>
      <c r="C632" s="6" t="s">
        <v>62</v>
      </c>
      <c r="D632" s="6" t="s">
        <v>13</v>
      </c>
      <c r="E632" s="6" t="s">
        <v>17</v>
      </c>
      <c r="F632" s="6" t="s">
        <v>46</v>
      </c>
      <c r="G632" s="6" t="s">
        <v>47</v>
      </c>
      <c r="H632" s="6" t="s">
        <v>48</v>
      </c>
      <c r="I632" s="6" t="s">
        <v>32</v>
      </c>
      <c r="J632" s="6">
        <v>16.054514000000001</v>
      </c>
      <c r="K632" s="6">
        <v>-97.394467000000006</v>
      </c>
      <c r="L632" s="6" t="str">
        <f>HYPERLINK("https://maps.google.com/?q=16.054514,-97.394467000000006", "🔗 Ver Mapa")</f>
        <v>🔗 Ver Mapa</v>
      </c>
    </row>
    <row r="633" spans="1:12" ht="29" x14ac:dyDescent="0.35">
      <c r="A633" s="5" t="s">
        <v>2</v>
      </c>
      <c r="B633" s="5" t="s">
        <v>44</v>
      </c>
      <c r="C633" s="5" t="s">
        <v>62</v>
      </c>
      <c r="D633" s="5" t="s">
        <v>13</v>
      </c>
      <c r="E633" s="5" t="s">
        <v>17</v>
      </c>
      <c r="F633" s="5" t="s">
        <v>46</v>
      </c>
      <c r="G633" s="5" t="s">
        <v>47</v>
      </c>
      <c r="H633" s="5" t="s">
        <v>48</v>
      </c>
      <c r="I633" s="5" t="s">
        <v>32</v>
      </c>
      <c r="J633" s="5">
        <v>16.054514000000001</v>
      </c>
      <c r="K633" s="5">
        <v>-97.394467000000006</v>
      </c>
      <c r="L633" s="5" t="str">
        <f>HYPERLINK("https://maps.google.com/?q=16.054514,-97.394467000000006", "🔗 Ver Mapa")</f>
        <v>🔗 Ver Mapa</v>
      </c>
    </row>
    <row r="634" spans="1:12" ht="29" x14ac:dyDescent="0.35">
      <c r="A634" s="6" t="s">
        <v>2</v>
      </c>
      <c r="B634" s="6" t="s">
        <v>44</v>
      </c>
      <c r="C634" s="6" t="s">
        <v>62</v>
      </c>
      <c r="D634" s="6" t="s">
        <v>13</v>
      </c>
      <c r="E634" s="6" t="s">
        <v>17</v>
      </c>
      <c r="F634" s="6" t="s">
        <v>46</v>
      </c>
      <c r="G634" s="6" t="s">
        <v>47</v>
      </c>
      <c r="H634" s="6" t="s">
        <v>48</v>
      </c>
      <c r="I634" s="6" t="s">
        <v>32</v>
      </c>
      <c r="J634" s="6">
        <v>16.054514000000001</v>
      </c>
      <c r="K634" s="6">
        <v>-97.394467000000006</v>
      </c>
      <c r="L634" s="6" t="str">
        <f>HYPERLINK("https://maps.google.com/?q=16.054514,-97.394467000000006", "🔗 Ver Mapa")</f>
        <v>🔗 Ver Mapa</v>
      </c>
    </row>
    <row r="635" spans="1:12" ht="29" x14ac:dyDescent="0.35">
      <c r="A635" s="5" t="s">
        <v>2</v>
      </c>
      <c r="B635" s="5" t="s">
        <v>44</v>
      </c>
      <c r="C635" s="5" t="s">
        <v>62</v>
      </c>
      <c r="D635" s="5" t="s">
        <v>13</v>
      </c>
      <c r="E635" s="5" t="s">
        <v>17</v>
      </c>
      <c r="F635" s="5" t="s">
        <v>46</v>
      </c>
      <c r="G635" s="5" t="s">
        <v>47</v>
      </c>
      <c r="H635" s="5" t="s">
        <v>48</v>
      </c>
      <c r="I635" s="5" t="s">
        <v>32</v>
      </c>
      <c r="J635" s="5">
        <v>16.054345999999999</v>
      </c>
      <c r="K635" s="5">
        <v>-97.394972999999993</v>
      </c>
      <c r="L635" s="5" t="str">
        <f>HYPERLINK("https://maps.google.com/?q=16.054346,-97.394972999999993", "🔗 Ver Mapa")</f>
        <v>🔗 Ver Mapa</v>
      </c>
    </row>
    <row r="636" spans="1:12" ht="29" x14ac:dyDescent="0.35">
      <c r="A636" s="6" t="s">
        <v>2</v>
      </c>
      <c r="B636" s="6" t="s">
        <v>44</v>
      </c>
      <c r="C636" s="6" t="s">
        <v>62</v>
      </c>
      <c r="D636" s="6" t="s">
        <v>13</v>
      </c>
      <c r="E636" s="6" t="s">
        <v>17</v>
      </c>
      <c r="F636" s="6" t="s">
        <v>46</v>
      </c>
      <c r="G636" s="6" t="s">
        <v>47</v>
      </c>
      <c r="H636" s="6" t="s">
        <v>48</v>
      </c>
      <c r="I636" s="6" t="s">
        <v>32</v>
      </c>
      <c r="J636" s="6">
        <v>16.054345999999999</v>
      </c>
      <c r="K636" s="6">
        <v>-97.394972999999993</v>
      </c>
      <c r="L636" s="6" t="str">
        <f>HYPERLINK("https://maps.google.com/?q=16.054346,-97.394972999999993", "🔗 Ver Mapa")</f>
        <v>🔗 Ver Mapa</v>
      </c>
    </row>
    <row r="637" spans="1:12" ht="29" x14ac:dyDescent="0.35">
      <c r="A637" s="5" t="s">
        <v>2</v>
      </c>
      <c r="B637" s="5" t="s">
        <v>44</v>
      </c>
      <c r="C637" s="5" t="s">
        <v>62</v>
      </c>
      <c r="D637" s="5" t="s">
        <v>13</v>
      </c>
      <c r="E637" s="5" t="s">
        <v>17</v>
      </c>
      <c r="F637" s="5" t="s">
        <v>46</v>
      </c>
      <c r="G637" s="5" t="s">
        <v>47</v>
      </c>
      <c r="H637" s="5" t="s">
        <v>48</v>
      </c>
      <c r="I637" s="5" t="s">
        <v>32</v>
      </c>
      <c r="J637" s="5">
        <v>16.054345999999999</v>
      </c>
      <c r="K637" s="5">
        <v>-97.394972999999993</v>
      </c>
      <c r="L637" s="5" t="str">
        <f>HYPERLINK("https://maps.google.com/?q=16.054346,-97.394972999999993", "🔗 Ver Mapa")</f>
        <v>🔗 Ver Mapa</v>
      </c>
    </row>
    <row r="638" spans="1:12" ht="29" x14ac:dyDescent="0.35">
      <c r="A638" s="6" t="s">
        <v>2</v>
      </c>
      <c r="B638" s="6" t="s">
        <v>44</v>
      </c>
      <c r="C638" s="6" t="s">
        <v>62</v>
      </c>
      <c r="D638" s="6" t="s">
        <v>13</v>
      </c>
      <c r="E638" s="6" t="s">
        <v>17</v>
      </c>
      <c r="F638" s="6" t="s">
        <v>46</v>
      </c>
      <c r="G638" s="6" t="s">
        <v>47</v>
      </c>
      <c r="H638" s="6" t="s">
        <v>48</v>
      </c>
      <c r="I638" s="6" t="s">
        <v>32</v>
      </c>
      <c r="J638" s="6">
        <v>16.054345999999999</v>
      </c>
      <c r="K638" s="6">
        <v>-97.394972999999993</v>
      </c>
      <c r="L638" s="6" t="str">
        <f>HYPERLINK("https://maps.google.com/?q=16.054346,-97.394972999999993", "🔗 Ver Mapa")</f>
        <v>🔗 Ver Mapa</v>
      </c>
    </row>
    <row r="639" spans="1:12" ht="29" x14ac:dyDescent="0.35">
      <c r="A639" s="5" t="s">
        <v>2</v>
      </c>
      <c r="B639" s="5" t="s">
        <v>44</v>
      </c>
      <c r="C639" s="5" t="s">
        <v>62</v>
      </c>
      <c r="D639" s="5" t="s">
        <v>13</v>
      </c>
      <c r="E639" s="5" t="s">
        <v>17</v>
      </c>
      <c r="F639" s="5" t="s">
        <v>46</v>
      </c>
      <c r="G639" s="5" t="s">
        <v>47</v>
      </c>
      <c r="H639" s="5" t="s">
        <v>48</v>
      </c>
      <c r="I639" s="5" t="s">
        <v>32</v>
      </c>
      <c r="J639" s="5">
        <v>16.054392</v>
      </c>
      <c r="K639" s="5">
        <v>-97.395160000000004</v>
      </c>
      <c r="L639" s="5" t="str">
        <f>HYPERLINK("https://maps.google.com/?q=16.054392,-97.395160000000004", "🔗 Ver Mapa")</f>
        <v>🔗 Ver Mapa</v>
      </c>
    </row>
    <row r="640" spans="1:12" ht="29" x14ac:dyDescent="0.35">
      <c r="A640" s="6" t="s">
        <v>2</v>
      </c>
      <c r="B640" s="6" t="s">
        <v>44</v>
      </c>
      <c r="C640" s="6" t="s">
        <v>62</v>
      </c>
      <c r="D640" s="6" t="s">
        <v>13</v>
      </c>
      <c r="E640" s="6" t="s">
        <v>17</v>
      </c>
      <c r="F640" s="6" t="s">
        <v>46</v>
      </c>
      <c r="G640" s="6" t="s">
        <v>47</v>
      </c>
      <c r="H640" s="6" t="s">
        <v>48</v>
      </c>
      <c r="I640" s="6" t="s">
        <v>32</v>
      </c>
      <c r="J640" s="6">
        <v>16.054392</v>
      </c>
      <c r="K640" s="6">
        <v>-97.395160000000004</v>
      </c>
      <c r="L640" s="6" t="str">
        <f>HYPERLINK("https://maps.google.com/?q=16.054392,-97.395160000000004", "🔗 Ver Mapa")</f>
        <v>🔗 Ver Mapa</v>
      </c>
    </row>
    <row r="641" spans="1:12" ht="29" x14ac:dyDescent="0.35">
      <c r="A641" s="5" t="s">
        <v>2</v>
      </c>
      <c r="B641" s="5" t="s">
        <v>44</v>
      </c>
      <c r="C641" s="5" t="s">
        <v>62</v>
      </c>
      <c r="D641" s="5" t="s">
        <v>13</v>
      </c>
      <c r="E641" s="5" t="s">
        <v>17</v>
      </c>
      <c r="F641" s="5" t="s">
        <v>46</v>
      </c>
      <c r="G641" s="5" t="s">
        <v>47</v>
      </c>
      <c r="H641" s="5" t="s">
        <v>48</v>
      </c>
      <c r="I641" s="5" t="s">
        <v>32</v>
      </c>
      <c r="J641" s="5">
        <v>16.054392</v>
      </c>
      <c r="K641" s="5">
        <v>-97.395160000000004</v>
      </c>
      <c r="L641" s="5" t="str">
        <f>HYPERLINK("https://maps.google.com/?q=16.054392,-97.395160000000004", "🔗 Ver Mapa")</f>
        <v>🔗 Ver Mapa</v>
      </c>
    </row>
    <row r="642" spans="1:12" ht="29" x14ac:dyDescent="0.35">
      <c r="A642" s="6" t="s">
        <v>2</v>
      </c>
      <c r="B642" s="6" t="s">
        <v>44</v>
      </c>
      <c r="C642" s="6" t="s">
        <v>62</v>
      </c>
      <c r="D642" s="6" t="s">
        <v>13</v>
      </c>
      <c r="E642" s="6" t="s">
        <v>17</v>
      </c>
      <c r="F642" s="6" t="s">
        <v>46</v>
      </c>
      <c r="G642" s="6" t="s">
        <v>47</v>
      </c>
      <c r="H642" s="6" t="s">
        <v>48</v>
      </c>
      <c r="I642" s="6" t="s">
        <v>32</v>
      </c>
      <c r="J642" s="6">
        <v>16.054392</v>
      </c>
      <c r="K642" s="6">
        <v>-97.395160000000004</v>
      </c>
      <c r="L642" s="6" t="str">
        <f>HYPERLINK("https://maps.google.com/?q=16.054392,-97.395160000000004", "🔗 Ver Mapa")</f>
        <v>🔗 Ver Mapa</v>
      </c>
    </row>
    <row r="643" spans="1:12" ht="29" x14ac:dyDescent="0.35">
      <c r="A643" s="5" t="s">
        <v>2</v>
      </c>
      <c r="B643" s="5" t="s">
        <v>44</v>
      </c>
      <c r="C643" s="5" t="s">
        <v>62</v>
      </c>
      <c r="D643" s="5" t="s">
        <v>13</v>
      </c>
      <c r="E643" s="5" t="s">
        <v>17</v>
      </c>
      <c r="F643" s="5" t="s">
        <v>46</v>
      </c>
      <c r="G643" s="5" t="s">
        <v>47</v>
      </c>
      <c r="H643" s="5" t="s">
        <v>48</v>
      </c>
      <c r="I643" s="5" t="s">
        <v>32</v>
      </c>
      <c r="J643" s="5">
        <v>16.054601000000002</v>
      </c>
      <c r="K643" s="5">
        <v>-97.39528</v>
      </c>
      <c r="L643" s="5" t="str">
        <f>HYPERLINK("https://maps.google.com/?q=16.054601,-97.39528", "🔗 Ver Mapa")</f>
        <v>🔗 Ver Mapa</v>
      </c>
    </row>
    <row r="644" spans="1:12" ht="29" x14ac:dyDescent="0.35">
      <c r="A644" s="6" t="s">
        <v>2</v>
      </c>
      <c r="B644" s="6" t="s">
        <v>44</v>
      </c>
      <c r="C644" s="6" t="s">
        <v>62</v>
      </c>
      <c r="D644" s="6" t="s">
        <v>13</v>
      </c>
      <c r="E644" s="6" t="s">
        <v>17</v>
      </c>
      <c r="F644" s="6" t="s">
        <v>46</v>
      </c>
      <c r="G644" s="6" t="s">
        <v>47</v>
      </c>
      <c r="H644" s="6" t="s">
        <v>48</v>
      </c>
      <c r="I644" s="6" t="s">
        <v>32</v>
      </c>
      <c r="J644" s="6">
        <v>16.054601000000002</v>
      </c>
      <c r="K644" s="6">
        <v>-97.39528</v>
      </c>
      <c r="L644" s="6" t="str">
        <f>HYPERLINK("https://maps.google.com/?q=16.054601,-97.39528", "🔗 Ver Mapa")</f>
        <v>🔗 Ver Mapa</v>
      </c>
    </row>
    <row r="645" spans="1:12" ht="29" x14ac:dyDescent="0.35">
      <c r="A645" s="5" t="s">
        <v>2</v>
      </c>
      <c r="B645" s="5" t="s">
        <v>44</v>
      </c>
      <c r="C645" s="5" t="s">
        <v>62</v>
      </c>
      <c r="D645" s="5" t="s">
        <v>13</v>
      </c>
      <c r="E645" s="5" t="s">
        <v>17</v>
      </c>
      <c r="F645" s="5" t="s">
        <v>46</v>
      </c>
      <c r="G645" s="5" t="s">
        <v>47</v>
      </c>
      <c r="H645" s="5" t="s">
        <v>48</v>
      </c>
      <c r="I645" s="5" t="s">
        <v>32</v>
      </c>
      <c r="J645" s="5">
        <v>16.054601000000002</v>
      </c>
      <c r="K645" s="5">
        <v>-97.39528</v>
      </c>
      <c r="L645" s="5" t="str">
        <f>HYPERLINK("https://maps.google.com/?q=16.054601,-97.39528", "🔗 Ver Mapa")</f>
        <v>🔗 Ver Mapa</v>
      </c>
    </row>
    <row r="646" spans="1:12" ht="29" x14ac:dyDescent="0.35">
      <c r="A646" s="6" t="s">
        <v>2</v>
      </c>
      <c r="B646" s="6" t="s">
        <v>44</v>
      </c>
      <c r="C646" s="6" t="s">
        <v>62</v>
      </c>
      <c r="D646" s="6" t="s">
        <v>13</v>
      </c>
      <c r="E646" s="6" t="s">
        <v>17</v>
      </c>
      <c r="F646" s="6" t="s">
        <v>46</v>
      </c>
      <c r="G646" s="6" t="s">
        <v>47</v>
      </c>
      <c r="H646" s="6" t="s">
        <v>48</v>
      </c>
      <c r="I646" s="6" t="s">
        <v>32</v>
      </c>
      <c r="J646" s="6">
        <v>16.054601000000002</v>
      </c>
      <c r="K646" s="6">
        <v>-97.39528</v>
      </c>
      <c r="L646" s="6" t="str">
        <f>HYPERLINK("https://maps.google.com/?q=16.054601,-97.39528", "🔗 Ver Mapa")</f>
        <v>🔗 Ver Mapa</v>
      </c>
    </row>
    <row r="647" spans="1:12" ht="29" x14ac:dyDescent="0.35">
      <c r="A647" s="5" t="s">
        <v>2</v>
      </c>
      <c r="B647" s="5" t="s">
        <v>44</v>
      </c>
      <c r="C647" s="5" t="s">
        <v>62</v>
      </c>
      <c r="D647" s="5" t="s">
        <v>13</v>
      </c>
      <c r="E647" s="5" t="s">
        <v>17</v>
      </c>
      <c r="F647" s="5" t="s">
        <v>46</v>
      </c>
      <c r="G647" s="5" t="s">
        <v>47</v>
      </c>
      <c r="H647" s="5" t="s">
        <v>48</v>
      </c>
      <c r="I647" s="5" t="s">
        <v>32</v>
      </c>
      <c r="J647" s="5">
        <v>16.05481</v>
      </c>
      <c r="K647" s="5">
        <v>-97.395390000000006</v>
      </c>
      <c r="L647" s="5" t="str">
        <f>HYPERLINK("https://maps.google.com/?q=16.05481,-97.395390000000006", "🔗 Ver Mapa")</f>
        <v>🔗 Ver Mapa</v>
      </c>
    </row>
    <row r="648" spans="1:12" ht="29" x14ac:dyDescent="0.35">
      <c r="A648" s="6" t="s">
        <v>2</v>
      </c>
      <c r="B648" s="6" t="s">
        <v>44</v>
      </c>
      <c r="C648" s="6" t="s">
        <v>62</v>
      </c>
      <c r="D648" s="6" t="s">
        <v>13</v>
      </c>
      <c r="E648" s="6" t="s">
        <v>17</v>
      </c>
      <c r="F648" s="6" t="s">
        <v>46</v>
      </c>
      <c r="G648" s="6" t="s">
        <v>47</v>
      </c>
      <c r="H648" s="6" t="s">
        <v>48</v>
      </c>
      <c r="I648" s="6" t="s">
        <v>32</v>
      </c>
      <c r="J648" s="6">
        <v>16.05481</v>
      </c>
      <c r="K648" s="6">
        <v>-97.395390000000006</v>
      </c>
      <c r="L648" s="6" t="str">
        <f>HYPERLINK("https://maps.google.com/?q=16.05481,-97.395390000000006", "🔗 Ver Mapa")</f>
        <v>🔗 Ver Mapa</v>
      </c>
    </row>
    <row r="649" spans="1:12" ht="29" x14ac:dyDescent="0.35">
      <c r="A649" s="5" t="s">
        <v>2</v>
      </c>
      <c r="B649" s="5" t="s">
        <v>44</v>
      </c>
      <c r="C649" s="5" t="s">
        <v>62</v>
      </c>
      <c r="D649" s="5" t="s">
        <v>13</v>
      </c>
      <c r="E649" s="5" t="s">
        <v>17</v>
      </c>
      <c r="F649" s="5" t="s">
        <v>46</v>
      </c>
      <c r="G649" s="5" t="s">
        <v>47</v>
      </c>
      <c r="H649" s="5" t="s">
        <v>48</v>
      </c>
      <c r="I649" s="5" t="s">
        <v>32</v>
      </c>
      <c r="J649" s="5">
        <v>16.05481</v>
      </c>
      <c r="K649" s="5">
        <v>-97.395390000000006</v>
      </c>
      <c r="L649" s="5" t="str">
        <f>HYPERLINK("https://maps.google.com/?q=16.05481,-97.395390000000006", "🔗 Ver Mapa")</f>
        <v>🔗 Ver Mapa</v>
      </c>
    </row>
    <row r="650" spans="1:12" ht="29" x14ac:dyDescent="0.35">
      <c r="A650" s="6" t="s">
        <v>2</v>
      </c>
      <c r="B650" s="6" t="s">
        <v>44</v>
      </c>
      <c r="C650" s="6" t="s">
        <v>62</v>
      </c>
      <c r="D650" s="6" t="s">
        <v>13</v>
      </c>
      <c r="E650" s="6" t="s">
        <v>17</v>
      </c>
      <c r="F650" s="6" t="s">
        <v>46</v>
      </c>
      <c r="G650" s="6" t="s">
        <v>47</v>
      </c>
      <c r="H650" s="6" t="s">
        <v>48</v>
      </c>
      <c r="I650" s="6" t="s">
        <v>32</v>
      </c>
      <c r="J650" s="6">
        <v>16.05481</v>
      </c>
      <c r="K650" s="6">
        <v>-97.395390000000006</v>
      </c>
      <c r="L650" s="6" t="str">
        <f>HYPERLINK("https://maps.google.com/?q=16.05481,-97.395390000000006", "🔗 Ver Mapa")</f>
        <v>🔗 Ver Mapa</v>
      </c>
    </row>
    <row r="651" spans="1:12" ht="29" x14ac:dyDescent="0.35">
      <c r="A651" s="5" t="s">
        <v>2</v>
      </c>
      <c r="B651" s="5" t="s">
        <v>44</v>
      </c>
      <c r="C651" s="5" t="s">
        <v>62</v>
      </c>
      <c r="D651" s="5" t="s">
        <v>13</v>
      </c>
      <c r="E651" s="5" t="s">
        <v>17</v>
      </c>
      <c r="F651" s="5" t="s">
        <v>46</v>
      </c>
      <c r="G651" s="5" t="s">
        <v>47</v>
      </c>
      <c r="H651" s="5" t="s">
        <v>48</v>
      </c>
      <c r="I651" s="5" t="s">
        <v>32</v>
      </c>
      <c r="J651" s="5">
        <v>16.058444999999999</v>
      </c>
      <c r="K651" s="5">
        <v>-97.389632000000006</v>
      </c>
      <c r="L651" s="5" t="str">
        <f>HYPERLINK("https://maps.google.com/?q=16.058445,-97.389632000000006", "🔗 Ver Mapa")</f>
        <v>🔗 Ver Mapa</v>
      </c>
    </row>
    <row r="652" spans="1:12" ht="29" x14ac:dyDescent="0.35">
      <c r="A652" s="6" t="s">
        <v>2</v>
      </c>
      <c r="B652" s="6" t="s">
        <v>44</v>
      </c>
      <c r="C652" s="6" t="s">
        <v>62</v>
      </c>
      <c r="D652" s="6" t="s">
        <v>13</v>
      </c>
      <c r="E652" s="6" t="s">
        <v>17</v>
      </c>
      <c r="F652" s="6" t="s">
        <v>46</v>
      </c>
      <c r="G652" s="6" t="s">
        <v>47</v>
      </c>
      <c r="H652" s="6" t="s">
        <v>48</v>
      </c>
      <c r="I652" s="6" t="s">
        <v>32</v>
      </c>
      <c r="J652" s="6">
        <v>16.058444999999999</v>
      </c>
      <c r="K652" s="6">
        <v>-97.389632000000006</v>
      </c>
      <c r="L652" s="6" t="str">
        <f>HYPERLINK("https://maps.google.com/?q=16.058445,-97.389632000000006", "🔗 Ver Mapa")</f>
        <v>🔗 Ver Mapa</v>
      </c>
    </row>
    <row r="653" spans="1:12" ht="29" x14ac:dyDescent="0.35">
      <c r="A653" s="5" t="s">
        <v>2</v>
      </c>
      <c r="B653" s="5" t="s">
        <v>44</v>
      </c>
      <c r="C653" s="5" t="s">
        <v>62</v>
      </c>
      <c r="D653" s="5" t="s">
        <v>13</v>
      </c>
      <c r="E653" s="5" t="s">
        <v>17</v>
      </c>
      <c r="F653" s="5" t="s">
        <v>46</v>
      </c>
      <c r="G653" s="5" t="s">
        <v>47</v>
      </c>
      <c r="H653" s="5" t="s">
        <v>48</v>
      </c>
      <c r="I653" s="5" t="s">
        <v>32</v>
      </c>
      <c r="J653" s="5">
        <v>16.058444999999999</v>
      </c>
      <c r="K653" s="5">
        <v>-97.389632000000006</v>
      </c>
      <c r="L653" s="5" t="str">
        <f>HYPERLINK("https://maps.google.com/?q=16.058445,-97.389632000000006", "🔗 Ver Mapa")</f>
        <v>🔗 Ver Mapa</v>
      </c>
    </row>
    <row r="654" spans="1:12" ht="29" x14ac:dyDescent="0.35">
      <c r="A654" s="6" t="s">
        <v>2</v>
      </c>
      <c r="B654" s="6" t="s">
        <v>44</v>
      </c>
      <c r="C654" s="6" t="s">
        <v>62</v>
      </c>
      <c r="D654" s="6" t="s">
        <v>13</v>
      </c>
      <c r="E654" s="6" t="s">
        <v>17</v>
      </c>
      <c r="F654" s="6" t="s">
        <v>46</v>
      </c>
      <c r="G654" s="6" t="s">
        <v>47</v>
      </c>
      <c r="H654" s="6" t="s">
        <v>48</v>
      </c>
      <c r="I654" s="6" t="s">
        <v>32</v>
      </c>
      <c r="J654" s="6">
        <v>16.058444999999999</v>
      </c>
      <c r="K654" s="6">
        <v>-97.389632000000006</v>
      </c>
      <c r="L654" s="6" t="str">
        <f>HYPERLINK("https://maps.google.com/?q=16.058445,-97.389632000000006", "🔗 Ver Mapa")</f>
        <v>🔗 Ver Mapa</v>
      </c>
    </row>
    <row r="655" spans="1:12" ht="29" x14ac:dyDescent="0.35">
      <c r="A655" s="5" t="s">
        <v>2</v>
      </c>
      <c r="B655" s="5" t="s">
        <v>44</v>
      </c>
      <c r="C655" s="5" t="s">
        <v>62</v>
      </c>
      <c r="D655" s="5" t="s">
        <v>13</v>
      </c>
      <c r="E655" s="5" t="s">
        <v>17</v>
      </c>
      <c r="F655" s="5" t="s">
        <v>46</v>
      </c>
      <c r="G655" s="5" t="s">
        <v>47</v>
      </c>
      <c r="H655" s="5" t="s">
        <v>48</v>
      </c>
      <c r="I655" s="5" t="s">
        <v>32</v>
      </c>
      <c r="J655" s="5">
        <v>16.057852</v>
      </c>
      <c r="K655" s="5">
        <v>-97.390187999999995</v>
      </c>
      <c r="L655" s="5" t="str">
        <f>HYPERLINK("https://maps.google.com/?q=16.057852,-97.390187999999995", "🔗 Ver Mapa")</f>
        <v>🔗 Ver Mapa</v>
      </c>
    </row>
    <row r="656" spans="1:12" ht="29" x14ac:dyDescent="0.35">
      <c r="A656" s="6" t="s">
        <v>2</v>
      </c>
      <c r="B656" s="6" t="s">
        <v>44</v>
      </c>
      <c r="C656" s="6" t="s">
        <v>62</v>
      </c>
      <c r="D656" s="6" t="s">
        <v>13</v>
      </c>
      <c r="E656" s="6" t="s">
        <v>17</v>
      </c>
      <c r="F656" s="6" t="s">
        <v>46</v>
      </c>
      <c r="G656" s="6" t="s">
        <v>47</v>
      </c>
      <c r="H656" s="6" t="s">
        <v>48</v>
      </c>
      <c r="I656" s="6" t="s">
        <v>32</v>
      </c>
      <c r="J656" s="6">
        <v>16.057852</v>
      </c>
      <c r="K656" s="6">
        <v>-97.390187999999995</v>
      </c>
      <c r="L656" s="6" t="str">
        <f>HYPERLINK("https://maps.google.com/?q=16.057852,-97.390187999999995", "🔗 Ver Mapa")</f>
        <v>🔗 Ver Mapa</v>
      </c>
    </row>
    <row r="657" spans="1:12" ht="29" x14ac:dyDescent="0.35">
      <c r="A657" s="5" t="s">
        <v>2</v>
      </c>
      <c r="B657" s="5" t="s">
        <v>44</v>
      </c>
      <c r="C657" s="5" t="s">
        <v>62</v>
      </c>
      <c r="D657" s="5" t="s">
        <v>13</v>
      </c>
      <c r="E657" s="5" t="s">
        <v>17</v>
      </c>
      <c r="F657" s="5" t="s">
        <v>46</v>
      </c>
      <c r="G657" s="5" t="s">
        <v>47</v>
      </c>
      <c r="H657" s="5" t="s">
        <v>48</v>
      </c>
      <c r="I657" s="5" t="s">
        <v>32</v>
      </c>
      <c r="J657" s="5">
        <v>16.057852</v>
      </c>
      <c r="K657" s="5">
        <v>-97.390187999999995</v>
      </c>
      <c r="L657" s="5" t="str">
        <f>HYPERLINK("https://maps.google.com/?q=16.057852,-97.390187999999995", "🔗 Ver Mapa")</f>
        <v>🔗 Ver Mapa</v>
      </c>
    </row>
    <row r="658" spans="1:12" ht="29" x14ac:dyDescent="0.35">
      <c r="A658" s="6" t="s">
        <v>2</v>
      </c>
      <c r="B658" s="6" t="s">
        <v>44</v>
      </c>
      <c r="C658" s="6" t="s">
        <v>62</v>
      </c>
      <c r="D658" s="6" t="s">
        <v>13</v>
      </c>
      <c r="E658" s="6" t="s">
        <v>17</v>
      </c>
      <c r="F658" s="6" t="s">
        <v>46</v>
      </c>
      <c r="G658" s="6" t="s">
        <v>47</v>
      </c>
      <c r="H658" s="6" t="s">
        <v>48</v>
      </c>
      <c r="I658" s="6" t="s">
        <v>32</v>
      </c>
      <c r="J658" s="6">
        <v>16.057852</v>
      </c>
      <c r="K658" s="6">
        <v>-97.390187999999995</v>
      </c>
      <c r="L658" s="6" t="str">
        <f>HYPERLINK("https://maps.google.com/?q=16.057852,-97.390187999999995", "🔗 Ver Mapa")</f>
        <v>🔗 Ver Mapa</v>
      </c>
    </row>
    <row r="659" spans="1:12" ht="29" x14ac:dyDescent="0.35">
      <c r="A659" s="5" t="s">
        <v>2</v>
      </c>
      <c r="B659" s="5" t="s">
        <v>44</v>
      </c>
      <c r="C659" s="5" t="s">
        <v>62</v>
      </c>
      <c r="D659" s="5" t="s">
        <v>13</v>
      </c>
      <c r="E659" s="5" t="s">
        <v>17</v>
      </c>
      <c r="F659" s="5" t="s">
        <v>46</v>
      </c>
      <c r="G659" s="5" t="s">
        <v>47</v>
      </c>
      <c r="H659" s="5" t="s">
        <v>48</v>
      </c>
      <c r="I659" s="5" t="s">
        <v>32</v>
      </c>
      <c r="J659" s="5">
        <v>16.056773</v>
      </c>
      <c r="K659" s="5">
        <v>-97.390822999999997</v>
      </c>
      <c r="L659" s="5" t="str">
        <f>HYPERLINK("https://maps.google.com/?q=16.056773,-97.390822999999997", "🔗 Ver Mapa")</f>
        <v>🔗 Ver Mapa</v>
      </c>
    </row>
    <row r="660" spans="1:12" ht="29" x14ac:dyDescent="0.35">
      <c r="A660" s="6" t="s">
        <v>2</v>
      </c>
      <c r="B660" s="6" t="s">
        <v>44</v>
      </c>
      <c r="C660" s="6" t="s">
        <v>62</v>
      </c>
      <c r="D660" s="6" t="s">
        <v>13</v>
      </c>
      <c r="E660" s="6" t="s">
        <v>17</v>
      </c>
      <c r="F660" s="6" t="s">
        <v>46</v>
      </c>
      <c r="G660" s="6" t="s">
        <v>47</v>
      </c>
      <c r="H660" s="6" t="s">
        <v>48</v>
      </c>
      <c r="I660" s="6" t="s">
        <v>32</v>
      </c>
      <c r="J660" s="6">
        <v>16.056773</v>
      </c>
      <c r="K660" s="6">
        <v>-97.390822999999997</v>
      </c>
      <c r="L660" s="6" t="str">
        <f>HYPERLINK("https://maps.google.com/?q=16.056773,-97.390822999999997", "🔗 Ver Mapa")</f>
        <v>🔗 Ver Mapa</v>
      </c>
    </row>
    <row r="661" spans="1:12" ht="29" x14ac:dyDescent="0.35">
      <c r="A661" s="5" t="s">
        <v>2</v>
      </c>
      <c r="B661" s="5" t="s">
        <v>44</v>
      </c>
      <c r="C661" s="5" t="s">
        <v>62</v>
      </c>
      <c r="D661" s="5" t="s">
        <v>13</v>
      </c>
      <c r="E661" s="5" t="s">
        <v>17</v>
      </c>
      <c r="F661" s="5" t="s">
        <v>46</v>
      </c>
      <c r="G661" s="5" t="s">
        <v>47</v>
      </c>
      <c r="H661" s="5" t="s">
        <v>48</v>
      </c>
      <c r="I661" s="5" t="s">
        <v>32</v>
      </c>
      <c r="J661" s="5">
        <v>16.056773</v>
      </c>
      <c r="K661" s="5">
        <v>-97.390822999999997</v>
      </c>
      <c r="L661" s="5" t="str">
        <f>HYPERLINK("https://maps.google.com/?q=16.056773,-97.390822999999997", "🔗 Ver Mapa")</f>
        <v>🔗 Ver Mapa</v>
      </c>
    </row>
    <row r="662" spans="1:12" ht="29" x14ac:dyDescent="0.35">
      <c r="A662" s="6" t="s">
        <v>2</v>
      </c>
      <c r="B662" s="6" t="s">
        <v>44</v>
      </c>
      <c r="C662" s="6" t="s">
        <v>62</v>
      </c>
      <c r="D662" s="6" t="s">
        <v>13</v>
      </c>
      <c r="E662" s="6" t="s">
        <v>17</v>
      </c>
      <c r="F662" s="6" t="s">
        <v>46</v>
      </c>
      <c r="G662" s="6" t="s">
        <v>47</v>
      </c>
      <c r="H662" s="6" t="s">
        <v>48</v>
      </c>
      <c r="I662" s="6" t="s">
        <v>32</v>
      </c>
      <c r="J662" s="6">
        <v>16.056773</v>
      </c>
      <c r="K662" s="6">
        <v>-97.390822999999997</v>
      </c>
      <c r="L662" s="6" t="str">
        <f>HYPERLINK("https://maps.google.com/?q=16.056773,-97.390822999999997", "🔗 Ver Mapa")</f>
        <v>🔗 Ver Mapa</v>
      </c>
    </row>
    <row r="663" spans="1:12" ht="29" x14ac:dyDescent="0.35">
      <c r="A663" s="5" t="s">
        <v>2</v>
      </c>
      <c r="B663" s="5" t="s">
        <v>44</v>
      </c>
      <c r="C663" s="5" t="s">
        <v>62</v>
      </c>
      <c r="D663" s="5" t="s">
        <v>13</v>
      </c>
      <c r="E663" s="5" t="s">
        <v>17</v>
      </c>
      <c r="F663" s="5" t="s">
        <v>46</v>
      </c>
      <c r="G663" s="5" t="s">
        <v>47</v>
      </c>
      <c r="H663" s="5" t="s">
        <v>48</v>
      </c>
      <c r="I663" s="5" t="s">
        <v>32</v>
      </c>
      <c r="J663" s="5">
        <v>16.056448</v>
      </c>
      <c r="K663" s="5">
        <v>-97.392095999999995</v>
      </c>
      <c r="L663" s="5" t="str">
        <f>HYPERLINK("https://maps.google.com/?q=16.056448,-97.392095999999995", "🔗 Ver Mapa")</f>
        <v>🔗 Ver Mapa</v>
      </c>
    </row>
    <row r="664" spans="1:12" ht="29" x14ac:dyDescent="0.35">
      <c r="A664" s="6" t="s">
        <v>2</v>
      </c>
      <c r="B664" s="6" t="s">
        <v>44</v>
      </c>
      <c r="C664" s="6" t="s">
        <v>62</v>
      </c>
      <c r="D664" s="6" t="s">
        <v>13</v>
      </c>
      <c r="E664" s="6" t="s">
        <v>17</v>
      </c>
      <c r="F664" s="6" t="s">
        <v>46</v>
      </c>
      <c r="G664" s="6" t="s">
        <v>47</v>
      </c>
      <c r="H664" s="6" t="s">
        <v>48</v>
      </c>
      <c r="I664" s="6" t="s">
        <v>32</v>
      </c>
      <c r="J664" s="6">
        <v>16.056448</v>
      </c>
      <c r="K664" s="6">
        <v>-97.392095999999995</v>
      </c>
      <c r="L664" s="6" t="str">
        <f>HYPERLINK("https://maps.google.com/?q=16.056448,-97.392095999999995", "🔗 Ver Mapa")</f>
        <v>🔗 Ver Mapa</v>
      </c>
    </row>
    <row r="665" spans="1:12" ht="29" x14ac:dyDescent="0.35">
      <c r="A665" s="5" t="s">
        <v>2</v>
      </c>
      <c r="B665" s="5" t="s">
        <v>44</v>
      </c>
      <c r="C665" s="5" t="s">
        <v>62</v>
      </c>
      <c r="D665" s="5" t="s">
        <v>13</v>
      </c>
      <c r="E665" s="5" t="s">
        <v>17</v>
      </c>
      <c r="F665" s="5" t="s">
        <v>46</v>
      </c>
      <c r="G665" s="5" t="s">
        <v>47</v>
      </c>
      <c r="H665" s="5" t="s">
        <v>48</v>
      </c>
      <c r="I665" s="5" t="s">
        <v>32</v>
      </c>
      <c r="J665" s="5">
        <v>16.056448</v>
      </c>
      <c r="K665" s="5">
        <v>-97.392095999999995</v>
      </c>
      <c r="L665" s="5" t="str">
        <f>HYPERLINK("https://maps.google.com/?q=16.056448,-97.392095999999995", "🔗 Ver Mapa")</f>
        <v>🔗 Ver Mapa</v>
      </c>
    </row>
    <row r="666" spans="1:12" ht="29" x14ac:dyDescent="0.35">
      <c r="A666" s="6" t="s">
        <v>2</v>
      </c>
      <c r="B666" s="6" t="s">
        <v>44</v>
      </c>
      <c r="C666" s="6" t="s">
        <v>62</v>
      </c>
      <c r="D666" s="6" t="s">
        <v>13</v>
      </c>
      <c r="E666" s="6" t="s">
        <v>17</v>
      </c>
      <c r="F666" s="6" t="s">
        <v>46</v>
      </c>
      <c r="G666" s="6" t="s">
        <v>47</v>
      </c>
      <c r="H666" s="6" t="s">
        <v>48</v>
      </c>
      <c r="I666" s="6" t="s">
        <v>32</v>
      </c>
      <c r="J666" s="6">
        <v>16.056448</v>
      </c>
      <c r="K666" s="6">
        <v>-97.392095999999995</v>
      </c>
      <c r="L666" s="6" t="str">
        <f>HYPERLINK("https://maps.google.com/?q=16.056448,-97.392095999999995", "🔗 Ver Mapa")</f>
        <v>🔗 Ver Mapa</v>
      </c>
    </row>
    <row r="667" spans="1:12" ht="29" x14ac:dyDescent="0.35">
      <c r="A667" s="5" t="s">
        <v>2</v>
      </c>
      <c r="B667" s="5" t="s">
        <v>44</v>
      </c>
      <c r="C667" s="5" t="s">
        <v>62</v>
      </c>
      <c r="D667" s="5" t="s">
        <v>13</v>
      </c>
      <c r="E667" s="5" t="s">
        <v>17</v>
      </c>
      <c r="F667" s="5" t="s">
        <v>46</v>
      </c>
      <c r="G667" s="5" t="s">
        <v>47</v>
      </c>
      <c r="H667" s="5" t="s">
        <v>48</v>
      </c>
      <c r="I667" s="5" t="s">
        <v>32</v>
      </c>
      <c r="J667" s="5">
        <v>16.055584</v>
      </c>
      <c r="K667" s="5">
        <v>-97.392645000000002</v>
      </c>
      <c r="L667" s="5" t="str">
        <f>HYPERLINK("https://maps.google.com/?q=16.055584,-97.392645000000002", "🔗 Ver Mapa")</f>
        <v>🔗 Ver Mapa</v>
      </c>
    </row>
    <row r="668" spans="1:12" ht="29" x14ac:dyDescent="0.35">
      <c r="A668" s="6" t="s">
        <v>2</v>
      </c>
      <c r="B668" s="6" t="s">
        <v>44</v>
      </c>
      <c r="C668" s="6" t="s">
        <v>62</v>
      </c>
      <c r="D668" s="6" t="s">
        <v>13</v>
      </c>
      <c r="E668" s="6" t="s">
        <v>17</v>
      </c>
      <c r="F668" s="6" t="s">
        <v>46</v>
      </c>
      <c r="G668" s="6" t="s">
        <v>47</v>
      </c>
      <c r="H668" s="6" t="s">
        <v>48</v>
      </c>
      <c r="I668" s="6" t="s">
        <v>32</v>
      </c>
      <c r="J668" s="6">
        <v>16.055584</v>
      </c>
      <c r="K668" s="6">
        <v>-97.392645000000002</v>
      </c>
      <c r="L668" s="6" t="str">
        <f>HYPERLINK("https://maps.google.com/?q=16.055584,-97.392645000000002", "🔗 Ver Mapa")</f>
        <v>🔗 Ver Mapa</v>
      </c>
    </row>
    <row r="669" spans="1:12" ht="29" x14ac:dyDescent="0.35">
      <c r="A669" s="5" t="s">
        <v>2</v>
      </c>
      <c r="B669" s="5" t="s">
        <v>44</v>
      </c>
      <c r="C669" s="5" t="s">
        <v>62</v>
      </c>
      <c r="D669" s="5" t="s">
        <v>13</v>
      </c>
      <c r="E669" s="5" t="s">
        <v>17</v>
      </c>
      <c r="F669" s="5" t="s">
        <v>46</v>
      </c>
      <c r="G669" s="5" t="s">
        <v>47</v>
      </c>
      <c r="H669" s="5" t="s">
        <v>48</v>
      </c>
      <c r="I669" s="5" t="s">
        <v>32</v>
      </c>
      <c r="J669" s="5">
        <v>16.055584</v>
      </c>
      <c r="K669" s="5">
        <v>-97.392645000000002</v>
      </c>
      <c r="L669" s="5" t="str">
        <f>HYPERLINK("https://maps.google.com/?q=16.055584,-97.392645000000002", "🔗 Ver Mapa")</f>
        <v>🔗 Ver Mapa</v>
      </c>
    </row>
    <row r="670" spans="1:12" ht="29" x14ac:dyDescent="0.35">
      <c r="A670" s="6" t="s">
        <v>2</v>
      </c>
      <c r="B670" s="6" t="s">
        <v>44</v>
      </c>
      <c r="C670" s="6" t="s">
        <v>62</v>
      </c>
      <c r="D670" s="6" t="s">
        <v>13</v>
      </c>
      <c r="E670" s="6" t="s">
        <v>17</v>
      </c>
      <c r="F670" s="6" t="s">
        <v>46</v>
      </c>
      <c r="G670" s="6" t="s">
        <v>47</v>
      </c>
      <c r="H670" s="6" t="s">
        <v>48</v>
      </c>
      <c r="I670" s="6" t="s">
        <v>32</v>
      </c>
      <c r="J670" s="6">
        <v>16.055584</v>
      </c>
      <c r="K670" s="6">
        <v>-97.392645000000002</v>
      </c>
      <c r="L670" s="6" t="str">
        <f>HYPERLINK("https://maps.google.com/?q=16.055584,-97.392645000000002", "🔗 Ver Mapa")</f>
        <v>🔗 Ver Mapa</v>
      </c>
    </row>
    <row r="671" spans="1:12" ht="29" x14ac:dyDescent="0.35">
      <c r="A671" s="5" t="s">
        <v>2</v>
      </c>
      <c r="B671" s="5" t="s">
        <v>44</v>
      </c>
      <c r="C671" s="5" t="s">
        <v>62</v>
      </c>
      <c r="D671" s="5" t="s">
        <v>13</v>
      </c>
      <c r="E671" s="5" t="s">
        <v>17</v>
      </c>
      <c r="F671" s="5" t="s">
        <v>46</v>
      </c>
      <c r="G671" s="5" t="s">
        <v>47</v>
      </c>
      <c r="H671" s="5" t="s">
        <v>48</v>
      </c>
      <c r="I671" s="5" t="s">
        <v>32</v>
      </c>
      <c r="J671" s="5">
        <v>16.055021</v>
      </c>
      <c r="K671" s="5">
        <v>-97.393434999999997</v>
      </c>
      <c r="L671" s="5" t="str">
        <f>HYPERLINK("https://maps.google.com/?q=16.055021,-97.393434999999997", "🔗 Ver Mapa")</f>
        <v>🔗 Ver Mapa</v>
      </c>
    </row>
    <row r="672" spans="1:12" ht="29" x14ac:dyDescent="0.35">
      <c r="A672" s="6" t="s">
        <v>2</v>
      </c>
      <c r="B672" s="6" t="s">
        <v>44</v>
      </c>
      <c r="C672" s="6" t="s">
        <v>62</v>
      </c>
      <c r="D672" s="6" t="s">
        <v>13</v>
      </c>
      <c r="E672" s="6" t="s">
        <v>17</v>
      </c>
      <c r="F672" s="6" t="s">
        <v>46</v>
      </c>
      <c r="G672" s="6" t="s">
        <v>47</v>
      </c>
      <c r="H672" s="6" t="s">
        <v>48</v>
      </c>
      <c r="I672" s="6" t="s">
        <v>32</v>
      </c>
      <c r="J672" s="6">
        <v>16.055021</v>
      </c>
      <c r="K672" s="6">
        <v>-97.393434999999997</v>
      </c>
      <c r="L672" s="6" t="str">
        <f>HYPERLINK("https://maps.google.com/?q=16.055021,-97.393434999999997", "🔗 Ver Mapa")</f>
        <v>🔗 Ver Mapa</v>
      </c>
    </row>
    <row r="673" spans="1:12" ht="29" x14ac:dyDescent="0.35">
      <c r="A673" s="5" t="s">
        <v>2</v>
      </c>
      <c r="B673" s="5" t="s">
        <v>44</v>
      </c>
      <c r="C673" s="5" t="s">
        <v>62</v>
      </c>
      <c r="D673" s="5" t="s">
        <v>13</v>
      </c>
      <c r="E673" s="5" t="s">
        <v>17</v>
      </c>
      <c r="F673" s="5" t="s">
        <v>46</v>
      </c>
      <c r="G673" s="5" t="s">
        <v>47</v>
      </c>
      <c r="H673" s="5" t="s">
        <v>48</v>
      </c>
      <c r="I673" s="5" t="s">
        <v>32</v>
      </c>
      <c r="J673" s="5">
        <v>16.055021</v>
      </c>
      <c r="K673" s="5">
        <v>-97.393434999999997</v>
      </c>
      <c r="L673" s="5" t="str">
        <f>HYPERLINK("https://maps.google.com/?q=16.055021,-97.393434999999997", "🔗 Ver Mapa")</f>
        <v>🔗 Ver Mapa</v>
      </c>
    </row>
    <row r="674" spans="1:12" ht="29" x14ac:dyDescent="0.35">
      <c r="A674" s="6" t="s">
        <v>2</v>
      </c>
      <c r="B674" s="6" t="s">
        <v>44</v>
      </c>
      <c r="C674" s="6" t="s">
        <v>62</v>
      </c>
      <c r="D674" s="6" t="s">
        <v>13</v>
      </c>
      <c r="E674" s="6" t="s">
        <v>17</v>
      </c>
      <c r="F674" s="6" t="s">
        <v>46</v>
      </c>
      <c r="G674" s="6" t="s">
        <v>47</v>
      </c>
      <c r="H674" s="6" t="s">
        <v>48</v>
      </c>
      <c r="I674" s="6" t="s">
        <v>32</v>
      </c>
      <c r="J674" s="6">
        <v>16.055021</v>
      </c>
      <c r="K674" s="6">
        <v>-97.393434999999997</v>
      </c>
      <c r="L674" s="6" t="str">
        <f>HYPERLINK("https://maps.google.com/?q=16.055021,-97.393434999999997", "🔗 Ver Mapa")</f>
        <v>🔗 Ver Mapa</v>
      </c>
    </row>
    <row r="675" spans="1:12" ht="29" x14ac:dyDescent="0.35">
      <c r="A675" s="5" t="s">
        <v>2</v>
      </c>
      <c r="B675" s="5" t="s">
        <v>44</v>
      </c>
      <c r="C675" s="5" t="s">
        <v>62</v>
      </c>
      <c r="D675" s="5" t="s">
        <v>13</v>
      </c>
      <c r="E675" s="5" t="s">
        <v>17</v>
      </c>
      <c r="F675" s="5" t="s">
        <v>46</v>
      </c>
      <c r="G675" s="5" t="s">
        <v>47</v>
      </c>
      <c r="H675" s="5" t="s">
        <v>48</v>
      </c>
      <c r="I675" s="5" t="s">
        <v>32</v>
      </c>
      <c r="J675" s="5">
        <v>16.061629</v>
      </c>
      <c r="K675" s="5">
        <v>-97.383989</v>
      </c>
      <c r="L675" s="5" t="str">
        <f>HYPERLINK("https://maps.google.com/?q=16.061629,-97.383989", "🔗 Ver Mapa")</f>
        <v>🔗 Ver Mapa</v>
      </c>
    </row>
    <row r="676" spans="1:12" ht="29" x14ac:dyDescent="0.35">
      <c r="A676" s="6" t="s">
        <v>2</v>
      </c>
      <c r="B676" s="6" t="s">
        <v>44</v>
      </c>
      <c r="C676" s="6" t="s">
        <v>62</v>
      </c>
      <c r="D676" s="6" t="s">
        <v>13</v>
      </c>
      <c r="E676" s="6" t="s">
        <v>17</v>
      </c>
      <c r="F676" s="6" t="s">
        <v>46</v>
      </c>
      <c r="G676" s="6" t="s">
        <v>47</v>
      </c>
      <c r="H676" s="6" t="s">
        <v>48</v>
      </c>
      <c r="I676" s="6" t="s">
        <v>32</v>
      </c>
      <c r="J676" s="6">
        <v>16.061629</v>
      </c>
      <c r="K676" s="6">
        <v>-97.383989</v>
      </c>
      <c r="L676" s="6" t="str">
        <f>HYPERLINK("https://maps.google.com/?q=16.061629,-97.383989", "🔗 Ver Mapa")</f>
        <v>🔗 Ver Mapa</v>
      </c>
    </row>
    <row r="677" spans="1:12" ht="29" x14ac:dyDescent="0.35">
      <c r="A677" s="5" t="s">
        <v>2</v>
      </c>
      <c r="B677" s="5" t="s">
        <v>44</v>
      </c>
      <c r="C677" s="5" t="s">
        <v>62</v>
      </c>
      <c r="D677" s="5" t="s">
        <v>13</v>
      </c>
      <c r="E677" s="5" t="s">
        <v>17</v>
      </c>
      <c r="F677" s="5" t="s">
        <v>46</v>
      </c>
      <c r="G677" s="5" t="s">
        <v>47</v>
      </c>
      <c r="H677" s="5" t="s">
        <v>48</v>
      </c>
      <c r="I677" s="5" t="s">
        <v>32</v>
      </c>
      <c r="J677" s="5">
        <v>16.061629</v>
      </c>
      <c r="K677" s="5">
        <v>-97.383989</v>
      </c>
      <c r="L677" s="5" t="str">
        <f>HYPERLINK("https://maps.google.com/?q=16.061629,-97.383989", "🔗 Ver Mapa")</f>
        <v>🔗 Ver Mapa</v>
      </c>
    </row>
    <row r="678" spans="1:12" ht="29" x14ac:dyDescent="0.35">
      <c r="A678" s="6" t="s">
        <v>2</v>
      </c>
      <c r="B678" s="6" t="s">
        <v>44</v>
      </c>
      <c r="C678" s="6" t="s">
        <v>62</v>
      </c>
      <c r="D678" s="6" t="s">
        <v>13</v>
      </c>
      <c r="E678" s="6" t="s">
        <v>17</v>
      </c>
      <c r="F678" s="6" t="s">
        <v>46</v>
      </c>
      <c r="G678" s="6" t="s">
        <v>47</v>
      </c>
      <c r="H678" s="6" t="s">
        <v>48</v>
      </c>
      <c r="I678" s="6" t="s">
        <v>32</v>
      </c>
      <c r="J678" s="6">
        <v>16.061629</v>
      </c>
      <c r="K678" s="6">
        <v>-97.383989</v>
      </c>
      <c r="L678" s="6" t="str">
        <f>HYPERLINK("https://maps.google.com/?q=16.061629,-97.383989", "🔗 Ver Mapa")</f>
        <v>🔗 Ver Mapa</v>
      </c>
    </row>
    <row r="679" spans="1:12" ht="29" x14ac:dyDescent="0.35">
      <c r="A679" s="5" t="s">
        <v>2</v>
      </c>
      <c r="B679" s="5" t="s">
        <v>44</v>
      </c>
      <c r="C679" s="5" t="s">
        <v>62</v>
      </c>
      <c r="D679" s="5" t="s">
        <v>13</v>
      </c>
      <c r="E679" s="5" t="s">
        <v>17</v>
      </c>
      <c r="F679" s="5" t="s">
        <v>46</v>
      </c>
      <c r="G679" s="5" t="s">
        <v>47</v>
      </c>
      <c r="H679" s="5" t="s">
        <v>48</v>
      </c>
      <c r="I679" s="5" t="s">
        <v>32</v>
      </c>
      <c r="J679" s="5">
        <v>16.061124</v>
      </c>
      <c r="K679" s="5">
        <v>-97.384180000000001</v>
      </c>
      <c r="L679" s="5" t="str">
        <f>HYPERLINK("https://maps.google.com/?q=16.061124,-97.384180000000001", "🔗 Ver Mapa")</f>
        <v>🔗 Ver Mapa</v>
      </c>
    </row>
    <row r="680" spans="1:12" ht="29" x14ac:dyDescent="0.35">
      <c r="A680" s="6" t="s">
        <v>2</v>
      </c>
      <c r="B680" s="6" t="s">
        <v>44</v>
      </c>
      <c r="C680" s="6" t="s">
        <v>62</v>
      </c>
      <c r="D680" s="6" t="s">
        <v>13</v>
      </c>
      <c r="E680" s="6" t="s">
        <v>17</v>
      </c>
      <c r="F680" s="6" t="s">
        <v>46</v>
      </c>
      <c r="G680" s="6" t="s">
        <v>47</v>
      </c>
      <c r="H680" s="6" t="s">
        <v>48</v>
      </c>
      <c r="I680" s="6" t="s">
        <v>32</v>
      </c>
      <c r="J680" s="6">
        <v>16.061124</v>
      </c>
      <c r="K680" s="6">
        <v>-97.384180000000001</v>
      </c>
      <c r="L680" s="6" t="str">
        <f>HYPERLINK("https://maps.google.com/?q=16.061124,-97.384180000000001", "🔗 Ver Mapa")</f>
        <v>🔗 Ver Mapa</v>
      </c>
    </row>
    <row r="681" spans="1:12" ht="29" x14ac:dyDescent="0.35">
      <c r="A681" s="5" t="s">
        <v>2</v>
      </c>
      <c r="B681" s="5" t="s">
        <v>44</v>
      </c>
      <c r="C681" s="5" t="s">
        <v>62</v>
      </c>
      <c r="D681" s="5" t="s">
        <v>13</v>
      </c>
      <c r="E681" s="5" t="s">
        <v>17</v>
      </c>
      <c r="F681" s="5" t="s">
        <v>46</v>
      </c>
      <c r="G681" s="5" t="s">
        <v>47</v>
      </c>
      <c r="H681" s="5" t="s">
        <v>48</v>
      </c>
      <c r="I681" s="5" t="s">
        <v>32</v>
      </c>
      <c r="J681" s="5">
        <v>16.061124</v>
      </c>
      <c r="K681" s="5">
        <v>-97.384180000000001</v>
      </c>
      <c r="L681" s="5" t="str">
        <f>HYPERLINK("https://maps.google.com/?q=16.061124,-97.384180000000001", "🔗 Ver Mapa")</f>
        <v>🔗 Ver Mapa</v>
      </c>
    </row>
    <row r="682" spans="1:12" ht="29" x14ac:dyDescent="0.35">
      <c r="A682" s="6" t="s">
        <v>2</v>
      </c>
      <c r="B682" s="6" t="s">
        <v>44</v>
      </c>
      <c r="C682" s="6" t="s">
        <v>62</v>
      </c>
      <c r="D682" s="6" t="s">
        <v>13</v>
      </c>
      <c r="E682" s="6" t="s">
        <v>17</v>
      </c>
      <c r="F682" s="6" t="s">
        <v>46</v>
      </c>
      <c r="G682" s="6" t="s">
        <v>47</v>
      </c>
      <c r="H682" s="6" t="s">
        <v>48</v>
      </c>
      <c r="I682" s="6" t="s">
        <v>32</v>
      </c>
      <c r="J682" s="6">
        <v>16.061124</v>
      </c>
      <c r="K682" s="6">
        <v>-97.384180000000001</v>
      </c>
      <c r="L682" s="6" t="str">
        <f>HYPERLINK("https://maps.google.com/?q=16.061124,-97.384180000000001", "🔗 Ver Mapa")</f>
        <v>🔗 Ver Mapa</v>
      </c>
    </row>
    <row r="683" spans="1:12" ht="29" x14ac:dyDescent="0.35">
      <c r="A683" s="5" t="s">
        <v>2</v>
      </c>
      <c r="B683" s="5" t="s">
        <v>44</v>
      </c>
      <c r="C683" s="5" t="s">
        <v>62</v>
      </c>
      <c r="D683" s="5" t="s">
        <v>13</v>
      </c>
      <c r="E683" s="5" t="s">
        <v>17</v>
      </c>
      <c r="F683" s="5" t="s">
        <v>46</v>
      </c>
      <c r="G683" s="5" t="s">
        <v>47</v>
      </c>
      <c r="H683" s="5" t="s">
        <v>48</v>
      </c>
      <c r="I683" s="5" t="s">
        <v>32</v>
      </c>
      <c r="J683" s="5">
        <v>16.060734</v>
      </c>
      <c r="K683" s="5">
        <v>-97.385193000000001</v>
      </c>
      <c r="L683" s="5" t="str">
        <f>HYPERLINK("https://maps.google.com/?q=16.060734,-97.385193000000001", "🔗 Ver Mapa")</f>
        <v>🔗 Ver Mapa</v>
      </c>
    </row>
    <row r="684" spans="1:12" ht="29" x14ac:dyDescent="0.35">
      <c r="A684" s="6" t="s">
        <v>2</v>
      </c>
      <c r="B684" s="6" t="s">
        <v>44</v>
      </c>
      <c r="C684" s="6" t="s">
        <v>62</v>
      </c>
      <c r="D684" s="6" t="s">
        <v>13</v>
      </c>
      <c r="E684" s="6" t="s">
        <v>17</v>
      </c>
      <c r="F684" s="6" t="s">
        <v>46</v>
      </c>
      <c r="G684" s="6" t="s">
        <v>47</v>
      </c>
      <c r="H684" s="6" t="s">
        <v>48</v>
      </c>
      <c r="I684" s="6" t="s">
        <v>32</v>
      </c>
      <c r="J684" s="6">
        <v>16.060734</v>
      </c>
      <c r="K684" s="6">
        <v>-97.385193000000001</v>
      </c>
      <c r="L684" s="6" t="str">
        <f>HYPERLINK("https://maps.google.com/?q=16.060734,-97.385193000000001", "🔗 Ver Mapa")</f>
        <v>🔗 Ver Mapa</v>
      </c>
    </row>
    <row r="685" spans="1:12" ht="29" x14ac:dyDescent="0.35">
      <c r="A685" s="5" t="s">
        <v>2</v>
      </c>
      <c r="B685" s="5" t="s">
        <v>44</v>
      </c>
      <c r="C685" s="5" t="s">
        <v>62</v>
      </c>
      <c r="D685" s="5" t="s">
        <v>13</v>
      </c>
      <c r="E685" s="5" t="s">
        <v>17</v>
      </c>
      <c r="F685" s="5" t="s">
        <v>46</v>
      </c>
      <c r="G685" s="5" t="s">
        <v>47</v>
      </c>
      <c r="H685" s="5" t="s">
        <v>48</v>
      </c>
      <c r="I685" s="5" t="s">
        <v>32</v>
      </c>
      <c r="J685" s="5">
        <v>16.060734</v>
      </c>
      <c r="K685" s="5">
        <v>-97.385193000000001</v>
      </c>
      <c r="L685" s="5" t="str">
        <f>HYPERLINK("https://maps.google.com/?q=16.060734,-97.385193000000001", "🔗 Ver Mapa")</f>
        <v>🔗 Ver Mapa</v>
      </c>
    </row>
    <row r="686" spans="1:12" ht="29" x14ac:dyDescent="0.35">
      <c r="A686" s="6" t="s">
        <v>2</v>
      </c>
      <c r="B686" s="6" t="s">
        <v>44</v>
      </c>
      <c r="C686" s="6" t="s">
        <v>62</v>
      </c>
      <c r="D686" s="6" t="s">
        <v>13</v>
      </c>
      <c r="E686" s="6" t="s">
        <v>17</v>
      </c>
      <c r="F686" s="6" t="s">
        <v>46</v>
      </c>
      <c r="G686" s="6" t="s">
        <v>47</v>
      </c>
      <c r="H686" s="6" t="s">
        <v>48</v>
      </c>
      <c r="I686" s="6" t="s">
        <v>32</v>
      </c>
      <c r="J686" s="6">
        <v>16.060734</v>
      </c>
      <c r="K686" s="6">
        <v>-97.385193000000001</v>
      </c>
      <c r="L686" s="6" t="str">
        <f>HYPERLINK("https://maps.google.com/?q=16.060734,-97.385193000000001", "🔗 Ver Mapa")</f>
        <v>🔗 Ver Mapa</v>
      </c>
    </row>
    <row r="687" spans="1:12" ht="29" x14ac:dyDescent="0.35">
      <c r="A687" s="5" t="s">
        <v>2</v>
      </c>
      <c r="B687" s="5" t="s">
        <v>44</v>
      </c>
      <c r="C687" s="5" t="s">
        <v>62</v>
      </c>
      <c r="D687" s="5" t="s">
        <v>13</v>
      </c>
      <c r="E687" s="5" t="s">
        <v>17</v>
      </c>
      <c r="F687" s="5" t="s">
        <v>46</v>
      </c>
      <c r="G687" s="5" t="s">
        <v>47</v>
      </c>
      <c r="H687" s="5" t="s">
        <v>48</v>
      </c>
      <c r="I687" s="5" t="s">
        <v>32</v>
      </c>
      <c r="J687" s="5">
        <v>16.060272999999999</v>
      </c>
      <c r="K687" s="5">
        <v>-97.386354999999995</v>
      </c>
      <c r="L687" s="5" t="str">
        <f>HYPERLINK("https://maps.google.com/?q=16.060273,-97.386354999999995", "🔗 Ver Mapa")</f>
        <v>🔗 Ver Mapa</v>
      </c>
    </row>
    <row r="688" spans="1:12" ht="29" x14ac:dyDescent="0.35">
      <c r="A688" s="6" t="s">
        <v>2</v>
      </c>
      <c r="B688" s="6" t="s">
        <v>44</v>
      </c>
      <c r="C688" s="6" t="s">
        <v>62</v>
      </c>
      <c r="D688" s="6" t="s">
        <v>13</v>
      </c>
      <c r="E688" s="6" t="s">
        <v>17</v>
      </c>
      <c r="F688" s="6" t="s">
        <v>46</v>
      </c>
      <c r="G688" s="6" t="s">
        <v>47</v>
      </c>
      <c r="H688" s="6" t="s">
        <v>48</v>
      </c>
      <c r="I688" s="6" t="s">
        <v>32</v>
      </c>
      <c r="J688" s="6">
        <v>16.060272999999999</v>
      </c>
      <c r="K688" s="6">
        <v>-97.386354999999995</v>
      </c>
      <c r="L688" s="6" t="str">
        <f>HYPERLINK("https://maps.google.com/?q=16.060273,-97.386354999999995", "🔗 Ver Mapa")</f>
        <v>🔗 Ver Mapa</v>
      </c>
    </row>
    <row r="689" spans="1:12" ht="29" x14ac:dyDescent="0.35">
      <c r="A689" s="5" t="s">
        <v>2</v>
      </c>
      <c r="B689" s="5" t="s">
        <v>44</v>
      </c>
      <c r="C689" s="5" t="s">
        <v>62</v>
      </c>
      <c r="D689" s="5" t="s">
        <v>13</v>
      </c>
      <c r="E689" s="5" t="s">
        <v>17</v>
      </c>
      <c r="F689" s="5" t="s">
        <v>46</v>
      </c>
      <c r="G689" s="5" t="s">
        <v>47</v>
      </c>
      <c r="H689" s="5" t="s">
        <v>48</v>
      </c>
      <c r="I689" s="5" t="s">
        <v>32</v>
      </c>
      <c r="J689" s="5">
        <v>16.060272999999999</v>
      </c>
      <c r="K689" s="5">
        <v>-97.386354999999995</v>
      </c>
      <c r="L689" s="5" t="str">
        <f>HYPERLINK("https://maps.google.com/?q=16.060273,-97.386354999999995", "🔗 Ver Mapa")</f>
        <v>🔗 Ver Mapa</v>
      </c>
    </row>
    <row r="690" spans="1:12" ht="29" x14ac:dyDescent="0.35">
      <c r="A690" s="6" t="s">
        <v>2</v>
      </c>
      <c r="B690" s="6" t="s">
        <v>44</v>
      </c>
      <c r="C690" s="6" t="s">
        <v>62</v>
      </c>
      <c r="D690" s="6" t="s">
        <v>13</v>
      </c>
      <c r="E690" s="6" t="s">
        <v>17</v>
      </c>
      <c r="F690" s="6" t="s">
        <v>46</v>
      </c>
      <c r="G690" s="6" t="s">
        <v>47</v>
      </c>
      <c r="H690" s="6" t="s">
        <v>48</v>
      </c>
      <c r="I690" s="6" t="s">
        <v>32</v>
      </c>
      <c r="J690" s="6">
        <v>16.060272999999999</v>
      </c>
      <c r="K690" s="6">
        <v>-97.386354999999995</v>
      </c>
      <c r="L690" s="6" t="str">
        <f>HYPERLINK("https://maps.google.com/?q=16.060273,-97.386354999999995", "🔗 Ver Mapa")</f>
        <v>🔗 Ver Mapa</v>
      </c>
    </row>
    <row r="691" spans="1:12" ht="29" x14ac:dyDescent="0.35">
      <c r="A691" s="5" t="s">
        <v>2</v>
      </c>
      <c r="B691" s="5" t="s">
        <v>44</v>
      </c>
      <c r="C691" s="5" t="s">
        <v>62</v>
      </c>
      <c r="D691" s="5" t="s">
        <v>13</v>
      </c>
      <c r="E691" s="5" t="s">
        <v>17</v>
      </c>
      <c r="F691" s="5" t="s">
        <v>46</v>
      </c>
      <c r="G691" s="5" t="s">
        <v>47</v>
      </c>
      <c r="H691" s="5" t="s">
        <v>48</v>
      </c>
      <c r="I691" s="5" t="s">
        <v>32</v>
      </c>
      <c r="J691" s="5">
        <v>16.059802999999999</v>
      </c>
      <c r="K691" s="5">
        <v>-97.387564999999995</v>
      </c>
      <c r="L691" s="5" t="str">
        <f>HYPERLINK("https://maps.google.com/?q=16.059803,-97.387564999999995", "🔗 Ver Mapa")</f>
        <v>🔗 Ver Mapa</v>
      </c>
    </row>
    <row r="692" spans="1:12" ht="29" x14ac:dyDescent="0.35">
      <c r="A692" s="6" t="s">
        <v>2</v>
      </c>
      <c r="B692" s="6" t="s">
        <v>44</v>
      </c>
      <c r="C692" s="6" t="s">
        <v>62</v>
      </c>
      <c r="D692" s="6" t="s">
        <v>13</v>
      </c>
      <c r="E692" s="6" t="s">
        <v>17</v>
      </c>
      <c r="F692" s="6" t="s">
        <v>46</v>
      </c>
      <c r="G692" s="6" t="s">
        <v>47</v>
      </c>
      <c r="H692" s="6" t="s">
        <v>48</v>
      </c>
      <c r="I692" s="6" t="s">
        <v>32</v>
      </c>
      <c r="J692" s="6">
        <v>16.059802999999999</v>
      </c>
      <c r="K692" s="6">
        <v>-97.387564999999995</v>
      </c>
      <c r="L692" s="6" t="str">
        <f>HYPERLINK("https://maps.google.com/?q=16.059803,-97.387564999999995", "🔗 Ver Mapa")</f>
        <v>🔗 Ver Mapa</v>
      </c>
    </row>
    <row r="693" spans="1:12" ht="29" x14ac:dyDescent="0.35">
      <c r="A693" s="5" t="s">
        <v>2</v>
      </c>
      <c r="B693" s="5" t="s">
        <v>44</v>
      </c>
      <c r="C693" s="5" t="s">
        <v>62</v>
      </c>
      <c r="D693" s="5" t="s">
        <v>13</v>
      </c>
      <c r="E693" s="5" t="s">
        <v>17</v>
      </c>
      <c r="F693" s="5" t="s">
        <v>46</v>
      </c>
      <c r="G693" s="5" t="s">
        <v>47</v>
      </c>
      <c r="H693" s="5" t="s">
        <v>48</v>
      </c>
      <c r="I693" s="5" t="s">
        <v>32</v>
      </c>
      <c r="J693" s="5">
        <v>16.059802999999999</v>
      </c>
      <c r="K693" s="5">
        <v>-97.387564999999995</v>
      </c>
      <c r="L693" s="5" t="str">
        <f>HYPERLINK("https://maps.google.com/?q=16.059803,-97.387564999999995", "🔗 Ver Mapa")</f>
        <v>🔗 Ver Mapa</v>
      </c>
    </row>
    <row r="694" spans="1:12" ht="29" x14ac:dyDescent="0.35">
      <c r="A694" s="6" t="s">
        <v>2</v>
      </c>
      <c r="B694" s="6" t="s">
        <v>44</v>
      </c>
      <c r="C694" s="6" t="s">
        <v>62</v>
      </c>
      <c r="D694" s="6" t="s">
        <v>13</v>
      </c>
      <c r="E694" s="6" t="s">
        <v>17</v>
      </c>
      <c r="F694" s="6" t="s">
        <v>46</v>
      </c>
      <c r="G694" s="6" t="s">
        <v>47</v>
      </c>
      <c r="H694" s="6" t="s">
        <v>48</v>
      </c>
      <c r="I694" s="6" t="s">
        <v>32</v>
      </c>
      <c r="J694" s="6">
        <v>16.059802999999999</v>
      </c>
      <c r="K694" s="6">
        <v>-97.387564999999995</v>
      </c>
      <c r="L694" s="6" t="str">
        <f>HYPERLINK("https://maps.google.com/?q=16.059803,-97.387564999999995", "🔗 Ver Mapa")</f>
        <v>🔗 Ver Mapa</v>
      </c>
    </row>
    <row r="695" spans="1:12" ht="29" x14ac:dyDescent="0.35">
      <c r="A695" s="5" t="s">
        <v>2</v>
      </c>
      <c r="B695" s="5" t="s">
        <v>44</v>
      </c>
      <c r="C695" s="5" t="s">
        <v>62</v>
      </c>
      <c r="D695" s="5" t="s">
        <v>13</v>
      </c>
      <c r="E695" s="5" t="s">
        <v>17</v>
      </c>
      <c r="F695" s="5" t="s">
        <v>46</v>
      </c>
      <c r="G695" s="5" t="s">
        <v>47</v>
      </c>
      <c r="H695" s="5" t="s">
        <v>48</v>
      </c>
      <c r="I695" s="5" t="s">
        <v>32</v>
      </c>
      <c r="J695" s="5">
        <v>16.059289</v>
      </c>
      <c r="K695" s="5">
        <v>-97.388876999999994</v>
      </c>
      <c r="L695" s="5" t="str">
        <f>HYPERLINK("https://maps.google.com/?q=16.059289,-97.388876999999994", "🔗 Ver Mapa")</f>
        <v>🔗 Ver Mapa</v>
      </c>
    </row>
    <row r="696" spans="1:12" ht="29" x14ac:dyDescent="0.35">
      <c r="A696" s="6" t="s">
        <v>2</v>
      </c>
      <c r="B696" s="6" t="s">
        <v>44</v>
      </c>
      <c r="C696" s="6" t="s">
        <v>62</v>
      </c>
      <c r="D696" s="6" t="s">
        <v>13</v>
      </c>
      <c r="E696" s="6" t="s">
        <v>17</v>
      </c>
      <c r="F696" s="6" t="s">
        <v>46</v>
      </c>
      <c r="G696" s="6" t="s">
        <v>47</v>
      </c>
      <c r="H696" s="6" t="s">
        <v>48</v>
      </c>
      <c r="I696" s="6" t="s">
        <v>32</v>
      </c>
      <c r="J696" s="6">
        <v>16.059289</v>
      </c>
      <c r="K696" s="6">
        <v>-97.388876999999994</v>
      </c>
      <c r="L696" s="6" t="str">
        <f>HYPERLINK("https://maps.google.com/?q=16.059289,-97.388876999999994", "🔗 Ver Mapa")</f>
        <v>🔗 Ver Mapa</v>
      </c>
    </row>
    <row r="697" spans="1:12" ht="29" x14ac:dyDescent="0.35">
      <c r="A697" s="5" t="s">
        <v>2</v>
      </c>
      <c r="B697" s="5" t="s">
        <v>44</v>
      </c>
      <c r="C697" s="5" t="s">
        <v>62</v>
      </c>
      <c r="D697" s="5" t="s">
        <v>13</v>
      </c>
      <c r="E697" s="5" t="s">
        <v>17</v>
      </c>
      <c r="F697" s="5" t="s">
        <v>46</v>
      </c>
      <c r="G697" s="5" t="s">
        <v>47</v>
      </c>
      <c r="H697" s="5" t="s">
        <v>48</v>
      </c>
      <c r="I697" s="5" t="s">
        <v>32</v>
      </c>
      <c r="J697" s="5">
        <v>16.059289</v>
      </c>
      <c r="K697" s="5">
        <v>-97.388876999999994</v>
      </c>
      <c r="L697" s="5" t="str">
        <f>HYPERLINK("https://maps.google.com/?q=16.059289,-97.388876999999994", "🔗 Ver Mapa")</f>
        <v>🔗 Ver Mapa</v>
      </c>
    </row>
    <row r="698" spans="1:12" ht="29" x14ac:dyDescent="0.35">
      <c r="A698" s="6" t="s">
        <v>2</v>
      </c>
      <c r="B698" s="6" t="s">
        <v>44</v>
      </c>
      <c r="C698" s="6" t="s">
        <v>62</v>
      </c>
      <c r="D698" s="6" t="s">
        <v>13</v>
      </c>
      <c r="E698" s="6" t="s">
        <v>17</v>
      </c>
      <c r="F698" s="6" t="s">
        <v>46</v>
      </c>
      <c r="G698" s="6" t="s">
        <v>47</v>
      </c>
      <c r="H698" s="6" t="s">
        <v>48</v>
      </c>
      <c r="I698" s="6" t="s">
        <v>32</v>
      </c>
      <c r="J698" s="6">
        <v>16.059289</v>
      </c>
      <c r="K698" s="6">
        <v>-97.388876999999994</v>
      </c>
      <c r="L698" s="6" t="str">
        <f>HYPERLINK("https://maps.google.com/?q=16.059289,-97.388876999999994", "🔗 Ver Mapa")</f>
        <v>🔗 Ver Mapa</v>
      </c>
    </row>
    <row r="699" spans="1:12" ht="29" x14ac:dyDescent="0.35">
      <c r="A699" s="5" t="s">
        <v>2</v>
      </c>
      <c r="B699" s="5" t="s">
        <v>44</v>
      </c>
      <c r="C699" s="5" t="s">
        <v>62</v>
      </c>
      <c r="D699" s="5" t="s">
        <v>13</v>
      </c>
      <c r="E699" s="5" t="s">
        <v>17</v>
      </c>
      <c r="F699" s="5" t="s">
        <v>46</v>
      </c>
      <c r="G699" s="5" t="s">
        <v>47</v>
      </c>
      <c r="H699" s="5" t="s">
        <v>48</v>
      </c>
      <c r="I699" s="5" t="s">
        <v>32</v>
      </c>
      <c r="J699" s="5">
        <v>16.063372000000001</v>
      </c>
      <c r="K699" s="5">
        <v>-97.381553999999994</v>
      </c>
      <c r="L699" s="5" t="str">
        <f>HYPERLINK("https://maps.google.com/?q=16.063372,-97.381553999999994", "🔗 Ver Mapa")</f>
        <v>🔗 Ver Mapa</v>
      </c>
    </row>
    <row r="700" spans="1:12" ht="29" x14ac:dyDescent="0.35">
      <c r="A700" s="6" t="s">
        <v>2</v>
      </c>
      <c r="B700" s="6" t="s">
        <v>44</v>
      </c>
      <c r="C700" s="6" t="s">
        <v>62</v>
      </c>
      <c r="D700" s="6" t="s">
        <v>13</v>
      </c>
      <c r="E700" s="6" t="s">
        <v>17</v>
      </c>
      <c r="F700" s="6" t="s">
        <v>46</v>
      </c>
      <c r="G700" s="6" t="s">
        <v>47</v>
      </c>
      <c r="H700" s="6" t="s">
        <v>48</v>
      </c>
      <c r="I700" s="6" t="s">
        <v>32</v>
      </c>
      <c r="J700" s="6">
        <v>16.063372000000001</v>
      </c>
      <c r="K700" s="6">
        <v>-97.381553999999994</v>
      </c>
      <c r="L700" s="6" t="str">
        <f>HYPERLINK("https://maps.google.com/?q=16.063372,-97.381553999999994", "🔗 Ver Mapa")</f>
        <v>🔗 Ver Mapa</v>
      </c>
    </row>
    <row r="701" spans="1:12" ht="29" x14ac:dyDescent="0.35">
      <c r="A701" s="5" t="s">
        <v>2</v>
      </c>
      <c r="B701" s="5" t="s">
        <v>44</v>
      </c>
      <c r="C701" s="5" t="s">
        <v>62</v>
      </c>
      <c r="D701" s="5" t="s">
        <v>13</v>
      </c>
      <c r="E701" s="5" t="s">
        <v>17</v>
      </c>
      <c r="F701" s="5" t="s">
        <v>46</v>
      </c>
      <c r="G701" s="5" t="s">
        <v>47</v>
      </c>
      <c r="H701" s="5" t="s">
        <v>48</v>
      </c>
      <c r="I701" s="5" t="s">
        <v>32</v>
      </c>
      <c r="J701" s="5">
        <v>16.063372000000001</v>
      </c>
      <c r="K701" s="5">
        <v>-97.381553999999994</v>
      </c>
      <c r="L701" s="5" t="str">
        <f>HYPERLINK("https://maps.google.com/?q=16.063372,-97.381553999999994", "🔗 Ver Mapa")</f>
        <v>🔗 Ver Mapa</v>
      </c>
    </row>
    <row r="702" spans="1:12" ht="29" x14ac:dyDescent="0.35">
      <c r="A702" s="6" t="s">
        <v>2</v>
      </c>
      <c r="B702" s="6" t="s">
        <v>44</v>
      </c>
      <c r="C702" s="6" t="s">
        <v>62</v>
      </c>
      <c r="D702" s="6" t="s">
        <v>13</v>
      </c>
      <c r="E702" s="6" t="s">
        <v>17</v>
      </c>
      <c r="F702" s="6" t="s">
        <v>46</v>
      </c>
      <c r="G702" s="6" t="s">
        <v>47</v>
      </c>
      <c r="H702" s="6" t="s">
        <v>48</v>
      </c>
      <c r="I702" s="6" t="s">
        <v>32</v>
      </c>
      <c r="J702" s="6">
        <v>16.063372000000001</v>
      </c>
      <c r="K702" s="6">
        <v>-97.381553999999994</v>
      </c>
      <c r="L702" s="6" t="str">
        <f>HYPERLINK("https://maps.google.com/?q=16.063372,-97.381553999999994", "🔗 Ver Mapa")</f>
        <v>🔗 Ver Mapa</v>
      </c>
    </row>
    <row r="703" spans="1:12" ht="29" x14ac:dyDescent="0.35">
      <c r="A703" s="5" t="s">
        <v>2</v>
      </c>
      <c r="B703" s="5" t="s">
        <v>44</v>
      </c>
      <c r="C703" s="5" t="s">
        <v>62</v>
      </c>
      <c r="D703" s="5" t="s">
        <v>13</v>
      </c>
      <c r="E703" s="5" t="s">
        <v>17</v>
      </c>
      <c r="F703" s="5" t="s">
        <v>46</v>
      </c>
      <c r="G703" s="5" t="s">
        <v>47</v>
      </c>
      <c r="H703" s="5" t="s">
        <v>48</v>
      </c>
      <c r="I703" s="5" t="s">
        <v>32</v>
      </c>
      <c r="J703" s="5">
        <v>16.063051999999999</v>
      </c>
      <c r="K703" s="5">
        <v>-97.382220000000004</v>
      </c>
      <c r="L703" s="5" t="str">
        <f>HYPERLINK("https://maps.google.com/?q=16.063052,-97.382220000000004", "🔗 Ver Mapa")</f>
        <v>🔗 Ver Mapa</v>
      </c>
    </row>
    <row r="704" spans="1:12" ht="29" x14ac:dyDescent="0.35">
      <c r="A704" s="6" t="s">
        <v>2</v>
      </c>
      <c r="B704" s="6" t="s">
        <v>44</v>
      </c>
      <c r="C704" s="6" t="s">
        <v>62</v>
      </c>
      <c r="D704" s="6" t="s">
        <v>13</v>
      </c>
      <c r="E704" s="6" t="s">
        <v>17</v>
      </c>
      <c r="F704" s="6" t="s">
        <v>46</v>
      </c>
      <c r="G704" s="6" t="s">
        <v>47</v>
      </c>
      <c r="H704" s="6" t="s">
        <v>48</v>
      </c>
      <c r="I704" s="6" t="s">
        <v>32</v>
      </c>
      <c r="J704" s="6">
        <v>16.063051999999999</v>
      </c>
      <c r="K704" s="6">
        <v>-97.382220000000004</v>
      </c>
      <c r="L704" s="6" t="str">
        <f>HYPERLINK("https://maps.google.com/?q=16.063052,-97.382220000000004", "🔗 Ver Mapa")</f>
        <v>🔗 Ver Mapa</v>
      </c>
    </row>
    <row r="705" spans="1:12" ht="29" x14ac:dyDescent="0.35">
      <c r="A705" s="5" t="s">
        <v>2</v>
      </c>
      <c r="B705" s="5" t="s">
        <v>44</v>
      </c>
      <c r="C705" s="5" t="s">
        <v>62</v>
      </c>
      <c r="D705" s="5" t="s">
        <v>13</v>
      </c>
      <c r="E705" s="5" t="s">
        <v>17</v>
      </c>
      <c r="F705" s="5" t="s">
        <v>46</v>
      </c>
      <c r="G705" s="5" t="s">
        <v>47</v>
      </c>
      <c r="H705" s="5" t="s">
        <v>48</v>
      </c>
      <c r="I705" s="5" t="s">
        <v>32</v>
      </c>
      <c r="J705" s="5">
        <v>16.063051999999999</v>
      </c>
      <c r="K705" s="5">
        <v>-97.382220000000004</v>
      </c>
      <c r="L705" s="5" t="str">
        <f>HYPERLINK("https://maps.google.com/?q=16.063052,-97.382220000000004", "🔗 Ver Mapa")</f>
        <v>🔗 Ver Mapa</v>
      </c>
    </row>
    <row r="706" spans="1:12" ht="29" x14ac:dyDescent="0.35">
      <c r="A706" s="6" t="s">
        <v>2</v>
      </c>
      <c r="B706" s="6" t="s">
        <v>44</v>
      </c>
      <c r="C706" s="6" t="s">
        <v>62</v>
      </c>
      <c r="D706" s="6" t="s">
        <v>13</v>
      </c>
      <c r="E706" s="6" t="s">
        <v>17</v>
      </c>
      <c r="F706" s="6" t="s">
        <v>46</v>
      </c>
      <c r="G706" s="6" t="s">
        <v>47</v>
      </c>
      <c r="H706" s="6" t="s">
        <v>48</v>
      </c>
      <c r="I706" s="6" t="s">
        <v>32</v>
      </c>
      <c r="J706" s="6">
        <v>16.063051999999999</v>
      </c>
      <c r="K706" s="6">
        <v>-97.382220000000004</v>
      </c>
      <c r="L706" s="6" t="str">
        <f>HYPERLINK("https://maps.google.com/?q=16.063052,-97.382220000000004", "🔗 Ver Mapa")</f>
        <v>🔗 Ver Mapa</v>
      </c>
    </row>
    <row r="707" spans="1:12" ht="29" x14ac:dyDescent="0.35">
      <c r="A707" s="5" t="s">
        <v>2</v>
      </c>
      <c r="B707" s="5" t="s">
        <v>44</v>
      </c>
      <c r="C707" s="5" t="s">
        <v>62</v>
      </c>
      <c r="D707" s="5" t="s">
        <v>13</v>
      </c>
      <c r="E707" s="5" t="s">
        <v>17</v>
      </c>
      <c r="F707" s="5" t="s">
        <v>46</v>
      </c>
      <c r="G707" s="5" t="s">
        <v>47</v>
      </c>
      <c r="H707" s="5" t="s">
        <v>48</v>
      </c>
      <c r="I707" s="5" t="s">
        <v>32</v>
      </c>
      <c r="J707" s="5">
        <v>16.062811</v>
      </c>
      <c r="K707" s="5">
        <v>-97.382633999999996</v>
      </c>
      <c r="L707" s="5" t="str">
        <f>HYPERLINK("https://maps.google.com/?q=16.062811,-97.382633999999996", "🔗 Ver Mapa")</f>
        <v>🔗 Ver Mapa</v>
      </c>
    </row>
    <row r="708" spans="1:12" ht="29" x14ac:dyDescent="0.35">
      <c r="A708" s="6" t="s">
        <v>2</v>
      </c>
      <c r="B708" s="6" t="s">
        <v>44</v>
      </c>
      <c r="C708" s="6" t="s">
        <v>62</v>
      </c>
      <c r="D708" s="6" t="s">
        <v>13</v>
      </c>
      <c r="E708" s="6" t="s">
        <v>17</v>
      </c>
      <c r="F708" s="6" t="s">
        <v>46</v>
      </c>
      <c r="G708" s="6" t="s">
        <v>47</v>
      </c>
      <c r="H708" s="6" t="s">
        <v>48</v>
      </c>
      <c r="I708" s="6" t="s">
        <v>32</v>
      </c>
      <c r="J708" s="6">
        <v>16.062811</v>
      </c>
      <c r="K708" s="6">
        <v>-97.382633999999996</v>
      </c>
      <c r="L708" s="6" t="str">
        <f>HYPERLINK("https://maps.google.com/?q=16.062811,-97.382633999999996", "🔗 Ver Mapa")</f>
        <v>🔗 Ver Mapa</v>
      </c>
    </row>
    <row r="709" spans="1:12" ht="29" x14ac:dyDescent="0.35">
      <c r="A709" s="5" t="s">
        <v>2</v>
      </c>
      <c r="B709" s="5" t="s">
        <v>44</v>
      </c>
      <c r="C709" s="5" t="s">
        <v>62</v>
      </c>
      <c r="D709" s="5" t="s">
        <v>13</v>
      </c>
      <c r="E709" s="5" t="s">
        <v>17</v>
      </c>
      <c r="F709" s="5" t="s">
        <v>46</v>
      </c>
      <c r="G709" s="5" t="s">
        <v>47</v>
      </c>
      <c r="H709" s="5" t="s">
        <v>48</v>
      </c>
      <c r="I709" s="5" t="s">
        <v>32</v>
      </c>
      <c r="J709" s="5">
        <v>16.062811</v>
      </c>
      <c r="K709" s="5">
        <v>-97.382633999999996</v>
      </c>
      <c r="L709" s="5" t="str">
        <f>HYPERLINK("https://maps.google.com/?q=16.062811,-97.382633999999996", "🔗 Ver Mapa")</f>
        <v>🔗 Ver Mapa</v>
      </c>
    </row>
    <row r="710" spans="1:12" ht="29" x14ac:dyDescent="0.35">
      <c r="A710" s="6" t="s">
        <v>2</v>
      </c>
      <c r="B710" s="6" t="s">
        <v>44</v>
      </c>
      <c r="C710" s="6" t="s">
        <v>62</v>
      </c>
      <c r="D710" s="6" t="s">
        <v>13</v>
      </c>
      <c r="E710" s="6" t="s">
        <v>17</v>
      </c>
      <c r="F710" s="6" t="s">
        <v>46</v>
      </c>
      <c r="G710" s="6" t="s">
        <v>47</v>
      </c>
      <c r="H710" s="6" t="s">
        <v>48</v>
      </c>
      <c r="I710" s="6" t="s">
        <v>32</v>
      </c>
      <c r="J710" s="6">
        <v>16.062811</v>
      </c>
      <c r="K710" s="6">
        <v>-97.382633999999996</v>
      </c>
      <c r="L710" s="6" t="str">
        <f>HYPERLINK("https://maps.google.com/?q=16.062811,-97.382633999999996", "🔗 Ver Mapa")</f>
        <v>🔗 Ver Mapa</v>
      </c>
    </row>
    <row r="711" spans="1:12" ht="29" x14ac:dyDescent="0.35">
      <c r="A711" s="5" t="s">
        <v>2</v>
      </c>
      <c r="B711" s="5" t="s">
        <v>44</v>
      </c>
      <c r="C711" s="5" t="s">
        <v>62</v>
      </c>
      <c r="D711" s="5" t="s">
        <v>13</v>
      </c>
      <c r="E711" s="5" t="s">
        <v>17</v>
      </c>
      <c r="F711" s="5" t="s">
        <v>46</v>
      </c>
      <c r="G711" s="5" t="s">
        <v>47</v>
      </c>
      <c r="H711" s="5" t="s">
        <v>48</v>
      </c>
      <c r="I711" s="5" t="s">
        <v>32</v>
      </c>
      <c r="J711" s="5">
        <v>16.062678999999999</v>
      </c>
      <c r="K711" s="5">
        <v>-97.383121000000003</v>
      </c>
      <c r="L711" s="5" t="str">
        <f>HYPERLINK("https://maps.google.com/?q=16.062679,-97.383121000000003", "🔗 Ver Mapa")</f>
        <v>🔗 Ver Mapa</v>
      </c>
    </row>
    <row r="712" spans="1:12" ht="29" x14ac:dyDescent="0.35">
      <c r="A712" s="6" t="s">
        <v>2</v>
      </c>
      <c r="B712" s="6" t="s">
        <v>44</v>
      </c>
      <c r="C712" s="6" t="s">
        <v>62</v>
      </c>
      <c r="D712" s="6" t="s">
        <v>13</v>
      </c>
      <c r="E712" s="6" t="s">
        <v>17</v>
      </c>
      <c r="F712" s="6" t="s">
        <v>46</v>
      </c>
      <c r="G712" s="6" t="s">
        <v>47</v>
      </c>
      <c r="H712" s="6" t="s">
        <v>48</v>
      </c>
      <c r="I712" s="6" t="s">
        <v>32</v>
      </c>
      <c r="J712" s="6">
        <v>16.062678999999999</v>
      </c>
      <c r="K712" s="6">
        <v>-97.383121000000003</v>
      </c>
      <c r="L712" s="6" t="str">
        <f>HYPERLINK("https://maps.google.com/?q=16.062679,-97.383121000000003", "🔗 Ver Mapa")</f>
        <v>🔗 Ver Mapa</v>
      </c>
    </row>
    <row r="713" spans="1:12" ht="29" x14ac:dyDescent="0.35">
      <c r="A713" s="5" t="s">
        <v>2</v>
      </c>
      <c r="B713" s="5" t="s">
        <v>44</v>
      </c>
      <c r="C713" s="5" t="s">
        <v>62</v>
      </c>
      <c r="D713" s="5" t="s">
        <v>13</v>
      </c>
      <c r="E713" s="5" t="s">
        <v>17</v>
      </c>
      <c r="F713" s="5" t="s">
        <v>46</v>
      </c>
      <c r="G713" s="5" t="s">
        <v>47</v>
      </c>
      <c r="H713" s="5" t="s">
        <v>48</v>
      </c>
      <c r="I713" s="5" t="s">
        <v>32</v>
      </c>
      <c r="J713" s="5">
        <v>16.062678999999999</v>
      </c>
      <c r="K713" s="5">
        <v>-97.383121000000003</v>
      </c>
      <c r="L713" s="5" t="str">
        <f>HYPERLINK("https://maps.google.com/?q=16.062679,-97.383121000000003", "🔗 Ver Mapa")</f>
        <v>🔗 Ver Mapa</v>
      </c>
    </row>
    <row r="714" spans="1:12" ht="29" x14ac:dyDescent="0.35">
      <c r="A714" s="6" t="s">
        <v>2</v>
      </c>
      <c r="B714" s="6" t="s">
        <v>44</v>
      </c>
      <c r="C714" s="6" t="s">
        <v>62</v>
      </c>
      <c r="D714" s="6" t="s">
        <v>13</v>
      </c>
      <c r="E714" s="6" t="s">
        <v>17</v>
      </c>
      <c r="F714" s="6" t="s">
        <v>46</v>
      </c>
      <c r="G714" s="6" t="s">
        <v>47</v>
      </c>
      <c r="H714" s="6" t="s">
        <v>48</v>
      </c>
      <c r="I714" s="6" t="s">
        <v>32</v>
      </c>
      <c r="J714" s="6">
        <v>16.062678999999999</v>
      </c>
      <c r="K714" s="6">
        <v>-97.383121000000003</v>
      </c>
      <c r="L714" s="6" t="str">
        <f>HYPERLINK("https://maps.google.com/?q=16.062679,-97.383121000000003", "🔗 Ver Mapa")</f>
        <v>🔗 Ver Mapa</v>
      </c>
    </row>
    <row r="715" spans="1:12" ht="29" x14ac:dyDescent="0.35">
      <c r="A715" s="5" t="s">
        <v>2</v>
      </c>
      <c r="B715" s="5" t="s">
        <v>44</v>
      </c>
      <c r="C715" s="5" t="s">
        <v>62</v>
      </c>
      <c r="D715" s="5" t="s">
        <v>13</v>
      </c>
      <c r="E715" s="5" t="s">
        <v>17</v>
      </c>
      <c r="F715" s="5" t="s">
        <v>46</v>
      </c>
      <c r="G715" s="5" t="s">
        <v>47</v>
      </c>
      <c r="H715" s="5" t="s">
        <v>48</v>
      </c>
      <c r="I715" s="5" t="s">
        <v>32</v>
      </c>
      <c r="J715" s="5">
        <v>16.062358</v>
      </c>
      <c r="K715" s="5">
        <v>-97.383600000000001</v>
      </c>
      <c r="L715" s="5" t="str">
        <f>HYPERLINK("https://maps.google.com/?q=16.062358,-97.383600000000001", "🔗 Ver Mapa")</f>
        <v>🔗 Ver Mapa</v>
      </c>
    </row>
    <row r="716" spans="1:12" ht="29" x14ac:dyDescent="0.35">
      <c r="A716" s="6" t="s">
        <v>2</v>
      </c>
      <c r="B716" s="6" t="s">
        <v>44</v>
      </c>
      <c r="C716" s="6" t="s">
        <v>62</v>
      </c>
      <c r="D716" s="6" t="s">
        <v>13</v>
      </c>
      <c r="E716" s="6" t="s">
        <v>17</v>
      </c>
      <c r="F716" s="6" t="s">
        <v>46</v>
      </c>
      <c r="G716" s="6" t="s">
        <v>47</v>
      </c>
      <c r="H716" s="6" t="s">
        <v>48</v>
      </c>
      <c r="I716" s="6" t="s">
        <v>32</v>
      </c>
      <c r="J716" s="6">
        <v>16.062358</v>
      </c>
      <c r="K716" s="6">
        <v>-97.383600000000001</v>
      </c>
      <c r="L716" s="6" t="str">
        <f>HYPERLINK("https://maps.google.com/?q=16.062358,-97.383600000000001", "🔗 Ver Mapa")</f>
        <v>🔗 Ver Mapa</v>
      </c>
    </row>
    <row r="717" spans="1:12" ht="29" x14ac:dyDescent="0.35">
      <c r="A717" s="5" t="s">
        <v>2</v>
      </c>
      <c r="B717" s="5" t="s">
        <v>44</v>
      </c>
      <c r="C717" s="5" t="s">
        <v>62</v>
      </c>
      <c r="D717" s="5" t="s">
        <v>13</v>
      </c>
      <c r="E717" s="5" t="s">
        <v>17</v>
      </c>
      <c r="F717" s="5" t="s">
        <v>46</v>
      </c>
      <c r="G717" s="5" t="s">
        <v>47</v>
      </c>
      <c r="H717" s="5" t="s">
        <v>48</v>
      </c>
      <c r="I717" s="5" t="s">
        <v>32</v>
      </c>
      <c r="J717" s="5">
        <v>16.062358</v>
      </c>
      <c r="K717" s="5">
        <v>-97.383600000000001</v>
      </c>
      <c r="L717" s="5" t="str">
        <f>HYPERLINK("https://maps.google.com/?q=16.062358,-97.383600000000001", "🔗 Ver Mapa")</f>
        <v>🔗 Ver Mapa</v>
      </c>
    </row>
    <row r="718" spans="1:12" ht="29" x14ac:dyDescent="0.35">
      <c r="A718" s="6" t="s">
        <v>2</v>
      </c>
      <c r="B718" s="6" t="s">
        <v>44</v>
      </c>
      <c r="C718" s="6" t="s">
        <v>62</v>
      </c>
      <c r="D718" s="6" t="s">
        <v>13</v>
      </c>
      <c r="E718" s="6" t="s">
        <v>17</v>
      </c>
      <c r="F718" s="6" t="s">
        <v>46</v>
      </c>
      <c r="G718" s="6" t="s">
        <v>47</v>
      </c>
      <c r="H718" s="6" t="s">
        <v>48</v>
      </c>
      <c r="I718" s="6" t="s">
        <v>32</v>
      </c>
      <c r="J718" s="6">
        <v>16.062358</v>
      </c>
      <c r="K718" s="6">
        <v>-97.383600000000001</v>
      </c>
      <c r="L718" s="6" t="str">
        <f>HYPERLINK("https://maps.google.com/?q=16.062358,-97.383600000000001", "🔗 Ver Mapa")</f>
        <v>🔗 Ver Mapa</v>
      </c>
    </row>
    <row r="719" spans="1:12" ht="29" x14ac:dyDescent="0.35">
      <c r="A719" s="5" t="s">
        <v>2</v>
      </c>
      <c r="B719" s="5" t="s">
        <v>44</v>
      </c>
      <c r="C719" s="5" t="s">
        <v>62</v>
      </c>
      <c r="D719" s="5" t="s">
        <v>13</v>
      </c>
      <c r="E719" s="5" t="s">
        <v>17</v>
      </c>
      <c r="F719" s="5" t="s">
        <v>46</v>
      </c>
      <c r="G719" s="5" t="s">
        <v>47</v>
      </c>
      <c r="H719" s="5" t="s">
        <v>48</v>
      </c>
      <c r="I719" s="5" t="s">
        <v>32</v>
      </c>
      <c r="J719" s="5">
        <v>16.062069999999999</v>
      </c>
      <c r="K719" s="5">
        <v>-97.383854999999997</v>
      </c>
      <c r="L719" s="5" t="str">
        <f>HYPERLINK("https://maps.google.com/?q=16.06207,-97.383854999999997", "🔗 Ver Mapa")</f>
        <v>🔗 Ver Mapa</v>
      </c>
    </row>
    <row r="720" spans="1:12" ht="29" x14ac:dyDescent="0.35">
      <c r="A720" s="6" t="s">
        <v>2</v>
      </c>
      <c r="B720" s="6" t="s">
        <v>44</v>
      </c>
      <c r="C720" s="6" t="s">
        <v>62</v>
      </c>
      <c r="D720" s="6" t="s">
        <v>13</v>
      </c>
      <c r="E720" s="6" t="s">
        <v>17</v>
      </c>
      <c r="F720" s="6" t="s">
        <v>46</v>
      </c>
      <c r="G720" s="6" t="s">
        <v>47</v>
      </c>
      <c r="H720" s="6" t="s">
        <v>48</v>
      </c>
      <c r="I720" s="6" t="s">
        <v>32</v>
      </c>
      <c r="J720" s="6">
        <v>16.062069999999999</v>
      </c>
      <c r="K720" s="6">
        <v>-97.383854999999997</v>
      </c>
      <c r="L720" s="6" t="str">
        <f>HYPERLINK("https://maps.google.com/?q=16.06207,-97.383854999999997", "🔗 Ver Mapa")</f>
        <v>🔗 Ver Mapa</v>
      </c>
    </row>
    <row r="721" spans="1:12" ht="29" x14ac:dyDescent="0.35">
      <c r="A721" s="5" t="s">
        <v>2</v>
      </c>
      <c r="B721" s="5" t="s">
        <v>44</v>
      </c>
      <c r="C721" s="5" t="s">
        <v>62</v>
      </c>
      <c r="D721" s="5" t="s">
        <v>13</v>
      </c>
      <c r="E721" s="5" t="s">
        <v>17</v>
      </c>
      <c r="F721" s="5" t="s">
        <v>46</v>
      </c>
      <c r="G721" s="5" t="s">
        <v>47</v>
      </c>
      <c r="H721" s="5" t="s">
        <v>48</v>
      </c>
      <c r="I721" s="5" t="s">
        <v>32</v>
      </c>
      <c r="J721" s="5">
        <v>16.062069999999999</v>
      </c>
      <c r="K721" s="5">
        <v>-97.383854999999997</v>
      </c>
      <c r="L721" s="5" t="str">
        <f>HYPERLINK("https://maps.google.com/?q=16.06207,-97.383854999999997", "🔗 Ver Mapa")</f>
        <v>🔗 Ver Mapa</v>
      </c>
    </row>
    <row r="722" spans="1:12" ht="29" x14ac:dyDescent="0.35">
      <c r="A722" s="6" t="s">
        <v>2</v>
      </c>
      <c r="B722" s="6" t="s">
        <v>44</v>
      </c>
      <c r="C722" s="6" t="s">
        <v>62</v>
      </c>
      <c r="D722" s="6" t="s">
        <v>13</v>
      </c>
      <c r="E722" s="6" t="s">
        <v>17</v>
      </c>
      <c r="F722" s="6" t="s">
        <v>46</v>
      </c>
      <c r="G722" s="6" t="s">
        <v>47</v>
      </c>
      <c r="H722" s="6" t="s">
        <v>48</v>
      </c>
      <c r="I722" s="6" t="s">
        <v>32</v>
      </c>
      <c r="J722" s="6">
        <v>16.062069999999999</v>
      </c>
      <c r="K722" s="6">
        <v>-97.383854999999997</v>
      </c>
      <c r="L722" s="6" t="str">
        <f>HYPERLINK("https://maps.google.com/?q=16.06207,-97.383854999999997", "🔗 Ver Mapa")</f>
        <v>🔗 Ver Mapa</v>
      </c>
    </row>
    <row r="723" spans="1:12" ht="29" x14ac:dyDescent="0.35">
      <c r="A723" s="5" t="s">
        <v>2</v>
      </c>
      <c r="B723" s="5" t="s">
        <v>4</v>
      </c>
      <c r="C723" s="5" t="s">
        <v>8</v>
      </c>
      <c r="D723" s="5" t="s">
        <v>13</v>
      </c>
      <c r="E723" s="5" t="s">
        <v>16</v>
      </c>
      <c r="F723" s="5" t="s">
        <v>19</v>
      </c>
      <c r="G723" s="5" t="s">
        <v>23</v>
      </c>
      <c r="H723" s="5" t="s">
        <v>27</v>
      </c>
      <c r="I723" s="5" t="s">
        <v>31</v>
      </c>
      <c r="J723" s="5">
        <v>17.222435000000001</v>
      </c>
      <c r="K723" s="5">
        <v>-97.122597999999996</v>
      </c>
      <c r="L723" s="5" t="str">
        <f>HYPERLINK("https://maps.google.com/?q=17.222435,-97.122597999999996", "🔗 Ver Mapa")</f>
        <v>🔗 Ver Mapa</v>
      </c>
    </row>
    <row r="724" spans="1:12" ht="29" x14ac:dyDescent="0.35">
      <c r="A724" s="6" t="s">
        <v>2</v>
      </c>
      <c r="B724" s="6" t="s">
        <v>4</v>
      </c>
      <c r="C724" s="6" t="s">
        <v>8</v>
      </c>
      <c r="D724" s="6" t="s">
        <v>13</v>
      </c>
      <c r="E724" s="6" t="s">
        <v>16</v>
      </c>
      <c r="F724" s="6" t="s">
        <v>19</v>
      </c>
      <c r="G724" s="6" t="s">
        <v>23</v>
      </c>
      <c r="H724" s="6" t="s">
        <v>27</v>
      </c>
      <c r="I724" s="6" t="s">
        <v>31</v>
      </c>
      <c r="J724" s="6">
        <v>17.222594999999998</v>
      </c>
      <c r="K724" s="6">
        <v>-97.122001999999995</v>
      </c>
      <c r="L724" s="6" t="str">
        <f>HYPERLINK("https://maps.google.com/?q=17.222595,-97.122001999999995", "🔗 Ver Mapa")</f>
        <v>🔗 Ver Mapa</v>
      </c>
    </row>
    <row r="725" spans="1:12" ht="29" x14ac:dyDescent="0.35">
      <c r="A725" s="5" t="s">
        <v>2</v>
      </c>
      <c r="B725" s="5" t="s">
        <v>4</v>
      </c>
      <c r="C725" s="5" t="s">
        <v>8</v>
      </c>
      <c r="D725" s="5" t="s">
        <v>13</v>
      </c>
      <c r="E725" s="5" t="s">
        <v>16</v>
      </c>
      <c r="F725" s="5" t="s">
        <v>19</v>
      </c>
      <c r="G725" s="5" t="s">
        <v>23</v>
      </c>
      <c r="H725" s="5" t="s">
        <v>27</v>
      </c>
      <c r="I725" s="5" t="s">
        <v>31</v>
      </c>
      <c r="J725" s="5">
        <v>17.222138999999999</v>
      </c>
      <c r="K725" s="5">
        <v>-97.118387999999996</v>
      </c>
      <c r="L725" s="5" t="str">
        <f>HYPERLINK("https://maps.google.com/?q=17.222139,-97.118387999999996", "🔗 Ver Mapa")</f>
        <v>🔗 Ver Mapa</v>
      </c>
    </row>
    <row r="726" spans="1:12" ht="29" x14ac:dyDescent="0.35">
      <c r="A726" s="6" t="s">
        <v>2</v>
      </c>
      <c r="B726" s="6" t="s">
        <v>4</v>
      </c>
      <c r="C726" s="6" t="s">
        <v>8</v>
      </c>
      <c r="D726" s="6" t="s">
        <v>13</v>
      </c>
      <c r="E726" s="6" t="s">
        <v>16</v>
      </c>
      <c r="F726" s="6" t="s">
        <v>19</v>
      </c>
      <c r="G726" s="6" t="s">
        <v>23</v>
      </c>
      <c r="H726" s="6" t="s">
        <v>27</v>
      </c>
      <c r="I726" s="6" t="s">
        <v>31</v>
      </c>
      <c r="J726" s="6">
        <v>17.222228000000001</v>
      </c>
      <c r="K726" s="6">
        <v>-97.122439999999997</v>
      </c>
      <c r="L726" s="6" t="str">
        <f>HYPERLINK("https://maps.google.com/?q=17.222228,-97.122439999999997", "🔗 Ver Mapa")</f>
        <v>🔗 Ver Mapa</v>
      </c>
    </row>
    <row r="727" spans="1:12" ht="29" x14ac:dyDescent="0.35">
      <c r="A727" s="5" t="s">
        <v>2</v>
      </c>
      <c r="B727" s="5" t="s">
        <v>4</v>
      </c>
      <c r="C727" s="5" t="s">
        <v>8</v>
      </c>
      <c r="D727" s="5" t="s">
        <v>13</v>
      </c>
      <c r="E727" s="5" t="s">
        <v>16</v>
      </c>
      <c r="F727" s="5" t="s">
        <v>19</v>
      </c>
      <c r="G727" s="5" t="s">
        <v>23</v>
      </c>
      <c r="H727" s="5" t="s">
        <v>27</v>
      </c>
      <c r="I727" s="5" t="s">
        <v>31</v>
      </c>
      <c r="J727" s="5">
        <v>17.220918000000001</v>
      </c>
      <c r="K727" s="5">
        <v>-97.122443000000004</v>
      </c>
      <c r="L727" s="5" t="str">
        <f>HYPERLINK("https://maps.google.com/?q=17.220918,-97.122443000000004", "🔗 Ver Mapa")</f>
        <v>🔗 Ver Mapa</v>
      </c>
    </row>
    <row r="728" spans="1:12" ht="29" x14ac:dyDescent="0.35">
      <c r="A728" s="6" t="s">
        <v>2</v>
      </c>
      <c r="B728" s="6" t="s">
        <v>4</v>
      </c>
      <c r="C728" s="6" t="s">
        <v>8</v>
      </c>
      <c r="D728" s="6" t="s">
        <v>13</v>
      </c>
      <c r="E728" s="6" t="s">
        <v>16</v>
      </c>
      <c r="F728" s="6" t="s">
        <v>19</v>
      </c>
      <c r="G728" s="6" t="s">
        <v>23</v>
      </c>
      <c r="H728" s="6" t="s">
        <v>27</v>
      </c>
      <c r="I728" s="6" t="s">
        <v>31</v>
      </c>
      <c r="J728" s="6">
        <v>17.223966000000001</v>
      </c>
      <c r="K728" s="6">
        <v>-97.121491000000006</v>
      </c>
      <c r="L728" s="6" t="str">
        <f>HYPERLINK("https://maps.google.com/?q=17.223966,-97.121491000000006", "🔗 Ver Mapa")</f>
        <v>🔗 Ver Mapa</v>
      </c>
    </row>
    <row r="729" spans="1:12" ht="29" x14ac:dyDescent="0.35">
      <c r="A729" s="5" t="s">
        <v>2</v>
      </c>
      <c r="B729" s="5" t="s">
        <v>4</v>
      </c>
      <c r="C729" s="5" t="s">
        <v>8</v>
      </c>
      <c r="D729" s="5" t="s">
        <v>13</v>
      </c>
      <c r="E729" s="5" t="s">
        <v>16</v>
      </c>
      <c r="F729" s="5" t="s">
        <v>19</v>
      </c>
      <c r="G729" s="5" t="s">
        <v>23</v>
      </c>
      <c r="H729" s="5" t="s">
        <v>27</v>
      </c>
      <c r="I729" s="5" t="s">
        <v>31</v>
      </c>
      <c r="J729" s="5">
        <v>17.221270000000001</v>
      </c>
      <c r="K729" s="5">
        <v>-97.122124999999997</v>
      </c>
      <c r="L729" s="5" t="str">
        <f>HYPERLINK("https://maps.google.com/?q=17.22127,-97.122124999999997", "🔗 Ver Mapa")</f>
        <v>🔗 Ver Mapa</v>
      </c>
    </row>
    <row r="730" spans="1:12" ht="29" x14ac:dyDescent="0.35">
      <c r="A730" s="6" t="s">
        <v>2</v>
      </c>
      <c r="B730" s="6" t="s">
        <v>5</v>
      </c>
      <c r="C730" s="6" t="s">
        <v>63</v>
      </c>
      <c r="D730" s="6" t="s">
        <v>13</v>
      </c>
      <c r="E730" s="6" t="s">
        <v>17</v>
      </c>
      <c r="F730" s="6" t="s">
        <v>20</v>
      </c>
      <c r="G730" s="6" t="s">
        <v>24</v>
      </c>
      <c r="H730" s="6" t="s">
        <v>64</v>
      </c>
      <c r="I730" s="6" t="s">
        <v>32</v>
      </c>
      <c r="J730" s="6">
        <v>15.711468526728</v>
      </c>
      <c r="K730" s="6">
        <v>-96.529851687185996</v>
      </c>
      <c r="L730" s="6" t="str">
        <f>HYPERLINK("https://maps.google.com/?q=15.711468526727549,-96.529851687185769", "🔗 Ver Mapa")</f>
        <v>🔗 Ver Mapa</v>
      </c>
    </row>
    <row r="731" spans="1:12" ht="29" x14ac:dyDescent="0.35">
      <c r="A731" s="5" t="s">
        <v>2</v>
      </c>
      <c r="B731" s="5" t="s">
        <v>5</v>
      </c>
      <c r="C731" s="5" t="s">
        <v>63</v>
      </c>
      <c r="D731" s="5" t="s">
        <v>13</v>
      </c>
      <c r="E731" s="5" t="s">
        <v>17</v>
      </c>
      <c r="F731" s="5" t="s">
        <v>20</v>
      </c>
      <c r="G731" s="5" t="s">
        <v>24</v>
      </c>
      <c r="H731" s="5" t="s">
        <v>64</v>
      </c>
      <c r="I731" s="5" t="s">
        <v>32</v>
      </c>
      <c r="J731" s="5">
        <v>15.711044556844</v>
      </c>
      <c r="K731" s="5">
        <v>-96.529755568764998</v>
      </c>
      <c r="L731" s="5" t="str">
        <f>HYPERLINK("https://maps.google.com/?q=15.71104455684405,-96.529755568765012", "🔗 Ver Mapa")</f>
        <v>🔗 Ver Mapa</v>
      </c>
    </row>
    <row r="732" spans="1:12" ht="29" x14ac:dyDescent="0.35">
      <c r="A732" s="6" t="s">
        <v>2</v>
      </c>
      <c r="B732" s="6" t="s">
        <v>5</v>
      </c>
      <c r="C732" s="6" t="s">
        <v>63</v>
      </c>
      <c r="D732" s="6" t="s">
        <v>13</v>
      </c>
      <c r="E732" s="6" t="s">
        <v>17</v>
      </c>
      <c r="F732" s="6" t="s">
        <v>20</v>
      </c>
      <c r="G732" s="6" t="s">
        <v>24</v>
      </c>
      <c r="H732" s="6" t="s">
        <v>64</v>
      </c>
      <c r="I732" s="6" t="s">
        <v>32</v>
      </c>
      <c r="J732" s="6">
        <v>15.710738084661999</v>
      </c>
      <c r="K732" s="6">
        <v>-96.529713717736996</v>
      </c>
      <c r="L732" s="6" t="str">
        <f>HYPERLINK("https://maps.google.com/?q=15.710738084662175,-96.529713717736911", "🔗 Ver Mapa")</f>
        <v>🔗 Ver Mapa</v>
      </c>
    </row>
    <row r="733" spans="1:12" ht="29" x14ac:dyDescent="0.35">
      <c r="A733" s="5" t="s">
        <v>2</v>
      </c>
      <c r="B733" s="5" t="s">
        <v>5</v>
      </c>
      <c r="C733" s="5" t="s">
        <v>63</v>
      </c>
      <c r="D733" s="5" t="s">
        <v>13</v>
      </c>
      <c r="E733" s="5" t="s">
        <v>17</v>
      </c>
      <c r="F733" s="5" t="s">
        <v>20</v>
      </c>
      <c r="G733" s="5" t="s">
        <v>24</v>
      </c>
      <c r="H733" s="5" t="s">
        <v>64</v>
      </c>
      <c r="I733" s="5" t="s">
        <v>32</v>
      </c>
      <c r="J733" s="5">
        <v>15.710367984836999</v>
      </c>
      <c r="K733" s="5">
        <v>-96.529521333100007</v>
      </c>
      <c r="L733" s="5" t="str">
        <f>HYPERLINK("https://maps.google.com/?q=15.710367984837037,-96.529521333099581", "🔗 Ver Mapa")</f>
        <v>🔗 Ver Mapa</v>
      </c>
    </row>
    <row r="734" spans="1:12" ht="29" x14ac:dyDescent="0.35">
      <c r="A734" s="6" t="s">
        <v>2</v>
      </c>
      <c r="B734" s="6" t="s">
        <v>5</v>
      </c>
      <c r="C734" s="6" t="s">
        <v>63</v>
      </c>
      <c r="D734" s="6" t="s">
        <v>13</v>
      </c>
      <c r="E734" s="6" t="s">
        <v>17</v>
      </c>
      <c r="F734" s="6" t="s">
        <v>20</v>
      </c>
      <c r="G734" s="6" t="s">
        <v>24</v>
      </c>
      <c r="H734" s="6" t="s">
        <v>64</v>
      </c>
      <c r="I734" s="6" t="s">
        <v>32</v>
      </c>
      <c r="J734" s="6">
        <v>15.709945259575001</v>
      </c>
      <c r="K734" s="6">
        <v>-96.528705123609996</v>
      </c>
      <c r="L734" s="6" t="str">
        <f>HYPERLINK("https://maps.google.com/?q=15.709945259575418,-96.528705123609853", "🔗 Ver Mapa")</f>
        <v>🔗 Ver Mapa</v>
      </c>
    </row>
    <row r="735" spans="1:12" ht="29" x14ac:dyDescent="0.35">
      <c r="A735" s="5" t="s">
        <v>2</v>
      </c>
      <c r="B735" s="5" t="s">
        <v>5</v>
      </c>
      <c r="C735" s="5" t="s">
        <v>63</v>
      </c>
      <c r="D735" s="5" t="s">
        <v>13</v>
      </c>
      <c r="E735" s="5" t="s">
        <v>17</v>
      </c>
      <c r="F735" s="5" t="s">
        <v>20</v>
      </c>
      <c r="G735" s="5" t="s">
        <v>24</v>
      </c>
      <c r="H735" s="5" t="s">
        <v>64</v>
      </c>
      <c r="I735" s="5" t="s">
        <v>32</v>
      </c>
      <c r="J735" s="5">
        <v>15.709957371692999</v>
      </c>
      <c r="K735" s="5">
        <v>-96.528358657267006</v>
      </c>
      <c r="L735" s="5" t="str">
        <f>HYPERLINK("https://maps.google.com/?q=15.709957371692507,-96.528358657267262", "🔗 Ver Mapa")</f>
        <v>🔗 Ver Mapa</v>
      </c>
    </row>
    <row r="736" spans="1:12" ht="29" x14ac:dyDescent="0.35">
      <c r="A736" s="6" t="s">
        <v>2</v>
      </c>
      <c r="B736" s="6" t="s">
        <v>5</v>
      </c>
      <c r="C736" s="6" t="s">
        <v>63</v>
      </c>
      <c r="D736" s="6" t="s">
        <v>13</v>
      </c>
      <c r="E736" s="6" t="s">
        <v>17</v>
      </c>
      <c r="F736" s="6" t="s">
        <v>20</v>
      </c>
      <c r="G736" s="6" t="s">
        <v>24</v>
      </c>
      <c r="H736" s="6" t="s">
        <v>64</v>
      </c>
      <c r="I736" s="6" t="s">
        <v>32</v>
      </c>
      <c r="J736" s="6">
        <v>15.682071364006999</v>
      </c>
      <c r="K736" s="6">
        <v>-96.508078053896995</v>
      </c>
      <c r="L736" s="6" t="str">
        <f>HYPERLINK("https://maps.google.com/?q=15.68207136400714,-96.508078053897378", "🔗 Ver Mapa")</f>
        <v>🔗 Ver Mapa</v>
      </c>
    </row>
    <row r="737" spans="1:12" ht="29" x14ac:dyDescent="0.35">
      <c r="A737" s="5" t="s">
        <v>2</v>
      </c>
      <c r="B737" s="5" t="s">
        <v>5</v>
      </c>
      <c r="C737" s="5" t="s">
        <v>63</v>
      </c>
      <c r="D737" s="5" t="s">
        <v>13</v>
      </c>
      <c r="E737" s="5" t="s">
        <v>17</v>
      </c>
      <c r="F737" s="5" t="s">
        <v>20</v>
      </c>
      <c r="G737" s="5" t="s">
        <v>24</v>
      </c>
      <c r="H737" s="5" t="s">
        <v>64</v>
      </c>
      <c r="I737" s="5" t="s">
        <v>32</v>
      </c>
      <c r="J737" s="5">
        <v>15.682002444103</v>
      </c>
      <c r="K737" s="5">
        <v>-96.507891378514003</v>
      </c>
      <c r="L737" s="5" t="str">
        <f>HYPERLINK("https://maps.google.com/?q=15.68200244410338,-96.507891378514429", "🔗 Ver Mapa")</f>
        <v>🔗 Ver Mapa</v>
      </c>
    </row>
    <row r="738" spans="1:12" ht="29" x14ac:dyDescent="0.35">
      <c r="A738" s="6" t="s">
        <v>2</v>
      </c>
      <c r="B738" s="6" t="s">
        <v>5</v>
      </c>
      <c r="C738" s="6" t="s">
        <v>63</v>
      </c>
      <c r="D738" s="6" t="s">
        <v>13</v>
      </c>
      <c r="E738" s="6" t="s">
        <v>17</v>
      </c>
      <c r="F738" s="6" t="s">
        <v>20</v>
      </c>
      <c r="G738" s="6" t="s">
        <v>24</v>
      </c>
      <c r="H738" s="6" t="s">
        <v>64</v>
      </c>
      <c r="I738" s="6" t="s">
        <v>32</v>
      </c>
      <c r="J738" s="6">
        <v>15.682425594191001</v>
      </c>
      <c r="K738" s="6">
        <v>-96.509560492633</v>
      </c>
      <c r="L738" s="6" t="str">
        <f>HYPERLINK("https://maps.google.com/?q=15.682425594190722,-96.509560492632517", "🔗 Ver Mapa")</f>
        <v>🔗 Ver Mapa</v>
      </c>
    </row>
    <row r="739" spans="1:12" ht="29" x14ac:dyDescent="0.35">
      <c r="A739" s="5" t="s">
        <v>2</v>
      </c>
      <c r="B739" s="5" t="s">
        <v>5</v>
      </c>
      <c r="C739" s="5" t="s">
        <v>63</v>
      </c>
      <c r="D739" s="5" t="s">
        <v>13</v>
      </c>
      <c r="E739" s="5" t="s">
        <v>17</v>
      </c>
      <c r="F739" s="5" t="s">
        <v>20</v>
      </c>
      <c r="G739" s="5" t="s">
        <v>24</v>
      </c>
      <c r="H739" s="5" t="s">
        <v>64</v>
      </c>
      <c r="I739" s="5" t="s">
        <v>32</v>
      </c>
      <c r="J739" s="5">
        <v>15.682285150482</v>
      </c>
      <c r="K739" s="5">
        <v>-96.509339009339001</v>
      </c>
      <c r="L739" s="5" t="str">
        <f>HYPERLINK("https://maps.google.com/?q=15.68228515048243,-96.509339009339087", "🔗 Ver Mapa")</f>
        <v>🔗 Ver Mapa</v>
      </c>
    </row>
    <row r="740" spans="1:12" ht="29" x14ac:dyDescent="0.35">
      <c r="A740" s="6" t="s">
        <v>2</v>
      </c>
      <c r="B740" s="6" t="s">
        <v>5</v>
      </c>
      <c r="C740" s="6" t="s">
        <v>63</v>
      </c>
      <c r="D740" s="6" t="s">
        <v>13</v>
      </c>
      <c r="E740" s="6" t="s">
        <v>17</v>
      </c>
      <c r="F740" s="6" t="s">
        <v>20</v>
      </c>
      <c r="G740" s="6" t="s">
        <v>24</v>
      </c>
      <c r="H740" s="6" t="s">
        <v>64</v>
      </c>
      <c r="I740" s="6" t="s">
        <v>32</v>
      </c>
      <c r="J740" s="6">
        <v>15.682244765855</v>
      </c>
      <c r="K740" s="6">
        <v>-96.509131538562002</v>
      </c>
      <c r="L740" s="6" t="str">
        <f>HYPERLINK("https://maps.google.com/?q=15.682244765855282,-96.509131538561661", "🔗 Ver Mapa")</f>
        <v>🔗 Ver Mapa</v>
      </c>
    </row>
    <row r="741" spans="1:12" ht="29" x14ac:dyDescent="0.35">
      <c r="A741" s="5" t="s">
        <v>2</v>
      </c>
      <c r="B741" s="5" t="s">
        <v>5</v>
      </c>
      <c r="C741" s="5" t="s">
        <v>63</v>
      </c>
      <c r="D741" s="5" t="s">
        <v>13</v>
      </c>
      <c r="E741" s="5" t="s">
        <v>17</v>
      </c>
      <c r="F741" s="5" t="s">
        <v>20</v>
      </c>
      <c r="G741" s="5" t="s">
        <v>24</v>
      </c>
      <c r="H741" s="5" t="s">
        <v>64</v>
      </c>
      <c r="I741" s="5" t="s">
        <v>32</v>
      </c>
      <c r="J741" s="5">
        <v>15.682320729633</v>
      </c>
      <c r="K741" s="5">
        <v>-96.508912902335993</v>
      </c>
      <c r="L741" s="5" t="str">
        <f>HYPERLINK("https://maps.google.com/?q=15.682320729633028,-96.508912902335666", "🔗 Ver Mapa")</f>
        <v>🔗 Ver Mapa</v>
      </c>
    </row>
    <row r="742" spans="1:12" ht="29" x14ac:dyDescent="0.35">
      <c r="A742" s="6" t="s">
        <v>2</v>
      </c>
      <c r="B742" s="6" t="s">
        <v>5</v>
      </c>
      <c r="C742" s="6" t="s">
        <v>63</v>
      </c>
      <c r="D742" s="6" t="s">
        <v>13</v>
      </c>
      <c r="E742" s="6" t="s">
        <v>17</v>
      </c>
      <c r="F742" s="6" t="s">
        <v>20</v>
      </c>
      <c r="G742" s="6" t="s">
        <v>24</v>
      </c>
      <c r="H742" s="6" t="s">
        <v>64</v>
      </c>
      <c r="I742" s="6" t="s">
        <v>32</v>
      </c>
      <c r="J742" s="6">
        <v>15.682183471887001</v>
      </c>
      <c r="K742" s="6">
        <v>-96.50857150729</v>
      </c>
      <c r="L742" s="6" t="str">
        <f>HYPERLINK("https://maps.google.com/?q=15.682183471887004,-96.508571507289886", "🔗 Ver Mapa")</f>
        <v>🔗 Ver Mapa</v>
      </c>
    </row>
    <row r="743" spans="1:12" ht="29" x14ac:dyDescent="0.35">
      <c r="A743" s="5" t="s">
        <v>2</v>
      </c>
      <c r="B743" s="5" t="s">
        <v>5</v>
      </c>
      <c r="C743" s="5" t="s">
        <v>63</v>
      </c>
      <c r="D743" s="5" t="s">
        <v>13</v>
      </c>
      <c r="E743" s="5" t="s">
        <v>17</v>
      </c>
      <c r="F743" s="5" t="s">
        <v>20</v>
      </c>
      <c r="G743" s="5" t="s">
        <v>24</v>
      </c>
      <c r="H743" s="5" t="s">
        <v>64</v>
      </c>
      <c r="I743" s="5" t="s">
        <v>32</v>
      </c>
      <c r="J743" s="5">
        <v>15.682231849360001</v>
      </c>
      <c r="K743" s="5">
        <v>-96.508414886451007</v>
      </c>
      <c r="L743" s="5" t="str">
        <f>HYPERLINK("https://maps.google.com/?q=15.682231849360354,-96.508414886450836", "🔗 Ver Mapa")</f>
        <v>🔗 Ver Mapa</v>
      </c>
    </row>
    <row r="744" spans="1:12" ht="29" x14ac:dyDescent="0.35">
      <c r="A744" s="6" t="s">
        <v>2</v>
      </c>
      <c r="B744" s="6" t="s">
        <v>5</v>
      </c>
      <c r="C744" s="6" t="s">
        <v>63</v>
      </c>
      <c r="D744" s="6" t="s">
        <v>13</v>
      </c>
      <c r="E744" s="6" t="s">
        <v>17</v>
      </c>
      <c r="F744" s="6" t="s">
        <v>20</v>
      </c>
      <c r="G744" s="6" t="s">
        <v>24</v>
      </c>
      <c r="H744" s="6" t="s">
        <v>64</v>
      </c>
      <c r="I744" s="6" t="s">
        <v>32</v>
      </c>
      <c r="J744" s="6">
        <v>15.682811744419</v>
      </c>
      <c r="K744" s="6">
        <v>-96.510419756603994</v>
      </c>
      <c r="L744" s="6" t="str">
        <f>HYPERLINK("https://maps.google.com/?q=15.682811744418803,-96.510419756603994", "🔗 Ver Mapa")</f>
        <v>🔗 Ver Mapa</v>
      </c>
    </row>
    <row r="745" spans="1:12" ht="29" x14ac:dyDescent="0.35">
      <c r="A745" s="5" t="s">
        <v>2</v>
      </c>
      <c r="B745" s="5" t="s">
        <v>5</v>
      </c>
      <c r="C745" s="5" t="s">
        <v>63</v>
      </c>
      <c r="D745" s="5" t="s">
        <v>13</v>
      </c>
      <c r="E745" s="5" t="s">
        <v>17</v>
      </c>
      <c r="F745" s="5" t="s">
        <v>20</v>
      </c>
      <c r="G745" s="5" t="s">
        <v>24</v>
      </c>
      <c r="H745" s="5" t="s">
        <v>64</v>
      </c>
      <c r="I745" s="5" t="s">
        <v>32</v>
      </c>
      <c r="J745" s="5">
        <v>15.682672515266001</v>
      </c>
      <c r="K745" s="5">
        <v>-96.510265999048002</v>
      </c>
      <c r="L745" s="5" t="str">
        <f>HYPERLINK("https://maps.google.com/?q=15.68267251526627,-96.510265999047704", "🔗 Ver Mapa")</f>
        <v>🔗 Ver Mapa</v>
      </c>
    </row>
    <row r="746" spans="1:12" ht="29" x14ac:dyDescent="0.35">
      <c r="A746" s="6" t="s">
        <v>2</v>
      </c>
      <c r="B746" s="6" t="s">
        <v>5</v>
      </c>
      <c r="C746" s="6" t="s">
        <v>63</v>
      </c>
      <c r="D746" s="6" t="s">
        <v>13</v>
      </c>
      <c r="E746" s="6" t="s">
        <v>17</v>
      </c>
      <c r="F746" s="6" t="s">
        <v>20</v>
      </c>
      <c r="G746" s="6" t="s">
        <v>24</v>
      </c>
      <c r="H746" s="6" t="s">
        <v>64</v>
      </c>
      <c r="I746" s="6" t="s">
        <v>32</v>
      </c>
      <c r="J746" s="6">
        <v>15.682525652329</v>
      </c>
      <c r="K746" s="6">
        <v>-96.510162965622001</v>
      </c>
      <c r="L746" s="6" t="str">
        <f>HYPERLINK("https://maps.google.com/?q=15.682525652328792,-96.51016296562247", "🔗 Ver Mapa")</f>
        <v>🔗 Ver Mapa</v>
      </c>
    </row>
    <row r="747" spans="1:12" ht="29" x14ac:dyDescent="0.35">
      <c r="A747" s="5" t="s">
        <v>2</v>
      </c>
      <c r="B747" s="5" t="s">
        <v>5</v>
      </c>
      <c r="C747" s="5" t="s">
        <v>63</v>
      </c>
      <c r="D747" s="5" t="s">
        <v>13</v>
      </c>
      <c r="E747" s="5" t="s">
        <v>17</v>
      </c>
      <c r="F747" s="5" t="s">
        <v>20</v>
      </c>
      <c r="G747" s="5" t="s">
        <v>24</v>
      </c>
      <c r="H747" s="5" t="s">
        <v>64</v>
      </c>
      <c r="I747" s="5" t="s">
        <v>32</v>
      </c>
      <c r="J747" s="5">
        <v>15.682470110709</v>
      </c>
      <c r="K747" s="5">
        <v>-96.510059430414003</v>
      </c>
      <c r="L747" s="5" t="str">
        <f>HYPERLINK("https://maps.google.com/?q=15.682470110709314,-96.510059430414273", "🔗 Ver Mapa")</f>
        <v>🔗 Ver Mapa</v>
      </c>
    </row>
    <row r="748" spans="1:12" ht="29" x14ac:dyDescent="0.35">
      <c r="A748" s="6" t="s">
        <v>2</v>
      </c>
      <c r="B748" s="6" t="s">
        <v>5</v>
      </c>
      <c r="C748" s="6" t="s">
        <v>63</v>
      </c>
      <c r="D748" s="6" t="s">
        <v>13</v>
      </c>
      <c r="E748" s="6" t="s">
        <v>17</v>
      </c>
      <c r="F748" s="6" t="s">
        <v>20</v>
      </c>
      <c r="G748" s="6" t="s">
        <v>24</v>
      </c>
      <c r="H748" s="6" t="s">
        <v>64</v>
      </c>
      <c r="I748" s="6" t="s">
        <v>32</v>
      </c>
      <c r="J748" s="6">
        <v>15.682473790991001</v>
      </c>
      <c r="K748" s="6">
        <v>-96.509874931241995</v>
      </c>
      <c r="L748" s="6" t="str">
        <f>HYPERLINK("https://maps.google.com/?q=15.682473790990546,-96.509874931242152", "🔗 Ver Mapa")</f>
        <v>🔗 Ver Mapa</v>
      </c>
    </row>
    <row r="749" spans="1:12" ht="29" x14ac:dyDescent="0.35">
      <c r="A749" s="5" t="s">
        <v>2</v>
      </c>
      <c r="B749" s="5" t="s">
        <v>5</v>
      </c>
      <c r="C749" s="5" t="s">
        <v>63</v>
      </c>
      <c r="D749" s="5" t="s">
        <v>13</v>
      </c>
      <c r="E749" s="5" t="s">
        <v>17</v>
      </c>
      <c r="F749" s="5" t="s">
        <v>20</v>
      </c>
      <c r="G749" s="5" t="s">
        <v>24</v>
      </c>
      <c r="H749" s="5" t="s">
        <v>64</v>
      </c>
      <c r="I749" s="5" t="s">
        <v>32</v>
      </c>
      <c r="J749" s="5">
        <v>15.682436384598001</v>
      </c>
      <c r="K749" s="5">
        <v>-96.509749664799998</v>
      </c>
      <c r="L749" s="5" t="str">
        <f>HYPERLINK("https://maps.google.com/?q=15.68243638459757,-96.509749664799585", "🔗 Ver Mapa")</f>
        <v>🔗 Ver Mapa</v>
      </c>
    </row>
    <row r="750" spans="1:12" ht="29" x14ac:dyDescent="0.35">
      <c r="A750" s="6" t="s">
        <v>2</v>
      </c>
      <c r="B750" s="6" t="s">
        <v>5</v>
      </c>
      <c r="C750" s="6" t="s">
        <v>63</v>
      </c>
      <c r="D750" s="6" t="s">
        <v>13</v>
      </c>
      <c r="E750" s="6" t="s">
        <v>17</v>
      </c>
      <c r="F750" s="6" t="s">
        <v>20</v>
      </c>
      <c r="G750" s="6" t="s">
        <v>24</v>
      </c>
      <c r="H750" s="6" t="s">
        <v>64</v>
      </c>
      <c r="I750" s="6" t="s">
        <v>32</v>
      </c>
      <c r="J750" s="6">
        <v>15.683553878475999</v>
      </c>
      <c r="K750" s="6">
        <v>-96.511397332295999</v>
      </c>
      <c r="L750" s="6" t="str">
        <f>HYPERLINK("https://maps.google.com/?q=15.683553878476394,-96.511397332295729", "🔗 Ver Mapa")</f>
        <v>🔗 Ver Mapa</v>
      </c>
    </row>
    <row r="751" spans="1:12" ht="29" x14ac:dyDescent="0.35">
      <c r="A751" s="5" t="s">
        <v>2</v>
      </c>
      <c r="B751" s="5" t="s">
        <v>5</v>
      </c>
      <c r="C751" s="5" t="s">
        <v>63</v>
      </c>
      <c r="D751" s="5" t="s">
        <v>13</v>
      </c>
      <c r="E751" s="5" t="s">
        <v>17</v>
      </c>
      <c r="F751" s="5" t="s">
        <v>20</v>
      </c>
      <c r="G751" s="5" t="s">
        <v>24</v>
      </c>
      <c r="H751" s="5" t="s">
        <v>64</v>
      </c>
      <c r="I751" s="5" t="s">
        <v>32</v>
      </c>
      <c r="J751" s="5">
        <v>15.683478854552</v>
      </c>
      <c r="K751" s="5">
        <v>-96.511350333292</v>
      </c>
      <c r="L751" s="5" t="str">
        <f>HYPERLINK("https://maps.google.com/?q=15.683478854552325,-96.511350333292015", "🔗 Ver Mapa")</f>
        <v>🔗 Ver Mapa</v>
      </c>
    </row>
    <row r="752" spans="1:12" ht="29" x14ac:dyDescent="0.35">
      <c r="A752" s="6" t="s">
        <v>2</v>
      </c>
      <c r="B752" s="6" t="s">
        <v>5</v>
      </c>
      <c r="C752" s="6" t="s">
        <v>63</v>
      </c>
      <c r="D752" s="6" t="s">
        <v>13</v>
      </c>
      <c r="E752" s="6" t="s">
        <v>17</v>
      </c>
      <c r="F752" s="6" t="s">
        <v>20</v>
      </c>
      <c r="G752" s="6" t="s">
        <v>24</v>
      </c>
      <c r="H752" s="6" t="s">
        <v>64</v>
      </c>
      <c r="I752" s="6" t="s">
        <v>32</v>
      </c>
      <c r="J752" s="6">
        <v>15.683362411338001</v>
      </c>
      <c r="K752" s="6">
        <v>-96.511054818966002</v>
      </c>
      <c r="L752" s="6" t="str">
        <f>HYPERLINK("https://maps.google.com/?q=15.683362411337777,-96.511054818966443", "🔗 Ver Mapa")</f>
        <v>🔗 Ver Mapa</v>
      </c>
    </row>
    <row r="753" spans="1:12" ht="29" x14ac:dyDescent="0.35">
      <c r="A753" s="5" t="s">
        <v>2</v>
      </c>
      <c r="B753" s="5" t="s">
        <v>5</v>
      </c>
      <c r="C753" s="5" t="s">
        <v>63</v>
      </c>
      <c r="D753" s="5" t="s">
        <v>13</v>
      </c>
      <c r="E753" s="5" t="s">
        <v>17</v>
      </c>
      <c r="F753" s="5" t="s">
        <v>20</v>
      </c>
      <c r="G753" s="5" t="s">
        <v>24</v>
      </c>
      <c r="H753" s="5" t="s">
        <v>64</v>
      </c>
      <c r="I753" s="5" t="s">
        <v>32</v>
      </c>
      <c r="J753" s="5">
        <v>15.683049911403</v>
      </c>
      <c r="K753" s="5">
        <v>-96.510750074363997</v>
      </c>
      <c r="L753" s="5" t="str">
        <f>HYPERLINK("https://maps.google.com/?q=15.683049911403172,-96.510750074363699", "🔗 Ver Mapa")</f>
        <v>🔗 Ver Mapa</v>
      </c>
    </row>
    <row r="754" spans="1:12" ht="29" x14ac:dyDescent="0.35">
      <c r="A754" s="6" t="s">
        <v>2</v>
      </c>
      <c r="B754" s="6" t="s">
        <v>5</v>
      </c>
      <c r="C754" s="6" t="s">
        <v>63</v>
      </c>
      <c r="D754" s="6" t="s">
        <v>13</v>
      </c>
      <c r="E754" s="6" t="s">
        <v>17</v>
      </c>
      <c r="F754" s="6" t="s">
        <v>20</v>
      </c>
      <c r="G754" s="6" t="s">
        <v>24</v>
      </c>
      <c r="H754" s="6" t="s">
        <v>64</v>
      </c>
      <c r="I754" s="6" t="s">
        <v>32</v>
      </c>
      <c r="J754" s="6">
        <v>15.68301307053</v>
      </c>
      <c r="K754" s="6">
        <v>-96.510417379450004</v>
      </c>
      <c r="L754" s="6" t="str">
        <f>HYPERLINK("https://maps.google.com/?q=15.683013070530075,-96.510417379450118", "🔗 Ver Mapa")</f>
        <v>🔗 Ver Mapa</v>
      </c>
    </row>
    <row r="755" spans="1:12" ht="29" x14ac:dyDescent="0.35">
      <c r="A755" s="5" t="s">
        <v>2</v>
      </c>
      <c r="B755" s="5" t="s">
        <v>5</v>
      </c>
      <c r="C755" s="5" t="s">
        <v>63</v>
      </c>
      <c r="D755" s="5" t="s">
        <v>13</v>
      </c>
      <c r="E755" s="5" t="s">
        <v>17</v>
      </c>
      <c r="F755" s="5" t="s">
        <v>20</v>
      </c>
      <c r="G755" s="5" t="s">
        <v>24</v>
      </c>
      <c r="H755" s="5" t="s">
        <v>64</v>
      </c>
      <c r="I755" s="5" t="s">
        <v>32</v>
      </c>
      <c r="J755" s="5">
        <v>15.682983780940001</v>
      </c>
      <c r="K755" s="5">
        <v>-96.510389304726999</v>
      </c>
      <c r="L755" s="5" t="str">
        <f>HYPERLINK("https://maps.google.com/?q=15.68298378093964,-96.510389304727198", "🔗 Ver Mapa")</f>
        <v>🔗 Ver Mapa</v>
      </c>
    </row>
    <row r="756" spans="1:12" ht="29" x14ac:dyDescent="0.35">
      <c r="A756" s="6" t="s">
        <v>2</v>
      </c>
      <c r="B756" s="6" t="s">
        <v>5</v>
      </c>
      <c r="C756" s="6" t="s">
        <v>63</v>
      </c>
      <c r="D756" s="6" t="s">
        <v>13</v>
      </c>
      <c r="E756" s="6" t="s">
        <v>17</v>
      </c>
      <c r="F756" s="6" t="s">
        <v>20</v>
      </c>
      <c r="G756" s="6" t="s">
        <v>24</v>
      </c>
      <c r="H756" s="6" t="s">
        <v>64</v>
      </c>
      <c r="I756" s="6" t="s">
        <v>32</v>
      </c>
      <c r="J756" s="6">
        <v>15.684420702744999</v>
      </c>
      <c r="K756" s="6">
        <v>-96.511743582779005</v>
      </c>
      <c r="L756" s="6" t="str">
        <f>HYPERLINK("https://maps.google.com/?q=15.684420702745234,-96.511743582778777", "🔗 Ver Mapa")</f>
        <v>🔗 Ver Mapa</v>
      </c>
    </row>
    <row r="757" spans="1:12" ht="29" x14ac:dyDescent="0.35">
      <c r="A757" s="5" t="s">
        <v>2</v>
      </c>
      <c r="B757" s="5" t="s">
        <v>5</v>
      </c>
      <c r="C757" s="5" t="s">
        <v>63</v>
      </c>
      <c r="D757" s="5" t="s">
        <v>13</v>
      </c>
      <c r="E757" s="5" t="s">
        <v>17</v>
      </c>
      <c r="F757" s="5" t="s">
        <v>20</v>
      </c>
      <c r="G757" s="5" t="s">
        <v>24</v>
      </c>
      <c r="H757" s="5" t="s">
        <v>64</v>
      </c>
      <c r="I757" s="5" t="s">
        <v>32</v>
      </c>
      <c r="J757" s="5">
        <v>15.684342119978</v>
      </c>
      <c r="K757" s="5">
        <v>-96.511762485285999</v>
      </c>
      <c r="L757" s="5" t="str">
        <f>HYPERLINK("https://maps.google.com/?q=15.684342119977535,-96.511762485286411", "🔗 Ver Mapa")</f>
        <v>🔗 Ver Mapa</v>
      </c>
    </row>
    <row r="758" spans="1:12" ht="29" x14ac:dyDescent="0.35">
      <c r="A758" s="6" t="s">
        <v>2</v>
      </c>
      <c r="B758" s="6" t="s">
        <v>5</v>
      </c>
      <c r="C758" s="6" t="s">
        <v>63</v>
      </c>
      <c r="D758" s="6" t="s">
        <v>13</v>
      </c>
      <c r="E758" s="6" t="s">
        <v>17</v>
      </c>
      <c r="F758" s="6" t="s">
        <v>20</v>
      </c>
      <c r="G758" s="6" t="s">
        <v>24</v>
      </c>
      <c r="H758" s="6" t="s">
        <v>64</v>
      </c>
      <c r="I758" s="6" t="s">
        <v>32</v>
      </c>
      <c r="J758" s="6">
        <v>15.684176572724001</v>
      </c>
      <c r="K758" s="6">
        <v>-96.511586889959005</v>
      </c>
      <c r="L758" s="6" t="str">
        <f>HYPERLINK("https://maps.google.com/?q=15.684176572724429,-96.51158688995919", "🔗 Ver Mapa")</f>
        <v>🔗 Ver Mapa</v>
      </c>
    </row>
    <row r="759" spans="1:12" ht="29" x14ac:dyDescent="0.35">
      <c r="A759" s="5" t="s">
        <v>2</v>
      </c>
      <c r="B759" s="5" t="s">
        <v>5</v>
      </c>
      <c r="C759" s="5" t="s">
        <v>63</v>
      </c>
      <c r="D759" s="5" t="s">
        <v>13</v>
      </c>
      <c r="E759" s="5" t="s">
        <v>17</v>
      </c>
      <c r="F759" s="5" t="s">
        <v>20</v>
      </c>
      <c r="G759" s="5" t="s">
        <v>24</v>
      </c>
      <c r="H759" s="5" t="s">
        <v>64</v>
      </c>
      <c r="I759" s="5" t="s">
        <v>32</v>
      </c>
      <c r="J759" s="5">
        <v>15.683990484662001</v>
      </c>
      <c r="K759" s="5">
        <v>-96.511509012396999</v>
      </c>
      <c r="L759" s="5" t="str">
        <f>HYPERLINK("https://maps.google.com/?q=15.683990484661729,-96.511509012396857", "🔗 Ver Mapa")</f>
        <v>🔗 Ver Mapa</v>
      </c>
    </row>
    <row r="760" spans="1:12" ht="29" x14ac:dyDescent="0.35">
      <c r="A760" s="6" t="s">
        <v>2</v>
      </c>
      <c r="B760" s="6" t="s">
        <v>5</v>
      </c>
      <c r="C760" s="6" t="s">
        <v>63</v>
      </c>
      <c r="D760" s="6" t="s">
        <v>13</v>
      </c>
      <c r="E760" s="6" t="s">
        <v>17</v>
      </c>
      <c r="F760" s="6" t="s">
        <v>20</v>
      </c>
      <c r="G760" s="6" t="s">
        <v>24</v>
      </c>
      <c r="H760" s="6" t="s">
        <v>64</v>
      </c>
      <c r="I760" s="6" t="s">
        <v>32</v>
      </c>
      <c r="J760" s="6">
        <v>15.683817089076999</v>
      </c>
      <c r="K760" s="6">
        <v>-96.511462143277001</v>
      </c>
      <c r="L760" s="6" t="str">
        <f>HYPERLINK("https://maps.google.com/?q=15.683817089076797,-96.511462143277043", "🔗 Ver Mapa")</f>
        <v>🔗 Ver Mapa</v>
      </c>
    </row>
    <row r="761" spans="1:12" ht="29" x14ac:dyDescent="0.35">
      <c r="A761" s="5" t="s">
        <v>2</v>
      </c>
      <c r="B761" s="5" t="s">
        <v>5</v>
      </c>
      <c r="C761" s="5" t="s">
        <v>63</v>
      </c>
      <c r="D761" s="5" t="s">
        <v>13</v>
      </c>
      <c r="E761" s="5" t="s">
        <v>17</v>
      </c>
      <c r="F761" s="5" t="s">
        <v>20</v>
      </c>
      <c r="G761" s="5" t="s">
        <v>24</v>
      </c>
      <c r="H761" s="5" t="s">
        <v>64</v>
      </c>
      <c r="I761" s="5" t="s">
        <v>32</v>
      </c>
      <c r="J761" s="5">
        <v>15.683706377075</v>
      </c>
      <c r="K761" s="5">
        <v>-96.511396331392007</v>
      </c>
      <c r="L761" s="5" t="str">
        <f>HYPERLINK("https://maps.google.com/?q=15.683706377074532,-96.511396331392376", "🔗 Ver Mapa")</f>
        <v>🔗 Ver Mapa</v>
      </c>
    </row>
    <row r="762" spans="1:12" ht="29" x14ac:dyDescent="0.35">
      <c r="A762" s="6" t="s">
        <v>2</v>
      </c>
      <c r="B762" s="6" t="s">
        <v>5</v>
      </c>
      <c r="C762" s="6" t="s">
        <v>63</v>
      </c>
      <c r="D762" s="6" t="s">
        <v>13</v>
      </c>
      <c r="E762" s="6" t="s">
        <v>17</v>
      </c>
      <c r="F762" s="6" t="s">
        <v>20</v>
      </c>
      <c r="G762" s="6" t="s">
        <v>24</v>
      </c>
      <c r="H762" s="6" t="s">
        <v>64</v>
      </c>
      <c r="I762" s="6" t="s">
        <v>32</v>
      </c>
      <c r="J762" s="6">
        <v>15.685884824753</v>
      </c>
      <c r="K762" s="6">
        <v>-96.511851260797997</v>
      </c>
      <c r="L762" s="6" t="str">
        <f>HYPERLINK("https://maps.google.com/?q=15.685884824753419,-96.511851260798025", "🔗 Ver Mapa")</f>
        <v>🔗 Ver Mapa</v>
      </c>
    </row>
    <row r="763" spans="1:12" ht="29" x14ac:dyDescent="0.35">
      <c r="A763" s="5" t="s">
        <v>2</v>
      </c>
      <c r="B763" s="5" t="s">
        <v>5</v>
      </c>
      <c r="C763" s="5" t="s">
        <v>63</v>
      </c>
      <c r="D763" s="5" t="s">
        <v>13</v>
      </c>
      <c r="E763" s="5" t="s">
        <v>17</v>
      </c>
      <c r="F763" s="5" t="s">
        <v>20</v>
      </c>
      <c r="G763" s="5" t="s">
        <v>24</v>
      </c>
      <c r="H763" s="5" t="s">
        <v>64</v>
      </c>
      <c r="I763" s="5" t="s">
        <v>32</v>
      </c>
      <c r="J763" s="5">
        <v>15.685574869470001</v>
      </c>
      <c r="K763" s="5">
        <v>-96.511749400848998</v>
      </c>
      <c r="L763" s="5" t="str">
        <f>HYPERLINK("https://maps.google.com/?q=15.685574869469747,-96.511749400848686", "🔗 Ver Mapa")</f>
        <v>🔗 Ver Mapa</v>
      </c>
    </row>
    <row r="764" spans="1:12" ht="29" x14ac:dyDescent="0.35">
      <c r="A764" s="6" t="s">
        <v>2</v>
      </c>
      <c r="B764" s="6" t="s">
        <v>5</v>
      </c>
      <c r="C764" s="6" t="s">
        <v>63</v>
      </c>
      <c r="D764" s="6" t="s">
        <v>13</v>
      </c>
      <c r="E764" s="6" t="s">
        <v>17</v>
      </c>
      <c r="F764" s="6" t="s">
        <v>20</v>
      </c>
      <c r="G764" s="6" t="s">
        <v>24</v>
      </c>
      <c r="H764" s="6" t="s">
        <v>64</v>
      </c>
      <c r="I764" s="6" t="s">
        <v>32</v>
      </c>
      <c r="J764" s="6">
        <v>15.685447069941</v>
      </c>
      <c r="K764" s="6">
        <v>-96.511639457575995</v>
      </c>
      <c r="L764" s="6" t="str">
        <f>HYPERLINK("https://maps.google.com/?q=15.68544706994095,-96.511639457575868", "🔗 Ver Mapa")</f>
        <v>🔗 Ver Mapa</v>
      </c>
    </row>
    <row r="765" spans="1:12" ht="29" x14ac:dyDescent="0.35">
      <c r="A765" s="5" t="s">
        <v>2</v>
      </c>
      <c r="B765" s="5" t="s">
        <v>5</v>
      </c>
      <c r="C765" s="5" t="s">
        <v>63</v>
      </c>
      <c r="D765" s="5" t="s">
        <v>13</v>
      </c>
      <c r="E765" s="5" t="s">
        <v>17</v>
      </c>
      <c r="F765" s="5" t="s">
        <v>20</v>
      </c>
      <c r="G765" s="5" t="s">
        <v>24</v>
      </c>
      <c r="H765" s="5" t="s">
        <v>64</v>
      </c>
      <c r="I765" s="5" t="s">
        <v>32</v>
      </c>
      <c r="J765" s="5">
        <v>15.685259837270999</v>
      </c>
      <c r="K765" s="5">
        <v>-96.511336434898993</v>
      </c>
      <c r="L765" s="5" t="str">
        <f>HYPERLINK("https://maps.google.com/?q=15.68525983727088,-96.511336434899334", "🔗 Ver Mapa")</f>
        <v>🔗 Ver Mapa</v>
      </c>
    </row>
    <row r="766" spans="1:12" ht="29" x14ac:dyDescent="0.35">
      <c r="A766" s="6" t="s">
        <v>2</v>
      </c>
      <c r="B766" s="6" t="s">
        <v>5</v>
      </c>
      <c r="C766" s="6" t="s">
        <v>63</v>
      </c>
      <c r="D766" s="6" t="s">
        <v>13</v>
      </c>
      <c r="E766" s="6" t="s">
        <v>17</v>
      </c>
      <c r="F766" s="6" t="s">
        <v>20</v>
      </c>
      <c r="G766" s="6" t="s">
        <v>24</v>
      </c>
      <c r="H766" s="6" t="s">
        <v>64</v>
      </c>
      <c r="I766" s="6" t="s">
        <v>32</v>
      </c>
      <c r="J766" s="6">
        <v>15.685045748212</v>
      </c>
      <c r="K766" s="6">
        <v>-96.511313529117999</v>
      </c>
      <c r="L766" s="6" t="str">
        <f>HYPERLINK("https://maps.google.com/?q=15.685045748211799,-96.511313529118382", "🔗 Ver Mapa")</f>
        <v>🔗 Ver Mapa</v>
      </c>
    </row>
    <row r="767" spans="1:12" ht="29" x14ac:dyDescent="0.35">
      <c r="A767" s="5" t="s">
        <v>2</v>
      </c>
      <c r="B767" s="5" t="s">
        <v>5</v>
      </c>
      <c r="C767" s="5" t="s">
        <v>63</v>
      </c>
      <c r="D767" s="5" t="s">
        <v>13</v>
      </c>
      <c r="E767" s="5" t="s">
        <v>17</v>
      </c>
      <c r="F767" s="5" t="s">
        <v>20</v>
      </c>
      <c r="G767" s="5" t="s">
        <v>24</v>
      </c>
      <c r="H767" s="5" t="s">
        <v>64</v>
      </c>
      <c r="I767" s="5" t="s">
        <v>32</v>
      </c>
      <c r="J767" s="5">
        <v>15.684655146196</v>
      </c>
      <c r="K767" s="5">
        <v>-96.511561915081998</v>
      </c>
      <c r="L767" s="5" t="str">
        <f>HYPERLINK("https://maps.google.com/?q=15.684655146195983,-96.511561915081558", "🔗 Ver Mapa")</f>
        <v>🔗 Ver Mapa</v>
      </c>
    </row>
    <row r="768" spans="1:12" ht="29" x14ac:dyDescent="0.35">
      <c r="A768" s="6" t="s">
        <v>2</v>
      </c>
      <c r="B768" s="6" t="s">
        <v>5</v>
      </c>
      <c r="C768" s="6" t="s">
        <v>63</v>
      </c>
      <c r="D768" s="6" t="s">
        <v>13</v>
      </c>
      <c r="E768" s="6" t="s">
        <v>17</v>
      </c>
      <c r="F768" s="6" t="s">
        <v>20</v>
      </c>
      <c r="G768" s="6" t="s">
        <v>24</v>
      </c>
      <c r="H768" s="6" t="s">
        <v>64</v>
      </c>
      <c r="I768" s="6" t="s">
        <v>32</v>
      </c>
      <c r="J768" s="6">
        <v>15.688068766868</v>
      </c>
      <c r="K768" s="6">
        <v>-96.513036724131993</v>
      </c>
      <c r="L768" s="6" t="str">
        <f>HYPERLINK("https://maps.google.com/?q=15.688068766868176,-96.513036724131737", "🔗 Ver Mapa")</f>
        <v>🔗 Ver Mapa</v>
      </c>
    </row>
    <row r="769" spans="1:12" ht="29" x14ac:dyDescent="0.35">
      <c r="A769" s="5" t="s">
        <v>2</v>
      </c>
      <c r="B769" s="5" t="s">
        <v>5</v>
      </c>
      <c r="C769" s="5" t="s">
        <v>63</v>
      </c>
      <c r="D769" s="5" t="s">
        <v>13</v>
      </c>
      <c r="E769" s="5" t="s">
        <v>17</v>
      </c>
      <c r="F769" s="5" t="s">
        <v>20</v>
      </c>
      <c r="G769" s="5" t="s">
        <v>24</v>
      </c>
      <c r="H769" s="5" t="s">
        <v>64</v>
      </c>
      <c r="I769" s="5" t="s">
        <v>32</v>
      </c>
      <c r="J769" s="5">
        <v>15.688031868714001</v>
      </c>
      <c r="K769" s="5">
        <v>-96.512798022595007</v>
      </c>
      <c r="L769" s="5" t="str">
        <f>HYPERLINK("https://maps.google.com/?q=15.688031868714297,-96.512798022595263", "🔗 Ver Mapa")</f>
        <v>🔗 Ver Mapa</v>
      </c>
    </row>
    <row r="770" spans="1:12" ht="29" x14ac:dyDescent="0.35">
      <c r="A770" s="6" t="s">
        <v>2</v>
      </c>
      <c r="B770" s="6" t="s">
        <v>5</v>
      </c>
      <c r="C770" s="6" t="s">
        <v>63</v>
      </c>
      <c r="D770" s="6" t="s">
        <v>13</v>
      </c>
      <c r="E770" s="6" t="s">
        <v>17</v>
      </c>
      <c r="F770" s="6" t="s">
        <v>20</v>
      </c>
      <c r="G770" s="6" t="s">
        <v>24</v>
      </c>
      <c r="H770" s="6" t="s">
        <v>64</v>
      </c>
      <c r="I770" s="6" t="s">
        <v>32</v>
      </c>
      <c r="J770" s="6">
        <v>15.687516011082</v>
      </c>
      <c r="K770" s="6">
        <v>-96.512445633807999</v>
      </c>
      <c r="L770" s="6" t="str">
        <f>HYPERLINK("https://maps.google.com/?q=15.687516011082389,-96.512445633808142", "🔗 Ver Mapa")</f>
        <v>🔗 Ver Mapa</v>
      </c>
    </row>
    <row r="771" spans="1:12" ht="29" x14ac:dyDescent="0.35">
      <c r="A771" s="5" t="s">
        <v>2</v>
      </c>
      <c r="B771" s="5" t="s">
        <v>5</v>
      </c>
      <c r="C771" s="5" t="s">
        <v>63</v>
      </c>
      <c r="D771" s="5" t="s">
        <v>13</v>
      </c>
      <c r="E771" s="5" t="s">
        <v>17</v>
      </c>
      <c r="F771" s="5" t="s">
        <v>20</v>
      </c>
      <c r="G771" s="5" t="s">
        <v>24</v>
      </c>
      <c r="H771" s="5" t="s">
        <v>64</v>
      </c>
      <c r="I771" s="5" t="s">
        <v>32</v>
      </c>
      <c r="J771" s="5">
        <v>15.68728231311</v>
      </c>
      <c r="K771" s="5">
        <v>-96.512233237195005</v>
      </c>
      <c r="L771" s="5" t="str">
        <f>HYPERLINK("https://maps.google.com/?q=15.687282313109643,-96.512233237194579", "🔗 Ver Mapa")</f>
        <v>🔗 Ver Mapa</v>
      </c>
    </row>
    <row r="772" spans="1:12" ht="29" x14ac:dyDescent="0.35">
      <c r="A772" s="6" t="s">
        <v>2</v>
      </c>
      <c r="B772" s="6" t="s">
        <v>5</v>
      </c>
      <c r="C772" s="6" t="s">
        <v>63</v>
      </c>
      <c r="D772" s="6" t="s">
        <v>13</v>
      </c>
      <c r="E772" s="6" t="s">
        <v>17</v>
      </c>
      <c r="F772" s="6" t="s">
        <v>20</v>
      </c>
      <c r="G772" s="6" t="s">
        <v>24</v>
      </c>
      <c r="H772" s="6" t="s">
        <v>64</v>
      </c>
      <c r="I772" s="6" t="s">
        <v>32</v>
      </c>
      <c r="J772" s="6">
        <v>15.686461507624999</v>
      </c>
      <c r="K772" s="6">
        <v>-96.511951527511002</v>
      </c>
      <c r="L772" s="6" t="str">
        <f>HYPERLINK("https://maps.google.com/?q=15.686461507625253,-96.511951527511016", "🔗 Ver Mapa")</f>
        <v>🔗 Ver Mapa</v>
      </c>
    </row>
    <row r="773" spans="1:12" ht="29" x14ac:dyDescent="0.35">
      <c r="A773" s="5" t="s">
        <v>2</v>
      </c>
      <c r="B773" s="5" t="s">
        <v>5</v>
      </c>
      <c r="C773" s="5" t="s">
        <v>63</v>
      </c>
      <c r="D773" s="5" t="s">
        <v>13</v>
      </c>
      <c r="E773" s="5" t="s">
        <v>17</v>
      </c>
      <c r="F773" s="5" t="s">
        <v>20</v>
      </c>
      <c r="G773" s="5" t="s">
        <v>24</v>
      </c>
      <c r="H773" s="5" t="s">
        <v>64</v>
      </c>
      <c r="I773" s="5" t="s">
        <v>32</v>
      </c>
      <c r="J773" s="5">
        <v>15.686150459912</v>
      </c>
      <c r="K773" s="5">
        <v>-96.511948138324996</v>
      </c>
      <c r="L773" s="5" t="str">
        <f>HYPERLINK("https://maps.google.com/?q=15.686150459911582,-96.511948138325351", "🔗 Ver Mapa")</f>
        <v>🔗 Ver Mapa</v>
      </c>
    </row>
    <row r="774" spans="1:12" ht="29" x14ac:dyDescent="0.35">
      <c r="A774" s="6" t="s">
        <v>2</v>
      </c>
      <c r="B774" s="6" t="s">
        <v>5</v>
      </c>
      <c r="C774" s="6" t="s">
        <v>63</v>
      </c>
      <c r="D774" s="6" t="s">
        <v>13</v>
      </c>
      <c r="E774" s="6" t="s">
        <v>17</v>
      </c>
      <c r="F774" s="6" t="s">
        <v>20</v>
      </c>
      <c r="G774" s="6" t="s">
        <v>24</v>
      </c>
      <c r="H774" s="6" t="s">
        <v>64</v>
      </c>
      <c r="I774" s="6" t="s">
        <v>32</v>
      </c>
      <c r="J774" s="6">
        <v>15.688676413565</v>
      </c>
      <c r="K774" s="6">
        <v>-96.514383625407007</v>
      </c>
      <c r="L774" s="6" t="str">
        <f>HYPERLINK("https://maps.google.com/?q=15.68867641356516,-96.514383625406964", "🔗 Ver Mapa")</f>
        <v>🔗 Ver Mapa</v>
      </c>
    </row>
    <row r="775" spans="1:12" ht="29" x14ac:dyDescent="0.35">
      <c r="A775" s="5" t="s">
        <v>2</v>
      </c>
      <c r="B775" s="5" t="s">
        <v>5</v>
      </c>
      <c r="C775" s="5" t="s">
        <v>63</v>
      </c>
      <c r="D775" s="5" t="s">
        <v>13</v>
      </c>
      <c r="E775" s="5" t="s">
        <v>17</v>
      </c>
      <c r="F775" s="5" t="s">
        <v>20</v>
      </c>
      <c r="G775" s="5" t="s">
        <v>24</v>
      </c>
      <c r="H775" s="5" t="s">
        <v>64</v>
      </c>
      <c r="I775" s="5" t="s">
        <v>32</v>
      </c>
      <c r="J775" s="5">
        <v>15.68851692338</v>
      </c>
      <c r="K775" s="5">
        <v>-96.514191642246999</v>
      </c>
      <c r="L775" s="5" t="str">
        <f>HYPERLINK("https://maps.google.com/?q=15.688516923380316,-96.514191642246573", "🔗 Ver Mapa")</f>
        <v>🔗 Ver Mapa</v>
      </c>
    </row>
    <row r="776" spans="1:12" ht="29" x14ac:dyDescent="0.35">
      <c r="A776" s="6" t="s">
        <v>2</v>
      </c>
      <c r="B776" s="6" t="s">
        <v>5</v>
      </c>
      <c r="C776" s="6" t="s">
        <v>63</v>
      </c>
      <c r="D776" s="6" t="s">
        <v>13</v>
      </c>
      <c r="E776" s="6" t="s">
        <v>17</v>
      </c>
      <c r="F776" s="6" t="s">
        <v>20</v>
      </c>
      <c r="G776" s="6" t="s">
        <v>24</v>
      </c>
      <c r="H776" s="6" t="s">
        <v>64</v>
      </c>
      <c r="I776" s="6" t="s">
        <v>32</v>
      </c>
      <c r="J776" s="6">
        <v>15.688504792963</v>
      </c>
      <c r="K776" s="6">
        <v>-96.513930446960003</v>
      </c>
      <c r="L776" s="6" t="str">
        <f>HYPERLINK("https://maps.google.com/?q=15.68850479296265,-96.51393044696006", "🔗 Ver Mapa")</f>
        <v>🔗 Ver Mapa</v>
      </c>
    </row>
    <row r="777" spans="1:12" ht="29" x14ac:dyDescent="0.35">
      <c r="A777" s="5" t="s">
        <v>2</v>
      </c>
      <c r="B777" s="5" t="s">
        <v>5</v>
      </c>
      <c r="C777" s="5" t="s">
        <v>63</v>
      </c>
      <c r="D777" s="5" t="s">
        <v>13</v>
      </c>
      <c r="E777" s="5" t="s">
        <v>17</v>
      </c>
      <c r="F777" s="5" t="s">
        <v>20</v>
      </c>
      <c r="G777" s="5" t="s">
        <v>24</v>
      </c>
      <c r="H777" s="5" t="s">
        <v>64</v>
      </c>
      <c r="I777" s="5" t="s">
        <v>32</v>
      </c>
      <c r="J777" s="5">
        <v>15.688217328278</v>
      </c>
      <c r="K777" s="5">
        <v>-96.513734616411</v>
      </c>
      <c r="L777" s="5" t="str">
        <f>HYPERLINK("https://maps.google.com/?q=15.68821732827795,-96.513734616411369", "🔗 Ver Mapa")</f>
        <v>🔗 Ver Mapa</v>
      </c>
    </row>
    <row r="778" spans="1:12" ht="29" x14ac:dyDescent="0.35">
      <c r="A778" s="6" t="s">
        <v>2</v>
      </c>
      <c r="B778" s="6" t="s">
        <v>5</v>
      </c>
      <c r="C778" s="6" t="s">
        <v>63</v>
      </c>
      <c r="D778" s="6" t="s">
        <v>13</v>
      </c>
      <c r="E778" s="6" t="s">
        <v>17</v>
      </c>
      <c r="F778" s="6" t="s">
        <v>20</v>
      </c>
      <c r="G778" s="6" t="s">
        <v>24</v>
      </c>
      <c r="H778" s="6" t="s">
        <v>64</v>
      </c>
      <c r="I778" s="6" t="s">
        <v>32</v>
      </c>
      <c r="J778" s="6">
        <v>15.688162046464999</v>
      </c>
      <c r="K778" s="6">
        <v>-96.513602195782994</v>
      </c>
      <c r="L778" s="6" t="str">
        <f>HYPERLINK("https://maps.google.com/?q=15.688162046464997,-96.513602195782553", "🔗 Ver Mapa")</f>
        <v>🔗 Ver Mapa</v>
      </c>
    </row>
    <row r="779" spans="1:12" ht="29" x14ac:dyDescent="0.35">
      <c r="A779" s="5" t="s">
        <v>2</v>
      </c>
      <c r="B779" s="5" t="s">
        <v>5</v>
      </c>
      <c r="C779" s="5" t="s">
        <v>63</v>
      </c>
      <c r="D779" s="5" t="s">
        <v>13</v>
      </c>
      <c r="E779" s="5" t="s">
        <v>17</v>
      </c>
      <c r="F779" s="5" t="s">
        <v>20</v>
      </c>
      <c r="G779" s="5" t="s">
        <v>24</v>
      </c>
      <c r="H779" s="5" t="s">
        <v>64</v>
      </c>
      <c r="I779" s="5" t="s">
        <v>32</v>
      </c>
      <c r="J779" s="5">
        <v>15.688162532207</v>
      </c>
      <c r="K779" s="5">
        <v>-96.513300257989002</v>
      </c>
      <c r="L779" s="5" t="str">
        <f>HYPERLINK("https://maps.google.com/?q=15.688162532207457,-96.513300257989059", "🔗 Ver Mapa")</f>
        <v>🔗 Ver Mapa</v>
      </c>
    </row>
    <row r="780" spans="1:12" ht="29" x14ac:dyDescent="0.35">
      <c r="A780" s="6" t="s">
        <v>2</v>
      </c>
      <c r="B780" s="6" t="s">
        <v>5</v>
      </c>
      <c r="C780" s="6" t="s">
        <v>63</v>
      </c>
      <c r="D780" s="6" t="s">
        <v>13</v>
      </c>
      <c r="E780" s="6" t="s">
        <v>17</v>
      </c>
      <c r="F780" s="6" t="s">
        <v>20</v>
      </c>
      <c r="G780" s="6" t="s">
        <v>24</v>
      </c>
      <c r="H780" s="6" t="s">
        <v>64</v>
      </c>
      <c r="I780" s="6" t="s">
        <v>32</v>
      </c>
      <c r="J780" s="6">
        <v>15.68957317505</v>
      </c>
      <c r="K780" s="6">
        <v>-96.515984871954998</v>
      </c>
      <c r="L780" s="6" t="str">
        <f>HYPERLINK("https://maps.google.com/?q=15.68957317504993,-96.515984871954757", "🔗 Ver Mapa")</f>
        <v>🔗 Ver Mapa</v>
      </c>
    </row>
    <row r="781" spans="1:12" ht="29" x14ac:dyDescent="0.35">
      <c r="A781" s="5" t="s">
        <v>2</v>
      </c>
      <c r="B781" s="5" t="s">
        <v>5</v>
      </c>
      <c r="C781" s="5" t="s">
        <v>63</v>
      </c>
      <c r="D781" s="5" t="s">
        <v>13</v>
      </c>
      <c r="E781" s="5" t="s">
        <v>17</v>
      </c>
      <c r="F781" s="5" t="s">
        <v>20</v>
      </c>
      <c r="G781" s="5" t="s">
        <v>24</v>
      </c>
      <c r="H781" s="5" t="s">
        <v>64</v>
      </c>
      <c r="I781" s="5" t="s">
        <v>32</v>
      </c>
      <c r="J781" s="5">
        <v>15.689765768553</v>
      </c>
      <c r="K781" s="5">
        <v>-96.515628992531006</v>
      </c>
      <c r="L781" s="5" t="str">
        <f>HYPERLINK("https://maps.google.com/?q=15.689765768552878,-96.51562899253129", "🔗 Ver Mapa")</f>
        <v>🔗 Ver Mapa</v>
      </c>
    </row>
    <row r="782" spans="1:12" ht="29" x14ac:dyDescent="0.35">
      <c r="A782" s="6" t="s">
        <v>2</v>
      </c>
      <c r="B782" s="6" t="s">
        <v>5</v>
      </c>
      <c r="C782" s="6" t="s">
        <v>63</v>
      </c>
      <c r="D782" s="6" t="s">
        <v>13</v>
      </c>
      <c r="E782" s="6" t="s">
        <v>17</v>
      </c>
      <c r="F782" s="6" t="s">
        <v>20</v>
      </c>
      <c r="G782" s="6" t="s">
        <v>24</v>
      </c>
      <c r="H782" s="6" t="s">
        <v>64</v>
      </c>
      <c r="I782" s="6" t="s">
        <v>32</v>
      </c>
      <c r="J782" s="6">
        <v>15.689742616382</v>
      </c>
      <c r="K782" s="6">
        <v>-96.515529684862997</v>
      </c>
      <c r="L782" s="6" t="str">
        <f>HYPERLINK("https://maps.google.com/?q=15.689742616381503,-96.515529684862969", "🔗 Ver Mapa")</f>
        <v>🔗 Ver Mapa</v>
      </c>
    </row>
    <row r="783" spans="1:12" ht="29" x14ac:dyDescent="0.35">
      <c r="A783" s="5" t="s">
        <v>2</v>
      </c>
      <c r="B783" s="5" t="s">
        <v>5</v>
      </c>
      <c r="C783" s="5" t="s">
        <v>63</v>
      </c>
      <c r="D783" s="5" t="s">
        <v>13</v>
      </c>
      <c r="E783" s="5" t="s">
        <v>17</v>
      </c>
      <c r="F783" s="5" t="s">
        <v>20</v>
      </c>
      <c r="G783" s="5" t="s">
        <v>24</v>
      </c>
      <c r="H783" s="5" t="s">
        <v>64</v>
      </c>
      <c r="I783" s="5" t="s">
        <v>32</v>
      </c>
      <c r="J783" s="5">
        <v>15.689484991157</v>
      </c>
      <c r="K783" s="5">
        <v>-96.515460314934998</v>
      </c>
      <c r="L783" s="5" t="str">
        <f>HYPERLINK("https://maps.google.com/?q=15.689484991156524,-96.51546031493524", "🔗 Ver Mapa")</f>
        <v>🔗 Ver Mapa</v>
      </c>
    </row>
    <row r="784" spans="1:12" ht="29" x14ac:dyDescent="0.35">
      <c r="A784" s="6" t="s">
        <v>2</v>
      </c>
      <c r="B784" s="6" t="s">
        <v>5</v>
      </c>
      <c r="C784" s="6" t="s">
        <v>63</v>
      </c>
      <c r="D784" s="6" t="s">
        <v>13</v>
      </c>
      <c r="E784" s="6" t="s">
        <v>17</v>
      </c>
      <c r="F784" s="6" t="s">
        <v>20</v>
      </c>
      <c r="G784" s="6" t="s">
        <v>24</v>
      </c>
      <c r="H784" s="6" t="s">
        <v>64</v>
      </c>
      <c r="I784" s="6" t="s">
        <v>32</v>
      </c>
      <c r="J784" s="6">
        <v>15.689260549087001</v>
      </c>
      <c r="K784" s="6">
        <v>-96.515063880214001</v>
      </c>
      <c r="L784" s="6" t="str">
        <f>HYPERLINK("https://maps.google.com/?q=15.689260549087015,-96.515063880214356", "🔗 Ver Mapa")</f>
        <v>🔗 Ver Mapa</v>
      </c>
    </row>
    <row r="785" spans="1:12" ht="29" x14ac:dyDescent="0.35">
      <c r="A785" s="5" t="s">
        <v>2</v>
      </c>
      <c r="B785" s="5" t="s">
        <v>5</v>
      </c>
      <c r="C785" s="5" t="s">
        <v>63</v>
      </c>
      <c r="D785" s="5" t="s">
        <v>13</v>
      </c>
      <c r="E785" s="5" t="s">
        <v>17</v>
      </c>
      <c r="F785" s="5" t="s">
        <v>20</v>
      </c>
      <c r="G785" s="5" t="s">
        <v>24</v>
      </c>
      <c r="H785" s="5" t="s">
        <v>64</v>
      </c>
      <c r="I785" s="5" t="s">
        <v>32</v>
      </c>
      <c r="J785" s="5">
        <v>15.688785855998001</v>
      </c>
      <c r="K785" s="5">
        <v>-96.514621439945003</v>
      </c>
      <c r="L785" s="5" t="str">
        <f>HYPERLINK("https://maps.google.com/?q=15.688785855998043,-96.514621439944847", "🔗 Ver Mapa")</f>
        <v>🔗 Ver Mapa</v>
      </c>
    </row>
    <row r="786" spans="1:12" ht="29" x14ac:dyDescent="0.35">
      <c r="A786" s="6" t="s">
        <v>2</v>
      </c>
      <c r="B786" s="6" t="s">
        <v>5</v>
      </c>
      <c r="C786" s="6" t="s">
        <v>63</v>
      </c>
      <c r="D786" s="6" t="s">
        <v>13</v>
      </c>
      <c r="E786" s="6" t="s">
        <v>17</v>
      </c>
      <c r="F786" s="6" t="s">
        <v>20</v>
      </c>
      <c r="G786" s="6" t="s">
        <v>24</v>
      </c>
      <c r="H786" s="6" t="s">
        <v>64</v>
      </c>
      <c r="I786" s="6" t="s">
        <v>32</v>
      </c>
      <c r="J786" s="6">
        <v>15.690835315013</v>
      </c>
      <c r="K786" s="6">
        <v>-96.518079813754994</v>
      </c>
      <c r="L786" s="6" t="str">
        <f>HYPERLINK("https://maps.google.com/?q=15.690835315013052,-96.518079813755094", "🔗 Ver Mapa")</f>
        <v>🔗 Ver Mapa</v>
      </c>
    </row>
    <row r="787" spans="1:12" ht="29" x14ac:dyDescent="0.35">
      <c r="A787" s="5" t="s">
        <v>2</v>
      </c>
      <c r="B787" s="5" t="s">
        <v>5</v>
      </c>
      <c r="C787" s="5" t="s">
        <v>63</v>
      </c>
      <c r="D787" s="5" t="s">
        <v>13</v>
      </c>
      <c r="E787" s="5" t="s">
        <v>17</v>
      </c>
      <c r="F787" s="5" t="s">
        <v>20</v>
      </c>
      <c r="G787" s="5" t="s">
        <v>24</v>
      </c>
      <c r="H787" s="5" t="s">
        <v>64</v>
      </c>
      <c r="I787" s="5" t="s">
        <v>32</v>
      </c>
      <c r="J787" s="5">
        <v>15.690438623983001</v>
      </c>
      <c r="K787" s="5">
        <v>-96.517606626108005</v>
      </c>
      <c r="L787" s="5" t="str">
        <f>HYPERLINK("https://maps.google.com/?q=15.690438623982743,-96.517606626107607", "🔗 Ver Mapa")</f>
        <v>🔗 Ver Mapa</v>
      </c>
    </row>
    <row r="788" spans="1:12" ht="29" x14ac:dyDescent="0.35">
      <c r="A788" s="6" t="s">
        <v>2</v>
      </c>
      <c r="B788" s="6" t="s">
        <v>5</v>
      </c>
      <c r="C788" s="6" t="s">
        <v>63</v>
      </c>
      <c r="D788" s="6" t="s">
        <v>13</v>
      </c>
      <c r="E788" s="6" t="s">
        <v>17</v>
      </c>
      <c r="F788" s="6" t="s">
        <v>20</v>
      </c>
      <c r="G788" s="6" t="s">
        <v>24</v>
      </c>
      <c r="H788" s="6" t="s">
        <v>64</v>
      </c>
      <c r="I788" s="6" t="s">
        <v>32</v>
      </c>
      <c r="J788" s="6">
        <v>15.690423240114001</v>
      </c>
      <c r="K788" s="6">
        <v>-96.517193883549993</v>
      </c>
      <c r="L788" s="6" t="str">
        <f>HYPERLINK("https://maps.google.com/?q=15.690423240113693,-96.517193883549851", "🔗 Ver Mapa")</f>
        <v>🔗 Ver Mapa</v>
      </c>
    </row>
    <row r="789" spans="1:12" ht="29" x14ac:dyDescent="0.35">
      <c r="A789" s="5" t="s">
        <v>2</v>
      </c>
      <c r="B789" s="5" t="s">
        <v>5</v>
      </c>
      <c r="C789" s="5" t="s">
        <v>63</v>
      </c>
      <c r="D789" s="5" t="s">
        <v>13</v>
      </c>
      <c r="E789" s="5" t="s">
        <v>17</v>
      </c>
      <c r="F789" s="5" t="s">
        <v>20</v>
      </c>
      <c r="G789" s="5" t="s">
        <v>24</v>
      </c>
      <c r="H789" s="5" t="s">
        <v>64</v>
      </c>
      <c r="I789" s="5" t="s">
        <v>32</v>
      </c>
      <c r="J789" s="5">
        <v>15.690056993440001</v>
      </c>
      <c r="K789" s="5">
        <v>-96.516861730629998</v>
      </c>
      <c r="L789" s="5" t="str">
        <f>HYPERLINK("https://maps.google.com/?q=15.690056993440153,-96.516861730629586", "🔗 Ver Mapa")</f>
        <v>🔗 Ver Mapa</v>
      </c>
    </row>
    <row r="790" spans="1:12" ht="29" x14ac:dyDescent="0.35">
      <c r="A790" s="6" t="s">
        <v>2</v>
      </c>
      <c r="B790" s="6" t="s">
        <v>5</v>
      </c>
      <c r="C790" s="6" t="s">
        <v>63</v>
      </c>
      <c r="D790" s="6" t="s">
        <v>13</v>
      </c>
      <c r="E790" s="6" t="s">
        <v>17</v>
      </c>
      <c r="F790" s="6" t="s">
        <v>20</v>
      </c>
      <c r="G790" s="6" t="s">
        <v>24</v>
      </c>
      <c r="H790" s="6" t="s">
        <v>64</v>
      </c>
      <c r="I790" s="6" t="s">
        <v>32</v>
      </c>
      <c r="J790" s="6">
        <v>15.690001890274001</v>
      </c>
      <c r="K790" s="6">
        <v>-96.516653458128999</v>
      </c>
      <c r="L790" s="6" t="str">
        <f>HYPERLINK("https://maps.google.com/?q=15.690001890273644,-96.516653458129284", "🔗 Ver Mapa")</f>
        <v>🔗 Ver Mapa</v>
      </c>
    </row>
    <row r="791" spans="1:12" ht="29" x14ac:dyDescent="0.35">
      <c r="A791" s="5" t="s">
        <v>2</v>
      </c>
      <c r="B791" s="5" t="s">
        <v>5</v>
      </c>
      <c r="C791" s="5" t="s">
        <v>63</v>
      </c>
      <c r="D791" s="5" t="s">
        <v>13</v>
      </c>
      <c r="E791" s="5" t="s">
        <v>17</v>
      </c>
      <c r="F791" s="5" t="s">
        <v>20</v>
      </c>
      <c r="G791" s="5" t="s">
        <v>24</v>
      </c>
      <c r="H791" s="5" t="s">
        <v>64</v>
      </c>
      <c r="I791" s="5" t="s">
        <v>32</v>
      </c>
      <c r="J791" s="5">
        <v>15.68966983094</v>
      </c>
      <c r="K791" s="5">
        <v>-96.516259004689999</v>
      </c>
      <c r="L791" s="5" t="str">
        <f>HYPERLINK("https://maps.google.com/?q=15.6896698309402,-96.516259004689999", "🔗 Ver Mapa")</f>
        <v>🔗 Ver Mapa</v>
      </c>
    </row>
    <row r="792" spans="1:12" ht="29" x14ac:dyDescent="0.35">
      <c r="A792" s="6" t="s">
        <v>2</v>
      </c>
      <c r="B792" s="6" t="s">
        <v>5</v>
      </c>
      <c r="C792" s="6" t="s">
        <v>63</v>
      </c>
      <c r="D792" s="6" t="s">
        <v>13</v>
      </c>
      <c r="E792" s="6" t="s">
        <v>17</v>
      </c>
      <c r="F792" s="6" t="s">
        <v>20</v>
      </c>
      <c r="G792" s="6" t="s">
        <v>24</v>
      </c>
      <c r="H792" s="6" t="s">
        <v>64</v>
      </c>
      <c r="I792" s="6" t="s">
        <v>32</v>
      </c>
      <c r="J792" s="6">
        <v>15.691778421816</v>
      </c>
      <c r="K792" s="6">
        <v>-96.520016155161002</v>
      </c>
      <c r="L792" s="6" t="str">
        <f>HYPERLINK("https://maps.google.com/?q=15.691778421816023,-96.520016155161187", "🔗 Ver Mapa")</f>
        <v>🔗 Ver Mapa</v>
      </c>
    </row>
    <row r="793" spans="1:12" ht="29" x14ac:dyDescent="0.35">
      <c r="A793" s="5" t="s">
        <v>2</v>
      </c>
      <c r="B793" s="5" t="s">
        <v>5</v>
      </c>
      <c r="C793" s="5" t="s">
        <v>63</v>
      </c>
      <c r="D793" s="5" t="s">
        <v>13</v>
      </c>
      <c r="E793" s="5" t="s">
        <v>17</v>
      </c>
      <c r="F793" s="5" t="s">
        <v>20</v>
      </c>
      <c r="G793" s="5" t="s">
        <v>24</v>
      </c>
      <c r="H793" s="5" t="s">
        <v>64</v>
      </c>
      <c r="I793" s="5" t="s">
        <v>32</v>
      </c>
      <c r="J793" s="5">
        <v>15.691840675687001</v>
      </c>
      <c r="K793" s="5">
        <v>-96.519762652359006</v>
      </c>
      <c r="L793" s="5" t="str">
        <f>HYPERLINK("https://maps.google.com/?q=15.691840675686516,-96.519762652359262", "🔗 Ver Mapa")</f>
        <v>🔗 Ver Mapa</v>
      </c>
    </row>
    <row r="794" spans="1:12" ht="29" x14ac:dyDescent="0.35">
      <c r="A794" s="6" t="s">
        <v>2</v>
      </c>
      <c r="B794" s="6" t="s">
        <v>5</v>
      </c>
      <c r="C794" s="6" t="s">
        <v>63</v>
      </c>
      <c r="D794" s="6" t="s">
        <v>13</v>
      </c>
      <c r="E794" s="6" t="s">
        <v>17</v>
      </c>
      <c r="F794" s="6" t="s">
        <v>20</v>
      </c>
      <c r="G794" s="6" t="s">
        <v>24</v>
      </c>
      <c r="H794" s="6" t="s">
        <v>64</v>
      </c>
      <c r="I794" s="6" t="s">
        <v>32</v>
      </c>
      <c r="J794" s="6">
        <v>15.691714357993</v>
      </c>
      <c r="K794" s="6">
        <v>-96.519503643885997</v>
      </c>
      <c r="L794" s="6" t="str">
        <f>HYPERLINK("https://maps.google.com/?q=15.691714357993192,-96.519503643886438", "🔗 Ver Mapa")</f>
        <v>🔗 Ver Mapa</v>
      </c>
    </row>
    <row r="795" spans="1:12" ht="29" x14ac:dyDescent="0.35">
      <c r="A795" s="5" t="s">
        <v>2</v>
      </c>
      <c r="B795" s="5" t="s">
        <v>5</v>
      </c>
      <c r="C795" s="5" t="s">
        <v>63</v>
      </c>
      <c r="D795" s="5" t="s">
        <v>13</v>
      </c>
      <c r="E795" s="5" t="s">
        <v>17</v>
      </c>
      <c r="F795" s="5" t="s">
        <v>20</v>
      </c>
      <c r="G795" s="5" t="s">
        <v>24</v>
      </c>
      <c r="H795" s="5" t="s">
        <v>64</v>
      </c>
      <c r="I795" s="5" t="s">
        <v>32</v>
      </c>
      <c r="J795" s="5">
        <v>15.691739865856</v>
      </c>
      <c r="K795" s="5">
        <v>-96.519052208928997</v>
      </c>
      <c r="L795" s="5" t="str">
        <f>HYPERLINK("https://maps.google.com/?q=15.691739865855851,-96.519052208928542", "🔗 Ver Mapa")</f>
        <v>🔗 Ver Mapa</v>
      </c>
    </row>
    <row r="796" spans="1:12" ht="29" x14ac:dyDescent="0.35">
      <c r="A796" s="6" t="s">
        <v>2</v>
      </c>
      <c r="B796" s="6" t="s">
        <v>5</v>
      </c>
      <c r="C796" s="6" t="s">
        <v>63</v>
      </c>
      <c r="D796" s="6" t="s">
        <v>13</v>
      </c>
      <c r="E796" s="6" t="s">
        <v>17</v>
      </c>
      <c r="F796" s="6" t="s">
        <v>20</v>
      </c>
      <c r="G796" s="6" t="s">
        <v>24</v>
      </c>
      <c r="H796" s="6" t="s">
        <v>64</v>
      </c>
      <c r="I796" s="6" t="s">
        <v>32</v>
      </c>
      <c r="J796" s="6">
        <v>15.691542663370001</v>
      </c>
      <c r="K796" s="6">
        <v>-96.518509250476995</v>
      </c>
      <c r="L796" s="6" t="str">
        <f>HYPERLINK("https://maps.google.com/?q=15.69154266336971,-96.518509250476697", "🔗 Ver Mapa")</f>
        <v>🔗 Ver Mapa</v>
      </c>
    </row>
    <row r="797" spans="1:12" ht="29" x14ac:dyDescent="0.35">
      <c r="A797" s="5" t="s">
        <v>2</v>
      </c>
      <c r="B797" s="5" t="s">
        <v>5</v>
      </c>
      <c r="C797" s="5" t="s">
        <v>63</v>
      </c>
      <c r="D797" s="5" t="s">
        <v>13</v>
      </c>
      <c r="E797" s="5" t="s">
        <v>17</v>
      </c>
      <c r="F797" s="5" t="s">
        <v>20</v>
      </c>
      <c r="G797" s="5" t="s">
        <v>24</v>
      </c>
      <c r="H797" s="5" t="s">
        <v>64</v>
      </c>
      <c r="I797" s="5" t="s">
        <v>32</v>
      </c>
      <c r="J797" s="5">
        <v>15.691199809979</v>
      </c>
      <c r="K797" s="5">
        <v>-96.518161573597993</v>
      </c>
      <c r="L797" s="5" t="str">
        <f>HYPERLINK("https://maps.google.com/?q=15.69119980997855,-96.518161573597922", "🔗 Ver Mapa")</f>
        <v>🔗 Ver Mapa</v>
      </c>
    </row>
    <row r="798" spans="1:12" ht="29" x14ac:dyDescent="0.35">
      <c r="A798" s="6" t="s">
        <v>2</v>
      </c>
      <c r="B798" s="6" t="s">
        <v>5</v>
      </c>
      <c r="C798" s="6" t="s">
        <v>63</v>
      </c>
      <c r="D798" s="6" t="s">
        <v>13</v>
      </c>
      <c r="E798" s="6" t="s">
        <v>17</v>
      </c>
      <c r="F798" s="6" t="s">
        <v>20</v>
      </c>
      <c r="G798" s="6" t="s">
        <v>24</v>
      </c>
      <c r="H798" s="6" t="s">
        <v>64</v>
      </c>
      <c r="I798" s="6" t="s">
        <v>32</v>
      </c>
      <c r="J798" s="6">
        <v>15.693253217613</v>
      </c>
      <c r="K798" s="6">
        <v>-96.521829632491006</v>
      </c>
      <c r="L798" s="6" t="str">
        <f>HYPERLINK("https://maps.google.com/?q=15.693253217613295,-96.521829632491276", "🔗 Ver Mapa")</f>
        <v>🔗 Ver Mapa</v>
      </c>
    </row>
    <row r="799" spans="1:12" ht="29" x14ac:dyDescent="0.35">
      <c r="A799" s="5" t="s">
        <v>2</v>
      </c>
      <c r="B799" s="5" t="s">
        <v>5</v>
      </c>
      <c r="C799" s="5" t="s">
        <v>63</v>
      </c>
      <c r="D799" s="5" t="s">
        <v>13</v>
      </c>
      <c r="E799" s="5" t="s">
        <v>17</v>
      </c>
      <c r="F799" s="5" t="s">
        <v>20</v>
      </c>
      <c r="G799" s="5" t="s">
        <v>24</v>
      </c>
      <c r="H799" s="5" t="s">
        <v>64</v>
      </c>
      <c r="I799" s="5" t="s">
        <v>32</v>
      </c>
      <c r="J799" s="5">
        <v>15.693121185978001</v>
      </c>
      <c r="K799" s="5">
        <v>-96.521384443233998</v>
      </c>
      <c r="L799" s="5" t="str">
        <f>HYPERLINK("https://maps.google.com/?q=15.693121185978224,-96.521384443234126", "🔗 Ver Mapa")</f>
        <v>🔗 Ver Mapa</v>
      </c>
    </row>
    <row r="800" spans="1:12" ht="29" x14ac:dyDescent="0.35">
      <c r="A800" s="6" t="s">
        <v>2</v>
      </c>
      <c r="B800" s="6" t="s">
        <v>5</v>
      </c>
      <c r="C800" s="6" t="s">
        <v>63</v>
      </c>
      <c r="D800" s="6" t="s">
        <v>13</v>
      </c>
      <c r="E800" s="6" t="s">
        <v>17</v>
      </c>
      <c r="F800" s="6" t="s">
        <v>20</v>
      </c>
      <c r="G800" s="6" t="s">
        <v>24</v>
      </c>
      <c r="H800" s="6" t="s">
        <v>64</v>
      </c>
      <c r="I800" s="6" t="s">
        <v>32</v>
      </c>
      <c r="J800" s="6">
        <v>15.692788880354</v>
      </c>
      <c r="K800" s="6">
        <v>-96.521241620373999</v>
      </c>
      <c r="L800" s="6" t="str">
        <f>HYPERLINK("https://maps.google.com/?q=15.692788880353797,-96.521241620374226", "🔗 Ver Mapa")</f>
        <v>🔗 Ver Mapa</v>
      </c>
    </row>
    <row r="801" spans="1:12" ht="29" x14ac:dyDescent="0.35">
      <c r="A801" s="5" t="s">
        <v>2</v>
      </c>
      <c r="B801" s="5" t="s">
        <v>5</v>
      </c>
      <c r="C801" s="5" t="s">
        <v>63</v>
      </c>
      <c r="D801" s="5" t="s">
        <v>13</v>
      </c>
      <c r="E801" s="5" t="s">
        <v>17</v>
      </c>
      <c r="F801" s="5" t="s">
        <v>20</v>
      </c>
      <c r="G801" s="5" t="s">
        <v>24</v>
      </c>
      <c r="H801" s="5" t="s">
        <v>64</v>
      </c>
      <c r="I801" s="5" t="s">
        <v>32</v>
      </c>
      <c r="J801" s="5">
        <v>15.69248858361</v>
      </c>
      <c r="K801" s="5">
        <v>-96.521201050025994</v>
      </c>
      <c r="L801" s="5" t="str">
        <f>HYPERLINK("https://maps.google.com/?q=15.692488583610325,-96.521201050025638", "🔗 Ver Mapa")</f>
        <v>🔗 Ver Mapa</v>
      </c>
    </row>
    <row r="802" spans="1:12" ht="29" x14ac:dyDescent="0.35">
      <c r="A802" s="6" t="s">
        <v>2</v>
      </c>
      <c r="B802" s="6" t="s">
        <v>5</v>
      </c>
      <c r="C802" s="6" t="s">
        <v>63</v>
      </c>
      <c r="D802" s="6" t="s">
        <v>13</v>
      </c>
      <c r="E802" s="6" t="s">
        <v>17</v>
      </c>
      <c r="F802" s="6" t="s">
        <v>20</v>
      </c>
      <c r="G802" s="6" t="s">
        <v>24</v>
      </c>
      <c r="H802" s="6" t="s">
        <v>64</v>
      </c>
      <c r="I802" s="6" t="s">
        <v>32</v>
      </c>
      <c r="J802" s="6">
        <v>15.69195756885</v>
      </c>
      <c r="K802" s="6">
        <v>-96.520931480277</v>
      </c>
      <c r="L802" s="6" t="str">
        <f>HYPERLINK("https://maps.google.com/?q=15.691957568850174,-96.520931480276616", "🔗 Ver Mapa")</f>
        <v>🔗 Ver Mapa</v>
      </c>
    </row>
    <row r="803" spans="1:12" ht="29" x14ac:dyDescent="0.35">
      <c r="A803" s="5" t="s">
        <v>2</v>
      </c>
      <c r="B803" s="5" t="s">
        <v>5</v>
      </c>
      <c r="C803" s="5" t="s">
        <v>63</v>
      </c>
      <c r="D803" s="5" t="s">
        <v>13</v>
      </c>
      <c r="E803" s="5" t="s">
        <v>17</v>
      </c>
      <c r="F803" s="5" t="s">
        <v>20</v>
      </c>
      <c r="G803" s="5" t="s">
        <v>24</v>
      </c>
      <c r="H803" s="5" t="s">
        <v>64</v>
      </c>
      <c r="I803" s="5" t="s">
        <v>32</v>
      </c>
      <c r="J803" s="5">
        <v>15.691909909094001</v>
      </c>
      <c r="K803" s="5">
        <v>-96.520523832787006</v>
      </c>
      <c r="L803" s="5" t="str">
        <f>HYPERLINK("https://maps.google.com/?q=15.69190990909367,-96.52052383278739", "🔗 Ver Mapa")</f>
        <v>🔗 Ver Mapa</v>
      </c>
    </row>
    <row r="804" spans="1:12" ht="29" x14ac:dyDescent="0.35">
      <c r="A804" s="6" t="s">
        <v>2</v>
      </c>
      <c r="B804" s="6" t="s">
        <v>5</v>
      </c>
      <c r="C804" s="6" t="s">
        <v>63</v>
      </c>
      <c r="D804" s="6" t="s">
        <v>13</v>
      </c>
      <c r="E804" s="6" t="s">
        <v>17</v>
      </c>
      <c r="F804" s="6" t="s">
        <v>20</v>
      </c>
      <c r="G804" s="6" t="s">
        <v>24</v>
      </c>
      <c r="H804" s="6" t="s">
        <v>64</v>
      </c>
      <c r="I804" s="6" t="s">
        <v>32</v>
      </c>
      <c r="J804" s="6">
        <v>15.695065759572</v>
      </c>
      <c r="K804" s="6">
        <v>-96.522834112853999</v>
      </c>
      <c r="L804" s="6" t="str">
        <f>HYPERLINK("https://maps.google.com/?q=15.69506575957169,-96.522834112853943", "🔗 Ver Mapa")</f>
        <v>🔗 Ver Mapa</v>
      </c>
    </row>
    <row r="805" spans="1:12" ht="29" x14ac:dyDescent="0.35">
      <c r="A805" s="5" t="s">
        <v>2</v>
      </c>
      <c r="B805" s="5" t="s">
        <v>5</v>
      </c>
      <c r="C805" s="5" t="s">
        <v>63</v>
      </c>
      <c r="D805" s="5" t="s">
        <v>13</v>
      </c>
      <c r="E805" s="5" t="s">
        <v>17</v>
      </c>
      <c r="F805" s="5" t="s">
        <v>20</v>
      </c>
      <c r="G805" s="5" t="s">
        <v>24</v>
      </c>
      <c r="H805" s="5" t="s">
        <v>64</v>
      </c>
      <c r="I805" s="5" t="s">
        <v>32</v>
      </c>
      <c r="J805" s="5">
        <v>15.694781206349001</v>
      </c>
      <c r="K805" s="5">
        <v>-96.522827656667005</v>
      </c>
      <c r="L805" s="5" t="str">
        <f>HYPERLINK("https://maps.google.com/?q=15.694781206349498,-96.522827656667303", "🔗 Ver Mapa")</f>
        <v>🔗 Ver Mapa</v>
      </c>
    </row>
    <row r="806" spans="1:12" ht="29" x14ac:dyDescent="0.35">
      <c r="A806" s="6" t="s">
        <v>2</v>
      </c>
      <c r="B806" s="6" t="s">
        <v>5</v>
      </c>
      <c r="C806" s="6" t="s">
        <v>63</v>
      </c>
      <c r="D806" s="6" t="s">
        <v>13</v>
      </c>
      <c r="E806" s="6" t="s">
        <v>17</v>
      </c>
      <c r="F806" s="6" t="s">
        <v>20</v>
      </c>
      <c r="G806" s="6" t="s">
        <v>24</v>
      </c>
      <c r="H806" s="6" t="s">
        <v>64</v>
      </c>
      <c r="I806" s="6" t="s">
        <v>32</v>
      </c>
      <c r="J806" s="6">
        <v>15.694561321746001</v>
      </c>
      <c r="K806" s="6">
        <v>-96.522674455133995</v>
      </c>
      <c r="L806" s="6" t="str">
        <f>HYPERLINK("https://maps.google.com/?q=15.694561321745887,-96.522674455133924", "🔗 Ver Mapa")</f>
        <v>🔗 Ver Mapa</v>
      </c>
    </row>
    <row r="807" spans="1:12" ht="29" x14ac:dyDescent="0.35">
      <c r="A807" s="5" t="s">
        <v>2</v>
      </c>
      <c r="B807" s="5" t="s">
        <v>5</v>
      </c>
      <c r="C807" s="5" t="s">
        <v>63</v>
      </c>
      <c r="D807" s="5" t="s">
        <v>13</v>
      </c>
      <c r="E807" s="5" t="s">
        <v>17</v>
      </c>
      <c r="F807" s="5" t="s">
        <v>20</v>
      </c>
      <c r="G807" s="5" t="s">
        <v>24</v>
      </c>
      <c r="H807" s="5" t="s">
        <v>64</v>
      </c>
      <c r="I807" s="5" t="s">
        <v>32</v>
      </c>
      <c r="J807" s="5">
        <v>15.694291339582</v>
      </c>
      <c r="K807" s="5">
        <v>-96.522622596904</v>
      </c>
      <c r="L807" s="5" t="str">
        <f>HYPERLINK("https://maps.google.com/?q=15.694291339582124,-96.522622596904341", "🔗 Ver Mapa")</f>
        <v>🔗 Ver Mapa</v>
      </c>
    </row>
    <row r="808" spans="1:12" ht="29" x14ac:dyDescent="0.35">
      <c r="A808" s="6" t="s">
        <v>2</v>
      </c>
      <c r="B808" s="6" t="s">
        <v>5</v>
      </c>
      <c r="C808" s="6" t="s">
        <v>63</v>
      </c>
      <c r="D808" s="6" t="s">
        <v>13</v>
      </c>
      <c r="E808" s="6" t="s">
        <v>17</v>
      </c>
      <c r="F808" s="6" t="s">
        <v>20</v>
      </c>
      <c r="G808" s="6" t="s">
        <v>24</v>
      </c>
      <c r="H808" s="6" t="s">
        <v>64</v>
      </c>
      <c r="I808" s="6" t="s">
        <v>32</v>
      </c>
      <c r="J808" s="6">
        <v>15.694060832743</v>
      </c>
      <c r="K808" s="6">
        <v>-96.522420894540005</v>
      </c>
      <c r="L808" s="6" t="str">
        <f>HYPERLINK("https://maps.google.com/?q=15.694060832743101,-96.52242089454046", "🔗 Ver Mapa")</f>
        <v>🔗 Ver Mapa</v>
      </c>
    </row>
    <row r="809" spans="1:12" ht="29" x14ac:dyDescent="0.35">
      <c r="A809" s="5" t="s">
        <v>2</v>
      </c>
      <c r="B809" s="5" t="s">
        <v>5</v>
      </c>
      <c r="C809" s="5" t="s">
        <v>63</v>
      </c>
      <c r="D809" s="5" t="s">
        <v>13</v>
      </c>
      <c r="E809" s="5" t="s">
        <v>17</v>
      </c>
      <c r="F809" s="5" t="s">
        <v>20</v>
      </c>
      <c r="G809" s="5" t="s">
        <v>24</v>
      </c>
      <c r="H809" s="5" t="s">
        <v>64</v>
      </c>
      <c r="I809" s="5" t="s">
        <v>32</v>
      </c>
      <c r="J809" s="5">
        <v>15.693701502171001</v>
      </c>
      <c r="K809" s="5">
        <v>-96.522404180237999</v>
      </c>
      <c r="L809" s="5" t="str">
        <f>HYPERLINK("https://maps.google.com/?q=15.693701502170835,-96.522404180238127", "🔗 Ver Mapa")</f>
        <v>🔗 Ver Mapa</v>
      </c>
    </row>
    <row r="810" spans="1:12" ht="29" x14ac:dyDescent="0.35">
      <c r="A810" s="6" t="s">
        <v>2</v>
      </c>
      <c r="B810" s="6" t="s">
        <v>5</v>
      </c>
      <c r="C810" s="6" t="s">
        <v>63</v>
      </c>
      <c r="D810" s="6" t="s">
        <v>13</v>
      </c>
      <c r="E810" s="6" t="s">
        <v>17</v>
      </c>
      <c r="F810" s="6" t="s">
        <v>20</v>
      </c>
      <c r="G810" s="6" t="s">
        <v>24</v>
      </c>
      <c r="H810" s="6" t="s">
        <v>64</v>
      </c>
      <c r="I810" s="6" t="s">
        <v>32</v>
      </c>
      <c r="J810" s="6">
        <v>15.696281322002999</v>
      </c>
      <c r="K810" s="6">
        <v>-96.523571232950005</v>
      </c>
      <c r="L810" s="6" t="str">
        <f>HYPERLINK("https://maps.google.com/?q=15.696281322003365,-96.523571232949692", "🔗 Ver Mapa")</f>
        <v>🔗 Ver Mapa</v>
      </c>
    </row>
    <row r="811" spans="1:12" ht="29" x14ac:dyDescent="0.35">
      <c r="A811" s="5" t="s">
        <v>2</v>
      </c>
      <c r="B811" s="5" t="s">
        <v>5</v>
      </c>
      <c r="C811" s="5" t="s">
        <v>63</v>
      </c>
      <c r="D811" s="5" t="s">
        <v>13</v>
      </c>
      <c r="E811" s="5" t="s">
        <v>17</v>
      </c>
      <c r="F811" s="5" t="s">
        <v>20</v>
      </c>
      <c r="G811" s="5" t="s">
        <v>24</v>
      </c>
      <c r="H811" s="5" t="s">
        <v>64</v>
      </c>
      <c r="I811" s="5" t="s">
        <v>32</v>
      </c>
      <c r="J811" s="5">
        <v>15.695971297318</v>
      </c>
      <c r="K811" s="5">
        <v>-96.523529163475004</v>
      </c>
      <c r="L811" s="5" t="str">
        <f>HYPERLINK("https://maps.google.com/?q=15.69597129731844,-96.523529163475075", "🔗 Ver Mapa")</f>
        <v>🔗 Ver Mapa</v>
      </c>
    </row>
    <row r="812" spans="1:12" ht="29" x14ac:dyDescent="0.35">
      <c r="A812" s="6" t="s">
        <v>2</v>
      </c>
      <c r="B812" s="6" t="s">
        <v>5</v>
      </c>
      <c r="C812" s="6" t="s">
        <v>63</v>
      </c>
      <c r="D812" s="6" t="s">
        <v>13</v>
      </c>
      <c r="E812" s="6" t="s">
        <v>17</v>
      </c>
      <c r="F812" s="6" t="s">
        <v>20</v>
      </c>
      <c r="G812" s="6" t="s">
        <v>24</v>
      </c>
      <c r="H812" s="6" t="s">
        <v>64</v>
      </c>
      <c r="I812" s="6" t="s">
        <v>32</v>
      </c>
      <c r="J812" s="6">
        <v>15.695875675045</v>
      </c>
      <c r="K812" s="6">
        <v>-96.523398937734001</v>
      </c>
      <c r="L812" s="6" t="str">
        <f>HYPERLINK("https://maps.google.com/?q=15.695875675045059,-96.523398937734385", "🔗 Ver Mapa")</f>
        <v>🔗 Ver Mapa</v>
      </c>
    </row>
    <row r="813" spans="1:12" ht="29" x14ac:dyDescent="0.35">
      <c r="A813" s="5" t="s">
        <v>2</v>
      </c>
      <c r="B813" s="5" t="s">
        <v>5</v>
      </c>
      <c r="C813" s="5" t="s">
        <v>63</v>
      </c>
      <c r="D813" s="5" t="s">
        <v>13</v>
      </c>
      <c r="E813" s="5" t="s">
        <v>17</v>
      </c>
      <c r="F813" s="5" t="s">
        <v>20</v>
      </c>
      <c r="G813" s="5" t="s">
        <v>24</v>
      </c>
      <c r="H813" s="5" t="s">
        <v>64</v>
      </c>
      <c r="I813" s="5" t="s">
        <v>32</v>
      </c>
      <c r="J813" s="5">
        <v>15.695781695858001</v>
      </c>
      <c r="K813" s="5">
        <v>-96.523145909359002</v>
      </c>
      <c r="L813" s="5" t="str">
        <f>HYPERLINK("https://maps.google.com/?q=15.695781695858319,-96.523145909358618", "🔗 Ver Mapa")</f>
        <v>🔗 Ver Mapa</v>
      </c>
    </row>
    <row r="814" spans="1:12" ht="29" x14ac:dyDescent="0.35">
      <c r="A814" s="6" t="s">
        <v>2</v>
      </c>
      <c r="B814" s="6" t="s">
        <v>5</v>
      </c>
      <c r="C814" s="6" t="s">
        <v>63</v>
      </c>
      <c r="D814" s="6" t="s">
        <v>13</v>
      </c>
      <c r="E814" s="6" t="s">
        <v>17</v>
      </c>
      <c r="F814" s="6" t="s">
        <v>20</v>
      </c>
      <c r="G814" s="6" t="s">
        <v>24</v>
      </c>
      <c r="H814" s="6" t="s">
        <v>64</v>
      </c>
      <c r="I814" s="6" t="s">
        <v>32</v>
      </c>
      <c r="J814" s="6">
        <v>15.695533980911</v>
      </c>
      <c r="K814" s="6">
        <v>-96.522939452092999</v>
      </c>
      <c r="L814" s="6" t="str">
        <f>HYPERLINK("https://maps.google.com/?q=15.695533980911112,-96.522939452092942", "🔗 Ver Mapa")</f>
        <v>🔗 Ver Mapa</v>
      </c>
    </row>
    <row r="815" spans="1:12" ht="29" x14ac:dyDescent="0.35">
      <c r="A815" s="5" t="s">
        <v>2</v>
      </c>
      <c r="B815" s="5" t="s">
        <v>5</v>
      </c>
      <c r="C815" s="5" t="s">
        <v>63</v>
      </c>
      <c r="D815" s="5" t="s">
        <v>13</v>
      </c>
      <c r="E815" s="5" t="s">
        <v>17</v>
      </c>
      <c r="F815" s="5" t="s">
        <v>20</v>
      </c>
      <c r="G815" s="5" t="s">
        <v>24</v>
      </c>
      <c r="H815" s="5" t="s">
        <v>64</v>
      </c>
      <c r="I815" s="5" t="s">
        <v>32</v>
      </c>
      <c r="J815" s="5">
        <v>15.695274220203</v>
      </c>
      <c r="K815" s="5">
        <v>-96.522958125675004</v>
      </c>
      <c r="L815" s="5" t="str">
        <f>HYPERLINK("https://maps.google.com/?q=15.695274220202515,-96.522958125675189", "🔗 Ver Mapa")</f>
        <v>🔗 Ver Mapa</v>
      </c>
    </row>
    <row r="816" spans="1:12" ht="29" x14ac:dyDescent="0.35">
      <c r="A816" s="6" t="s">
        <v>2</v>
      </c>
      <c r="B816" s="6" t="s">
        <v>5</v>
      </c>
      <c r="C816" s="6" t="s">
        <v>63</v>
      </c>
      <c r="D816" s="6" t="s">
        <v>13</v>
      </c>
      <c r="E816" s="6" t="s">
        <v>17</v>
      </c>
      <c r="F816" s="6" t="s">
        <v>20</v>
      </c>
      <c r="G816" s="6" t="s">
        <v>24</v>
      </c>
      <c r="H816" s="6" t="s">
        <v>64</v>
      </c>
      <c r="I816" s="6" t="s">
        <v>32</v>
      </c>
      <c r="J816" s="6">
        <v>15.697796994045</v>
      </c>
      <c r="K816" s="6">
        <v>-96.524927283916995</v>
      </c>
      <c r="L816" s="6" t="str">
        <f>HYPERLINK("https://maps.google.com/?q=15.697796994045115,-96.524927283916782", "🔗 Ver Mapa")</f>
        <v>🔗 Ver Mapa</v>
      </c>
    </row>
    <row r="817" spans="1:12" ht="29" x14ac:dyDescent="0.35">
      <c r="A817" s="5" t="s">
        <v>2</v>
      </c>
      <c r="B817" s="5" t="s">
        <v>5</v>
      </c>
      <c r="C817" s="5" t="s">
        <v>63</v>
      </c>
      <c r="D817" s="5" t="s">
        <v>13</v>
      </c>
      <c r="E817" s="5" t="s">
        <v>17</v>
      </c>
      <c r="F817" s="5" t="s">
        <v>20</v>
      </c>
      <c r="G817" s="5" t="s">
        <v>24</v>
      </c>
      <c r="H817" s="5" t="s">
        <v>64</v>
      </c>
      <c r="I817" s="5" t="s">
        <v>32</v>
      </c>
      <c r="J817" s="5">
        <v>15.697621332944999</v>
      </c>
      <c r="K817" s="5">
        <v>-96.524453141704001</v>
      </c>
      <c r="L817" s="5" t="str">
        <f>HYPERLINK("https://maps.google.com/?q=15.697621332945317,-96.524453141704328", "🔗 Ver Mapa")</f>
        <v>🔗 Ver Mapa</v>
      </c>
    </row>
    <row r="818" spans="1:12" ht="29" x14ac:dyDescent="0.35">
      <c r="A818" s="6" t="s">
        <v>2</v>
      </c>
      <c r="B818" s="6" t="s">
        <v>5</v>
      </c>
      <c r="C818" s="6" t="s">
        <v>63</v>
      </c>
      <c r="D818" s="6" t="s">
        <v>13</v>
      </c>
      <c r="E818" s="6" t="s">
        <v>17</v>
      </c>
      <c r="F818" s="6" t="s">
        <v>20</v>
      </c>
      <c r="G818" s="6" t="s">
        <v>24</v>
      </c>
      <c r="H818" s="6" t="s">
        <v>64</v>
      </c>
      <c r="I818" s="6" t="s">
        <v>32</v>
      </c>
      <c r="J818" s="6">
        <v>15.697353753588001</v>
      </c>
      <c r="K818" s="6">
        <v>-96.524199586704</v>
      </c>
      <c r="L818" s="6" t="str">
        <f>HYPERLINK("https://maps.google.com/?q=15.697353753587917,-96.52419958670373", "🔗 Ver Mapa")</f>
        <v>🔗 Ver Mapa</v>
      </c>
    </row>
    <row r="819" spans="1:12" ht="29" x14ac:dyDescent="0.35">
      <c r="A819" s="5" t="s">
        <v>2</v>
      </c>
      <c r="B819" s="5" t="s">
        <v>5</v>
      </c>
      <c r="C819" s="5" t="s">
        <v>63</v>
      </c>
      <c r="D819" s="5" t="s">
        <v>13</v>
      </c>
      <c r="E819" s="5" t="s">
        <v>17</v>
      </c>
      <c r="F819" s="5" t="s">
        <v>20</v>
      </c>
      <c r="G819" s="5" t="s">
        <v>24</v>
      </c>
      <c r="H819" s="5" t="s">
        <v>64</v>
      </c>
      <c r="I819" s="5" t="s">
        <v>32</v>
      </c>
      <c r="J819" s="5">
        <v>15.697240831239</v>
      </c>
      <c r="K819" s="5">
        <v>-96.523795055872995</v>
      </c>
      <c r="L819" s="5" t="str">
        <f>HYPERLINK("https://maps.google.com/?q=15.697240831238522,-96.523795055873308", "🔗 Ver Mapa")</f>
        <v>🔗 Ver Mapa</v>
      </c>
    </row>
    <row r="820" spans="1:12" ht="29" x14ac:dyDescent="0.35">
      <c r="A820" s="6" t="s">
        <v>2</v>
      </c>
      <c r="B820" s="6" t="s">
        <v>5</v>
      </c>
      <c r="C820" s="6" t="s">
        <v>63</v>
      </c>
      <c r="D820" s="6" t="s">
        <v>13</v>
      </c>
      <c r="E820" s="6" t="s">
        <v>17</v>
      </c>
      <c r="F820" s="6" t="s">
        <v>20</v>
      </c>
      <c r="G820" s="6" t="s">
        <v>24</v>
      </c>
      <c r="H820" s="6" t="s">
        <v>64</v>
      </c>
      <c r="I820" s="6" t="s">
        <v>32</v>
      </c>
      <c r="J820" s="6">
        <v>15.696970670099001</v>
      </c>
      <c r="K820" s="6">
        <v>-96.523540116006998</v>
      </c>
      <c r="L820" s="6" t="str">
        <f>HYPERLINK("https://maps.google.com/?q=15.696970670098574,-96.523540116007311", "🔗 Ver Mapa")</f>
        <v>🔗 Ver Mapa</v>
      </c>
    </row>
    <row r="821" spans="1:12" ht="29" x14ac:dyDescent="0.35">
      <c r="A821" s="5" t="s">
        <v>2</v>
      </c>
      <c r="B821" s="5" t="s">
        <v>5</v>
      </c>
      <c r="C821" s="5" t="s">
        <v>63</v>
      </c>
      <c r="D821" s="5" t="s">
        <v>13</v>
      </c>
      <c r="E821" s="5" t="s">
        <v>17</v>
      </c>
      <c r="F821" s="5" t="s">
        <v>20</v>
      </c>
      <c r="G821" s="5" t="s">
        <v>24</v>
      </c>
      <c r="H821" s="5" t="s">
        <v>64</v>
      </c>
      <c r="I821" s="5" t="s">
        <v>32</v>
      </c>
      <c r="J821" s="5">
        <v>15.696723209688001</v>
      </c>
      <c r="K821" s="5">
        <v>-96.523457304885</v>
      </c>
      <c r="L821" s="5" t="str">
        <f>HYPERLINK("https://maps.google.com/?q=15.696723209688155,-96.523457304884516", "🔗 Ver Mapa")</f>
        <v>🔗 Ver Mapa</v>
      </c>
    </row>
    <row r="822" spans="1:12" ht="29" x14ac:dyDescent="0.35">
      <c r="A822" s="6" t="s">
        <v>2</v>
      </c>
      <c r="B822" s="6" t="s">
        <v>5</v>
      </c>
      <c r="C822" s="6" t="s">
        <v>63</v>
      </c>
      <c r="D822" s="6" t="s">
        <v>13</v>
      </c>
      <c r="E822" s="6" t="s">
        <v>17</v>
      </c>
      <c r="F822" s="6" t="s">
        <v>20</v>
      </c>
      <c r="G822" s="6" t="s">
        <v>24</v>
      </c>
      <c r="H822" s="6" t="s">
        <v>64</v>
      </c>
      <c r="I822" s="6" t="s">
        <v>32</v>
      </c>
      <c r="J822" s="6">
        <v>15.700389188792</v>
      </c>
      <c r="K822" s="6">
        <v>-96.524630103533994</v>
      </c>
      <c r="L822" s="6" t="str">
        <f>HYPERLINK("https://maps.google.com/?q=15.70038918879172,-96.524630103533681", "🔗 Ver Mapa")</f>
        <v>🔗 Ver Mapa</v>
      </c>
    </row>
    <row r="823" spans="1:12" ht="29" x14ac:dyDescent="0.35">
      <c r="A823" s="5" t="s">
        <v>2</v>
      </c>
      <c r="B823" s="5" t="s">
        <v>5</v>
      </c>
      <c r="C823" s="5" t="s">
        <v>63</v>
      </c>
      <c r="D823" s="5" t="s">
        <v>13</v>
      </c>
      <c r="E823" s="5" t="s">
        <v>17</v>
      </c>
      <c r="F823" s="5" t="s">
        <v>20</v>
      </c>
      <c r="G823" s="5" t="s">
        <v>24</v>
      </c>
      <c r="H823" s="5" t="s">
        <v>64</v>
      </c>
      <c r="I823" s="5" t="s">
        <v>32</v>
      </c>
      <c r="J823" s="5">
        <v>15.700170840834</v>
      </c>
      <c r="K823" s="5">
        <v>-96.524879505369995</v>
      </c>
      <c r="L823" s="5" t="str">
        <f>HYPERLINK("https://maps.google.com/?q=15.700170840833536,-96.524879505370137", "🔗 Ver Mapa")</f>
        <v>🔗 Ver Mapa</v>
      </c>
    </row>
    <row r="824" spans="1:12" ht="29" x14ac:dyDescent="0.35">
      <c r="A824" s="6" t="s">
        <v>2</v>
      </c>
      <c r="B824" s="6" t="s">
        <v>5</v>
      </c>
      <c r="C824" s="6" t="s">
        <v>63</v>
      </c>
      <c r="D824" s="6" t="s">
        <v>13</v>
      </c>
      <c r="E824" s="6" t="s">
        <v>17</v>
      </c>
      <c r="F824" s="6" t="s">
        <v>20</v>
      </c>
      <c r="G824" s="6" t="s">
        <v>24</v>
      </c>
      <c r="H824" s="6" t="s">
        <v>64</v>
      </c>
      <c r="I824" s="6" t="s">
        <v>32</v>
      </c>
      <c r="J824" s="6">
        <v>15.699403010978999</v>
      </c>
      <c r="K824" s="6">
        <v>-96.524960152001</v>
      </c>
      <c r="L824" s="6" t="str">
        <f>HYPERLINK("https://maps.google.com/?q=15.699403010978934,-96.524960152000645", "🔗 Ver Mapa")</f>
        <v>🔗 Ver Mapa</v>
      </c>
    </row>
    <row r="825" spans="1:12" ht="29" x14ac:dyDescent="0.35">
      <c r="A825" s="5" t="s">
        <v>2</v>
      </c>
      <c r="B825" s="5" t="s">
        <v>5</v>
      </c>
      <c r="C825" s="5" t="s">
        <v>63</v>
      </c>
      <c r="D825" s="5" t="s">
        <v>13</v>
      </c>
      <c r="E825" s="5" t="s">
        <v>17</v>
      </c>
      <c r="F825" s="5" t="s">
        <v>20</v>
      </c>
      <c r="G825" s="5" t="s">
        <v>24</v>
      </c>
      <c r="H825" s="5" t="s">
        <v>64</v>
      </c>
      <c r="I825" s="5" t="s">
        <v>32</v>
      </c>
      <c r="J825" s="5">
        <v>15.698751531377001</v>
      </c>
      <c r="K825" s="5">
        <v>-96.524870970538004</v>
      </c>
      <c r="L825" s="5" t="str">
        <f>HYPERLINK("https://maps.google.com/?q=15.698751531377344,-96.524870970538132", "🔗 Ver Mapa")</f>
        <v>🔗 Ver Mapa</v>
      </c>
    </row>
    <row r="826" spans="1:12" ht="29" x14ac:dyDescent="0.35">
      <c r="A826" s="6" t="s">
        <v>2</v>
      </c>
      <c r="B826" s="6" t="s">
        <v>5</v>
      </c>
      <c r="C826" s="6" t="s">
        <v>63</v>
      </c>
      <c r="D826" s="6" t="s">
        <v>13</v>
      </c>
      <c r="E826" s="6" t="s">
        <v>17</v>
      </c>
      <c r="F826" s="6" t="s">
        <v>20</v>
      </c>
      <c r="G826" s="6" t="s">
        <v>24</v>
      </c>
      <c r="H826" s="6" t="s">
        <v>64</v>
      </c>
      <c r="I826" s="6" t="s">
        <v>32</v>
      </c>
      <c r="J826" s="6">
        <v>15.698205099177001</v>
      </c>
      <c r="K826" s="6">
        <v>-96.525129235711006</v>
      </c>
      <c r="L826" s="6" t="str">
        <f>HYPERLINK("https://maps.google.com/?q=15.698205099177237,-96.525129235711319", "🔗 Ver Mapa")</f>
        <v>🔗 Ver Mapa</v>
      </c>
    </row>
    <row r="827" spans="1:12" ht="29" x14ac:dyDescent="0.35">
      <c r="A827" s="5" t="s">
        <v>2</v>
      </c>
      <c r="B827" s="5" t="s">
        <v>5</v>
      </c>
      <c r="C827" s="5" t="s">
        <v>63</v>
      </c>
      <c r="D827" s="5" t="s">
        <v>13</v>
      </c>
      <c r="E827" s="5" t="s">
        <v>17</v>
      </c>
      <c r="F827" s="5" t="s">
        <v>20</v>
      </c>
      <c r="G827" s="5" t="s">
        <v>24</v>
      </c>
      <c r="H827" s="5" t="s">
        <v>64</v>
      </c>
      <c r="I827" s="5" t="s">
        <v>32</v>
      </c>
      <c r="J827" s="5">
        <v>15.697960908020001</v>
      </c>
      <c r="K827" s="5">
        <v>-96.525081408138007</v>
      </c>
      <c r="L827" s="5" t="str">
        <f>HYPERLINK("https://maps.google.com/?q=15.697960908020072,-96.52508140813849", "🔗 Ver Mapa")</f>
        <v>🔗 Ver Mapa</v>
      </c>
    </row>
    <row r="828" spans="1:12" ht="29" x14ac:dyDescent="0.35">
      <c r="A828" s="6" t="s">
        <v>2</v>
      </c>
      <c r="B828" s="6" t="s">
        <v>5</v>
      </c>
      <c r="C828" s="6" t="s">
        <v>63</v>
      </c>
      <c r="D828" s="6" t="s">
        <v>13</v>
      </c>
      <c r="E828" s="6" t="s">
        <v>17</v>
      </c>
      <c r="F828" s="6" t="s">
        <v>20</v>
      </c>
      <c r="G828" s="6" t="s">
        <v>24</v>
      </c>
      <c r="H828" s="6" t="s">
        <v>64</v>
      </c>
      <c r="I828" s="6" t="s">
        <v>32</v>
      </c>
      <c r="J828" s="6">
        <v>15.702675201366</v>
      </c>
      <c r="K828" s="6">
        <v>-96.523748672799996</v>
      </c>
      <c r="L828" s="6" t="str">
        <f>HYPERLINK("https://maps.google.com/?q=15.702675201366125,-96.523748672800139", "🔗 Ver Mapa")</f>
        <v>🔗 Ver Mapa</v>
      </c>
    </row>
    <row r="829" spans="1:12" ht="29" x14ac:dyDescent="0.35">
      <c r="A829" s="5" t="s">
        <v>2</v>
      </c>
      <c r="B829" s="5" t="s">
        <v>5</v>
      </c>
      <c r="C829" s="5" t="s">
        <v>63</v>
      </c>
      <c r="D829" s="5" t="s">
        <v>13</v>
      </c>
      <c r="E829" s="5" t="s">
        <v>17</v>
      </c>
      <c r="F829" s="5" t="s">
        <v>20</v>
      </c>
      <c r="G829" s="5" t="s">
        <v>24</v>
      </c>
      <c r="H829" s="5" t="s">
        <v>64</v>
      </c>
      <c r="I829" s="5" t="s">
        <v>32</v>
      </c>
      <c r="J829" s="5">
        <v>15.702396268927</v>
      </c>
      <c r="K829" s="5">
        <v>-96.523694589507997</v>
      </c>
      <c r="L829" s="5" t="str">
        <f>HYPERLINK("https://maps.google.com/?q=15.702396268926702,-96.523694589507684", "🔗 Ver Mapa")</f>
        <v>🔗 Ver Mapa</v>
      </c>
    </row>
    <row r="830" spans="1:12" ht="29" x14ac:dyDescent="0.35">
      <c r="A830" s="6" t="s">
        <v>2</v>
      </c>
      <c r="B830" s="6" t="s">
        <v>5</v>
      </c>
      <c r="C830" s="6" t="s">
        <v>63</v>
      </c>
      <c r="D830" s="6" t="s">
        <v>13</v>
      </c>
      <c r="E830" s="6" t="s">
        <v>17</v>
      </c>
      <c r="F830" s="6" t="s">
        <v>20</v>
      </c>
      <c r="G830" s="6" t="s">
        <v>24</v>
      </c>
      <c r="H830" s="6" t="s">
        <v>64</v>
      </c>
      <c r="I830" s="6" t="s">
        <v>32</v>
      </c>
      <c r="J830" s="6">
        <v>15.702000732513</v>
      </c>
      <c r="K830" s="6">
        <v>-96.523434090796002</v>
      </c>
      <c r="L830" s="6" t="str">
        <f>HYPERLINK("https://maps.google.com/?q=15.70200073251305,-96.523434090796371", "🔗 Ver Mapa")</f>
        <v>🔗 Ver Mapa</v>
      </c>
    </row>
    <row r="831" spans="1:12" ht="29" x14ac:dyDescent="0.35">
      <c r="A831" s="5" t="s">
        <v>2</v>
      </c>
      <c r="B831" s="5" t="s">
        <v>5</v>
      </c>
      <c r="C831" s="5" t="s">
        <v>63</v>
      </c>
      <c r="D831" s="5" t="s">
        <v>13</v>
      </c>
      <c r="E831" s="5" t="s">
        <v>17</v>
      </c>
      <c r="F831" s="5" t="s">
        <v>20</v>
      </c>
      <c r="G831" s="5" t="s">
        <v>24</v>
      </c>
      <c r="H831" s="5" t="s">
        <v>64</v>
      </c>
      <c r="I831" s="5" t="s">
        <v>32</v>
      </c>
      <c r="J831" s="5">
        <v>15.701634688101</v>
      </c>
      <c r="K831" s="5">
        <v>-96.523394097403994</v>
      </c>
      <c r="L831" s="5" t="str">
        <f>HYPERLINK("https://maps.google.com/?q=15.701634688100706,-96.523394097404079", "🔗 Ver Mapa")</f>
        <v>🔗 Ver Mapa</v>
      </c>
    </row>
    <row r="832" spans="1:12" ht="29" x14ac:dyDescent="0.35">
      <c r="A832" s="6" t="s">
        <v>2</v>
      </c>
      <c r="B832" s="6" t="s">
        <v>5</v>
      </c>
      <c r="C832" s="6" t="s">
        <v>63</v>
      </c>
      <c r="D832" s="6" t="s">
        <v>13</v>
      </c>
      <c r="E832" s="6" t="s">
        <v>17</v>
      </c>
      <c r="F832" s="6" t="s">
        <v>20</v>
      </c>
      <c r="G832" s="6" t="s">
        <v>24</v>
      </c>
      <c r="H832" s="6" t="s">
        <v>64</v>
      </c>
      <c r="I832" s="6" t="s">
        <v>32</v>
      </c>
      <c r="J832" s="6">
        <v>15.701302818816</v>
      </c>
      <c r="K832" s="6">
        <v>-96.523577339818004</v>
      </c>
      <c r="L832" s="6" t="str">
        <f>HYPERLINK("https://maps.google.com/?q=15.701302818816085,-96.523577339817919", "🔗 Ver Mapa")</f>
        <v>🔗 Ver Mapa</v>
      </c>
    </row>
    <row r="833" spans="1:12" ht="29" x14ac:dyDescent="0.35">
      <c r="A833" s="5" t="s">
        <v>2</v>
      </c>
      <c r="B833" s="5" t="s">
        <v>5</v>
      </c>
      <c r="C833" s="5" t="s">
        <v>63</v>
      </c>
      <c r="D833" s="5" t="s">
        <v>13</v>
      </c>
      <c r="E833" s="5" t="s">
        <v>17</v>
      </c>
      <c r="F833" s="5" t="s">
        <v>20</v>
      </c>
      <c r="G833" s="5" t="s">
        <v>24</v>
      </c>
      <c r="H833" s="5" t="s">
        <v>64</v>
      </c>
      <c r="I833" s="5" t="s">
        <v>32</v>
      </c>
      <c r="J833" s="5">
        <v>15.700659984925</v>
      </c>
      <c r="K833" s="5">
        <v>-96.524244459515998</v>
      </c>
      <c r="L833" s="5" t="str">
        <f>HYPERLINK("https://maps.google.com/?q=15.700659984924933,-96.524244459515899", "🔗 Ver Mapa")</f>
        <v>🔗 Ver Mapa</v>
      </c>
    </row>
    <row r="834" spans="1:12" ht="29" x14ac:dyDescent="0.35">
      <c r="A834" s="6" t="s">
        <v>2</v>
      </c>
      <c r="B834" s="6" t="s">
        <v>5</v>
      </c>
      <c r="C834" s="6" t="s">
        <v>63</v>
      </c>
      <c r="D834" s="6" t="s">
        <v>13</v>
      </c>
      <c r="E834" s="6" t="s">
        <v>17</v>
      </c>
      <c r="F834" s="6" t="s">
        <v>20</v>
      </c>
      <c r="G834" s="6" t="s">
        <v>24</v>
      </c>
      <c r="H834" s="6" t="s">
        <v>64</v>
      </c>
      <c r="I834" s="6" t="s">
        <v>32</v>
      </c>
      <c r="J834" s="6">
        <v>15.705142472245001</v>
      </c>
      <c r="K834" s="6">
        <v>-96.523615187637006</v>
      </c>
      <c r="L834" s="6" t="str">
        <f>HYPERLINK("https://maps.google.com/?q=15.70514247224545,-96.523615187636764", "🔗 Ver Mapa")</f>
        <v>🔗 Ver Mapa</v>
      </c>
    </row>
    <row r="835" spans="1:12" ht="29" x14ac:dyDescent="0.35">
      <c r="A835" s="5" t="s">
        <v>2</v>
      </c>
      <c r="B835" s="5" t="s">
        <v>5</v>
      </c>
      <c r="C835" s="5" t="s">
        <v>63</v>
      </c>
      <c r="D835" s="5" t="s">
        <v>13</v>
      </c>
      <c r="E835" s="5" t="s">
        <v>17</v>
      </c>
      <c r="F835" s="5" t="s">
        <v>20</v>
      </c>
      <c r="G835" s="5" t="s">
        <v>24</v>
      </c>
      <c r="H835" s="5" t="s">
        <v>64</v>
      </c>
      <c r="I835" s="5" t="s">
        <v>32</v>
      </c>
      <c r="J835" s="5">
        <v>15.704804452625</v>
      </c>
      <c r="K835" s="5">
        <v>-96.523672660930998</v>
      </c>
      <c r="L835" s="5" t="str">
        <f>HYPERLINK("https://maps.google.com/?q=15.704804452625236,-96.523672660931183", "🔗 Ver Mapa")</f>
        <v>🔗 Ver Mapa</v>
      </c>
    </row>
    <row r="836" spans="1:12" ht="29" x14ac:dyDescent="0.35">
      <c r="A836" s="6" t="s">
        <v>2</v>
      </c>
      <c r="B836" s="6" t="s">
        <v>5</v>
      </c>
      <c r="C836" s="6" t="s">
        <v>63</v>
      </c>
      <c r="D836" s="6" t="s">
        <v>13</v>
      </c>
      <c r="E836" s="6" t="s">
        <v>17</v>
      </c>
      <c r="F836" s="6" t="s">
        <v>20</v>
      </c>
      <c r="G836" s="6" t="s">
        <v>24</v>
      </c>
      <c r="H836" s="6" t="s">
        <v>64</v>
      </c>
      <c r="I836" s="6" t="s">
        <v>32</v>
      </c>
      <c r="J836" s="6">
        <v>15.704509445798999</v>
      </c>
      <c r="K836" s="6">
        <v>-96.523629384244003</v>
      </c>
      <c r="L836" s="6" t="str">
        <f>HYPERLINK("https://maps.google.com/?q=15.704509445798909,-96.523629384244288", "🔗 Ver Mapa")</f>
        <v>🔗 Ver Mapa</v>
      </c>
    </row>
    <row r="837" spans="1:12" ht="29" x14ac:dyDescent="0.35">
      <c r="A837" s="5" t="s">
        <v>2</v>
      </c>
      <c r="B837" s="5" t="s">
        <v>5</v>
      </c>
      <c r="C837" s="5" t="s">
        <v>63</v>
      </c>
      <c r="D837" s="5" t="s">
        <v>13</v>
      </c>
      <c r="E837" s="5" t="s">
        <v>17</v>
      </c>
      <c r="F837" s="5" t="s">
        <v>20</v>
      </c>
      <c r="G837" s="5" t="s">
        <v>24</v>
      </c>
      <c r="H837" s="5" t="s">
        <v>64</v>
      </c>
      <c r="I837" s="5" t="s">
        <v>32</v>
      </c>
      <c r="J837" s="5">
        <v>15.704146505171</v>
      </c>
      <c r="K837" s="5">
        <v>-96.523521352136001</v>
      </c>
      <c r="L837" s="5" t="str">
        <f>HYPERLINK("https://maps.google.com/?q=15.704146505170824,-96.523521352135901", "🔗 Ver Mapa")</f>
        <v>🔗 Ver Mapa</v>
      </c>
    </row>
    <row r="838" spans="1:12" ht="29" x14ac:dyDescent="0.35">
      <c r="A838" s="6" t="s">
        <v>2</v>
      </c>
      <c r="B838" s="6" t="s">
        <v>5</v>
      </c>
      <c r="C838" s="6" t="s">
        <v>63</v>
      </c>
      <c r="D838" s="6" t="s">
        <v>13</v>
      </c>
      <c r="E838" s="6" t="s">
        <v>17</v>
      </c>
      <c r="F838" s="6" t="s">
        <v>20</v>
      </c>
      <c r="G838" s="6" t="s">
        <v>24</v>
      </c>
      <c r="H838" s="6" t="s">
        <v>64</v>
      </c>
      <c r="I838" s="6" t="s">
        <v>32</v>
      </c>
      <c r="J838" s="6">
        <v>15.703747468685</v>
      </c>
      <c r="K838" s="6">
        <v>-96.523508260284999</v>
      </c>
      <c r="L838" s="6" t="str">
        <f>HYPERLINK("https://maps.google.com/?q=15.703747468685028,-96.523508260284544", "🔗 Ver Mapa")</f>
        <v>🔗 Ver Mapa</v>
      </c>
    </row>
    <row r="839" spans="1:12" ht="29" x14ac:dyDescent="0.35">
      <c r="A839" s="5" t="s">
        <v>2</v>
      </c>
      <c r="B839" s="5" t="s">
        <v>5</v>
      </c>
      <c r="C839" s="5" t="s">
        <v>63</v>
      </c>
      <c r="D839" s="5" t="s">
        <v>13</v>
      </c>
      <c r="E839" s="5" t="s">
        <v>17</v>
      </c>
      <c r="F839" s="5" t="s">
        <v>20</v>
      </c>
      <c r="G839" s="5" t="s">
        <v>24</v>
      </c>
      <c r="H839" s="5" t="s">
        <v>64</v>
      </c>
      <c r="I839" s="5" t="s">
        <v>32</v>
      </c>
      <c r="J839" s="5">
        <v>15.703153068395</v>
      </c>
      <c r="K839" s="5">
        <v>-96.523769373576997</v>
      </c>
      <c r="L839" s="5" t="str">
        <f>HYPERLINK("https://maps.google.com/?q=15.703153068394593,-96.523769373576854", "🔗 Ver Mapa")</f>
        <v>🔗 Ver Mapa</v>
      </c>
    </row>
    <row r="840" spans="1:12" ht="29" x14ac:dyDescent="0.35">
      <c r="A840" s="6" t="s">
        <v>2</v>
      </c>
      <c r="B840" s="6" t="s">
        <v>5</v>
      </c>
      <c r="C840" s="6" t="s">
        <v>63</v>
      </c>
      <c r="D840" s="6" t="s">
        <v>13</v>
      </c>
      <c r="E840" s="6" t="s">
        <v>17</v>
      </c>
      <c r="F840" s="6" t="s">
        <v>20</v>
      </c>
      <c r="G840" s="6" t="s">
        <v>24</v>
      </c>
      <c r="H840" s="6" t="s">
        <v>64</v>
      </c>
      <c r="I840" s="6" t="s">
        <v>32</v>
      </c>
      <c r="J840" s="6">
        <v>15.706254978721001</v>
      </c>
      <c r="K840" s="6">
        <v>-96.524258669808006</v>
      </c>
      <c r="L840" s="6" t="str">
        <f>HYPERLINK("https://maps.google.com/?q=15.706254978720555,-96.524258669808304", "🔗 Ver Mapa")</f>
        <v>🔗 Ver Mapa</v>
      </c>
    </row>
    <row r="841" spans="1:12" ht="29" x14ac:dyDescent="0.35">
      <c r="A841" s="5" t="s">
        <v>2</v>
      </c>
      <c r="B841" s="5" t="s">
        <v>5</v>
      </c>
      <c r="C841" s="5" t="s">
        <v>63</v>
      </c>
      <c r="D841" s="5" t="s">
        <v>13</v>
      </c>
      <c r="E841" s="5" t="s">
        <v>17</v>
      </c>
      <c r="F841" s="5" t="s">
        <v>20</v>
      </c>
      <c r="G841" s="5" t="s">
        <v>24</v>
      </c>
      <c r="H841" s="5" t="s">
        <v>64</v>
      </c>
      <c r="I841" s="5" t="s">
        <v>32</v>
      </c>
      <c r="J841" s="5">
        <v>15.705694656896</v>
      </c>
      <c r="K841" s="5">
        <v>-96.524229396989</v>
      </c>
      <c r="L841" s="5" t="str">
        <f>HYPERLINK("https://maps.google.com/?q=15.705694656895757,-96.524229396989057", "🔗 Ver Mapa")</f>
        <v>🔗 Ver Mapa</v>
      </c>
    </row>
    <row r="842" spans="1:12" ht="29" x14ac:dyDescent="0.35">
      <c r="A842" s="6" t="s">
        <v>2</v>
      </c>
      <c r="B842" s="6" t="s">
        <v>5</v>
      </c>
      <c r="C842" s="6" t="s">
        <v>63</v>
      </c>
      <c r="D842" s="6" t="s">
        <v>13</v>
      </c>
      <c r="E842" s="6" t="s">
        <v>17</v>
      </c>
      <c r="F842" s="6" t="s">
        <v>20</v>
      </c>
      <c r="G842" s="6" t="s">
        <v>24</v>
      </c>
      <c r="H842" s="6" t="s">
        <v>64</v>
      </c>
      <c r="I842" s="6" t="s">
        <v>32</v>
      </c>
      <c r="J842" s="6">
        <v>15.705499592285999</v>
      </c>
      <c r="K842" s="6">
        <v>-96.524313305372004</v>
      </c>
      <c r="L842" s="6" t="str">
        <f>HYPERLINK("https://maps.google.com/?q=15.70549959228639,-96.524313305372075", "🔗 Ver Mapa")</f>
        <v>🔗 Ver Mapa</v>
      </c>
    </row>
    <row r="843" spans="1:12" ht="29" x14ac:dyDescent="0.35">
      <c r="A843" s="5" t="s">
        <v>2</v>
      </c>
      <c r="B843" s="5" t="s">
        <v>5</v>
      </c>
      <c r="C843" s="5" t="s">
        <v>63</v>
      </c>
      <c r="D843" s="5" t="s">
        <v>13</v>
      </c>
      <c r="E843" s="5" t="s">
        <v>17</v>
      </c>
      <c r="F843" s="5" t="s">
        <v>20</v>
      </c>
      <c r="G843" s="5" t="s">
        <v>24</v>
      </c>
      <c r="H843" s="5" t="s">
        <v>64</v>
      </c>
      <c r="I843" s="5" t="s">
        <v>32</v>
      </c>
      <c r="J843" s="5">
        <v>15.705361734054</v>
      </c>
      <c r="K843" s="5">
        <v>-96.524185076215005</v>
      </c>
      <c r="L843" s="5" t="str">
        <f>HYPERLINK("https://maps.google.com/?q=15.70536173405438,-96.524185076215247", "🔗 Ver Mapa")</f>
        <v>🔗 Ver Mapa</v>
      </c>
    </row>
    <row r="844" spans="1:12" ht="29" x14ac:dyDescent="0.35">
      <c r="A844" s="6" t="s">
        <v>2</v>
      </c>
      <c r="B844" s="6" t="s">
        <v>5</v>
      </c>
      <c r="C844" s="6" t="s">
        <v>63</v>
      </c>
      <c r="D844" s="6" t="s">
        <v>13</v>
      </c>
      <c r="E844" s="6" t="s">
        <v>17</v>
      </c>
      <c r="F844" s="6" t="s">
        <v>20</v>
      </c>
      <c r="G844" s="6" t="s">
        <v>24</v>
      </c>
      <c r="H844" s="6" t="s">
        <v>64</v>
      </c>
      <c r="I844" s="6" t="s">
        <v>32</v>
      </c>
      <c r="J844" s="6">
        <v>15.705284761083</v>
      </c>
      <c r="K844" s="6">
        <v>-96.524012244445998</v>
      </c>
      <c r="L844" s="6" t="str">
        <f>HYPERLINK("https://maps.google.com/?q=15.705284761083343,-96.524012244445572", "🔗 Ver Mapa")</f>
        <v>🔗 Ver Mapa</v>
      </c>
    </row>
    <row r="845" spans="1:12" ht="29" x14ac:dyDescent="0.35">
      <c r="A845" s="5" t="s">
        <v>2</v>
      </c>
      <c r="B845" s="5" t="s">
        <v>5</v>
      </c>
      <c r="C845" s="5" t="s">
        <v>63</v>
      </c>
      <c r="D845" s="5" t="s">
        <v>13</v>
      </c>
      <c r="E845" s="5" t="s">
        <v>17</v>
      </c>
      <c r="F845" s="5" t="s">
        <v>20</v>
      </c>
      <c r="G845" s="5" t="s">
        <v>24</v>
      </c>
      <c r="H845" s="5" t="s">
        <v>64</v>
      </c>
      <c r="I845" s="5" t="s">
        <v>32</v>
      </c>
      <c r="J845" s="5">
        <v>15.705272898204001</v>
      </c>
      <c r="K845" s="5">
        <v>-96.523659147730996</v>
      </c>
      <c r="L845" s="5" t="str">
        <f>HYPERLINK("https://maps.google.com/?q=15.705272898203736,-96.52365914773118", "🔗 Ver Mapa")</f>
        <v>🔗 Ver Mapa</v>
      </c>
    </row>
    <row r="846" spans="1:12" ht="29" x14ac:dyDescent="0.35">
      <c r="A846" s="6" t="s">
        <v>2</v>
      </c>
      <c r="B846" s="6" t="s">
        <v>5</v>
      </c>
      <c r="C846" s="6" t="s">
        <v>63</v>
      </c>
      <c r="D846" s="6" t="s">
        <v>13</v>
      </c>
      <c r="E846" s="6" t="s">
        <v>17</v>
      </c>
      <c r="F846" s="6" t="s">
        <v>20</v>
      </c>
      <c r="G846" s="6" t="s">
        <v>24</v>
      </c>
      <c r="H846" s="6" t="s">
        <v>64</v>
      </c>
      <c r="I846" s="6" t="s">
        <v>32</v>
      </c>
      <c r="J846" s="6">
        <v>15.707213707158999</v>
      </c>
      <c r="K846" s="6">
        <v>-96.525099685420997</v>
      </c>
      <c r="L846" s="6" t="str">
        <f>HYPERLINK("https://maps.google.com/?q=15.707213707158798,-96.525099685420784", "🔗 Ver Mapa")</f>
        <v>🔗 Ver Mapa</v>
      </c>
    </row>
    <row r="847" spans="1:12" ht="29" x14ac:dyDescent="0.35">
      <c r="A847" s="5" t="s">
        <v>2</v>
      </c>
      <c r="B847" s="5" t="s">
        <v>5</v>
      </c>
      <c r="C847" s="5" t="s">
        <v>63</v>
      </c>
      <c r="D847" s="5" t="s">
        <v>13</v>
      </c>
      <c r="E847" s="5" t="s">
        <v>17</v>
      </c>
      <c r="F847" s="5" t="s">
        <v>20</v>
      </c>
      <c r="G847" s="5" t="s">
        <v>24</v>
      </c>
      <c r="H847" s="5" t="s">
        <v>64</v>
      </c>
      <c r="I847" s="5" t="s">
        <v>32</v>
      </c>
      <c r="J847" s="5">
        <v>15.707146366019</v>
      </c>
      <c r="K847" s="5">
        <v>-96.525071253866997</v>
      </c>
      <c r="L847" s="5" t="str">
        <f>HYPERLINK("https://maps.google.com/?q=15.707146366019476,-96.525071253867438", "🔗 Ver Mapa")</f>
        <v>🔗 Ver Mapa</v>
      </c>
    </row>
    <row r="848" spans="1:12" ht="29" x14ac:dyDescent="0.35">
      <c r="A848" s="6" t="s">
        <v>2</v>
      </c>
      <c r="B848" s="6" t="s">
        <v>5</v>
      </c>
      <c r="C848" s="6" t="s">
        <v>63</v>
      </c>
      <c r="D848" s="6" t="s">
        <v>13</v>
      </c>
      <c r="E848" s="6" t="s">
        <v>17</v>
      </c>
      <c r="F848" s="6" t="s">
        <v>20</v>
      </c>
      <c r="G848" s="6" t="s">
        <v>24</v>
      </c>
      <c r="H848" s="6" t="s">
        <v>64</v>
      </c>
      <c r="I848" s="6" t="s">
        <v>32</v>
      </c>
      <c r="J848" s="6">
        <v>15.707179290668</v>
      </c>
      <c r="K848" s="6">
        <v>-96.524808079978001</v>
      </c>
      <c r="L848" s="6" t="str">
        <f>HYPERLINK("https://maps.google.com/?q=15.707179290668236,-96.524808079977618", "🔗 Ver Mapa")</f>
        <v>🔗 Ver Mapa</v>
      </c>
    </row>
    <row r="849" spans="1:12" ht="29" x14ac:dyDescent="0.35">
      <c r="A849" s="5" t="s">
        <v>2</v>
      </c>
      <c r="B849" s="5" t="s">
        <v>5</v>
      </c>
      <c r="C849" s="5" t="s">
        <v>63</v>
      </c>
      <c r="D849" s="5" t="s">
        <v>13</v>
      </c>
      <c r="E849" s="5" t="s">
        <v>17</v>
      </c>
      <c r="F849" s="5" t="s">
        <v>20</v>
      </c>
      <c r="G849" s="5" t="s">
        <v>24</v>
      </c>
      <c r="H849" s="5" t="s">
        <v>64</v>
      </c>
      <c r="I849" s="5" t="s">
        <v>32</v>
      </c>
      <c r="J849" s="5">
        <v>15.706871023828</v>
      </c>
      <c r="K849" s="5">
        <v>-96.524303542330998</v>
      </c>
      <c r="L849" s="5" t="str">
        <f>HYPERLINK("https://maps.google.com/?q=15.706871023827977,-96.524303542330586", "🔗 Ver Mapa")</f>
        <v>🔗 Ver Mapa</v>
      </c>
    </row>
    <row r="850" spans="1:12" ht="29" x14ac:dyDescent="0.35">
      <c r="A850" s="6" t="s">
        <v>2</v>
      </c>
      <c r="B850" s="6" t="s">
        <v>5</v>
      </c>
      <c r="C850" s="6" t="s">
        <v>63</v>
      </c>
      <c r="D850" s="6" t="s">
        <v>13</v>
      </c>
      <c r="E850" s="6" t="s">
        <v>17</v>
      </c>
      <c r="F850" s="6" t="s">
        <v>20</v>
      </c>
      <c r="G850" s="6" t="s">
        <v>24</v>
      </c>
      <c r="H850" s="6" t="s">
        <v>64</v>
      </c>
      <c r="I850" s="6" t="s">
        <v>32</v>
      </c>
      <c r="J850" s="6">
        <v>15.706809674582001</v>
      </c>
      <c r="K850" s="6">
        <v>-96.524080964503995</v>
      </c>
      <c r="L850" s="6" t="str">
        <f>HYPERLINK("https://maps.google.com/?q=15.706809674582109,-96.524080964503867", "🔗 Ver Mapa")</f>
        <v>🔗 Ver Mapa</v>
      </c>
    </row>
    <row r="851" spans="1:12" ht="29" x14ac:dyDescent="0.35">
      <c r="A851" s="5" t="s">
        <v>2</v>
      </c>
      <c r="B851" s="5" t="s">
        <v>5</v>
      </c>
      <c r="C851" s="5" t="s">
        <v>63</v>
      </c>
      <c r="D851" s="5" t="s">
        <v>13</v>
      </c>
      <c r="E851" s="5" t="s">
        <v>17</v>
      </c>
      <c r="F851" s="5" t="s">
        <v>20</v>
      </c>
      <c r="G851" s="5" t="s">
        <v>24</v>
      </c>
      <c r="H851" s="5" t="s">
        <v>64</v>
      </c>
      <c r="I851" s="5" t="s">
        <v>32</v>
      </c>
      <c r="J851" s="5">
        <v>15.706721663534999</v>
      </c>
      <c r="K851" s="5">
        <v>-96.524052410102996</v>
      </c>
      <c r="L851" s="5" t="str">
        <f>HYPERLINK("https://maps.google.com/?q=15.706721663535014,-96.524052410103295", "🔗 Ver Mapa")</f>
        <v>🔗 Ver Mapa</v>
      </c>
    </row>
    <row r="852" spans="1:12" ht="29" x14ac:dyDescent="0.35">
      <c r="A852" s="6" t="s">
        <v>2</v>
      </c>
      <c r="B852" s="6" t="s">
        <v>5</v>
      </c>
      <c r="C852" s="6" t="s">
        <v>63</v>
      </c>
      <c r="D852" s="6" t="s">
        <v>13</v>
      </c>
      <c r="E852" s="6" t="s">
        <v>17</v>
      </c>
      <c r="F852" s="6" t="s">
        <v>20</v>
      </c>
      <c r="G852" s="6" t="s">
        <v>24</v>
      </c>
      <c r="H852" s="6" t="s">
        <v>64</v>
      </c>
      <c r="I852" s="6" t="s">
        <v>32</v>
      </c>
      <c r="J852" s="6">
        <v>15.708429123887999</v>
      </c>
      <c r="K852" s="6">
        <v>-96.525753902985002</v>
      </c>
      <c r="L852" s="6" t="str">
        <f>HYPERLINK("https://maps.google.com/?q=15.70842912388804,-96.525753902985201", "🔗 Ver Mapa")</f>
        <v>🔗 Ver Mapa</v>
      </c>
    </row>
    <row r="853" spans="1:12" ht="29" x14ac:dyDescent="0.35">
      <c r="A853" s="5" t="s">
        <v>2</v>
      </c>
      <c r="B853" s="5" t="s">
        <v>5</v>
      </c>
      <c r="C853" s="5" t="s">
        <v>63</v>
      </c>
      <c r="D853" s="5" t="s">
        <v>13</v>
      </c>
      <c r="E853" s="5" t="s">
        <v>17</v>
      </c>
      <c r="F853" s="5" t="s">
        <v>20</v>
      </c>
      <c r="G853" s="5" t="s">
        <v>24</v>
      </c>
      <c r="H853" s="5" t="s">
        <v>64</v>
      </c>
      <c r="I853" s="5" t="s">
        <v>32</v>
      </c>
      <c r="J853" s="5">
        <v>15.708113698968999</v>
      </c>
      <c r="K853" s="5">
        <v>-96.525660977768993</v>
      </c>
      <c r="L853" s="5" t="str">
        <f>HYPERLINK("https://maps.google.com/?q=15.708113698968699,-96.525660977768524", "🔗 Ver Mapa")</f>
        <v>🔗 Ver Mapa</v>
      </c>
    </row>
    <row r="854" spans="1:12" ht="29" x14ac:dyDescent="0.35">
      <c r="A854" s="6" t="s">
        <v>2</v>
      </c>
      <c r="B854" s="6" t="s">
        <v>5</v>
      </c>
      <c r="C854" s="6" t="s">
        <v>63</v>
      </c>
      <c r="D854" s="6" t="s">
        <v>13</v>
      </c>
      <c r="E854" s="6" t="s">
        <v>17</v>
      </c>
      <c r="F854" s="6" t="s">
        <v>20</v>
      </c>
      <c r="G854" s="6" t="s">
        <v>24</v>
      </c>
      <c r="H854" s="6" t="s">
        <v>64</v>
      </c>
      <c r="I854" s="6" t="s">
        <v>32</v>
      </c>
      <c r="J854" s="6">
        <v>15.707866927748</v>
      </c>
      <c r="K854" s="6">
        <v>-96.525445281847993</v>
      </c>
      <c r="L854" s="6" t="str">
        <f>HYPERLINK("https://maps.google.com/?q=15.707866927748464,-96.52544528184788", "🔗 Ver Mapa")</f>
        <v>🔗 Ver Mapa</v>
      </c>
    </row>
    <row r="855" spans="1:12" ht="29" x14ac:dyDescent="0.35">
      <c r="A855" s="5" t="s">
        <v>2</v>
      </c>
      <c r="B855" s="5" t="s">
        <v>5</v>
      </c>
      <c r="C855" s="5" t="s">
        <v>63</v>
      </c>
      <c r="D855" s="5" t="s">
        <v>13</v>
      </c>
      <c r="E855" s="5" t="s">
        <v>17</v>
      </c>
      <c r="F855" s="5" t="s">
        <v>20</v>
      </c>
      <c r="G855" s="5" t="s">
        <v>24</v>
      </c>
      <c r="H855" s="5" t="s">
        <v>64</v>
      </c>
      <c r="I855" s="5" t="s">
        <v>32</v>
      </c>
      <c r="J855" s="5">
        <v>15.707611008722999</v>
      </c>
      <c r="K855" s="5">
        <v>-96.525378113871994</v>
      </c>
      <c r="L855" s="5" t="str">
        <f>HYPERLINK("https://maps.google.com/?q=15.707611008723399,-96.525378113871824", "🔗 Ver Mapa")</f>
        <v>🔗 Ver Mapa</v>
      </c>
    </row>
    <row r="856" spans="1:12" ht="29" x14ac:dyDescent="0.35">
      <c r="A856" s="6" t="s">
        <v>2</v>
      </c>
      <c r="B856" s="6" t="s">
        <v>5</v>
      </c>
      <c r="C856" s="6" t="s">
        <v>63</v>
      </c>
      <c r="D856" s="6" t="s">
        <v>13</v>
      </c>
      <c r="E856" s="6" t="s">
        <v>17</v>
      </c>
      <c r="F856" s="6" t="s">
        <v>20</v>
      </c>
      <c r="G856" s="6" t="s">
        <v>24</v>
      </c>
      <c r="H856" s="6" t="s">
        <v>64</v>
      </c>
      <c r="I856" s="6" t="s">
        <v>32</v>
      </c>
      <c r="J856" s="6">
        <v>15.70754051996</v>
      </c>
      <c r="K856" s="6">
        <v>-96.525176376000005</v>
      </c>
      <c r="L856" s="6" t="str">
        <f>HYPERLINK("https://maps.google.com/?q=15.707540519959768,-96.525176375999976", "🔗 Ver Mapa")</f>
        <v>🔗 Ver Mapa</v>
      </c>
    </row>
    <row r="857" spans="1:12" ht="29" x14ac:dyDescent="0.35">
      <c r="A857" s="5" t="s">
        <v>2</v>
      </c>
      <c r="B857" s="5" t="s">
        <v>5</v>
      </c>
      <c r="C857" s="5" t="s">
        <v>63</v>
      </c>
      <c r="D857" s="5" t="s">
        <v>13</v>
      </c>
      <c r="E857" s="5" t="s">
        <v>17</v>
      </c>
      <c r="F857" s="5" t="s">
        <v>20</v>
      </c>
      <c r="G857" s="5" t="s">
        <v>24</v>
      </c>
      <c r="H857" s="5" t="s">
        <v>64</v>
      </c>
      <c r="I857" s="5" t="s">
        <v>32</v>
      </c>
      <c r="J857" s="5">
        <v>15.707398536969</v>
      </c>
      <c r="K857" s="5">
        <v>-96.525046040736001</v>
      </c>
      <c r="L857" s="5" t="str">
        <f>HYPERLINK("https://maps.google.com/?q=15.707398536969054,-96.525046040735702", "🔗 Ver Mapa")</f>
        <v>🔗 Ver Mapa</v>
      </c>
    </row>
    <row r="858" spans="1:12" ht="29" x14ac:dyDescent="0.35">
      <c r="A858" s="6" t="s">
        <v>2</v>
      </c>
      <c r="B858" s="6" t="s">
        <v>5</v>
      </c>
      <c r="C858" s="6" t="s">
        <v>63</v>
      </c>
      <c r="D858" s="6" t="s">
        <v>13</v>
      </c>
      <c r="E858" s="6" t="s">
        <v>17</v>
      </c>
      <c r="F858" s="6" t="s">
        <v>20</v>
      </c>
      <c r="G858" s="6" t="s">
        <v>24</v>
      </c>
      <c r="H858" s="6" t="s">
        <v>64</v>
      </c>
      <c r="I858" s="6" t="s">
        <v>32</v>
      </c>
      <c r="J858" s="6">
        <v>15.709789498492</v>
      </c>
      <c r="K858" s="6">
        <v>-96.528063005899</v>
      </c>
      <c r="L858" s="6" t="str">
        <f>HYPERLINK("https://maps.google.com/?q=15.709789498491835,-96.528063005899128", "🔗 Ver Mapa")</f>
        <v>🔗 Ver Mapa</v>
      </c>
    </row>
    <row r="859" spans="1:12" ht="29" x14ac:dyDescent="0.35">
      <c r="A859" s="5" t="s">
        <v>2</v>
      </c>
      <c r="B859" s="5" t="s">
        <v>5</v>
      </c>
      <c r="C859" s="5" t="s">
        <v>63</v>
      </c>
      <c r="D859" s="5" t="s">
        <v>13</v>
      </c>
      <c r="E859" s="5" t="s">
        <v>17</v>
      </c>
      <c r="F859" s="5" t="s">
        <v>20</v>
      </c>
      <c r="G859" s="5" t="s">
        <v>24</v>
      </c>
      <c r="H859" s="5" t="s">
        <v>64</v>
      </c>
      <c r="I859" s="5" t="s">
        <v>32</v>
      </c>
      <c r="J859" s="5">
        <v>15.709442730945</v>
      </c>
      <c r="K859" s="5">
        <v>-96.527661606384996</v>
      </c>
      <c r="L859" s="5" t="str">
        <f>HYPERLINK("https://maps.google.com/?q=15.709442730944568,-96.527661606384854", "🔗 Ver Mapa")</f>
        <v>🔗 Ver Mapa</v>
      </c>
    </row>
    <row r="860" spans="1:12" ht="29" x14ac:dyDescent="0.35">
      <c r="A860" s="6" t="s">
        <v>2</v>
      </c>
      <c r="B860" s="6" t="s">
        <v>5</v>
      </c>
      <c r="C860" s="6" t="s">
        <v>63</v>
      </c>
      <c r="D860" s="6" t="s">
        <v>13</v>
      </c>
      <c r="E860" s="6" t="s">
        <v>17</v>
      </c>
      <c r="F860" s="6" t="s">
        <v>20</v>
      </c>
      <c r="G860" s="6" t="s">
        <v>24</v>
      </c>
      <c r="H860" s="6" t="s">
        <v>64</v>
      </c>
      <c r="I860" s="6" t="s">
        <v>32</v>
      </c>
      <c r="J860" s="6">
        <v>15.709338903379001</v>
      </c>
      <c r="K860" s="6">
        <v>-96.527277372634003</v>
      </c>
      <c r="L860" s="6" t="str">
        <f>HYPERLINK("https://maps.google.com/?q=15.709338903379006,-96.527277372634217", "🔗 Ver Mapa")</f>
        <v>🔗 Ver Mapa</v>
      </c>
    </row>
    <row r="861" spans="1:12" ht="29" x14ac:dyDescent="0.35">
      <c r="A861" s="5" t="s">
        <v>2</v>
      </c>
      <c r="B861" s="5" t="s">
        <v>5</v>
      </c>
      <c r="C861" s="5" t="s">
        <v>63</v>
      </c>
      <c r="D861" s="5" t="s">
        <v>13</v>
      </c>
      <c r="E861" s="5" t="s">
        <v>17</v>
      </c>
      <c r="F861" s="5" t="s">
        <v>20</v>
      </c>
      <c r="G861" s="5" t="s">
        <v>24</v>
      </c>
      <c r="H861" s="5" t="s">
        <v>64</v>
      </c>
      <c r="I861" s="5" t="s">
        <v>32</v>
      </c>
      <c r="J861" s="5">
        <v>15.708669678977</v>
      </c>
      <c r="K861" s="5">
        <v>-96.526473390800007</v>
      </c>
      <c r="L861" s="5" t="str">
        <f>HYPERLINK("https://maps.google.com/?q=15.70866967897745,-96.526473390800248", "🔗 Ver Mapa")</f>
        <v>🔗 Ver Mapa</v>
      </c>
    </row>
    <row r="862" spans="1:12" ht="29" x14ac:dyDescent="0.35">
      <c r="A862" s="6" t="s">
        <v>2</v>
      </c>
      <c r="B862" s="6" t="s">
        <v>5</v>
      </c>
      <c r="C862" s="6" t="s">
        <v>63</v>
      </c>
      <c r="D862" s="6" t="s">
        <v>13</v>
      </c>
      <c r="E862" s="6" t="s">
        <v>17</v>
      </c>
      <c r="F862" s="6" t="s">
        <v>20</v>
      </c>
      <c r="G862" s="6" t="s">
        <v>24</v>
      </c>
      <c r="H862" s="6" t="s">
        <v>64</v>
      </c>
      <c r="I862" s="6" t="s">
        <v>32</v>
      </c>
      <c r="J862" s="6">
        <v>15.708694662398999</v>
      </c>
      <c r="K862" s="6">
        <v>-96.526128692653003</v>
      </c>
      <c r="L862" s="6" t="str">
        <f>HYPERLINK("https://maps.google.com/?q=15.708694662399049,-96.526128692653444", "🔗 Ver Mapa")</f>
        <v>🔗 Ver Mapa</v>
      </c>
    </row>
    <row r="863" spans="1:12" ht="29" x14ac:dyDescent="0.35">
      <c r="A863" s="5" t="s">
        <v>2</v>
      </c>
      <c r="B863" s="5" t="s">
        <v>5</v>
      </c>
      <c r="C863" s="5" t="s">
        <v>63</v>
      </c>
      <c r="D863" s="5" t="s">
        <v>13</v>
      </c>
      <c r="E863" s="5" t="s">
        <v>17</v>
      </c>
      <c r="F863" s="5" t="s">
        <v>20</v>
      </c>
      <c r="G863" s="5" t="s">
        <v>24</v>
      </c>
      <c r="H863" s="5" t="s">
        <v>64</v>
      </c>
      <c r="I863" s="5" t="s">
        <v>32</v>
      </c>
      <c r="J863" s="5">
        <v>15.708623314727999</v>
      </c>
      <c r="K863" s="5">
        <v>-96.525956339584994</v>
      </c>
      <c r="L863" s="5" t="str">
        <f>HYPERLINK("https://maps.google.com/?q=15.708623314728468,-96.525956339585193", "🔗 Ver Mapa")</f>
        <v>🔗 Ver Mapa</v>
      </c>
    </row>
    <row r="864" spans="1:12" ht="43.5" x14ac:dyDescent="0.35">
      <c r="A864" s="6" t="s">
        <v>2</v>
      </c>
      <c r="B864" s="6" t="s">
        <v>5</v>
      </c>
      <c r="C864" s="6" t="s">
        <v>10</v>
      </c>
      <c r="D864" s="6" t="s">
        <v>13</v>
      </c>
      <c r="E864" s="6" t="s">
        <v>17</v>
      </c>
      <c r="F864" s="6" t="s">
        <v>20</v>
      </c>
      <c r="G864" s="6" t="s">
        <v>24</v>
      </c>
      <c r="H864" s="6" t="s">
        <v>28</v>
      </c>
      <c r="I864" s="6" t="s">
        <v>32</v>
      </c>
      <c r="J864" s="6">
        <v>15.905658000000001</v>
      </c>
      <c r="K864" s="6">
        <v>-96.448879000000005</v>
      </c>
      <c r="L864" s="6" t="str">
        <f>HYPERLINK("https://maps.google.com/?q=15.905658,-96.448879000000005", "🔗 Ver Mapa")</f>
        <v>🔗 Ver Mapa</v>
      </c>
    </row>
    <row r="865" spans="1:12" ht="43.5" x14ac:dyDescent="0.35">
      <c r="A865" s="5" t="s">
        <v>2</v>
      </c>
      <c r="B865" s="5" t="s">
        <v>5</v>
      </c>
      <c r="C865" s="5" t="s">
        <v>10</v>
      </c>
      <c r="D865" s="5" t="s">
        <v>13</v>
      </c>
      <c r="E865" s="5" t="s">
        <v>17</v>
      </c>
      <c r="F865" s="5" t="s">
        <v>20</v>
      </c>
      <c r="G865" s="5" t="s">
        <v>24</v>
      </c>
      <c r="H865" s="5" t="s">
        <v>28</v>
      </c>
      <c r="I865" s="5" t="s">
        <v>32</v>
      </c>
      <c r="J865" s="5">
        <v>15.905309000000001</v>
      </c>
      <c r="K865" s="5">
        <v>-96.449188000000007</v>
      </c>
      <c r="L865" s="5" t="str">
        <f>HYPERLINK("https://maps.google.com/?q=15.905309,-96.449188000000007", "🔗 Ver Mapa")</f>
        <v>🔗 Ver Mapa</v>
      </c>
    </row>
    <row r="866" spans="1:12" ht="29" x14ac:dyDescent="0.35">
      <c r="A866" s="6" t="s">
        <v>2</v>
      </c>
      <c r="B866" s="6" t="s">
        <v>6</v>
      </c>
      <c r="C866" s="6" t="s">
        <v>11</v>
      </c>
      <c r="D866" s="6" t="s">
        <v>14</v>
      </c>
      <c r="E866" s="6" t="s">
        <v>16</v>
      </c>
      <c r="F866" s="6" t="s">
        <v>21</v>
      </c>
      <c r="G866" s="6" t="s">
        <v>25</v>
      </c>
      <c r="H866" s="6" t="s">
        <v>29</v>
      </c>
      <c r="I866" s="6" t="s">
        <v>31</v>
      </c>
      <c r="J866" s="6">
        <v>17.093444999999999</v>
      </c>
      <c r="K866" s="6">
        <v>-97.497759000000002</v>
      </c>
      <c r="L866" s="6" t="str">
        <f>HYPERLINK("https://maps.google.com/?q=17.093445,-97.497759000000002", "🔗 Ver Mapa")</f>
        <v>🔗 Ver Mapa</v>
      </c>
    </row>
    <row r="867" spans="1:12" ht="29" x14ac:dyDescent="0.35">
      <c r="A867" s="5" t="s">
        <v>2</v>
      </c>
      <c r="B867" s="5" t="s">
        <v>6</v>
      </c>
      <c r="C867" s="5" t="s">
        <v>11</v>
      </c>
      <c r="D867" s="5" t="s">
        <v>14</v>
      </c>
      <c r="E867" s="5" t="s">
        <v>16</v>
      </c>
      <c r="F867" s="5" t="s">
        <v>21</v>
      </c>
      <c r="G867" s="5" t="s">
        <v>25</v>
      </c>
      <c r="H867" s="5" t="s">
        <v>29</v>
      </c>
      <c r="I867" s="5" t="s">
        <v>31</v>
      </c>
      <c r="J867" s="5">
        <v>17.093444999999999</v>
      </c>
      <c r="K867" s="5">
        <v>-97.497759000000002</v>
      </c>
      <c r="L867" s="5" t="str">
        <f>HYPERLINK("https://maps.google.com/?q=17.093445,-97.497759000000002", "🔗 Ver Mapa")</f>
        <v>🔗 Ver Mapa</v>
      </c>
    </row>
    <row r="868" spans="1:12" ht="29" x14ac:dyDescent="0.35">
      <c r="A868" s="6" t="s">
        <v>2</v>
      </c>
      <c r="B868" s="6" t="s">
        <v>6</v>
      </c>
      <c r="C868" s="6" t="s">
        <v>11</v>
      </c>
      <c r="D868" s="6" t="s">
        <v>14</v>
      </c>
      <c r="E868" s="6" t="s">
        <v>16</v>
      </c>
      <c r="F868" s="6" t="s">
        <v>21</v>
      </c>
      <c r="G868" s="6" t="s">
        <v>25</v>
      </c>
      <c r="H868" s="6" t="s">
        <v>29</v>
      </c>
      <c r="I868" s="6" t="s">
        <v>31</v>
      </c>
      <c r="J868" s="6">
        <v>17.093444999999999</v>
      </c>
      <c r="K868" s="6">
        <v>-97.497759000000002</v>
      </c>
      <c r="L868" s="6" t="str">
        <f>HYPERLINK("https://maps.google.com/?q=17.093445,-97.497759000000002", "🔗 Ver Mapa")</f>
        <v>🔗 Ver Mapa</v>
      </c>
    </row>
    <row r="869" spans="1:12" ht="29" x14ac:dyDescent="0.35">
      <c r="A869" s="5" t="s">
        <v>2</v>
      </c>
      <c r="B869" s="5" t="s">
        <v>6</v>
      </c>
      <c r="C869" s="5" t="s">
        <v>11</v>
      </c>
      <c r="D869" s="5" t="s">
        <v>14</v>
      </c>
      <c r="E869" s="5" t="s">
        <v>16</v>
      </c>
      <c r="F869" s="5" t="s">
        <v>21</v>
      </c>
      <c r="G869" s="5" t="s">
        <v>25</v>
      </c>
      <c r="H869" s="5" t="s">
        <v>29</v>
      </c>
      <c r="I869" s="5" t="s">
        <v>31</v>
      </c>
      <c r="J869" s="5">
        <v>17.093444999999999</v>
      </c>
      <c r="K869" s="5">
        <v>-97.497759000000002</v>
      </c>
      <c r="L869" s="5" t="str">
        <f>HYPERLINK("https://maps.google.com/?q=17.093445,-97.497759000000002", "🔗 Ver Mapa")</f>
        <v>🔗 Ver Mapa</v>
      </c>
    </row>
    <row r="870" spans="1:12" ht="29" x14ac:dyDescent="0.35">
      <c r="A870" s="6" t="s">
        <v>2</v>
      </c>
      <c r="B870" s="6" t="s">
        <v>6</v>
      </c>
      <c r="C870" s="6" t="s">
        <v>11</v>
      </c>
      <c r="D870" s="6" t="s">
        <v>14</v>
      </c>
      <c r="E870" s="6" t="s">
        <v>16</v>
      </c>
      <c r="F870" s="6" t="s">
        <v>21</v>
      </c>
      <c r="G870" s="6" t="s">
        <v>25</v>
      </c>
      <c r="H870" s="6" t="s">
        <v>29</v>
      </c>
      <c r="I870" s="6" t="s">
        <v>31</v>
      </c>
      <c r="J870" s="6">
        <v>17.097352999999998</v>
      </c>
      <c r="K870" s="6">
        <v>-97.496498000000003</v>
      </c>
      <c r="L870" s="6" t="str">
        <f>HYPERLINK("https://maps.google.com/?q=17.097353,-97.496498000000003", "🔗 Ver Mapa")</f>
        <v>🔗 Ver Mapa</v>
      </c>
    </row>
    <row r="871" spans="1:12" ht="29" x14ac:dyDescent="0.35">
      <c r="A871" s="5" t="s">
        <v>2</v>
      </c>
      <c r="B871" s="5" t="s">
        <v>6</v>
      </c>
      <c r="C871" s="5" t="s">
        <v>11</v>
      </c>
      <c r="D871" s="5" t="s">
        <v>14</v>
      </c>
      <c r="E871" s="5" t="s">
        <v>16</v>
      </c>
      <c r="F871" s="5" t="s">
        <v>21</v>
      </c>
      <c r="G871" s="5" t="s">
        <v>25</v>
      </c>
      <c r="H871" s="5" t="s">
        <v>29</v>
      </c>
      <c r="I871" s="5" t="s">
        <v>31</v>
      </c>
      <c r="J871" s="5">
        <v>17.097352999999998</v>
      </c>
      <c r="K871" s="5">
        <v>-97.496498000000003</v>
      </c>
      <c r="L871" s="5" t="str">
        <f>HYPERLINK("https://maps.google.com/?q=17.097353,-97.496498000000003", "🔗 Ver Mapa")</f>
        <v>🔗 Ver Mapa</v>
      </c>
    </row>
    <row r="872" spans="1:12" ht="29" x14ac:dyDescent="0.35">
      <c r="A872" s="6" t="s">
        <v>2</v>
      </c>
      <c r="B872" s="6" t="s">
        <v>6</v>
      </c>
      <c r="C872" s="6" t="s">
        <v>11</v>
      </c>
      <c r="D872" s="6" t="s">
        <v>14</v>
      </c>
      <c r="E872" s="6" t="s">
        <v>16</v>
      </c>
      <c r="F872" s="6" t="s">
        <v>21</v>
      </c>
      <c r="G872" s="6" t="s">
        <v>25</v>
      </c>
      <c r="H872" s="6" t="s">
        <v>29</v>
      </c>
      <c r="I872" s="6" t="s">
        <v>31</v>
      </c>
      <c r="J872" s="6">
        <v>17.097352999999998</v>
      </c>
      <c r="K872" s="6">
        <v>-97.496498000000003</v>
      </c>
      <c r="L872" s="6" t="str">
        <f>HYPERLINK("https://maps.google.com/?q=17.097353,-97.496498000000003", "🔗 Ver Mapa")</f>
        <v>🔗 Ver Mapa</v>
      </c>
    </row>
    <row r="873" spans="1:12" ht="29" x14ac:dyDescent="0.35">
      <c r="A873" s="5" t="s">
        <v>2</v>
      </c>
      <c r="B873" s="5" t="s">
        <v>6</v>
      </c>
      <c r="C873" s="5" t="s">
        <v>11</v>
      </c>
      <c r="D873" s="5" t="s">
        <v>14</v>
      </c>
      <c r="E873" s="5" t="s">
        <v>16</v>
      </c>
      <c r="F873" s="5" t="s">
        <v>21</v>
      </c>
      <c r="G873" s="5" t="s">
        <v>25</v>
      </c>
      <c r="H873" s="5" t="s">
        <v>29</v>
      </c>
      <c r="I873" s="5" t="s">
        <v>31</v>
      </c>
      <c r="J873" s="5">
        <v>17.097352999999998</v>
      </c>
      <c r="K873" s="5">
        <v>-97.496498000000003</v>
      </c>
      <c r="L873" s="5" t="str">
        <f>HYPERLINK("https://maps.google.com/?q=17.097353,-97.496498000000003", "🔗 Ver Mapa")</f>
        <v>🔗 Ver Mapa</v>
      </c>
    </row>
    <row r="874" spans="1:12" ht="29" x14ac:dyDescent="0.35">
      <c r="A874" s="6" t="s">
        <v>2</v>
      </c>
      <c r="B874" s="6" t="s">
        <v>6</v>
      </c>
      <c r="C874" s="6" t="s">
        <v>11</v>
      </c>
      <c r="D874" s="6" t="s">
        <v>14</v>
      </c>
      <c r="E874" s="6" t="s">
        <v>16</v>
      </c>
      <c r="F874" s="6" t="s">
        <v>21</v>
      </c>
      <c r="G874" s="6" t="s">
        <v>25</v>
      </c>
      <c r="H874" s="6" t="s">
        <v>29</v>
      </c>
      <c r="I874" s="6" t="s">
        <v>31</v>
      </c>
      <c r="J874" s="6">
        <v>17.095389999999998</v>
      </c>
      <c r="K874" s="6">
        <v>-97.497460000000004</v>
      </c>
      <c r="L874" s="6" t="str">
        <f>HYPERLINK("https://maps.google.com/?q=17.09539,-97.497460000000004", "🔗 Ver Mapa")</f>
        <v>🔗 Ver Mapa</v>
      </c>
    </row>
    <row r="875" spans="1:12" ht="29" x14ac:dyDescent="0.35">
      <c r="A875" s="5" t="s">
        <v>2</v>
      </c>
      <c r="B875" s="5" t="s">
        <v>6</v>
      </c>
      <c r="C875" s="5" t="s">
        <v>11</v>
      </c>
      <c r="D875" s="5" t="s">
        <v>14</v>
      </c>
      <c r="E875" s="5" t="s">
        <v>16</v>
      </c>
      <c r="F875" s="5" t="s">
        <v>21</v>
      </c>
      <c r="G875" s="5" t="s">
        <v>25</v>
      </c>
      <c r="H875" s="5" t="s">
        <v>29</v>
      </c>
      <c r="I875" s="5" t="s">
        <v>31</v>
      </c>
      <c r="J875" s="5">
        <v>17.095389999999998</v>
      </c>
      <c r="K875" s="5">
        <v>-97.497460000000004</v>
      </c>
      <c r="L875" s="5" t="str">
        <f>HYPERLINK("https://maps.google.com/?q=17.09539,-97.497460000000004", "🔗 Ver Mapa")</f>
        <v>🔗 Ver Mapa</v>
      </c>
    </row>
    <row r="876" spans="1:12" ht="29" x14ac:dyDescent="0.35">
      <c r="A876" s="6" t="s">
        <v>2</v>
      </c>
      <c r="B876" s="6" t="s">
        <v>6</v>
      </c>
      <c r="C876" s="6" t="s">
        <v>11</v>
      </c>
      <c r="D876" s="6" t="s">
        <v>14</v>
      </c>
      <c r="E876" s="6" t="s">
        <v>16</v>
      </c>
      <c r="F876" s="6" t="s">
        <v>21</v>
      </c>
      <c r="G876" s="6" t="s">
        <v>25</v>
      </c>
      <c r="H876" s="6" t="s">
        <v>29</v>
      </c>
      <c r="I876" s="6" t="s">
        <v>31</v>
      </c>
      <c r="J876" s="6">
        <v>17.095389999999998</v>
      </c>
      <c r="K876" s="6">
        <v>-97.497460000000004</v>
      </c>
      <c r="L876" s="6" t="str">
        <f>HYPERLINK("https://maps.google.com/?q=17.09539,-97.497460000000004", "🔗 Ver Mapa")</f>
        <v>🔗 Ver Mapa</v>
      </c>
    </row>
    <row r="877" spans="1:12" ht="29" x14ac:dyDescent="0.35">
      <c r="A877" s="5" t="s">
        <v>2</v>
      </c>
      <c r="B877" s="5" t="s">
        <v>6</v>
      </c>
      <c r="C877" s="5" t="s">
        <v>11</v>
      </c>
      <c r="D877" s="5" t="s">
        <v>14</v>
      </c>
      <c r="E877" s="5" t="s">
        <v>16</v>
      </c>
      <c r="F877" s="5" t="s">
        <v>21</v>
      </c>
      <c r="G877" s="5" t="s">
        <v>25</v>
      </c>
      <c r="H877" s="5" t="s">
        <v>29</v>
      </c>
      <c r="I877" s="5" t="s">
        <v>31</v>
      </c>
      <c r="J877" s="5">
        <v>17.095389999999998</v>
      </c>
      <c r="K877" s="5">
        <v>-97.497460000000004</v>
      </c>
      <c r="L877" s="5" t="str">
        <f>HYPERLINK("https://maps.google.com/?q=17.09539,-97.497460000000004", "🔗 Ver Mapa")</f>
        <v>🔗 Ver Mapa</v>
      </c>
    </row>
    <row r="878" spans="1:12" ht="29" x14ac:dyDescent="0.35">
      <c r="A878" s="6" t="s">
        <v>2</v>
      </c>
      <c r="B878" s="6" t="s">
        <v>6</v>
      </c>
      <c r="C878" s="6" t="s">
        <v>11</v>
      </c>
      <c r="D878" s="6" t="s">
        <v>14</v>
      </c>
      <c r="E878" s="6" t="s">
        <v>16</v>
      </c>
      <c r="F878" s="6" t="s">
        <v>21</v>
      </c>
      <c r="G878" s="6" t="s">
        <v>25</v>
      </c>
      <c r="H878" s="6" t="s">
        <v>29</v>
      </c>
      <c r="I878" s="6" t="s">
        <v>31</v>
      </c>
      <c r="J878" s="6">
        <v>17.093706999999998</v>
      </c>
      <c r="K878" s="6">
        <v>-97.497219999999999</v>
      </c>
      <c r="L878" s="6" t="str">
        <f>HYPERLINK("https://maps.google.com/?q=17.093707,-97.497219999999999", "🔗 Ver Mapa")</f>
        <v>🔗 Ver Mapa</v>
      </c>
    </row>
    <row r="879" spans="1:12" ht="29" x14ac:dyDescent="0.35">
      <c r="A879" s="5" t="s">
        <v>2</v>
      </c>
      <c r="B879" s="5" t="s">
        <v>6</v>
      </c>
      <c r="C879" s="5" t="s">
        <v>11</v>
      </c>
      <c r="D879" s="5" t="s">
        <v>14</v>
      </c>
      <c r="E879" s="5" t="s">
        <v>16</v>
      </c>
      <c r="F879" s="5" t="s">
        <v>21</v>
      </c>
      <c r="G879" s="5" t="s">
        <v>25</v>
      </c>
      <c r="H879" s="5" t="s">
        <v>29</v>
      </c>
      <c r="I879" s="5" t="s">
        <v>31</v>
      </c>
      <c r="J879" s="5">
        <v>17.093706999999998</v>
      </c>
      <c r="K879" s="5">
        <v>-97.497219999999999</v>
      </c>
      <c r="L879" s="5" t="str">
        <f>HYPERLINK("https://maps.google.com/?q=17.093707,-97.497219999999999", "🔗 Ver Mapa")</f>
        <v>🔗 Ver Mapa</v>
      </c>
    </row>
    <row r="880" spans="1:12" ht="29" x14ac:dyDescent="0.35">
      <c r="A880" s="6" t="s">
        <v>2</v>
      </c>
      <c r="B880" s="6" t="s">
        <v>6</v>
      </c>
      <c r="C880" s="6" t="s">
        <v>11</v>
      </c>
      <c r="D880" s="6" t="s">
        <v>14</v>
      </c>
      <c r="E880" s="6" t="s">
        <v>16</v>
      </c>
      <c r="F880" s="6" t="s">
        <v>21</v>
      </c>
      <c r="G880" s="6" t="s">
        <v>25</v>
      </c>
      <c r="H880" s="6" t="s">
        <v>29</v>
      </c>
      <c r="I880" s="6" t="s">
        <v>31</v>
      </c>
      <c r="J880" s="6">
        <v>17.093706999999998</v>
      </c>
      <c r="K880" s="6">
        <v>-97.497219999999999</v>
      </c>
      <c r="L880" s="6" t="str">
        <f>HYPERLINK("https://maps.google.com/?q=17.093707,-97.497219999999999", "🔗 Ver Mapa")</f>
        <v>🔗 Ver Mapa</v>
      </c>
    </row>
    <row r="881" spans="1:12" ht="29" x14ac:dyDescent="0.35">
      <c r="A881" s="5" t="s">
        <v>2</v>
      </c>
      <c r="B881" s="5" t="s">
        <v>6</v>
      </c>
      <c r="C881" s="5" t="s">
        <v>11</v>
      </c>
      <c r="D881" s="5" t="s">
        <v>14</v>
      </c>
      <c r="E881" s="5" t="s">
        <v>16</v>
      </c>
      <c r="F881" s="5" t="s">
        <v>21</v>
      </c>
      <c r="G881" s="5" t="s">
        <v>25</v>
      </c>
      <c r="H881" s="5" t="s">
        <v>29</v>
      </c>
      <c r="I881" s="5" t="s">
        <v>31</v>
      </c>
      <c r="J881" s="5">
        <v>17.093706999999998</v>
      </c>
      <c r="K881" s="5">
        <v>-97.497219999999999</v>
      </c>
      <c r="L881" s="5" t="str">
        <f>HYPERLINK("https://maps.google.com/?q=17.093707,-97.497219999999999", "🔗 Ver Mapa")</f>
        <v>🔗 Ver Mapa</v>
      </c>
    </row>
    <row r="882" spans="1:12" ht="29" x14ac:dyDescent="0.35">
      <c r="A882" s="6" t="s">
        <v>2</v>
      </c>
      <c r="B882" s="6" t="s">
        <v>6</v>
      </c>
      <c r="C882" s="6" t="s">
        <v>11</v>
      </c>
      <c r="D882" s="6" t="s">
        <v>14</v>
      </c>
      <c r="E882" s="6" t="s">
        <v>16</v>
      </c>
      <c r="F882" s="6" t="s">
        <v>21</v>
      </c>
      <c r="G882" s="6" t="s">
        <v>25</v>
      </c>
      <c r="H882" s="6" t="s">
        <v>29</v>
      </c>
      <c r="I882" s="6" t="s">
        <v>31</v>
      </c>
      <c r="J882" s="6">
        <v>17.093495999999998</v>
      </c>
      <c r="K882" s="6">
        <v>-97.492895000000004</v>
      </c>
      <c r="L882" s="6" t="str">
        <f>HYPERLINK("https://maps.google.com/?q=17.093496,-97.492895000000004", "🔗 Ver Mapa")</f>
        <v>🔗 Ver Mapa</v>
      </c>
    </row>
    <row r="883" spans="1:12" ht="29" x14ac:dyDescent="0.35">
      <c r="A883" s="5" t="s">
        <v>2</v>
      </c>
      <c r="B883" s="5" t="s">
        <v>6</v>
      </c>
      <c r="C883" s="5" t="s">
        <v>11</v>
      </c>
      <c r="D883" s="5" t="s">
        <v>14</v>
      </c>
      <c r="E883" s="5" t="s">
        <v>16</v>
      </c>
      <c r="F883" s="5" t="s">
        <v>21</v>
      </c>
      <c r="G883" s="5" t="s">
        <v>25</v>
      </c>
      <c r="H883" s="5" t="s">
        <v>29</v>
      </c>
      <c r="I883" s="5" t="s">
        <v>31</v>
      </c>
      <c r="J883" s="5">
        <v>17.093495999999998</v>
      </c>
      <c r="K883" s="5">
        <v>-97.492895000000004</v>
      </c>
      <c r="L883" s="5" t="str">
        <f>HYPERLINK("https://maps.google.com/?q=17.093496,-97.492895000000004", "🔗 Ver Mapa")</f>
        <v>🔗 Ver Mapa</v>
      </c>
    </row>
    <row r="884" spans="1:12" ht="29" x14ac:dyDescent="0.35">
      <c r="A884" s="6" t="s">
        <v>2</v>
      </c>
      <c r="B884" s="6" t="s">
        <v>6</v>
      </c>
      <c r="C884" s="6" t="s">
        <v>11</v>
      </c>
      <c r="D884" s="6" t="s">
        <v>14</v>
      </c>
      <c r="E884" s="6" t="s">
        <v>16</v>
      </c>
      <c r="F884" s="6" t="s">
        <v>21</v>
      </c>
      <c r="G884" s="6" t="s">
        <v>25</v>
      </c>
      <c r="H884" s="6" t="s">
        <v>29</v>
      </c>
      <c r="I884" s="6" t="s">
        <v>31</v>
      </c>
      <c r="J884" s="6">
        <v>17.093495999999998</v>
      </c>
      <c r="K884" s="6">
        <v>-97.492895000000004</v>
      </c>
      <c r="L884" s="6" t="str">
        <f>HYPERLINK("https://maps.google.com/?q=17.093496,-97.492895000000004", "🔗 Ver Mapa")</f>
        <v>🔗 Ver Mapa</v>
      </c>
    </row>
    <row r="885" spans="1:12" ht="29" x14ac:dyDescent="0.35">
      <c r="A885" s="5" t="s">
        <v>2</v>
      </c>
      <c r="B885" s="5" t="s">
        <v>6</v>
      </c>
      <c r="C885" s="5" t="s">
        <v>11</v>
      </c>
      <c r="D885" s="5" t="s">
        <v>14</v>
      </c>
      <c r="E885" s="5" t="s">
        <v>16</v>
      </c>
      <c r="F885" s="5" t="s">
        <v>21</v>
      </c>
      <c r="G885" s="5" t="s">
        <v>25</v>
      </c>
      <c r="H885" s="5" t="s">
        <v>29</v>
      </c>
      <c r="I885" s="5" t="s">
        <v>31</v>
      </c>
      <c r="J885" s="5">
        <v>17.093495999999998</v>
      </c>
      <c r="K885" s="5">
        <v>-97.492895000000004</v>
      </c>
      <c r="L885" s="5" t="str">
        <f>HYPERLINK("https://maps.google.com/?q=17.093496,-97.492895000000004", "🔗 Ver Mapa")</f>
        <v>🔗 Ver Mapa</v>
      </c>
    </row>
    <row r="886" spans="1:12" ht="29" x14ac:dyDescent="0.35">
      <c r="A886" s="6" t="s">
        <v>2</v>
      </c>
      <c r="B886" s="6" t="s">
        <v>6</v>
      </c>
      <c r="C886" s="6" t="s">
        <v>36</v>
      </c>
      <c r="D886" s="6" t="s">
        <v>14</v>
      </c>
      <c r="E886" s="6" t="s">
        <v>16</v>
      </c>
      <c r="F886" s="6" t="s">
        <v>21</v>
      </c>
      <c r="G886" s="6" t="s">
        <v>25</v>
      </c>
      <c r="H886" s="6" t="s">
        <v>29</v>
      </c>
      <c r="I886" s="6" t="s">
        <v>31</v>
      </c>
      <c r="J886" s="6">
        <v>17.093444999999999</v>
      </c>
      <c r="K886" s="6">
        <v>-97.497759000000002</v>
      </c>
      <c r="L886" s="6" t="str">
        <f>HYPERLINK("https://maps.google.com/?q=17.093445,-97.497759000000002", "🔗 Ver Mapa")</f>
        <v>🔗 Ver Mapa</v>
      </c>
    </row>
    <row r="887" spans="1:12" ht="29" x14ac:dyDescent="0.35">
      <c r="A887" s="5" t="s">
        <v>2</v>
      </c>
      <c r="B887" s="5" t="s">
        <v>6</v>
      </c>
      <c r="C887" s="5" t="s">
        <v>36</v>
      </c>
      <c r="D887" s="5" t="s">
        <v>14</v>
      </c>
      <c r="E887" s="5" t="s">
        <v>16</v>
      </c>
      <c r="F887" s="5" t="s">
        <v>21</v>
      </c>
      <c r="G887" s="5" t="s">
        <v>25</v>
      </c>
      <c r="H887" s="5" t="s">
        <v>29</v>
      </c>
      <c r="I887" s="5" t="s">
        <v>31</v>
      </c>
      <c r="J887" s="5">
        <v>17.097352999999998</v>
      </c>
      <c r="K887" s="5">
        <v>-97.496498000000003</v>
      </c>
      <c r="L887" s="5" t="str">
        <f>HYPERLINK("https://maps.google.com/?q=17.097353,-97.496498000000003", "🔗 Ver Mapa")</f>
        <v>🔗 Ver Mapa</v>
      </c>
    </row>
    <row r="888" spans="1:12" ht="29" x14ac:dyDescent="0.35">
      <c r="A888" s="6" t="s">
        <v>2</v>
      </c>
      <c r="B888" s="6" t="s">
        <v>6</v>
      </c>
      <c r="C888" s="6" t="s">
        <v>36</v>
      </c>
      <c r="D888" s="6" t="s">
        <v>14</v>
      </c>
      <c r="E888" s="6" t="s">
        <v>16</v>
      </c>
      <c r="F888" s="6" t="s">
        <v>21</v>
      </c>
      <c r="G888" s="6" t="s">
        <v>25</v>
      </c>
      <c r="H888" s="6" t="s">
        <v>29</v>
      </c>
      <c r="I888" s="6" t="s">
        <v>31</v>
      </c>
      <c r="J888" s="6">
        <v>17.095389999999998</v>
      </c>
      <c r="K888" s="6">
        <v>-97.497460000000004</v>
      </c>
      <c r="L888" s="6" t="str">
        <f>HYPERLINK("https://maps.google.com/?q=17.09539,-97.497460000000004", "🔗 Ver Mapa")</f>
        <v>🔗 Ver Mapa</v>
      </c>
    </row>
    <row r="889" spans="1:12" ht="29" x14ac:dyDescent="0.35">
      <c r="A889" s="5" t="s">
        <v>2</v>
      </c>
      <c r="B889" s="5" t="s">
        <v>6</v>
      </c>
      <c r="C889" s="5" t="s">
        <v>36</v>
      </c>
      <c r="D889" s="5" t="s">
        <v>14</v>
      </c>
      <c r="E889" s="5" t="s">
        <v>16</v>
      </c>
      <c r="F889" s="5" t="s">
        <v>21</v>
      </c>
      <c r="G889" s="5" t="s">
        <v>25</v>
      </c>
      <c r="H889" s="5" t="s">
        <v>29</v>
      </c>
      <c r="I889" s="5" t="s">
        <v>31</v>
      </c>
      <c r="J889" s="5">
        <v>17.092123999999998</v>
      </c>
      <c r="K889" s="5">
        <v>-97.499320999999995</v>
      </c>
      <c r="L889" s="5" t="str">
        <f>HYPERLINK("https://maps.google.com/?q=17.092124,-97.499320999999995", "🔗 Ver Mapa")</f>
        <v>🔗 Ver Mapa</v>
      </c>
    </row>
    <row r="890" spans="1:12" ht="29" x14ac:dyDescent="0.35">
      <c r="A890" s="6" t="s">
        <v>2</v>
      </c>
      <c r="B890" s="6" t="s">
        <v>6</v>
      </c>
      <c r="C890" s="6" t="s">
        <v>36</v>
      </c>
      <c r="D890" s="6" t="s">
        <v>14</v>
      </c>
      <c r="E890" s="6" t="s">
        <v>16</v>
      </c>
      <c r="F890" s="6" t="s">
        <v>21</v>
      </c>
      <c r="G890" s="6" t="s">
        <v>25</v>
      </c>
      <c r="H890" s="6" t="s">
        <v>29</v>
      </c>
      <c r="I890" s="6" t="s">
        <v>31</v>
      </c>
      <c r="J890" s="6">
        <v>17.093706999999998</v>
      </c>
      <c r="K890" s="6">
        <v>-97.497219999999999</v>
      </c>
      <c r="L890" s="6" t="str">
        <f>HYPERLINK("https://maps.google.com/?q=17.093707,-97.497219999999999", "🔗 Ver Mapa")</f>
        <v>🔗 Ver Mapa</v>
      </c>
    </row>
    <row r="891" spans="1:12" ht="29" x14ac:dyDescent="0.35">
      <c r="A891" s="5" t="s">
        <v>2</v>
      </c>
      <c r="B891" s="5" t="s">
        <v>6</v>
      </c>
      <c r="C891" s="5" t="s">
        <v>36</v>
      </c>
      <c r="D891" s="5" t="s">
        <v>14</v>
      </c>
      <c r="E891" s="5" t="s">
        <v>16</v>
      </c>
      <c r="F891" s="5" t="s">
        <v>21</v>
      </c>
      <c r="G891" s="5" t="s">
        <v>25</v>
      </c>
      <c r="H891" s="5" t="s">
        <v>29</v>
      </c>
      <c r="I891" s="5" t="s">
        <v>31</v>
      </c>
      <c r="J891" s="5">
        <v>17.093495999999998</v>
      </c>
      <c r="K891" s="5">
        <v>-97.492895000000004</v>
      </c>
      <c r="L891" s="5" t="str">
        <f>HYPERLINK("https://maps.google.com/?q=17.093496,-97.492895000000004", "🔗 Ver Mapa")</f>
        <v>🔗 Ver Mapa</v>
      </c>
    </row>
    <row r="892" spans="1:12" ht="29" x14ac:dyDescent="0.35">
      <c r="A892" s="6" t="s">
        <v>2</v>
      </c>
      <c r="B892" s="6" t="s">
        <v>37</v>
      </c>
      <c r="C892" s="6" t="s">
        <v>38</v>
      </c>
      <c r="D892" s="6" t="s">
        <v>14</v>
      </c>
      <c r="E892" s="6" t="s">
        <v>39</v>
      </c>
      <c r="F892" s="6" t="s">
        <v>40</v>
      </c>
      <c r="G892" s="6" t="s">
        <v>41</v>
      </c>
      <c r="H892" s="6" t="s">
        <v>42</v>
      </c>
      <c r="I892" s="6" t="s">
        <v>31</v>
      </c>
      <c r="J892" s="6">
        <v>16.882930000000002</v>
      </c>
      <c r="K892" s="6">
        <v>-97.674790000000002</v>
      </c>
      <c r="L892" s="6" t="str">
        <f>HYPERLINK("https://maps.google.com/?q=16.88293,-97.674790000000002", "🔗 Ver Mapa")</f>
        <v>🔗 Ver Mapa</v>
      </c>
    </row>
    <row r="893" spans="1:12" ht="29" x14ac:dyDescent="0.35">
      <c r="A893" s="5" t="s">
        <v>2</v>
      </c>
      <c r="B893" s="5" t="s">
        <v>37</v>
      </c>
      <c r="C893" s="5" t="s">
        <v>38</v>
      </c>
      <c r="D893" s="5" t="s">
        <v>14</v>
      </c>
      <c r="E893" s="5" t="s">
        <v>39</v>
      </c>
      <c r="F893" s="5" t="s">
        <v>40</v>
      </c>
      <c r="G893" s="5" t="s">
        <v>41</v>
      </c>
      <c r="H893" s="5" t="s">
        <v>42</v>
      </c>
      <c r="I893" s="5" t="s">
        <v>31</v>
      </c>
      <c r="J893" s="5">
        <v>16.882909999999999</v>
      </c>
      <c r="K893" s="5">
        <v>-97.6751</v>
      </c>
      <c r="L893" s="5" t="str">
        <f>HYPERLINK("https://maps.google.com/?q=16.88291,-97.6751", "🔗 Ver Mapa")</f>
        <v>🔗 Ver Mapa</v>
      </c>
    </row>
    <row r="894" spans="1:12" ht="29" x14ac:dyDescent="0.35">
      <c r="A894" s="6" t="s">
        <v>2</v>
      </c>
      <c r="B894" s="6" t="s">
        <v>37</v>
      </c>
      <c r="C894" s="6" t="s">
        <v>38</v>
      </c>
      <c r="D894" s="6" t="s">
        <v>14</v>
      </c>
      <c r="E894" s="6" t="s">
        <v>39</v>
      </c>
      <c r="F894" s="6" t="s">
        <v>40</v>
      </c>
      <c r="G894" s="6" t="s">
        <v>41</v>
      </c>
      <c r="H894" s="6" t="s">
        <v>42</v>
      </c>
      <c r="I894" s="6" t="s">
        <v>31</v>
      </c>
      <c r="J894" s="6">
        <v>16.88391</v>
      </c>
      <c r="K894" s="6">
        <v>-97.675730000000001</v>
      </c>
      <c r="L894" s="6" t="str">
        <f>HYPERLINK("https://maps.google.com/?q=16.88391,-97.675730000000001", "🔗 Ver Mapa")</f>
        <v>🔗 Ver Mapa</v>
      </c>
    </row>
    <row r="895" spans="1:12" ht="29" x14ac:dyDescent="0.35">
      <c r="A895" s="5" t="s">
        <v>2</v>
      </c>
      <c r="B895" s="5" t="s">
        <v>37</v>
      </c>
      <c r="C895" s="5" t="s">
        <v>38</v>
      </c>
      <c r="D895" s="5" t="s">
        <v>14</v>
      </c>
      <c r="E895" s="5" t="s">
        <v>39</v>
      </c>
      <c r="F895" s="5" t="s">
        <v>40</v>
      </c>
      <c r="G895" s="5" t="s">
        <v>41</v>
      </c>
      <c r="H895" s="5" t="s">
        <v>42</v>
      </c>
      <c r="I895" s="5" t="s">
        <v>31</v>
      </c>
      <c r="J895" s="5">
        <v>16.884530000000002</v>
      </c>
      <c r="K895" s="5">
        <v>-97.676749999999998</v>
      </c>
      <c r="L895" s="5" t="str">
        <f>HYPERLINK("https://maps.google.com/?q=16.88453,-97.676749999999998", "🔗 Ver Mapa")</f>
        <v>🔗 Ver Mapa</v>
      </c>
    </row>
    <row r="896" spans="1:12" ht="29" x14ac:dyDescent="0.35">
      <c r="A896" s="6" t="s">
        <v>2</v>
      </c>
      <c r="B896" s="6" t="s">
        <v>37</v>
      </c>
      <c r="C896" s="6" t="s">
        <v>38</v>
      </c>
      <c r="D896" s="6" t="s">
        <v>14</v>
      </c>
      <c r="E896" s="6" t="s">
        <v>39</v>
      </c>
      <c r="F896" s="6" t="s">
        <v>40</v>
      </c>
      <c r="G896" s="6" t="s">
        <v>41</v>
      </c>
      <c r="H896" s="6" t="s">
        <v>42</v>
      </c>
      <c r="I896" s="6" t="s">
        <v>31</v>
      </c>
      <c r="J896" s="6">
        <v>16.884789999999999</v>
      </c>
      <c r="K896" s="6">
        <v>-97.677760000000006</v>
      </c>
      <c r="L896" s="6" t="str">
        <f>HYPERLINK("https://maps.google.com/?q=16.88479,-97.677760000000006", "🔗 Ver Mapa")</f>
        <v>🔗 Ver Mapa</v>
      </c>
    </row>
    <row r="897" spans="1:12" ht="29" x14ac:dyDescent="0.35">
      <c r="A897" s="5" t="s">
        <v>2</v>
      </c>
      <c r="B897" s="5" t="s">
        <v>37</v>
      </c>
      <c r="C897" s="5" t="s">
        <v>38</v>
      </c>
      <c r="D897" s="5" t="s">
        <v>14</v>
      </c>
      <c r="E897" s="5" t="s">
        <v>39</v>
      </c>
      <c r="F897" s="5" t="s">
        <v>40</v>
      </c>
      <c r="G897" s="5" t="s">
        <v>41</v>
      </c>
      <c r="H897" s="5" t="s">
        <v>42</v>
      </c>
      <c r="I897" s="5" t="s">
        <v>31</v>
      </c>
      <c r="J897" s="5">
        <v>16.88644</v>
      </c>
      <c r="K897" s="5">
        <v>-97.67841</v>
      </c>
      <c r="L897" s="5" t="str">
        <f>HYPERLINK("https://maps.google.com/?q=16.88644,-97.67841", "🔗 Ver Mapa")</f>
        <v>🔗 Ver Mapa</v>
      </c>
    </row>
    <row r="898" spans="1:12" ht="29" x14ac:dyDescent="0.35">
      <c r="A898" s="6" t="s">
        <v>2</v>
      </c>
      <c r="B898" s="6" t="s">
        <v>37</v>
      </c>
      <c r="C898" s="6" t="s">
        <v>38</v>
      </c>
      <c r="D898" s="6" t="s">
        <v>14</v>
      </c>
      <c r="E898" s="6" t="s">
        <v>39</v>
      </c>
      <c r="F898" s="6" t="s">
        <v>40</v>
      </c>
      <c r="G898" s="6" t="s">
        <v>41</v>
      </c>
      <c r="H898" s="6" t="s">
        <v>42</v>
      </c>
      <c r="I898" s="6" t="s">
        <v>31</v>
      </c>
      <c r="J898" s="6">
        <v>16.890820000000001</v>
      </c>
      <c r="K898" s="6">
        <v>-97.679609999999997</v>
      </c>
      <c r="L898" s="6" t="str">
        <f>HYPERLINK("https://maps.google.com/?q=16.89082,-97.679609999999997", "🔗 Ver Mapa")</f>
        <v>🔗 Ver Mapa</v>
      </c>
    </row>
    <row r="899" spans="1:12" ht="29" x14ac:dyDescent="0.35">
      <c r="A899" s="5" t="s">
        <v>2</v>
      </c>
      <c r="B899" s="5" t="s">
        <v>6</v>
      </c>
      <c r="C899" s="5" t="s">
        <v>36</v>
      </c>
      <c r="D899" s="5" t="s">
        <v>14</v>
      </c>
      <c r="E899" s="5" t="s">
        <v>16</v>
      </c>
      <c r="F899" s="5" t="s">
        <v>21</v>
      </c>
      <c r="G899" s="5" t="s">
        <v>25</v>
      </c>
      <c r="H899" s="5" t="s">
        <v>29</v>
      </c>
      <c r="I899" s="5" t="s">
        <v>31</v>
      </c>
      <c r="J899" s="5">
        <v>17.090118</v>
      </c>
      <c r="K899" s="5">
        <v>-97.492348000000007</v>
      </c>
      <c r="L899" s="5" t="str">
        <f>HYPERLINK("https://maps.google.com/?q=17.090118,-97.492348000000007", "🔗 Ver Mapa")</f>
        <v>🔗 Ver Mapa</v>
      </c>
    </row>
    <row r="900" spans="1:12" ht="29" x14ac:dyDescent="0.35">
      <c r="A900" s="6" t="s">
        <v>2</v>
      </c>
      <c r="B900" s="6" t="s">
        <v>6</v>
      </c>
      <c r="C900" s="6" t="s">
        <v>36</v>
      </c>
      <c r="D900" s="6" t="s">
        <v>14</v>
      </c>
      <c r="E900" s="6" t="s">
        <v>16</v>
      </c>
      <c r="F900" s="6" t="s">
        <v>21</v>
      </c>
      <c r="G900" s="6" t="s">
        <v>25</v>
      </c>
      <c r="H900" s="6" t="s">
        <v>29</v>
      </c>
      <c r="I900" s="6" t="s">
        <v>31</v>
      </c>
      <c r="J900" s="6">
        <v>17.094176000000001</v>
      </c>
      <c r="K900" s="6">
        <v>-97.499948000000003</v>
      </c>
      <c r="L900" s="6" t="str">
        <f>HYPERLINK("https://maps.google.com/?q=17.094176,-97.499948000000003", "🔗 Ver Mapa")</f>
        <v>🔗 Ver Mapa</v>
      </c>
    </row>
    <row r="901" spans="1:12" ht="29" x14ac:dyDescent="0.35">
      <c r="A901" s="5" t="s">
        <v>2</v>
      </c>
      <c r="B901" s="5" t="s">
        <v>6</v>
      </c>
      <c r="C901" s="5" t="s">
        <v>36</v>
      </c>
      <c r="D901" s="5" t="s">
        <v>14</v>
      </c>
      <c r="E901" s="5" t="s">
        <v>16</v>
      </c>
      <c r="F901" s="5" t="s">
        <v>21</v>
      </c>
      <c r="G901" s="5" t="s">
        <v>25</v>
      </c>
      <c r="H901" s="5" t="s">
        <v>29</v>
      </c>
      <c r="I901" s="5" t="s">
        <v>31</v>
      </c>
      <c r="J901" s="5">
        <v>17.095611999999999</v>
      </c>
      <c r="K901" s="5">
        <v>-97.498558000000003</v>
      </c>
      <c r="L901" s="5" t="str">
        <f>HYPERLINK("https://maps.google.com/?q=17.095612,-97.498558000000003", "🔗 Ver Mapa")</f>
        <v>🔗 Ver Mapa</v>
      </c>
    </row>
    <row r="902" spans="1:12" ht="29" x14ac:dyDescent="0.35">
      <c r="A902" s="6" t="s">
        <v>2</v>
      </c>
      <c r="B902" s="6" t="s">
        <v>6</v>
      </c>
      <c r="C902" s="6" t="s">
        <v>36</v>
      </c>
      <c r="D902" s="6" t="s">
        <v>14</v>
      </c>
      <c r="E902" s="6" t="s">
        <v>16</v>
      </c>
      <c r="F902" s="6" t="s">
        <v>21</v>
      </c>
      <c r="G902" s="6" t="s">
        <v>25</v>
      </c>
      <c r="H902" s="6" t="s">
        <v>29</v>
      </c>
      <c r="I902" s="6" t="s">
        <v>31</v>
      </c>
      <c r="J902" s="6">
        <v>17.090630000000001</v>
      </c>
      <c r="K902" s="6">
        <v>-97.493195999999998</v>
      </c>
      <c r="L902" s="6" t="str">
        <f>HYPERLINK("https://maps.google.com/?q=17.09063,-97.493195999999998", "🔗 Ver Mapa")</f>
        <v>🔗 Ver Mapa</v>
      </c>
    </row>
    <row r="903" spans="1:12" ht="29" x14ac:dyDescent="0.35">
      <c r="A903" s="5" t="s">
        <v>2</v>
      </c>
      <c r="B903" s="5" t="s">
        <v>6</v>
      </c>
      <c r="C903" s="5" t="s">
        <v>36</v>
      </c>
      <c r="D903" s="5" t="s">
        <v>14</v>
      </c>
      <c r="E903" s="5" t="s">
        <v>16</v>
      </c>
      <c r="F903" s="5" t="s">
        <v>21</v>
      </c>
      <c r="G903" s="5" t="s">
        <v>25</v>
      </c>
      <c r="H903" s="5" t="s">
        <v>29</v>
      </c>
      <c r="I903" s="5" t="s">
        <v>31</v>
      </c>
      <c r="J903" s="5">
        <v>17.094536999999999</v>
      </c>
      <c r="K903" s="5">
        <v>-97.498720000000006</v>
      </c>
      <c r="L903" s="5" t="str">
        <f>HYPERLINK("https://maps.google.com/?q=17.094537,-97.498720000000006", "🔗 Ver Mapa")</f>
        <v>🔗 Ver Mapa</v>
      </c>
    </row>
    <row r="904" spans="1:12" ht="29" x14ac:dyDescent="0.35">
      <c r="A904" s="6" t="s">
        <v>2</v>
      </c>
      <c r="B904" s="6" t="s">
        <v>37</v>
      </c>
      <c r="C904" s="6" t="s">
        <v>38</v>
      </c>
      <c r="D904" s="6" t="s">
        <v>14</v>
      </c>
      <c r="E904" s="6" t="s">
        <v>39</v>
      </c>
      <c r="F904" s="6" t="s">
        <v>40</v>
      </c>
      <c r="G904" s="6" t="s">
        <v>41</v>
      </c>
      <c r="H904" s="6" t="s">
        <v>42</v>
      </c>
      <c r="I904" s="6" t="s">
        <v>31</v>
      </c>
      <c r="J904" s="6">
        <v>16.88259</v>
      </c>
      <c r="K904" s="6">
        <v>-97.675792000000001</v>
      </c>
      <c r="L904" s="6" t="str">
        <f>HYPERLINK("https://maps.google.com/?q=16.88259,-97.675792000000001", "🔗 Ver Mapa")</f>
        <v>🔗 Ver Mapa</v>
      </c>
    </row>
    <row r="905" spans="1:12" ht="29" x14ac:dyDescent="0.35">
      <c r="A905" s="5" t="s">
        <v>2</v>
      </c>
      <c r="B905" s="5" t="s">
        <v>37</v>
      </c>
      <c r="C905" s="5" t="s">
        <v>38</v>
      </c>
      <c r="D905" s="5" t="s">
        <v>14</v>
      </c>
      <c r="E905" s="5" t="s">
        <v>39</v>
      </c>
      <c r="F905" s="5" t="s">
        <v>40</v>
      </c>
      <c r="G905" s="5" t="s">
        <v>41</v>
      </c>
      <c r="H905" s="5" t="s">
        <v>42</v>
      </c>
      <c r="I905" s="5" t="s">
        <v>31</v>
      </c>
      <c r="J905" s="5">
        <v>16.88223</v>
      </c>
      <c r="K905" s="5">
        <v>-97.676150000000007</v>
      </c>
      <c r="L905" s="5" t="str">
        <f>HYPERLINK("https://maps.google.com/?q=16.88223,-97.676150000000007", "🔗 Ver Mapa")</f>
        <v>🔗 Ver Mapa</v>
      </c>
    </row>
    <row r="906" spans="1:12" ht="29" x14ac:dyDescent="0.35">
      <c r="A906" s="6" t="s">
        <v>2</v>
      </c>
      <c r="B906" s="6" t="s">
        <v>37</v>
      </c>
      <c r="C906" s="6" t="s">
        <v>38</v>
      </c>
      <c r="D906" s="6" t="s">
        <v>14</v>
      </c>
      <c r="E906" s="6" t="s">
        <v>39</v>
      </c>
      <c r="F906" s="6" t="s">
        <v>40</v>
      </c>
      <c r="G906" s="6" t="s">
        <v>41</v>
      </c>
      <c r="H906" s="6" t="s">
        <v>42</v>
      </c>
      <c r="I906" s="6" t="s">
        <v>31</v>
      </c>
      <c r="J906" s="6">
        <v>16.883109999999999</v>
      </c>
      <c r="K906" s="6">
        <v>-97.676550000000006</v>
      </c>
      <c r="L906" s="6" t="str">
        <f>HYPERLINK("https://maps.google.com/?q=16.88311,-97.676550000000006", "🔗 Ver Mapa")</f>
        <v>🔗 Ver Mapa</v>
      </c>
    </row>
    <row r="907" spans="1:12" ht="29" x14ac:dyDescent="0.35">
      <c r="A907" s="5" t="s">
        <v>2</v>
      </c>
      <c r="B907" s="5" t="s">
        <v>37</v>
      </c>
      <c r="C907" s="5" t="s">
        <v>38</v>
      </c>
      <c r="D907" s="5" t="s">
        <v>14</v>
      </c>
      <c r="E907" s="5" t="s">
        <v>39</v>
      </c>
      <c r="F907" s="5" t="s">
        <v>40</v>
      </c>
      <c r="G907" s="5" t="s">
        <v>41</v>
      </c>
      <c r="H907" s="5" t="s">
        <v>42</v>
      </c>
      <c r="I907" s="5" t="s">
        <v>31</v>
      </c>
      <c r="J907" s="5">
        <v>16.883800000000001</v>
      </c>
      <c r="K907" s="5">
        <v>-97.677070000000001</v>
      </c>
      <c r="L907" s="5" t="str">
        <f>HYPERLINK("https://maps.google.com/?q=16.8838,-97.677070000000001", "🔗 Ver Mapa")</f>
        <v>🔗 Ver Mapa</v>
      </c>
    </row>
    <row r="908" spans="1:12" ht="29" x14ac:dyDescent="0.35">
      <c r="A908" s="6" t="s">
        <v>2</v>
      </c>
      <c r="B908" s="6" t="s">
        <v>37</v>
      </c>
      <c r="C908" s="6" t="s">
        <v>38</v>
      </c>
      <c r="D908" s="6" t="s">
        <v>14</v>
      </c>
      <c r="E908" s="6" t="s">
        <v>39</v>
      </c>
      <c r="F908" s="6" t="s">
        <v>40</v>
      </c>
      <c r="G908" s="6" t="s">
        <v>41</v>
      </c>
      <c r="H908" s="6" t="s">
        <v>42</v>
      </c>
      <c r="I908" s="6" t="s">
        <v>31</v>
      </c>
      <c r="J908" s="6">
        <v>16.884080000000001</v>
      </c>
      <c r="K908" s="6">
        <v>-97.676919999999996</v>
      </c>
      <c r="L908" s="6" t="str">
        <f>HYPERLINK("https://maps.google.com/?q=16.88408,-97.676919999999996", "🔗 Ver Mapa")</f>
        <v>🔗 Ver Mapa</v>
      </c>
    </row>
    <row r="909" spans="1:12" ht="29" x14ac:dyDescent="0.35">
      <c r="A909" s="5" t="s">
        <v>2</v>
      </c>
      <c r="B909" s="5" t="s">
        <v>37</v>
      </c>
      <c r="C909" s="5" t="s">
        <v>38</v>
      </c>
      <c r="D909" s="5" t="s">
        <v>14</v>
      </c>
      <c r="E909" s="5" t="s">
        <v>39</v>
      </c>
      <c r="F909" s="5" t="s">
        <v>40</v>
      </c>
      <c r="G909" s="5" t="s">
        <v>41</v>
      </c>
      <c r="H909" s="5" t="s">
        <v>42</v>
      </c>
      <c r="I909" s="5" t="s">
        <v>31</v>
      </c>
      <c r="J909" s="5">
        <v>16.886140000000001</v>
      </c>
      <c r="K909" s="5">
        <v>-97.677869999999999</v>
      </c>
      <c r="L909" s="5" t="str">
        <f>HYPERLINK("https://maps.google.com/?q=16.88614,-97.677869999999999", "🔗 Ver Mapa")</f>
        <v>🔗 Ver Mapa</v>
      </c>
    </row>
    <row r="910" spans="1:12" ht="29" x14ac:dyDescent="0.35">
      <c r="A910" s="6" t="s">
        <v>2</v>
      </c>
      <c r="B910" s="6" t="s">
        <v>37</v>
      </c>
      <c r="C910" s="6" t="s">
        <v>38</v>
      </c>
      <c r="D910" s="6" t="s">
        <v>14</v>
      </c>
      <c r="E910" s="6" t="s">
        <v>39</v>
      </c>
      <c r="F910" s="6" t="s">
        <v>40</v>
      </c>
      <c r="G910" s="6" t="s">
        <v>41</v>
      </c>
      <c r="H910" s="6" t="s">
        <v>42</v>
      </c>
      <c r="I910" s="6" t="s">
        <v>31</v>
      </c>
      <c r="J910" s="6">
        <v>16.886389999999999</v>
      </c>
      <c r="K910" s="6">
        <v>-97.678100000000001</v>
      </c>
      <c r="L910" s="6" t="str">
        <f>HYPERLINK("https://maps.google.com/?q=16.88639,-97.678100000000001", "🔗 Ver Mapa")</f>
        <v>🔗 Ver Mapa</v>
      </c>
    </row>
    <row r="911" spans="1:12" ht="29" x14ac:dyDescent="0.35">
      <c r="A911" s="5" t="s">
        <v>2</v>
      </c>
      <c r="B911" s="5" t="s">
        <v>37</v>
      </c>
      <c r="C911" s="5" t="s">
        <v>38</v>
      </c>
      <c r="D911" s="5" t="s">
        <v>14</v>
      </c>
      <c r="E911" s="5" t="s">
        <v>39</v>
      </c>
      <c r="F911" s="5" t="s">
        <v>40</v>
      </c>
      <c r="G911" s="5" t="s">
        <v>41</v>
      </c>
      <c r="H911" s="5" t="s">
        <v>42</v>
      </c>
      <c r="I911" s="5" t="s">
        <v>31</v>
      </c>
      <c r="J911" s="5">
        <v>16.887689999999999</v>
      </c>
      <c r="K911" s="5">
        <v>-97.681929999999994</v>
      </c>
      <c r="L911" s="5" t="str">
        <f>HYPERLINK("https://maps.google.com/?q=16.88769,-97.681929999999994", "🔗 Ver Mapa")</f>
        <v>🔗 Ver Mapa</v>
      </c>
    </row>
    <row r="912" spans="1:12" ht="29" x14ac:dyDescent="0.35">
      <c r="A912" s="6" t="s">
        <v>2</v>
      </c>
      <c r="B912" s="6" t="s">
        <v>37</v>
      </c>
      <c r="C912" s="6" t="s">
        <v>43</v>
      </c>
      <c r="D912" s="6" t="s">
        <v>14</v>
      </c>
      <c r="E912" s="6" t="s">
        <v>39</v>
      </c>
      <c r="F912" s="6" t="s">
        <v>40</v>
      </c>
      <c r="G912" s="6" t="s">
        <v>41</v>
      </c>
      <c r="H912" s="6" t="s">
        <v>42</v>
      </c>
      <c r="I912" s="6" t="s">
        <v>31</v>
      </c>
      <c r="J912" s="6">
        <v>16.882930000000002</v>
      </c>
      <c r="K912" s="6">
        <v>-97.674790000000002</v>
      </c>
      <c r="L912" s="6" t="str">
        <f>HYPERLINK("https://maps.google.com/?q=16.88293,-97.674790000000002", "🔗 Ver Mapa")</f>
        <v>🔗 Ver Mapa</v>
      </c>
    </row>
    <row r="913" spans="1:12" ht="29" x14ac:dyDescent="0.35">
      <c r="A913" s="5" t="s">
        <v>2</v>
      </c>
      <c r="B913" s="5" t="s">
        <v>37</v>
      </c>
      <c r="C913" s="5" t="s">
        <v>43</v>
      </c>
      <c r="D913" s="5" t="s">
        <v>14</v>
      </c>
      <c r="E913" s="5" t="s">
        <v>39</v>
      </c>
      <c r="F913" s="5" t="s">
        <v>40</v>
      </c>
      <c r="G913" s="5" t="s">
        <v>41</v>
      </c>
      <c r="H913" s="5" t="s">
        <v>42</v>
      </c>
      <c r="I913" s="5" t="s">
        <v>31</v>
      </c>
      <c r="J913" s="5">
        <v>16.882909999999999</v>
      </c>
      <c r="K913" s="5">
        <v>-97.6751</v>
      </c>
      <c r="L913" s="5" t="str">
        <f>HYPERLINK("https://maps.google.com/?q=16.88291,-97.6751", "🔗 Ver Mapa")</f>
        <v>🔗 Ver Mapa</v>
      </c>
    </row>
    <row r="914" spans="1:12" ht="29" x14ac:dyDescent="0.35">
      <c r="A914" s="6" t="s">
        <v>2</v>
      </c>
      <c r="B914" s="6" t="s">
        <v>37</v>
      </c>
      <c r="C914" s="6" t="s">
        <v>43</v>
      </c>
      <c r="D914" s="6" t="s">
        <v>14</v>
      </c>
      <c r="E914" s="6" t="s">
        <v>39</v>
      </c>
      <c r="F914" s="6" t="s">
        <v>40</v>
      </c>
      <c r="G914" s="6" t="s">
        <v>41</v>
      </c>
      <c r="H914" s="6" t="s">
        <v>42</v>
      </c>
      <c r="I914" s="6" t="s">
        <v>31</v>
      </c>
      <c r="J914" s="6">
        <v>16.884080000000001</v>
      </c>
      <c r="K914" s="6">
        <v>-97.676919999999996</v>
      </c>
      <c r="L914" s="6" t="str">
        <f>HYPERLINK("https://maps.google.com/?q=16.88408,-97.676919999999996", "🔗 Ver Mapa")</f>
        <v>🔗 Ver Mapa</v>
      </c>
    </row>
    <row r="915" spans="1:12" ht="29" x14ac:dyDescent="0.35">
      <c r="A915" s="5" t="s">
        <v>2</v>
      </c>
      <c r="B915" s="5" t="s">
        <v>37</v>
      </c>
      <c r="C915" s="5" t="s">
        <v>43</v>
      </c>
      <c r="D915" s="5" t="s">
        <v>14</v>
      </c>
      <c r="E915" s="5" t="s">
        <v>39</v>
      </c>
      <c r="F915" s="5" t="s">
        <v>40</v>
      </c>
      <c r="G915" s="5" t="s">
        <v>41</v>
      </c>
      <c r="H915" s="5" t="s">
        <v>42</v>
      </c>
      <c r="I915" s="5" t="s">
        <v>31</v>
      </c>
      <c r="J915" s="5">
        <v>16.884530000000002</v>
      </c>
      <c r="K915" s="5">
        <v>-97.676749999999998</v>
      </c>
      <c r="L915" s="5" t="str">
        <f>HYPERLINK("https://maps.google.com/?q=16.88453,-97.676749999999998", "🔗 Ver Mapa")</f>
        <v>🔗 Ver Mapa</v>
      </c>
    </row>
    <row r="916" spans="1:12" ht="29" x14ac:dyDescent="0.35">
      <c r="A916" s="6" t="s">
        <v>2</v>
      </c>
      <c r="B916" s="6" t="s">
        <v>37</v>
      </c>
      <c r="C916" s="6" t="s">
        <v>43</v>
      </c>
      <c r="D916" s="6" t="s">
        <v>14</v>
      </c>
      <c r="E916" s="6" t="s">
        <v>39</v>
      </c>
      <c r="F916" s="6" t="s">
        <v>40</v>
      </c>
      <c r="G916" s="6" t="s">
        <v>41</v>
      </c>
      <c r="H916" s="6" t="s">
        <v>42</v>
      </c>
      <c r="I916" s="6" t="s">
        <v>31</v>
      </c>
      <c r="J916" s="6">
        <v>16.887689999999999</v>
      </c>
      <c r="K916" s="6">
        <v>-97.681929999999994</v>
      </c>
      <c r="L916" s="6" t="str">
        <f>HYPERLINK("https://maps.google.com/?q=16.88769,-97.681929999999994", "🔗 Ver Mapa")</f>
        <v>🔗 Ver Mapa</v>
      </c>
    </row>
    <row r="917" spans="1:12" ht="29" x14ac:dyDescent="0.35">
      <c r="A917" s="5" t="s">
        <v>2</v>
      </c>
      <c r="B917" s="5" t="s">
        <v>37</v>
      </c>
      <c r="C917" s="5" t="s">
        <v>43</v>
      </c>
      <c r="D917" s="5" t="s">
        <v>14</v>
      </c>
      <c r="E917" s="5" t="s">
        <v>39</v>
      </c>
      <c r="F917" s="5" t="s">
        <v>40</v>
      </c>
      <c r="G917" s="5" t="s">
        <v>41</v>
      </c>
      <c r="H917" s="5" t="s">
        <v>42</v>
      </c>
      <c r="I917" s="5" t="s">
        <v>31</v>
      </c>
      <c r="J917" s="5">
        <v>16.88644</v>
      </c>
      <c r="K917" s="5">
        <v>-97.67841</v>
      </c>
      <c r="L917" s="5" t="str">
        <f>HYPERLINK("https://maps.google.com/?q=16.88644,-97.67841", "🔗 Ver Mapa")</f>
        <v>🔗 Ver Mapa</v>
      </c>
    </row>
    <row r="918" spans="1:12" ht="29" x14ac:dyDescent="0.35">
      <c r="A918" s="6" t="s">
        <v>2</v>
      </c>
      <c r="B918" s="6" t="s">
        <v>37</v>
      </c>
      <c r="C918" s="6" t="s">
        <v>43</v>
      </c>
      <c r="D918" s="6" t="s">
        <v>14</v>
      </c>
      <c r="E918" s="6" t="s">
        <v>39</v>
      </c>
      <c r="F918" s="6" t="s">
        <v>40</v>
      </c>
      <c r="G918" s="6" t="s">
        <v>41</v>
      </c>
      <c r="H918" s="6" t="s">
        <v>42</v>
      </c>
      <c r="I918" s="6" t="s">
        <v>31</v>
      </c>
      <c r="J918" s="6">
        <v>16.890820000000001</v>
      </c>
      <c r="K918" s="6">
        <v>-97.679609999999997</v>
      </c>
      <c r="L918" s="6" t="str">
        <f>HYPERLINK("https://maps.google.com/?q=16.89082,-97.679609999999997", "🔗 Ver Mapa")</f>
        <v>🔗 Ver Mapa</v>
      </c>
    </row>
    <row r="919" spans="1:12" ht="29" x14ac:dyDescent="0.35">
      <c r="A919" s="5" t="s">
        <v>2</v>
      </c>
      <c r="B919" s="5" t="s">
        <v>4</v>
      </c>
      <c r="C919" s="5" t="s">
        <v>8</v>
      </c>
      <c r="D919" s="5" t="s">
        <v>13</v>
      </c>
      <c r="E919" s="5" t="s">
        <v>16</v>
      </c>
      <c r="F919" s="5" t="s">
        <v>19</v>
      </c>
      <c r="G919" s="5" t="s">
        <v>23</v>
      </c>
      <c r="H919" s="5" t="s">
        <v>27</v>
      </c>
      <c r="I919" s="5" t="s">
        <v>31</v>
      </c>
      <c r="J919" s="5">
        <v>17.223037000000001</v>
      </c>
      <c r="K919" s="5">
        <v>-97.119332999999997</v>
      </c>
      <c r="L919" s="5" t="str">
        <f>HYPERLINK("https://maps.google.com/?q=17.223037,-97.119332999999997", "🔗 Ver Mapa")</f>
        <v>🔗 Ver Mapa</v>
      </c>
    </row>
    <row r="920" spans="1:12" ht="29" x14ac:dyDescent="0.35">
      <c r="A920" s="6" t="s">
        <v>2</v>
      </c>
      <c r="B920" s="6" t="s">
        <v>4</v>
      </c>
      <c r="C920" s="6" t="s">
        <v>8</v>
      </c>
      <c r="D920" s="6" t="s">
        <v>13</v>
      </c>
      <c r="E920" s="6" t="s">
        <v>16</v>
      </c>
      <c r="F920" s="6" t="s">
        <v>19</v>
      </c>
      <c r="G920" s="6" t="s">
        <v>23</v>
      </c>
      <c r="H920" s="6" t="s">
        <v>27</v>
      </c>
      <c r="I920" s="6" t="s">
        <v>31</v>
      </c>
      <c r="J920" s="6">
        <v>17.222666</v>
      </c>
      <c r="K920" s="6">
        <v>-97.121573999999995</v>
      </c>
      <c r="L920" s="6" t="str">
        <f>HYPERLINK("https://maps.google.com/?q=17.222666,-97.121573999999995", "🔗 Ver Mapa")</f>
        <v>🔗 Ver Mapa</v>
      </c>
    </row>
    <row r="921" spans="1:12" ht="29" x14ac:dyDescent="0.35">
      <c r="A921" s="5" t="s">
        <v>2</v>
      </c>
      <c r="B921" s="5" t="s">
        <v>4</v>
      </c>
      <c r="C921" s="5" t="s">
        <v>8</v>
      </c>
      <c r="D921" s="5" t="s">
        <v>13</v>
      </c>
      <c r="E921" s="5" t="s">
        <v>16</v>
      </c>
      <c r="F921" s="5" t="s">
        <v>19</v>
      </c>
      <c r="G921" s="5" t="s">
        <v>23</v>
      </c>
      <c r="H921" s="5" t="s">
        <v>27</v>
      </c>
      <c r="I921" s="5" t="s">
        <v>31</v>
      </c>
      <c r="J921" s="5">
        <v>17.222971000000001</v>
      </c>
      <c r="K921" s="5">
        <v>-97.120823000000001</v>
      </c>
      <c r="L921" s="5" t="str">
        <f>HYPERLINK("https://maps.google.com/?q=17.222971,-97.120823000000001", "🔗 Ver Mapa")</f>
        <v>🔗 Ver Mapa</v>
      </c>
    </row>
    <row r="922" spans="1:12" ht="29" x14ac:dyDescent="0.35">
      <c r="A922" s="6" t="s">
        <v>2</v>
      </c>
      <c r="B922" s="6" t="s">
        <v>4</v>
      </c>
      <c r="C922" s="6" t="s">
        <v>8</v>
      </c>
      <c r="D922" s="6" t="s">
        <v>13</v>
      </c>
      <c r="E922" s="6" t="s">
        <v>16</v>
      </c>
      <c r="F922" s="6" t="s">
        <v>19</v>
      </c>
      <c r="G922" s="6" t="s">
        <v>23</v>
      </c>
      <c r="H922" s="6" t="s">
        <v>27</v>
      </c>
      <c r="I922" s="6" t="s">
        <v>31</v>
      </c>
      <c r="J922" s="6">
        <v>17.222484999999999</v>
      </c>
      <c r="K922" s="6">
        <v>-97.122366999999997</v>
      </c>
      <c r="L922" s="6" t="str">
        <f>HYPERLINK("https://maps.google.com/?q=17.222485,-97.122366999999997", "🔗 Ver Mapa")</f>
        <v>🔗 Ver Mapa</v>
      </c>
    </row>
    <row r="923" spans="1:12" ht="29" x14ac:dyDescent="0.35">
      <c r="A923" s="5" t="s">
        <v>2</v>
      </c>
      <c r="B923" s="5" t="s">
        <v>4</v>
      </c>
      <c r="C923" s="5" t="s">
        <v>8</v>
      </c>
      <c r="D923" s="5" t="s">
        <v>13</v>
      </c>
      <c r="E923" s="5" t="s">
        <v>16</v>
      </c>
      <c r="F923" s="5" t="s">
        <v>19</v>
      </c>
      <c r="G923" s="5" t="s">
        <v>23</v>
      </c>
      <c r="H923" s="5" t="s">
        <v>27</v>
      </c>
      <c r="I923" s="5" t="s">
        <v>31</v>
      </c>
      <c r="J923" s="5">
        <v>17.221913000000001</v>
      </c>
      <c r="K923" s="5">
        <v>-97.117964999999998</v>
      </c>
      <c r="L923" s="5" t="str">
        <f>HYPERLINK("https://maps.google.com/?q=17.221913,-97.117964999999998", "🔗 Ver Mapa")</f>
        <v>🔗 Ver Mapa</v>
      </c>
    </row>
    <row r="924" spans="1:12" ht="29" x14ac:dyDescent="0.35">
      <c r="A924" s="6" t="s">
        <v>2</v>
      </c>
      <c r="B924" s="6" t="s">
        <v>4</v>
      </c>
      <c r="C924" s="6" t="s">
        <v>8</v>
      </c>
      <c r="D924" s="6" t="s">
        <v>13</v>
      </c>
      <c r="E924" s="6" t="s">
        <v>16</v>
      </c>
      <c r="F924" s="6" t="s">
        <v>19</v>
      </c>
      <c r="G924" s="6" t="s">
        <v>23</v>
      </c>
      <c r="H924" s="6" t="s">
        <v>27</v>
      </c>
      <c r="I924" s="6" t="s">
        <v>31</v>
      </c>
      <c r="J924" s="6">
        <v>17.222421000000001</v>
      </c>
      <c r="K924" s="6">
        <v>-97.116832000000002</v>
      </c>
      <c r="L924" s="6" t="str">
        <f>HYPERLINK("https://maps.google.com/?q=17.222421,-97.116832000000002", "🔗 Ver Mapa")</f>
        <v>🔗 Ver Mapa</v>
      </c>
    </row>
    <row r="925" spans="1:12" ht="29" x14ac:dyDescent="0.35">
      <c r="A925" s="5" t="s">
        <v>2</v>
      </c>
      <c r="B925" s="5" t="s">
        <v>4</v>
      </c>
      <c r="C925" s="5" t="s">
        <v>8</v>
      </c>
      <c r="D925" s="5" t="s">
        <v>13</v>
      </c>
      <c r="E925" s="5" t="s">
        <v>16</v>
      </c>
      <c r="F925" s="5" t="s">
        <v>19</v>
      </c>
      <c r="G925" s="5" t="s">
        <v>23</v>
      </c>
      <c r="H925" s="5" t="s">
        <v>27</v>
      </c>
      <c r="I925" s="5" t="s">
        <v>31</v>
      </c>
      <c r="J925" s="5">
        <v>17.223984999999999</v>
      </c>
      <c r="K925" s="5">
        <v>-97.119388999999998</v>
      </c>
      <c r="L925" s="5" t="str">
        <f>HYPERLINK("https://maps.google.com/?q=17.223985,-97.119388999999998", "🔗 Ver Mapa")</f>
        <v>🔗 Ver Mapa</v>
      </c>
    </row>
    <row r="926" spans="1:12" ht="29" x14ac:dyDescent="0.35">
      <c r="A926" s="6" t="s">
        <v>2</v>
      </c>
      <c r="B926" s="6" t="s">
        <v>4</v>
      </c>
      <c r="C926" s="6" t="s">
        <v>8</v>
      </c>
      <c r="D926" s="6" t="s">
        <v>13</v>
      </c>
      <c r="E926" s="6" t="s">
        <v>16</v>
      </c>
      <c r="F926" s="6" t="s">
        <v>19</v>
      </c>
      <c r="G926" s="6" t="s">
        <v>23</v>
      </c>
      <c r="H926" s="6" t="s">
        <v>27</v>
      </c>
      <c r="I926" s="6" t="s">
        <v>31</v>
      </c>
      <c r="J926" s="6">
        <v>17.221108000000001</v>
      </c>
      <c r="K926" s="6">
        <v>-97.121893999999998</v>
      </c>
      <c r="L926" s="6" t="str">
        <f>HYPERLINK("https://maps.google.com/?q=17.221108,-97.121893999999998", "🔗 Ver Mapa")</f>
        <v>🔗 Ver Mapa</v>
      </c>
    </row>
    <row r="927" spans="1:12" ht="29" x14ac:dyDescent="0.35">
      <c r="A927" s="5" t="s">
        <v>2</v>
      </c>
      <c r="B927" s="5" t="s">
        <v>5</v>
      </c>
      <c r="C927" s="5" t="s">
        <v>65</v>
      </c>
      <c r="D927" s="5" t="s">
        <v>13</v>
      </c>
      <c r="E927" s="5" t="s">
        <v>17</v>
      </c>
      <c r="F927" s="5" t="s">
        <v>20</v>
      </c>
      <c r="G927" s="5" t="s">
        <v>24</v>
      </c>
      <c r="H927" s="5" t="s">
        <v>64</v>
      </c>
      <c r="I927" s="5" t="s">
        <v>32</v>
      </c>
      <c r="J927" s="5">
        <v>15.711468526728</v>
      </c>
      <c r="K927" s="5">
        <v>-96.529851687185996</v>
      </c>
      <c r="L927" s="5" t="str">
        <f>HYPERLINK("https://maps.google.com/?q=15.711468526727549,-96.529851687185769", "🔗 Ver Mapa")</f>
        <v>🔗 Ver Mapa</v>
      </c>
    </row>
    <row r="928" spans="1:12" ht="29" x14ac:dyDescent="0.35">
      <c r="A928" s="6" t="s">
        <v>2</v>
      </c>
      <c r="B928" s="6" t="s">
        <v>5</v>
      </c>
      <c r="C928" s="6" t="s">
        <v>65</v>
      </c>
      <c r="D928" s="6" t="s">
        <v>13</v>
      </c>
      <c r="E928" s="6" t="s">
        <v>17</v>
      </c>
      <c r="F928" s="6" t="s">
        <v>20</v>
      </c>
      <c r="G928" s="6" t="s">
        <v>24</v>
      </c>
      <c r="H928" s="6" t="s">
        <v>64</v>
      </c>
      <c r="I928" s="6" t="s">
        <v>32</v>
      </c>
      <c r="J928" s="6">
        <v>15.711044556844</v>
      </c>
      <c r="K928" s="6">
        <v>-96.529755568764998</v>
      </c>
      <c r="L928" s="6" t="str">
        <f>HYPERLINK("https://maps.google.com/?q=15.71104455684405,-96.529755568765012", "🔗 Ver Mapa")</f>
        <v>🔗 Ver Mapa</v>
      </c>
    </row>
    <row r="929" spans="1:12" ht="29" x14ac:dyDescent="0.35">
      <c r="A929" s="5" t="s">
        <v>2</v>
      </c>
      <c r="B929" s="5" t="s">
        <v>5</v>
      </c>
      <c r="C929" s="5" t="s">
        <v>65</v>
      </c>
      <c r="D929" s="5" t="s">
        <v>13</v>
      </c>
      <c r="E929" s="5" t="s">
        <v>17</v>
      </c>
      <c r="F929" s="5" t="s">
        <v>20</v>
      </c>
      <c r="G929" s="5" t="s">
        <v>24</v>
      </c>
      <c r="H929" s="5" t="s">
        <v>64</v>
      </c>
      <c r="I929" s="5" t="s">
        <v>32</v>
      </c>
      <c r="J929" s="5">
        <v>15.710738084661999</v>
      </c>
      <c r="K929" s="5">
        <v>-96.529713717736996</v>
      </c>
      <c r="L929" s="5" t="str">
        <f>HYPERLINK("https://maps.google.com/?q=15.710738084662175,-96.529713717736911", "🔗 Ver Mapa")</f>
        <v>🔗 Ver Mapa</v>
      </c>
    </row>
    <row r="930" spans="1:12" ht="29" x14ac:dyDescent="0.35">
      <c r="A930" s="6" t="s">
        <v>2</v>
      </c>
      <c r="B930" s="6" t="s">
        <v>5</v>
      </c>
      <c r="C930" s="6" t="s">
        <v>65</v>
      </c>
      <c r="D930" s="6" t="s">
        <v>13</v>
      </c>
      <c r="E930" s="6" t="s">
        <v>17</v>
      </c>
      <c r="F930" s="6" t="s">
        <v>20</v>
      </c>
      <c r="G930" s="6" t="s">
        <v>24</v>
      </c>
      <c r="H930" s="6" t="s">
        <v>64</v>
      </c>
      <c r="I930" s="6" t="s">
        <v>32</v>
      </c>
      <c r="J930" s="6">
        <v>15.710367984836999</v>
      </c>
      <c r="K930" s="6">
        <v>-96.529521333100007</v>
      </c>
      <c r="L930" s="6" t="str">
        <f>HYPERLINK("https://maps.google.com/?q=15.710367984837037,-96.529521333099581", "🔗 Ver Mapa")</f>
        <v>🔗 Ver Mapa</v>
      </c>
    </row>
    <row r="931" spans="1:12" ht="29" x14ac:dyDescent="0.35">
      <c r="A931" s="5" t="s">
        <v>2</v>
      </c>
      <c r="B931" s="5" t="s">
        <v>5</v>
      </c>
      <c r="C931" s="5" t="s">
        <v>65</v>
      </c>
      <c r="D931" s="5" t="s">
        <v>13</v>
      </c>
      <c r="E931" s="5" t="s">
        <v>17</v>
      </c>
      <c r="F931" s="5" t="s">
        <v>20</v>
      </c>
      <c r="G931" s="5" t="s">
        <v>24</v>
      </c>
      <c r="H931" s="5" t="s">
        <v>64</v>
      </c>
      <c r="I931" s="5" t="s">
        <v>32</v>
      </c>
      <c r="J931" s="5">
        <v>15.709945259575001</v>
      </c>
      <c r="K931" s="5">
        <v>-96.528705123609996</v>
      </c>
      <c r="L931" s="5" t="str">
        <f>HYPERLINK("https://maps.google.com/?q=15.709945259575418,-96.528705123609853", "🔗 Ver Mapa")</f>
        <v>🔗 Ver Mapa</v>
      </c>
    </row>
    <row r="932" spans="1:12" ht="29" x14ac:dyDescent="0.35">
      <c r="A932" s="6" t="s">
        <v>2</v>
      </c>
      <c r="B932" s="6" t="s">
        <v>5</v>
      </c>
      <c r="C932" s="6" t="s">
        <v>65</v>
      </c>
      <c r="D932" s="6" t="s">
        <v>13</v>
      </c>
      <c r="E932" s="6" t="s">
        <v>17</v>
      </c>
      <c r="F932" s="6" t="s">
        <v>20</v>
      </c>
      <c r="G932" s="6" t="s">
        <v>24</v>
      </c>
      <c r="H932" s="6" t="s">
        <v>64</v>
      </c>
      <c r="I932" s="6" t="s">
        <v>32</v>
      </c>
      <c r="J932" s="6">
        <v>15.709957371692999</v>
      </c>
      <c r="K932" s="6">
        <v>-96.528358657267006</v>
      </c>
      <c r="L932" s="6" t="str">
        <f>HYPERLINK("https://maps.google.com/?q=15.709957371692507,-96.528358657267262", "🔗 Ver Mapa")</f>
        <v>🔗 Ver Mapa</v>
      </c>
    </row>
    <row r="933" spans="1:12" ht="29" x14ac:dyDescent="0.35">
      <c r="A933" s="5" t="s">
        <v>2</v>
      </c>
      <c r="B933" s="5" t="s">
        <v>5</v>
      </c>
      <c r="C933" s="5" t="s">
        <v>65</v>
      </c>
      <c r="D933" s="5" t="s">
        <v>13</v>
      </c>
      <c r="E933" s="5" t="s">
        <v>17</v>
      </c>
      <c r="F933" s="5" t="s">
        <v>20</v>
      </c>
      <c r="G933" s="5" t="s">
        <v>24</v>
      </c>
      <c r="H933" s="5" t="s">
        <v>64</v>
      </c>
      <c r="I933" s="5" t="s">
        <v>32</v>
      </c>
      <c r="J933" s="5">
        <v>15.682071364006999</v>
      </c>
      <c r="K933" s="5">
        <v>-96.508078053896995</v>
      </c>
      <c r="L933" s="5" t="str">
        <f>HYPERLINK("https://maps.google.com/?q=15.68207136400714,-96.508078053897378", "🔗 Ver Mapa")</f>
        <v>🔗 Ver Mapa</v>
      </c>
    </row>
    <row r="934" spans="1:12" ht="29" x14ac:dyDescent="0.35">
      <c r="A934" s="6" t="s">
        <v>2</v>
      </c>
      <c r="B934" s="6" t="s">
        <v>5</v>
      </c>
      <c r="C934" s="6" t="s">
        <v>65</v>
      </c>
      <c r="D934" s="6" t="s">
        <v>13</v>
      </c>
      <c r="E934" s="6" t="s">
        <v>17</v>
      </c>
      <c r="F934" s="6" t="s">
        <v>20</v>
      </c>
      <c r="G934" s="6" t="s">
        <v>24</v>
      </c>
      <c r="H934" s="6" t="s">
        <v>64</v>
      </c>
      <c r="I934" s="6" t="s">
        <v>32</v>
      </c>
      <c r="J934" s="6">
        <v>15.682002444103</v>
      </c>
      <c r="K934" s="6">
        <v>-96.507891378514003</v>
      </c>
      <c r="L934" s="6" t="str">
        <f>HYPERLINK("https://maps.google.com/?q=15.68200244410338,-96.507891378514429", "🔗 Ver Mapa")</f>
        <v>🔗 Ver Mapa</v>
      </c>
    </row>
    <row r="935" spans="1:12" ht="29" x14ac:dyDescent="0.35">
      <c r="A935" s="5" t="s">
        <v>2</v>
      </c>
      <c r="B935" s="5" t="s">
        <v>5</v>
      </c>
      <c r="C935" s="5" t="s">
        <v>65</v>
      </c>
      <c r="D935" s="5" t="s">
        <v>13</v>
      </c>
      <c r="E935" s="5" t="s">
        <v>17</v>
      </c>
      <c r="F935" s="5" t="s">
        <v>20</v>
      </c>
      <c r="G935" s="5" t="s">
        <v>24</v>
      </c>
      <c r="H935" s="5" t="s">
        <v>64</v>
      </c>
      <c r="I935" s="5" t="s">
        <v>32</v>
      </c>
      <c r="J935" s="5">
        <v>15.682425594191001</v>
      </c>
      <c r="K935" s="5">
        <v>-96.509560492633</v>
      </c>
      <c r="L935" s="5" t="str">
        <f>HYPERLINK("https://maps.google.com/?q=15.682425594190722,-96.509560492632517", "🔗 Ver Mapa")</f>
        <v>🔗 Ver Mapa</v>
      </c>
    </row>
    <row r="936" spans="1:12" ht="29" x14ac:dyDescent="0.35">
      <c r="A936" s="6" t="s">
        <v>2</v>
      </c>
      <c r="B936" s="6" t="s">
        <v>5</v>
      </c>
      <c r="C936" s="6" t="s">
        <v>65</v>
      </c>
      <c r="D936" s="6" t="s">
        <v>13</v>
      </c>
      <c r="E936" s="6" t="s">
        <v>17</v>
      </c>
      <c r="F936" s="6" t="s">
        <v>20</v>
      </c>
      <c r="G936" s="6" t="s">
        <v>24</v>
      </c>
      <c r="H936" s="6" t="s">
        <v>64</v>
      </c>
      <c r="I936" s="6" t="s">
        <v>32</v>
      </c>
      <c r="J936" s="6">
        <v>15.682285150482</v>
      </c>
      <c r="K936" s="6">
        <v>-96.509339009339001</v>
      </c>
      <c r="L936" s="6" t="str">
        <f>HYPERLINK("https://maps.google.com/?q=15.68228515048243,-96.509339009339087", "🔗 Ver Mapa")</f>
        <v>🔗 Ver Mapa</v>
      </c>
    </row>
    <row r="937" spans="1:12" ht="29" x14ac:dyDescent="0.35">
      <c r="A937" s="5" t="s">
        <v>2</v>
      </c>
      <c r="B937" s="5" t="s">
        <v>5</v>
      </c>
      <c r="C937" s="5" t="s">
        <v>65</v>
      </c>
      <c r="D937" s="5" t="s">
        <v>13</v>
      </c>
      <c r="E937" s="5" t="s">
        <v>17</v>
      </c>
      <c r="F937" s="5" t="s">
        <v>20</v>
      </c>
      <c r="G937" s="5" t="s">
        <v>24</v>
      </c>
      <c r="H937" s="5" t="s">
        <v>64</v>
      </c>
      <c r="I937" s="5" t="s">
        <v>32</v>
      </c>
      <c r="J937" s="5">
        <v>15.682244765855</v>
      </c>
      <c r="K937" s="5">
        <v>-96.509131538562002</v>
      </c>
      <c r="L937" s="5" t="str">
        <f>HYPERLINK("https://maps.google.com/?q=15.682244765855282,-96.509131538561661", "🔗 Ver Mapa")</f>
        <v>🔗 Ver Mapa</v>
      </c>
    </row>
    <row r="938" spans="1:12" ht="29" x14ac:dyDescent="0.35">
      <c r="A938" s="6" t="s">
        <v>2</v>
      </c>
      <c r="B938" s="6" t="s">
        <v>5</v>
      </c>
      <c r="C938" s="6" t="s">
        <v>65</v>
      </c>
      <c r="D938" s="6" t="s">
        <v>13</v>
      </c>
      <c r="E938" s="6" t="s">
        <v>17</v>
      </c>
      <c r="F938" s="6" t="s">
        <v>20</v>
      </c>
      <c r="G938" s="6" t="s">
        <v>24</v>
      </c>
      <c r="H938" s="6" t="s">
        <v>64</v>
      </c>
      <c r="I938" s="6" t="s">
        <v>32</v>
      </c>
      <c r="J938" s="6">
        <v>15.682320729633</v>
      </c>
      <c r="K938" s="6">
        <v>-96.508912902335993</v>
      </c>
      <c r="L938" s="6" t="str">
        <f>HYPERLINK("https://maps.google.com/?q=15.682320729633028,-96.508912902335666", "🔗 Ver Mapa")</f>
        <v>🔗 Ver Mapa</v>
      </c>
    </row>
    <row r="939" spans="1:12" ht="29" x14ac:dyDescent="0.35">
      <c r="A939" s="5" t="s">
        <v>2</v>
      </c>
      <c r="B939" s="5" t="s">
        <v>5</v>
      </c>
      <c r="C939" s="5" t="s">
        <v>65</v>
      </c>
      <c r="D939" s="5" t="s">
        <v>13</v>
      </c>
      <c r="E939" s="5" t="s">
        <v>17</v>
      </c>
      <c r="F939" s="5" t="s">
        <v>20</v>
      </c>
      <c r="G939" s="5" t="s">
        <v>24</v>
      </c>
      <c r="H939" s="5" t="s">
        <v>64</v>
      </c>
      <c r="I939" s="5" t="s">
        <v>32</v>
      </c>
      <c r="J939" s="5">
        <v>15.682183471887001</v>
      </c>
      <c r="K939" s="5">
        <v>-96.50857150729</v>
      </c>
      <c r="L939" s="5" t="str">
        <f>HYPERLINK("https://maps.google.com/?q=15.682183471887004,-96.508571507289886", "🔗 Ver Mapa")</f>
        <v>🔗 Ver Mapa</v>
      </c>
    </row>
    <row r="940" spans="1:12" ht="29" x14ac:dyDescent="0.35">
      <c r="A940" s="6" t="s">
        <v>2</v>
      </c>
      <c r="B940" s="6" t="s">
        <v>5</v>
      </c>
      <c r="C940" s="6" t="s">
        <v>65</v>
      </c>
      <c r="D940" s="6" t="s">
        <v>13</v>
      </c>
      <c r="E940" s="6" t="s">
        <v>17</v>
      </c>
      <c r="F940" s="6" t="s">
        <v>20</v>
      </c>
      <c r="G940" s="6" t="s">
        <v>24</v>
      </c>
      <c r="H940" s="6" t="s">
        <v>64</v>
      </c>
      <c r="I940" s="6" t="s">
        <v>32</v>
      </c>
      <c r="J940" s="6">
        <v>15.682231849360001</v>
      </c>
      <c r="K940" s="6">
        <v>-96.508414886451007</v>
      </c>
      <c r="L940" s="6" t="str">
        <f>HYPERLINK("https://maps.google.com/?q=15.682231849360354,-96.508414886450836", "🔗 Ver Mapa")</f>
        <v>🔗 Ver Mapa</v>
      </c>
    </row>
    <row r="941" spans="1:12" ht="29" x14ac:dyDescent="0.35">
      <c r="A941" s="5" t="s">
        <v>2</v>
      </c>
      <c r="B941" s="5" t="s">
        <v>5</v>
      </c>
      <c r="C941" s="5" t="s">
        <v>65</v>
      </c>
      <c r="D941" s="5" t="s">
        <v>13</v>
      </c>
      <c r="E941" s="5" t="s">
        <v>17</v>
      </c>
      <c r="F941" s="5" t="s">
        <v>20</v>
      </c>
      <c r="G941" s="5" t="s">
        <v>24</v>
      </c>
      <c r="H941" s="5" t="s">
        <v>64</v>
      </c>
      <c r="I941" s="5" t="s">
        <v>32</v>
      </c>
      <c r="J941" s="5">
        <v>15.682811744419</v>
      </c>
      <c r="K941" s="5">
        <v>-96.510419756603994</v>
      </c>
      <c r="L941" s="5" t="str">
        <f>HYPERLINK("https://maps.google.com/?q=15.682811744418803,-96.510419756603994", "🔗 Ver Mapa")</f>
        <v>🔗 Ver Mapa</v>
      </c>
    </row>
    <row r="942" spans="1:12" ht="29" x14ac:dyDescent="0.35">
      <c r="A942" s="6" t="s">
        <v>2</v>
      </c>
      <c r="B942" s="6" t="s">
        <v>5</v>
      </c>
      <c r="C942" s="6" t="s">
        <v>65</v>
      </c>
      <c r="D942" s="6" t="s">
        <v>13</v>
      </c>
      <c r="E942" s="6" t="s">
        <v>17</v>
      </c>
      <c r="F942" s="6" t="s">
        <v>20</v>
      </c>
      <c r="G942" s="6" t="s">
        <v>24</v>
      </c>
      <c r="H942" s="6" t="s">
        <v>64</v>
      </c>
      <c r="I942" s="6" t="s">
        <v>32</v>
      </c>
      <c r="J942" s="6">
        <v>15.682672515266001</v>
      </c>
      <c r="K942" s="6">
        <v>-96.510265999048002</v>
      </c>
      <c r="L942" s="6" t="str">
        <f>HYPERLINK("https://maps.google.com/?q=15.68267251526627,-96.510265999047704", "🔗 Ver Mapa")</f>
        <v>🔗 Ver Mapa</v>
      </c>
    </row>
    <row r="943" spans="1:12" ht="29" x14ac:dyDescent="0.35">
      <c r="A943" s="5" t="s">
        <v>2</v>
      </c>
      <c r="B943" s="5" t="s">
        <v>5</v>
      </c>
      <c r="C943" s="5" t="s">
        <v>65</v>
      </c>
      <c r="D943" s="5" t="s">
        <v>13</v>
      </c>
      <c r="E943" s="5" t="s">
        <v>17</v>
      </c>
      <c r="F943" s="5" t="s">
        <v>20</v>
      </c>
      <c r="G943" s="5" t="s">
        <v>24</v>
      </c>
      <c r="H943" s="5" t="s">
        <v>64</v>
      </c>
      <c r="I943" s="5" t="s">
        <v>32</v>
      </c>
      <c r="J943" s="5">
        <v>15.682525652329</v>
      </c>
      <c r="K943" s="5">
        <v>-96.510162965622001</v>
      </c>
      <c r="L943" s="5" t="str">
        <f>HYPERLINK("https://maps.google.com/?q=15.682525652328792,-96.51016296562247", "🔗 Ver Mapa")</f>
        <v>🔗 Ver Mapa</v>
      </c>
    </row>
    <row r="944" spans="1:12" ht="29" x14ac:dyDescent="0.35">
      <c r="A944" s="6" t="s">
        <v>2</v>
      </c>
      <c r="B944" s="6" t="s">
        <v>5</v>
      </c>
      <c r="C944" s="6" t="s">
        <v>65</v>
      </c>
      <c r="D944" s="6" t="s">
        <v>13</v>
      </c>
      <c r="E944" s="6" t="s">
        <v>17</v>
      </c>
      <c r="F944" s="6" t="s">
        <v>20</v>
      </c>
      <c r="G944" s="6" t="s">
        <v>24</v>
      </c>
      <c r="H944" s="6" t="s">
        <v>64</v>
      </c>
      <c r="I944" s="6" t="s">
        <v>32</v>
      </c>
      <c r="J944" s="6">
        <v>15.682470110709</v>
      </c>
      <c r="K944" s="6">
        <v>-96.510059430414003</v>
      </c>
      <c r="L944" s="6" t="str">
        <f>HYPERLINK("https://maps.google.com/?q=15.682470110709314,-96.510059430414273", "🔗 Ver Mapa")</f>
        <v>🔗 Ver Mapa</v>
      </c>
    </row>
    <row r="945" spans="1:12" ht="29" x14ac:dyDescent="0.35">
      <c r="A945" s="5" t="s">
        <v>2</v>
      </c>
      <c r="B945" s="5" t="s">
        <v>5</v>
      </c>
      <c r="C945" s="5" t="s">
        <v>65</v>
      </c>
      <c r="D945" s="5" t="s">
        <v>13</v>
      </c>
      <c r="E945" s="5" t="s">
        <v>17</v>
      </c>
      <c r="F945" s="5" t="s">
        <v>20</v>
      </c>
      <c r="G945" s="5" t="s">
        <v>24</v>
      </c>
      <c r="H945" s="5" t="s">
        <v>64</v>
      </c>
      <c r="I945" s="5" t="s">
        <v>32</v>
      </c>
      <c r="J945" s="5">
        <v>15.682473790991001</v>
      </c>
      <c r="K945" s="5">
        <v>-96.509874931241995</v>
      </c>
      <c r="L945" s="5" t="str">
        <f>HYPERLINK("https://maps.google.com/?q=15.682473790990546,-96.509874931242152", "🔗 Ver Mapa")</f>
        <v>🔗 Ver Mapa</v>
      </c>
    </row>
    <row r="946" spans="1:12" ht="29" x14ac:dyDescent="0.35">
      <c r="A946" s="6" t="s">
        <v>2</v>
      </c>
      <c r="B946" s="6" t="s">
        <v>5</v>
      </c>
      <c r="C946" s="6" t="s">
        <v>65</v>
      </c>
      <c r="D946" s="6" t="s">
        <v>13</v>
      </c>
      <c r="E946" s="6" t="s">
        <v>17</v>
      </c>
      <c r="F946" s="6" t="s">
        <v>20</v>
      </c>
      <c r="G946" s="6" t="s">
        <v>24</v>
      </c>
      <c r="H946" s="6" t="s">
        <v>64</v>
      </c>
      <c r="I946" s="6" t="s">
        <v>32</v>
      </c>
      <c r="J946" s="6">
        <v>15.682436384598001</v>
      </c>
      <c r="K946" s="6">
        <v>-96.509749664799998</v>
      </c>
      <c r="L946" s="6" t="str">
        <f>HYPERLINK("https://maps.google.com/?q=15.68243638459757,-96.509749664799585", "🔗 Ver Mapa")</f>
        <v>🔗 Ver Mapa</v>
      </c>
    </row>
    <row r="947" spans="1:12" ht="29" x14ac:dyDescent="0.35">
      <c r="A947" s="5" t="s">
        <v>2</v>
      </c>
      <c r="B947" s="5" t="s">
        <v>5</v>
      </c>
      <c r="C947" s="5" t="s">
        <v>65</v>
      </c>
      <c r="D947" s="5" t="s">
        <v>13</v>
      </c>
      <c r="E947" s="5" t="s">
        <v>17</v>
      </c>
      <c r="F947" s="5" t="s">
        <v>20</v>
      </c>
      <c r="G947" s="5" t="s">
        <v>24</v>
      </c>
      <c r="H947" s="5" t="s">
        <v>64</v>
      </c>
      <c r="I947" s="5" t="s">
        <v>32</v>
      </c>
      <c r="J947" s="5">
        <v>15.683553878475999</v>
      </c>
      <c r="K947" s="5">
        <v>-96.511397332295999</v>
      </c>
      <c r="L947" s="5" t="str">
        <f>HYPERLINK("https://maps.google.com/?q=15.683553878476394,-96.511397332295729", "🔗 Ver Mapa")</f>
        <v>🔗 Ver Mapa</v>
      </c>
    </row>
    <row r="948" spans="1:12" ht="29" x14ac:dyDescent="0.35">
      <c r="A948" s="6" t="s">
        <v>2</v>
      </c>
      <c r="B948" s="6" t="s">
        <v>5</v>
      </c>
      <c r="C948" s="6" t="s">
        <v>65</v>
      </c>
      <c r="D948" s="6" t="s">
        <v>13</v>
      </c>
      <c r="E948" s="6" t="s">
        <v>17</v>
      </c>
      <c r="F948" s="6" t="s">
        <v>20</v>
      </c>
      <c r="G948" s="6" t="s">
        <v>24</v>
      </c>
      <c r="H948" s="6" t="s">
        <v>64</v>
      </c>
      <c r="I948" s="6" t="s">
        <v>32</v>
      </c>
      <c r="J948" s="6">
        <v>15.683478854552</v>
      </c>
      <c r="K948" s="6">
        <v>-96.511350333292</v>
      </c>
      <c r="L948" s="6" t="str">
        <f>HYPERLINK("https://maps.google.com/?q=15.683478854552325,-96.511350333292015", "🔗 Ver Mapa")</f>
        <v>🔗 Ver Mapa</v>
      </c>
    </row>
    <row r="949" spans="1:12" ht="29" x14ac:dyDescent="0.35">
      <c r="A949" s="5" t="s">
        <v>2</v>
      </c>
      <c r="B949" s="5" t="s">
        <v>5</v>
      </c>
      <c r="C949" s="5" t="s">
        <v>65</v>
      </c>
      <c r="D949" s="5" t="s">
        <v>13</v>
      </c>
      <c r="E949" s="5" t="s">
        <v>17</v>
      </c>
      <c r="F949" s="5" t="s">
        <v>20</v>
      </c>
      <c r="G949" s="5" t="s">
        <v>24</v>
      </c>
      <c r="H949" s="5" t="s">
        <v>64</v>
      </c>
      <c r="I949" s="5" t="s">
        <v>32</v>
      </c>
      <c r="J949" s="5">
        <v>15.683362411338001</v>
      </c>
      <c r="K949" s="5">
        <v>-96.511054818966002</v>
      </c>
      <c r="L949" s="5" t="str">
        <f>HYPERLINK("https://maps.google.com/?q=15.683362411337777,-96.511054818966443", "🔗 Ver Mapa")</f>
        <v>🔗 Ver Mapa</v>
      </c>
    </row>
    <row r="950" spans="1:12" ht="29" x14ac:dyDescent="0.35">
      <c r="A950" s="6" t="s">
        <v>2</v>
      </c>
      <c r="B950" s="6" t="s">
        <v>5</v>
      </c>
      <c r="C950" s="6" t="s">
        <v>65</v>
      </c>
      <c r="D950" s="6" t="s">
        <v>13</v>
      </c>
      <c r="E950" s="6" t="s">
        <v>17</v>
      </c>
      <c r="F950" s="6" t="s">
        <v>20</v>
      </c>
      <c r="G950" s="6" t="s">
        <v>24</v>
      </c>
      <c r="H950" s="6" t="s">
        <v>64</v>
      </c>
      <c r="I950" s="6" t="s">
        <v>32</v>
      </c>
      <c r="J950" s="6">
        <v>15.683049911403</v>
      </c>
      <c r="K950" s="6">
        <v>-96.510750074363997</v>
      </c>
      <c r="L950" s="6" t="str">
        <f>HYPERLINK("https://maps.google.com/?q=15.683049911403172,-96.510750074363699", "🔗 Ver Mapa")</f>
        <v>🔗 Ver Mapa</v>
      </c>
    </row>
    <row r="951" spans="1:12" ht="29" x14ac:dyDescent="0.35">
      <c r="A951" s="5" t="s">
        <v>2</v>
      </c>
      <c r="B951" s="5" t="s">
        <v>5</v>
      </c>
      <c r="C951" s="5" t="s">
        <v>65</v>
      </c>
      <c r="D951" s="5" t="s">
        <v>13</v>
      </c>
      <c r="E951" s="5" t="s">
        <v>17</v>
      </c>
      <c r="F951" s="5" t="s">
        <v>20</v>
      </c>
      <c r="G951" s="5" t="s">
        <v>24</v>
      </c>
      <c r="H951" s="5" t="s">
        <v>64</v>
      </c>
      <c r="I951" s="5" t="s">
        <v>32</v>
      </c>
      <c r="J951" s="5">
        <v>15.68301307053</v>
      </c>
      <c r="K951" s="5">
        <v>-96.510417379450004</v>
      </c>
      <c r="L951" s="5" t="str">
        <f>HYPERLINK("https://maps.google.com/?q=15.683013070530075,-96.510417379450118", "🔗 Ver Mapa")</f>
        <v>🔗 Ver Mapa</v>
      </c>
    </row>
    <row r="952" spans="1:12" ht="29" x14ac:dyDescent="0.35">
      <c r="A952" s="6" t="s">
        <v>2</v>
      </c>
      <c r="B952" s="6" t="s">
        <v>5</v>
      </c>
      <c r="C952" s="6" t="s">
        <v>65</v>
      </c>
      <c r="D952" s="6" t="s">
        <v>13</v>
      </c>
      <c r="E952" s="6" t="s">
        <v>17</v>
      </c>
      <c r="F952" s="6" t="s">
        <v>20</v>
      </c>
      <c r="G952" s="6" t="s">
        <v>24</v>
      </c>
      <c r="H952" s="6" t="s">
        <v>64</v>
      </c>
      <c r="I952" s="6" t="s">
        <v>32</v>
      </c>
      <c r="J952" s="6">
        <v>15.682983780940001</v>
      </c>
      <c r="K952" s="6">
        <v>-96.510389304726999</v>
      </c>
      <c r="L952" s="6" t="str">
        <f>HYPERLINK("https://maps.google.com/?q=15.68298378093964,-96.510389304727198", "🔗 Ver Mapa")</f>
        <v>🔗 Ver Mapa</v>
      </c>
    </row>
    <row r="953" spans="1:12" ht="29" x14ac:dyDescent="0.35">
      <c r="A953" s="5" t="s">
        <v>2</v>
      </c>
      <c r="B953" s="5" t="s">
        <v>5</v>
      </c>
      <c r="C953" s="5" t="s">
        <v>65</v>
      </c>
      <c r="D953" s="5" t="s">
        <v>13</v>
      </c>
      <c r="E953" s="5" t="s">
        <v>17</v>
      </c>
      <c r="F953" s="5" t="s">
        <v>20</v>
      </c>
      <c r="G953" s="5" t="s">
        <v>24</v>
      </c>
      <c r="H953" s="5" t="s">
        <v>64</v>
      </c>
      <c r="I953" s="5" t="s">
        <v>32</v>
      </c>
      <c r="J953" s="5">
        <v>15.684420702744999</v>
      </c>
      <c r="K953" s="5">
        <v>-96.511743582779005</v>
      </c>
      <c r="L953" s="5" t="str">
        <f>HYPERLINK("https://maps.google.com/?q=15.684420702745234,-96.511743582778777", "🔗 Ver Mapa")</f>
        <v>🔗 Ver Mapa</v>
      </c>
    </row>
    <row r="954" spans="1:12" ht="29" x14ac:dyDescent="0.35">
      <c r="A954" s="6" t="s">
        <v>2</v>
      </c>
      <c r="B954" s="6" t="s">
        <v>5</v>
      </c>
      <c r="C954" s="6" t="s">
        <v>65</v>
      </c>
      <c r="D954" s="6" t="s">
        <v>13</v>
      </c>
      <c r="E954" s="6" t="s">
        <v>17</v>
      </c>
      <c r="F954" s="6" t="s">
        <v>20</v>
      </c>
      <c r="G954" s="6" t="s">
        <v>24</v>
      </c>
      <c r="H954" s="6" t="s">
        <v>64</v>
      </c>
      <c r="I954" s="6" t="s">
        <v>32</v>
      </c>
      <c r="J954" s="6">
        <v>15.684342119978</v>
      </c>
      <c r="K954" s="6">
        <v>-96.511762485285999</v>
      </c>
      <c r="L954" s="6" t="str">
        <f>HYPERLINK("https://maps.google.com/?q=15.684342119977535,-96.511762485286411", "🔗 Ver Mapa")</f>
        <v>🔗 Ver Mapa</v>
      </c>
    </row>
    <row r="955" spans="1:12" ht="29" x14ac:dyDescent="0.35">
      <c r="A955" s="5" t="s">
        <v>2</v>
      </c>
      <c r="B955" s="5" t="s">
        <v>5</v>
      </c>
      <c r="C955" s="5" t="s">
        <v>65</v>
      </c>
      <c r="D955" s="5" t="s">
        <v>13</v>
      </c>
      <c r="E955" s="5" t="s">
        <v>17</v>
      </c>
      <c r="F955" s="5" t="s">
        <v>20</v>
      </c>
      <c r="G955" s="5" t="s">
        <v>24</v>
      </c>
      <c r="H955" s="5" t="s">
        <v>64</v>
      </c>
      <c r="I955" s="5" t="s">
        <v>32</v>
      </c>
      <c r="J955" s="5">
        <v>15.684176572724001</v>
      </c>
      <c r="K955" s="5">
        <v>-96.511586889959005</v>
      </c>
      <c r="L955" s="5" t="str">
        <f>HYPERLINK("https://maps.google.com/?q=15.684176572724429,-96.51158688995919", "🔗 Ver Mapa")</f>
        <v>🔗 Ver Mapa</v>
      </c>
    </row>
    <row r="956" spans="1:12" ht="29" x14ac:dyDescent="0.35">
      <c r="A956" s="6" t="s">
        <v>2</v>
      </c>
      <c r="B956" s="6" t="s">
        <v>5</v>
      </c>
      <c r="C956" s="6" t="s">
        <v>65</v>
      </c>
      <c r="D956" s="6" t="s">
        <v>13</v>
      </c>
      <c r="E956" s="6" t="s">
        <v>17</v>
      </c>
      <c r="F956" s="6" t="s">
        <v>20</v>
      </c>
      <c r="G956" s="6" t="s">
        <v>24</v>
      </c>
      <c r="H956" s="6" t="s">
        <v>64</v>
      </c>
      <c r="I956" s="6" t="s">
        <v>32</v>
      </c>
      <c r="J956" s="6">
        <v>15.683990484662001</v>
      </c>
      <c r="K956" s="6">
        <v>-96.511509012396999</v>
      </c>
      <c r="L956" s="6" t="str">
        <f>HYPERLINK("https://maps.google.com/?q=15.683990484661729,-96.511509012396857", "🔗 Ver Mapa")</f>
        <v>🔗 Ver Mapa</v>
      </c>
    </row>
    <row r="957" spans="1:12" ht="29" x14ac:dyDescent="0.35">
      <c r="A957" s="5" t="s">
        <v>2</v>
      </c>
      <c r="B957" s="5" t="s">
        <v>5</v>
      </c>
      <c r="C957" s="5" t="s">
        <v>65</v>
      </c>
      <c r="D957" s="5" t="s">
        <v>13</v>
      </c>
      <c r="E957" s="5" t="s">
        <v>17</v>
      </c>
      <c r="F957" s="5" t="s">
        <v>20</v>
      </c>
      <c r="G957" s="5" t="s">
        <v>24</v>
      </c>
      <c r="H957" s="5" t="s">
        <v>64</v>
      </c>
      <c r="I957" s="5" t="s">
        <v>32</v>
      </c>
      <c r="J957" s="5">
        <v>15.683817089076999</v>
      </c>
      <c r="K957" s="5">
        <v>-96.511462143277001</v>
      </c>
      <c r="L957" s="5" t="str">
        <f>HYPERLINK("https://maps.google.com/?q=15.683817089076797,-96.511462143277043", "🔗 Ver Mapa")</f>
        <v>🔗 Ver Mapa</v>
      </c>
    </row>
    <row r="958" spans="1:12" ht="29" x14ac:dyDescent="0.35">
      <c r="A958" s="6" t="s">
        <v>2</v>
      </c>
      <c r="B958" s="6" t="s">
        <v>5</v>
      </c>
      <c r="C958" s="6" t="s">
        <v>65</v>
      </c>
      <c r="D958" s="6" t="s">
        <v>13</v>
      </c>
      <c r="E958" s="6" t="s">
        <v>17</v>
      </c>
      <c r="F958" s="6" t="s">
        <v>20</v>
      </c>
      <c r="G958" s="6" t="s">
        <v>24</v>
      </c>
      <c r="H958" s="6" t="s">
        <v>64</v>
      </c>
      <c r="I958" s="6" t="s">
        <v>32</v>
      </c>
      <c r="J958" s="6">
        <v>15.683706377075</v>
      </c>
      <c r="K958" s="6">
        <v>-96.511396331392007</v>
      </c>
      <c r="L958" s="6" t="str">
        <f>HYPERLINK("https://maps.google.com/?q=15.683706377074532,-96.511396331392376", "🔗 Ver Mapa")</f>
        <v>🔗 Ver Mapa</v>
      </c>
    </row>
    <row r="959" spans="1:12" ht="29" x14ac:dyDescent="0.35">
      <c r="A959" s="5" t="s">
        <v>2</v>
      </c>
      <c r="B959" s="5" t="s">
        <v>5</v>
      </c>
      <c r="C959" s="5" t="s">
        <v>65</v>
      </c>
      <c r="D959" s="5" t="s">
        <v>13</v>
      </c>
      <c r="E959" s="5" t="s">
        <v>17</v>
      </c>
      <c r="F959" s="5" t="s">
        <v>20</v>
      </c>
      <c r="G959" s="5" t="s">
        <v>24</v>
      </c>
      <c r="H959" s="5" t="s">
        <v>64</v>
      </c>
      <c r="I959" s="5" t="s">
        <v>32</v>
      </c>
      <c r="J959" s="5">
        <v>15.685884824753</v>
      </c>
      <c r="K959" s="5">
        <v>-96.511851260797997</v>
      </c>
      <c r="L959" s="5" t="str">
        <f>HYPERLINK("https://maps.google.com/?q=15.685884824753419,-96.511851260798025", "🔗 Ver Mapa")</f>
        <v>🔗 Ver Mapa</v>
      </c>
    </row>
    <row r="960" spans="1:12" ht="29" x14ac:dyDescent="0.35">
      <c r="A960" s="6" t="s">
        <v>2</v>
      </c>
      <c r="B960" s="6" t="s">
        <v>5</v>
      </c>
      <c r="C960" s="6" t="s">
        <v>65</v>
      </c>
      <c r="D960" s="6" t="s">
        <v>13</v>
      </c>
      <c r="E960" s="6" t="s">
        <v>17</v>
      </c>
      <c r="F960" s="6" t="s">
        <v>20</v>
      </c>
      <c r="G960" s="6" t="s">
        <v>24</v>
      </c>
      <c r="H960" s="6" t="s">
        <v>64</v>
      </c>
      <c r="I960" s="6" t="s">
        <v>32</v>
      </c>
      <c r="J960" s="6">
        <v>15.685574869470001</v>
      </c>
      <c r="K960" s="6">
        <v>-96.511749400848998</v>
      </c>
      <c r="L960" s="6" t="str">
        <f>HYPERLINK("https://maps.google.com/?q=15.685574869469747,-96.511749400848686", "🔗 Ver Mapa")</f>
        <v>🔗 Ver Mapa</v>
      </c>
    </row>
    <row r="961" spans="1:12" ht="29" x14ac:dyDescent="0.35">
      <c r="A961" s="5" t="s">
        <v>2</v>
      </c>
      <c r="B961" s="5" t="s">
        <v>5</v>
      </c>
      <c r="C961" s="5" t="s">
        <v>65</v>
      </c>
      <c r="D961" s="5" t="s">
        <v>13</v>
      </c>
      <c r="E961" s="5" t="s">
        <v>17</v>
      </c>
      <c r="F961" s="5" t="s">
        <v>20</v>
      </c>
      <c r="G961" s="5" t="s">
        <v>24</v>
      </c>
      <c r="H961" s="5" t="s">
        <v>64</v>
      </c>
      <c r="I961" s="5" t="s">
        <v>32</v>
      </c>
      <c r="J961" s="5">
        <v>15.685447069941</v>
      </c>
      <c r="K961" s="5">
        <v>-96.511639457575995</v>
      </c>
      <c r="L961" s="5" t="str">
        <f>HYPERLINK("https://maps.google.com/?q=15.68544706994095,-96.511639457575868", "🔗 Ver Mapa")</f>
        <v>🔗 Ver Mapa</v>
      </c>
    </row>
    <row r="962" spans="1:12" ht="29" x14ac:dyDescent="0.35">
      <c r="A962" s="6" t="s">
        <v>2</v>
      </c>
      <c r="B962" s="6" t="s">
        <v>5</v>
      </c>
      <c r="C962" s="6" t="s">
        <v>65</v>
      </c>
      <c r="D962" s="6" t="s">
        <v>13</v>
      </c>
      <c r="E962" s="6" t="s">
        <v>17</v>
      </c>
      <c r="F962" s="6" t="s">
        <v>20</v>
      </c>
      <c r="G962" s="6" t="s">
        <v>24</v>
      </c>
      <c r="H962" s="6" t="s">
        <v>64</v>
      </c>
      <c r="I962" s="6" t="s">
        <v>32</v>
      </c>
      <c r="J962" s="6">
        <v>15.685259837270999</v>
      </c>
      <c r="K962" s="6">
        <v>-96.511336434898993</v>
      </c>
      <c r="L962" s="6" t="str">
        <f>HYPERLINK("https://maps.google.com/?q=15.68525983727088,-96.511336434899334", "🔗 Ver Mapa")</f>
        <v>🔗 Ver Mapa</v>
      </c>
    </row>
    <row r="963" spans="1:12" ht="29" x14ac:dyDescent="0.35">
      <c r="A963" s="5" t="s">
        <v>2</v>
      </c>
      <c r="B963" s="5" t="s">
        <v>5</v>
      </c>
      <c r="C963" s="5" t="s">
        <v>65</v>
      </c>
      <c r="D963" s="5" t="s">
        <v>13</v>
      </c>
      <c r="E963" s="5" t="s">
        <v>17</v>
      </c>
      <c r="F963" s="5" t="s">
        <v>20</v>
      </c>
      <c r="G963" s="5" t="s">
        <v>24</v>
      </c>
      <c r="H963" s="5" t="s">
        <v>64</v>
      </c>
      <c r="I963" s="5" t="s">
        <v>32</v>
      </c>
      <c r="J963" s="5">
        <v>15.685045748212</v>
      </c>
      <c r="K963" s="5">
        <v>-96.511313529117999</v>
      </c>
      <c r="L963" s="5" t="str">
        <f>HYPERLINK("https://maps.google.com/?q=15.685045748211799,-96.511313529118382", "🔗 Ver Mapa")</f>
        <v>🔗 Ver Mapa</v>
      </c>
    </row>
    <row r="964" spans="1:12" ht="29" x14ac:dyDescent="0.35">
      <c r="A964" s="6" t="s">
        <v>2</v>
      </c>
      <c r="B964" s="6" t="s">
        <v>5</v>
      </c>
      <c r="C964" s="6" t="s">
        <v>65</v>
      </c>
      <c r="D964" s="6" t="s">
        <v>13</v>
      </c>
      <c r="E964" s="6" t="s">
        <v>17</v>
      </c>
      <c r="F964" s="6" t="s">
        <v>20</v>
      </c>
      <c r="G964" s="6" t="s">
        <v>24</v>
      </c>
      <c r="H964" s="6" t="s">
        <v>64</v>
      </c>
      <c r="I964" s="6" t="s">
        <v>32</v>
      </c>
      <c r="J964" s="6">
        <v>15.684655146196</v>
      </c>
      <c r="K964" s="6">
        <v>-96.511561915081998</v>
      </c>
      <c r="L964" s="6" t="str">
        <f>HYPERLINK("https://maps.google.com/?q=15.684655146195983,-96.511561915081558", "🔗 Ver Mapa")</f>
        <v>🔗 Ver Mapa</v>
      </c>
    </row>
    <row r="965" spans="1:12" ht="29" x14ac:dyDescent="0.35">
      <c r="A965" s="5" t="s">
        <v>2</v>
      </c>
      <c r="B965" s="5" t="s">
        <v>5</v>
      </c>
      <c r="C965" s="5" t="s">
        <v>65</v>
      </c>
      <c r="D965" s="5" t="s">
        <v>13</v>
      </c>
      <c r="E965" s="5" t="s">
        <v>17</v>
      </c>
      <c r="F965" s="5" t="s">
        <v>20</v>
      </c>
      <c r="G965" s="5" t="s">
        <v>24</v>
      </c>
      <c r="H965" s="5" t="s">
        <v>64</v>
      </c>
      <c r="I965" s="5" t="s">
        <v>32</v>
      </c>
      <c r="J965" s="5">
        <v>15.688068766868</v>
      </c>
      <c r="K965" s="5">
        <v>-96.513036724131993</v>
      </c>
      <c r="L965" s="5" t="str">
        <f>HYPERLINK("https://maps.google.com/?q=15.688068766868176,-96.513036724131737", "🔗 Ver Mapa")</f>
        <v>🔗 Ver Mapa</v>
      </c>
    </row>
    <row r="966" spans="1:12" ht="29" x14ac:dyDescent="0.35">
      <c r="A966" s="6" t="s">
        <v>2</v>
      </c>
      <c r="B966" s="6" t="s">
        <v>5</v>
      </c>
      <c r="C966" s="6" t="s">
        <v>65</v>
      </c>
      <c r="D966" s="6" t="s">
        <v>13</v>
      </c>
      <c r="E966" s="6" t="s">
        <v>17</v>
      </c>
      <c r="F966" s="6" t="s">
        <v>20</v>
      </c>
      <c r="G966" s="6" t="s">
        <v>24</v>
      </c>
      <c r="H966" s="6" t="s">
        <v>64</v>
      </c>
      <c r="I966" s="6" t="s">
        <v>32</v>
      </c>
      <c r="J966" s="6">
        <v>15.688031868714001</v>
      </c>
      <c r="K966" s="6">
        <v>-96.512798022595007</v>
      </c>
      <c r="L966" s="6" t="str">
        <f>HYPERLINK("https://maps.google.com/?q=15.688031868714297,-96.512798022595263", "🔗 Ver Mapa")</f>
        <v>🔗 Ver Mapa</v>
      </c>
    </row>
    <row r="967" spans="1:12" ht="29" x14ac:dyDescent="0.35">
      <c r="A967" s="5" t="s">
        <v>2</v>
      </c>
      <c r="B967" s="5" t="s">
        <v>5</v>
      </c>
      <c r="C967" s="5" t="s">
        <v>65</v>
      </c>
      <c r="D967" s="5" t="s">
        <v>13</v>
      </c>
      <c r="E967" s="5" t="s">
        <v>17</v>
      </c>
      <c r="F967" s="5" t="s">
        <v>20</v>
      </c>
      <c r="G967" s="5" t="s">
        <v>24</v>
      </c>
      <c r="H967" s="5" t="s">
        <v>64</v>
      </c>
      <c r="I967" s="5" t="s">
        <v>32</v>
      </c>
      <c r="J967" s="5">
        <v>15.687516011082</v>
      </c>
      <c r="K967" s="5">
        <v>-96.512445633807999</v>
      </c>
      <c r="L967" s="5" t="str">
        <f>HYPERLINK("https://maps.google.com/?q=15.687516011082389,-96.512445633808142", "🔗 Ver Mapa")</f>
        <v>🔗 Ver Mapa</v>
      </c>
    </row>
    <row r="968" spans="1:12" ht="29" x14ac:dyDescent="0.35">
      <c r="A968" s="6" t="s">
        <v>2</v>
      </c>
      <c r="B968" s="6" t="s">
        <v>5</v>
      </c>
      <c r="C968" s="6" t="s">
        <v>65</v>
      </c>
      <c r="D968" s="6" t="s">
        <v>13</v>
      </c>
      <c r="E968" s="6" t="s">
        <v>17</v>
      </c>
      <c r="F968" s="6" t="s">
        <v>20</v>
      </c>
      <c r="G968" s="6" t="s">
        <v>24</v>
      </c>
      <c r="H968" s="6" t="s">
        <v>64</v>
      </c>
      <c r="I968" s="6" t="s">
        <v>32</v>
      </c>
      <c r="J968" s="6">
        <v>15.68728231311</v>
      </c>
      <c r="K968" s="6">
        <v>-96.512233237195005</v>
      </c>
      <c r="L968" s="6" t="str">
        <f>HYPERLINK("https://maps.google.com/?q=15.687282313109643,-96.512233237194579", "🔗 Ver Mapa")</f>
        <v>🔗 Ver Mapa</v>
      </c>
    </row>
    <row r="969" spans="1:12" ht="29" x14ac:dyDescent="0.35">
      <c r="A969" s="5" t="s">
        <v>2</v>
      </c>
      <c r="B969" s="5" t="s">
        <v>5</v>
      </c>
      <c r="C969" s="5" t="s">
        <v>65</v>
      </c>
      <c r="D969" s="5" t="s">
        <v>13</v>
      </c>
      <c r="E969" s="5" t="s">
        <v>17</v>
      </c>
      <c r="F969" s="5" t="s">
        <v>20</v>
      </c>
      <c r="G969" s="5" t="s">
        <v>24</v>
      </c>
      <c r="H969" s="5" t="s">
        <v>64</v>
      </c>
      <c r="I969" s="5" t="s">
        <v>32</v>
      </c>
      <c r="J969" s="5">
        <v>15.686461507624999</v>
      </c>
      <c r="K969" s="5">
        <v>-96.511951527511002</v>
      </c>
      <c r="L969" s="5" t="str">
        <f>HYPERLINK("https://maps.google.com/?q=15.686461507625253,-96.511951527511016", "🔗 Ver Mapa")</f>
        <v>🔗 Ver Mapa</v>
      </c>
    </row>
    <row r="970" spans="1:12" ht="29" x14ac:dyDescent="0.35">
      <c r="A970" s="6" t="s">
        <v>2</v>
      </c>
      <c r="B970" s="6" t="s">
        <v>5</v>
      </c>
      <c r="C970" s="6" t="s">
        <v>65</v>
      </c>
      <c r="D970" s="6" t="s">
        <v>13</v>
      </c>
      <c r="E970" s="6" t="s">
        <v>17</v>
      </c>
      <c r="F970" s="6" t="s">
        <v>20</v>
      </c>
      <c r="G970" s="6" t="s">
        <v>24</v>
      </c>
      <c r="H970" s="6" t="s">
        <v>64</v>
      </c>
      <c r="I970" s="6" t="s">
        <v>32</v>
      </c>
      <c r="J970" s="6">
        <v>15.686150459912</v>
      </c>
      <c r="K970" s="6">
        <v>-96.511948138324996</v>
      </c>
      <c r="L970" s="6" t="str">
        <f>HYPERLINK("https://maps.google.com/?q=15.686150459911582,-96.511948138325351", "🔗 Ver Mapa")</f>
        <v>🔗 Ver Mapa</v>
      </c>
    </row>
    <row r="971" spans="1:12" ht="29" x14ac:dyDescent="0.35">
      <c r="A971" s="5" t="s">
        <v>2</v>
      </c>
      <c r="B971" s="5" t="s">
        <v>5</v>
      </c>
      <c r="C971" s="5" t="s">
        <v>65</v>
      </c>
      <c r="D971" s="5" t="s">
        <v>13</v>
      </c>
      <c r="E971" s="5" t="s">
        <v>17</v>
      </c>
      <c r="F971" s="5" t="s">
        <v>20</v>
      </c>
      <c r="G971" s="5" t="s">
        <v>24</v>
      </c>
      <c r="H971" s="5" t="s">
        <v>64</v>
      </c>
      <c r="I971" s="5" t="s">
        <v>32</v>
      </c>
      <c r="J971" s="5">
        <v>15.688676413565</v>
      </c>
      <c r="K971" s="5">
        <v>-96.514383625407007</v>
      </c>
      <c r="L971" s="5" t="str">
        <f>HYPERLINK("https://maps.google.com/?q=15.68867641356516,-96.514383625406964", "🔗 Ver Mapa")</f>
        <v>🔗 Ver Mapa</v>
      </c>
    </row>
    <row r="972" spans="1:12" ht="29" x14ac:dyDescent="0.35">
      <c r="A972" s="6" t="s">
        <v>2</v>
      </c>
      <c r="B972" s="6" t="s">
        <v>5</v>
      </c>
      <c r="C972" s="6" t="s">
        <v>65</v>
      </c>
      <c r="D972" s="6" t="s">
        <v>13</v>
      </c>
      <c r="E972" s="6" t="s">
        <v>17</v>
      </c>
      <c r="F972" s="6" t="s">
        <v>20</v>
      </c>
      <c r="G972" s="6" t="s">
        <v>24</v>
      </c>
      <c r="H972" s="6" t="s">
        <v>64</v>
      </c>
      <c r="I972" s="6" t="s">
        <v>32</v>
      </c>
      <c r="J972" s="6">
        <v>15.68851692338</v>
      </c>
      <c r="K972" s="6">
        <v>-96.514191642246999</v>
      </c>
      <c r="L972" s="6" t="str">
        <f>HYPERLINK("https://maps.google.com/?q=15.688516923380316,-96.514191642246573", "🔗 Ver Mapa")</f>
        <v>🔗 Ver Mapa</v>
      </c>
    </row>
    <row r="973" spans="1:12" ht="29" x14ac:dyDescent="0.35">
      <c r="A973" s="5" t="s">
        <v>2</v>
      </c>
      <c r="B973" s="5" t="s">
        <v>5</v>
      </c>
      <c r="C973" s="5" t="s">
        <v>65</v>
      </c>
      <c r="D973" s="5" t="s">
        <v>13</v>
      </c>
      <c r="E973" s="5" t="s">
        <v>17</v>
      </c>
      <c r="F973" s="5" t="s">
        <v>20</v>
      </c>
      <c r="G973" s="5" t="s">
        <v>24</v>
      </c>
      <c r="H973" s="5" t="s">
        <v>64</v>
      </c>
      <c r="I973" s="5" t="s">
        <v>32</v>
      </c>
      <c r="J973" s="5">
        <v>15.688504792963</v>
      </c>
      <c r="K973" s="5">
        <v>-96.513930446960003</v>
      </c>
      <c r="L973" s="5" t="str">
        <f>HYPERLINK("https://maps.google.com/?q=15.68850479296265,-96.51393044696006", "🔗 Ver Mapa")</f>
        <v>🔗 Ver Mapa</v>
      </c>
    </row>
    <row r="974" spans="1:12" ht="29" x14ac:dyDescent="0.35">
      <c r="A974" s="6" t="s">
        <v>2</v>
      </c>
      <c r="B974" s="6" t="s">
        <v>5</v>
      </c>
      <c r="C974" s="6" t="s">
        <v>65</v>
      </c>
      <c r="D974" s="6" t="s">
        <v>13</v>
      </c>
      <c r="E974" s="6" t="s">
        <v>17</v>
      </c>
      <c r="F974" s="6" t="s">
        <v>20</v>
      </c>
      <c r="G974" s="6" t="s">
        <v>24</v>
      </c>
      <c r="H974" s="6" t="s">
        <v>64</v>
      </c>
      <c r="I974" s="6" t="s">
        <v>32</v>
      </c>
      <c r="J974" s="6">
        <v>15.688217328278</v>
      </c>
      <c r="K974" s="6">
        <v>-96.513734616411</v>
      </c>
      <c r="L974" s="6" t="str">
        <f>HYPERLINK("https://maps.google.com/?q=15.68821732827795,-96.513734616411369", "🔗 Ver Mapa")</f>
        <v>🔗 Ver Mapa</v>
      </c>
    </row>
    <row r="975" spans="1:12" ht="29" x14ac:dyDescent="0.35">
      <c r="A975" s="5" t="s">
        <v>2</v>
      </c>
      <c r="B975" s="5" t="s">
        <v>5</v>
      </c>
      <c r="C975" s="5" t="s">
        <v>65</v>
      </c>
      <c r="D975" s="5" t="s">
        <v>13</v>
      </c>
      <c r="E975" s="5" t="s">
        <v>17</v>
      </c>
      <c r="F975" s="5" t="s">
        <v>20</v>
      </c>
      <c r="G975" s="5" t="s">
        <v>24</v>
      </c>
      <c r="H975" s="5" t="s">
        <v>64</v>
      </c>
      <c r="I975" s="5" t="s">
        <v>32</v>
      </c>
      <c r="J975" s="5">
        <v>15.688162046464999</v>
      </c>
      <c r="K975" s="5">
        <v>-96.513602195782994</v>
      </c>
      <c r="L975" s="5" t="str">
        <f>HYPERLINK("https://maps.google.com/?q=15.688162046464997,-96.513602195782553", "🔗 Ver Mapa")</f>
        <v>🔗 Ver Mapa</v>
      </c>
    </row>
    <row r="976" spans="1:12" ht="29" x14ac:dyDescent="0.35">
      <c r="A976" s="6" t="s">
        <v>2</v>
      </c>
      <c r="B976" s="6" t="s">
        <v>5</v>
      </c>
      <c r="C976" s="6" t="s">
        <v>65</v>
      </c>
      <c r="D976" s="6" t="s">
        <v>13</v>
      </c>
      <c r="E976" s="6" t="s">
        <v>17</v>
      </c>
      <c r="F976" s="6" t="s">
        <v>20</v>
      </c>
      <c r="G976" s="6" t="s">
        <v>24</v>
      </c>
      <c r="H976" s="6" t="s">
        <v>64</v>
      </c>
      <c r="I976" s="6" t="s">
        <v>32</v>
      </c>
      <c r="J976" s="6">
        <v>15.688162532207</v>
      </c>
      <c r="K976" s="6">
        <v>-96.513300257989002</v>
      </c>
      <c r="L976" s="6" t="str">
        <f>HYPERLINK("https://maps.google.com/?q=15.688162532207457,-96.513300257989059", "🔗 Ver Mapa")</f>
        <v>🔗 Ver Mapa</v>
      </c>
    </row>
    <row r="977" spans="1:12" ht="29" x14ac:dyDescent="0.35">
      <c r="A977" s="5" t="s">
        <v>2</v>
      </c>
      <c r="B977" s="5" t="s">
        <v>5</v>
      </c>
      <c r="C977" s="5" t="s">
        <v>65</v>
      </c>
      <c r="D977" s="5" t="s">
        <v>13</v>
      </c>
      <c r="E977" s="5" t="s">
        <v>17</v>
      </c>
      <c r="F977" s="5" t="s">
        <v>20</v>
      </c>
      <c r="G977" s="5" t="s">
        <v>24</v>
      </c>
      <c r="H977" s="5" t="s">
        <v>64</v>
      </c>
      <c r="I977" s="5" t="s">
        <v>32</v>
      </c>
      <c r="J977" s="5">
        <v>15.68957317505</v>
      </c>
      <c r="K977" s="5">
        <v>-96.515984871954998</v>
      </c>
      <c r="L977" s="5" t="str">
        <f>HYPERLINK("https://maps.google.com/?q=15.68957317504993,-96.515984871954757", "🔗 Ver Mapa")</f>
        <v>🔗 Ver Mapa</v>
      </c>
    </row>
    <row r="978" spans="1:12" ht="29" x14ac:dyDescent="0.35">
      <c r="A978" s="6" t="s">
        <v>2</v>
      </c>
      <c r="B978" s="6" t="s">
        <v>5</v>
      </c>
      <c r="C978" s="6" t="s">
        <v>65</v>
      </c>
      <c r="D978" s="6" t="s">
        <v>13</v>
      </c>
      <c r="E978" s="6" t="s">
        <v>17</v>
      </c>
      <c r="F978" s="6" t="s">
        <v>20</v>
      </c>
      <c r="G978" s="6" t="s">
        <v>24</v>
      </c>
      <c r="H978" s="6" t="s">
        <v>64</v>
      </c>
      <c r="I978" s="6" t="s">
        <v>32</v>
      </c>
      <c r="J978" s="6">
        <v>15.689765768553</v>
      </c>
      <c r="K978" s="6">
        <v>-96.515628992531006</v>
      </c>
      <c r="L978" s="6" t="str">
        <f>HYPERLINK("https://maps.google.com/?q=15.689765768552878,-96.51562899253129", "🔗 Ver Mapa")</f>
        <v>🔗 Ver Mapa</v>
      </c>
    </row>
    <row r="979" spans="1:12" ht="29" x14ac:dyDescent="0.35">
      <c r="A979" s="5" t="s">
        <v>2</v>
      </c>
      <c r="B979" s="5" t="s">
        <v>5</v>
      </c>
      <c r="C979" s="5" t="s">
        <v>65</v>
      </c>
      <c r="D979" s="5" t="s">
        <v>13</v>
      </c>
      <c r="E979" s="5" t="s">
        <v>17</v>
      </c>
      <c r="F979" s="5" t="s">
        <v>20</v>
      </c>
      <c r="G979" s="5" t="s">
        <v>24</v>
      </c>
      <c r="H979" s="5" t="s">
        <v>64</v>
      </c>
      <c r="I979" s="5" t="s">
        <v>32</v>
      </c>
      <c r="J979" s="5">
        <v>15.689742616382</v>
      </c>
      <c r="K979" s="5">
        <v>-96.515529684862997</v>
      </c>
      <c r="L979" s="5" t="str">
        <f>HYPERLINK("https://maps.google.com/?q=15.689742616381503,-96.515529684862969", "🔗 Ver Mapa")</f>
        <v>🔗 Ver Mapa</v>
      </c>
    </row>
    <row r="980" spans="1:12" ht="29" x14ac:dyDescent="0.35">
      <c r="A980" s="6" t="s">
        <v>2</v>
      </c>
      <c r="B980" s="6" t="s">
        <v>5</v>
      </c>
      <c r="C980" s="6" t="s">
        <v>65</v>
      </c>
      <c r="D980" s="6" t="s">
        <v>13</v>
      </c>
      <c r="E980" s="6" t="s">
        <v>17</v>
      </c>
      <c r="F980" s="6" t="s">
        <v>20</v>
      </c>
      <c r="G980" s="6" t="s">
        <v>24</v>
      </c>
      <c r="H980" s="6" t="s">
        <v>64</v>
      </c>
      <c r="I980" s="6" t="s">
        <v>32</v>
      </c>
      <c r="J980" s="6">
        <v>15.689484991157</v>
      </c>
      <c r="K980" s="6">
        <v>-96.515460314934998</v>
      </c>
      <c r="L980" s="6" t="str">
        <f>HYPERLINK("https://maps.google.com/?q=15.689484991156524,-96.51546031493524", "🔗 Ver Mapa")</f>
        <v>🔗 Ver Mapa</v>
      </c>
    </row>
    <row r="981" spans="1:12" ht="29" x14ac:dyDescent="0.35">
      <c r="A981" s="5" t="s">
        <v>2</v>
      </c>
      <c r="B981" s="5" t="s">
        <v>5</v>
      </c>
      <c r="C981" s="5" t="s">
        <v>65</v>
      </c>
      <c r="D981" s="5" t="s">
        <v>13</v>
      </c>
      <c r="E981" s="5" t="s">
        <v>17</v>
      </c>
      <c r="F981" s="5" t="s">
        <v>20</v>
      </c>
      <c r="G981" s="5" t="s">
        <v>24</v>
      </c>
      <c r="H981" s="5" t="s">
        <v>64</v>
      </c>
      <c r="I981" s="5" t="s">
        <v>32</v>
      </c>
      <c r="J981" s="5">
        <v>15.689260549087001</v>
      </c>
      <c r="K981" s="5">
        <v>-96.515063880214001</v>
      </c>
      <c r="L981" s="5" t="str">
        <f>HYPERLINK("https://maps.google.com/?q=15.689260549087015,-96.515063880214356", "🔗 Ver Mapa")</f>
        <v>🔗 Ver Mapa</v>
      </c>
    </row>
    <row r="982" spans="1:12" ht="29" x14ac:dyDescent="0.35">
      <c r="A982" s="6" t="s">
        <v>2</v>
      </c>
      <c r="B982" s="6" t="s">
        <v>5</v>
      </c>
      <c r="C982" s="6" t="s">
        <v>65</v>
      </c>
      <c r="D982" s="6" t="s">
        <v>13</v>
      </c>
      <c r="E982" s="6" t="s">
        <v>17</v>
      </c>
      <c r="F982" s="6" t="s">
        <v>20</v>
      </c>
      <c r="G982" s="6" t="s">
        <v>24</v>
      </c>
      <c r="H982" s="6" t="s">
        <v>64</v>
      </c>
      <c r="I982" s="6" t="s">
        <v>32</v>
      </c>
      <c r="J982" s="6">
        <v>15.688785855998001</v>
      </c>
      <c r="K982" s="6">
        <v>-96.514621439945003</v>
      </c>
      <c r="L982" s="6" t="str">
        <f>HYPERLINK("https://maps.google.com/?q=15.688785855998043,-96.514621439944847", "🔗 Ver Mapa")</f>
        <v>🔗 Ver Mapa</v>
      </c>
    </row>
    <row r="983" spans="1:12" ht="29" x14ac:dyDescent="0.35">
      <c r="A983" s="5" t="s">
        <v>2</v>
      </c>
      <c r="B983" s="5" t="s">
        <v>5</v>
      </c>
      <c r="C983" s="5" t="s">
        <v>65</v>
      </c>
      <c r="D983" s="5" t="s">
        <v>13</v>
      </c>
      <c r="E983" s="5" t="s">
        <v>17</v>
      </c>
      <c r="F983" s="5" t="s">
        <v>20</v>
      </c>
      <c r="G983" s="5" t="s">
        <v>24</v>
      </c>
      <c r="H983" s="5" t="s">
        <v>64</v>
      </c>
      <c r="I983" s="5" t="s">
        <v>32</v>
      </c>
      <c r="J983" s="5">
        <v>15.690835315013</v>
      </c>
      <c r="K983" s="5">
        <v>-96.518079813754994</v>
      </c>
      <c r="L983" s="5" t="str">
        <f>HYPERLINK("https://maps.google.com/?q=15.690835315013052,-96.518079813755094", "🔗 Ver Mapa")</f>
        <v>🔗 Ver Mapa</v>
      </c>
    </row>
    <row r="984" spans="1:12" ht="29" x14ac:dyDescent="0.35">
      <c r="A984" s="6" t="s">
        <v>2</v>
      </c>
      <c r="B984" s="6" t="s">
        <v>5</v>
      </c>
      <c r="C984" s="6" t="s">
        <v>65</v>
      </c>
      <c r="D984" s="6" t="s">
        <v>13</v>
      </c>
      <c r="E984" s="6" t="s">
        <v>17</v>
      </c>
      <c r="F984" s="6" t="s">
        <v>20</v>
      </c>
      <c r="G984" s="6" t="s">
        <v>24</v>
      </c>
      <c r="H984" s="6" t="s">
        <v>64</v>
      </c>
      <c r="I984" s="6" t="s">
        <v>32</v>
      </c>
      <c r="J984" s="6">
        <v>15.690438623983001</v>
      </c>
      <c r="K984" s="6">
        <v>-96.517606626108005</v>
      </c>
      <c r="L984" s="6" t="str">
        <f>HYPERLINK("https://maps.google.com/?q=15.690438623982743,-96.517606626107607", "🔗 Ver Mapa")</f>
        <v>🔗 Ver Mapa</v>
      </c>
    </row>
    <row r="985" spans="1:12" ht="29" x14ac:dyDescent="0.35">
      <c r="A985" s="5" t="s">
        <v>2</v>
      </c>
      <c r="B985" s="5" t="s">
        <v>5</v>
      </c>
      <c r="C985" s="5" t="s">
        <v>65</v>
      </c>
      <c r="D985" s="5" t="s">
        <v>13</v>
      </c>
      <c r="E985" s="5" t="s">
        <v>17</v>
      </c>
      <c r="F985" s="5" t="s">
        <v>20</v>
      </c>
      <c r="G985" s="5" t="s">
        <v>24</v>
      </c>
      <c r="H985" s="5" t="s">
        <v>64</v>
      </c>
      <c r="I985" s="5" t="s">
        <v>32</v>
      </c>
      <c r="J985" s="5">
        <v>15.690423240114001</v>
      </c>
      <c r="K985" s="5">
        <v>-96.517193883549993</v>
      </c>
      <c r="L985" s="5" t="str">
        <f>HYPERLINK("https://maps.google.com/?q=15.690423240113693,-96.517193883549851", "🔗 Ver Mapa")</f>
        <v>🔗 Ver Mapa</v>
      </c>
    </row>
    <row r="986" spans="1:12" ht="29" x14ac:dyDescent="0.35">
      <c r="A986" s="6" t="s">
        <v>2</v>
      </c>
      <c r="B986" s="6" t="s">
        <v>5</v>
      </c>
      <c r="C986" s="6" t="s">
        <v>65</v>
      </c>
      <c r="D986" s="6" t="s">
        <v>13</v>
      </c>
      <c r="E986" s="6" t="s">
        <v>17</v>
      </c>
      <c r="F986" s="6" t="s">
        <v>20</v>
      </c>
      <c r="G986" s="6" t="s">
        <v>24</v>
      </c>
      <c r="H986" s="6" t="s">
        <v>64</v>
      </c>
      <c r="I986" s="6" t="s">
        <v>32</v>
      </c>
      <c r="J986" s="6">
        <v>15.690056993440001</v>
      </c>
      <c r="K986" s="6">
        <v>-96.516861730629998</v>
      </c>
      <c r="L986" s="6" t="str">
        <f>HYPERLINK("https://maps.google.com/?q=15.690056993440153,-96.516861730629586", "🔗 Ver Mapa")</f>
        <v>🔗 Ver Mapa</v>
      </c>
    </row>
    <row r="987" spans="1:12" ht="29" x14ac:dyDescent="0.35">
      <c r="A987" s="5" t="s">
        <v>2</v>
      </c>
      <c r="B987" s="5" t="s">
        <v>5</v>
      </c>
      <c r="C987" s="5" t="s">
        <v>65</v>
      </c>
      <c r="D987" s="5" t="s">
        <v>13</v>
      </c>
      <c r="E987" s="5" t="s">
        <v>17</v>
      </c>
      <c r="F987" s="5" t="s">
        <v>20</v>
      </c>
      <c r="G987" s="5" t="s">
        <v>24</v>
      </c>
      <c r="H987" s="5" t="s">
        <v>64</v>
      </c>
      <c r="I987" s="5" t="s">
        <v>32</v>
      </c>
      <c r="J987" s="5">
        <v>15.690001890274001</v>
      </c>
      <c r="K987" s="5">
        <v>-96.516653458128999</v>
      </c>
      <c r="L987" s="5" t="str">
        <f>HYPERLINK("https://maps.google.com/?q=15.690001890273644,-96.516653458129284", "🔗 Ver Mapa")</f>
        <v>🔗 Ver Mapa</v>
      </c>
    </row>
    <row r="988" spans="1:12" ht="29" x14ac:dyDescent="0.35">
      <c r="A988" s="6" t="s">
        <v>2</v>
      </c>
      <c r="B988" s="6" t="s">
        <v>5</v>
      </c>
      <c r="C988" s="6" t="s">
        <v>65</v>
      </c>
      <c r="D988" s="6" t="s">
        <v>13</v>
      </c>
      <c r="E988" s="6" t="s">
        <v>17</v>
      </c>
      <c r="F988" s="6" t="s">
        <v>20</v>
      </c>
      <c r="G988" s="6" t="s">
        <v>24</v>
      </c>
      <c r="H988" s="6" t="s">
        <v>64</v>
      </c>
      <c r="I988" s="6" t="s">
        <v>32</v>
      </c>
      <c r="J988" s="6">
        <v>15.68966983094</v>
      </c>
      <c r="K988" s="6">
        <v>-96.516259004689999</v>
      </c>
      <c r="L988" s="6" t="str">
        <f>HYPERLINK("https://maps.google.com/?q=15.6896698309402,-96.516259004689999", "🔗 Ver Mapa")</f>
        <v>🔗 Ver Mapa</v>
      </c>
    </row>
    <row r="989" spans="1:12" ht="29" x14ac:dyDescent="0.35">
      <c r="A989" s="5" t="s">
        <v>2</v>
      </c>
      <c r="B989" s="5" t="s">
        <v>5</v>
      </c>
      <c r="C989" s="5" t="s">
        <v>65</v>
      </c>
      <c r="D989" s="5" t="s">
        <v>13</v>
      </c>
      <c r="E989" s="5" t="s">
        <v>17</v>
      </c>
      <c r="F989" s="5" t="s">
        <v>20</v>
      </c>
      <c r="G989" s="5" t="s">
        <v>24</v>
      </c>
      <c r="H989" s="5" t="s">
        <v>64</v>
      </c>
      <c r="I989" s="5" t="s">
        <v>32</v>
      </c>
      <c r="J989" s="5">
        <v>15.691778421816</v>
      </c>
      <c r="K989" s="5">
        <v>-96.520016155161002</v>
      </c>
      <c r="L989" s="5" t="str">
        <f>HYPERLINK("https://maps.google.com/?q=15.691778421816023,-96.520016155161187", "🔗 Ver Mapa")</f>
        <v>🔗 Ver Mapa</v>
      </c>
    </row>
    <row r="990" spans="1:12" ht="29" x14ac:dyDescent="0.35">
      <c r="A990" s="6" t="s">
        <v>2</v>
      </c>
      <c r="B990" s="6" t="s">
        <v>5</v>
      </c>
      <c r="C990" s="6" t="s">
        <v>65</v>
      </c>
      <c r="D990" s="6" t="s">
        <v>13</v>
      </c>
      <c r="E990" s="6" t="s">
        <v>17</v>
      </c>
      <c r="F990" s="6" t="s">
        <v>20</v>
      </c>
      <c r="G990" s="6" t="s">
        <v>24</v>
      </c>
      <c r="H990" s="6" t="s">
        <v>64</v>
      </c>
      <c r="I990" s="6" t="s">
        <v>32</v>
      </c>
      <c r="J990" s="6">
        <v>15.691840675687001</v>
      </c>
      <c r="K990" s="6">
        <v>-96.519762652359006</v>
      </c>
      <c r="L990" s="6" t="str">
        <f>HYPERLINK("https://maps.google.com/?q=15.691840675686516,-96.519762652359262", "🔗 Ver Mapa")</f>
        <v>🔗 Ver Mapa</v>
      </c>
    </row>
    <row r="991" spans="1:12" ht="29" x14ac:dyDescent="0.35">
      <c r="A991" s="5" t="s">
        <v>2</v>
      </c>
      <c r="B991" s="5" t="s">
        <v>5</v>
      </c>
      <c r="C991" s="5" t="s">
        <v>65</v>
      </c>
      <c r="D991" s="5" t="s">
        <v>13</v>
      </c>
      <c r="E991" s="5" t="s">
        <v>17</v>
      </c>
      <c r="F991" s="5" t="s">
        <v>20</v>
      </c>
      <c r="G991" s="5" t="s">
        <v>24</v>
      </c>
      <c r="H991" s="5" t="s">
        <v>64</v>
      </c>
      <c r="I991" s="5" t="s">
        <v>32</v>
      </c>
      <c r="J991" s="5">
        <v>15.691714357993</v>
      </c>
      <c r="K991" s="5">
        <v>-96.519503643885997</v>
      </c>
      <c r="L991" s="5" t="str">
        <f>HYPERLINK("https://maps.google.com/?q=15.691714357993192,-96.519503643886438", "🔗 Ver Mapa")</f>
        <v>🔗 Ver Mapa</v>
      </c>
    </row>
    <row r="992" spans="1:12" ht="29" x14ac:dyDescent="0.35">
      <c r="A992" s="6" t="s">
        <v>2</v>
      </c>
      <c r="B992" s="6" t="s">
        <v>5</v>
      </c>
      <c r="C992" s="6" t="s">
        <v>65</v>
      </c>
      <c r="D992" s="6" t="s">
        <v>13</v>
      </c>
      <c r="E992" s="6" t="s">
        <v>17</v>
      </c>
      <c r="F992" s="6" t="s">
        <v>20</v>
      </c>
      <c r="G992" s="6" t="s">
        <v>24</v>
      </c>
      <c r="H992" s="6" t="s">
        <v>64</v>
      </c>
      <c r="I992" s="6" t="s">
        <v>32</v>
      </c>
      <c r="J992" s="6">
        <v>15.691739865856</v>
      </c>
      <c r="K992" s="6">
        <v>-96.519052208928997</v>
      </c>
      <c r="L992" s="6" t="str">
        <f>HYPERLINK("https://maps.google.com/?q=15.691739865855851,-96.519052208928542", "🔗 Ver Mapa")</f>
        <v>🔗 Ver Mapa</v>
      </c>
    </row>
    <row r="993" spans="1:12" ht="29" x14ac:dyDescent="0.35">
      <c r="A993" s="5" t="s">
        <v>2</v>
      </c>
      <c r="B993" s="5" t="s">
        <v>5</v>
      </c>
      <c r="C993" s="5" t="s">
        <v>65</v>
      </c>
      <c r="D993" s="5" t="s">
        <v>13</v>
      </c>
      <c r="E993" s="5" t="s">
        <v>17</v>
      </c>
      <c r="F993" s="5" t="s">
        <v>20</v>
      </c>
      <c r="G993" s="5" t="s">
        <v>24</v>
      </c>
      <c r="H993" s="5" t="s">
        <v>64</v>
      </c>
      <c r="I993" s="5" t="s">
        <v>32</v>
      </c>
      <c r="J993" s="5">
        <v>15.691542663370001</v>
      </c>
      <c r="K993" s="5">
        <v>-96.518509250476995</v>
      </c>
      <c r="L993" s="5" t="str">
        <f>HYPERLINK("https://maps.google.com/?q=15.69154266336971,-96.518509250476697", "🔗 Ver Mapa")</f>
        <v>🔗 Ver Mapa</v>
      </c>
    </row>
    <row r="994" spans="1:12" ht="29" x14ac:dyDescent="0.35">
      <c r="A994" s="6" t="s">
        <v>2</v>
      </c>
      <c r="B994" s="6" t="s">
        <v>5</v>
      </c>
      <c r="C994" s="6" t="s">
        <v>65</v>
      </c>
      <c r="D994" s="6" t="s">
        <v>13</v>
      </c>
      <c r="E994" s="6" t="s">
        <v>17</v>
      </c>
      <c r="F994" s="6" t="s">
        <v>20</v>
      </c>
      <c r="G994" s="6" t="s">
        <v>24</v>
      </c>
      <c r="H994" s="6" t="s">
        <v>64</v>
      </c>
      <c r="I994" s="6" t="s">
        <v>32</v>
      </c>
      <c r="J994" s="6">
        <v>15.691199809979</v>
      </c>
      <c r="K994" s="6">
        <v>-96.518161573597993</v>
      </c>
      <c r="L994" s="6" t="str">
        <f>HYPERLINK("https://maps.google.com/?q=15.69119980997855,-96.518161573597922", "🔗 Ver Mapa")</f>
        <v>🔗 Ver Mapa</v>
      </c>
    </row>
    <row r="995" spans="1:12" ht="29" x14ac:dyDescent="0.35">
      <c r="A995" s="5" t="s">
        <v>2</v>
      </c>
      <c r="B995" s="5" t="s">
        <v>5</v>
      </c>
      <c r="C995" s="5" t="s">
        <v>65</v>
      </c>
      <c r="D995" s="5" t="s">
        <v>13</v>
      </c>
      <c r="E995" s="5" t="s">
        <v>17</v>
      </c>
      <c r="F995" s="5" t="s">
        <v>20</v>
      </c>
      <c r="G995" s="5" t="s">
        <v>24</v>
      </c>
      <c r="H995" s="5" t="s">
        <v>64</v>
      </c>
      <c r="I995" s="5" t="s">
        <v>32</v>
      </c>
      <c r="J995" s="5">
        <v>15.693253217613</v>
      </c>
      <c r="K995" s="5">
        <v>-96.521829632491006</v>
      </c>
      <c r="L995" s="5" t="str">
        <f>HYPERLINK("https://maps.google.com/?q=15.693253217613295,-96.521829632491276", "🔗 Ver Mapa")</f>
        <v>🔗 Ver Mapa</v>
      </c>
    </row>
    <row r="996" spans="1:12" ht="29" x14ac:dyDescent="0.35">
      <c r="A996" s="6" t="s">
        <v>2</v>
      </c>
      <c r="B996" s="6" t="s">
        <v>5</v>
      </c>
      <c r="C996" s="6" t="s">
        <v>65</v>
      </c>
      <c r="D996" s="6" t="s">
        <v>13</v>
      </c>
      <c r="E996" s="6" t="s">
        <v>17</v>
      </c>
      <c r="F996" s="6" t="s">
        <v>20</v>
      </c>
      <c r="G996" s="6" t="s">
        <v>24</v>
      </c>
      <c r="H996" s="6" t="s">
        <v>64</v>
      </c>
      <c r="I996" s="6" t="s">
        <v>32</v>
      </c>
      <c r="J996" s="6">
        <v>15.693121185978001</v>
      </c>
      <c r="K996" s="6">
        <v>-96.521384443233998</v>
      </c>
      <c r="L996" s="6" t="str">
        <f>HYPERLINK("https://maps.google.com/?q=15.693121185978224,-96.521384443234126", "🔗 Ver Mapa")</f>
        <v>🔗 Ver Mapa</v>
      </c>
    </row>
    <row r="997" spans="1:12" ht="29" x14ac:dyDescent="0.35">
      <c r="A997" s="5" t="s">
        <v>2</v>
      </c>
      <c r="B997" s="5" t="s">
        <v>5</v>
      </c>
      <c r="C997" s="5" t="s">
        <v>65</v>
      </c>
      <c r="D997" s="5" t="s">
        <v>13</v>
      </c>
      <c r="E997" s="5" t="s">
        <v>17</v>
      </c>
      <c r="F997" s="5" t="s">
        <v>20</v>
      </c>
      <c r="G997" s="5" t="s">
        <v>24</v>
      </c>
      <c r="H997" s="5" t="s">
        <v>64</v>
      </c>
      <c r="I997" s="5" t="s">
        <v>32</v>
      </c>
      <c r="J997" s="5">
        <v>15.692788880354</v>
      </c>
      <c r="K997" s="5">
        <v>-96.521241620373999</v>
      </c>
      <c r="L997" s="5" t="str">
        <f>HYPERLINK("https://maps.google.com/?q=15.692788880353797,-96.521241620374226", "🔗 Ver Mapa")</f>
        <v>🔗 Ver Mapa</v>
      </c>
    </row>
    <row r="998" spans="1:12" ht="29" x14ac:dyDescent="0.35">
      <c r="A998" s="6" t="s">
        <v>2</v>
      </c>
      <c r="B998" s="6" t="s">
        <v>5</v>
      </c>
      <c r="C998" s="6" t="s">
        <v>65</v>
      </c>
      <c r="D998" s="6" t="s">
        <v>13</v>
      </c>
      <c r="E998" s="6" t="s">
        <v>17</v>
      </c>
      <c r="F998" s="6" t="s">
        <v>20</v>
      </c>
      <c r="G998" s="6" t="s">
        <v>24</v>
      </c>
      <c r="H998" s="6" t="s">
        <v>64</v>
      </c>
      <c r="I998" s="6" t="s">
        <v>32</v>
      </c>
      <c r="J998" s="6">
        <v>15.69248858361</v>
      </c>
      <c r="K998" s="6">
        <v>-96.521201050025994</v>
      </c>
      <c r="L998" s="6" t="str">
        <f>HYPERLINK("https://maps.google.com/?q=15.692488583610325,-96.521201050025638", "🔗 Ver Mapa")</f>
        <v>🔗 Ver Mapa</v>
      </c>
    </row>
    <row r="999" spans="1:12" ht="29" x14ac:dyDescent="0.35">
      <c r="A999" s="5" t="s">
        <v>2</v>
      </c>
      <c r="B999" s="5" t="s">
        <v>5</v>
      </c>
      <c r="C999" s="5" t="s">
        <v>65</v>
      </c>
      <c r="D999" s="5" t="s">
        <v>13</v>
      </c>
      <c r="E999" s="5" t="s">
        <v>17</v>
      </c>
      <c r="F999" s="5" t="s">
        <v>20</v>
      </c>
      <c r="G999" s="5" t="s">
        <v>24</v>
      </c>
      <c r="H999" s="5" t="s">
        <v>64</v>
      </c>
      <c r="I999" s="5" t="s">
        <v>32</v>
      </c>
      <c r="J999" s="5">
        <v>15.69195756885</v>
      </c>
      <c r="K999" s="5">
        <v>-96.520931480277</v>
      </c>
      <c r="L999" s="5" t="str">
        <f>HYPERLINK("https://maps.google.com/?q=15.691957568850174,-96.520931480276616", "🔗 Ver Mapa")</f>
        <v>🔗 Ver Mapa</v>
      </c>
    </row>
    <row r="1000" spans="1:12" ht="29" x14ac:dyDescent="0.35">
      <c r="A1000" s="6" t="s">
        <v>2</v>
      </c>
      <c r="B1000" s="6" t="s">
        <v>5</v>
      </c>
      <c r="C1000" s="6" t="s">
        <v>65</v>
      </c>
      <c r="D1000" s="6" t="s">
        <v>13</v>
      </c>
      <c r="E1000" s="6" t="s">
        <v>17</v>
      </c>
      <c r="F1000" s="6" t="s">
        <v>20</v>
      </c>
      <c r="G1000" s="6" t="s">
        <v>24</v>
      </c>
      <c r="H1000" s="6" t="s">
        <v>64</v>
      </c>
      <c r="I1000" s="6" t="s">
        <v>32</v>
      </c>
      <c r="J1000" s="6">
        <v>15.691909909094001</v>
      </c>
      <c r="K1000" s="6">
        <v>-96.520523832787006</v>
      </c>
      <c r="L1000" s="6" t="str">
        <f>HYPERLINK("https://maps.google.com/?q=15.69190990909367,-96.52052383278739", "🔗 Ver Mapa")</f>
        <v>🔗 Ver Mapa</v>
      </c>
    </row>
    <row r="1001" spans="1:12" ht="29" x14ac:dyDescent="0.35">
      <c r="A1001" s="5" t="s">
        <v>2</v>
      </c>
      <c r="B1001" s="5" t="s">
        <v>5</v>
      </c>
      <c r="C1001" s="5" t="s">
        <v>65</v>
      </c>
      <c r="D1001" s="5" t="s">
        <v>13</v>
      </c>
      <c r="E1001" s="5" t="s">
        <v>17</v>
      </c>
      <c r="F1001" s="5" t="s">
        <v>20</v>
      </c>
      <c r="G1001" s="5" t="s">
        <v>24</v>
      </c>
      <c r="H1001" s="5" t="s">
        <v>64</v>
      </c>
      <c r="I1001" s="5" t="s">
        <v>32</v>
      </c>
      <c r="J1001" s="5">
        <v>15.695065759572</v>
      </c>
      <c r="K1001" s="5">
        <v>-96.522834112853999</v>
      </c>
      <c r="L1001" s="5" t="str">
        <f>HYPERLINK("https://maps.google.com/?q=15.69506575957169,-96.522834112853943", "🔗 Ver Mapa")</f>
        <v>🔗 Ver Mapa</v>
      </c>
    </row>
    <row r="1002" spans="1:12" ht="29" x14ac:dyDescent="0.35">
      <c r="A1002" s="6" t="s">
        <v>2</v>
      </c>
      <c r="B1002" s="6" t="s">
        <v>5</v>
      </c>
      <c r="C1002" s="6" t="s">
        <v>65</v>
      </c>
      <c r="D1002" s="6" t="s">
        <v>13</v>
      </c>
      <c r="E1002" s="6" t="s">
        <v>17</v>
      </c>
      <c r="F1002" s="6" t="s">
        <v>20</v>
      </c>
      <c r="G1002" s="6" t="s">
        <v>24</v>
      </c>
      <c r="H1002" s="6" t="s">
        <v>64</v>
      </c>
      <c r="I1002" s="6" t="s">
        <v>32</v>
      </c>
      <c r="J1002" s="6">
        <v>15.694781206349001</v>
      </c>
      <c r="K1002" s="6">
        <v>-96.522827656667005</v>
      </c>
      <c r="L1002" s="6" t="str">
        <f>HYPERLINK("https://maps.google.com/?q=15.694781206349498,-96.522827656667303", "🔗 Ver Mapa")</f>
        <v>🔗 Ver Mapa</v>
      </c>
    </row>
    <row r="1003" spans="1:12" ht="29" x14ac:dyDescent="0.35">
      <c r="A1003" s="5" t="s">
        <v>2</v>
      </c>
      <c r="B1003" s="5" t="s">
        <v>5</v>
      </c>
      <c r="C1003" s="5" t="s">
        <v>65</v>
      </c>
      <c r="D1003" s="5" t="s">
        <v>13</v>
      </c>
      <c r="E1003" s="5" t="s">
        <v>17</v>
      </c>
      <c r="F1003" s="5" t="s">
        <v>20</v>
      </c>
      <c r="G1003" s="5" t="s">
        <v>24</v>
      </c>
      <c r="H1003" s="5" t="s">
        <v>64</v>
      </c>
      <c r="I1003" s="5" t="s">
        <v>32</v>
      </c>
      <c r="J1003" s="5">
        <v>15.694561321746001</v>
      </c>
      <c r="K1003" s="5">
        <v>-96.522674455133995</v>
      </c>
      <c r="L1003" s="5" t="str">
        <f>HYPERLINK("https://maps.google.com/?q=15.694561321745887,-96.522674455133924", "🔗 Ver Mapa")</f>
        <v>🔗 Ver Mapa</v>
      </c>
    </row>
    <row r="1004" spans="1:12" ht="29" x14ac:dyDescent="0.35">
      <c r="A1004" s="6" t="s">
        <v>2</v>
      </c>
      <c r="B1004" s="6" t="s">
        <v>5</v>
      </c>
      <c r="C1004" s="6" t="s">
        <v>65</v>
      </c>
      <c r="D1004" s="6" t="s">
        <v>13</v>
      </c>
      <c r="E1004" s="6" t="s">
        <v>17</v>
      </c>
      <c r="F1004" s="6" t="s">
        <v>20</v>
      </c>
      <c r="G1004" s="6" t="s">
        <v>24</v>
      </c>
      <c r="H1004" s="6" t="s">
        <v>64</v>
      </c>
      <c r="I1004" s="6" t="s">
        <v>32</v>
      </c>
      <c r="J1004" s="6">
        <v>15.694291339582</v>
      </c>
      <c r="K1004" s="6">
        <v>-96.522622596904</v>
      </c>
      <c r="L1004" s="6" t="str">
        <f>HYPERLINK("https://maps.google.com/?q=15.694291339582124,-96.522622596904341", "🔗 Ver Mapa")</f>
        <v>🔗 Ver Mapa</v>
      </c>
    </row>
    <row r="1005" spans="1:12" ht="29" x14ac:dyDescent="0.35">
      <c r="A1005" s="5" t="s">
        <v>2</v>
      </c>
      <c r="B1005" s="5" t="s">
        <v>5</v>
      </c>
      <c r="C1005" s="5" t="s">
        <v>65</v>
      </c>
      <c r="D1005" s="5" t="s">
        <v>13</v>
      </c>
      <c r="E1005" s="5" t="s">
        <v>17</v>
      </c>
      <c r="F1005" s="5" t="s">
        <v>20</v>
      </c>
      <c r="G1005" s="5" t="s">
        <v>24</v>
      </c>
      <c r="H1005" s="5" t="s">
        <v>64</v>
      </c>
      <c r="I1005" s="5" t="s">
        <v>32</v>
      </c>
      <c r="J1005" s="5">
        <v>15.694060832743</v>
      </c>
      <c r="K1005" s="5">
        <v>-96.522420894540005</v>
      </c>
      <c r="L1005" s="5" t="str">
        <f>HYPERLINK("https://maps.google.com/?q=15.694060832743101,-96.52242089454046", "🔗 Ver Mapa")</f>
        <v>🔗 Ver Mapa</v>
      </c>
    </row>
    <row r="1006" spans="1:12" ht="29" x14ac:dyDescent="0.35">
      <c r="A1006" s="6" t="s">
        <v>2</v>
      </c>
      <c r="B1006" s="6" t="s">
        <v>5</v>
      </c>
      <c r="C1006" s="6" t="s">
        <v>65</v>
      </c>
      <c r="D1006" s="6" t="s">
        <v>13</v>
      </c>
      <c r="E1006" s="6" t="s">
        <v>17</v>
      </c>
      <c r="F1006" s="6" t="s">
        <v>20</v>
      </c>
      <c r="G1006" s="6" t="s">
        <v>24</v>
      </c>
      <c r="H1006" s="6" t="s">
        <v>64</v>
      </c>
      <c r="I1006" s="6" t="s">
        <v>32</v>
      </c>
      <c r="J1006" s="6">
        <v>15.693701502171001</v>
      </c>
      <c r="K1006" s="6">
        <v>-96.522404180237999</v>
      </c>
      <c r="L1006" s="6" t="str">
        <f>HYPERLINK("https://maps.google.com/?q=15.693701502170835,-96.522404180238127", "🔗 Ver Mapa")</f>
        <v>🔗 Ver Mapa</v>
      </c>
    </row>
    <row r="1007" spans="1:12" ht="29" x14ac:dyDescent="0.35">
      <c r="A1007" s="5" t="s">
        <v>2</v>
      </c>
      <c r="B1007" s="5" t="s">
        <v>5</v>
      </c>
      <c r="C1007" s="5" t="s">
        <v>65</v>
      </c>
      <c r="D1007" s="5" t="s">
        <v>13</v>
      </c>
      <c r="E1007" s="5" t="s">
        <v>17</v>
      </c>
      <c r="F1007" s="5" t="s">
        <v>20</v>
      </c>
      <c r="G1007" s="5" t="s">
        <v>24</v>
      </c>
      <c r="H1007" s="5" t="s">
        <v>64</v>
      </c>
      <c r="I1007" s="5" t="s">
        <v>32</v>
      </c>
      <c r="J1007" s="5">
        <v>15.696281322002999</v>
      </c>
      <c r="K1007" s="5">
        <v>-96.523571232950005</v>
      </c>
      <c r="L1007" s="5" t="str">
        <f>HYPERLINK("https://maps.google.com/?q=15.696281322003365,-96.523571232949692", "🔗 Ver Mapa")</f>
        <v>🔗 Ver Mapa</v>
      </c>
    </row>
    <row r="1008" spans="1:12" ht="29" x14ac:dyDescent="0.35">
      <c r="A1008" s="6" t="s">
        <v>2</v>
      </c>
      <c r="B1008" s="6" t="s">
        <v>5</v>
      </c>
      <c r="C1008" s="6" t="s">
        <v>65</v>
      </c>
      <c r="D1008" s="6" t="s">
        <v>13</v>
      </c>
      <c r="E1008" s="6" t="s">
        <v>17</v>
      </c>
      <c r="F1008" s="6" t="s">
        <v>20</v>
      </c>
      <c r="G1008" s="6" t="s">
        <v>24</v>
      </c>
      <c r="H1008" s="6" t="s">
        <v>64</v>
      </c>
      <c r="I1008" s="6" t="s">
        <v>32</v>
      </c>
      <c r="J1008" s="6">
        <v>15.695971297318</v>
      </c>
      <c r="K1008" s="6">
        <v>-96.523529163475004</v>
      </c>
      <c r="L1008" s="6" t="str">
        <f>HYPERLINK("https://maps.google.com/?q=15.69597129731844,-96.523529163475075", "🔗 Ver Mapa")</f>
        <v>🔗 Ver Mapa</v>
      </c>
    </row>
    <row r="1009" spans="1:12" ht="29" x14ac:dyDescent="0.35">
      <c r="A1009" s="5" t="s">
        <v>2</v>
      </c>
      <c r="B1009" s="5" t="s">
        <v>5</v>
      </c>
      <c r="C1009" s="5" t="s">
        <v>65</v>
      </c>
      <c r="D1009" s="5" t="s">
        <v>13</v>
      </c>
      <c r="E1009" s="5" t="s">
        <v>17</v>
      </c>
      <c r="F1009" s="5" t="s">
        <v>20</v>
      </c>
      <c r="G1009" s="5" t="s">
        <v>24</v>
      </c>
      <c r="H1009" s="5" t="s">
        <v>64</v>
      </c>
      <c r="I1009" s="5" t="s">
        <v>32</v>
      </c>
      <c r="J1009" s="5">
        <v>15.695875675045</v>
      </c>
      <c r="K1009" s="5">
        <v>-96.523398937734001</v>
      </c>
      <c r="L1009" s="5" t="str">
        <f>HYPERLINK("https://maps.google.com/?q=15.695875675045059,-96.523398937734385", "🔗 Ver Mapa")</f>
        <v>🔗 Ver Mapa</v>
      </c>
    </row>
    <row r="1010" spans="1:12" ht="29" x14ac:dyDescent="0.35">
      <c r="A1010" s="6" t="s">
        <v>2</v>
      </c>
      <c r="B1010" s="6" t="s">
        <v>5</v>
      </c>
      <c r="C1010" s="6" t="s">
        <v>65</v>
      </c>
      <c r="D1010" s="6" t="s">
        <v>13</v>
      </c>
      <c r="E1010" s="6" t="s">
        <v>17</v>
      </c>
      <c r="F1010" s="6" t="s">
        <v>20</v>
      </c>
      <c r="G1010" s="6" t="s">
        <v>24</v>
      </c>
      <c r="H1010" s="6" t="s">
        <v>64</v>
      </c>
      <c r="I1010" s="6" t="s">
        <v>32</v>
      </c>
      <c r="J1010" s="6">
        <v>15.695781695858001</v>
      </c>
      <c r="K1010" s="6">
        <v>-96.523145909359002</v>
      </c>
      <c r="L1010" s="6" t="str">
        <f>HYPERLINK("https://maps.google.com/?q=15.695781695858319,-96.523145909358618", "🔗 Ver Mapa")</f>
        <v>🔗 Ver Mapa</v>
      </c>
    </row>
    <row r="1011" spans="1:12" ht="29" x14ac:dyDescent="0.35">
      <c r="A1011" s="5" t="s">
        <v>2</v>
      </c>
      <c r="B1011" s="5" t="s">
        <v>5</v>
      </c>
      <c r="C1011" s="5" t="s">
        <v>65</v>
      </c>
      <c r="D1011" s="5" t="s">
        <v>13</v>
      </c>
      <c r="E1011" s="5" t="s">
        <v>17</v>
      </c>
      <c r="F1011" s="5" t="s">
        <v>20</v>
      </c>
      <c r="G1011" s="5" t="s">
        <v>24</v>
      </c>
      <c r="H1011" s="5" t="s">
        <v>64</v>
      </c>
      <c r="I1011" s="5" t="s">
        <v>32</v>
      </c>
      <c r="J1011" s="5">
        <v>15.695533980911</v>
      </c>
      <c r="K1011" s="5">
        <v>-96.522939452092999</v>
      </c>
      <c r="L1011" s="5" t="str">
        <f>HYPERLINK("https://maps.google.com/?q=15.695533980911112,-96.522939452092942", "🔗 Ver Mapa")</f>
        <v>🔗 Ver Mapa</v>
      </c>
    </row>
    <row r="1012" spans="1:12" ht="29" x14ac:dyDescent="0.35">
      <c r="A1012" s="6" t="s">
        <v>2</v>
      </c>
      <c r="B1012" s="6" t="s">
        <v>5</v>
      </c>
      <c r="C1012" s="6" t="s">
        <v>65</v>
      </c>
      <c r="D1012" s="6" t="s">
        <v>13</v>
      </c>
      <c r="E1012" s="6" t="s">
        <v>17</v>
      </c>
      <c r="F1012" s="6" t="s">
        <v>20</v>
      </c>
      <c r="G1012" s="6" t="s">
        <v>24</v>
      </c>
      <c r="H1012" s="6" t="s">
        <v>64</v>
      </c>
      <c r="I1012" s="6" t="s">
        <v>32</v>
      </c>
      <c r="J1012" s="6">
        <v>15.695274220203</v>
      </c>
      <c r="K1012" s="6">
        <v>-96.522958125675004</v>
      </c>
      <c r="L1012" s="6" t="str">
        <f>HYPERLINK("https://maps.google.com/?q=15.695274220202515,-96.522958125675189", "🔗 Ver Mapa")</f>
        <v>🔗 Ver Mapa</v>
      </c>
    </row>
    <row r="1013" spans="1:12" ht="29" x14ac:dyDescent="0.35">
      <c r="A1013" s="5" t="s">
        <v>2</v>
      </c>
      <c r="B1013" s="5" t="s">
        <v>5</v>
      </c>
      <c r="C1013" s="5" t="s">
        <v>65</v>
      </c>
      <c r="D1013" s="5" t="s">
        <v>13</v>
      </c>
      <c r="E1013" s="5" t="s">
        <v>17</v>
      </c>
      <c r="F1013" s="5" t="s">
        <v>20</v>
      </c>
      <c r="G1013" s="5" t="s">
        <v>24</v>
      </c>
      <c r="H1013" s="5" t="s">
        <v>64</v>
      </c>
      <c r="I1013" s="5" t="s">
        <v>32</v>
      </c>
      <c r="J1013" s="5">
        <v>15.697796994045</v>
      </c>
      <c r="K1013" s="5">
        <v>-96.524927283916995</v>
      </c>
      <c r="L1013" s="5" t="str">
        <f>HYPERLINK("https://maps.google.com/?q=15.697796994045115,-96.524927283916782", "🔗 Ver Mapa")</f>
        <v>🔗 Ver Mapa</v>
      </c>
    </row>
    <row r="1014" spans="1:12" ht="29" x14ac:dyDescent="0.35">
      <c r="A1014" s="6" t="s">
        <v>2</v>
      </c>
      <c r="B1014" s="6" t="s">
        <v>5</v>
      </c>
      <c r="C1014" s="6" t="s">
        <v>65</v>
      </c>
      <c r="D1014" s="6" t="s">
        <v>13</v>
      </c>
      <c r="E1014" s="6" t="s">
        <v>17</v>
      </c>
      <c r="F1014" s="6" t="s">
        <v>20</v>
      </c>
      <c r="G1014" s="6" t="s">
        <v>24</v>
      </c>
      <c r="H1014" s="6" t="s">
        <v>64</v>
      </c>
      <c r="I1014" s="6" t="s">
        <v>32</v>
      </c>
      <c r="J1014" s="6">
        <v>15.697621332944999</v>
      </c>
      <c r="K1014" s="6">
        <v>-96.524453141704001</v>
      </c>
      <c r="L1014" s="6" t="str">
        <f>HYPERLINK("https://maps.google.com/?q=15.697621332945317,-96.524453141704328", "🔗 Ver Mapa")</f>
        <v>🔗 Ver Mapa</v>
      </c>
    </row>
    <row r="1015" spans="1:12" ht="29" x14ac:dyDescent="0.35">
      <c r="A1015" s="5" t="s">
        <v>2</v>
      </c>
      <c r="B1015" s="5" t="s">
        <v>5</v>
      </c>
      <c r="C1015" s="5" t="s">
        <v>65</v>
      </c>
      <c r="D1015" s="5" t="s">
        <v>13</v>
      </c>
      <c r="E1015" s="5" t="s">
        <v>17</v>
      </c>
      <c r="F1015" s="5" t="s">
        <v>20</v>
      </c>
      <c r="G1015" s="5" t="s">
        <v>24</v>
      </c>
      <c r="H1015" s="5" t="s">
        <v>64</v>
      </c>
      <c r="I1015" s="5" t="s">
        <v>32</v>
      </c>
      <c r="J1015" s="5">
        <v>15.697353753588001</v>
      </c>
      <c r="K1015" s="5">
        <v>-96.524199586704</v>
      </c>
      <c r="L1015" s="5" t="str">
        <f>HYPERLINK("https://maps.google.com/?q=15.697353753587917,-96.52419958670373", "🔗 Ver Mapa")</f>
        <v>🔗 Ver Mapa</v>
      </c>
    </row>
    <row r="1016" spans="1:12" ht="29" x14ac:dyDescent="0.35">
      <c r="A1016" s="6" t="s">
        <v>2</v>
      </c>
      <c r="B1016" s="6" t="s">
        <v>5</v>
      </c>
      <c r="C1016" s="6" t="s">
        <v>65</v>
      </c>
      <c r="D1016" s="6" t="s">
        <v>13</v>
      </c>
      <c r="E1016" s="6" t="s">
        <v>17</v>
      </c>
      <c r="F1016" s="6" t="s">
        <v>20</v>
      </c>
      <c r="G1016" s="6" t="s">
        <v>24</v>
      </c>
      <c r="H1016" s="6" t="s">
        <v>64</v>
      </c>
      <c r="I1016" s="6" t="s">
        <v>32</v>
      </c>
      <c r="J1016" s="6">
        <v>15.697240831239</v>
      </c>
      <c r="K1016" s="6">
        <v>-96.523795055872995</v>
      </c>
      <c r="L1016" s="6" t="str">
        <f>HYPERLINK("https://maps.google.com/?q=15.697240831238522,-96.523795055873308", "🔗 Ver Mapa")</f>
        <v>🔗 Ver Mapa</v>
      </c>
    </row>
    <row r="1017" spans="1:12" ht="29" x14ac:dyDescent="0.35">
      <c r="A1017" s="5" t="s">
        <v>2</v>
      </c>
      <c r="B1017" s="5" t="s">
        <v>5</v>
      </c>
      <c r="C1017" s="5" t="s">
        <v>65</v>
      </c>
      <c r="D1017" s="5" t="s">
        <v>13</v>
      </c>
      <c r="E1017" s="5" t="s">
        <v>17</v>
      </c>
      <c r="F1017" s="5" t="s">
        <v>20</v>
      </c>
      <c r="G1017" s="5" t="s">
        <v>24</v>
      </c>
      <c r="H1017" s="5" t="s">
        <v>64</v>
      </c>
      <c r="I1017" s="5" t="s">
        <v>32</v>
      </c>
      <c r="J1017" s="5">
        <v>15.696970670099001</v>
      </c>
      <c r="K1017" s="5">
        <v>-96.523540116006998</v>
      </c>
      <c r="L1017" s="5" t="str">
        <f>HYPERLINK("https://maps.google.com/?q=15.696970670098574,-96.523540116007311", "🔗 Ver Mapa")</f>
        <v>🔗 Ver Mapa</v>
      </c>
    </row>
    <row r="1018" spans="1:12" ht="29" x14ac:dyDescent="0.35">
      <c r="A1018" s="6" t="s">
        <v>2</v>
      </c>
      <c r="B1018" s="6" t="s">
        <v>5</v>
      </c>
      <c r="C1018" s="6" t="s">
        <v>65</v>
      </c>
      <c r="D1018" s="6" t="s">
        <v>13</v>
      </c>
      <c r="E1018" s="6" t="s">
        <v>17</v>
      </c>
      <c r="F1018" s="6" t="s">
        <v>20</v>
      </c>
      <c r="G1018" s="6" t="s">
        <v>24</v>
      </c>
      <c r="H1018" s="6" t="s">
        <v>64</v>
      </c>
      <c r="I1018" s="6" t="s">
        <v>32</v>
      </c>
      <c r="J1018" s="6">
        <v>15.696723209688001</v>
      </c>
      <c r="K1018" s="6">
        <v>-96.523457304885</v>
      </c>
      <c r="L1018" s="6" t="str">
        <f>HYPERLINK("https://maps.google.com/?q=15.696723209688155,-96.523457304884516", "🔗 Ver Mapa")</f>
        <v>🔗 Ver Mapa</v>
      </c>
    </row>
    <row r="1019" spans="1:12" ht="29" x14ac:dyDescent="0.35">
      <c r="A1019" s="5" t="s">
        <v>2</v>
      </c>
      <c r="B1019" s="5" t="s">
        <v>5</v>
      </c>
      <c r="C1019" s="5" t="s">
        <v>65</v>
      </c>
      <c r="D1019" s="5" t="s">
        <v>13</v>
      </c>
      <c r="E1019" s="5" t="s">
        <v>17</v>
      </c>
      <c r="F1019" s="5" t="s">
        <v>20</v>
      </c>
      <c r="G1019" s="5" t="s">
        <v>24</v>
      </c>
      <c r="H1019" s="5" t="s">
        <v>64</v>
      </c>
      <c r="I1019" s="5" t="s">
        <v>32</v>
      </c>
      <c r="J1019" s="5">
        <v>15.700389188792</v>
      </c>
      <c r="K1019" s="5">
        <v>-96.524630103533994</v>
      </c>
      <c r="L1019" s="5" t="str">
        <f>HYPERLINK("https://maps.google.com/?q=15.70038918879172,-96.524630103533681", "🔗 Ver Mapa")</f>
        <v>🔗 Ver Mapa</v>
      </c>
    </row>
    <row r="1020" spans="1:12" ht="29" x14ac:dyDescent="0.35">
      <c r="A1020" s="6" t="s">
        <v>2</v>
      </c>
      <c r="B1020" s="6" t="s">
        <v>5</v>
      </c>
      <c r="C1020" s="6" t="s">
        <v>65</v>
      </c>
      <c r="D1020" s="6" t="s">
        <v>13</v>
      </c>
      <c r="E1020" s="6" t="s">
        <v>17</v>
      </c>
      <c r="F1020" s="6" t="s">
        <v>20</v>
      </c>
      <c r="G1020" s="6" t="s">
        <v>24</v>
      </c>
      <c r="H1020" s="6" t="s">
        <v>64</v>
      </c>
      <c r="I1020" s="6" t="s">
        <v>32</v>
      </c>
      <c r="J1020" s="6">
        <v>15.700170840834</v>
      </c>
      <c r="K1020" s="6">
        <v>-96.524879505369995</v>
      </c>
      <c r="L1020" s="6" t="str">
        <f>HYPERLINK("https://maps.google.com/?q=15.700170840833536,-96.524879505370137", "🔗 Ver Mapa")</f>
        <v>🔗 Ver Mapa</v>
      </c>
    </row>
    <row r="1021" spans="1:12" ht="29" x14ac:dyDescent="0.35">
      <c r="A1021" s="5" t="s">
        <v>2</v>
      </c>
      <c r="B1021" s="5" t="s">
        <v>5</v>
      </c>
      <c r="C1021" s="5" t="s">
        <v>65</v>
      </c>
      <c r="D1021" s="5" t="s">
        <v>13</v>
      </c>
      <c r="E1021" s="5" t="s">
        <v>17</v>
      </c>
      <c r="F1021" s="5" t="s">
        <v>20</v>
      </c>
      <c r="G1021" s="5" t="s">
        <v>24</v>
      </c>
      <c r="H1021" s="5" t="s">
        <v>64</v>
      </c>
      <c r="I1021" s="5" t="s">
        <v>32</v>
      </c>
      <c r="J1021" s="5">
        <v>15.699403010978999</v>
      </c>
      <c r="K1021" s="5">
        <v>-96.524960152001</v>
      </c>
      <c r="L1021" s="5" t="str">
        <f>HYPERLINK("https://maps.google.com/?q=15.699403010978934,-96.524960152000645", "🔗 Ver Mapa")</f>
        <v>🔗 Ver Mapa</v>
      </c>
    </row>
    <row r="1022" spans="1:12" ht="29" x14ac:dyDescent="0.35">
      <c r="A1022" s="6" t="s">
        <v>2</v>
      </c>
      <c r="B1022" s="6" t="s">
        <v>5</v>
      </c>
      <c r="C1022" s="6" t="s">
        <v>65</v>
      </c>
      <c r="D1022" s="6" t="s">
        <v>13</v>
      </c>
      <c r="E1022" s="6" t="s">
        <v>17</v>
      </c>
      <c r="F1022" s="6" t="s">
        <v>20</v>
      </c>
      <c r="G1022" s="6" t="s">
        <v>24</v>
      </c>
      <c r="H1022" s="6" t="s">
        <v>64</v>
      </c>
      <c r="I1022" s="6" t="s">
        <v>32</v>
      </c>
      <c r="J1022" s="6">
        <v>15.698751531377001</v>
      </c>
      <c r="K1022" s="6">
        <v>-96.524870970538004</v>
      </c>
      <c r="L1022" s="6" t="str">
        <f>HYPERLINK("https://maps.google.com/?q=15.698751531377344,-96.524870970538132", "🔗 Ver Mapa")</f>
        <v>🔗 Ver Mapa</v>
      </c>
    </row>
    <row r="1023" spans="1:12" ht="29" x14ac:dyDescent="0.35">
      <c r="A1023" s="5" t="s">
        <v>2</v>
      </c>
      <c r="B1023" s="5" t="s">
        <v>5</v>
      </c>
      <c r="C1023" s="5" t="s">
        <v>65</v>
      </c>
      <c r="D1023" s="5" t="s">
        <v>13</v>
      </c>
      <c r="E1023" s="5" t="s">
        <v>17</v>
      </c>
      <c r="F1023" s="5" t="s">
        <v>20</v>
      </c>
      <c r="G1023" s="5" t="s">
        <v>24</v>
      </c>
      <c r="H1023" s="5" t="s">
        <v>64</v>
      </c>
      <c r="I1023" s="5" t="s">
        <v>32</v>
      </c>
      <c r="J1023" s="5">
        <v>15.698205099177001</v>
      </c>
      <c r="K1023" s="5">
        <v>-96.525129235711006</v>
      </c>
      <c r="L1023" s="5" t="str">
        <f>HYPERLINK("https://maps.google.com/?q=15.698205099177237,-96.525129235711319", "🔗 Ver Mapa")</f>
        <v>🔗 Ver Mapa</v>
      </c>
    </row>
    <row r="1024" spans="1:12" ht="29" x14ac:dyDescent="0.35">
      <c r="A1024" s="6" t="s">
        <v>2</v>
      </c>
      <c r="B1024" s="6" t="s">
        <v>5</v>
      </c>
      <c r="C1024" s="6" t="s">
        <v>65</v>
      </c>
      <c r="D1024" s="6" t="s">
        <v>13</v>
      </c>
      <c r="E1024" s="6" t="s">
        <v>17</v>
      </c>
      <c r="F1024" s="6" t="s">
        <v>20</v>
      </c>
      <c r="G1024" s="6" t="s">
        <v>24</v>
      </c>
      <c r="H1024" s="6" t="s">
        <v>64</v>
      </c>
      <c r="I1024" s="6" t="s">
        <v>32</v>
      </c>
      <c r="J1024" s="6">
        <v>15.697960908020001</v>
      </c>
      <c r="K1024" s="6">
        <v>-96.525081408138007</v>
      </c>
      <c r="L1024" s="6" t="str">
        <f>HYPERLINK("https://maps.google.com/?q=15.697960908020072,-96.52508140813849", "🔗 Ver Mapa")</f>
        <v>🔗 Ver Mapa</v>
      </c>
    </row>
    <row r="1025" spans="1:12" ht="29" x14ac:dyDescent="0.35">
      <c r="A1025" s="5" t="s">
        <v>2</v>
      </c>
      <c r="B1025" s="5" t="s">
        <v>5</v>
      </c>
      <c r="C1025" s="5" t="s">
        <v>65</v>
      </c>
      <c r="D1025" s="5" t="s">
        <v>13</v>
      </c>
      <c r="E1025" s="5" t="s">
        <v>17</v>
      </c>
      <c r="F1025" s="5" t="s">
        <v>20</v>
      </c>
      <c r="G1025" s="5" t="s">
        <v>24</v>
      </c>
      <c r="H1025" s="5" t="s">
        <v>64</v>
      </c>
      <c r="I1025" s="5" t="s">
        <v>32</v>
      </c>
      <c r="J1025" s="5">
        <v>15.702675201366</v>
      </c>
      <c r="K1025" s="5">
        <v>-96.523748672799996</v>
      </c>
      <c r="L1025" s="5" t="str">
        <f>HYPERLINK("https://maps.google.com/?q=15.702675201366125,-96.523748672800139", "🔗 Ver Mapa")</f>
        <v>🔗 Ver Mapa</v>
      </c>
    </row>
    <row r="1026" spans="1:12" ht="29" x14ac:dyDescent="0.35">
      <c r="A1026" s="6" t="s">
        <v>2</v>
      </c>
      <c r="B1026" s="6" t="s">
        <v>5</v>
      </c>
      <c r="C1026" s="6" t="s">
        <v>65</v>
      </c>
      <c r="D1026" s="6" t="s">
        <v>13</v>
      </c>
      <c r="E1026" s="6" t="s">
        <v>17</v>
      </c>
      <c r="F1026" s="6" t="s">
        <v>20</v>
      </c>
      <c r="G1026" s="6" t="s">
        <v>24</v>
      </c>
      <c r="H1026" s="6" t="s">
        <v>64</v>
      </c>
      <c r="I1026" s="6" t="s">
        <v>32</v>
      </c>
      <c r="J1026" s="6">
        <v>15.702396268927</v>
      </c>
      <c r="K1026" s="6">
        <v>-96.523694589507997</v>
      </c>
      <c r="L1026" s="6" t="str">
        <f>HYPERLINK("https://maps.google.com/?q=15.702396268926702,-96.523694589507684", "🔗 Ver Mapa")</f>
        <v>🔗 Ver Mapa</v>
      </c>
    </row>
    <row r="1027" spans="1:12" ht="29" x14ac:dyDescent="0.35">
      <c r="A1027" s="5" t="s">
        <v>2</v>
      </c>
      <c r="B1027" s="5" t="s">
        <v>5</v>
      </c>
      <c r="C1027" s="5" t="s">
        <v>65</v>
      </c>
      <c r="D1027" s="5" t="s">
        <v>13</v>
      </c>
      <c r="E1027" s="5" t="s">
        <v>17</v>
      </c>
      <c r="F1027" s="5" t="s">
        <v>20</v>
      </c>
      <c r="G1027" s="5" t="s">
        <v>24</v>
      </c>
      <c r="H1027" s="5" t="s">
        <v>64</v>
      </c>
      <c r="I1027" s="5" t="s">
        <v>32</v>
      </c>
      <c r="J1027" s="5">
        <v>15.702000732513</v>
      </c>
      <c r="K1027" s="5">
        <v>-96.523434090796002</v>
      </c>
      <c r="L1027" s="5" t="str">
        <f>HYPERLINK("https://maps.google.com/?q=15.70200073251305,-96.523434090796371", "🔗 Ver Mapa")</f>
        <v>🔗 Ver Mapa</v>
      </c>
    </row>
    <row r="1028" spans="1:12" ht="29" x14ac:dyDescent="0.35">
      <c r="A1028" s="6" t="s">
        <v>2</v>
      </c>
      <c r="B1028" s="6" t="s">
        <v>5</v>
      </c>
      <c r="C1028" s="6" t="s">
        <v>65</v>
      </c>
      <c r="D1028" s="6" t="s">
        <v>13</v>
      </c>
      <c r="E1028" s="6" t="s">
        <v>17</v>
      </c>
      <c r="F1028" s="6" t="s">
        <v>20</v>
      </c>
      <c r="G1028" s="6" t="s">
        <v>24</v>
      </c>
      <c r="H1028" s="6" t="s">
        <v>64</v>
      </c>
      <c r="I1028" s="6" t="s">
        <v>32</v>
      </c>
      <c r="J1028" s="6">
        <v>15.701634688101</v>
      </c>
      <c r="K1028" s="6">
        <v>-96.523394097403994</v>
      </c>
      <c r="L1028" s="6" t="str">
        <f>HYPERLINK("https://maps.google.com/?q=15.701634688100706,-96.523394097404079", "🔗 Ver Mapa")</f>
        <v>🔗 Ver Mapa</v>
      </c>
    </row>
    <row r="1029" spans="1:12" ht="29" x14ac:dyDescent="0.35">
      <c r="A1029" s="5" t="s">
        <v>2</v>
      </c>
      <c r="B1029" s="5" t="s">
        <v>5</v>
      </c>
      <c r="C1029" s="5" t="s">
        <v>65</v>
      </c>
      <c r="D1029" s="5" t="s">
        <v>13</v>
      </c>
      <c r="E1029" s="5" t="s">
        <v>17</v>
      </c>
      <c r="F1029" s="5" t="s">
        <v>20</v>
      </c>
      <c r="G1029" s="5" t="s">
        <v>24</v>
      </c>
      <c r="H1029" s="5" t="s">
        <v>64</v>
      </c>
      <c r="I1029" s="5" t="s">
        <v>32</v>
      </c>
      <c r="J1029" s="5">
        <v>15.701302818816</v>
      </c>
      <c r="K1029" s="5">
        <v>-96.523577339818004</v>
      </c>
      <c r="L1029" s="5" t="str">
        <f>HYPERLINK("https://maps.google.com/?q=15.701302818816085,-96.523577339817919", "🔗 Ver Mapa")</f>
        <v>🔗 Ver Mapa</v>
      </c>
    </row>
    <row r="1030" spans="1:12" ht="29" x14ac:dyDescent="0.35">
      <c r="A1030" s="6" t="s">
        <v>2</v>
      </c>
      <c r="B1030" s="6" t="s">
        <v>5</v>
      </c>
      <c r="C1030" s="6" t="s">
        <v>65</v>
      </c>
      <c r="D1030" s="6" t="s">
        <v>13</v>
      </c>
      <c r="E1030" s="6" t="s">
        <v>17</v>
      </c>
      <c r="F1030" s="6" t="s">
        <v>20</v>
      </c>
      <c r="G1030" s="6" t="s">
        <v>24</v>
      </c>
      <c r="H1030" s="6" t="s">
        <v>64</v>
      </c>
      <c r="I1030" s="6" t="s">
        <v>32</v>
      </c>
      <c r="J1030" s="6">
        <v>15.700659984925</v>
      </c>
      <c r="K1030" s="6">
        <v>-96.524244459515998</v>
      </c>
      <c r="L1030" s="6" t="str">
        <f>HYPERLINK("https://maps.google.com/?q=15.700659984924933,-96.524244459515899", "🔗 Ver Mapa")</f>
        <v>🔗 Ver Mapa</v>
      </c>
    </row>
    <row r="1031" spans="1:12" ht="29" x14ac:dyDescent="0.35">
      <c r="A1031" s="5" t="s">
        <v>2</v>
      </c>
      <c r="B1031" s="5" t="s">
        <v>5</v>
      </c>
      <c r="C1031" s="5" t="s">
        <v>65</v>
      </c>
      <c r="D1031" s="5" t="s">
        <v>13</v>
      </c>
      <c r="E1031" s="5" t="s">
        <v>17</v>
      </c>
      <c r="F1031" s="5" t="s">
        <v>20</v>
      </c>
      <c r="G1031" s="5" t="s">
        <v>24</v>
      </c>
      <c r="H1031" s="5" t="s">
        <v>64</v>
      </c>
      <c r="I1031" s="5" t="s">
        <v>32</v>
      </c>
      <c r="J1031" s="5">
        <v>15.705142472245001</v>
      </c>
      <c r="K1031" s="5">
        <v>-96.523615187637006</v>
      </c>
      <c r="L1031" s="5" t="str">
        <f>HYPERLINK("https://maps.google.com/?q=15.70514247224545,-96.523615187636764", "🔗 Ver Mapa")</f>
        <v>🔗 Ver Mapa</v>
      </c>
    </row>
    <row r="1032" spans="1:12" ht="29" x14ac:dyDescent="0.35">
      <c r="A1032" s="6" t="s">
        <v>2</v>
      </c>
      <c r="B1032" s="6" t="s">
        <v>5</v>
      </c>
      <c r="C1032" s="6" t="s">
        <v>65</v>
      </c>
      <c r="D1032" s="6" t="s">
        <v>13</v>
      </c>
      <c r="E1032" s="6" t="s">
        <v>17</v>
      </c>
      <c r="F1032" s="6" t="s">
        <v>20</v>
      </c>
      <c r="G1032" s="6" t="s">
        <v>24</v>
      </c>
      <c r="H1032" s="6" t="s">
        <v>64</v>
      </c>
      <c r="I1032" s="6" t="s">
        <v>32</v>
      </c>
      <c r="J1032" s="6">
        <v>15.704804452625</v>
      </c>
      <c r="K1032" s="6">
        <v>-96.523672660930998</v>
      </c>
      <c r="L1032" s="6" t="str">
        <f>HYPERLINK("https://maps.google.com/?q=15.704804452625236,-96.523672660931183", "🔗 Ver Mapa")</f>
        <v>🔗 Ver Mapa</v>
      </c>
    </row>
    <row r="1033" spans="1:12" ht="29" x14ac:dyDescent="0.35">
      <c r="A1033" s="5" t="s">
        <v>2</v>
      </c>
      <c r="B1033" s="5" t="s">
        <v>5</v>
      </c>
      <c r="C1033" s="5" t="s">
        <v>65</v>
      </c>
      <c r="D1033" s="5" t="s">
        <v>13</v>
      </c>
      <c r="E1033" s="5" t="s">
        <v>17</v>
      </c>
      <c r="F1033" s="5" t="s">
        <v>20</v>
      </c>
      <c r="G1033" s="5" t="s">
        <v>24</v>
      </c>
      <c r="H1033" s="5" t="s">
        <v>64</v>
      </c>
      <c r="I1033" s="5" t="s">
        <v>32</v>
      </c>
      <c r="J1033" s="5">
        <v>15.704509445798999</v>
      </c>
      <c r="K1033" s="5">
        <v>-96.523629384244003</v>
      </c>
      <c r="L1033" s="5" t="str">
        <f>HYPERLINK("https://maps.google.com/?q=15.704509445798909,-96.523629384244288", "🔗 Ver Mapa")</f>
        <v>🔗 Ver Mapa</v>
      </c>
    </row>
    <row r="1034" spans="1:12" ht="29" x14ac:dyDescent="0.35">
      <c r="A1034" s="6" t="s">
        <v>2</v>
      </c>
      <c r="B1034" s="6" t="s">
        <v>5</v>
      </c>
      <c r="C1034" s="6" t="s">
        <v>65</v>
      </c>
      <c r="D1034" s="6" t="s">
        <v>13</v>
      </c>
      <c r="E1034" s="6" t="s">
        <v>17</v>
      </c>
      <c r="F1034" s="6" t="s">
        <v>20</v>
      </c>
      <c r="G1034" s="6" t="s">
        <v>24</v>
      </c>
      <c r="H1034" s="6" t="s">
        <v>64</v>
      </c>
      <c r="I1034" s="6" t="s">
        <v>32</v>
      </c>
      <c r="J1034" s="6">
        <v>15.704146505171</v>
      </c>
      <c r="K1034" s="6">
        <v>-96.523521352136001</v>
      </c>
      <c r="L1034" s="6" t="str">
        <f>HYPERLINK("https://maps.google.com/?q=15.704146505170824,-96.523521352135901", "🔗 Ver Mapa")</f>
        <v>🔗 Ver Mapa</v>
      </c>
    </row>
    <row r="1035" spans="1:12" ht="29" x14ac:dyDescent="0.35">
      <c r="A1035" s="5" t="s">
        <v>2</v>
      </c>
      <c r="B1035" s="5" t="s">
        <v>5</v>
      </c>
      <c r="C1035" s="5" t="s">
        <v>65</v>
      </c>
      <c r="D1035" s="5" t="s">
        <v>13</v>
      </c>
      <c r="E1035" s="5" t="s">
        <v>17</v>
      </c>
      <c r="F1035" s="5" t="s">
        <v>20</v>
      </c>
      <c r="G1035" s="5" t="s">
        <v>24</v>
      </c>
      <c r="H1035" s="5" t="s">
        <v>64</v>
      </c>
      <c r="I1035" s="5" t="s">
        <v>32</v>
      </c>
      <c r="J1035" s="5">
        <v>15.703747468685</v>
      </c>
      <c r="K1035" s="5">
        <v>-96.523508260284999</v>
      </c>
      <c r="L1035" s="5" t="str">
        <f>HYPERLINK("https://maps.google.com/?q=15.703747468685028,-96.523508260284544", "🔗 Ver Mapa")</f>
        <v>🔗 Ver Mapa</v>
      </c>
    </row>
    <row r="1036" spans="1:12" ht="29" x14ac:dyDescent="0.35">
      <c r="A1036" s="6" t="s">
        <v>2</v>
      </c>
      <c r="B1036" s="6" t="s">
        <v>5</v>
      </c>
      <c r="C1036" s="6" t="s">
        <v>65</v>
      </c>
      <c r="D1036" s="6" t="s">
        <v>13</v>
      </c>
      <c r="E1036" s="6" t="s">
        <v>17</v>
      </c>
      <c r="F1036" s="6" t="s">
        <v>20</v>
      </c>
      <c r="G1036" s="6" t="s">
        <v>24</v>
      </c>
      <c r="H1036" s="6" t="s">
        <v>64</v>
      </c>
      <c r="I1036" s="6" t="s">
        <v>32</v>
      </c>
      <c r="J1036" s="6">
        <v>15.703153068395</v>
      </c>
      <c r="K1036" s="6">
        <v>-96.523769373576997</v>
      </c>
      <c r="L1036" s="6" t="str">
        <f>HYPERLINK("https://maps.google.com/?q=15.703153068394593,-96.523769373576854", "🔗 Ver Mapa")</f>
        <v>🔗 Ver Mapa</v>
      </c>
    </row>
    <row r="1037" spans="1:12" ht="29" x14ac:dyDescent="0.35">
      <c r="A1037" s="5" t="s">
        <v>2</v>
      </c>
      <c r="B1037" s="5" t="s">
        <v>5</v>
      </c>
      <c r="C1037" s="5" t="s">
        <v>65</v>
      </c>
      <c r="D1037" s="5" t="s">
        <v>13</v>
      </c>
      <c r="E1037" s="5" t="s">
        <v>17</v>
      </c>
      <c r="F1037" s="5" t="s">
        <v>20</v>
      </c>
      <c r="G1037" s="5" t="s">
        <v>24</v>
      </c>
      <c r="H1037" s="5" t="s">
        <v>64</v>
      </c>
      <c r="I1037" s="5" t="s">
        <v>32</v>
      </c>
      <c r="J1037" s="5">
        <v>15.706254978721001</v>
      </c>
      <c r="K1037" s="5">
        <v>-96.524258669808006</v>
      </c>
      <c r="L1037" s="5" t="str">
        <f>HYPERLINK("https://maps.google.com/?q=15.706254978720555,-96.524258669808304", "🔗 Ver Mapa")</f>
        <v>🔗 Ver Mapa</v>
      </c>
    </row>
    <row r="1038" spans="1:12" ht="29" x14ac:dyDescent="0.35">
      <c r="A1038" s="6" t="s">
        <v>2</v>
      </c>
      <c r="B1038" s="6" t="s">
        <v>5</v>
      </c>
      <c r="C1038" s="6" t="s">
        <v>65</v>
      </c>
      <c r="D1038" s="6" t="s">
        <v>13</v>
      </c>
      <c r="E1038" s="6" t="s">
        <v>17</v>
      </c>
      <c r="F1038" s="6" t="s">
        <v>20</v>
      </c>
      <c r="G1038" s="6" t="s">
        <v>24</v>
      </c>
      <c r="H1038" s="6" t="s">
        <v>64</v>
      </c>
      <c r="I1038" s="6" t="s">
        <v>32</v>
      </c>
      <c r="J1038" s="6">
        <v>15.705694656896</v>
      </c>
      <c r="K1038" s="6">
        <v>-96.524229396989</v>
      </c>
      <c r="L1038" s="6" t="str">
        <f>HYPERLINK("https://maps.google.com/?q=15.705694656895757,-96.524229396989057", "🔗 Ver Mapa")</f>
        <v>🔗 Ver Mapa</v>
      </c>
    </row>
    <row r="1039" spans="1:12" ht="29" x14ac:dyDescent="0.35">
      <c r="A1039" s="5" t="s">
        <v>2</v>
      </c>
      <c r="B1039" s="5" t="s">
        <v>5</v>
      </c>
      <c r="C1039" s="5" t="s">
        <v>65</v>
      </c>
      <c r="D1039" s="5" t="s">
        <v>13</v>
      </c>
      <c r="E1039" s="5" t="s">
        <v>17</v>
      </c>
      <c r="F1039" s="5" t="s">
        <v>20</v>
      </c>
      <c r="G1039" s="5" t="s">
        <v>24</v>
      </c>
      <c r="H1039" s="5" t="s">
        <v>64</v>
      </c>
      <c r="I1039" s="5" t="s">
        <v>32</v>
      </c>
      <c r="J1039" s="5">
        <v>15.705499592285999</v>
      </c>
      <c r="K1039" s="5">
        <v>-96.524313305372004</v>
      </c>
      <c r="L1039" s="5" t="str">
        <f>HYPERLINK("https://maps.google.com/?q=15.70549959228639,-96.524313305372075", "🔗 Ver Mapa")</f>
        <v>🔗 Ver Mapa</v>
      </c>
    </row>
    <row r="1040" spans="1:12" ht="29" x14ac:dyDescent="0.35">
      <c r="A1040" s="6" t="s">
        <v>2</v>
      </c>
      <c r="B1040" s="6" t="s">
        <v>5</v>
      </c>
      <c r="C1040" s="6" t="s">
        <v>65</v>
      </c>
      <c r="D1040" s="6" t="s">
        <v>13</v>
      </c>
      <c r="E1040" s="6" t="s">
        <v>17</v>
      </c>
      <c r="F1040" s="6" t="s">
        <v>20</v>
      </c>
      <c r="G1040" s="6" t="s">
        <v>24</v>
      </c>
      <c r="H1040" s="6" t="s">
        <v>64</v>
      </c>
      <c r="I1040" s="6" t="s">
        <v>32</v>
      </c>
      <c r="J1040" s="6">
        <v>15.705361734054</v>
      </c>
      <c r="K1040" s="6">
        <v>-96.524185076215005</v>
      </c>
      <c r="L1040" s="6" t="str">
        <f>HYPERLINK("https://maps.google.com/?q=15.70536173405438,-96.524185076215247", "🔗 Ver Mapa")</f>
        <v>🔗 Ver Mapa</v>
      </c>
    </row>
    <row r="1041" spans="1:12" ht="29" x14ac:dyDescent="0.35">
      <c r="A1041" s="5" t="s">
        <v>2</v>
      </c>
      <c r="B1041" s="5" t="s">
        <v>5</v>
      </c>
      <c r="C1041" s="5" t="s">
        <v>65</v>
      </c>
      <c r="D1041" s="5" t="s">
        <v>13</v>
      </c>
      <c r="E1041" s="5" t="s">
        <v>17</v>
      </c>
      <c r="F1041" s="5" t="s">
        <v>20</v>
      </c>
      <c r="G1041" s="5" t="s">
        <v>24</v>
      </c>
      <c r="H1041" s="5" t="s">
        <v>64</v>
      </c>
      <c r="I1041" s="5" t="s">
        <v>32</v>
      </c>
      <c r="J1041" s="5">
        <v>15.705284761083</v>
      </c>
      <c r="K1041" s="5">
        <v>-96.524012244445998</v>
      </c>
      <c r="L1041" s="5" t="str">
        <f>HYPERLINK("https://maps.google.com/?q=15.705284761083343,-96.524012244445572", "🔗 Ver Mapa")</f>
        <v>🔗 Ver Mapa</v>
      </c>
    </row>
    <row r="1042" spans="1:12" ht="29" x14ac:dyDescent="0.35">
      <c r="A1042" s="6" t="s">
        <v>2</v>
      </c>
      <c r="B1042" s="6" t="s">
        <v>5</v>
      </c>
      <c r="C1042" s="6" t="s">
        <v>65</v>
      </c>
      <c r="D1042" s="6" t="s">
        <v>13</v>
      </c>
      <c r="E1042" s="6" t="s">
        <v>17</v>
      </c>
      <c r="F1042" s="6" t="s">
        <v>20</v>
      </c>
      <c r="G1042" s="6" t="s">
        <v>24</v>
      </c>
      <c r="H1042" s="6" t="s">
        <v>64</v>
      </c>
      <c r="I1042" s="6" t="s">
        <v>32</v>
      </c>
      <c r="J1042" s="6">
        <v>15.705272898204001</v>
      </c>
      <c r="K1042" s="6">
        <v>-96.523659147730996</v>
      </c>
      <c r="L1042" s="6" t="str">
        <f>HYPERLINK("https://maps.google.com/?q=15.705272898203736,-96.52365914773118", "🔗 Ver Mapa")</f>
        <v>🔗 Ver Mapa</v>
      </c>
    </row>
    <row r="1043" spans="1:12" ht="29" x14ac:dyDescent="0.35">
      <c r="A1043" s="5" t="s">
        <v>2</v>
      </c>
      <c r="B1043" s="5" t="s">
        <v>5</v>
      </c>
      <c r="C1043" s="5" t="s">
        <v>65</v>
      </c>
      <c r="D1043" s="5" t="s">
        <v>13</v>
      </c>
      <c r="E1043" s="5" t="s">
        <v>17</v>
      </c>
      <c r="F1043" s="5" t="s">
        <v>20</v>
      </c>
      <c r="G1043" s="5" t="s">
        <v>24</v>
      </c>
      <c r="H1043" s="5" t="s">
        <v>64</v>
      </c>
      <c r="I1043" s="5" t="s">
        <v>32</v>
      </c>
      <c r="J1043" s="5">
        <v>15.707213707158999</v>
      </c>
      <c r="K1043" s="5">
        <v>-96.525099685420997</v>
      </c>
      <c r="L1043" s="5" t="str">
        <f>HYPERLINK("https://maps.google.com/?q=15.707213707158798,-96.525099685420784", "🔗 Ver Mapa")</f>
        <v>🔗 Ver Mapa</v>
      </c>
    </row>
    <row r="1044" spans="1:12" ht="29" x14ac:dyDescent="0.35">
      <c r="A1044" s="6" t="s">
        <v>2</v>
      </c>
      <c r="B1044" s="6" t="s">
        <v>5</v>
      </c>
      <c r="C1044" s="6" t="s">
        <v>65</v>
      </c>
      <c r="D1044" s="6" t="s">
        <v>13</v>
      </c>
      <c r="E1044" s="6" t="s">
        <v>17</v>
      </c>
      <c r="F1044" s="6" t="s">
        <v>20</v>
      </c>
      <c r="G1044" s="6" t="s">
        <v>24</v>
      </c>
      <c r="H1044" s="6" t="s">
        <v>64</v>
      </c>
      <c r="I1044" s="6" t="s">
        <v>32</v>
      </c>
      <c r="J1044" s="6">
        <v>15.707146366019</v>
      </c>
      <c r="K1044" s="6">
        <v>-96.525071253866997</v>
      </c>
      <c r="L1044" s="6" t="str">
        <f>HYPERLINK("https://maps.google.com/?q=15.707146366019476,-96.525071253867438", "🔗 Ver Mapa")</f>
        <v>🔗 Ver Mapa</v>
      </c>
    </row>
    <row r="1045" spans="1:12" ht="29" x14ac:dyDescent="0.35">
      <c r="A1045" s="5" t="s">
        <v>2</v>
      </c>
      <c r="B1045" s="5" t="s">
        <v>5</v>
      </c>
      <c r="C1045" s="5" t="s">
        <v>65</v>
      </c>
      <c r="D1045" s="5" t="s">
        <v>13</v>
      </c>
      <c r="E1045" s="5" t="s">
        <v>17</v>
      </c>
      <c r="F1045" s="5" t="s">
        <v>20</v>
      </c>
      <c r="G1045" s="5" t="s">
        <v>24</v>
      </c>
      <c r="H1045" s="5" t="s">
        <v>64</v>
      </c>
      <c r="I1045" s="5" t="s">
        <v>32</v>
      </c>
      <c r="J1045" s="5">
        <v>15.707179290668</v>
      </c>
      <c r="K1045" s="5">
        <v>-96.524808079978001</v>
      </c>
      <c r="L1045" s="5" t="str">
        <f>HYPERLINK("https://maps.google.com/?q=15.707179290668236,-96.524808079977618", "🔗 Ver Mapa")</f>
        <v>🔗 Ver Mapa</v>
      </c>
    </row>
    <row r="1046" spans="1:12" ht="29" x14ac:dyDescent="0.35">
      <c r="A1046" s="6" t="s">
        <v>2</v>
      </c>
      <c r="B1046" s="6" t="s">
        <v>5</v>
      </c>
      <c r="C1046" s="6" t="s">
        <v>65</v>
      </c>
      <c r="D1046" s="6" t="s">
        <v>13</v>
      </c>
      <c r="E1046" s="6" t="s">
        <v>17</v>
      </c>
      <c r="F1046" s="6" t="s">
        <v>20</v>
      </c>
      <c r="G1046" s="6" t="s">
        <v>24</v>
      </c>
      <c r="H1046" s="6" t="s">
        <v>64</v>
      </c>
      <c r="I1046" s="6" t="s">
        <v>32</v>
      </c>
      <c r="J1046" s="6">
        <v>15.706871023828</v>
      </c>
      <c r="K1046" s="6">
        <v>-96.524303542330998</v>
      </c>
      <c r="L1046" s="6" t="str">
        <f>HYPERLINK("https://maps.google.com/?q=15.706871023827977,-96.524303542330586", "🔗 Ver Mapa")</f>
        <v>🔗 Ver Mapa</v>
      </c>
    </row>
    <row r="1047" spans="1:12" ht="29" x14ac:dyDescent="0.35">
      <c r="A1047" s="5" t="s">
        <v>2</v>
      </c>
      <c r="B1047" s="5" t="s">
        <v>5</v>
      </c>
      <c r="C1047" s="5" t="s">
        <v>65</v>
      </c>
      <c r="D1047" s="5" t="s">
        <v>13</v>
      </c>
      <c r="E1047" s="5" t="s">
        <v>17</v>
      </c>
      <c r="F1047" s="5" t="s">
        <v>20</v>
      </c>
      <c r="G1047" s="5" t="s">
        <v>24</v>
      </c>
      <c r="H1047" s="5" t="s">
        <v>64</v>
      </c>
      <c r="I1047" s="5" t="s">
        <v>32</v>
      </c>
      <c r="J1047" s="5">
        <v>15.706809674582001</v>
      </c>
      <c r="K1047" s="5">
        <v>-96.524080964503995</v>
      </c>
      <c r="L1047" s="5" t="str">
        <f>HYPERLINK("https://maps.google.com/?q=15.706809674582109,-96.524080964503867", "🔗 Ver Mapa")</f>
        <v>🔗 Ver Mapa</v>
      </c>
    </row>
    <row r="1048" spans="1:12" ht="29" x14ac:dyDescent="0.35">
      <c r="A1048" s="6" t="s">
        <v>2</v>
      </c>
      <c r="B1048" s="6" t="s">
        <v>5</v>
      </c>
      <c r="C1048" s="6" t="s">
        <v>65</v>
      </c>
      <c r="D1048" s="6" t="s">
        <v>13</v>
      </c>
      <c r="E1048" s="6" t="s">
        <v>17</v>
      </c>
      <c r="F1048" s="6" t="s">
        <v>20</v>
      </c>
      <c r="G1048" s="6" t="s">
        <v>24</v>
      </c>
      <c r="H1048" s="6" t="s">
        <v>64</v>
      </c>
      <c r="I1048" s="6" t="s">
        <v>32</v>
      </c>
      <c r="J1048" s="6">
        <v>15.706721663534999</v>
      </c>
      <c r="K1048" s="6">
        <v>-96.524052410102996</v>
      </c>
      <c r="L1048" s="6" t="str">
        <f>HYPERLINK("https://maps.google.com/?q=15.706721663535014,-96.524052410103295", "🔗 Ver Mapa")</f>
        <v>🔗 Ver Mapa</v>
      </c>
    </row>
    <row r="1049" spans="1:12" ht="29" x14ac:dyDescent="0.35">
      <c r="A1049" s="5" t="s">
        <v>2</v>
      </c>
      <c r="B1049" s="5" t="s">
        <v>5</v>
      </c>
      <c r="C1049" s="5" t="s">
        <v>65</v>
      </c>
      <c r="D1049" s="5" t="s">
        <v>13</v>
      </c>
      <c r="E1049" s="5" t="s">
        <v>17</v>
      </c>
      <c r="F1049" s="5" t="s">
        <v>20</v>
      </c>
      <c r="G1049" s="5" t="s">
        <v>24</v>
      </c>
      <c r="H1049" s="5" t="s">
        <v>64</v>
      </c>
      <c r="I1049" s="5" t="s">
        <v>32</v>
      </c>
      <c r="J1049" s="5">
        <v>15.708429123887999</v>
      </c>
      <c r="K1049" s="5">
        <v>-96.525753902985002</v>
      </c>
      <c r="L1049" s="5" t="str">
        <f>HYPERLINK("https://maps.google.com/?q=15.70842912388804,-96.525753902985201", "🔗 Ver Mapa")</f>
        <v>🔗 Ver Mapa</v>
      </c>
    </row>
    <row r="1050" spans="1:12" ht="29" x14ac:dyDescent="0.35">
      <c r="A1050" s="6" t="s">
        <v>2</v>
      </c>
      <c r="B1050" s="6" t="s">
        <v>5</v>
      </c>
      <c r="C1050" s="6" t="s">
        <v>65</v>
      </c>
      <c r="D1050" s="6" t="s">
        <v>13</v>
      </c>
      <c r="E1050" s="6" t="s">
        <v>17</v>
      </c>
      <c r="F1050" s="6" t="s">
        <v>20</v>
      </c>
      <c r="G1050" s="6" t="s">
        <v>24</v>
      </c>
      <c r="H1050" s="6" t="s">
        <v>64</v>
      </c>
      <c r="I1050" s="6" t="s">
        <v>32</v>
      </c>
      <c r="J1050" s="6">
        <v>15.708113698968999</v>
      </c>
      <c r="K1050" s="6">
        <v>-96.525660977768993</v>
      </c>
      <c r="L1050" s="6" t="str">
        <f>HYPERLINK("https://maps.google.com/?q=15.708113698968699,-96.525660977768524", "🔗 Ver Mapa")</f>
        <v>🔗 Ver Mapa</v>
      </c>
    </row>
    <row r="1051" spans="1:12" ht="29" x14ac:dyDescent="0.35">
      <c r="A1051" s="5" t="s">
        <v>2</v>
      </c>
      <c r="B1051" s="5" t="s">
        <v>5</v>
      </c>
      <c r="C1051" s="5" t="s">
        <v>65</v>
      </c>
      <c r="D1051" s="5" t="s">
        <v>13</v>
      </c>
      <c r="E1051" s="5" t="s">
        <v>17</v>
      </c>
      <c r="F1051" s="5" t="s">
        <v>20</v>
      </c>
      <c r="G1051" s="5" t="s">
        <v>24</v>
      </c>
      <c r="H1051" s="5" t="s">
        <v>64</v>
      </c>
      <c r="I1051" s="5" t="s">
        <v>32</v>
      </c>
      <c r="J1051" s="5">
        <v>15.707866927748</v>
      </c>
      <c r="K1051" s="5">
        <v>-96.525445281847993</v>
      </c>
      <c r="L1051" s="5" t="str">
        <f>HYPERLINK("https://maps.google.com/?q=15.707866927748464,-96.52544528184788", "🔗 Ver Mapa")</f>
        <v>🔗 Ver Mapa</v>
      </c>
    </row>
    <row r="1052" spans="1:12" ht="29" x14ac:dyDescent="0.35">
      <c r="A1052" s="6" t="s">
        <v>2</v>
      </c>
      <c r="B1052" s="6" t="s">
        <v>5</v>
      </c>
      <c r="C1052" s="6" t="s">
        <v>65</v>
      </c>
      <c r="D1052" s="6" t="s">
        <v>13</v>
      </c>
      <c r="E1052" s="6" t="s">
        <v>17</v>
      </c>
      <c r="F1052" s="6" t="s">
        <v>20</v>
      </c>
      <c r="G1052" s="6" t="s">
        <v>24</v>
      </c>
      <c r="H1052" s="6" t="s">
        <v>64</v>
      </c>
      <c r="I1052" s="6" t="s">
        <v>32</v>
      </c>
      <c r="J1052" s="6">
        <v>15.707611008722999</v>
      </c>
      <c r="K1052" s="6">
        <v>-96.525378113871994</v>
      </c>
      <c r="L1052" s="6" t="str">
        <f>HYPERLINK("https://maps.google.com/?q=15.707611008723399,-96.525378113871824", "🔗 Ver Mapa")</f>
        <v>🔗 Ver Mapa</v>
      </c>
    </row>
    <row r="1053" spans="1:12" ht="29" x14ac:dyDescent="0.35">
      <c r="A1053" s="5" t="s">
        <v>2</v>
      </c>
      <c r="B1053" s="5" t="s">
        <v>5</v>
      </c>
      <c r="C1053" s="5" t="s">
        <v>65</v>
      </c>
      <c r="D1053" s="5" t="s">
        <v>13</v>
      </c>
      <c r="E1053" s="5" t="s">
        <v>17</v>
      </c>
      <c r="F1053" s="5" t="s">
        <v>20</v>
      </c>
      <c r="G1053" s="5" t="s">
        <v>24</v>
      </c>
      <c r="H1053" s="5" t="s">
        <v>64</v>
      </c>
      <c r="I1053" s="5" t="s">
        <v>32</v>
      </c>
      <c r="J1053" s="5">
        <v>15.70754051996</v>
      </c>
      <c r="K1053" s="5">
        <v>-96.525176376000005</v>
      </c>
      <c r="L1053" s="5" t="str">
        <f>HYPERLINK("https://maps.google.com/?q=15.707540519959768,-96.525176375999976", "🔗 Ver Mapa")</f>
        <v>🔗 Ver Mapa</v>
      </c>
    </row>
    <row r="1054" spans="1:12" ht="29" x14ac:dyDescent="0.35">
      <c r="A1054" s="6" t="s">
        <v>2</v>
      </c>
      <c r="B1054" s="6" t="s">
        <v>5</v>
      </c>
      <c r="C1054" s="6" t="s">
        <v>65</v>
      </c>
      <c r="D1054" s="6" t="s">
        <v>13</v>
      </c>
      <c r="E1054" s="6" t="s">
        <v>17</v>
      </c>
      <c r="F1054" s="6" t="s">
        <v>20</v>
      </c>
      <c r="G1054" s="6" t="s">
        <v>24</v>
      </c>
      <c r="H1054" s="6" t="s">
        <v>64</v>
      </c>
      <c r="I1054" s="6" t="s">
        <v>32</v>
      </c>
      <c r="J1054" s="6">
        <v>15.707398536969</v>
      </c>
      <c r="K1054" s="6">
        <v>-96.525046040736001</v>
      </c>
      <c r="L1054" s="6" t="str">
        <f>HYPERLINK("https://maps.google.com/?q=15.707398536969054,-96.525046040735702", "🔗 Ver Mapa")</f>
        <v>🔗 Ver Mapa</v>
      </c>
    </row>
    <row r="1055" spans="1:12" ht="29" x14ac:dyDescent="0.35">
      <c r="A1055" s="5" t="s">
        <v>2</v>
      </c>
      <c r="B1055" s="5" t="s">
        <v>5</v>
      </c>
      <c r="C1055" s="5" t="s">
        <v>65</v>
      </c>
      <c r="D1055" s="5" t="s">
        <v>13</v>
      </c>
      <c r="E1055" s="5" t="s">
        <v>17</v>
      </c>
      <c r="F1055" s="5" t="s">
        <v>20</v>
      </c>
      <c r="G1055" s="5" t="s">
        <v>24</v>
      </c>
      <c r="H1055" s="5" t="s">
        <v>64</v>
      </c>
      <c r="I1055" s="5" t="s">
        <v>32</v>
      </c>
      <c r="J1055" s="5">
        <v>15.709789498492</v>
      </c>
      <c r="K1055" s="5">
        <v>-96.528063005899</v>
      </c>
      <c r="L1055" s="5" t="str">
        <f>HYPERLINK("https://maps.google.com/?q=15.709789498491835,-96.528063005899128", "🔗 Ver Mapa")</f>
        <v>🔗 Ver Mapa</v>
      </c>
    </row>
    <row r="1056" spans="1:12" ht="29" x14ac:dyDescent="0.35">
      <c r="A1056" s="6" t="s">
        <v>2</v>
      </c>
      <c r="B1056" s="6" t="s">
        <v>5</v>
      </c>
      <c r="C1056" s="6" t="s">
        <v>65</v>
      </c>
      <c r="D1056" s="6" t="s">
        <v>13</v>
      </c>
      <c r="E1056" s="6" t="s">
        <v>17</v>
      </c>
      <c r="F1056" s="6" t="s">
        <v>20</v>
      </c>
      <c r="G1056" s="6" t="s">
        <v>24</v>
      </c>
      <c r="H1056" s="6" t="s">
        <v>64</v>
      </c>
      <c r="I1056" s="6" t="s">
        <v>32</v>
      </c>
      <c r="J1056" s="6">
        <v>15.709442730945</v>
      </c>
      <c r="K1056" s="6">
        <v>-96.527661606384996</v>
      </c>
      <c r="L1056" s="6" t="str">
        <f>HYPERLINK("https://maps.google.com/?q=15.709442730944568,-96.527661606384854", "🔗 Ver Mapa")</f>
        <v>🔗 Ver Mapa</v>
      </c>
    </row>
    <row r="1057" spans="1:12" ht="29" x14ac:dyDescent="0.35">
      <c r="A1057" s="5" t="s">
        <v>2</v>
      </c>
      <c r="B1057" s="5" t="s">
        <v>5</v>
      </c>
      <c r="C1057" s="5" t="s">
        <v>65</v>
      </c>
      <c r="D1057" s="5" t="s">
        <v>13</v>
      </c>
      <c r="E1057" s="5" t="s">
        <v>17</v>
      </c>
      <c r="F1057" s="5" t="s">
        <v>20</v>
      </c>
      <c r="G1057" s="5" t="s">
        <v>24</v>
      </c>
      <c r="H1057" s="5" t="s">
        <v>64</v>
      </c>
      <c r="I1057" s="5" t="s">
        <v>32</v>
      </c>
      <c r="J1057" s="5">
        <v>15.709338903379001</v>
      </c>
      <c r="K1057" s="5">
        <v>-96.527277372634003</v>
      </c>
      <c r="L1057" s="5" t="str">
        <f>HYPERLINK("https://maps.google.com/?q=15.709338903379006,-96.527277372634217", "🔗 Ver Mapa")</f>
        <v>🔗 Ver Mapa</v>
      </c>
    </row>
    <row r="1058" spans="1:12" ht="29" x14ac:dyDescent="0.35">
      <c r="A1058" s="6" t="s">
        <v>2</v>
      </c>
      <c r="B1058" s="6" t="s">
        <v>5</v>
      </c>
      <c r="C1058" s="6" t="s">
        <v>65</v>
      </c>
      <c r="D1058" s="6" t="s">
        <v>13</v>
      </c>
      <c r="E1058" s="6" t="s">
        <v>17</v>
      </c>
      <c r="F1058" s="6" t="s">
        <v>20</v>
      </c>
      <c r="G1058" s="6" t="s">
        <v>24</v>
      </c>
      <c r="H1058" s="6" t="s">
        <v>64</v>
      </c>
      <c r="I1058" s="6" t="s">
        <v>32</v>
      </c>
      <c r="J1058" s="6">
        <v>15.708669678977</v>
      </c>
      <c r="K1058" s="6">
        <v>-96.526473390800007</v>
      </c>
      <c r="L1058" s="6" t="str">
        <f>HYPERLINK("https://maps.google.com/?q=15.70866967897745,-96.526473390800248", "🔗 Ver Mapa")</f>
        <v>🔗 Ver Mapa</v>
      </c>
    </row>
    <row r="1059" spans="1:12" ht="29" x14ac:dyDescent="0.35">
      <c r="A1059" s="5" t="s">
        <v>2</v>
      </c>
      <c r="B1059" s="5" t="s">
        <v>5</v>
      </c>
      <c r="C1059" s="5" t="s">
        <v>65</v>
      </c>
      <c r="D1059" s="5" t="s">
        <v>13</v>
      </c>
      <c r="E1059" s="5" t="s">
        <v>17</v>
      </c>
      <c r="F1059" s="5" t="s">
        <v>20</v>
      </c>
      <c r="G1059" s="5" t="s">
        <v>24</v>
      </c>
      <c r="H1059" s="5" t="s">
        <v>64</v>
      </c>
      <c r="I1059" s="5" t="s">
        <v>32</v>
      </c>
      <c r="J1059" s="5">
        <v>15.708694662398999</v>
      </c>
      <c r="K1059" s="5">
        <v>-96.526128692653003</v>
      </c>
      <c r="L1059" s="5" t="str">
        <f>HYPERLINK("https://maps.google.com/?q=15.708694662399049,-96.526128692653444", "🔗 Ver Mapa")</f>
        <v>🔗 Ver Mapa</v>
      </c>
    </row>
    <row r="1060" spans="1:12" ht="29" x14ac:dyDescent="0.35">
      <c r="A1060" s="6" t="s">
        <v>2</v>
      </c>
      <c r="B1060" s="6" t="s">
        <v>5</v>
      </c>
      <c r="C1060" s="6" t="s">
        <v>65</v>
      </c>
      <c r="D1060" s="6" t="s">
        <v>13</v>
      </c>
      <c r="E1060" s="6" t="s">
        <v>17</v>
      </c>
      <c r="F1060" s="6" t="s">
        <v>20</v>
      </c>
      <c r="G1060" s="6" t="s">
        <v>24</v>
      </c>
      <c r="H1060" s="6" t="s">
        <v>64</v>
      </c>
      <c r="I1060" s="6" t="s">
        <v>32</v>
      </c>
      <c r="J1060" s="6">
        <v>15.708623314727999</v>
      </c>
      <c r="K1060" s="6">
        <v>-96.525956339584994</v>
      </c>
      <c r="L1060" s="6" t="str">
        <f>HYPERLINK("https://maps.google.com/?q=15.708623314728468,-96.525956339585193", "🔗 Ver Mapa")</f>
        <v>🔗 Ver Mapa</v>
      </c>
    </row>
    <row r="1061" spans="1:12" ht="43.5" x14ac:dyDescent="0.35">
      <c r="A1061" s="5" t="s">
        <v>2</v>
      </c>
      <c r="B1061" s="5" t="s">
        <v>5</v>
      </c>
      <c r="C1061" s="5" t="s">
        <v>9</v>
      </c>
      <c r="D1061" s="5" t="s">
        <v>13</v>
      </c>
      <c r="E1061" s="5" t="s">
        <v>17</v>
      </c>
      <c r="F1061" s="5" t="s">
        <v>20</v>
      </c>
      <c r="G1061" s="5" t="s">
        <v>24</v>
      </c>
      <c r="H1061" s="5" t="s">
        <v>28</v>
      </c>
      <c r="I1061" s="5" t="s">
        <v>32</v>
      </c>
      <c r="J1061" s="5">
        <v>15.903753</v>
      </c>
      <c r="K1061" s="5">
        <v>-96.450652000000005</v>
      </c>
      <c r="L1061" s="5" t="str">
        <f>HYPERLINK("https://maps.google.com/?q=15.903753,-96.450652000000005", "🔗 Ver Mapa")</f>
        <v>🔗 Ver Mapa</v>
      </c>
    </row>
    <row r="1062" spans="1:12" ht="43.5" x14ac:dyDescent="0.35">
      <c r="A1062" s="6" t="s">
        <v>2</v>
      </c>
      <c r="B1062" s="6" t="s">
        <v>5</v>
      </c>
      <c r="C1062" s="6" t="s">
        <v>9</v>
      </c>
      <c r="D1062" s="6" t="s">
        <v>13</v>
      </c>
      <c r="E1062" s="6" t="s">
        <v>17</v>
      </c>
      <c r="F1062" s="6" t="s">
        <v>20</v>
      </c>
      <c r="G1062" s="6" t="s">
        <v>24</v>
      </c>
      <c r="H1062" s="6" t="s">
        <v>28</v>
      </c>
      <c r="I1062" s="6" t="s">
        <v>32</v>
      </c>
      <c r="J1062" s="6">
        <v>15.903601</v>
      </c>
      <c r="K1062" s="6">
        <v>-96.450344999999999</v>
      </c>
      <c r="L1062" s="6" t="str">
        <f>HYPERLINK("https://maps.google.com/?q=15.903601,-96.450344999999999", "🔗 Ver Mapa")</f>
        <v>🔗 Ver Mapa</v>
      </c>
    </row>
    <row r="1063" spans="1:12" ht="43.5" x14ac:dyDescent="0.35">
      <c r="A1063" s="5" t="s">
        <v>2</v>
      </c>
      <c r="B1063" s="5" t="s">
        <v>5</v>
      </c>
      <c r="C1063" s="5" t="s">
        <v>9</v>
      </c>
      <c r="D1063" s="5" t="s">
        <v>13</v>
      </c>
      <c r="E1063" s="5" t="s">
        <v>17</v>
      </c>
      <c r="F1063" s="5" t="s">
        <v>20</v>
      </c>
      <c r="G1063" s="5" t="s">
        <v>24</v>
      </c>
      <c r="H1063" s="5" t="s">
        <v>28</v>
      </c>
      <c r="I1063" s="5" t="s">
        <v>32</v>
      </c>
      <c r="J1063" s="5">
        <v>15.832642</v>
      </c>
      <c r="K1063" s="5">
        <v>-96.463256999999999</v>
      </c>
      <c r="L1063" s="5" t="str">
        <f>HYPERLINK("https://maps.google.com/?q=15.832642,-96.463256999999999", "🔗 Ver Mapa")</f>
        <v>🔗 Ver Mapa</v>
      </c>
    </row>
    <row r="1064" spans="1:12" ht="43.5" x14ac:dyDescent="0.35">
      <c r="A1064" s="6" t="s">
        <v>2</v>
      </c>
      <c r="B1064" s="6" t="s">
        <v>5</v>
      </c>
      <c r="C1064" s="6" t="s">
        <v>9</v>
      </c>
      <c r="D1064" s="6" t="s">
        <v>13</v>
      </c>
      <c r="E1064" s="6" t="s">
        <v>17</v>
      </c>
      <c r="F1064" s="6" t="s">
        <v>20</v>
      </c>
      <c r="G1064" s="6" t="s">
        <v>24</v>
      </c>
      <c r="H1064" s="6" t="s">
        <v>28</v>
      </c>
      <c r="I1064" s="6" t="s">
        <v>32</v>
      </c>
      <c r="J1064" s="6">
        <v>15.832409</v>
      </c>
      <c r="K1064" s="6">
        <v>-96.463735999999997</v>
      </c>
      <c r="L1064" s="6" t="str">
        <f>HYPERLINK("https://maps.google.com/?q=15.832409,-96.463735999999997", "🔗 Ver Mapa")</f>
        <v>🔗 Ver Mapa</v>
      </c>
    </row>
    <row r="1065" spans="1:12" ht="43.5" x14ac:dyDescent="0.35">
      <c r="A1065" s="5" t="s">
        <v>2</v>
      </c>
      <c r="B1065" s="5" t="s">
        <v>5</v>
      </c>
      <c r="C1065" s="5" t="s">
        <v>9</v>
      </c>
      <c r="D1065" s="5" t="s">
        <v>13</v>
      </c>
      <c r="E1065" s="5" t="s">
        <v>17</v>
      </c>
      <c r="F1065" s="5" t="s">
        <v>20</v>
      </c>
      <c r="G1065" s="5" t="s">
        <v>24</v>
      </c>
      <c r="H1065" s="5" t="s">
        <v>28</v>
      </c>
      <c r="I1065" s="5" t="s">
        <v>32</v>
      </c>
      <c r="J1065" s="5">
        <v>15.777654</v>
      </c>
      <c r="K1065" s="5">
        <v>-96.459810000000004</v>
      </c>
      <c r="L1065" s="5" t="str">
        <f>HYPERLINK("https://maps.google.com/?q=15.777654,-96.459810000000004", "🔗 Ver Mapa")</f>
        <v>🔗 Ver Mapa</v>
      </c>
    </row>
    <row r="1066" spans="1:12" ht="43.5" x14ac:dyDescent="0.35">
      <c r="A1066" s="6" t="s">
        <v>2</v>
      </c>
      <c r="B1066" s="6" t="s">
        <v>5</v>
      </c>
      <c r="C1066" s="6" t="s">
        <v>9</v>
      </c>
      <c r="D1066" s="6" t="s">
        <v>13</v>
      </c>
      <c r="E1066" s="6" t="s">
        <v>17</v>
      </c>
      <c r="F1066" s="6" t="s">
        <v>20</v>
      </c>
      <c r="G1066" s="6" t="s">
        <v>24</v>
      </c>
      <c r="H1066" s="6" t="s">
        <v>28</v>
      </c>
      <c r="I1066" s="6" t="s">
        <v>32</v>
      </c>
      <c r="J1066" s="6">
        <v>15.776157</v>
      </c>
      <c r="K1066" s="6">
        <v>-96.459543999999994</v>
      </c>
      <c r="L1066" s="6" t="str">
        <f>HYPERLINK("https://maps.google.com/?q=15.776157,-96.459543999999994", "🔗 Ver Mapa")</f>
        <v>🔗 Ver Mapa</v>
      </c>
    </row>
    <row r="1067" spans="1:12" ht="43.5" x14ac:dyDescent="0.35">
      <c r="A1067" s="5" t="s">
        <v>2</v>
      </c>
      <c r="B1067" s="5" t="s">
        <v>5</v>
      </c>
      <c r="C1067" s="5" t="s">
        <v>9</v>
      </c>
      <c r="D1067" s="5" t="s">
        <v>13</v>
      </c>
      <c r="E1067" s="5" t="s">
        <v>17</v>
      </c>
      <c r="F1067" s="5" t="s">
        <v>20</v>
      </c>
      <c r="G1067" s="5" t="s">
        <v>24</v>
      </c>
      <c r="H1067" s="5" t="s">
        <v>28</v>
      </c>
      <c r="I1067" s="5" t="s">
        <v>32</v>
      </c>
      <c r="J1067" s="5">
        <v>15.775269</v>
      </c>
      <c r="K1067" s="5">
        <v>-96.460081000000002</v>
      </c>
      <c r="L1067" s="5" t="str">
        <f>HYPERLINK("https://maps.google.com/?q=15.775269,-96.460081000000002", "🔗 Ver Mapa")</f>
        <v>🔗 Ver Mapa</v>
      </c>
    </row>
    <row r="1068" spans="1:12" ht="29" x14ac:dyDescent="0.35">
      <c r="A1068" s="6" t="s">
        <v>2</v>
      </c>
      <c r="B1068" s="6" t="s">
        <v>6</v>
      </c>
      <c r="C1068" s="6" t="s">
        <v>11</v>
      </c>
      <c r="D1068" s="6" t="s">
        <v>14</v>
      </c>
      <c r="E1068" s="6" t="s">
        <v>16</v>
      </c>
      <c r="F1068" s="6" t="s">
        <v>21</v>
      </c>
      <c r="G1068" s="6" t="s">
        <v>25</v>
      </c>
      <c r="H1068" s="6" t="s">
        <v>29</v>
      </c>
      <c r="I1068" s="6" t="s">
        <v>31</v>
      </c>
      <c r="J1068" s="6">
        <v>17.090118</v>
      </c>
      <c r="K1068" s="6">
        <v>-97.492348000000007</v>
      </c>
      <c r="L1068" s="6" t="str">
        <f>HYPERLINK("https://maps.google.com/?q=17.090118,-97.492348000000007", "🔗 Ver Mapa")</f>
        <v>🔗 Ver Mapa</v>
      </c>
    </row>
    <row r="1069" spans="1:12" ht="29" x14ac:dyDescent="0.35">
      <c r="A1069" s="5" t="s">
        <v>2</v>
      </c>
      <c r="B1069" s="5" t="s">
        <v>6</v>
      </c>
      <c r="C1069" s="5" t="s">
        <v>11</v>
      </c>
      <c r="D1069" s="5" t="s">
        <v>14</v>
      </c>
      <c r="E1069" s="5" t="s">
        <v>16</v>
      </c>
      <c r="F1069" s="5" t="s">
        <v>21</v>
      </c>
      <c r="G1069" s="5" t="s">
        <v>25</v>
      </c>
      <c r="H1069" s="5" t="s">
        <v>29</v>
      </c>
      <c r="I1069" s="5" t="s">
        <v>31</v>
      </c>
      <c r="J1069" s="5">
        <v>17.090118</v>
      </c>
      <c r="K1069" s="5">
        <v>-97.492348000000007</v>
      </c>
      <c r="L1069" s="5" t="str">
        <f>HYPERLINK("https://maps.google.com/?q=17.090118,-97.492348000000007", "🔗 Ver Mapa")</f>
        <v>🔗 Ver Mapa</v>
      </c>
    </row>
    <row r="1070" spans="1:12" ht="29" x14ac:dyDescent="0.35">
      <c r="A1070" s="6" t="s">
        <v>2</v>
      </c>
      <c r="B1070" s="6" t="s">
        <v>6</v>
      </c>
      <c r="C1070" s="6" t="s">
        <v>11</v>
      </c>
      <c r="D1070" s="6" t="s">
        <v>14</v>
      </c>
      <c r="E1070" s="6" t="s">
        <v>16</v>
      </c>
      <c r="F1070" s="6" t="s">
        <v>21</v>
      </c>
      <c r="G1070" s="6" t="s">
        <v>25</v>
      </c>
      <c r="H1070" s="6" t="s">
        <v>29</v>
      </c>
      <c r="I1070" s="6" t="s">
        <v>31</v>
      </c>
      <c r="J1070" s="6">
        <v>17.090118</v>
      </c>
      <c r="K1070" s="6">
        <v>-97.492348000000007</v>
      </c>
      <c r="L1070" s="6" t="str">
        <f>HYPERLINK("https://maps.google.com/?q=17.090118,-97.492348000000007", "🔗 Ver Mapa")</f>
        <v>🔗 Ver Mapa</v>
      </c>
    </row>
    <row r="1071" spans="1:12" ht="29" x14ac:dyDescent="0.35">
      <c r="A1071" s="5" t="s">
        <v>2</v>
      </c>
      <c r="B1071" s="5" t="s">
        <v>6</v>
      </c>
      <c r="C1071" s="5" t="s">
        <v>11</v>
      </c>
      <c r="D1071" s="5" t="s">
        <v>14</v>
      </c>
      <c r="E1071" s="5" t="s">
        <v>16</v>
      </c>
      <c r="F1071" s="5" t="s">
        <v>21</v>
      </c>
      <c r="G1071" s="5" t="s">
        <v>25</v>
      </c>
      <c r="H1071" s="5" t="s">
        <v>29</v>
      </c>
      <c r="I1071" s="5" t="s">
        <v>31</v>
      </c>
      <c r="J1071" s="5">
        <v>17.090118</v>
      </c>
      <c r="K1071" s="5">
        <v>-97.492348000000007</v>
      </c>
      <c r="L1071" s="5" t="str">
        <f>HYPERLINK("https://maps.google.com/?q=17.090118,-97.492348000000007", "🔗 Ver Mapa")</f>
        <v>🔗 Ver Mapa</v>
      </c>
    </row>
    <row r="1072" spans="1:12" ht="29" x14ac:dyDescent="0.35">
      <c r="A1072" s="6" t="s">
        <v>2</v>
      </c>
      <c r="B1072" s="6" t="s">
        <v>6</v>
      </c>
      <c r="C1072" s="6" t="s">
        <v>11</v>
      </c>
      <c r="D1072" s="6" t="s">
        <v>14</v>
      </c>
      <c r="E1072" s="6" t="s">
        <v>16</v>
      </c>
      <c r="F1072" s="6" t="s">
        <v>21</v>
      </c>
      <c r="G1072" s="6" t="s">
        <v>25</v>
      </c>
      <c r="H1072" s="6" t="s">
        <v>29</v>
      </c>
      <c r="I1072" s="6" t="s">
        <v>31</v>
      </c>
      <c r="J1072" s="6">
        <v>17.094176000000001</v>
      </c>
      <c r="K1072" s="6">
        <v>-97.499948000000003</v>
      </c>
      <c r="L1072" s="6" t="str">
        <f>HYPERLINK("https://maps.google.com/?q=17.094176,-97.499948000000003", "🔗 Ver Mapa")</f>
        <v>🔗 Ver Mapa</v>
      </c>
    </row>
    <row r="1073" spans="1:12" ht="29" x14ac:dyDescent="0.35">
      <c r="A1073" s="5" t="s">
        <v>2</v>
      </c>
      <c r="B1073" s="5" t="s">
        <v>6</v>
      </c>
      <c r="C1073" s="5" t="s">
        <v>11</v>
      </c>
      <c r="D1073" s="5" t="s">
        <v>14</v>
      </c>
      <c r="E1073" s="5" t="s">
        <v>16</v>
      </c>
      <c r="F1073" s="5" t="s">
        <v>21</v>
      </c>
      <c r="G1073" s="5" t="s">
        <v>25</v>
      </c>
      <c r="H1073" s="5" t="s">
        <v>29</v>
      </c>
      <c r="I1073" s="5" t="s">
        <v>31</v>
      </c>
      <c r="J1073" s="5">
        <v>17.094176000000001</v>
      </c>
      <c r="K1073" s="5">
        <v>-97.499948000000003</v>
      </c>
      <c r="L1073" s="5" t="str">
        <f>HYPERLINK("https://maps.google.com/?q=17.094176,-97.499948000000003", "🔗 Ver Mapa")</f>
        <v>🔗 Ver Mapa</v>
      </c>
    </row>
    <row r="1074" spans="1:12" ht="29" x14ac:dyDescent="0.35">
      <c r="A1074" s="6" t="s">
        <v>2</v>
      </c>
      <c r="B1074" s="6" t="s">
        <v>6</v>
      </c>
      <c r="C1074" s="6" t="s">
        <v>11</v>
      </c>
      <c r="D1074" s="6" t="s">
        <v>14</v>
      </c>
      <c r="E1074" s="6" t="s">
        <v>16</v>
      </c>
      <c r="F1074" s="6" t="s">
        <v>21</v>
      </c>
      <c r="G1074" s="6" t="s">
        <v>25</v>
      </c>
      <c r="H1074" s="6" t="s">
        <v>29</v>
      </c>
      <c r="I1074" s="6" t="s">
        <v>31</v>
      </c>
      <c r="J1074" s="6">
        <v>17.094176000000001</v>
      </c>
      <c r="K1074" s="6">
        <v>-97.499948000000003</v>
      </c>
      <c r="L1074" s="6" t="str">
        <f>HYPERLINK("https://maps.google.com/?q=17.094176,-97.499948000000003", "🔗 Ver Mapa")</f>
        <v>🔗 Ver Mapa</v>
      </c>
    </row>
    <row r="1075" spans="1:12" ht="29" x14ac:dyDescent="0.35">
      <c r="A1075" s="5" t="s">
        <v>2</v>
      </c>
      <c r="B1075" s="5" t="s">
        <v>6</v>
      </c>
      <c r="C1075" s="5" t="s">
        <v>11</v>
      </c>
      <c r="D1075" s="5" t="s">
        <v>14</v>
      </c>
      <c r="E1075" s="5" t="s">
        <v>16</v>
      </c>
      <c r="F1075" s="5" t="s">
        <v>21</v>
      </c>
      <c r="G1075" s="5" t="s">
        <v>25</v>
      </c>
      <c r="H1075" s="5" t="s">
        <v>29</v>
      </c>
      <c r="I1075" s="5" t="s">
        <v>31</v>
      </c>
      <c r="J1075" s="5">
        <v>17.094176000000001</v>
      </c>
      <c r="K1075" s="5">
        <v>-97.499948000000003</v>
      </c>
      <c r="L1075" s="5" t="str">
        <f>HYPERLINK("https://maps.google.com/?q=17.094176,-97.499948000000003", "🔗 Ver Mapa")</f>
        <v>🔗 Ver Mapa</v>
      </c>
    </row>
    <row r="1076" spans="1:12" ht="29" x14ac:dyDescent="0.35">
      <c r="A1076" s="6" t="s">
        <v>2</v>
      </c>
      <c r="B1076" s="6" t="s">
        <v>6</v>
      </c>
      <c r="C1076" s="6" t="s">
        <v>11</v>
      </c>
      <c r="D1076" s="6" t="s">
        <v>14</v>
      </c>
      <c r="E1076" s="6" t="s">
        <v>16</v>
      </c>
      <c r="F1076" s="6" t="s">
        <v>21</v>
      </c>
      <c r="G1076" s="6" t="s">
        <v>25</v>
      </c>
      <c r="H1076" s="6" t="s">
        <v>29</v>
      </c>
      <c r="I1076" s="6" t="s">
        <v>31</v>
      </c>
      <c r="J1076" s="6">
        <v>17.095611999999999</v>
      </c>
      <c r="K1076" s="6">
        <v>-97.498558000000003</v>
      </c>
      <c r="L1076" s="6" t="str">
        <f>HYPERLINK("https://maps.google.com/?q=17.095612,-97.498558000000003", "🔗 Ver Mapa")</f>
        <v>🔗 Ver Mapa</v>
      </c>
    </row>
    <row r="1077" spans="1:12" ht="29" x14ac:dyDescent="0.35">
      <c r="A1077" s="5" t="s">
        <v>2</v>
      </c>
      <c r="B1077" s="5" t="s">
        <v>6</v>
      </c>
      <c r="C1077" s="5" t="s">
        <v>11</v>
      </c>
      <c r="D1077" s="5" t="s">
        <v>14</v>
      </c>
      <c r="E1077" s="5" t="s">
        <v>16</v>
      </c>
      <c r="F1077" s="5" t="s">
        <v>21</v>
      </c>
      <c r="G1077" s="5" t="s">
        <v>25</v>
      </c>
      <c r="H1077" s="5" t="s">
        <v>29</v>
      </c>
      <c r="I1077" s="5" t="s">
        <v>31</v>
      </c>
      <c r="J1077" s="5">
        <v>17.095611999999999</v>
      </c>
      <c r="K1077" s="5">
        <v>-97.498558000000003</v>
      </c>
      <c r="L1077" s="5" t="str">
        <f>HYPERLINK("https://maps.google.com/?q=17.095612,-97.498558000000003", "🔗 Ver Mapa")</f>
        <v>🔗 Ver Mapa</v>
      </c>
    </row>
    <row r="1078" spans="1:12" ht="29" x14ac:dyDescent="0.35">
      <c r="A1078" s="6" t="s">
        <v>2</v>
      </c>
      <c r="B1078" s="6" t="s">
        <v>6</v>
      </c>
      <c r="C1078" s="6" t="s">
        <v>11</v>
      </c>
      <c r="D1078" s="6" t="s">
        <v>14</v>
      </c>
      <c r="E1078" s="6" t="s">
        <v>16</v>
      </c>
      <c r="F1078" s="6" t="s">
        <v>21</v>
      </c>
      <c r="G1078" s="6" t="s">
        <v>25</v>
      </c>
      <c r="H1078" s="6" t="s">
        <v>29</v>
      </c>
      <c r="I1078" s="6" t="s">
        <v>31</v>
      </c>
      <c r="J1078" s="6">
        <v>17.095611999999999</v>
      </c>
      <c r="K1078" s="6">
        <v>-97.498558000000003</v>
      </c>
      <c r="L1078" s="6" t="str">
        <f>HYPERLINK("https://maps.google.com/?q=17.095612,-97.498558000000003", "🔗 Ver Mapa")</f>
        <v>🔗 Ver Mapa</v>
      </c>
    </row>
    <row r="1079" spans="1:12" ht="29" x14ac:dyDescent="0.35">
      <c r="A1079" s="5" t="s">
        <v>2</v>
      </c>
      <c r="B1079" s="5" t="s">
        <v>6</v>
      </c>
      <c r="C1079" s="5" t="s">
        <v>11</v>
      </c>
      <c r="D1079" s="5" t="s">
        <v>14</v>
      </c>
      <c r="E1079" s="5" t="s">
        <v>16</v>
      </c>
      <c r="F1079" s="5" t="s">
        <v>21</v>
      </c>
      <c r="G1079" s="5" t="s">
        <v>25</v>
      </c>
      <c r="H1079" s="5" t="s">
        <v>29</v>
      </c>
      <c r="I1079" s="5" t="s">
        <v>31</v>
      </c>
      <c r="J1079" s="5">
        <v>17.095611999999999</v>
      </c>
      <c r="K1079" s="5">
        <v>-97.498558000000003</v>
      </c>
      <c r="L1079" s="5" t="str">
        <f>HYPERLINK("https://maps.google.com/?q=17.095612,-97.498558000000003", "🔗 Ver Mapa")</f>
        <v>🔗 Ver Mapa</v>
      </c>
    </row>
    <row r="1080" spans="1:12" ht="29" x14ac:dyDescent="0.35">
      <c r="A1080" s="6" t="s">
        <v>2</v>
      </c>
      <c r="B1080" s="6" t="s">
        <v>6</v>
      </c>
      <c r="C1080" s="6" t="s">
        <v>11</v>
      </c>
      <c r="D1080" s="6" t="s">
        <v>14</v>
      </c>
      <c r="E1080" s="6" t="s">
        <v>16</v>
      </c>
      <c r="F1080" s="6" t="s">
        <v>21</v>
      </c>
      <c r="G1080" s="6" t="s">
        <v>25</v>
      </c>
      <c r="H1080" s="6" t="s">
        <v>29</v>
      </c>
      <c r="I1080" s="6" t="s">
        <v>31</v>
      </c>
      <c r="J1080" s="6">
        <v>17.092123999999998</v>
      </c>
      <c r="K1080" s="6">
        <v>-97.499320999999995</v>
      </c>
      <c r="L1080" s="6" t="str">
        <f>HYPERLINK("https://maps.google.com/?q=17.092124,-97.499320999999995", "🔗 Ver Mapa")</f>
        <v>🔗 Ver Mapa</v>
      </c>
    </row>
    <row r="1081" spans="1:12" ht="29" x14ac:dyDescent="0.35">
      <c r="A1081" s="5" t="s">
        <v>2</v>
      </c>
      <c r="B1081" s="5" t="s">
        <v>6</v>
      </c>
      <c r="C1081" s="5" t="s">
        <v>11</v>
      </c>
      <c r="D1081" s="5" t="s">
        <v>14</v>
      </c>
      <c r="E1081" s="5" t="s">
        <v>16</v>
      </c>
      <c r="F1081" s="5" t="s">
        <v>21</v>
      </c>
      <c r="G1081" s="5" t="s">
        <v>25</v>
      </c>
      <c r="H1081" s="5" t="s">
        <v>29</v>
      </c>
      <c r="I1081" s="5" t="s">
        <v>31</v>
      </c>
      <c r="J1081" s="5">
        <v>17.092123999999998</v>
      </c>
      <c r="K1081" s="5">
        <v>-97.499320999999995</v>
      </c>
      <c r="L1081" s="5" t="str">
        <f>HYPERLINK("https://maps.google.com/?q=17.092124,-97.499320999999995", "🔗 Ver Mapa")</f>
        <v>🔗 Ver Mapa</v>
      </c>
    </row>
    <row r="1082" spans="1:12" ht="29" x14ac:dyDescent="0.35">
      <c r="A1082" s="6" t="s">
        <v>2</v>
      </c>
      <c r="B1082" s="6" t="s">
        <v>6</v>
      </c>
      <c r="C1082" s="6" t="s">
        <v>11</v>
      </c>
      <c r="D1082" s="6" t="s">
        <v>14</v>
      </c>
      <c r="E1082" s="6" t="s">
        <v>16</v>
      </c>
      <c r="F1082" s="6" t="s">
        <v>21</v>
      </c>
      <c r="G1082" s="6" t="s">
        <v>25</v>
      </c>
      <c r="H1082" s="6" t="s">
        <v>29</v>
      </c>
      <c r="I1082" s="6" t="s">
        <v>31</v>
      </c>
      <c r="J1082" s="6">
        <v>17.092123999999998</v>
      </c>
      <c r="K1082" s="6">
        <v>-97.499320999999995</v>
      </c>
      <c r="L1082" s="6" t="str">
        <f>HYPERLINK("https://maps.google.com/?q=17.092124,-97.499320999999995", "🔗 Ver Mapa")</f>
        <v>🔗 Ver Mapa</v>
      </c>
    </row>
    <row r="1083" spans="1:12" ht="29" x14ac:dyDescent="0.35">
      <c r="A1083" s="5" t="s">
        <v>2</v>
      </c>
      <c r="B1083" s="5" t="s">
        <v>6</v>
      </c>
      <c r="C1083" s="5" t="s">
        <v>11</v>
      </c>
      <c r="D1083" s="5" t="s">
        <v>14</v>
      </c>
      <c r="E1083" s="5" t="s">
        <v>16</v>
      </c>
      <c r="F1083" s="5" t="s">
        <v>21</v>
      </c>
      <c r="G1083" s="5" t="s">
        <v>25</v>
      </c>
      <c r="H1083" s="5" t="s">
        <v>29</v>
      </c>
      <c r="I1083" s="5" t="s">
        <v>31</v>
      </c>
      <c r="J1083" s="5">
        <v>17.092123999999998</v>
      </c>
      <c r="K1083" s="5">
        <v>-97.499320999999995</v>
      </c>
      <c r="L1083" s="5" t="str">
        <f>HYPERLINK("https://maps.google.com/?q=17.092124,-97.499320999999995", "🔗 Ver Mapa")</f>
        <v>🔗 Ver Mapa</v>
      </c>
    </row>
    <row r="1084" spans="1:12" ht="29" x14ac:dyDescent="0.35">
      <c r="A1084" s="6" t="s">
        <v>2</v>
      </c>
      <c r="B1084" s="6" t="s">
        <v>6</v>
      </c>
      <c r="C1084" s="6" t="s">
        <v>11</v>
      </c>
      <c r="D1084" s="6" t="s">
        <v>14</v>
      </c>
      <c r="E1084" s="6" t="s">
        <v>16</v>
      </c>
      <c r="F1084" s="6" t="s">
        <v>21</v>
      </c>
      <c r="G1084" s="6" t="s">
        <v>25</v>
      </c>
      <c r="H1084" s="6" t="s">
        <v>29</v>
      </c>
      <c r="I1084" s="6" t="s">
        <v>31</v>
      </c>
      <c r="J1084" s="6">
        <v>17.090630000000001</v>
      </c>
      <c r="K1084" s="6">
        <v>-97.493195999999998</v>
      </c>
      <c r="L1084" s="6" t="str">
        <f>HYPERLINK("https://maps.google.com/?q=17.09063,-97.493195999999998", "🔗 Ver Mapa")</f>
        <v>🔗 Ver Mapa</v>
      </c>
    </row>
    <row r="1085" spans="1:12" ht="29" x14ac:dyDescent="0.35">
      <c r="A1085" s="5" t="s">
        <v>2</v>
      </c>
      <c r="B1085" s="5" t="s">
        <v>6</v>
      </c>
      <c r="C1085" s="5" t="s">
        <v>11</v>
      </c>
      <c r="D1085" s="5" t="s">
        <v>14</v>
      </c>
      <c r="E1085" s="5" t="s">
        <v>16</v>
      </c>
      <c r="F1085" s="5" t="s">
        <v>21</v>
      </c>
      <c r="G1085" s="5" t="s">
        <v>25</v>
      </c>
      <c r="H1085" s="5" t="s">
        <v>29</v>
      </c>
      <c r="I1085" s="5" t="s">
        <v>31</v>
      </c>
      <c r="J1085" s="5">
        <v>17.090630000000001</v>
      </c>
      <c r="K1085" s="5">
        <v>-97.493195999999998</v>
      </c>
      <c r="L1085" s="5" t="str">
        <f>HYPERLINK("https://maps.google.com/?q=17.09063,-97.493195999999998", "🔗 Ver Mapa")</f>
        <v>🔗 Ver Mapa</v>
      </c>
    </row>
    <row r="1086" spans="1:12" ht="29" x14ac:dyDescent="0.35">
      <c r="A1086" s="6" t="s">
        <v>2</v>
      </c>
      <c r="B1086" s="6" t="s">
        <v>6</v>
      </c>
      <c r="C1086" s="6" t="s">
        <v>11</v>
      </c>
      <c r="D1086" s="6" t="s">
        <v>14</v>
      </c>
      <c r="E1086" s="6" t="s">
        <v>16</v>
      </c>
      <c r="F1086" s="6" t="s">
        <v>21</v>
      </c>
      <c r="G1086" s="6" t="s">
        <v>25</v>
      </c>
      <c r="H1086" s="6" t="s">
        <v>29</v>
      </c>
      <c r="I1086" s="6" t="s">
        <v>31</v>
      </c>
      <c r="J1086" s="6">
        <v>17.090630000000001</v>
      </c>
      <c r="K1086" s="6">
        <v>-97.493195999999998</v>
      </c>
      <c r="L1086" s="6" t="str">
        <f>HYPERLINK("https://maps.google.com/?q=17.09063,-97.493195999999998", "🔗 Ver Mapa")</f>
        <v>🔗 Ver Mapa</v>
      </c>
    </row>
    <row r="1087" spans="1:12" ht="29" x14ac:dyDescent="0.35">
      <c r="A1087" s="5" t="s">
        <v>2</v>
      </c>
      <c r="B1087" s="5" t="s">
        <v>6</v>
      </c>
      <c r="C1087" s="5" t="s">
        <v>11</v>
      </c>
      <c r="D1087" s="5" t="s">
        <v>14</v>
      </c>
      <c r="E1087" s="5" t="s">
        <v>16</v>
      </c>
      <c r="F1087" s="5" t="s">
        <v>21</v>
      </c>
      <c r="G1087" s="5" t="s">
        <v>25</v>
      </c>
      <c r="H1087" s="5" t="s">
        <v>29</v>
      </c>
      <c r="I1087" s="5" t="s">
        <v>31</v>
      </c>
      <c r="J1087" s="5">
        <v>17.090630000000001</v>
      </c>
      <c r="K1087" s="5">
        <v>-97.493195999999998</v>
      </c>
      <c r="L1087" s="5" t="str">
        <f>HYPERLINK("https://maps.google.com/?q=17.09063,-97.493195999999998", "🔗 Ver Mapa")</f>
        <v>🔗 Ver Mapa</v>
      </c>
    </row>
    <row r="1088" spans="1:12" ht="29" x14ac:dyDescent="0.35">
      <c r="A1088" s="6" t="s">
        <v>2</v>
      </c>
      <c r="B1088" s="6" t="s">
        <v>6</v>
      </c>
      <c r="C1088" s="6" t="s">
        <v>11</v>
      </c>
      <c r="D1088" s="6" t="s">
        <v>14</v>
      </c>
      <c r="E1088" s="6" t="s">
        <v>16</v>
      </c>
      <c r="F1088" s="6" t="s">
        <v>21</v>
      </c>
      <c r="G1088" s="6" t="s">
        <v>25</v>
      </c>
      <c r="H1088" s="6" t="s">
        <v>29</v>
      </c>
      <c r="I1088" s="6" t="s">
        <v>31</v>
      </c>
      <c r="J1088" s="6">
        <v>17.094536999999999</v>
      </c>
      <c r="K1088" s="6">
        <v>-97.498720000000006</v>
      </c>
      <c r="L1088" s="6" t="str">
        <f>HYPERLINK("https://maps.google.com/?q=17.094537,-97.498720000000006", "🔗 Ver Mapa")</f>
        <v>🔗 Ver Mapa</v>
      </c>
    </row>
    <row r="1089" spans="1:12" ht="29" x14ac:dyDescent="0.35">
      <c r="A1089" s="5" t="s">
        <v>2</v>
      </c>
      <c r="B1089" s="5" t="s">
        <v>6</v>
      </c>
      <c r="C1089" s="5" t="s">
        <v>11</v>
      </c>
      <c r="D1089" s="5" t="s">
        <v>14</v>
      </c>
      <c r="E1089" s="5" t="s">
        <v>16</v>
      </c>
      <c r="F1089" s="5" t="s">
        <v>21</v>
      </c>
      <c r="G1089" s="5" t="s">
        <v>25</v>
      </c>
      <c r="H1089" s="5" t="s">
        <v>29</v>
      </c>
      <c r="I1089" s="5" t="s">
        <v>31</v>
      </c>
      <c r="J1089" s="5">
        <v>17.094536999999999</v>
      </c>
      <c r="K1089" s="5">
        <v>-97.498720000000006</v>
      </c>
      <c r="L1089" s="5" t="str">
        <f>HYPERLINK("https://maps.google.com/?q=17.094537,-97.498720000000006", "🔗 Ver Mapa")</f>
        <v>🔗 Ver Mapa</v>
      </c>
    </row>
    <row r="1090" spans="1:12" ht="29" x14ac:dyDescent="0.35">
      <c r="A1090" s="6" t="s">
        <v>2</v>
      </c>
      <c r="B1090" s="6" t="s">
        <v>6</v>
      </c>
      <c r="C1090" s="6" t="s">
        <v>11</v>
      </c>
      <c r="D1090" s="6" t="s">
        <v>14</v>
      </c>
      <c r="E1090" s="6" t="s">
        <v>16</v>
      </c>
      <c r="F1090" s="6" t="s">
        <v>21</v>
      </c>
      <c r="G1090" s="6" t="s">
        <v>25</v>
      </c>
      <c r="H1090" s="6" t="s">
        <v>29</v>
      </c>
      <c r="I1090" s="6" t="s">
        <v>31</v>
      </c>
      <c r="J1090" s="6">
        <v>17.094536999999999</v>
      </c>
      <c r="K1090" s="6">
        <v>-97.498720000000006</v>
      </c>
      <c r="L1090" s="6" t="str">
        <f>HYPERLINK("https://maps.google.com/?q=17.094537,-97.498720000000006", "🔗 Ver Mapa")</f>
        <v>🔗 Ver Mapa</v>
      </c>
    </row>
    <row r="1091" spans="1:12" ht="29" x14ac:dyDescent="0.35">
      <c r="A1091" s="5" t="s">
        <v>2</v>
      </c>
      <c r="B1091" s="5" t="s">
        <v>6</v>
      </c>
      <c r="C1091" s="5" t="s">
        <v>11</v>
      </c>
      <c r="D1091" s="5" t="s">
        <v>14</v>
      </c>
      <c r="E1091" s="5" t="s">
        <v>16</v>
      </c>
      <c r="F1091" s="5" t="s">
        <v>21</v>
      </c>
      <c r="G1091" s="5" t="s">
        <v>25</v>
      </c>
      <c r="H1091" s="5" t="s">
        <v>29</v>
      </c>
      <c r="I1091" s="5" t="s">
        <v>31</v>
      </c>
      <c r="J1091" s="5">
        <v>17.094536999999999</v>
      </c>
      <c r="K1091" s="5">
        <v>-97.498720000000006</v>
      </c>
      <c r="L1091" s="5" t="str">
        <f>HYPERLINK("https://maps.google.com/?q=17.094537,-97.498720000000006", "🔗 Ver Mapa")</f>
        <v>🔗 Ver Mapa</v>
      </c>
    </row>
    <row r="1092" spans="1:12" ht="29" x14ac:dyDescent="0.35">
      <c r="A1092" s="6" t="s">
        <v>2</v>
      </c>
      <c r="B1092" s="6" t="s">
        <v>37</v>
      </c>
      <c r="C1092" s="6" t="s">
        <v>38</v>
      </c>
      <c r="D1092" s="6" t="s">
        <v>14</v>
      </c>
      <c r="E1092" s="6" t="s">
        <v>39</v>
      </c>
      <c r="F1092" s="6" t="s">
        <v>40</v>
      </c>
      <c r="G1092" s="6" t="s">
        <v>41</v>
      </c>
      <c r="H1092" s="6" t="s">
        <v>42</v>
      </c>
      <c r="I1092" s="6" t="s">
        <v>31</v>
      </c>
      <c r="J1092" s="6">
        <v>16.884979999999999</v>
      </c>
      <c r="K1092" s="6">
        <v>-97.679010000000005</v>
      </c>
      <c r="L1092" s="6" t="str">
        <f>HYPERLINK("https://maps.google.com/?q=16.88498,-97.679010000000005", "🔗 Ver Mapa")</f>
        <v>🔗 Ver Mapa</v>
      </c>
    </row>
    <row r="1093" spans="1:12" ht="29" x14ac:dyDescent="0.35">
      <c r="A1093" s="5" t="s">
        <v>2</v>
      </c>
      <c r="B1093" s="5" t="s">
        <v>37</v>
      </c>
      <c r="C1093" s="5" t="s">
        <v>43</v>
      </c>
      <c r="D1093" s="5" t="s">
        <v>14</v>
      </c>
      <c r="E1093" s="5" t="s">
        <v>39</v>
      </c>
      <c r="F1093" s="5" t="s">
        <v>40</v>
      </c>
      <c r="G1093" s="5" t="s">
        <v>41</v>
      </c>
      <c r="H1093" s="5" t="s">
        <v>42</v>
      </c>
      <c r="I1093" s="5" t="s">
        <v>31</v>
      </c>
      <c r="J1093" s="5">
        <v>16.88259</v>
      </c>
      <c r="K1093" s="5">
        <v>-97.675792000000001</v>
      </c>
      <c r="L1093" s="5" t="str">
        <f>HYPERLINK("https://maps.google.com/?q=16.88259,-97.675792000000001", "🔗 Ver Mapa")</f>
        <v>🔗 Ver Mapa</v>
      </c>
    </row>
    <row r="1094" spans="1:12" ht="29" x14ac:dyDescent="0.35">
      <c r="A1094" s="6" t="s">
        <v>2</v>
      </c>
      <c r="B1094" s="6" t="s">
        <v>37</v>
      </c>
      <c r="C1094" s="6" t="s">
        <v>43</v>
      </c>
      <c r="D1094" s="6" t="s">
        <v>14</v>
      </c>
      <c r="E1094" s="6" t="s">
        <v>39</v>
      </c>
      <c r="F1094" s="6" t="s">
        <v>40</v>
      </c>
      <c r="G1094" s="6" t="s">
        <v>41</v>
      </c>
      <c r="H1094" s="6" t="s">
        <v>42</v>
      </c>
      <c r="I1094" s="6" t="s">
        <v>31</v>
      </c>
      <c r="J1094" s="6">
        <v>16.88223</v>
      </c>
      <c r="K1094" s="6">
        <v>-97.676150000000007</v>
      </c>
      <c r="L1094" s="6" t="str">
        <f>HYPERLINK("https://maps.google.com/?q=16.88223,-97.676150000000007", "🔗 Ver Mapa")</f>
        <v>🔗 Ver Mapa</v>
      </c>
    </row>
    <row r="1095" spans="1:12" ht="29" x14ac:dyDescent="0.35">
      <c r="A1095" s="5" t="s">
        <v>2</v>
      </c>
      <c r="B1095" s="5" t="s">
        <v>37</v>
      </c>
      <c r="C1095" s="5" t="s">
        <v>43</v>
      </c>
      <c r="D1095" s="5" t="s">
        <v>14</v>
      </c>
      <c r="E1095" s="5" t="s">
        <v>39</v>
      </c>
      <c r="F1095" s="5" t="s">
        <v>40</v>
      </c>
      <c r="G1095" s="5" t="s">
        <v>41</v>
      </c>
      <c r="H1095" s="5" t="s">
        <v>42</v>
      </c>
      <c r="I1095" s="5" t="s">
        <v>31</v>
      </c>
      <c r="J1095" s="5">
        <v>16.883655999999998</v>
      </c>
      <c r="K1095" s="5">
        <v>-97.676331000000005</v>
      </c>
      <c r="L1095" s="5" t="str">
        <f>HYPERLINK("https://maps.google.com/?q=16.883656,-97.676331000000005", "🔗 Ver Mapa")</f>
        <v>🔗 Ver Mapa</v>
      </c>
    </row>
    <row r="1096" spans="1:12" ht="29" x14ac:dyDescent="0.35">
      <c r="A1096" s="6" t="s">
        <v>2</v>
      </c>
      <c r="B1096" s="6" t="s">
        <v>37</v>
      </c>
      <c r="C1096" s="6" t="s">
        <v>43</v>
      </c>
      <c r="D1096" s="6" t="s">
        <v>14</v>
      </c>
      <c r="E1096" s="6" t="s">
        <v>39</v>
      </c>
      <c r="F1096" s="6" t="s">
        <v>40</v>
      </c>
      <c r="G1096" s="6" t="s">
        <v>41</v>
      </c>
      <c r="H1096" s="6" t="s">
        <v>42</v>
      </c>
      <c r="I1096" s="6" t="s">
        <v>31</v>
      </c>
      <c r="J1096" s="6">
        <v>16.883109999999999</v>
      </c>
      <c r="K1096" s="6">
        <v>-97.676550000000006</v>
      </c>
      <c r="L1096" s="6" t="str">
        <f>HYPERLINK("https://maps.google.com/?q=16.88311,-97.676550000000006", "🔗 Ver Mapa")</f>
        <v>🔗 Ver Mapa</v>
      </c>
    </row>
    <row r="1097" spans="1:12" ht="29" x14ac:dyDescent="0.35">
      <c r="A1097" s="5" t="s">
        <v>2</v>
      </c>
      <c r="B1097" s="5" t="s">
        <v>37</v>
      </c>
      <c r="C1097" s="5" t="s">
        <v>43</v>
      </c>
      <c r="D1097" s="5" t="s">
        <v>14</v>
      </c>
      <c r="E1097" s="5" t="s">
        <v>39</v>
      </c>
      <c r="F1097" s="5" t="s">
        <v>40</v>
      </c>
      <c r="G1097" s="5" t="s">
        <v>41</v>
      </c>
      <c r="H1097" s="5" t="s">
        <v>42</v>
      </c>
      <c r="I1097" s="5" t="s">
        <v>31</v>
      </c>
      <c r="J1097" s="5">
        <v>16.883800000000001</v>
      </c>
      <c r="K1097" s="5">
        <v>-97.677070000000001</v>
      </c>
      <c r="L1097" s="5" t="str">
        <f>HYPERLINK("https://maps.google.com/?q=16.8838,-97.677070000000001", "🔗 Ver Mapa")</f>
        <v>🔗 Ver Mapa</v>
      </c>
    </row>
    <row r="1098" spans="1:12" ht="29" x14ac:dyDescent="0.35">
      <c r="A1098" s="6" t="s">
        <v>2</v>
      </c>
      <c r="B1098" s="6" t="s">
        <v>37</v>
      </c>
      <c r="C1098" s="6" t="s">
        <v>43</v>
      </c>
      <c r="D1098" s="6" t="s">
        <v>14</v>
      </c>
      <c r="E1098" s="6" t="s">
        <v>39</v>
      </c>
      <c r="F1098" s="6" t="s">
        <v>40</v>
      </c>
      <c r="G1098" s="6" t="s">
        <v>41</v>
      </c>
      <c r="H1098" s="6" t="s">
        <v>42</v>
      </c>
      <c r="I1098" s="6" t="s">
        <v>31</v>
      </c>
      <c r="J1098" s="6">
        <v>16.886140000000001</v>
      </c>
      <c r="K1098" s="6">
        <v>-97.677869999999999</v>
      </c>
      <c r="L1098" s="6" t="str">
        <f>HYPERLINK("https://maps.google.com/?q=16.88614,-97.677869999999999", "🔗 Ver Mapa")</f>
        <v>🔗 Ver Mapa</v>
      </c>
    </row>
    <row r="1099" spans="1:12" ht="29" x14ac:dyDescent="0.35">
      <c r="A1099" s="5" t="s">
        <v>2</v>
      </c>
      <c r="B1099" s="5" t="s">
        <v>37</v>
      </c>
      <c r="C1099" s="5" t="s">
        <v>43</v>
      </c>
      <c r="D1099" s="5" t="s">
        <v>14</v>
      </c>
      <c r="E1099" s="5" t="s">
        <v>39</v>
      </c>
      <c r="F1099" s="5" t="s">
        <v>40</v>
      </c>
      <c r="G1099" s="5" t="s">
        <v>41</v>
      </c>
      <c r="H1099" s="5" t="s">
        <v>42</v>
      </c>
      <c r="I1099" s="5" t="s">
        <v>31</v>
      </c>
      <c r="J1099" s="5">
        <v>16.886389999999999</v>
      </c>
      <c r="K1099" s="5">
        <v>-97.678100000000001</v>
      </c>
      <c r="L1099" s="5" t="str">
        <f>HYPERLINK("https://maps.google.com/?q=16.88639,-97.678100000000001", "🔗 Ver Mapa")</f>
        <v>🔗 Ver Mapa</v>
      </c>
    </row>
    <row r="1100" spans="1:12" ht="29" x14ac:dyDescent="0.35">
      <c r="A1100" s="6" t="s">
        <v>2</v>
      </c>
      <c r="B1100" s="6" t="s">
        <v>4</v>
      </c>
      <c r="C1100" s="6" t="s">
        <v>8</v>
      </c>
      <c r="D1100" s="6" t="s">
        <v>13</v>
      </c>
      <c r="E1100" s="6" t="s">
        <v>16</v>
      </c>
      <c r="F1100" s="6" t="s">
        <v>19</v>
      </c>
      <c r="G1100" s="6" t="s">
        <v>23</v>
      </c>
      <c r="H1100" s="6" t="s">
        <v>27</v>
      </c>
      <c r="I1100" s="6" t="s">
        <v>31</v>
      </c>
      <c r="J1100" s="6">
        <v>17.223110999999999</v>
      </c>
      <c r="K1100" s="6">
        <v>-97.119602999999998</v>
      </c>
      <c r="L1100" s="6" t="str">
        <f>HYPERLINK("https://maps.google.com/?q=17.223111,-97.119602999999998", "🔗 Ver Mapa")</f>
        <v>🔗 Ver Mapa</v>
      </c>
    </row>
    <row r="1101" spans="1:12" ht="29" x14ac:dyDescent="0.35">
      <c r="A1101" s="5" t="s">
        <v>2</v>
      </c>
      <c r="B1101" s="5" t="s">
        <v>4</v>
      </c>
      <c r="C1101" s="5" t="s">
        <v>8</v>
      </c>
      <c r="D1101" s="5" t="s">
        <v>13</v>
      </c>
      <c r="E1101" s="5" t="s">
        <v>16</v>
      </c>
      <c r="F1101" s="5" t="s">
        <v>19</v>
      </c>
      <c r="G1101" s="5" t="s">
        <v>23</v>
      </c>
      <c r="H1101" s="5" t="s">
        <v>27</v>
      </c>
      <c r="I1101" s="5" t="s">
        <v>31</v>
      </c>
      <c r="J1101" s="5">
        <v>17.22261</v>
      </c>
      <c r="K1101" s="5">
        <v>-97.120559999999998</v>
      </c>
      <c r="L1101" s="5" t="str">
        <f>HYPERLINK("https://maps.google.com/?q=17.22261,-97.120559999999998", "🔗 Ver Mapa")</f>
        <v>🔗 Ver Mapa</v>
      </c>
    </row>
    <row r="1102" spans="1:12" ht="29" x14ac:dyDescent="0.35">
      <c r="A1102" s="6" t="s">
        <v>2</v>
      </c>
      <c r="B1102" s="6" t="s">
        <v>4</v>
      </c>
      <c r="C1102" s="6" t="s">
        <v>8</v>
      </c>
      <c r="D1102" s="6" t="s">
        <v>13</v>
      </c>
      <c r="E1102" s="6" t="s">
        <v>16</v>
      </c>
      <c r="F1102" s="6" t="s">
        <v>19</v>
      </c>
      <c r="G1102" s="6" t="s">
        <v>23</v>
      </c>
      <c r="H1102" s="6" t="s">
        <v>27</v>
      </c>
      <c r="I1102" s="6" t="s">
        <v>31</v>
      </c>
      <c r="J1102" s="6">
        <v>17.222438</v>
      </c>
      <c r="K1102" s="6">
        <v>-97.122868999999994</v>
      </c>
      <c r="L1102" s="6" t="str">
        <f>HYPERLINK("https://maps.google.com/?q=17.222438,-97.122868999999994", "🔗 Ver Mapa")</f>
        <v>🔗 Ver Mapa</v>
      </c>
    </row>
    <row r="1103" spans="1:12" ht="29" x14ac:dyDescent="0.35">
      <c r="A1103" s="5" t="s">
        <v>2</v>
      </c>
      <c r="B1103" s="5" t="s">
        <v>4</v>
      </c>
      <c r="C1103" s="5" t="s">
        <v>8</v>
      </c>
      <c r="D1103" s="5" t="s">
        <v>13</v>
      </c>
      <c r="E1103" s="5" t="s">
        <v>16</v>
      </c>
      <c r="F1103" s="5" t="s">
        <v>19</v>
      </c>
      <c r="G1103" s="5" t="s">
        <v>23</v>
      </c>
      <c r="H1103" s="5" t="s">
        <v>27</v>
      </c>
      <c r="I1103" s="5" t="s">
        <v>31</v>
      </c>
      <c r="J1103" s="5">
        <v>17.222455</v>
      </c>
      <c r="K1103" s="5">
        <v>-97.119669999999999</v>
      </c>
      <c r="L1103" s="5" t="str">
        <f>HYPERLINK("https://maps.google.com/?q=17.222455,-97.119669999999999", "🔗 Ver Mapa")</f>
        <v>🔗 Ver Mapa</v>
      </c>
    </row>
    <row r="1104" spans="1:12" ht="29" x14ac:dyDescent="0.35">
      <c r="A1104" s="6" t="s">
        <v>2</v>
      </c>
      <c r="B1104" s="6" t="s">
        <v>4</v>
      </c>
      <c r="C1104" s="6" t="s">
        <v>8</v>
      </c>
      <c r="D1104" s="6" t="s">
        <v>13</v>
      </c>
      <c r="E1104" s="6" t="s">
        <v>16</v>
      </c>
      <c r="F1104" s="6" t="s">
        <v>19</v>
      </c>
      <c r="G1104" s="6" t="s">
        <v>23</v>
      </c>
      <c r="H1104" s="6" t="s">
        <v>27</v>
      </c>
      <c r="I1104" s="6" t="s">
        <v>31</v>
      </c>
      <c r="J1104" s="6">
        <v>17.222173000000002</v>
      </c>
      <c r="K1104" s="6">
        <v>-97.116714000000002</v>
      </c>
      <c r="L1104" s="6" t="str">
        <f>HYPERLINK("https://maps.google.com/?q=17.222173,-97.116714000000002", "🔗 Ver Mapa")</f>
        <v>🔗 Ver Mapa</v>
      </c>
    </row>
    <row r="1105" spans="1:12" ht="29" x14ac:dyDescent="0.35">
      <c r="A1105" s="5" t="s">
        <v>2</v>
      </c>
      <c r="B1105" s="5" t="s">
        <v>4</v>
      </c>
      <c r="C1105" s="5" t="s">
        <v>8</v>
      </c>
      <c r="D1105" s="5" t="s">
        <v>13</v>
      </c>
      <c r="E1105" s="5" t="s">
        <v>16</v>
      </c>
      <c r="F1105" s="5" t="s">
        <v>19</v>
      </c>
      <c r="G1105" s="5" t="s">
        <v>23</v>
      </c>
      <c r="H1105" s="5" t="s">
        <v>27</v>
      </c>
      <c r="I1105" s="5" t="s">
        <v>31</v>
      </c>
      <c r="J1105" s="5">
        <v>17.223154999999998</v>
      </c>
      <c r="K1105" s="5">
        <v>-97.118347</v>
      </c>
      <c r="L1105" s="5" t="str">
        <f>HYPERLINK("https://maps.google.com/?q=17.223155,-97.118347", "🔗 Ver Mapa")</f>
        <v>🔗 Ver Mapa</v>
      </c>
    </row>
    <row r="1106" spans="1:12" ht="29" x14ac:dyDescent="0.35">
      <c r="A1106" s="6" t="s">
        <v>2</v>
      </c>
      <c r="B1106" s="6" t="s">
        <v>4</v>
      </c>
      <c r="C1106" s="6" t="s">
        <v>8</v>
      </c>
      <c r="D1106" s="6" t="s">
        <v>13</v>
      </c>
      <c r="E1106" s="6" t="s">
        <v>16</v>
      </c>
      <c r="F1106" s="6" t="s">
        <v>19</v>
      </c>
      <c r="G1106" s="6" t="s">
        <v>23</v>
      </c>
      <c r="H1106" s="6" t="s">
        <v>27</v>
      </c>
      <c r="I1106" s="6" t="s">
        <v>31</v>
      </c>
      <c r="J1106" s="6">
        <v>17.223134999999999</v>
      </c>
      <c r="K1106" s="6">
        <v>-97.117632</v>
      </c>
      <c r="L1106" s="6" t="str">
        <f>HYPERLINK("https://maps.google.com/?q=17.223135,-97.117632", "🔗 Ver Mapa")</f>
        <v>🔗 Ver Mapa</v>
      </c>
    </row>
    <row r="1107" spans="1:12" ht="29" x14ac:dyDescent="0.35">
      <c r="A1107" s="5" t="s">
        <v>2</v>
      </c>
      <c r="B1107" s="5" t="s">
        <v>4</v>
      </c>
      <c r="C1107" s="5" t="s">
        <v>8</v>
      </c>
      <c r="D1107" s="5" t="s">
        <v>13</v>
      </c>
      <c r="E1107" s="5" t="s">
        <v>16</v>
      </c>
      <c r="F1107" s="5" t="s">
        <v>19</v>
      </c>
      <c r="G1107" s="5" t="s">
        <v>23</v>
      </c>
      <c r="H1107" s="5" t="s">
        <v>27</v>
      </c>
      <c r="I1107" s="5" t="s">
        <v>31</v>
      </c>
      <c r="J1107" s="5">
        <v>17.221247000000002</v>
      </c>
      <c r="K1107" s="5">
        <v>-97.122024999999994</v>
      </c>
      <c r="L1107" s="5" t="str">
        <f>HYPERLINK("https://maps.google.com/?q=17.221247,-97.122024999999994", "🔗 Ver Mapa")</f>
        <v>🔗 Ver Mapa</v>
      </c>
    </row>
    <row r="1108" spans="1:12" ht="43.5" x14ac:dyDescent="0.35">
      <c r="A1108" s="6" t="s">
        <v>2</v>
      </c>
      <c r="B1108" s="6" t="s">
        <v>5</v>
      </c>
      <c r="C1108" s="6" t="s">
        <v>10</v>
      </c>
      <c r="D1108" s="6" t="s">
        <v>13</v>
      </c>
      <c r="E1108" s="6" t="s">
        <v>17</v>
      </c>
      <c r="F1108" s="6" t="s">
        <v>20</v>
      </c>
      <c r="G1108" s="6" t="s">
        <v>24</v>
      </c>
      <c r="H1108" s="6" t="s">
        <v>28</v>
      </c>
      <c r="I1108" s="6" t="s">
        <v>32</v>
      </c>
      <c r="J1108" s="6">
        <v>15.877053</v>
      </c>
      <c r="K1108" s="6">
        <v>-96.458371</v>
      </c>
      <c r="L1108" s="6" t="str">
        <f>HYPERLINK("https://maps.google.com/?q=15.877053,-96.458371", "🔗 Ver Mapa")</f>
        <v>🔗 Ver Mapa</v>
      </c>
    </row>
    <row r="1109" spans="1:12" ht="43.5" x14ac:dyDescent="0.35">
      <c r="A1109" s="5" t="s">
        <v>2</v>
      </c>
      <c r="B1109" s="5" t="s">
        <v>5</v>
      </c>
      <c r="C1109" s="5" t="s">
        <v>10</v>
      </c>
      <c r="D1109" s="5" t="s">
        <v>13</v>
      </c>
      <c r="E1109" s="5" t="s">
        <v>17</v>
      </c>
      <c r="F1109" s="5" t="s">
        <v>20</v>
      </c>
      <c r="G1109" s="5" t="s">
        <v>24</v>
      </c>
      <c r="H1109" s="5" t="s">
        <v>28</v>
      </c>
      <c r="I1109" s="5" t="s">
        <v>32</v>
      </c>
      <c r="J1109" s="5">
        <v>15.876536</v>
      </c>
      <c r="K1109" s="5">
        <v>-96.458200000000005</v>
      </c>
      <c r="L1109" s="5" t="str">
        <f>HYPERLINK("https://maps.google.com/?q=15.876536,-96.458200000000005", "🔗 Ver Mapa")</f>
        <v>🔗 Ver Mapa</v>
      </c>
    </row>
    <row r="1110" spans="1:12" ht="43.5" x14ac:dyDescent="0.35">
      <c r="A1110" s="6" t="s">
        <v>2</v>
      </c>
      <c r="B1110" s="6" t="s">
        <v>5</v>
      </c>
      <c r="C1110" s="6" t="s">
        <v>10</v>
      </c>
      <c r="D1110" s="6" t="s">
        <v>13</v>
      </c>
      <c r="E1110" s="6" t="s">
        <v>17</v>
      </c>
      <c r="F1110" s="6" t="s">
        <v>20</v>
      </c>
      <c r="G1110" s="6" t="s">
        <v>24</v>
      </c>
      <c r="H1110" s="6" t="s">
        <v>28</v>
      </c>
      <c r="I1110" s="6" t="s">
        <v>32</v>
      </c>
      <c r="J1110" s="6">
        <v>15.805282999999999</v>
      </c>
      <c r="K1110" s="6">
        <v>-96.458077000000003</v>
      </c>
      <c r="L1110" s="6" t="str">
        <f>HYPERLINK("https://maps.google.com/?q=15.805283,-96.458077000000003", "🔗 Ver Mapa")</f>
        <v>🔗 Ver Mapa</v>
      </c>
    </row>
    <row r="1111" spans="1:12" ht="43.5" x14ac:dyDescent="0.35">
      <c r="A1111" s="5" t="s">
        <v>2</v>
      </c>
      <c r="B1111" s="5" t="s">
        <v>5</v>
      </c>
      <c r="C1111" s="5" t="s">
        <v>10</v>
      </c>
      <c r="D1111" s="5" t="s">
        <v>13</v>
      </c>
      <c r="E1111" s="5" t="s">
        <v>17</v>
      </c>
      <c r="F1111" s="5" t="s">
        <v>20</v>
      </c>
      <c r="G1111" s="5" t="s">
        <v>24</v>
      </c>
      <c r="H1111" s="5" t="s">
        <v>28</v>
      </c>
      <c r="I1111" s="5" t="s">
        <v>32</v>
      </c>
      <c r="J1111" s="5">
        <v>15.80448</v>
      </c>
      <c r="K1111" s="5">
        <v>-96.458021000000002</v>
      </c>
      <c r="L1111" s="5" t="str">
        <f>HYPERLINK("https://maps.google.com/?q=15.80448,-96.458021000000002", "🔗 Ver Mapa")</f>
        <v>🔗 Ver Mapa</v>
      </c>
    </row>
    <row r="1112" spans="1:12" ht="29" x14ac:dyDescent="0.35">
      <c r="A1112" s="6" t="s">
        <v>2</v>
      </c>
      <c r="B1112" s="6" t="s">
        <v>6</v>
      </c>
      <c r="C1112" s="6" t="s">
        <v>11</v>
      </c>
      <c r="D1112" s="6" t="s">
        <v>14</v>
      </c>
      <c r="E1112" s="6" t="s">
        <v>16</v>
      </c>
      <c r="F1112" s="6" t="s">
        <v>21</v>
      </c>
      <c r="G1112" s="6" t="s">
        <v>25</v>
      </c>
      <c r="H1112" s="6" t="s">
        <v>29</v>
      </c>
      <c r="I1112" s="6" t="s">
        <v>31</v>
      </c>
      <c r="J1112" s="6">
        <v>17.090793000000001</v>
      </c>
      <c r="K1112" s="6">
        <v>-97.494176999999993</v>
      </c>
      <c r="L1112" s="6" t="str">
        <f>HYPERLINK("https://maps.google.com/?q=17.090793,-97.494176999999993", "🔗 Ver Mapa")</f>
        <v>🔗 Ver Mapa</v>
      </c>
    </row>
    <row r="1113" spans="1:12" ht="29" x14ac:dyDescent="0.35">
      <c r="A1113" s="5" t="s">
        <v>2</v>
      </c>
      <c r="B1113" s="5" t="s">
        <v>6</v>
      </c>
      <c r="C1113" s="5" t="s">
        <v>11</v>
      </c>
      <c r="D1113" s="5" t="s">
        <v>14</v>
      </c>
      <c r="E1113" s="5" t="s">
        <v>16</v>
      </c>
      <c r="F1113" s="5" t="s">
        <v>21</v>
      </c>
      <c r="G1113" s="5" t="s">
        <v>25</v>
      </c>
      <c r="H1113" s="5" t="s">
        <v>29</v>
      </c>
      <c r="I1113" s="5" t="s">
        <v>31</v>
      </c>
      <c r="J1113" s="5">
        <v>17.090793000000001</v>
      </c>
      <c r="K1113" s="5">
        <v>-97.494176999999993</v>
      </c>
      <c r="L1113" s="5" t="str">
        <f>HYPERLINK("https://maps.google.com/?q=17.090793,-97.494176999999993", "🔗 Ver Mapa")</f>
        <v>🔗 Ver Mapa</v>
      </c>
    </row>
    <row r="1114" spans="1:12" ht="29" x14ac:dyDescent="0.35">
      <c r="A1114" s="6" t="s">
        <v>2</v>
      </c>
      <c r="B1114" s="6" t="s">
        <v>6</v>
      </c>
      <c r="C1114" s="6" t="s">
        <v>11</v>
      </c>
      <c r="D1114" s="6" t="s">
        <v>14</v>
      </c>
      <c r="E1114" s="6" t="s">
        <v>16</v>
      </c>
      <c r="F1114" s="6" t="s">
        <v>21</v>
      </c>
      <c r="G1114" s="6" t="s">
        <v>25</v>
      </c>
      <c r="H1114" s="6" t="s">
        <v>29</v>
      </c>
      <c r="I1114" s="6" t="s">
        <v>31</v>
      </c>
      <c r="J1114" s="6">
        <v>17.090793000000001</v>
      </c>
      <c r="K1114" s="6">
        <v>-97.494176999999993</v>
      </c>
      <c r="L1114" s="6" t="str">
        <f>HYPERLINK("https://maps.google.com/?q=17.090793,-97.494176999999993", "🔗 Ver Mapa")</f>
        <v>🔗 Ver Mapa</v>
      </c>
    </row>
    <row r="1115" spans="1:12" ht="29" x14ac:dyDescent="0.35">
      <c r="A1115" s="5" t="s">
        <v>2</v>
      </c>
      <c r="B1115" s="5" t="s">
        <v>6</v>
      </c>
      <c r="C1115" s="5" t="s">
        <v>11</v>
      </c>
      <c r="D1115" s="5" t="s">
        <v>14</v>
      </c>
      <c r="E1115" s="5" t="s">
        <v>16</v>
      </c>
      <c r="F1115" s="5" t="s">
        <v>21</v>
      </c>
      <c r="G1115" s="5" t="s">
        <v>25</v>
      </c>
      <c r="H1115" s="5" t="s">
        <v>29</v>
      </c>
      <c r="I1115" s="5" t="s">
        <v>31</v>
      </c>
      <c r="J1115" s="5">
        <v>17.090793000000001</v>
      </c>
      <c r="K1115" s="5">
        <v>-97.494176999999993</v>
      </c>
      <c r="L1115" s="5" t="str">
        <f>HYPERLINK("https://maps.google.com/?q=17.090793,-97.494176999999993", "🔗 Ver Mapa")</f>
        <v>🔗 Ver Mapa</v>
      </c>
    </row>
    <row r="1116" spans="1:12" ht="29" x14ac:dyDescent="0.35">
      <c r="A1116" s="6" t="s">
        <v>2</v>
      </c>
      <c r="B1116" s="6" t="s">
        <v>6</v>
      </c>
      <c r="C1116" s="6" t="s">
        <v>11</v>
      </c>
      <c r="D1116" s="6" t="s">
        <v>14</v>
      </c>
      <c r="E1116" s="6" t="s">
        <v>16</v>
      </c>
      <c r="F1116" s="6" t="s">
        <v>21</v>
      </c>
      <c r="G1116" s="6" t="s">
        <v>25</v>
      </c>
      <c r="H1116" s="6" t="s">
        <v>29</v>
      </c>
      <c r="I1116" s="6" t="s">
        <v>31</v>
      </c>
      <c r="J1116" s="6">
        <v>17.092172000000001</v>
      </c>
      <c r="K1116" s="6">
        <v>-97.493604000000005</v>
      </c>
      <c r="L1116" s="6" t="str">
        <f>HYPERLINK("https://maps.google.com/?q=17.092172,-97.493604000000005", "🔗 Ver Mapa")</f>
        <v>🔗 Ver Mapa</v>
      </c>
    </row>
    <row r="1117" spans="1:12" ht="29" x14ac:dyDescent="0.35">
      <c r="A1117" s="5" t="s">
        <v>2</v>
      </c>
      <c r="B1117" s="5" t="s">
        <v>6</v>
      </c>
      <c r="C1117" s="5" t="s">
        <v>11</v>
      </c>
      <c r="D1117" s="5" t="s">
        <v>14</v>
      </c>
      <c r="E1117" s="5" t="s">
        <v>16</v>
      </c>
      <c r="F1117" s="5" t="s">
        <v>21</v>
      </c>
      <c r="G1117" s="5" t="s">
        <v>25</v>
      </c>
      <c r="H1117" s="5" t="s">
        <v>29</v>
      </c>
      <c r="I1117" s="5" t="s">
        <v>31</v>
      </c>
      <c r="J1117" s="5">
        <v>17.092172000000001</v>
      </c>
      <c r="K1117" s="5">
        <v>-97.493604000000005</v>
      </c>
      <c r="L1117" s="5" t="str">
        <f>HYPERLINK("https://maps.google.com/?q=17.092172,-97.493604000000005", "🔗 Ver Mapa")</f>
        <v>🔗 Ver Mapa</v>
      </c>
    </row>
    <row r="1118" spans="1:12" ht="29" x14ac:dyDescent="0.35">
      <c r="A1118" s="6" t="s">
        <v>2</v>
      </c>
      <c r="B1118" s="6" t="s">
        <v>6</v>
      </c>
      <c r="C1118" s="6" t="s">
        <v>11</v>
      </c>
      <c r="D1118" s="6" t="s">
        <v>14</v>
      </c>
      <c r="E1118" s="6" t="s">
        <v>16</v>
      </c>
      <c r="F1118" s="6" t="s">
        <v>21</v>
      </c>
      <c r="G1118" s="6" t="s">
        <v>25</v>
      </c>
      <c r="H1118" s="6" t="s">
        <v>29</v>
      </c>
      <c r="I1118" s="6" t="s">
        <v>31</v>
      </c>
      <c r="J1118" s="6">
        <v>17.092172000000001</v>
      </c>
      <c r="K1118" s="6">
        <v>-97.493604000000005</v>
      </c>
      <c r="L1118" s="6" t="str">
        <f>HYPERLINK("https://maps.google.com/?q=17.092172,-97.493604000000005", "🔗 Ver Mapa")</f>
        <v>🔗 Ver Mapa</v>
      </c>
    </row>
    <row r="1119" spans="1:12" ht="29" x14ac:dyDescent="0.35">
      <c r="A1119" s="5" t="s">
        <v>2</v>
      </c>
      <c r="B1119" s="5" t="s">
        <v>6</v>
      </c>
      <c r="C1119" s="5" t="s">
        <v>11</v>
      </c>
      <c r="D1119" s="5" t="s">
        <v>14</v>
      </c>
      <c r="E1119" s="5" t="s">
        <v>16</v>
      </c>
      <c r="F1119" s="5" t="s">
        <v>21</v>
      </c>
      <c r="G1119" s="5" t="s">
        <v>25</v>
      </c>
      <c r="H1119" s="5" t="s">
        <v>29</v>
      </c>
      <c r="I1119" s="5" t="s">
        <v>31</v>
      </c>
      <c r="J1119" s="5">
        <v>17.092172000000001</v>
      </c>
      <c r="K1119" s="5">
        <v>-97.493604000000005</v>
      </c>
      <c r="L1119" s="5" t="str">
        <f>HYPERLINK("https://maps.google.com/?q=17.092172,-97.493604000000005", "🔗 Ver Mapa")</f>
        <v>🔗 Ver Mapa</v>
      </c>
    </row>
    <row r="1120" spans="1:12" ht="29" x14ac:dyDescent="0.35">
      <c r="A1120" s="6" t="s">
        <v>2</v>
      </c>
      <c r="B1120" s="6" t="s">
        <v>6</v>
      </c>
      <c r="C1120" s="6" t="s">
        <v>11</v>
      </c>
      <c r="D1120" s="6" t="s">
        <v>14</v>
      </c>
      <c r="E1120" s="6" t="s">
        <v>16</v>
      </c>
      <c r="F1120" s="6" t="s">
        <v>21</v>
      </c>
      <c r="G1120" s="6" t="s">
        <v>25</v>
      </c>
      <c r="H1120" s="6" t="s">
        <v>29</v>
      </c>
      <c r="I1120" s="6" t="s">
        <v>31</v>
      </c>
      <c r="J1120" s="6">
        <v>17.094080999999999</v>
      </c>
      <c r="K1120" s="6">
        <v>-97.496217999999999</v>
      </c>
      <c r="L1120" s="6" t="str">
        <f>HYPERLINK("https://maps.google.com/?q=17.094081,-97.496217999999999", "🔗 Ver Mapa")</f>
        <v>🔗 Ver Mapa</v>
      </c>
    </row>
    <row r="1121" spans="1:12" ht="29" x14ac:dyDescent="0.35">
      <c r="A1121" s="5" t="s">
        <v>2</v>
      </c>
      <c r="B1121" s="5" t="s">
        <v>6</v>
      </c>
      <c r="C1121" s="5" t="s">
        <v>11</v>
      </c>
      <c r="D1121" s="5" t="s">
        <v>14</v>
      </c>
      <c r="E1121" s="5" t="s">
        <v>16</v>
      </c>
      <c r="F1121" s="5" t="s">
        <v>21</v>
      </c>
      <c r="G1121" s="5" t="s">
        <v>25</v>
      </c>
      <c r="H1121" s="5" t="s">
        <v>29</v>
      </c>
      <c r="I1121" s="5" t="s">
        <v>31</v>
      </c>
      <c r="J1121" s="5">
        <v>17.094080999999999</v>
      </c>
      <c r="K1121" s="5">
        <v>-97.496217999999999</v>
      </c>
      <c r="L1121" s="5" t="str">
        <f>HYPERLINK("https://maps.google.com/?q=17.094081,-97.496217999999999", "🔗 Ver Mapa")</f>
        <v>🔗 Ver Mapa</v>
      </c>
    </row>
    <row r="1122" spans="1:12" ht="29" x14ac:dyDescent="0.35">
      <c r="A1122" s="6" t="s">
        <v>2</v>
      </c>
      <c r="B1122" s="6" t="s">
        <v>6</v>
      </c>
      <c r="C1122" s="6" t="s">
        <v>11</v>
      </c>
      <c r="D1122" s="6" t="s">
        <v>14</v>
      </c>
      <c r="E1122" s="6" t="s">
        <v>16</v>
      </c>
      <c r="F1122" s="6" t="s">
        <v>21</v>
      </c>
      <c r="G1122" s="6" t="s">
        <v>25</v>
      </c>
      <c r="H1122" s="6" t="s">
        <v>29</v>
      </c>
      <c r="I1122" s="6" t="s">
        <v>31</v>
      </c>
      <c r="J1122" s="6">
        <v>17.094080999999999</v>
      </c>
      <c r="K1122" s="6">
        <v>-97.496217999999999</v>
      </c>
      <c r="L1122" s="6" t="str">
        <f>HYPERLINK("https://maps.google.com/?q=17.094081,-97.496217999999999", "🔗 Ver Mapa")</f>
        <v>🔗 Ver Mapa</v>
      </c>
    </row>
    <row r="1123" spans="1:12" ht="29" x14ac:dyDescent="0.35">
      <c r="A1123" s="5" t="s">
        <v>2</v>
      </c>
      <c r="B1123" s="5" t="s">
        <v>6</v>
      </c>
      <c r="C1123" s="5" t="s">
        <v>11</v>
      </c>
      <c r="D1123" s="5" t="s">
        <v>14</v>
      </c>
      <c r="E1123" s="5" t="s">
        <v>16</v>
      </c>
      <c r="F1123" s="5" t="s">
        <v>21</v>
      </c>
      <c r="G1123" s="5" t="s">
        <v>25</v>
      </c>
      <c r="H1123" s="5" t="s">
        <v>29</v>
      </c>
      <c r="I1123" s="5" t="s">
        <v>31</v>
      </c>
      <c r="J1123" s="5">
        <v>17.094080999999999</v>
      </c>
      <c r="K1123" s="5">
        <v>-97.496217999999999</v>
      </c>
      <c r="L1123" s="5" t="str">
        <f>HYPERLINK("https://maps.google.com/?q=17.094081,-97.496217999999999", "🔗 Ver Mapa")</f>
        <v>🔗 Ver Mapa</v>
      </c>
    </row>
    <row r="1124" spans="1:12" ht="29" x14ac:dyDescent="0.35">
      <c r="A1124" s="6" t="s">
        <v>2</v>
      </c>
      <c r="B1124" s="6" t="s">
        <v>6</v>
      </c>
      <c r="C1124" s="6" t="s">
        <v>11</v>
      </c>
      <c r="D1124" s="6" t="s">
        <v>14</v>
      </c>
      <c r="E1124" s="6" t="s">
        <v>16</v>
      </c>
      <c r="F1124" s="6" t="s">
        <v>21</v>
      </c>
      <c r="G1124" s="6" t="s">
        <v>25</v>
      </c>
      <c r="H1124" s="6" t="s">
        <v>29</v>
      </c>
      <c r="I1124" s="6" t="s">
        <v>31</v>
      </c>
      <c r="J1124" s="6">
        <v>17.094055000000001</v>
      </c>
      <c r="K1124" s="6">
        <v>-97.492358999999993</v>
      </c>
      <c r="L1124" s="6" t="str">
        <f>HYPERLINK("https://maps.google.com/?q=17.094055,-97.492358999999993", "🔗 Ver Mapa")</f>
        <v>🔗 Ver Mapa</v>
      </c>
    </row>
    <row r="1125" spans="1:12" ht="29" x14ac:dyDescent="0.35">
      <c r="A1125" s="5" t="s">
        <v>2</v>
      </c>
      <c r="B1125" s="5" t="s">
        <v>6</v>
      </c>
      <c r="C1125" s="5" t="s">
        <v>11</v>
      </c>
      <c r="D1125" s="5" t="s">
        <v>14</v>
      </c>
      <c r="E1125" s="5" t="s">
        <v>16</v>
      </c>
      <c r="F1125" s="5" t="s">
        <v>21</v>
      </c>
      <c r="G1125" s="5" t="s">
        <v>25</v>
      </c>
      <c r="H1125" s="5" t="s">
        <v>29</v>
      </c>
      <c r="I1125" s="5" t="s">
        <v>31</v>
      </c>
      <c r="J1125" s="5">
        <v>17.094055000000001</v>
      </c>
      <c r="K1125" s="5">
        <v>-97.492358999999993</v>
      </c>
      <c r="L1125" s="5" t="str">
        <f>HYPERLINK("https://maps.google.com/?q=17.094055,-97.492358999999993", "🔗 Ver Mapa")</f>
        <v>🔗 Ver Mapa</v>
      </c>
    </row>
    <row r="1126" spans="1:12" ht="29" x14ac:dyDescent="0.35">
      <c r="A1126" s="6" t="s">
        <v>2</v>
      </c>
      <c r="B1126" s="6" t="s">
        <v>6</v>
      </c>
      <c r="C1126" s="6" t="s">
        <v>11</v>
      </c>
      <c r="D1126" s="6" t="s">
        <v>14</v>
      </c>
      <c r="E1126" s="6" t="s">
        <v>16</v>
      </c>
      <c r="F1126" s="6" t="s">
        <v>21</v>
      </c>
      <c r="G1126" s="6" t="s">
        <v>25</v>
      </c>
      <c r="H1126" s="6" t="s">
        <v>29</v>
      </c>
      <c r="I1126" s="6" t="s">
        <v>31</v>
      </c>
      <c r="J1126" s="6">
        <v>17.094055000000001</v>
      </c>
      <c r="K1126" s="6">
        <v>-97.492358999999993</v>
      </c>
      <c r="L1126" s="6" t="str">
        <f>HYPERLINK("https://maps.google.com/?q=17.094055,-97.492358999999993", "🔗 Ver Mapa")</f>
        <v>🔗 Ver Mapa</v>
      </c>
    </row>
    <row r="1127" spans="1:12" ht="29" x14ac:dyDescent="0.35">
      <c r="A1127" s="5" t="s">
        <v>2</v>
      </c>
      <c r="B1127" s="5" t="s">
        <v>6</v>
      </c>
      <c r="C1127" s="5" t="s">
        <v>11</v>
      </c>
      <c r="D1127" s="5" t="s">
        <v>14</v>
      </c>
      <c r="E1127" s="5" t="s">
        <v>16</v>
      </c>
      <c r="F1127" s="5" t="s">
        <v>21</v>
      </c>
      <c r="G1127" s="5" t="s">
        <v>25</v>
      </c>
      <c r="H1127" s="5" t="s">
        <v>29</v>
      </c>
      <c r="I1127" s="5" t="s">
        <v>31</v>
      </c>
      <c r="J1127" s="5">
        <v>17.094055000000001</v>
      </c>
      <c r="K1127" s="5">
        <v>-97.492358999999993</v>
      </c>
      <c r="L1127" s="5" t="str">
        <f>HYPERLINK("https://maps.google.com/?q=17.094055,-97.492358999999993", "🔗 Ver Mapa")</f>
        <v>🔗 Ver Mapa</v>
      </c>
    </row>
    <row r="1128" spans="1:12" ht="29" x14ac:dyDescent="0.35">
      <c r="A1128" s="6" t="s">
        <v>2</v>
      </c>
      <c r="B1128" s="6" t="s">
        <v>6</v>
      </c>
      <c r="C1128" s="6" t="s">
        <v>11</v>
      </c>
      <c r="D1128" s="6" t="s">
        <v>14</v>
      </c>
      <c r="E1128" s="6" t="s">
        <v>16</v>
      </c>
      <c r="F1128" s="6" t="s">
        <v>21</v>
      </c>
      <c r="G1128" s="6" t="s">
        <v>25</v>
      </c>
      <c r="H1128" s="6" t="s">
        <v>29</v>
      </c>
      <c r="I1128" s="6" t="s">
        <v>31</v>
      </c>
      <c r="J1128" s="6">
        <v>17.095534000000001</v>
      </c>
      <c r="K1128" s="6">
        <v>-97.497962000000001</v>
      </c>
      <c r="L1128" s="6" t="str">
        <f>HYPERLINK("https://maps.google.com/?q=17.095534,-97.497962000000001", "🔗 Ver Mapa")</f>
        <v>🔗 Ver Mapa</v>
      </c>
    </row>
    <row r="1129" spans="1:12" ht="29" x14ac:dyDescent="0.35">
      <c r="A1129" s="5" t="s">
        <v>2</v>
      </c>
      <c r="B1129" s="5" t="s">
        <v>6</v>
      </c>
      <c r="C1129" s="5" t="s">
        <v>11</v>
      </c>
      <c r="D1129" s="5" t="s">
        <v>14</v>
      </c>
      <c r="E1129" s="5" t="s">
        <v>16</v>
      </c>
      <c r="F1129" s="5" t="s">
        <v>21</v>
      </c>
      <c r="G1129" s="5" t="s">
        <v>25</v>
      </c>
      <c r="H1129" s="5" t="s">
        <v>29</v>
      </c>
      <c r="I1129" s="5" t="s">
        <v>31</v>
      </c>
      <c r="J1129" s="5">
        <v>17.095534000000001</v>
      </c>
      <c r="K1129" s="5">
        <v>-97.497962000000001</v>
      </c>
      <c r="L1129" s="5" t="str">
        <f>HYPERLINK("https://maps.google.com/?q=17.095534,-97.497962000000001", "🔗 Ver Mapa")</f>
        <v>🔗 Ver Mapa</v>
      </c>
    </row>
    <row r="1130" spans="1:12" ht="29" x14ac:dyDescent="0.35">
      <c r="A1130" s="6" t="s">
        <v>2</v>
      </c>
      <c r="B1130" s="6" t="s">
        <v>6</v>
      </c>
      <c r="C1130" s="6" t="s">
        <v>11</v>
      </c>
      <c r="D1130" s="6" t="s">
        <v>14</v>
      </c>
      <c r="E1130" s="6" t="s">
        <v>16</v>
      </c>
      <c r="F1130" s="6" t="s">
        <v>21</v>
      </c>
      <c r="G1130" s="6" t="s">
        <v>25</v>
      </c>
      <c r="H1130" s="6" t="s">
        <v>29</v>
      </c>
      <c r="I1130" s="6" t="s">
        <v>31</v>
      </c>
      <c r="J1130" s="6">
        <v>17.095534000000001</v>
      </c>
      <c r="K1130" s="6">
        <v>-97.497962000000001</v>
      </c>
      <c r="L1130" s="6" t="str">
        <f>HYPERLINK("https://maps.google.com/?q=17.095534,-97.497962000000001", "🔗 Ver Mapa")</f>
        <v>🔗 Ver Mapa</v>
      </c>
    </row>
    <row r="1131" spans="1:12" ht="29" x14ac:dyDescent="0.35">
      <c r="A1131" s="5" t="s">
        <v>2</v>
      </c>
      <c r="B1131" s="5" t="s">
        <v>6</v>
      </c>
      <c r="C1131" s="5" t="s">
        <v>11</v>
      </c>
      <c r="D1131" s="5" t="s">
        <v>14</v>
      </c>
      <c r="E1131" s="5" t="s">
        <v>16</v>
      </c>
      <c r="F1131" s="5" t="s">
        <v>21</v>
      </c>
      <c r="G1131" s="5" t="s">
        <v>25</v>
      </c>
      <c r="H1131" s="5" t="s">
        <v>29</v>
      </c>
      <c r="I1131" s="5" t="s">
        <v>31</v>
      </c>
      <c r="J1131" s="5">
        <v>17.095534000000001</v>
      </c>
      <c r="K1131" s="5">
        <v>-97.497962000000001</v>
      </c>
      <c r="L1131" s="5" t="str">
        <f>HYPERLINK("https://maps.google.com/?q=17.095534,-97.497962000000001", "🔗 Ver Mapa")</f>
        <v>🔗 Ver Mapa</v>
      </c>
    </row>
    <row r="1132" spans="1:12" ht="29" x14ac:dyDescent="0.35">
      <c r="A1132" s="6" t="s">
        <v>2</v>
      </c>
      <c r="B1132" s="6" t="s">
        <v>6</v>
      </c>
      <c r="C1132" s="6" t="s">
        <v>36</v>
      </c>
      <c r="D1132" s="6" t="s">
        <v>14</v>
      </c>
      <c r="E1132" s="6" t="s">
        <v>16</v>
      </c>
      <c r="F1132" s="6" t="s">
        <v>21</v>
      </c>
      <c r="G1132" s="6" t="s">
        <v>25</v>
      </c>
      <c r="H1132" s="6" t="s">
        <v>29</v>
      </c>
      <c r="I1132" s="6" t="s">
        <v>31</v>
      </c>
      <c r="J1132" s="6">
        <v>17.090793000000001</v>
      </c>
      <c r="K1132" s="6">
        <v>-97.494176999999993</v>
      </c>
      <c r="L1132" s="6" t="str">
        <f>HYPERLINK("https://maps.google.com/?q=17.090793,-97.494176999999993", "🔗 Ver Mapa")</f>
        <v>🔗 Ver Mapa</v>
      </c>
    </row>
    <row r="1133" spans="1:12" ht="29" x14ac:dyDescent="0.35">
      <c r="A1133" s="5" t="s">
        <v>2</v>
      </c>
      <c r="B1133" s="5" t="s">
        <v>6</v>
      </c>
      <c r="C1133" s="5" t="s">
        <v>36</v>
      </c>
      <c r="D1133" s="5" t="s">
        <v>14</v>
      </c>
      <c r="E1133" s="5" t="s">
        <v>16</v>
      </c>
      <c r="F1133" s="5" t="s">
        <v>21</v>
      </c>
      <c r="G1133" s="5" t="s">
        <v>25</v>
      </c>
      <c r="H1133" s="5" t="s">
        <v>29</v>
      </c>
      <c r="I1133" s="5" t="s">
        <v>31</v>
      </c>
      <c r="J1133" s="5">
        <v>17.092172000000001</v>
      </c>
      <c r="K1133" s="5">
        <v>-97.493604000000005</v>
      </c>
      <c r="L1133" s="5" t="str">
        <f>HYPERLINK("https://maps.google.com/?q=17.092172,-97.493604000000005", "🔗 Ver Mapa")</f>
        <v>🔗 Ver Mapa</v>
      </c>
    </row>
    <row r="1134" spans="1:12" ht="29" x14ac:dyDescent="0.35">
      <c r="A1134" s="6" t="s">
        <v>2</v>
      </c>
      <c r="B1134" s="6" t="s">
        <v>6</v>
      </c>
      <c r="C1134" s="6" t="s">
        <v>36</v>
      </c>
      <c r="D1134" s="6" t="s">
        <v>14</v>
      </c>
      <c r="E1134" s="6" t="s">
        <v>16</v>
      </c>
      <c r="F1134" s="6" t="s">
        <v>21</v>
      </c>
      <c r="G1134" s="6" t="s">
        <v>25</v>
      </c>
      <c r="H1134" s="6" t="s">
        <v>29</v>
      </c>
      <c r="I1134" s="6" t="s">
        <v>31</v>
      </c>
      <c r="J1134" s="6">
        <v>17.094080999999999</v>
      </c>
      <c r="K1134" s="6">
        <v>-97.496217999999999</v>
      </c>
      <c r="L1134" s="6" t="str">
        <f>HYPERLINK("https://maps.google.com/?q=17.094081,-97.496217999999999", "🔗 Ver Mapa")</f>
        <v>🔗 Ver Mapa</v>
      </c>
    </row>
    <row r="1135" spans="1:12" ht="29" x14ac:dyDescent="0.35">
      <c r="A1135" s="5" t="s">
        <v>2</v>
      </c>
      <c r="B1135" s="5" t="s">
        <v>6</v>
      </c>
      <c r="C1135" s="5" t="s">
        <v>36</v>
      </c>
      <c r="D1135" s="5" t="s">
        <v>14</v>
      </c>
      <c r="E1135" s="5" t="s">
        <v>16</v>
      </c>
      <c r="F1135" s="5" t="s">
        <v>21</v>
      </c>
      <c r="G1135" s="5" t="s">
        <v>25</v>
      </c>
      <c r="H1135" s="5" t="s">
        <v>29</v>
      </c>
      <c r="I1135" s="5" t="s">
        <v>31</v>
      </c>
      <c r="J1135" s="5">
        <v>17.091968999999999</v>
      </c>
      <c r="K1135" s="5">
        <v>-97.501902999999999</v>
      </c>
      <c r="L1135" s="5" t="str">
        <f>HYPERLINK("https://maps.google.com/?q=17.091969,-97.501902999999999", "🔗 Ver Mapa")</f>
        <v>🔗 Ver Mapa</v>
      </c>
    </row>
    <row r="1136" spans="1:12" ht="29" x14ac:dyDescent="0.35">
      <c r="A1136" s="6" t="s">
        <v>2</v>
      </c>
      <c r="B1136" s="6" t="s">
        <v>6</v>
      </c>
      <c r="C1136" s="6" t="s">
        <v>36</v>
      </c>
      <c r="D1136" s="6" t="s">
        <v>14</v>
      </c>
      <c r="E1136" s="6" t="s">
        <v>16</v>
      </c>
      <c r="F1136" s="6" t="s">
        <v>21</v>
      </c>
      <c r="G1136" s="6" t="s">
        <v>25</v>
      </c>
      <c r="H1136" s="6" t="s">
        <v>29</v>
      </c>
      <c r="I1136" s="6" t="s">
        <v>31</v>
      </c>
      <c r="J1136" s="6">
        <v>17.094055000000001</v>
      </c>
      <c r="K1136" s="6">
        <v>-97.492358999999993</v>
      </c>
      <c r="L1136" s="6" t="str">
        <f>HYPERLINK("https://maps.google.com/?q=17.094055,-97.492358999999993", "🔗 Ver Mapa")</f>
        <v>🔗 Ver Mapa</v>
      </c>
    </row>
    <row r="1137" spans="1:12" ht="29" x14ac:dyDescent="0.35">
      <c r="A1137" s="5" t="s">
        <v>2</v>
      </c>
      <c r="B1137" s="5" t="s">
        <v>6</v>
      </c>
      <c r="C1137" s="5" t="s">
        <v>36</v>
      </c>
      <c r="D1137" s="5" t="s">
        <v>14</v>
      </c>
      <c r="E1137" s="5" t="s">
        <v>16</v>
      </c>
      <c r="F1137" s="5" t="s">
        <v>21</v>
      </c>
      <c r="G1137" s="5" t="s">
        <v>25</v>
      </c>
      <c r="H1137" s="5" t="s">
        <v>29</v>
      </c>
      <c r="I1137" s="5" t="s">
        <v>31</v>
      </c>
      <c r="J1137" s="5">
        <v>17.095534000000001</v>
      </c>
      <c r="K1137" s="5">
        <v>-97.497962000000001</v>
      </c>
      <c r="L1137" s="5" t="str">
        <f>HYPERLINK("https://maps.google.com/?q=17.095534,-97.497962000000001", "🔗 Ver Mapa")</f>
        <v>🔗 Ver Mapa</v>
      </c>
    </row>
    <row r="1138" spans="1:12" ht="29" x14ac:dyDescent="0.35">
      <c r="A1138" s="6" t="s">
        <v>2</v>
      </c>
      <c r="B1138" s="6" t="s">
        <v>37</v>
      </c>
      <c r="C1138" s="6" t="s">
        <v>38</v>
      </c>
      <c r="D1138" s="6" t="s">
        <v>14</v>
      </c>
      <c r="E1138" s="6" t="s">
        <v>39</v>
      </c>
      <c r="F1138" s="6" t="s">
        <v>40</v>
      </c>
      <c r="G1138" s="6" t="s">
        <v>41</v>
      </c>
      <c r="H1138" s="6" t="s">
        <v>42</v>
      </c>
      <c r="I1138" s="6" t="s">
        <v>31</v>
      </c>
      <c r="J1138" s="6">
        <v>16.88374</v>
      </c>
      <c r="K1138" s="6">
        <v>-97.675719999999998</v>
      </c>
      <c r="L1138" s="6" t="str">
        <f>HYPERLINK("https://maps.google.com/?q=16.88374,-97.675719999999998", "🔗 Ver Mapa")</f>
        <v>🔗 Ver Mapa</v>
      </c>
    </row>
    <row r="1139" spans="1:12" ht="29" x14ac:dyDescent="0.35">
      <c r="A1139" s="5" t="s">
        <v>2</v>
      </c>
      <c r="B1139" s="5" t="s">
        <v>37</v>
      </c>
      <c r="C1139" s="5" t="s">
        <v>38</v>
      </c>
      <c r="D1139" s="5" t="s">
        <v>14</v>
      </c>
      <c r="E1139" s="5" t="s">
        <v>39</v>
      </c>
      <c r="F1139" s="5" t="s">
        <v>40</v>
      </c>
      <c r="G1139" s="5" t="s">
        <v>41</v>
      </c>
      <c r="H1139" s="5" t="s">
        <v>42</v>
      </c>
      <c r="I1139" s="5" t="s">
        <v>31</v>
      </c>
      <c r="J1139" s="5">
        <v>16.883800000000001</v>
      </c>
      <c r="K1139" s="5">
        <v>-97.676119999999997</v>
      </c>
      <c r="L1139" s="5" t="str">
        <f>HYPERLINK("https://maps.google.com/?q=16.8838,-97.676119999999997", "🔗 Ver Mapa")</f>
        <v>🔗 Ver Mapa</v>
      </c>
    </row>
    <row r="1140" spans="1:12" ht="29" x14ac:dyDescent="0.35">
      <c r="A1140" s="6" t="s">
        <v>2</v>
      </c>
      <c r="B1140" s="6" t="s">
        <v>37</v>
      </c>
      <c r="C1140" s="6" t="s">
        <v>38</v>
      </c>
      <c r="D1140" s="6" t="s">
        <v>14</v>
      </c>
      <c r="E1140" s="6" t="s">
        <v>39</v>
      </c>
      <c r="F1140" s="6" t="s">
        <v>40</v>
      </c>
      <c r="G1140" s="6" t="s">
        <v>41</v>
      </c>
      <c r="H1140" s="6" t="s">
        <v>42</v>
      </c>
      <c r="I1140" s="6" t="s">
        <v>31</v>
      </c>
      <c r="J1140" s="6">
        <v>16.883655999999998</v>
      </c>
      <c r="K1140" s="6">
        <v>-97.676331000000005</v>
      </c>
      <c r="L1140" s="6" t="str">
        <f>HYPERLINK("https://maps.google.com/?q=16.883656,-97.676331000000005", "🔗 Ver Mapa")</f>
        <v>🔗 Ver Mapa</v>
      </c>
    </row>
    <row r="1141" spans="1:12" ht="29" x14ac:dyDescent="0.35">
      <c r="A1141" s="5" t="s">
        <v>2</v>
      </c>
      <c r="B1141" s="5" t="s">
        <v>37</v>
      </c>
      <c r="C1141" s="5" t="s">
        <v>38</v>
      </c>
      <c r="D1141" s="5" t="s">
        <v>14</v>
      </c>
      <c r="E1141" s="5" t="s">
        <v>39</v>
      </c>
      <c r="F1141" s="5" t="s">
        <v>40</v>
      </c>
      <c r="G1141" s="5" t="s">
        <v>41</v>
      </c>
      <c r="H1141" s="5" t="s">
        <v>42</v>
      </c>
      <c r="I1141" s="5" t="s">
        <v>31</v>
      </c>
      <c r="J1141" s="5">
        <v>16.88496</v>
      </c>
      <c r="K1141" s="5">
        <v>-97.67801</v>
      </c>
      <c r="L1141" s="5" t="str">
        <f>HYPERLINK("https://maps.google.com/?q=16.88496,-97.67801", "🔗 Ver Mapa")</f>
        <v>🔗 Ver Mapa</v>
      </c>
    </row>
    <row r="1142" spans="1:12" ht="43.5" x14ac:dyDescent="0.35">
      <c r="A1142" s="6" t="s">
        <v>66</v>
      </c>
      <c r="B1142" s="6" t="s">
        <v>67</v>
      </c>
      <c r="C1142" s="6" t="s">
        <v>68</v>
      </c>
      <c r="D1142" s="6" t="s">
        <v>69</v>
      </c>
      <c r="E1142" s="6" t="s">
        <v>52</v>
      </c>
      <c r="F1142" s="6" t="s">
        <v>70</v>
      </c>
      <c r="G1142" s="6" t="s">
        <v>71</v>
      </c>
      <c r="H1142" s="6" t="s">
        <v>72</v>
      </c>
      <c r="I1142" s="6" t="s">
        <v>31</v>
      </c>
      <c r="J1142" s="6">
        <v>17.078447594107999</v>
      </c>
      <c r="K1142" s="6">
        <v>-96.711226860438998</v>
      </c>
      <c r="L1142" s="6" t="str">
        <f>HYPERLINK("https://maps.google.com/?q=17.0784475941075,-96.71122686043876", "🔗 Ver Mapa")</f>
        <v>🔗 Ver Mapa</v>
      </c>
    </row>
    <row r="1143" spans="1:12" ht="43.5" x14ac:dyDescent="0.35">
      <c r="A1143" s="5" t="s">
        <v>73</v>
      </c>
      <c r="B1143" s="5" t="s">
        <v>74</v>
      </c>
      <c r="C1143" s="5" t="s">
        <v>75</v>
      </c>
      <c r="D1143" s="5" t="s">
        <v>76</v>
      </c>
      <c r="E1143" s="5" t="s">
        <v>17</v>
      </c>
      <c r="F1143" s="5" t="s">
        <v>20</v>
      </c>
      <c r="G1143" s="5" t="s">
        <v>77</v>
      </c>
      <c r="H1143" s="5" t="s">
        <v>78</v>
      </c>
      <c r="I1143" s="5" t="s">
        <v>31</v>
      </c>
      <c r="J1143" s="5">
        <v>15.905332913601001</v>
      </c>
      <c r="K1143" s="5">
        <v>-96.598979475942997</v>
      </c>
      <c r="L1143" s="5" t="str">
        <f>HYPERLINK("https://maps.google.com/?q=15.905332913601042,-96.59897947594348", "🔗 Ver Mapa")</f>
        <v>🔗 Ver Mapa</v>
      </c>
    </row>
    <row r="1144" spans="1:12" ht="43.5" x14ac:dyDescent="0.35">
      <c r="A1144" s="6" t="s">
        <v>79</v>
      </c>
      <c r="B1144" s="6" t="s">
        <v>80</v>
      </c>
      <c r="C1144" s="6" t="s">
        <v>81</v>
      </c>
      <c r="D1144" s="6" t="s">
        <v>82</v>
      </c>
      <c r="E1144" s="6" t="s">
        <v>52</v>
      </c>
      <c r="F1144" s="6" t="s">
        <v>83</v>
      </c>
      <c r="G1144" s="6" t="s">
        <v>84</v>
      </c>
      <c r="H1144" s="6" t="s">
        <v>85</v>
      </c>
      <c r="I1144" s="6" t="s">
        <v>31</v>
      </c>
      <c r="J1144" s="6">
        <v>17.205676969580999</v>
      </c>
      <c r="K1144" s="6">
        <v>-96.809858453171998</v>
      </c>
      <c r="L1144" s="6" t="str">
        <f>HYPERLINK("https://maps.google.com/?q=17.205676969580644,-96.80985845317181", "🔗 Ver Mapa")</f>
        <v>🔗 Ver Mapa</v>
      </c>
    </row>
    <row r="1145" spans="1:12" ht="58" x14ac:dyDescent="0.35">
      <c r="A1145" s="5" t="s">
        <v>73</v>
      </c>
      <c r="B1145" s="5" t="s">
        <v>74</v>
      </c>
      <c r="C1145" s="5" t="s">
        <v>86</v>
      </c>
      <c r="D1145" s="5" t="s">
        <v>76</v>
      </c>
      <c r="E1145" s="5" t="s">
        <v>52</v>
      </c>
      <c r="F1145" s="5" t="s">
        <v>53</v>
      </c>
      <c r="G1145" s="5" t="s">
        <v>87</v>
      </c>
      <c r="H1145" s="5" t="s">
        <v>88</v>
      </c>
      <c r="I1145" s="5" t="s">
        <v>31</v>
      </c>
      <c r="J1145" s="5">
        <v>16.962962470074</v>
      </c>
      <c r="K1145" s="5">
        <v>-96.545223693601002</v>
      </c>
      <c r="L1145" s="5" t="str">
        <f>HYPERLINK("https://maps.google.com/?q=16.96296247007379,-96.54522369360089", "🔗 Ver Mapa")</f>
        <v>🔗 Ver Mapa</v>
      </c>
    </row>
    <row r="1146" spans="1:12" ht="58" x14ac:dyDescent="0.35">
      <c r="A1146" s="6" t="s">
        <v>73</v>
      </c>
      <c r="B1146" s="6" t="s">
        <v>74</v>
      </c>
      <c r="C1146" s="6" t="s">
        <v>89</v>
      </c>
      <c r="D1146" s="6" t="s">
        <v>76</v>
      </c>
      <c r="E1146" s="6" t="s">
        <v>90</v>
      </c>
      <c r="F1146" s="6" t="s">
        <v>91</v>
      </c>
      <c r="G1146" s="6" t="s">
        <v>92</v>
      </c>
      <c r="H1146" s="6" t="s">
        <v>93</v>
      </c>
      <c r="I1146" s="6" t="s">
        <v>31</v>
      </c>
      <c r="J1146" s="6">
        <v>17.236985629742001</v>
      </c>
      <c r="K1146" s="6">
        <v>-96.025007934954999</v>
      </c>
      <c r="L1146" s="6" t="str">
        <f>HYPERLINK("https://maps.google.com/?q=17.236985629742115,-96.02500793495543", "🔗 Ver Mapa")</f>
        <v>🔗 Ver Mapa</v>
      </c>
    </row>
    <row r="1147" spans="1:12" ht="58" x14ac:dyDescent="0.35">
      <c r="A1147" s="5" t="s">
        <v>73</v>
      </c>
      <c r="B1147" s="5" t="s">
        <v>74</v>
      </c>
      <c r="C1147" s="5" t="s">
        <v>94</v>
      </c>
      <c r="D1147" s="5" t="s">
        <v>76</v>
      </c>
      <c r="E1147" s="5" t="s">
        <v>16</v>
      </c>
      <c r="F1147" s="5" t="s">
        <v>95</v>
      </c>
      <c r="G1147" s="5" t="s">
        <v>96</v>
      </c>
      <c r="H1147" s="5" t="s">
        <v>97</v>
      </c>
      <c r="I1147" s="5" t="s">
        <v>31</v>
      </c>
      <c r="J1147" s="5">
        <v>17.658565224111001</v>
      </c>
      <c r="K1147" s="5">
        <v>-97.467463139444007</v>
      </c>
      <c r="L1147" s="5" t="str">
        <f>HYPERLINK("https://maps.google.com/?q=17.658565224110987,-97.46746313944398", "🔗 Ver Mapa")</f>
        <v>🔗 Ver Mapa</v>
      </c>
    </row>
    <row r="1148" spans="1:12" ht="43.5" x14ac:dyDescent="0.35">
      <c r="A1148" s="6" t="s">
        <v>98</v>
      </c>
      <c r="B1148" s="6" t="s">
        <v>99</v>
      </c>
      <c r="C1148" s="6" t="s">
        <v>100</v>
      </c>
      <c r="D1148" s="6" t="s">
        <v>14</v>
      </c>
      <c r="E1148" s="6" t="s">
        <v>52</v>
      </c>
      <c r="F1148" s="6" t="s">
        <v>101</v>
      </c>
      <c r="G1148" s="6" t="s">
        <v>102</v>
      </c>
      <c r="H1148" s="6" t="s">
        <v>103</v>
      </c>
      <c r="I1148" s="6" t="s">
        <v>31</v>
      </c>
      <c r="J1148" s="6">
        <v>0</v>
      </c>
      <c r="K1148" s="6" t="s">
        <v>104</v>
      </c>
      <c r="L1148" s="6" t="str">
        <f>HYPERLINK("https://maps.google.com/?q=0, -97.149611", "🔗 Ver Mapa")</f>
        <v>🔗 Ver Mapa</v>
      </c>
    </row>
    <row r="1149" spans="1:12" ht="43.5" x14ac:dyDescent="0.35">
      <c r="A1149" s="5" t="s">
        <v>98</v>
      </c>
      <c r="B1149" s="5" t="s">
        <v>99</v>
      </c>
      <c r="C1149" s="5" t="s">
        <v>100</v>
      </c>
      <c r="D1149" s="5" t="s">
        <v>14</v>
      </c>
      <c r="E1149" s="5" t="s">
        <v>52</v>
      </c>
      <c r="F1149" s="5" t="s">
        <v>101</v>
      </c>
      <c r="G1149" s="5" t="s">
        <v>102</v>
      </c>
      <c r="H1149" s="5" t="s">
        <v>103</v>
      </c>
      <c r="I1149" s="5" t="s">
        <v>31</v>
      </c>
      <c r="J1149" s="5">
        <v>16.927333999999998</v>
      </c>
      <c r="K1149" s="5">
        <v>-97.146298999999999</v>
      </c>
      <c r="L1149" s="5" t="str">
        <f>HYPERLINK("https://maps.google.com/?q=16.927334,-97.146298999999999", "🔗 Ver Mapa")</f>
        <v>🔗 Ver Mapa</v>
      </c>
    </row>
    <row r="1150" spans="1:12" ht="43.5" x14ac:dyDescent="0.35">
      <c r="A1150" s="6" t="s">
        <v>98</v>
      </c>
      <c r="B1150" s="6" t="s">
        <v>99</v>
      </c>
      <c r="C1150" s="6" t="s">
        <v>100</v>
      </c>
      <c r="D1150" s="6" t="s">
        <v>14</v>
      </c>
      <c r="E1150" s="6" t="s">
        <v>52</v>
      </c>
      <c r="F1150" s="6" t="s">
        <v>101</v>
      </c>
      <c r="G1150" s="6" t="s">
        <v>102</v>
      </c>
      <c r="H1150" s="6" t="s">
        <v>103</v>
      </c>
      <c r="I1150" s="6" t="s">
        <v>31</v>
      </c>
      <c r="J1150" s="6">
        <v>16.927989</v>
      </c>
      <c r="K1150" s="6">
        <v>-97.146196000000003</v>
      </c>
      <c r="L1150" s="6" t="str">
        <f>HYPERLINK("https://maps.google.com/?q=16.927989,-97.146196000000003", "🔗 Ver Mapa")</f>
        <v>🔗 Ver Mapa</v>
      </c>
    </row>
    <row r="1151" spans="1:12" ht="43.5" x14ac:dyDescent="0.35">
      <c r="A1151" s="5" t="s">
        <v>98</v>
      </c>
      <c r="B1151" s="5" t="s">
        <v>99</v>
      </c>
      <c r="C1151" s="5" t="s">
        <v>100</v>
      </c>
      <c r="D1151" s="5" t="s">
        <v>14</v>
      </c>
      <c r="E1151" s="5" t="s">
        <v>52</v>
      </c>
      <c r="F1151" s="5" t="s">
        <v>101</v>
      </c>
      <c r="G1151" s="5" t="s">
        <v>102</v>
      </c>
      <c r="H1151" s="5" t="s">
        <v>103</v>
      </c>
      <c r="I1151" s="5" t="s">
        <v>31</v>
      </c>
      <c r="J1151" s="5">
        <v>16.928961000000001</v>
      </c>
      <c r="K1151" s="5">
        <v>-97.144302999999994</v>
      </c>
      <c r="L1151" s="5" t="str">
        <f>HYPERLINK("https://maps.google.com/?q=16.928961,-97.144302999999994", "🔗 Ver Mapa")</f>
        <v>🔗 Ver Mapa</v>
      </c>
    </row>
    <row r="1152" spans="1:12" ht="43.5" x14ac:dyDescent="0.35">
      <c r="A1152" s="6" t="s">
        <v>98</v>
      </c>
      <c r="B1152" s="6" t="s">
        <v>99</v>
      </c>
      <c r="C1152" s="6" t="s">
        <v>100</v>
      </c>
      <c r="D1152" s="6" t="s">
        <v>14</v>
      </c>
      <c r="E1152" s="6" t="s">
        <v>52</v>
      </c>
      <c r="F1152" s="6" t="s">
        <v>101</v>
      </c>
      <c r="G1152" s="6" t="s">
        <v>102</v>
      </c>
      <c r="H1152" s="6" t="s">
        <v>103</v>
      </c>
      <c r="I1152" s="6" t="s">
        <v>31</v>
      </c>
      <c r="J1152" s="6">
        <v>16.929358000000001</v>
      </c>
      <c r="K1152" s="6">
        <v>-97.145381999999998</v>
      </c>
      <c r="L1152" s="6" t="str">
        <f>HYPERLINK("https://maps.google.com/?q=16.929358,-97.145381999999998", "🔗 Ver Mapa")</f>
        <v>🔗 Ver Mapa</v>
      </c>
    </row>
    <row r="1153" spans="1:12" ht="43.5" x14ac:dyDescent="0.35">
      <c r="A1153" s="5" t="s">
        <v>98</v>
      </c>
      <c r="B1153" s="5" t="s">
        <v>99</v>
      </c>
      <c r="C1153" s="5" t="s">
        <v>100</v>
      </c>
      <c r="D1153" s="5" t="s">
        <v>14</v>
      </c>
      <c r="E1153" s="5" t="s">
        <v>52</v>
      </c>
      <c r="F1153" s="5" t="s">
        <v>101</v>
      </c>
      <c r="G1153" s="5" t="s">
        <v>102</v>
      </c>
      <c r="H1153" s="5" t="s">
        <v>103</v>
      </c>
      <c r="I1153" s="5" t="s">
        <v>31</v>
      </c>
      <c r="J1153" s="5">
        <v>16.929462000000001</v>
      </c>
      <c r="K1153" s="5">
        <v>-97.143243999999996</v>
      </c>
      <c r="L1153" s="5" t="str">
        <f>HYPERLINK("https://maps.google.com/?q=16.929462,-97.143243999999996", "🔗 Ver Mapa")</f>
        <v>🔗 Ver Mapa</v>
      </c>
    </row>
    <row r="1154" spans="1:12" ht="43.5" x14ac:dyDescent="0.35">
      <c r="A1154" s="6" t="s">
        <v>98</v>
      </c>
      <c r="B1154" s="6" t="s">
        <v>99</v>
      </c>
      <c r="C1154" s="6" t="s">
        <v>100</v>
      </c>
      <c r="D1154" s="6" t="s">
        <v>14</v>
      </c>
      <c r="E1154" s="6" t="s">
        <v>52</v>
      </c>
      <c r="F1154" s="6" t="s">
        <v>101</v>
      </c>
      <c r="G1154" s="6" t="s">
        <v>102</v>
      </c>
      <c r="H1154" s="6" t="s">
        <v>103</v>
      </c>
      <c r="I1154" s="6" t="s">
        <v>31</v>
      </c>
      <c r="J1154" s="6">
        <v>16.929566999999999</v>
      </c>
      <c r="K1154" s="6" t="s">
        <v>105</v>
      </c>
      <c r="L1154" s="6" t="str">
        <f>HYPERLINK("https://maps.google.com/?q=16.929567, -97.142671", "🔗 Ver Mapa")</f>
        <v>🔗 Ver Mapa</v>
      </c>
    </row>
    <row r="1155" spans="1:12" ht="43.5" x14ac:dyDescent="0.35">
      <c r="A1155" s="5" t="s">
        <v>98</v>
      </c>
      <c r="B1155" s="5" t="s">
        <v>99</v>
      </c>
      <c r="C1155" s="5" t="s">
        <v>100</v>
      </c>
      <c r="D1155" s="5" t="s">
        <v>14</v>
      </c>
      <c r="E1155" s="5" t="s">
        <v>52</v>
      </c>
      <c r="F1155" s="5" t="s">
        <v>101</v>
      </c>
      <c r="G1155" s="5" t="s">
        <v>102</v>
      </c>
      <c r="H1155" s="5" t="s">
        <v>103</v>
      </c>
      <c r="I1155" s="5" t="s">
        <v>31</v>
      </c>
      <c r="J1155" s="5">
        <v>16.929877000000001</v>
      </c>
      <c r="K1155" s="5">
        <v>-97.143266999999994</v>
      </c>
      <c r="L1155" s="5" t="str">
        <f>HYPERLINK("https://maps.google.com/?q=16.929877,-97.143266999999994", "🔗 Ver Mapa")</f>
        <v>🔗 Ver Mapa</v>
      </c>
    </row>
    <row r="1156" spans="1:12" ht="43.5" x14ac:dyDescent="0.35">
      <c r="A1156" s="6" t="s">
        <v>98</v>
      </c>
      <c r="B1156" s="6" t="s">
        <v>99</v>
      </c>
      <c r="C1156" s="6" t="s">
        <v>100</v>
      </c>
      <c r="D1156" s="6" t="s">
        <v>14</v>
      </c>
      <c r="E1156" s="6" t="s">
        <v>52</v>
      </c>
      <c r="F1156" s="6" t="s">
        <v>101</v>
      </c>
      <c r="G1156" s="6" t="s">
        <v>102</v>
      </c>
      <c r="H1156" s="6" t="s">
        <v>103</v>
      </c>
      <c r="I1156" s="6" t="s">
        <v>31</v>
      </c>
      <c r="J1156" s="6">
        <v>16.932931</v>
      </c>
      <c r="K1156" s="6" t="s">
        <v>106</v>
      </c>
      <c r="L1156" s="6" t="str">
        <f>HYPERLINK("https://maps.google.com/?q=16.932931, -97.141413", "🔗 Ver Mapa")</f>
        <v>🔗 Ver Mapa</v>
      </c>
    </row>
    <row r="1157" spans="1:12" ht="29" x14ac:dyDescent="0.35">
      <c r="A1157" s="5" t="s">
        <v>107</v>
      </c>
      <c r="B1157" s="5" t="s">
        <v>108</v>
      </c>
      <c r="C1157" s="5" t="s">
        <v>109</v>
      </c>
      <c r="D1157" s="5" t="s">
        <v>76</v>
      </c>
      <c r="E1157" s="5" t="s">
        <v>110</v>
      </c>
      <c r="F1157" s="5" t="s">
        <v>111</v>
      </c>
      <c r="G1157" s="5" t="s">
        <v>112</v>
      </c>
      <c r="H1157" s="5" t="s">
        <v>113</v>
      </c>
      <c r="I1157" s="5" t="s">
        <v>31</v>
      </c>
      <c r="J1157" s="5">
        <v>18.135421889356</v>
      </c>
      <c r="K1157" s="5">
        <v>-97.097418024456005</v>
      </c>
      <c r="L1157" s="5" t="str">
        <f>HYPERLINK("https://maps.google.com/?q=18.135421889355964,-97.09741802445623", "🔗 Ver Mapa")</f>
        <v>🔗 Ver Mapa</v>
      </c>
    </row>
    <row r="1158" spans="1:12" ht="29" x14ac:dyDescent="0.35">
      <c r="A1158" s="6" t="s">
        <v>107</v>
      </c>
      <c r="B1158" s="6" t="s">
        <v>108</v>
      </c>
      <c r="C1158" s="6" t="s">
        <v>114</v>
      </c>
      <c r="D1158" s="6" t="s">
        <v>76</v>
      </c>
      <c r="E1158" s="6" t="s">
        <v>110</v>
      </c>
      <c r="F1158" s="6" t="s">
        <v>111</v>
      </c>
      <c r="G1158" s="6" t="s">
        <v>112</v>
      </c>
      <c r="H1158" s="6" t="s">
        <v>113</v>
      </c>
      <c r="I1158" s="6" t="s">
        <v>31</v>
      </c>
      <c r="J1158" s="6">
        <v>18.136674498272001</v>
      </c>
      <c r="K1158" s="6">
        <v>-97.097381251241003</v>
      </c>
      <c r="L1158" s="6" t="str">
        <f>HYPERLINK("https://maps.google.com/?q=18.136674498272065,-97.09738125124109", "🔗 Ver Mapa")</f>
        <v>🔗 Ver Mapa</v>
      </c>
    </row>
    <row r="1159" spans="1:12" ht="43.5" x14ac:dyDescent="0.35">
      <c r="A1159" s="5" t="s">
        <v>115</v>
      </c>
      <c r="B1159" s="5" t="s">
        <v>116</v>
      </c>
      <c r="C1159" s="5" t="s">
        <v>117</v>
      </c>
      <c r="D1159" s="5" t="s">
        <v>118</v>
      </c>
      <c r="E1159" s="5" t="s">
        <v>90</v>
      </c>
      <c r="F1159" s="5" t="s">
        <v>119</v>
      </c>
      <c r="G1159" s="5" t="s">
        <v>120</v>
      </c>
      <c r="H1159" s="5" t="s">
        <v>121</v>
      </c>
      <c r="I1159" s="5" t="s">
        <v>31</v>
      </c>
      <c r="J1159" s="5">
        <v>17.266857999999999</v>
      </c>
      <c r="K1159" s="5">
        <v>-96.561689999999999</v>
      </c>
      <c r="L1159" s="5" t="str">
        <f>HYPERLINK("https://maps.google.com/?q=17.266858,-96.56169", "🔗 Ver Mapa")</f>
        <v>🔗 Ver Mapa</v>
      </c>
    </row>
    <row r="1160" spans="1:12" ht="43.5" x14ac:dyDescent="0.35">
      <c r="A1160" s="6" t="s">
        <v>115</v>
      </c>
      <c r="B1160" s="6" t="s">
        <v>116</v>
      </c>
      <c r="C1160" s="6" t="s">
        <v>122</v>
      </c>
      <c r="D1160" s="6" t="s">
        <v>118</v>
      </c>
      <c r="E1160" s="6" t="s">
        <v>52</v>
      </c>
      <c r="F1160" s="6" t="s">
        <v>70</v>
      </c>
      <c r="G1160" s="6" t="s">
        <v>123</v>
      </c>
      <c r="H1160" s="6" t="s">
        <v>124</v>
      </c>
      <c r="I1160" s="6" t="s">
        <v>31</v>
      </c>
      <c r="J1160" s="6">
        <v>17.016338000000001</v>
      </c>
      <c r="K1160" s="6">
        <v>-96.718331000000006</v>
      </c>
      <c r="L1160" s="6" t="str">
        <f>HYPERLINK("https://maps.google.com/?q=17.016338,-96.718331", "🔗 Ver Mapa")</f>
        <v>🔗 Ver Mapa</v>
      </c>
    </row>
    <row r="1161" spans="1:12" ht="43.5" x14ac:dyDescent="0.35">
      <c r="A1161" s="5" t="s">
        <v>115</v>
      </c>
      <c r="B1161" s="5" t="s">
        <v>116</v>
      </c>
      <c r="C1161" s="5" t="s">
        <v>125</v>
      </c>
      <c r="D1161" s="5" t="s">
        <v>118</v>
      </c>
      <c r="E1161" s="5" t="s">
        <v>110</v>
      </c>
      <c r="F1161" s="5" t="s">
        <v>126</v>
      </c>
      <c r="G1161" s="5" t="s">
        <v>127</v>
      </c>
      <c r="H1161" s="5" t="s">
        <v>128</v>
      </c>
      <c r="I1161" s="5" t="s">
        <v>31</v>
      </c>
      <c r="J1161" s="5">
        <v>17.093992</v>
      </c>
      <c r="K1161" s="5">
        <v>-96.651770999999997</v>
      </c>
      <c r="L1161" s="5" t="str">
        <f>HYPERLINK("https://maps.google.com/?q=17.093992,-96.651771", "🔗 Ver Mapa")</f>
        <v>🔗 Ver Mapa</v>
      </c>
    </row>
    <row r="1162" spans="1:12" ht="43.5" x14ac:dyDescent="0.35">
      <c r="A1162" s="6" t="s">
        <v>115</v>
      </c>
      <c r="B1162" s="6" t="s">
        <v>116</v>
      </c>
      <c r="C1162" s="6" t="s">
        <v>129</v>
      </c>
      <c r="D1162" s="6" t="s">
        <v>118</v>
      </c>
      <c r="E1162" s="6" t="s">
        <v>90</v>
      </c>
      <c r="F1162" s="6" t="s">
        <v>91</v>
      </c>
      <c r="G1162" s="6" t="s">
        <v>130</v>
      </c>
      <c r="H1162" s="6" t="s">
        <v>131</v>
      </c>
      <c r="I1162" s="6" t="s">
        <v>31</v>
      </c>
      <c r="J1162" s="6">
        <v>17.024985000000001</v>
      </c>
      <c r="K1162" s="6">
        <v>-95.874972999999997</v>
      </c>
      <c r="L1162" s="6" t="str">
        <f>HYPERLINK("https://maps.google.com/?q=17.024985,-95.874973", "🔗 Ver Mapa")</f>
        <v>🔗 Ver Mapa</v>
      </c>
    </row>
    <row r="1163" spans="1:12" ht="43.5" x14ac:dyDescent="0.35">
      <c r="A1163" s="5" t="s">
        <v>115</v>
      </c>
      <c r="B1163" s="5" t="s">
        <v>116</v>
      </c>
      <c r="C1163" s="5" t="s">
        <v>132</v>
      </c>
      <c r="D1163" s="5" t="s">
        <v>118</v>
      </c>
      <c r="E1163" s="5" t="s">
        <v>39</v>
      </c>
      <c r="F1163" s="5" t="s">
        <v>133</v>
      </c>
      <c r="G1163" s="5" t="s">
        <v>134</v>
      </c>
      <c r="H1163" s="5" t="s">
        <v>135</v>
      </c>
      <c r="I1163" s="5" t="s">
        <v>31</v>
      </c>
      <c r="J1163" s="5">
        <v>16.501016</v>
      </c>
      <c r="K1163" s="5">
        <v>-95.907017999999994</v>
      </c>
      <c r="L1163" s="5" t="str">
        <f>HYPERLINK("https://maps.google.com/?q=16.501016,-95.907018", "🔗 Ver Mapa")</f>
        <v>🔗 Ver Mapa</v>
      </c>
    </row>
    <row r="1164" spans="1:12" ht="43.5" x14ac:dyDescent="0.35">
      <c r="A1164" s="6" t="s">
        <v>115</v>
      </c>
      <c r="B1164" s="6" t="s">
        <v>116</v>
      </c>
      <c r="C1164" s="6" t="s">
        <v>136</v>
      </c>
      <c r="D1164" s="6" t="s">
        <v>118</v>
      </c>
      <c r="E1164" s="6" t="s">
        <v>110</v>
      </c>
      <c r="F1164" s="6" t="s">
        <v>126</v>
      </c>
      <c r="G1164" s="6" t="s">
        <v>137</v>
      </c>
      <c r="H1164" s="6" t="s">
        <v>138</v>
      </c>
      <c r="I1164" s="6" t="s">
        <v>31</v>
      </c>
      <c r="J1164" s="6">
        <v>17.801579</v>
      </c>
      <c r="K1164" s="6">
        <v>-96.959978000000007</v>
      </c>
      <c r="L1164" s="6" t="str">
        <f>HYPERLINK("https://maps.google.com/?q=17.801579,-96.959978", "🔗 Ver Mapa")</f>
        <v>🔗 Ver Mapa</v>
      </c>
    </row>
    <row r="1165" spans="1:12" ht="43.5" x14ac:dyDescent="0.35">
      <c r="A1165" s="5" t="s">
        <v>115</v>
      </c>
      <c r="B1165" s="5" t="s">
        <v>116</v>
      </c>
      <c r="C1165" s="5" t="s">
        <v>139</v>
      </c>
      <c r="D1165" s="5" t="s">
        <v>118</v>
      </c>
      <c r="E1165" s="5" t="s">
        <v>140</v>
      </c>
      <c r="F1165" s="5" t="s">
        <v>141</v>
      </c>
      <c r="G1165" s="5" t="s">
        <v>142</v>
      </c>
      <c r="H1165" s="5" t="s">
        <v>143</v>
      </c>
      <c r="I1165" s="5" t="s">
        <v>31</v>
      </c>
      <c r="J1165" s="5">
        <v>17.756139999999998</v>
      </c>
      <c r="K1165" s="5">
        <v>-96.315608999999995</v>
      </c>
      <c r="L1165" s="5" t="str">
        <f>HYPERLINK("https://maps.google.com/?q=17.75614,-96.315609", "🔗 Ver Mapa")</f>
        <v>🔗 Ver Mapa</v>
      </c>
    </row>
    <row r="1166" spans="1:12" ht="43.5" x14ac:dyDescent="0.35">
      <c r="A1166" s="6" t="s">
        <v>115</v>
      </c>
      <c r="B1166" s="6" t="s">
        <v>116</v>
      </c>
      <c r="C1166" s="6" t="s">
        <v>144</v>
      </c>
      <c r="D1166" s="6" t="s">
        <v>118</v>
      </c>
      <c r="E1166" s="6" t="s">
        <v>16</v>
      </c>
      <c r="F1166" s="6" t="s">
        <v>145</v>
      </c>
      <c r="G1166" s="6" t="s">
        <v>146</v>
      </c>
      <c r="H1166" s="6" t="s">
        <v>147</v>
      </c>
      <c r="I1166" s="6" t="s">
        <v>31</v>
      </c>
      <c r="J1166" s="6">
        <v>17.746769</v>
      </c>
      <c r="K1166" s="6">
        <v>-97.818550400000007</v>
      </c>
      <c r="L1166" s="6" t="str">
        <f>HYPERLINK("https://maps.google.com/?q=17.746769,-97.8185504", "🔗 Ver Mapa")</f>
        <v>🔗 Ver Mapa</v>
      </c>
    </row>
    <row r="1167" spans="1:12" ht="43.5" x14ac:dyDescent="0.35">
      <c r="A1167" s="5" t="s">
        <v>115</v>
      </c>
      <c r="B1167" s="5" t="s">
        <v>116</v>
      </c>
      <c r="C1167" s="5" t="s">
        <v>148</v>
      </c>
      <c r="D1167" s="5" t="s">
        <v>118</v>
      </c>
      <c r="E1167" s="5" t="s">
        <v>39</v>
      </c>
      <c r="F1167" s="5" t="s">
        <v>40</v>
      </c>
      <c r="G1167" s="5" t="s">
        <v>149</v>
      </c>
      <c r="H1167" s="5" t="s">
        <v>150</v>
      </c>
      <c r="I1167" s="5" t="s">
        <v>31</v>
      </c>
      <c r="J1167" s="5">
        <v>16.761731999999999</v>
      </c>
      <c r="K1167" s="5">
        <v>-97.990459000000001</v>
      </c>
      <c r="L1167" s="5" t="str">
        <f>HYPERLINK("https://maps.google.com/?q=16.761732,-97.990459", "🔗 Ver Mapa")</f>
        <v>🔗 Ver Mapa</v>
      </c>
    </row>
    <row r="1168" spans="1:12" ht="43.5" x14ac:dyDescent="0.35">
      <c r="A1168" s="6" t="s">
        <v>115</v>
      </c>
      <c r="B1168" s="6" t="s">
        <v>116</v>
      </c>
      <c r="C1168" s="6" t="s">
        <v>151</v>
      </c>
      <c r="D1168" s="6" t="s">
        <v>118</v>
      </c>
      <c r="E1168" s="6" t="s">
        <v>17</v>
      </c>
      <c r="F1168" s="6" t="s">
        <v>46</v>
      </c>
      <c r="G1168" s="6" t="s">
        <v>152</v>
      </c>
      <c r="H1168" s="6" t="s">
        <v>153</v>
      </c>
      <c r="I1168" s="6" t="s">
        <v>31</v>
      </c>
      <c r="J1168" s="6">
        <v>16.250592999999999</v>
      </c>
      <c r="K1168" s="6">
        <v>-97.150616999999997</v>
      </c>
      <c r="L1168" s="6" t="str">
        <f>HYPERLINK("https://maps.google.com/?q=16.250593,-97.150617", "🔗 Ver Mapa")</f>
        <v>🔗 Ver Mapa</v>
      </c>
    </row>
    <row r="1169" spans="1:12" ht="43.5" x14ac:dyDescent="0.35">
      <c r="A1169" s="5" t="s">
        <v>115</v>
      </c>
      <c r="B1169" s="5" t="s">
        <v>116</v>
      </c>
      <c r="C1169" s="5" t="s">
        <v>154</v>
      </c>
      <c r="D1169" s="5" t="s">
        <v>118</v>
      </c>
      <c r="E1169" s="5" t="s">
        <v>17</v>
      </c>
      <c r="F1169" s="5" t="s">
        <v>20</v>
      </c>
      <c r="G1169" s="5" t="s">
        <v>155</v>
      </c>
      <c r="H1169" s="5" t="s">
        <v>156</v>
      </c>
      <c r="I1169" s="5" t="s">
        <v>31</v>
      </c>
      <c r="J1169" s="5">
        <v>16.047436000000001</v>
      </c>
      <c r="K1169" s="5">
        <v>-96.070841000000001</v>
      </c>
      <c r="L1169" s="5" t="str">
        <f>HYPERLINK("https://maps.google.com/?q=16.047436,-96.070841", "🔗 Ver Mapa")</f>
        <v>🔗 Ver Mapa</v>
      </c>
    </row>
    <row r="1170" spans="1:12" ht="43.5" x14ac:dyDescent="0.35">
      <c r="A1170" s="6" t="s">
        <v>115</v>
      </c>
      <c r="B1170" s="6" t="s">
        <v>116</v>
      </c>
      <c r="C1170" s="6" t="s">
        <v>157</v>
      </c>
      <c r="D1170" s="6" t="s">
        <v>118</v>
      </c>
      <c r="E1170" s="6" t="s">
        <v>158</v>
      </c>
      <c r="F1170" s="6" t="s">
        <v>159</v>
      </c>
      <c r="G1170" s="6" t="s">
        <v>160</v>
      </c>
      <c r="H1170" s="6" t="s">
        <v>161</v>
      </c>
      <c r="I1170" s="6" t="s">
        <v>31</v>
      </c>
      <c r="J1170" s="6">
        <v>16.909617000000001</v>
      </c>
      <c r="K1170" s="6">
        <v>-94.684284000000005</v>
      </c>
      <c r="L1170" s="6" t="str">
        <f>HYPERLINK("https://maps.google.com/?q=16.909617,-94.684284", "🔗 Ver Mapa")</f>
        <v>🔗 Ver Mapa</v>
      </c>
    </row>
    <row r="1171" spans="1:12" ht="43.5" x14ac:dyDescent="0.35">
      <c r="A1171" s="5" t="s">
        <v>115</v>
      </c>
      <c r="B1171" s="5" t="s">
        <v>116</v>
      </c>
      <c r="C1171" s="5" t="s">
        <v>162</v>
      </c>
      <c r="D1171" s="5" t="s">
        <v>118</v>
      </c>
      <c r="E1171" s="5" t="s">
        <v>158</v>
      </c>
      <c r="F1171" s="5" t="s">
        <v>159</v>
      </c>
      <c r="G1171" s="5" t="s">
        <v>163</v>
      </c>
      <c r="H1171" s="5" t="s">
        <v>164</v>
      </c>
      <c r="I1171" s="5" t="s">
        <v>31</v>
      </c>
      <c r="J1171" s="5">
        <v>16.712381000000001</v>
      </c>
      <c r="K1171" s="5">
        <v>-94.145555999999999</v>
      </c>
      <c r="L1171" s="5" t="str">
        <f>HYPERLINK("https://maps.google.com/?q=16.712381,-94.145556", "🔗 Ver Mapa")</f>
        <v>🔗 Ver Mapa</v>
      </c>
    </row>
    <row r="1172" spans="1:12" ht="58" x14ac:dyDescent="0.35">
      <c r="A1172" s="6" t="s">
        <v>73</v>
      </c>
      <c r="B1172" s="6" t="s">
        <v>74</v>
      </c>
      <c r="C1172" s="6" t="s">
        <v>165</v>
      </c>
      <c r="D1172" s="6" t="s">
        <v>76</v>
      </c>
      <c r="E1172" s="6" t="s">
        <v>158</v>
      </c>
      <c r="F1172" s="6" t="s">
        <v>166</v>
      </c>
      <c r="G1172" s="6" t="s">
        <v>167</v>
      </c>
      <c r="H1172" s="6" t="s">
        <v>168</v>
      </c>
      <c r="I1172" s="6" t="s">
        <v>31</v>
      </c>
      <c r="J1172" s="6">
        <v>16.287709920063001</v>
      </c>
      <c r="K1172" s="6">
        <v>-95.243151681338006</v>
      </c>
      <c r="L1172" s="6" t="str">
        <f>HYPERLINK("https://maps.google.com/?q=16.287709920062706,-95.24315168133805", "🔗 Ver Mapa")</f>
        <v>🔗 Ver Mapa</v>
      </c>
    </row>
    <row r="1173" spans="1:12" ht="29" x14ac:dyDescent="0.35">
      <c r="A1173" s="5" t="s">
        <v>169</v>
      </c>
      <c r="B1173" s="5" t="s">
        <v>170</v>
      </c>
      <c r="C1173" s="5" t="s">
        <v>171</v>
      </c>
      <c r="D1173" s="5" t="s">
        <v>76</v>
      </c>
      <c r="E1173" s="5" t="s">
        <v>52</v>
      </c>
      <c r="F1173" s="5" t="s">
        <v>70</v>
      </c>
      <c r="G1173" s="5" t="s">
        <v>71</v>
      </c>
      <c r="H1173" s="5" t="s">
        <v>172</v>
      </c>
      <c r="I1173" s="5" t="s">
        <v>31</v>
      </c>
      <c r="J1173" s="5">
        <v>17.119126999999999</v>
      </c>
      <c r="K1173" s="5">
        <v>-96.759843000000004</v>
      </c>
      <c r="L1173" s="5" t="str">
        <f>HYPERLINK("https://maps.google.com/?q=17.119127,-96.759843", "🔗 Ver Mapa")</f>
        <v>🔗 Ver Mapa</v>
      </c>
    </row>
    <row r="1174" spans="1:12" ht="29" x14ac:dyDescent="0.35">
      <c r="A1174" s="6" t="s">
        <v>169</v>
      </c>
      <c r="B1174" s="6" t="s">
        <v>170</v>
      </c>
      <c r="C1174" s="6" t="s">
        <v>173</v>
      </c>
      <c r="D1174" s="6" t="s">
        <v>76</v>
      </c>
      <c r="E1174" s="6" t="s">
        <v>158</v>
      </c>
      <c r="F1174" s="6" t="s">
        <v>159</v>
      </c>
      <c r="G1174" s="6" t="s">
        <v>174</v>
      </c>
      <c r="H1174" s="6" t="s">
        <v>175</v>
      </c>
      <c r="I1174" s="6" t="s">
        <v>31</v>
      </c>
      <c r="J1174" s="6">
        <v>16.480022000000002</v>
      </c>
      <c r="K1174" s="6">
        <v>-95.036816000000002</v>
      </c>
      <c r="L1174" s="6" t="str">
        <f>HYPERLINK("https://maps.google.com/?q=16.480022,-95.036816", "🔗 Ver Mapa")</f>
        <v>🔗 Ver Mapa</v>
      </c>
    </row>
    <row r="1175" spans="1:12" ht="29" x14ac:dyDescent="0.35">
      <c r="A1175" s="5" t="s">
        <v>169</v>
      </c>
      <c r="B1175" s="5" t="s">
        <v>170</v>
      </c>
      <c r="C1175" s="5" t="s">
        <v>176</v>
      </c>
      <c r="D1175" s="5" t="s">
        <v>76</v>
      </c>
      <c r="E1175" s="5" t="s">
        <v>17</v>
      </c>
      <c r="F1175" s="5" t="s">
        <v>59</v>
      </c>
      <c r="G1175" s="5" t="s">
        <v>60</v>
      </c>
      <c r="H1175" s="5" t="s">
        <v>61</v>
      </c>
      <c r="I1175" s="5" t="s">
        <v>31</v>
      </c>
      <c r="J1175" s="5">
        <v>16.35155</v>
      </c>
      <c r="K1175" s="5">
        <v>-98.051333999999997</v>
      </c>
      <c r="L1175" s="5" t="str">
        <f>HYPERLINK("https://maps.google.com/?q=16.35155,-98.051334", "🔗 Ver Mapa")</f>
        <v>🔗 Ver Mapa</v>
      </c>
    </row>
    <row r="1176" spans="1:12" ht="29" x14ac:dyDescent="0.35">
      <c r="A1176" s="6" t="s">
        <v>169</v>
      </c>
      <c r="B1176" s="6" t="s">
        <v>170</v>
      </c>
      <c r="C1176" s="6" t="s">
        <v>177</v>
      </c>
      <c r="D1176" s="6" t="s">
        <v>76</v>
      </c>
      <c r="E1176" s="6" t="s">
        <v>52</v>
      </c>
      <c r="F1176" s="6" t="s">
        <v>70</v>
      </c>
      <c r="G1176" s="6" t="s">
        <v>178</v>
      </c>
      <c r="H1176" s="6" t="s">
        <v>179</v>
      </c>
      <c r="I1176" s="6" t="s">
        <v>31</v>
      </c>
      <c r="J1176" s="6">
        <v>17.046372000000002</v>
      </c>
      <c r="K1176" s="6">
        <v>-96.627398999999997</v>
      </c>
      <c r="L1176" s="6" t="str">
        <f>HYPERLINK("https://maps.google.com/?q=17.046372,-96.627399", "🔗 Ver Mapa")</f>
        <v>🔗 Ver Mapa</v>
      </c>
    </row>
    <row r="1177" spans="1:12" ht="29" x14ac:dyDescent="0.35">
      <c r="A1177" s="5" t="s">
        <v>169</v>
      </c>
      <c r="B1177" s="5" t="s">
        <v>170</v>
      </c>
      <c r="C1177" s="5" t="s">
        <v>180</v>
      </c>
      <c r="D1177" s="5" t="s">
        <v>76</v>
      </c>
      <c r="E1177" s="5" t="s">
        <v>158</v>
      </c>
      <c r="F1177" s="5" t="s">
        <v>159</v>
      </c>
      <c r="G1177" s="5" t="s">
        <v>181</v>
      </c>
      <c r="H1177" s="5" t="s">
        <v>182</v>
      </c>
      <c r="I1177" s="5" t="s">
        <v>31</v>
      </c>
      <c r="J1177" s="5">
        <v>16.888511000000001</v>
      </c>
      <c r="K1177" s="5">
        <v>-95.037323000000001</v>
      </c>
      <c r="L1177" s="5" t="str">
        <f>HYPERLINK("https://maps.google.com/?q=16.888511,-95.037323", "🔗 Ver Mapa")</f>
        <v>🔗 Ver Mapa</v>
      </c>
    </row>
    <row r="1178" spans="1:12" ht="29" x14ac:dyDescent="0.35">
      <c r="A1178" s="6" t="s">
        <v>169</v>
      </c>
      <c r="B1178" s="6" t="s">
        <v>170</v>
      </c>
      <c r="C1178" s="6" t="s">
        <v>183</v>
      </c>
      <c r="D1178" s="6" t="s">
        <v>76</v>
      </c>
      <c r="E1178" s="6" t="s">
        <v>39</v>
      </c>
      <c r="F1178" s="6" t="s">
        <v>40</v>
      </c>
      <c r="G1178" s="6" t="s">
        <v>184</v>
      </c>
      <c r="H1178" s="6" t="s">
        <v>185</v>
      </c>
      <c r="I1178" s="6" t="s">
        <v>31</v>
      </c>
      <c r="J1178" s="6">
        <v>17.032902</v>
      </c>
      <c r="K1178" s="6">
        <v>-97.923730000000006</v>
      </c>
      <c r="L1178" s="6" t="str">
        <f>HYPERLINK("https://maps.google.com/?q=17.032902,-97.923730", "🔗 Ver Mapa")</f>
        <v>🔗 Ver Mapa</v>
      </c>
    </row>
    <row r="1179" spans="1:12" ht="29" x14ac:dyDescent="0.35">
      <c r="A1179" s="5" t="s">
        <v>169</v>
      </c>
      <c r="B1179" s="5" t="s">
        <v>170</v>
      </c>
      <c r="C1179" s="5" t="s">
        <v>186</v>
      </c>
      <c r="D1179" s="5" t="s">
        <v>76</v>
      </c>
      <c r="E1179" s="5" t="s">
        <v>140</v>
      </c>
      <c r="F1179" s="5" t="s">
        <v>141</v>
      </c>
      <c r="G1179" s="5" t="s">
        <v>187</v>
      </c>
      <c r="H1179" s="5" t="s">
        <v>188</v>
      </c>
      <c r="I1179" s="5" t="s">
        <v>31</v>
      </c>
      <c r="J1179" s="5">
        <v>18.073318</v>
      </c>
      <c r="K1179" s="5">
        <v>-96.118581000000006</v>
      </c>
      <c r="L1179" s="5" t="str">
        <f>HYPERLINK("https://maps.google.com/?q=18.073318,-96.118581", "🔗 Ver Mapa")</f>
        <v>🔗 Ver Mapa</v>
      </c>
    </row>
    <row r="1180" spans="1:12" ht="29" x14ac:dyDescent="0.35">
      <c r="A1180" s="6" t="s">
        <v>169</v>
      </c>
      <c r="B1180" s="6" t="s">
        <v>170</v>
      </c>
      <c r="C1180" s="6" t="s">
        <v>189</v>
      </c>
      <c r="D1180" s="6" t="s">
        <v>76</v>
      </c>
      <c r="E1180" s="6" t="s">
        <v>16</v>
      </c>
      <c r="F1180" s="6" t="s">
        <v>145</v>
      </c>
      <c r="G1180" s="6" t="s">
        <v>146</v>
      </c>
      <c r="H1180" s="6" t="s">
        <v>190</v>
      </c>
      <c r="I1180" s="6" t="s">
        <v>31</v>
      </c>
      <c r="J1180" s="6">
        <v>17.826104999999998</v>
      </c>
      <c r="K1180" s="6">
        <v>-97.805006000000006</v>
      </c>
      <c r="L1180" s="6" t="str">
        <f>HYPERLINK("https://maps.google.com/?q=17.826105,-97.805006", "🔗 Ver Mapa")</f>
        <v>🔗 Ver Mapa</v>
      </c>
    </row>
    <row r="1181" spans="1:12" ht="29" x14ac:dyDescent="0.35">
      <c r="A1181" s="5" t="s">
        <v>169</v>
      </c>
      <c r="B1181" s="5" t="s">
        <v>170</v>
      </c>
      <c r="C1181" s="5" t="s">
        <v>191</v>
      </c>
      <c r="D1181" s="5" t="s">
        <v>76</v>
      </c>
      <c r="E1181" s="5" t="s">
        <v>158</v>
      </c>
      <c r="F1181" s="5" t="s">
        <v>159</v>
      </c>
      <c r="G1181" s="5" t="s">
        <v>192</v>
      </c>
      <c r="H1181" s="5" t="s">
        <v>193</v>
      </c>
      <c r="I1181" s="5" t="s">
        <v>31</v>
      </c>
      <c r="J1181" s="5">
        <v>16.372561999999999</v>
      </c>
      <c r="K1181" s="5">
        <v>-94.185952</v>
      </c>
      <c r="L1181" s="5" t="str">
        <f>HYPERLINK("https://maps.google.com/?q=16.372562,-94.185952", "🔗 Ver Mapa")</f>
        <v>🔗 Ver Mapa</v>
      </c>
    </row>
    <row r="1182" spans="1:12" ht="29" x14ac:dyDescent="0.35">
      <c r="A1182" s="6" t="s">
        <v>169</v>
      </c>
      <c r="B1182" s="6" t="s">
        <v>170</v>
      </c>
      <c r="C1182" s="6" t="s">
        <v>194</v>
      </c>
      <c r="D1182" s="6" t="s">
        <v>76</v>
      </c>
      <c r="E1182" s="6" t="s">
        <v>16</v>
      </c>
      <c r="F1182" s="6" t="s">
        <v>195</v>
      </c>
      <c r="G1182" s="6" t="s">
        <v>196</v>
      </c>
      <c r="H1182" s="6" t="s">
        <v>197</v>
      </c>
      <c r="I1182" s="6" t="s">
        <v>31</v>
      </c>
      <c r="J1182" s="6">
        <v>17.507453999999999</v>
      </c>
      <c r="K1182" s="6">
        <v>-98.141239999999996</v>
      </c>
      <c r="L1182" s="6" t="str">
        <f>HYPERLINK("https://maps.google.com/?q=17.507454,-98.141240", "🔗 Ver Mapa")</f>
        <v>🔗 Ver Mapa</v>
      </c>
    </row>
    <row r="1183" spans="1:12" ht="29" x14ac:dyDescent="0.35">
      <c r="A1183" s="5" t="s">
        <v>169</v>
      </c>
      <c r="B1183" s="5" t="s">
        <v>170</v>
      </c>
      <c r="C1183" s="5" t="s">
        <v>198</v>
      </c>
      <c r="D1183" s="5" t="s">
        <v>76</v>
      </c>
      <c r="E1183" s="5" t="s">
        <v>16</v>
      </c>
      <c r="F1183" s="5" t="s">
        <v>19</v>
      </c>
      <c r="G1183" s="5" t="s">
        <v>199</v>
      </c>
      <c r="H1183" s="5" t="s">
        <v>200</v>
      </c>
      <c r="I1183" s="5" t="s">
        <v>31</v>
      </c>
      <c r="J1183" s="5">
        <v>17.458601000000002</v>
      </c>
      <c r="K1183" s="5">
        <v>-97.212480999999997</v>
      </c>
      <c r="L1183" s="5" t="str">
        <f>HYPERLINK("https://maps.google.com/?q=17.458601,-97.212481", "🔗 Ver Mapa")</f>
        <v>🔗 Ver Mapa</v>
      </c>
    </row>
    <row r="1184" spans="1:12" ht="29" x14ac:dyDescent="0.35">
      <c r="A1184" s="6" t="s">
        <v>169</v>
      </c>
      <c r="B1184" s="6" t="s">
        <v>170</v>
      </c>
      <c r="C1184" s="6" t="s">
        <v>201</v>
      </c>
      <c r="D1184" s="6" t="s">
        <v>76</v>
      </c>
      <c r="E1184" s="6" t="s">
        <v>158</v>
      </c>
      <c r="F1184" s="6" t="s">
        <v>159</v>
      </c>
      <c r="G1184" s="6" t="s">
        <v>202</v>
      </c>
      <c r="H1184" s="6" t="s">
        <v>203</v>
      </c>
      <c r="I1184" s="6" t="s">
        <v>31</v>
      </c>
      <c r="J1184" s="6">
        <v>16.456074999999998</v>
      </c>
      <c r="K1184" s="6">
        <v>-94.829593000000003</v>
      </c>
      <c r="L1184" s="6" t="str">
        <f>HYPERLINK("https://maps.google.com/?q=16.456075,-94.829593", "🔗 Ver Mapa")</f>
        <v>🔗 Ver Mapa</v>
      </c>
    </row>
    <row r="1185" spans="1:12" ht="29" x14ac:dyDescent="0.35">
      <c r="A1185" s="5" t="s">
        <v>169</v>
      </c>
      <c r="B1185" s="5" t="s">
        <v>170</v>
      </c>
      <c r="C1185" s="5" t="s">
        <v>204</v>
      </c>
      <c r="D1185" s="5" t="s">
        <v>76</v>
      </c>
      <c r="E1185" s="5" t="s">
        <v>158</v>
      </c>
      <c r="F1185" s="5" t="s">
        <v>159</v>
      </c>
      <c r="G1185" s="5" t="s">
        <v>205</v>
      </c>
      <c r="H1185" s="5" t="s">
        <v>206</v>
      </c>
      <c r="I1185" s="5" t="s">
        <v>31</v>
      </c>
      <c r="J1185" s="5">
        <v>17.220431999999999</v>
      </c>
      <c r="K1185" s="5">
        <v>-95.048265999999998</v>
      </c>
      <c r="L1185" s="5" t="str">
        <f>HYPERLINK("https://maps.google.com/?q=17.220432,-95.048266", "🔗 Ver Mapa")</f>
        <v>🔗 Ver Mapa</v>
      </c>
    </row>
    <row r="1186" spans="1:12" ht="29" x14ac:dyDescent="0.35">
      <c r="A1186" s="6" t="s">
        <v>169</v>
      </c>
      <c r="B1186" s="6" t="s">
        <v>170</v>
      </c>
      <c r="C1186" s="6" t="s">
        <v>207</v>
      </c>
      <c r="D1186" s="6" t="s">
        <v>76</v>
      </c>
      <c r="E1186" s="6" t="s">
        <v>17</v>
      </c>
      <c r="F1186" s="6" t="s">
        <v>20</v>
      </c>
      <c r="G1186" s="6" t="s">
        <v>208</v>
      </c>
      <c r="H1186" s="6" t="s">
        <v>209</v>
      </c>
      <c r="I1186" s="6" t="s">
        <v>31</v>
      </c>
      <c r="J1186" s="6">
        <v>15.783543999999999</v>
      </c>
      <c r="K1186" s="6">
        <v>-96.141793000000007</v>
      </c>
      <c r="L1186" s="6" t="str">
        <f>HYPERLINK("https://maps.google.com/?q=15.783544,-96.141793", "🔗 Ver Mapa")</f>
        <v>🔗 Ver Mapa</v>
      </c>
    </row>
    <row r="1187" spans="1:12" ht="29" x14ac:dyDescent="0.35">
      <c r="A1187" s="5" t="s">
        <v>169</v>
      </c>
      <c r="B1187" s="5" t="s">
        <v>170</v>
      </c>
      <c r="C1187" s="5" t="s">
        <v>210</v>
      </c>
      <c r="D1187" s="5" t="s">
        <v>76</v>
      </c>
      <c r="E1187" s="5" t="s">
        <v>17</v>
      </c>
      <c r="F1187" s="5" t="s">
        <v>20</v>
      </c>
      <c r="G1187" s="5" t="s">
        <v>24</v>
      </c>
      <c r="H1187" s="5" t="s">
        <v>28</v>
      </c>
      <c r="I1187" s="5" t="s">
        <v>31</v>
      </c>
      <c r="J1187" s="5">
        <v>15.738731</v>
      </c>
      <c r="K1187" s="5">
        <v>-96.480639999999994</v>
      </c>
      <c r="L1187" s="5" t="str">
        <f>HYPERLINK("https://maps.google.com/?q=15.738731,-96.480640", "🔗 Ver Mapa")</f>
        <v>🔗 Ver Mapa</v>
      </c>
    </row>
    <row r="1188" spans="1:12" ht="29" x14ac:dyDescent="0.35">
      <c r="A1188" s="6" t="s">
        <v>169</v>
      </c>
      <c r="B1188" s="6" t="s">
        <v>170</v>
      </c>
      <c r="C1188" s="6" t="s">
        <v>211</v>
      </c>
      <c r="D1188" s="6" t="s">
        <v>76</v>
      </c>
      <c r="E1188" s="6" t="s">
        <v>17</v>
      </c>
      <c r="F1188" s="6" t="s">
        <v>46</v>
      </c>
      <c r="G1188" s="6" t="s">
        <v>212</v>
      </c>
      <c r="H1188" s="6" t="s">
        <v>213</v>
      </c>
      <c r="I1188" s="6" t="s">
        <v>31</v>
      </c>
      <c r="J1188" s="6">
        <v>15.995323000000001</v>
      </c>
      <c r="K1188" s="6">
        <v>-97.422745000000006</v>
      </c>
      <c r="L1188" s="6" t="str">
        <f>HYPERLINK("https://maps.google.com/?q=15.995323,-97.422745", "🔗 Ver Mapa")</f>
        <v>🔗 Ver Mapa</v>
      </c>
    </row>
    <row r="1189" spans="1:12" ht="29" x14ac:dyDescent="0.35">
      <c r="A1189" s="5" t="s">
        <v>169</v>
      </c>
      <c r="B1189" s="5" t="s">
        <v>170</v>
      </c>
      <c r="C1189" s="5" t="s">
        <v>214</v>
      </c>
      <c r="D1189" s="5" t="s">
        <v>76</v>
      </c>
      <c r="E1189" s="5" t="s">
        <v>16</v>
      </c>
      <c r="F1189" s="5" t="s">
        <v>215</v>
      </c>
      <c r="G1189" s="5" t="s">
        <v>216</v>
      </c>
      <c r="H1189" s="5" t="s">
        <v>217</v>
      </c>
      <c r="I1189" s="5" t="s">
        <v>31</v>
      </c>
      <c r="J1189" s="5">
        <v>17.319503000000001</v>
      </c>
      <c r="K1189" s="5">
        <v>-98.009732999999997</v>
      </c>
      <c r="L1189" s="5" t="str">
        <f>HYPERLINK("https://maps.google.com/?q=17.319503,-98.009733", "🔗 Ver Mapa")</f>
        <v>🔗 Ver Mapa</v>
      </c>
    </row>
    <row r="1190" spans="1:12" ht="29" x14ac:dyDescent="0.35">
      <c r="A1190" s="6" t="s">
        <v>169</v>
      </c>
      <c r="B1190" s="6" t="s">
        <v>170</v>
      </c>
      <c r="C1190" s="6" t="s">
        <v>218</v>
      </c>
      <c r="D1190" s="6" t="s">
        <v>76</v>
      </c>
      <c r="E1190" s="6" t="s">
        <v>140</v>
      </c>
      <c r="F1190" s="6" t="s">
        <v>141</v>
      </c>
      <c r="G1190" s="6" t="s">
        <v>219</v>
      </c>
      <c r="H1190" s="6" t="s">
        <v>220</v>
      </c>
      <c r="I1190" s="6" t="s">
        <v>31</v>
      </c>
      <c r="J1190" s="6">
        <v>18.081862000000001</v>
      </c>
      <c r="K1190" s="6">
        <v>-96.525672999999998</v>
      </c>
      <c r="L1190" s="6" t="str">
        <f>HYPERLINK("https://maps.google.com/?q=18.081862,-96.525673", "🔗 Ver Mapa")</f>
        <v>🔗 Ver Mapa</v>
      </c>
    </row>
    <row r="1191" spans="1:12" ht="29" x14ac:dyDescent="0.35">
      <c r="A1191" s="5" t="s">
        <v>169</v>
      </c>
      <c r="B1191" s="5" t="s">
        <v>170</v>
      </c>
      <c r="C1191" s="5" t="s">
        <v>221</v>
      </c>
      <c r="D1191" s="5" t="s">
        <v>76</v>
      </c>
      <c r="E1191" s="5" t="s">
        <v>158</v>
      </c>
      <c r="F1191" s="5" t="s">
        <v>159</v>
      </c>
      <c r="G1191" s="5" t="s">
        <v>222</v>
      </c>
      <c r="H1191" s="5" t="s">
        <v>223</v>
      </c>
      <c r="I1191" s="5" t="s">
        <v>31</v>
      </c>
      <c r="J1191" s="5">
        <v>16.959892</v>
      </c>
      <c r="K1191" s="5">
        <v>-95.097558000000006</v>
      </c>
      <c r="L1191" s="5" t="str">
        <f>HYPERLINK("https://maps.google.com/?q=16.959892,-95.097558", "🔗 Ver Mapa")</f>
        <v>🔗 Ver Mapa</v>
      </c>
    </row>
    <row r="1192" spans="1:12" ht="29" x14ac:dyDescent="0.35">
      <c r="A1192" s="6" t="s">
        <v>169</v>
      </c>
      <c r="B1192" s="6" t="s">
        <v>170</v>
      </c>
      <c r="C1192" s="6" t="s">
        <v>224</v>
      </c>
      <c r="D1192" s="6" t="s">
        <v>76</v>
      </c>
      <c r="E1192" s="6" t="s">
        <v>52</v>
      </c>
      <c r="F1192" s="6" t="s">
        <v>70</v>
      </c>
      <c r="G1192" s="6" t="s">
        <v>225</v>
      </c>
      <c r="H1192" s="6" t="s">
        <v>226</v>
      </c>
      <c r="I1192" s="6" t="s">
        <v>31</v>
      </c>
      <c r="J1192" s="6">
        <v>16.991966000000001</v>
      </c>
      <c r="K1192" s="6">
        <v>-96.782111999999998</v>
      </c>
      <c r="L1192" s="6" t="str">
        <f>HYPERLINK("https://maps.google.com/?q=16.991966,-96.782112", "🔗 Ver Mapa")</f>
        <v>🔗 Ver Mapa</v>
      </c>
    </row>
    <row r="1193" spans="1:12" ht="29" x14ac:dyDescent="0.35">
      <c r="A1193" s="5" t="s">
        <v>169</v>
      </c>
      <c r="B1193" s="5" t="s">
        <v>170</v>
      </c>
      <c r="C1193" s="5" t="s">
        <v>227</v>
      </c>
      <c r="D1193" s="5" t="s">
        <v>76</v>
      </c>
      <c r="E1193" s="5" t="s">
        <v>52</v>
      </c>
      <c r="F1193" s="5" t="s">
        <v>228</v>
      </c>
      <c r="G1193" s="5" t="s">
        <v>229</v>
      </c>
      <c r="H1193" s="5" t="s">
        <v>230</v>
      </c>
      <c r="I1193" s="5" t="s">
        <v>31</v>
      </c>
      <c r="J1193" s="5">
        <v>16.793586000000001</v>
      </c>
      <c r="K1193" s="5">
        <v>-96.688644999999994</v>
      </c>
      <c r="L1193" s="5" t="str">
        <f>HYPERLINK("https://maps.google.com/?q=16.793586,-96.688645", "🔗 Ver Mapa")</f>
        <v>🔗 Ver Mapa</v>
      </c>
    </row>
    <row r="1194" spans="1:12" ht="29" x14ac:dyDescent="0.35">
      <c r="A1194" s="6" t="s">
        <v>169</v>
      </c>
      <c r="B1194" s="6" t="s">
        <v>170</v>
      </c>
      <c r="C1194" s="6" t="s">
        <v>231</v>
      </c>
      <c r="D1194" s="6" t="s">
        <v>76</v>
      </c>
      <c r="E1194" s="6" t="s">
        <v>90</v>
      </c>
      <c r="F1194" s="6" t="s">
        <v>91</v>
      </c>
      <c r="G1194" s="6" t="s">
        <v>232</v>
      </c>
      <c r="H1194" s="6" t="s">
        <v>233</v>
      </c>
      <c r="I1194" s="6" t="s">
        <v>31</v>
      </c>
      <c r="J1194" s="6">
        <v>17.055571</v>
      </c>
      <c r="K1194" s="6">
        <v>-96.071038999999999</v>
      </c>
      <c r="L1194" s="6" t="str">
        <f>HYPERLINK("https://maps.google.com/?q=17.055571,-96.071039", "🔗 Ver Mapa")</f>
        <v>🔗 Ver Mapa</v>
      </c>
    </row>
    <row r="1195" spans="1:12" ht="29" x14ac:dyDescent="0.35">
      <c r="A1195" s="5" t="s">
        <v>169</v>
      </c>
      <c r="B1195" s="5" t="s">
        <v>170</v>
      </c>
      <c r="C1195" s="5" t="s">
        <v>234</v>
      </c>
      <c r="D1195" s="5" t="s">
        <v>76</v>
      </c>
      <c r="E1195" s="5" t="s">
        <v>16</v>
      </c>
      <c r="F1195" s="5" t="s">
        <v>21</v>
      </c>
      <c r="G1195" s="5" t="s">
        <v>235</v>
      </c>
      <c r="H1195" s="5" t="s">
        <v>236</v>
      </c>
      <c r="I1195" s="5" t="s">
        <v>31</v>
      </c>
      <c r="J1195" s="5">
        <v>17.245194999999999</v>
      </c>
      <c r="K1195" s="5">
        <v>-97.673714000000004</v>
      </c>
      <c r="L1195" s="5" t="str">
        <f>HYPERLINK("https://maps.google.com/?q=17.245195,-97.673714", "🔗 Ver Mapa")</f>
        <v>🔗 Ver Mapa</v>
      </c>
    </row>
    <row r="1196" spans="1:12" ht="29" x14ac:dyDescent="0.35">
      <c r="A1196" s="6" t="s">
        <v>169</v>
      </c>
      <c r="B1196" s="6" t="s">
        <v>170</v>
      </c>
      <c r="C1196" s="6" t="s">
        <v>237</v>
      </c>
      <c r="D1196" s="6" t="s">
        <v>76</v>
      </c>
      <c r="E1196" s="6" t="s">
        <v>52</v>
      </c>
      <c r="F1196" s="6" t="s">
        <v>83</v>
      </c>
      <c r="G1196" s="6" t="s">
        <v>238</v>
      </c>
      <c r="H1196" s="6" t="s">
        <v>239</v>
      </c>
      <c r="I1196" s="6" t="s">
        <v>31</v>
      </c>
      <c r="J1196" s="6">
        <v>17.176525000000002</v>
      </c>
      <c r="K1196" s="6">
        <v>-96.836716999999993</v>
      </c>
      <c r="L1196" s="6" t="str">
        <f>HYPERLINK("https://maps.google.com/?q=17.176525,-96.836717", "🔗 Ver Mapa")</f>
        <v>🔗 Ver Mapa</v>
      </c>
    </row>
    <row r="1197" spans="1:12" ht="29" x14ac:dyDescent="0.35">
      <c r="A1197" s="5" t="s">
        <v>169</v>
      </c>
      <c r="B1197" s="5" t="s">
        <v>170</v>
      </c>
      <c r="C1197" s="5" t="s">
        <v>240</v>
      </c>
      <c r="D1197" s="5" t="s">
        <v>76</v>
      </c>
      <c r="E1197" s="5" t="s">
        <v>17</v>
      </c>
      <c r="F1197" s="5" t="s">
        <v>46</v>
      </c>
      <c r="G1197" s="5" t="s">
        <v>241</v>
      </c>
      <c r="H1197" s="5" t="s">
        <v>242</v>
      </c>
      <c r="I1197" s="5" t="s">
        <v>31</v>
      </c>
      <c r="J1197" s="5">
        <v>15.918941999999999</v>
      </c>
      <c r="K1197" s="5">
        <v>-97.128096999999997</v>
      </c>
      <c r="L1197" s="5" t="str">
        <f>HYPERLINK("https://maps.google.com/?q=15.918942,-97.128097", "🔗 Ver Mapa")</f>
        <v>🔗 Ver Mapa</v>
      </c>
    </row>
    <row r="1198" spans="1:12" ht="29" x14ac:dyDescent="0.35">
      <c r="A1198" s="6" t="s">
        <v>169</v>
      </c>
      <c r="B1198" s="6" t="s">
        <v>170</v>
      </c>
      <c r="C1198" s="6" t="s">
        <v>243</v>
      </c>
      <c r="D1198" s="6" t="s">
        <v>76</v>
      </c>
      <c r="E1198" s="6" t="s">
        <v>90</v>
      </c>
      <c r="F1198" s="6" t="s">
        <v>91</v>
      </c>
      <c r="G1198" s="6" t="s">
        <v>92</v>
      </c>
      <c r="H1198" s="6" t="s">
        <v>244</v>
      </c>
      <c r="I1198" s="6" t="s">
        <v>31</v>
      </c>
      <c r="J1198" s="6">
        <v>17.257085</v>
      </c>
      <c r="K1198" s="6">
        <v>-96.031514000000001</v>
      </c>
      <c r="L1198" s="6" t="str">
        <f>HYPERLINK("https://maps.google.com/?q=17.257085,-96.031514", "🔗 Ver Mapa")</f>
        <v>🔗 Ver Mapa</v>
      </c>
    </row>
    <row r="1199" spans="1:12" ht="29" x14ac:dyDescent="0.35">
      <c r="A1199" s="5" t="s">
        <v>169</v>
      </c>
      <c r="B1199" s="5" t="s">
        <v>170</v>
      </c>
      <c r="C1199" s="5" t="s">
        <v>245</v>
      </c>
      <c r="D1199" s="5" t="s">
        <v>76</v>
      </c>
      <c r="E1199" s="5" t="s">
        <v>52</v>
      </c>
      <c r="F1199" s="5" t="s">
        <v>83</v>
      </c>
      <c r="G1199" s="5" t="s">
        <v>246</v>
      </c>
      <c r="H1199" s="5" t="s">
        <v>247</v>
      </c>
      <c r="I1199" s="5" t="s">
        <v>31</v>
      </c>
      <c r="J1199" s="5">
        <v>17.282415</v>
      </c>
      <c r="K1199" s="5">
        <v>-96.877921000000001</v>
      </c>
      <c r="L1199" s="5" t="str">
        <f>HYPERLINK("https://maps.google.com/?q=17.282415,-96.877921", "🔗 Ver Mapa")</f>
        <v>🔗 Ver Mapa</v>
      </c>
    </row>
    <row r="1200" spans="1:12" ht="29" x14ac:dyDescent="0.35">
      <c r="A1200" s="6" t="s">
        <v>169</v>
      </c>
      <c r="B1200" s="6" t="s">
        <v>170</v>
      </c>
      <c r="C1200" s="6" t="s">
        <v>248</v>
      </c>
      <c r="D1200" s="6" t="s">
        <v>76</v>
      </c>
      <c r="E1200" s="6" t="s">
        <v>52</v>
      </c>
      <c r="F1200" s="6" t="s">
        <v>70</v>
      </c>
      <c r="G1200" s="6" t="s">
        <v>249</v>
      </c>
      <c r="H1200" s="6" t="s">
        <v>250</v>
      </c>
      <c r="I1200" s="6" t="s">
        <v>31</v>
      </c>
      <c r="J1200" s="6">
        <v>17.032789999999999</v>
      </c>
      <c r="K1200" s="6">
        <v>-96.693641</v>
      </c>
      <c r="L1200" s="6" t="str">
        <f>HYPERLINK("https://maps.google.com/?q=17.03279,-96.693641", "🔗 Ver Mapa")</f>
        <v>🔗 Ver Mapa</v>
      </c>
    </row>
    <row r="1201" spans="1:12" ht="29" x14ac:dyDescent="0.35">
      <c r="A1201" s="5" t="s">
        <v>169</v>
      </c>
      <c r="B1201" s="5" t="s">
        <v>170</v>
      </c>
      <c r="C1201" s="5" t="s">
        <v>251</v>
      </c>
      <c r="D1201" s="5" t="s">
        <v>76</v>
      </c>
      <c r="E1201" s="5" t="s">
        <v>52</v>
      </c>
      <c r="F1201" s="5" t="s">
        <v>53</v>
      </c>
      <c r="G1201" s="5" t="s">
        <v>252</v>
      </c>
      <c r="H1201" s="5" t="s">
        <v>253</v>
      </c>
      <c r="I1201" s="5" t="s">
        <v>31</v>
      </c>
      <c r="J1201" s="5">
        <v>16.973876000000001</v>
      </c>
      <c r="K1201" s="5">
        <v>-96.473546999999996</v>
      </c>
      <c r="L1201" s="5" t="str">
        <f>HYPERLINK("https://maps.google.com/?q=16.973876,-96.473547", "🔗 Ver Mapa")</f>
        <v>🔗 Ver Mapa</v>
      </c>
    </row>
    <row r="1202" spans="1:12" ht="29" x14ac:dyDescent="0.35">
      <c r="A1202" s="6" t="s">
        <v>169</v>
      </c>
      <c r="B1202" s="6" t="s">
        <v>170</v>
      </c>
      <c r="C1202" s="6" t="s">
        <v>254</v>
      </c>
      <c r="D1202" s="6" t="s">
        <v>76</v>
      </c>
      <c r="E1202" s="6" t="s">
        <v>17</v>
      </c>
      <c r="F1202" s="6" t="s">
        <v>59</v>
      </c>
      <c r="G1202" s="6" t="s">
        <v>255</v>
      </c>
      <c r="H1202" s="6" t="s">
        <v>256</v>
      </c>
      <c r="I1202" s="6" t="s">
        <v>31</v>
      </c>
      <c r="J1202" s="6">
        <v>16.327116</v>
      </c>
      <c r="K1202" s="6">
        <v>-97.909514999999999</v>
      </c>
      <c r="L1202" s="6" t="str">
        <f>HYPERLINK("https://maps.google.com/?q=16.327116,-97.909515", "🔗 Ver Mapa")</f>
        <v>🔗 Ver Mapa</v>
      </c>
    </row>
    <row r="1203" spans="1:12" ht="29" x14ac:dyDescent="0.35">
      <c r="A1203" s="5" t="s">
        <v>169</v>
      </c>
      <c r="B1203" s="5" t="s">
        <v>170</v>
      </c>
      <c r="C1203" s="5" t="s">
        <v>257</v>
      </c>
      <c r="D1203" s="5" t="s">
        <v>76</v>
      </c>
      <c r="E1203" s="5" t="s">
        <v>140</v>
      </c>
      <c r="F1203" s="5" t="s">
        <v>141</v>
      </c>
      <c r="G1203" s="5" t="s">
        <v>258</v>
      </c>
      <c r="H1203" s="5" t="s">
        <v>259</v>
      </c>
      <c r="I1203" s="5" t="s">
        <v>31</v>
      </c>
      <c r="J1203" s="5">
        <v>18.246275000000001</v>
      </c>
      <c r="K1203" s="5">
        <v>-96.394830999999996</v>
      </c>
      <c r="L1203" s="5" t="str">
        <f>HYPERLINK("https://maps.google.com/?q=18.246275,-96.394831", "🔗 Ver Mapa")</f>
        <v>🔗 Ver Mapa</v>
      </c>
    </row>
    <row r="1204" spans="1:12" ht="29" x14ac:dyDescent="0.35">
      <c r="A1204" s="6" t="s">
        <v>169</v>
      </c>
      <c r="B1204" s="6" t="s">
        <v>170</v>
      </c>
      <c r="C1204" s="6" t="s">
        <v>260</v>
      </c>
      <c r="D1204" s="6" t="s">
        <v>76</v>
      </c>
      <c r="E1204" s="6" t="s">
        <v>140</v>
      </c>
      <c r="F1204" s="6" t="s">
        <v>141</v>
      </c>
      <c r="G1204" s="6" t="s">
        <v>261</v>
      </c>
      <c r="H1204" s="6" t="s">
        <v>262</v>
      </c>
      <c r="I1204" s="6" t="s">
        <v>31</v>
      </c>
      <c r="J1204" s="6">
        <v>17.954499999999999</v>
      </c>
      <c r="K1204" s="6">
        <v>-96.163657999999998</v>
      </c>
      <c r="L1204" s="6" t="str">
        <f>HYPERLINK("https://maps.google.com/?q=17.9545,-96.163658", "🔗 Ver Mapa")</f>
        <v>🔗 Ver Mapa</v>
      </c>
    </row>
    <row r="1205" spans="1:12" ht="29" x14ac:dyDescent="0.35">
      <c r="A1205" s="5" t="s">
        <v>169</v>
      </c>
      <c r="B1205" s="5" t="s">
        <v>170</v>
      </c>
      <c r="C1205" s="5" t="s">
        <v>263</v>
      </c>
      <c r="D1205" s="5" t="s">
        <v>76</v>
      </c>
      <c r="E1205" s="5" t="s">
        <v>17</v>
      </c>
      <c r="F1205" s="5" t="s">
        <v>46</v>
      </c>
      <c r="G1205" s="5" t="s">
        <v>212</v>
      </c>
      <c r="H1205" s="5" t="s">
        <v>264</v>
      </c>
      <c r="I1205" s="5" t="s">
        <v>31</v>
      </c>
      <c r="J1205" s="5">
        <v>16.095229</v>
      </c>
      <c r="K1205" s="5">
        <v>-97.689779999999999</v>
      </c>
      <c r="L1205" s="5" t="str">
        <f>HYPERLINK("https://maps.google.com/?q=16.095229,-97.689780", "🔗 Ver Mapa")</f>
        <v>🔗 Ver Mapa</v>
      </c>
    </row>
    <row r="1206" spans="1:12" ht="29" x14ac:dyDescent="0.35">
      <c r="A1206" s="6" t="s">
        <v>169</v>
      </c>
      <c r="B1206" s="6" t="s">
        <v>170</v>
      </c>
      <c r="C1206" s="6" t="s">
        <v>265</v>
      </c>
      <c r="D1206" s="6" t="s">
        <v>76</v>
      </c>
      <c r="E1206" s="6" t="s">
        <v>17</v>
      </c>
      <c r="F1206" s="6" t="s">
        <v>59</v>
      </c>
      <c r="G1206" s="6" t="s">
        <v>266</v>
      </c>
      <c r="H1206" s="6" t="s">
        <v>267</v>
      </c>
      <c r="I1206" s="6" t="s">
        <v>31</v>
      </c>
      <c r="J1206" s="6">
        <v>16.498676</v>
      </c>
      <c r="K1206" s="6">
        <v>-98.337694999999997</v>
      </c>
      <c r="L1206" s="6" t="str">
        <f>HYPERLINK("https://maps.google.com/?q=16.498676,-98.337695", "🔗 Ver Mapa")</f>
        <v>🔗 Ver Mapa</v>
      </c>
    </row>
    <row r="1207" spans="1:12" ht="29" x14ac:dyDescent="0.35">
      <c r="A1207" s="5" t="s">
        <v>169</v>
      </c>
      <c r="B1207" s="5" t="s">
        <v>170</v>
      </c>
      <c r="C1207" s="5" t="s">
        <v>268</v>
      </c>
      <c r="D1207" s="5" t="s">
        <v>76</v>
      </c>
      <c r="E1207" s="5" t="s">
        <v>158</v>
      </c>
      <c r="F1207" s="5" t="s">
        <v>166</v>
      </c>
      <c r="G1207" s="5" t="s">
        <v>269</v>
      </c>
      <c r="H1207" s="5" t="s">
        <v>270</v>
      </c>
      <c r="I1207" s="5" t="s">
        <v>31</v>
      </c>
      <c r="J1207" s="5">
        <v>16.332750000000001</v>
      </c>
      <c r="K1207" s="5">
        <v>-95.216678999999999</v>
      </c>
      <c r="L1207" s="5" t="str">
        <f>HYPERLINK("https://maps.google.com/?q=16.33275,-95.216679", "🔗 Ver Mapa")</f>
        <v>🔗 Ver Mapa</v>
      </c>
    </row>
    <row r="1208" spans="1:12" ht="29" x14ac:dyDescent="0.35">
      <c r="A1208" s="6" t="s">
        <v>169</v>
      </c>
      <c r="B1208" s="6" t="s">
        <v>170</v>
      </c>
      <c r="C1208" s="6" t="s">
        <v>271</v>
      </c>
      <c r="D1208" s="6" t="s">
        <v>76</v>
      </c>
      <c r="E1208" s="6" t="s">
        <v>52</v>
      </c>
      <c r="F1208" s="6" t="s">
        <v>70</v>
      </c>
      <c r="G1208" s="6" t="s">
        <v>272</v>
      </c>
      <c r="H1208" s="6" t="s">
        <v>273</v>
      </c>
      <c r="I1208" s="6" t="s">
        <v>31</v>
      </c>
      <c r="J1208" s="6">
        <v>16.948589999999999</v>
      </c>
      <c r="K1208" s="6">
        <v>-96.708751000000007</v>
      </c>
      <c r="L1208" s="6" t="str">
        <f>HYPERLINK("https://maps.google.com/?q=16.94859,-96.708751", "🔗 Ver Mapa")</f>
        <v>🔗 Ver Mapa</v>
      </c>
    </row>
    <row r="1209" spans="1:12" ht="29" x14ac:dyDescent="0.35">
      <c r="A1209" s="5" t="s">
        <v>169</v>
      </c>
      <c r="B1209" s="5" t="s">
        <v>170</v>
      </c>
      <c r="C1209" s="5" t="s">
        <v>274</v>
      </c>
      <c r="D1209" s="5" t="s">
        <v>76</v>
      </c>
      <c r="E1209" s="5" t="s">
        <v>17</v>
      </c>
      <c r="F1209" s="5" t="s">
        <v>59</v>
      </c>
      <c r="G1209" s="5" t="s">
        <v>275</v>
      </c>
      <c r="H1209" s="5" t="s">
        <v>276</v>
      </c>
      <c r="I1209" s="5" t="s">
        <v>31</v>
      </c>
      <c r="J1209" s="5">
        <v>16.295141999999998</v>
      </c>
      <c r="K1209" s="5">
        <v>-97.909981999999999</v>
      </c>
      <c r="L1209" s="5" t="str">
        <f>HYPERLINK("https://maps.google.com/?q=16.295142,-97.909982", "🔗 Ver Mapa")</f>
        <v>🔗 Ver Mapa</v>
      </c>
    </row>
    <row r="1210" spans="1:12" ht="29" x14ac:dyDescent="0.35">
      <c r="A1210" s="6" t="s">
        <v>169</v>
      </c>
      <c r="B1210" s="6" t="s">
        <v>170</v>
      </c>
      <c r="C1210" s="6" t="s">
        <v>277</v>
      </c>
      <c r="D1210" s="6" t="s">
        <v>76</v>
      </c>
      <c r="E1210" s="6" t="s">
        <v>158</v>
      </c>
      <c r="F1210" s="6" t="s">
        <v>159</v>
      </c>
      <c r="G1210" s="6" t="s">
        <v>278</v>
      </c>
      <c r="H1210" s="6" t="s">
        <v>279</v>
      </c>
      <c r="I1210" s="6" t="s">
        <v>31</v>
      </c>
      <c r="J1210" s="6">
        <v>16.456581</v>
      </c>
      <c r="K1210" s="6">
        <v>-95.025879000000003</v>
      </c>
      <c r="L1210" s="6" t="str">
        <f>HYPERLINK("https://maps.google.com/?q=16.456581,-95.025879", "🔗 Ver Mapa")</f>
        <v>🔗 Ver Mapa</v>
      </c>
    </row>
    <row r="1211" spans="1:12" ht="29" x14ac:dyDescent="0.35">
      <c r="A1211" s="5" t="s">
        <v>169</v>
      </c>
      <c r="B1211" s="5" t="s">
        <v>170</v>
      </c>
      <c r="C1211" s="5" t="s">
        <v>280</v>
      </c>
      <c r="D1211" s="5" t="s">
        <v>76</v>
      </c>
      <c r="E1211" s="5" t="s">
        <v>16</v>
      </c>
      <c r="F1211" s="5" t="s">
        <v>215</v>
      </c>
      <c r="G1211" s="5" t="s">
        <v>216</v>
      </c>
      <c r="H1211" s="5" t="s">
        <v>281</v>
      </c>
      <c r="I1211" s="5" t="s">
        <v>31</v>
      </c>
      <c r="J1211" s="5">
        <v>17.159049</v>
      </c>
      <c r="K1211" s="5">
        <v>-97.96011</v>
      </c>
      <c r="L1211" s="5" t="str">
        <f>HYPERLINK("https://maps.google.com/?q=17.159049,-97.960110", "🔗 Ver Mapa")</f>
        <v>🔗 Ver Mapa</v>
      </c>
    </row>
    <row r="1212" spans="1:12" ht="29" x14ac:dyDescent="0.35">
      <c r="A1212" s="6" t="s">
        <v>282</v>
      </c>
      <c r="B1212" s="6" t="s">
        <v>283</v>
      </c>
      <c r="C1212" s="6" t="s">
        <v>284</v>
      </c>
      <c r="D1212" s="6" t="s">
        <v>76</v>
      </c>
      <c r="E1212" s="6" t="s">
        <v>52</v>
      </c>
      <c r="F1212" s="6" t="s">
        <v>70</v>
      </c>
      <c r="G1212" s="6" t="s">
        <v>71</v>
      </c>
      <c r="H1212" s="6" t="s">
        <v>72</v>
      </c>
      <c r="I1212" s="6" t="s">
        <v>31</v>
      </c>
      <c r="J1212" s="6">
        <v>17.061869999999999</v>
      </c>
      <c r="K1212" s="6">
        <v>-96.723290000000006</v>
      </c>
      <c r="L1212" s="6" t="str">
        <f>HYPERLINK("https://maps.google.com/?q=17.06187,-96.72329", "🔗 Ver Mapa")</f>
        <v>🔗 Ver Mapa</v>
      </c>
    </row>
    <row r="1213" spans="1:12" ht="58" x14ac:dyDescent="0.35">
      <c r="A1213" s="5" t="s">
        <v>73</v>
      </c>
      <c r="B1213" s="5" t="s">
        <v>74</v>
      </c>
      <c r="C1213" s="5" t="s">
        <v>285</v>
      </c>
      <c r="D1213" s="5" t="s">
        <v>76</v>
      </c>
      <c r="E1213" s="5" t="s">
        <v>17</v>
      </c>
      <c r="F1213" s="5" t="s">
        <v>59</v>
      </c>
      <c r="G1213" s="5" t="s">
        <v>286</v>
      </c>
      <c r="H1213" s="5" t="s">
        <v>287</v>
      </c>
      <c r="I1213" s="5" t="s">
        <v>31</v>
      </c>
      <c r="J1213" s="5">
        <v>16.484285172417</v>
      </c>
      <c r="K1213" s="5">
        <v>-97.981838627089999</v>
      </c>
      <c r="L1213" s="5" t="str">
        <f>HYPERLINK("https://maps.google.com/?q=16.48428517241651,-97.98183862708996", "🔗 Ver Mapa")</f>
        <v>🔗 Ver Mapa</v>
      </c>
    </row>
    <row r="1214" spans="1:12" ht="29" x14ac:dyDescent="0.35">
      <c r="A1214" s="6" t="s">
        <v>288</v>
      </c>
      <c r="B1214" s="6" t="s">
        <v>289</v>
      </c>
      <c r="C1214" s="6" t="s">
        <v>290</v>
      </c>
      <c r="D1214" s="6" t="s">
        <v>13</v>
      </c>
      <c r="E1214" s="6" t="s">
        <v>158</v>
      </c>
      <c r="F1214" s="6" t="s">
        <v>159</v>
      </c>
      <c r="G1214" s="6" t="s">
        <v>222</v>
      </c>
      <c r="H1214" s="6" t="s">
        <v>291</v>
      </c>
      <c r="I1214" s="6" t="s">
        <v>31</v>
      </c>
      <c r="J1214" s="6">
        <v>17.005213197574999</v>
      </c>
      <c r="K1214" s="6">
        <v>-95.028684698486003</v>
      </c>
      <c r="L1214" s="6" t="str">
        <f>HYPERLINK("https://maps.google.com/?q=17.005213197575458,-95.02868469848633", "🔗 Ver Mapa")</f>
        <v>🔗 Ver Mapa</v>
      </c>
    </row>
    <row r="1215" spans="1:12" ht="29" x14ac:dyDescent="0.35">
      <c r="A1215" s="5" t="s">
        <v>288</v>
      </c>
      <c r="B1215" s="5" t="s">
        <v>289</v>
      </c>
      <c r="C1215" s="5" t="s">
        <v>290</v>
      </c>
      <c r="D1215" s="5" t="s">
        <v>13</v>
      </c>
      <c r="E1215" s="5" t="s">
        <v>158</v>
      </c>
      <c r="F1215" s="5" t="s">
        <v>159</v>
      </c>
      <c r="G1215" s="5" t="s">
        <v>222</v>
      </c>
      <c r="H1215" s="5" t="s">
        <v>291</v>
      </c>
      <c r="I1215" s="5" t="s">
        <v>31</v>
      </c>
      <c r="J1215" s="5">
        <v>17.005213197574999</v>
      </c>
      <c r="K1215" s="5">
        <v>-95.028684698486003</v>
      </c>
      <c r="L1215" s="5" t="str">
        <f>HYPERLINK("https://maps.google.com/?q=17.005213197575458,-95.02868469848633", "🔗 Ver Mapa")</f>
        <v>🔗 Ver Mapa</v>
      </c>
    </row>
    <row r="1216" spans="1:12" ht="29" x14ac:dyDescent="0.35">
      <c r="A1216" s="6" t="s">
        <v>288</v>
      </c>
      <c r="B1216" s="6" t="s">
        <v>289</v>
      </c>
      <c r="C1216" s="6" t="s">
        <v>290</v>
      </c>
      <c r="D1216" s="6" t="s">
        <v>13</v>
      </c>
      <c r="E1216" s="6" t="s">
        <v>158</v>
      </c>
      <c r="F1216" s="6" t="s">
        <v>159</v>
      </c>
      <c r="G1216" s="6" t="s">
        <v>222</v>
      </c>
      <c r="H1216" s="6" t="s">
        <v>291</v>
      </c>
      <c r="I1216" s="6" t="s">
        <v>31</v>
      </c>
      <c r="J1216" s="6">
        <v>17.005213197574999</v>
      </c>
      <c r="K1216" s="6">
        <v>-95.028684698486003</v>
      </c>
      <c r="L1216" s="6" t="str">
        <f>HYPERLINK("https://maps.google.com/?q=17.005213197575458,-95.02868469848633", "🔗 Ver Mapa")</f>
        <v>🔗 Ver Mapa</v>
      </c>
    </row>
    <row r="1217" spans="1:12" ht="29" x14ac:dyDescent="0.35">
      <c r="A1217" s="5" t="s">
        <v>288</v>
      </c>
      <c r="B1217" s="5" t="s">
        <v>289</v>
      </c>
      <c r="C1217" s="5" t="s">
        <v>290</v>
      </c>
      <c r="D1217" s="5" t="s">
        <v>13</v>
      </c>
      <c r="E1217" s="5" t="s">
        <v>158</v>
      </c>
      <c r="F1217" s="5" t="s">
        <v>159</v>
      </c>
      <c r="G1217" s="5" t="s">
        <v>222</v>
      </c>
      <c r="H1217" s="5" t="s">
        <v>291</v>
      </c>
      <c r="I1217" s="5" t="s">
        <v>31</v>
      </c>
      <c r="J1217" s="5">
        <v>17.005213197574999</v>
      </c>
      <c r="K1217" s="5">
        <v>-95.028684698486003</v>
      </c>
      <c r="L1217" s="5" t="str">
        <f>HYPERLINK("https://maps.google.com/?q=17.005213197575458,-95.02868469848633", "🔗 Ver Mapa")</f>
        <v>🔗 Ver Mapa</v>
      </c>
    </row>
    <row r="1218" spans="1:12" ht="29" x14ac:dyDescent="0.35">
      <c r="A1218" s="6" t="s">
        <v>288</v>
      </c>
      <c r="B1218" s="6" t="s">
        <v>289</v>
      </c>
      <c r="C1218" s="6" t="s">
        <v>292</v>
      </c>
      <c r="D1218" s="6" t="s">
        <v>13</v>
      </c>
      <c r="E1218" s="6" t="s">
        <v>110</v>
      </c>
      <c r="F1218" s="6" t="s">
        <v>111</v>
      </c>
      <c r="G1218" s="6" t="s">
        <v>293</v>
      </c>
      <c r="H1218" s="6" t="s">
        <v>294</v>
      </c>
      <c r="I1218" s="6" t="s">
        <v>31</v>
      </c>
      <c r="J1218" s="6">
        <v>18.159880000000001</v>
      </c>
      <c r="K1218" s="6">
        <v>-96.716806000000005</v>
      </c>
      <c r="L1218" s="6" t="str">
        <f>HYPERLINK("https://maps.google.com/?q=18.15988,-96.71680600", "🔗 Ver Mapa")</f>
        <v>🔗 Ver Mapa</v>
      </c>
    </row>
    <row r="1219" spans="1:12" ht="29" x14ac:dyDescent="0.35">
      <c r="A1219" s="5" t="s">
        <v>288</v>
      </c>
      <c r="B1219" s="5" t="s">
        <v>289</v>
      </c>
      <c r="C1219" s="5" t="s">
        <v>292</v>
      </c>
      <c r="D1219" s="5" t="s">
        <v>13</v>
      </c>
      <c r="E1219" s="5" t="s">
        <v>110</v>
      </c>
      <c r="F1219" s="5" t="s">
        <v>111</v>
      </c>
      <c r="G1219" s="5" t="s">
        <v>293</v>
      </c>
      <c r="H1219" s="5" t="s">
        <v>294</v>
      </c>
      <c r="I1219" s="5" t="s">
        <v>31</v>
      </c>
      <c r="J1219" s="5">
        <v>18.159880000000001</v>
      </c>
      <c r="K1219" s="5">
        <v>-96.716806000000005</v>
      </c>
      <c r="L1219" s="5" t="str">
        <f>HYPERLINK("https://maps.google.com/?q=18.15988,-96.71680600", "🔗 Ver Mapa")</f>
        <v>🔗 Ver Mapa</v>
      </c>
    </row>
    <row r="1220" spans="1:12" ht="29" x14ac:dyDescent="0.35">
      <c r="A1220" s="6" t="s">
        <v>288</v>
      </c>
      <c r="B1220" s="6" t="s">
        <v>289</v>
      </c>
      <c r="C1220" s="6" t="s">
        <v>292</v>
      </c>
      <c r="D1220" s="6" t="s">
        <v>13</v>
      </c>
      <c r="E1220" s="6" t="s">
        <v>110</v>
      </c>
      <c r="F1220" s="6" t="s">
        <v>111</v>
      </c>
      <c r="G1220" s="6" t="s">
        <v>293</v>
      </c>
      <c r="H1220" s="6" t="s">
        <v>294</v>
      </c>
      <c r="I1220" s="6" t="s">
        <v>31</v>
      </c>
      <c r="J1220" s="6">
        <v>18.159880000000001</v>
      </c>
      <c r="K1220" s="6">
        <v>-96.716806000000005</v>
      </c>
      <c r="L1220" s="6" t="str">
        <f>HYPERLINK("https://maps.google.com/?q=18.15988,-96.71680600", "🔗 Ver Mapa")</f>
        <v>🔗 Ver Mapa</v>
      </c>
    </row>
    <row r="1221" spans="1:12" ht="29" x14ac:dyDescent="0.35">
      <c r="A1221" s="5" t="s">
        <v>288</v>
      </c>
      <c r="B1221" s="5" t="s">
        <v>289</v>
      </c>
      <c r="C1221" s="5" t="s">
        <v>292</v>
      </c>
      <c r="D1221" s="5" t="s">
        <v>13</v>
      </c>
      <c r="E1221" s="5" t="s">
        <v>110</v>
      </c>
      <c r="F1221" s="5" t="s">
        <v>111</v>
      </c>
      <c r="G1221" s="5" t="s">
        <v>293</v>
      </c>
      <c r="H1221" s="5" t="s">
        <v>294</v>
      </c>
      <c r="I1221" s="5" t="s">
        <v>31</v>
      </c>
      <c r="J1221" s="5">
        <v>18.159880000000001</v>
      </c>
      <c r="K1221" s="5">
        <v>-96.716806000000005</v>
      </c>
      <c r="L1221" s="5" t="str">
        <f>HYPERLINK("https://maps.google.com/?q=18.15988,-96.71680600", "🔗 Ver Mapa")</f>
        <v>🔗 Ver Mapa</v>
      </c>
    </row>
    <row r="1222" spans="1:12" ht="29" x14ac:dyDescent="0.35">
      <c r="A1222" s="6" t="s">
        <v>288</v>
      </c>
      <c r="B1222" s="6" t="s">
        <v>289</v>
      </c>
      <c r="C1222" s="6" t="s">
        <v>295</v>
      </c>
      <c r="D1222" s="6" t="s">
        <v>13</v>
      </c>
      <c r="E1222" s="6" t="s">
        <v>110</v>
      </c>
      <c r="F1222" s="6" t="s">
        <v>111</v>
      </c>
      <c r="G1222" s="6" t="s">
        <v>293</v>
      </c>
      <c r="H1222" s="6" t="s">
        <v>296</v>
      </c>
      <c r="I1222" s="6" t="s">
        <v>31</v>
      </c>
      <c r="J1222" s="6">
        <v>18.111111999999999</v>
      </c>
      <c r="K1222" s="6">
        <v>-96.623361000000003</v>
      </c>
      <c r="L1222" s="6" t="str">
        <f>HYPERLINK("https://maps.google.com/?q=18.111112,-96.623361", "🔗 Ver Mapa")</f>
        <v>🔗 Ver Mapa</v>
      </c>
    </row>
    <row r="1223" spans="1:12" ht="29" x14ac:dyDescent="0.35">
      <c r="A1223" s="5" t="s">
        <v>288</v>
      </c>
      <c r="B1223" s="5" t="s">
        <v>289</v>
      </c>
      <c r="C1223" s="5" t="s">
        <v>295</v>
      </c>
      <c r="D1223" s="5" t="s">
        <v>13</v>
      </c>
      <c r="E1223" s="5" t="s">
        <v>110</v>
      </c>
      <c r="F1223" s="5" t="s">
        <v>111</v>
      </c>
      <c r="G1223" s="5" t="s">
        <v>293</v>
      </c>
      <c r="H1223" s="5" t="s">
        <v>296</v>
      </c>
      <c r="I1223" s="5" t="s">
        <v>31</v>
      </c>
      <c r="J1223" s="5">
        <v>18.111111999999999</v>
      </c>
      <c r="K1223" s="5">
        <v>-96.623361000000003</v>
      </c>
      <c r="L1223" s="5" t="str">
        <f>HYPERLINK("https://maps.google.com/?q=18.111112,-96.623361", "🔗 Ver Mapa")</f>
        <v>🔗 Ver Mapa</v>
      </c>
    </row>
    <row r="1224" spans="1:12" ht="29" x14ac:dyDescent="0.35">
      <c r="A1224" s="6" t="s">
        <v>288</v>
      </c>
      <c r="B1224" s="6" t="s">
        <v>289</v>
      </c>
      <c r="C1224" s="6" t="s">
        <v>295</v>
      </c>
      <c r="D1224" s="6" t="s">
        <v>13</v>
      </c>
      <c r="E1224" s="6" t="s">
        <v>110</v>
      </c>
      <c r="F1224" s="6" t="s">
        <v>111</v>
      </c>
      <c r="G1224" s="6" t="s">
        <v>293</v>
      </c>
      <c r="H1224" s="6" t="s">
        <v>296</v>
      </c>
      <c r="I1224" s="6" t="s">
        <v>31</v>
      </c>
      <c r="J1224" s="6">
        <v>18.111111999999999</v>
      </c>
      <c r="K1224" s="6">
        <v>-96.623361000000003</v>
      </c>
      <c r="L1224" s="6" t="str">
        <f>HYPERLINK("https://maps.google.com/?q=18.111112,-96.623361", "🔗 Ver Mapa")</f>
        <v>🔗 Ver Mapa</v>
      </c>
    </row>
    <row r="1225" spans="1:12" ht="29" x14ac:dyDescent="0.35">
      <c r="A1225" s="5" t="s">
        <v>288</v>
      </c>
      <c r="B1225" s="5" t="s">
        <v>289</v>
      </c>
      <c r="C1225" s="5" t="s">
        <v>295</v>
      </c>
      <c r="D1225" s="5" t="s">
        <v>13</v>
      </c>
      <c r="E1225" s="5" t="s">
        <v>110</v>
      </c>
      <c r="F1225" s="5" t="s">
        <v>111</v>
      </c>
      <c r="G1225" s="5" t="s">
        <v>293</v>
      </c>
      <c r="H1225" s="5" t="s">
        <v>296</v>
      </c>
      <c r="I1225" s="5" t="s">
        <v>31</v>
      </c>
      <c r="J1225" s="5">
        <v>18.111111999999999</v>
      </c>
      <c r="K1225" s="5">
        <v>-96.623361000000003</v>
      </c>
      <c r="L1225" s="5" t="str">
        <f>HYPERLINK("https://maps.google.com/?q=18.111112,-96.623361", "🔗 Ver Mapa")</f>
        <v>🔗 Ver Mapa</v>
      </c>
    </row>
    <row r="1226" spans="1:12" ht="43.5" x14ac:dyDescent="0.35">
      <c r="A1226" s="6" t="s">
        <v>297</v>
      </c>
      <c r="B1226" s="6" t="s">
        <v>298</v>
      </c>
      <c r="C1226" s="6" t="s">
        <v>299</v>
      </c>
      <c r="D1226" s="6" t="s">
        <v>13</v>
      </c>
      <c r="E1226" s="6" t="s">
        <v>52</v>
      </c>
      <c r="F1226" s="6" t="s">
        <v>70</v>
      </c>
      <c r="G1226" s="6" t="s">
        <v>71</v>
      </c>
      <c r="H1226" s="6" t="s">
        <v>72</v>
      </c>
      <c r="I1226" s="6" t="s">
        <v>31</v>
      </c>
      <c r="J1226" s="6">
        <v>17.047000000000001</v>
      </c>
      <c r="K1226" s="6">
        <v>-96.713660000000004</v>
      </c>
      <c r="L1226" s="6" t="str">
        <f>HYPERLINK("https://maps.google.com/?q=17.047,-96.71366000", "🔗 Ver Mapa")</f>
        <v>🔗 Ver Mapa</v>
      </c>
    </row>
    <row r="1227" spans="1:12" ht="43.5" x14ac:dyDescent="0.35">
      <c r="A1227" s="5" t="s">
        <v>297</v>
      </c>
      <c r="B1227" s="5" t="s">
        <v>298</v>
      </c>
      <c r="C1227" s="5" t="s">
        <v>299</v>
      </c>
      <c r="D1227" s="5" t="s">
        <v>13</v>
      </c>
      <c r="E1227" s="5" t="s">
        <v>52</v>
      </c>
      <c r="F1227" s="5" t="s">
        <v>70</v>
      </c>
      <c r="G1227" s="5" t="s">
        <v>71</v>
      </c>
      <c r="H1227" s="5" t="s">
        <v>72</v>
      </c>
      <c r="I1227" s="5" t="s">
        <v>31</v>
      </c>
      <c r="J1227" s="5">
        <v>17.047000000000001</v>
      </c>
      <c r="K1227" s="5">
        <v>-96.713660000000004</v>
      </c>
      <c r="L1227" s="5" t="str">
        <f>HYPERLINK("https://maps.google.com/?q=17.047,-96.71366000", "🔗 Ver Mapa")</f>
        <v>🔗 Ver Mapa</v>
      </c>
    </row>
    <row r="1228" spans="1:12" ht="43.5" x14ac:dyDescent="0.35">
      <c r="A1228" s="6" t="s">
        <v>297</v>
      </c>
      <c r="B1228" s="6" t="s">
        <v>298</v>
      </c>
      <c r="C1228" s="6" t="s">
        <v>299</v>
      </c>
      <c r="D1228" s="6" t="s">
        <v>13</v>
      </c>
      <c r="E1228" s="6" t="s">
        <v>52</v>
      </c>
      <c r="F1228" s="6" t="s">
        <v>70</v>
      </c>
      <c r="G1228" s="6" t="s">
        <v>71</v>
      </c>
      <c r="H1228" s="6" t="s">
        <v>72</v>
      </c>
      <c r="I1228" s="6" t="s">
        <v>31</v>
      </c>
      <c r="J1228" s="6">
        <v>17.047000000000001</v>
      </c>
      <c r="K1228" s="6">
        <v>-96.713660000000004</v>
      </c>
      <c r="L1228" s="6" t="str">
        <f>HYPERLINK("https://maps.google.com/?q=17.047,-96.71366000", "🔗 Ver Mapa")</f>
        <v>🔗 Ver Mapa</v>
      </c>
    </row>
    <row r="1229" spans="1:12" ht="43.5" x14ac:dyDescent="0.35">
      <c r="A1229" s="5" t="s">
        <v>297</v>
      </c>
      <c r="B1229" s="5" t="s">
        <v>298</v>
      </c>
      <c r="C1229" s="5" t="s">
        <v>299</v>
      </c>
      <c r="D1229" s="5" t="s">
        <v>13</v>
      </c>
      <c r="E1229" s="5" t="s">
        <v>52</v>
      </c>
      <c r="F1229" s="5" t="s">
        <v>70</v>
      </c>
      <c r="G1229" s="5" t="s">
        <v>71</v>
      </c>
      <c r="H1229" s="5" t="s">
        <v>72</v>
      </c>
      <c r="I1229" s="5" t="s">
        <v>31</v>
      </c>
      <c r="J1229" s="5">
        <v>17.047000000000001</v>
      </c>
      <c r="K1229" s="5">
        <v>-96.713660000000004</v>
      </c>
      <c r="L1229" s="5" t="str">
        <f>HYPERLINK("https://maps.google.com/?q=17.047,-96.71366000", "🔗 Ver Mapa")</f>
        <v>🔗 Ver Mapa</v>
      </c>
    </row>
    <row r="1230" spans="1:12" ht="43.5" x14ac:dyDescent="0.35">
      <c r="A1230" s="6" t="s">
        <v>297</v>
      </c>
      <c r="B1230" s="6" t="s">
        <v>298</v>
      </c>
      <c r="C1230" s="6" t="s">
        <v>300</v>
      </c>
      <c r="D1230" s="6" t="s">
        <v>13</v>
      </c>
      <c r="E1230" s="6" t="s">
        <v>52</v>
      </c>
      <c r="F1230" s="6" t="s">
        <v>70</v>
      </c>
      <c r="G1230" s="6" t="s">
        <v>71</v>
      </c>
      <c r="H1230" s="6" t="s">
        <v>72</v>
      </c>
      <c r="I1230" s="6" t="s">
        <v>31</v>
      </c>
      <c r="J1230" s="6">
        <v>17.05386</v>
      </c>
      <c r="K1230" s="6">
        <v>-96.735389999999995</v>
      </c>
      <c r="L1230" s="6" t="str">
        <f>HYPERLINK("https://maps.google.com/?q=17.05386,-96.73539000", "🔗 Ver Mapa")</f>
        <v>🔗 Ver Mapa</v>
      </c>
    </row>
    <row r="1231" spans="1:12" ht="43.5" x14ac:dyDescent="0.35">
      <c r="A1231" s="5" t="s">
        <v>297</v>
      </c>
      <c r="B1231" s="5" t="s">
        <v>298</v>
      </c>
      <c r="C1231" s="5" t="s">
        <v>300</v>
      </c>
      <c r="D1231" s="5" t="s">
        <v>13</v>
      </c>
      <c r="E1231" s="5" t="s">
        <v>52</v>
      </c>
      <c r="F1231" s="5" t="s">
        <v>70</v>
      </c>
      <c r="G1231" s="5" t="s">
        <v>71</v>
      </c>
      <c r="H1231" s="5" t="s">
        <v>72</v>
      </c>
      <c r="I1231" s="5" t="s">
        <v>31</v>
      </c>
      <c r="J1231" s="5">
        <v>17.05386</v>
      </c>
      <c r="K1231" s="5">
        <v>-96.735389999999995</v>
      </c>
      <c r="L1231" s="5" t="str">
        <f>HYPERLINK("https://maps.google.com/?q=17.05386,-96.73539000", "🔗 Ver Mapa")</f>
        <v>🔗 Ver Mapa</v>
      </c>
    </row>
    <row r="1232" spans="1:12" ht="43.5" x14ac:dyDescent="0.35">
      <c r="A1232" s="6" t="s">
        <v>297</v>
      </c>
      <c r="B1232" s="6" t="s">
        <v>298</v>
      </c>
      <c r="C1232" s="6" t="s">
        <v>300</v>
      </c>
      <c r="D1232" s="6" t="s">
        <v>13</v>
      </c>
      <c r="E1232" s="6" t="s">
        <v>52</v>
      </c>
      <c r="F1232" s="6" t="s">
        <v>70</v>
      </c>
      <c r="G1232" s="6" t="s">
        <v>71</v>
      </c>
      <c r="H1232" s="6" t="s">
        <v>72</v>
      </c>
      <c r="I1232" s="6" t="s">
        <v>31</v>
      </c>
      <c r="J1232" s="6">
        <v>17.05386</v>
      </c>
      <c r="K1232" s="6">
        <v>-96.735389999999995</v>
      </c>
      <c r="L1232" s="6" t="str">
        <f>HYPERLINK("https://maps.google.com/?q=17.05386,-96.73539000", "🔗 Ver Mapa")</f>
        <v>🔗 Ver Mapa</v>
      </c>
    </row>
    <row r="1233" spans="1:12" ht="43.5" x14ac:dyDescent="0.35">
      <c r="A1233" s="5" t="s">
        <v>297</v>
      </c>
      <c r="B1233" s="5" t="s">
        <v>298</v>
      </c>
      <c r="C1233" s="5" t="s">
        <v>300</v>
      </c>
      <c r="D1233" s="5" t="s">
        <v>13</v>
      </c>
      <c r="E1233" s="5" t="s">
        <v>52</v>
      </c>
      <c r="F1233" s="5" t="s">
        <v>70</v>
      </c>
      <c r="G1233" s="5" t="s">
        <v>71</v>
      </c>
      <c r="H1233" s="5" t="s">
        <v>72</v>
      </c>
      <c r="I1233" s="5" t="s">
        <v>31</v>
      </c>
      <c r="J1233" s="5">
        <v>17.05386</v>
      </c>
      <c r="K1233" s="5">
        <v>-96.735389999999995</v>
      </c>
      <c r="L1233" s="5" t="str">
        <f>HYPERLINK("https://maps.google.com/?q=17.05386,-96.73539000", "🔗 Ver Mapa")</f>
        <v>🔗 Ver Mapa</v>
      </c>
    </row>
    <row r="1234" spans="1:12" ht="58" x14ac:dyDescent="0.35">
      <c r="A1234" s="6" t="s">
        <v>297</v>
      </c>
      <c r="B1234" s="6" t="s">
        <v>298</v>
      </c>
      <c r="C1234" s="6" t="s">
        <v>301</v>
      </c>
      <c r="D1234" s="6" t="s">
        <v>13</v>
      </c>
      <c r="E1234" s="6" t="s">
        <v>52</v>
      </c>
      <c r="F1234" s="6" t="s">
        <v>70</v>
      </c>
      <c r="G1234" s="6" t="s">
        <v>71</v>
      </c>
      <c r="H1234" s="6" t="s">
        <v>72</v>
      </c>
      <c r="I1234" s="6" t="s">
        <v>32</v>
      </c>
      <c r="J1234" s="6">
        <v>17.055754</v>
      </c>
      <c r="K1234" s="6">
        <v>-96.745626290000004</v>
      </c>
      <c r="L1234" s="6" t="str">
        <f>HYPERLINK("https://maps.google.com/?q=17.055754,-96.745626290000004", "🔗 Ver Mapa")</f>
        <v>🔗 Ver Mapa</v>
      </c>
    </row>
    <row r="1235" spans="1:12" ht="58" x14ac:dyDescent="0.35">
      <c r="A1235" s="5" t="s">
        <v>297</v>
      </c>
      <c r="B1235" s="5" t="s">
        <v>298</v>
      </c>
      <c r="C1235" s="5" t="s">
        <v>301</v>
      </c>
      <c r="D1235" s="5" t="s">
        <v>13</v>
      </c>
      <c r="E1235" s="5" t="s">
        <v>52</v>
      </c>
      <c r="F1235" s="5" t="s">
        <v>70</v>
      </c>
      <c r="G1235" s="5" t="s">
        <v>71</v>
      </c>
      <c r="H1235" s="5" t="s">
        <v>72</v>
      </c>
      <c r="I1235" s="5" t="s">
        <v>32</v>
      </c>
      <c r="J1235" s="5">
        <v>17.055754</v>
      </c>
      <c r="K1235" s="5">
        <v>-96.745626290000004</v>
      </c>
      <c r="L1235" s="5" t="str">
        <f>HYPERLINK("https://maps.google.com/?q=17.055754,-96.745626290000004", "🔗 Ver Mapa")</f>
        <v>🔗 Ver Mapa</v>
      </c>
    </row>
    <row r="1236" spans="1:12" ht="58" x14ac:dyDescent="0.35">
      <c r="A1236" s="6" t="s">
        <v>297</v>
      </c>
      <c r="B1236" s="6" t="s">
        <v>298</v>
      </c>
      <c r="C1236" s="6" t="s">
        <v>301</v>
      </c>
      <c r="D1236" s="6" t="s">
        <v>13</v>
      </c>
      <c r="E1236" s="6" t="s">
        <v>52</v>
      </c>
      <c r="F1236" s="6" t="s">
        <v>70</v>
      </c>
      <c r="G1236" s="6" t="s">
        <v>71</v>
      </c>
      <c r="H1236" s="6" t="s">
        <v>72</v>
      </c>
      <c r="I1236" s="6" t="s">
        <v>32</v>
      </c>
      <c r="J1236" s="6">
        <v>17.055754</v>
      </c>
      <c r="K1236" s="6">
        <v>-96.745626290000004</v>
      </c>
      <c r="L1236" s="6" t="str">
        <f>HYPERLINK("https://maps.google.com/?q=17.055754,-96.745626290000004", "🔗 Ver Mapa")</f>
        <v>🔗 Ver Mapa</v>
      </c>
    </row>
    <row r="1237" spans="1:12" ht="58" x14ac:dyDescent="0.35">
      <c r="A1237" s="5" t="s">
        <v>297</v>
      </c>
      <c r="B1237" s="5" t="s">
        <v>298</v>
      </c>
      <c r="C1237" s="5" t="s">
        <v>301</v>
      </c>
      <c r="D1237" s="5" t="s">
        <v>13</v>
      </c>
      <c r="E1237" s="5" t="s">
        <v>52</v>
      </c>
      <c r="F1237" s="5" t="s">
        <v>70</v>
      </c>
      <c r="G1237" s="5" t="s">
        <v>71</v>
      </c>
      <c r="H1237" s="5" t="s">
        <v>72</v>
      </c>
      <c r="I1237" s="5" t="s">
        <v>32</v>
      </c>
      <c r="J1237" s="5">
        <v>17.055754</v>
      </c>
      <c r="K1237" s="5">
        <v>-96.745626290000004</v>
      </c>
      <c r="L1237" s="5" t="str">
        <f>HYPERLINK("https://maps.google.com/?q=17.055754,-96.745626290000004", "🔗 Ver Mapa")</f>
        <v>🔗 Ver Mapa</v>
      </c>
    </row>
    <row r="1238" spans="1:12" ht="58" x14ac:dyDescent="0.35">
      <c r="A1238" s="6" t="s">
        <v>297</v>
      </c>
      <c r="B1238" s="6" t="s">
        <v>298</v>
      </c>
      <c r="C1238" s="6" t="s">
        <v>301</v>
      </c>
      <c r="D1238" s="6" t="s">
        <v>13</v>
      </c>
      <c r="E1238" s="6" t="s">
        <v>52</v>
      </c>
      <c r="F1238" s="6" t="s">
        <v>70</v>
      </c>
      <c r="G1238" s="6" t="s">
        <v>71</v>
      </c>
      <c r="H1238" s="6" t="s">
        <v>72</v>
      </c>
      <c r="I1238" s="6" t="s">
        <v>32</v>
      </c>
      <c r="J1238" s="6">
        <v>17.055812718999999</v>
      </c>
      <c r="K1238" s="6">
        <v>-96.7456976</v>
      </c>
      <c r="L1238" s="6" t="str">
        <f>HYPERLINK("https://maps.google.com/?q=17.055812719,-96.7456976", "🔗 Ver Mapa")</f>
        <v>🔗 Ver Mapa</v>
      </c>
    </row>
    <row r="1239" spans="1:12" ht="58" x14ac:dyDescent="0.35">
      <c r="A1239" s="5" t="s">
        <v>297</v>
      </c>
      <c r="B1239" s="5" t="s">
        <v>298</v>
      </c>
      <c r="C1239" s="5" t="s">
        <v>301</v>
      </c>
      <c r="D1239" s="5" t="s">
        <v>13</v>
      </c>
      <c r="E1239" s="5" t="s">
        <v>52</v>
      </c>
      <c r="F1239" s="5" t="s">
        <v>70</v>
      </c>
      <c r="G1239" s="5" t="s">
        <v>71</v>
      </c>
      <c r="H1239" s="5" t="s">
        <v>72</v>
      </c>
      <c r="I1239" s="5" t="s">
        <v>32</v>
      </c>
      <c r="J1239" s="5">
        <v>17.055812718999999</v>
      </c>
      <c r="K1239" s="5">
        <v>-96.7456976</v>
      </c>
      <c r="L1239" s="5" t="str">
        <f>HYPERLINK("https://maps.google.com/?q=17.055812719,-96.7456976", "🔗 Ver Mapa")</f>
        <v>🔗 Ver Mapa</v>
      </c>
    </row>
    <row r="1240" spans="1:12" ht="58" x14ac:dyDescent="0.35">
      <c r="A1240" s="6" t="s">
        <v>297</v>
      </c>
      <c r="B1240" s="6" t="s">
        <v>298</v>
      </c>
      <c r="C1240" s="6" t="s">
        <v>301</v>
      </c>
      <c r="D1240" s="6" t="s">
        <v>13</v>
      </c>
      <c r="E1240" s="6" t="s">
        <v>52</v>
      </c>
      <c r="F1240" s="6" t="s">
        <v>70</v>
      </c>
      <c r="G1240" s="6" t="s">
        <v>71</v>
      </c>
      <c r="H1240" s="6" t="s">
        <v>72</v>
      </c>
      <c r="I1240" s="6" t="s">
        <v>32</v>
      </c>
      <c r="J1240" s="6">
        <v>17.055812718999999</v>
      </c>
      <c r="K1240" s="6">
        <v>-96.7456976</v>
      </c>
      <c r="L1240" s="6" t="str">
        <f>HYPERLINK("https://maps.google.com/?q=17.055812719,-96.7456976", "🔗 Ver Mapa")</f>
        <v>🔗 Ver Mapa</v>
      </c>
    </row>
    <row r="1241" spans="1:12" ht="58" x14ac:dyDescent="0.35">
      <c r="A1241" s="5" t="s">
        <v>297</v>
      </c>
      <c r="B1241" s="5" t="s">
        <v>298</v>
      </c>
      <c r="C1241" s="5" t="s">
        <v>301</v>
      </c>
      <c r="D1241" s="5" t="s">
        <v>13</v>
      </c>
      <c r="E1241" s="5" t="s">
        <v>52</v>
      </c>
      <c r="F1241" s="5" t="s">
        <v>70</v>
      </c>
      <c r="G1241" s="5" t="s">
        <v>71</v>
      </c>
      <c r="H1241" s="5" t="s">
        <v>72</v>
      </c>
      <c r="I1241" s="5" t="s">
        <v>32</v>
      </c>
      <c r="J1241" s="5">
        <v>17.055812718999999</v>
      </c>
      <c r="K1241" s="5">
        <v>-96.7456976</v>
      </c>
      <c r="L1241" s="5" t="str">
        <f>HYPERLINK("https://maps.google.com/?q=17.055812719,-96.7456976", "🔗 Ver Mapa")</f>
        <v>🔗 Ver Mapa</v>
      </c>
    </row>
    <row r="1242" spans="1:12" ht="58" x14ac:dyDescent="0.35">
      <c r="A1242" s="6" t="s">
        <v>297</v>
      </c>
      <c r="B1242" s="6" t="s">
        <v>298</v>
      </c>
      <c r="C1242" s="6" t="s">
        <v>301</v>
      </c>
      <c r="D1242" s="6" t="s">
        <v>13</v>
      </c>
      <c r="E1242" s="6" t="s">
        <v>52</v>
      </c>
      <c r="F1242" s="6" t="s">
        <v>70</v>
      </c>
      <c r="G1242" s="6" t="s">
        <v>71</v>
      </c>
      <c r="H1242" s="6" t="s">
        <v>72</v>
      </c>
      <c r="I1242" s="6" t="s">
        <v>32</v>
      </c>
      <c r="J1242" s="6">
        <v>17.05601879</v>
      </c>
      <c r="K1242" s="6">
        <v>-96.745880600000007</v>
      </c>
      <c r="L1242" s="6" t="str">
        <f>HYPERLINK("https://maps.google.com/?q=17.05601879,-96.745880600000007", "🔗 Ver Mapa")</f>
        <v>🔗 Ver Mapa</v>
      </c>
    </row>
    <row r="1243" spans="1:12" ht="58" x14ac:dyDescent="0.35">
      <c r="A1243" s="5" t="s">
        <v>297</v>
      </c>
      <c r="B1243" s="5" t="s">
        <v>298</v>
      </c>
      <c r="C1243" s="5" t="s">
        <v>301</v>
      </c>
      <c r="D1243" s="5" t="s">
        <v>13</v>
      </c>
      <c r="E1243" s="5" t="s">
        <v>52</v>
      </c>
      <c r="F1243" s="5" t="s">
        <v>70</v>
      </c>
      <c r="G1243" s="5" t="s">
        <v>71</v>
      </c>
      <c r="H1243" s="5" t="s">
        <v>72</v>
      </c>
      <c r="I1243" s="5" t="s">
        <v>32</v>
      </c>
      <c r="J1243" s="5">
        <v>17.05601879</v>
      </c>
      <c r="K1243" s="5">
        <v>-96.745880600000007</v>
      </c>
      <c r="L1243" s="5" t="str">
        <f>HYPERLINK("https://maps.google.com/?q=17.05601879,-96.745880600000007", "🔗 Ver Mapa")</f>
        <v>🔗 Ver Mapa</v>
      </c>
    </row>
    <row r="1244" spans="1:12" ht="58" x14ac:dyDescent="0.35">
      <c r="A1244" s="6" t="s">
        <v>297</v>
      </c>
      <c r="B1244" s="6" t="s">
        <v>298</v>
      </c>
      <c r="C1244" s="6" t="s">
        <v>301</v>
      </c>
      <c r="D1244" s="6" t="s">
        <v>13</v>
      </c>
      <c r="E1244" s="6" t="s">
        <v>52</v>
      </c>
      <c r="F1244" s="6" t="s">
        <v>70</v>
      </c>
      <c r="G1244" s="6" t="s">
        <v>71</v>
      </c>
      <c r="H1244" s="6" t="s">
        <v>72</v>
      </c>
      <c r="I1244" s="6" t="s">
        <v>32</v>
      </c>
      <c r="J1244" s="6">
        <v>17.05601879</v>
      </c>
      <c r="K1244" s="6">
        <v>-96.745880600000007</v>
      </c>
      <c r="L1244" s="6" t="str">
        <f>HYPERLINK("https://maps.google.com/?q=17.05601879,-96.745880600000007", "🔗 Ver Mapa")</f>
        <v>🔗 Ver Mapa</v>
      </c>
    </row>
    <row r="1245" spans="1:12" ht="58" x14ac:dyDescent="0.35">
      <c r="A1245" s="5" t="s">
        <v>297</v>
      </c>
      <c r="B1245" s="5" t="s">
        <v>298</v>
      </c>
      <c r="C1245" s="5" t="s">
        <v>301</v>
      </c>
      <c r="D1245" s="5" t="s">
        <v>13</v>
      </c>
      <c r="E1245" s="5" t="s">
        <v>52</v>
      </c>
      <c r="F1245" s="5" t="s">
        <v>70</v>
      </c>
      <c r="G1245" s="5" t="s">
        <v>71</v>
      </c>
      <c r="H1245" s="5" t="s">
        <v>72</v>
      </c>
      <c r="I1245" s="5" t="s">
        <v>32</v>
      </c>
      <c r="J1245" s="5">
        <v>17.05601879</v>
      </c>
      <c r="K1245" s="5">
        <v>-96.745880600000007</v>
      </c>
      <c r="L1245" s="5" t="str">
        <f>HYPERLINK("https://maps.google.com/?q=17.05601879,-96.745880600000007", "🔗 Ver Mapa")</f>
        <v>🔗 Ver Mapa</v>
      </c>
    </row>
    <row r="1246" spans="1:12" ht="58" x14ac:dyDescent="0.35">
      <c r="A1246" s="6" t="s">
        <v>297</v>
      </c>
      <c r="B1246" s="6" t="s">
        <v>298</v>
      </c>
      <c r="C1246" s="6" t="s">
        <v>301</v>
      </c>
      <c r="D1246" s="6" t="s">
        <v>13</v>
      </c>
      <c r="E1246" s="6" t="s">
        <v>52</v>
      </c>
      <c r="F1246" s="6" t="s">
        <v>70</v>
      </c>
      <c r="G1246" s="6" t="s">
        <v>71</v>
      </c>
      <c r="H1246" s="6" t="s">
        <v>72</v>
      </c>
      <c r="I1246" s="6" t="s">
        <v>32</v>
      </c>
      <c r="J1246" s="6">
        <v>17.056115699999999</v>
      </c>
      <c r="K1246" s="6">
        <v>-96.745782180000006</v>
      </c>
      <c r="L1246" s="6" t="str">
        <f>HYPERLINK("https://maps.google.com/?q=17.0561157,-96.745782180000006", "🔗 Ver Mapa")</f>
        <v>🔗 Ver Mapa</v>
      </c>
    </row>
    <row r="1247" spans="1:12" ht="58" x14ac:dyDescent="0.35">
      <c r="A1247" s="5" t="s">
        <v>297</v>
      </c>
      <c r="B1247" s="5" t="s">
        <v>298</v>
      </c>
      <c r="C1247" s="5" t="s">
        <v>301</v>
      </c>
      <c r="D1247" s="5" t="s">
        <v>13</v>
      </c>
      <c r="E1247" s="5" t="s">
        <v>52</v>
      </c>
      <c r="F1247" s="5" t="s">
        <v>70</v>
      </c>
      <c r="G1247" s="5" t="s">
        <v>71</v>
      </c>
      <c r="H1247" s="5" t="s">
        <v>72</v>
      </c>
      <c r="I1247" s="5" t="s">
        <v>32</v>
      </c>
      <c r="J1247" s="5">
        <v>17.056115699999999</v>
      </c>
      <c r="K1247" s="5">
        <v>-96.745782180000006</v>
      </c>
      <c r="L1247" s="5" t="str">
        <f>HYPERLINK("https://maps.google.com/?q=17.0561157,-96.745782180000006", "🔗 Ver Mapa")</f>
        <v>🔗 Ver Mapa</v>
      </c>
    </row>
    <row r="1248" spans="1:12" ht="58" x14ac:dyDescent="0.35">
      <c r="A1248" s="6" t="s">
        <v>297</v>
      </c>
      <c r="B1248" s="6" t="s">
        <v>298</v>
      </c>
      <c r="C1248" s="6" t="s">
        <v>301</v>
      </c>
      <c r="D1248" s="6" t="s">
        <v>13</v>
      </c>
      <c r="E1248" s="6" t="s">
        <v>52</v>
      </c>
      <c r="F1248" s="6" t="s">
        <v>70</v>
      </c>
      <c r="G1248" s="6" t="s">
        <v>71</v>
      </c>
      <c r="H1248" s="6" t="s">
        <v>72</v>
      </c>
      <c r="I1248" s="6" t="s">
        <v>32</v>
      </c>
      <c r="J1248" s="6">
        <v>17.056115699999999</v>
      </c>
      <c r="K1248" s="6">
        <v>-96.745782180000006</v>
      </c>
      <c r="L1248" s="6" t="str">
        <f>HYPERLINK("https://maps.google.com/?q=17.0561157,-96.745782180000006", "🔗 Ver Mapa")</f>
        <v>🔗 Ver Mapa</v>
      </c>
    </row>
    <row r="1249" spans="1:12" ht="58" x14ac:dyDescent="0.35">
      <c r="A1249" s="5" t="s">
        <v>297</v>
      </c>
      <c r="B1249" s="5" t="s">
        <v>298</v>
      </c>
      <c r="C1249" s="5" t="s">
        <v>301</v>
      </c>
      <c r="D1249" s="5" t="s">
        <v>13</v>
      </c>
      <c r="E1249" s="5" t="s">
        <v>52</v>
      </c>
      <c r="F1249" s="5" t="s">
        <v>70</v>
      </c>
      <c r="G1249" s="5" t="s">
        <v>71</v>
      </c>
      <c r="H1249" s="5" t="s">
        <v>72</v>
      </c>
      <c r="I1249" s="5" t="s">
        <v>32</v>
      </c>
      <c r="J1249" s="5">
        <v>17.056115699999999</v>
      </c>
      <c r="K1249" s="5">
        <v>-96.745782180000006</v>
      </c>
      <c r="L1249" s="5" t="str">
        <f>HYPERLINK("https://maps.google.com/?q=17.0561157,-96.745782180000006", "🔗 Ver Mapa")</f>
        <v>🔗 Ver Mapa</v>
      </c>
    </row>
    <row r="1250" spans="1:12" ht="58" x14ac:dyDescent="0.35">
      <c r="A1250" s="6" t="s">
        <v>297</v>
      </c>
      <c r="B1250" s="6" t="s">
        <v>298</v>
      </c>
      <c r="C1250" s="6" t="s">
        <v>301</v>
      </c>
      <c r="D1250" s="6" t="s">
        <v>13</v>
      </c>
      <c r="E1250" s="6" t="s">
        <v>52</v>
      </c>
      <c r="F1250" s="6" t="s">
        <v>70</v>
      </c>
      <c r="G1250" s="6" t="s">
        <v>71</v>
      </c>
      <c r="H1250" s="6" t="s">
        <v>72</v>
      </c>
      <c r="I1250" s="6" t="s">
        <v>32</v>
      </c>
      <c r="J1250" s="6">
        <v>17.056291000000002</v>
      </c>
      <c r="K1250" s="6">
        <v>-96.746252999999996</v>
      </c>
      <c r="L1250" s="6" t="str">
        <f>HYPERLINK("https://maps.google.com/?q=17.056291,-96.746252999999996", "🔗 Ver Mapa")</f>
        <v>🔗 Ver Mapa</v>
      </c>
    </row>
    <row r="1251" spans="1:12" ht="58" x14ac:dyDescent="0.35">
      <c r="A1251" s="5" t="s">
        <v>297</v>
      </c>
      <c r="B1251" s="5" t="s">
        <v>298</v>
      </c>
      <c r="C1251" s="5" t="s">
        <v>301</v>
      </c>
      <c r="D1251" s="5" t="s">
        <v>13</v>
      </c>
      <c r="E1251" s="5" t="s">
        <v>52</v>
      </c>
      <c r="F1251" s="5" t="s">
        <v>70</v>
      </c>
      <c r="G1251" s="5" t="s">
        <v>71</v>
      </c>
      <c r="H1251" s="5" t="s">
        <v>72</v>
      </c>
      <c r="I1251" s="5" t="s">
        <v>32</v>
      </c>
      <c r="J1251" s="5">
        <v>17.056291000000002</v>
      </c>
      <c r="K1251" s="5">
        <v>-96.746252999999996</v>
      </c>
      <c r="L1251" s="5" t="str">
        <f>HYPERLINK("https://maps.google.com/?q=17.056291,-96.746252999999996", "🔗 Ver Mapa")</f>
        <v>🔗 Ver Mapa</v>
      </c>
    </row>
    <row r="1252" spans="1:12" ht="58" x14ac:dyDescent="0.35">
      <c r="A1252" s="6" t="s">
        <v>297</v>
      </c>
      <c r="B1252" s="6" t="s">
        <v>298</v>
      </c>
      <c r="C1252" s="6" t="s">
        <v>301</v>
      </c>
      <c r="D1252" s="6" t="s">
        <v>13</v>
      </c>
      <c r="E1252" s="6" t="s">
        <v>52</v>
      </c>
      <c r="F1252" s="6" t="s">
        <v>70</v>
      </c>
      <c r="G1252" s="6" t="s">
        <v>71</v>
      </c>
      <c r="H1252" s="6" t="s">
        <v>72</v>
      </c>
      <c r="I1252" s="6" t="s">
        <v>32</v>
      </c>
      <c r="J1252" s="6">
        <v>17.056291000000002</v>
      </c>
      <c r="K1252" s="6">
        <v>-96.746252999999996</v>
      </c>
      <c r="L1252" s="6" t="str">
        <f>HYPERLINK("https://maps.google.com/?q=17.056291,-96.746252999999996", "🔗 Ver Mapa")</f>
        <v>🔗 Ver Mapa</v>
      </c>
    </row>
    <row r="1253" spans="1:12" ht="58" x14ac:dyDescent="0.35">
      <c r="A1253" s="5" t="s">
        <v>297</v>
      </c>
      <c r="B1253" s="5" t="s">
        <v>298</v>
      </c>
      <c r="C1253" s="5" t="s">
        <v>301</v>
      </c>
      <c r="D1253" s="5" t="s">
        <v>13</v>
      </c>
      <c r="E1253" s="5" t="s">
        <v>52</v>
      </c>
      <c r="F1253" s="5" t="s">
        <v>70</v>
      </c>
      <c r="G1253" s="5" t="s">
        <v>71</v>
      </c>
      <c r="H1253" s="5" t="s">
        <v>72</v>
      </c>
      <c r="I1253" s="5" t="s">
        <v>32</v>
      </c>
      <c r="J1253" s="5">
        <v>17.056291000000002</v>
      </c>
      <c r="K1253" s="5">
        <v>-96.746252999999996</v>
      </c>
      <c r="L1253" s="5" t="str">
        <f>HYPERLINK("https://maps.google.com/?q=17.056291,-96.746252999999996", "🔗 Ver Mapa")</f>
        <v>🔗 Ver Mapa</v>
      </c>
    </row>
    <row r="1254" spans="1:12" ht="58" x14ac:dyDescent="0.35">
      <c r="A1254" s="6" t="s">
        <v>297</v>
      </c>
      <c r="B1254" s="6" t="s">
        <v>298</v>
      </c>
      <c r="C1254" s="6" t="s">
        <v>301</v>
      </c>
      <c r="D1254" s="6" t="s">
        <v>13</v>
      </c>
      <c r="E1254" s="6" t="s">
        <v>52</v>
      </c>
      <c r="F1254" s="6" t="s">
        <v>70</v>
      </c>
      <c r="G1254" s="6" t="s">
        <v>71</v>
      </c>
      <c r="H1254" s="6" t="s">
        <v>72</v>
      </c>
      <c r="I1254" s="6" t="s">
        <v>32</v>
      </c>
      <c r="J1254" s="6">
        <v>17.056332917999999</v>
      </c>
      <c r="K1254" s="6">
        <v>-96.7461488</v>
      </c>
      <c r="L1254" s="6" t="str">
        <f>HYPERLINK("https://maps.google.com/?q=17.056332918,-96.7461488", "🔗 Ver Mapa")</f>
        <v>🔗 Ver Mapa</v>
      </c>
    </row>
    <row r="1255" spans="1:12" ht="58" x14ac:dyDescent="0.35">
      <c r="A1255" s="5" t="s">
        <v>297</v>
      </c>
      <c r="B1255" s="5" t="s">
        <v>298</v>
      </c>
      <c r="C1255" s="5" t="s">
        <v>301</v>
      </c>
      <c r="D1255" s="5" t="s">
        <v>13</v>
      </c>
      <c r="E1255" s="5" t="s">
        <v>52</v>
      </c>
      <c r="F1255" s="5" t="s">
        <v>70</v>
      </c>
      <c r="G1255" s="5" t="s">
        <v>71</v>
      </c>
      <c r="H1255" s="5" t="s">
        <v>72</v>
      </c>
      <c r="I1255" s="5" t="s">
        <v>32</v>
      </c>
      <c r="J1255" s="5">
        <v>17.056332917999999</v>
      </c>
      <c r="K1255" s="5">
        <v>-96.7461488</v>
      </c>
      <c r="L1255" s="5" t="str">
        <f>HYPERLINK("https://maps.google.com/?q=17.056332918,-96.7461488", "🔗 Ver Mapa")</f>
        <v>🔗 Ver Mapa</v>
      </c>
    </row>
    <row r="1256" spans="1:12" ht="58" x14ac:dyDescent="0.35">
      <c r="A1256" s="6" t="s">
        <v>297</v>
      </c>
      <c r="B1256" s="6" t="s">
        <v>298</v>
      </c>
      <c r="C1256" s="6" t="s">
        <v>301</v>
      </c>
      <c r="D1256" s="6" t="s">
        <v>13</v>
      </c>
      <c r="E1256" s="6" t="s">
        <v>52</v>
      </c>
      <c r="F1256" s="6" t="s">
        <v>70</v>
      </c>
      <c r="G1256" s="6" t="s">
        <v>71</v>
      </c>
      <c r="H1256" s="6" t="s">
        <v>72</v>
      </c>
      <c r="I1256" s="6" t="s">
        <v>32</v>
      </c>
      <c r="J1256" s="6">
        <v>17.056332917999999</v>
      </c>
      <c r="K1256" s="6">
        <v>-96.7461488</v>
      </c>
      <c r="L1256" s="6" t="str">
        <f>HYPERLINK("https://maps.google.com/?q=17.056332918,-96.7461488", "🔗 Ver Mapa")</f>
        <v>🔗 Ver Mapa</v>
      </c>
    </row>
    <row r="1257" spans="1:12" ht="58" x14ac:dyDescent="0.35">
      <c r="A1257" s="5" t="s">
        <v>297</v>
      </c>
      <c r="B1257" s="5" t="s">
        <v>298</v>
      </c>
      <c r="C1257" s="5" t="s">
        <v>301</v>
      </c>
      <c r="D1257" s="5" t="s">
        <v>13</v>
      </c>
      <c r="E1257" s="5" t="s">
        <v>52</v>
      </c>
      <c r="F1257" s="5" t="s">
        <v>70</v>
      </c>
      <c r="G1257" s="5" t="s">
        <v>71</v>
      </c>
      <c r="H1257" s="5" t="s">
        <v>72</v>
      </c>
      <c r="I1257" s="5" t="s">
        <v>32</v>
      </c>
      <c r="J1257" s="5">
        <v>17.056332917999999</v>
      </c>
      <c r="K1257" s="5">
        <v>-96.7461488</v>
      </c>
      <c r="L1257" s="5" t="str">
        <f>HYPERLINK("https://maps.google.com/?q=17.056332918,-96.7461488", "🔗 Ver Mapa")</f>
        <v>🔗 Ver Mapa</v>
      </c>
    </row>
    <row r="1258" spans="1:12" ht="58" x14ac:dyDescent="0.35">
      <c r="A1258" s="6" t="s">
        <v>297</v>
      </c>
      <c r="B1258" s="6" t="s">
        <v>298</v>
      </c>
      <c r="C1258" s="6" t="s">
        <v>301</v>
      </c>
      <c r="D1258" s="6" t="s">
        <v>13</v>
      </c>
      <c r="E1258" s="6" t="s">
        <v>52</v>
      </c>
      <c r="F1258" s="6" t="s">
        <v>70</v>
      </c>
      <c r="G1258" s="6" t="s">
        <v>71</v>
      </c>
      <c r="H1258" s="6" t="s">
        <v>72</v>
      </c>
      <c r="I1258" s="6" t="s">
        <v>32</v>
      </c>
      <c r="J1258" s="6">
        <v>17.058568000000001</v>
      </c>
      <c r="K1258" s="6">
        <v>-96.743064000000004</v>
      </c>
      <c r="L1258" s="6" t="str">
        <f>HYPERLINK("https://maps.google.com/?q=17.058568,-96.743064000000004", "🔗 Ver Mapa")</f>
        <v>🔗 Ver Mapa</v>
      </c>
    </row>
    <row r="1259" spans="1:12" ht="58" x14ac:dyDescent="0.35">
      <c r="A1259" s="5" t="s">
        <v>297</v>
      </c>
      <c r="B1259" s="5" t="s">
        <v>298</v>
      </c>
      <c r="C1259" s="5" t="s">
        <v>301</v>
      </c>
      <c r="D1259" s="5" t="s">
        <v>13</v>
      </c>
      <c r="E1259" s="5" t="s">
        <v>52</v>
      </c>
      <c r="F1259" s="5" t="s">
        <v>70</v>
      </c>
      <c r="G1259" s="5" t="s">
        <v>71</v>
      </c>
      <c r="H1259" s="5" t="s">
        <v>72</v>
      </c>
      <c r="I1259" s="5" t="s">
        <v>32</v>
      </c>
      <c r="J1259" s="5">
        <v>17.058568000000001</v>
      </c>
      <c r="K1259" s="5">
        <v>-96.743064000000004</v>
      </c>
      <c r="L1259" s="5" t="str">
        <f>HYPERLINK("https://maps.google.com/?q=17.058568,-96.743064000000004", "🔗 Ver Mapa")</f>
        <v>🔗 Ver Mapa</v>
      </c>
    </row>
    <row r="1260" spans="1:12" ht="58" x14ac:dyDescent="0.35">
      <c r="A1260" s="6" t="s">
        <v>297</v>
      </c>
      <c r="B1260" s="6" t="s">
        <v>298</v>
      </c>
      <c r="C1260" s="6" t="s">
        <v>301</v>
      </c>
      <c r="D1260" s="6" t="s">
        <v>13</v>
      </c>
      <c r="E1260" s="6" t="s">
        <v>52</v>
      </c>
      <c r="F1260" s="6" t="s">
        <v>70</v>
      </c>
      <c r="G1260" s="6" t="s">
        <v>71</v>
      </c>
      <c r="H1260" s="6" t="s">
        <v>72</v>
      </c>
      <c r="I1260" s="6" t="s">
        <v>32</v>
      </c>
      <c r="J1260" s="6">
        <v>17.058568000000001</v>
      </c>
      <c r="K1260" s="6">
        <v>-96.743064000000004</v>
      </c>
      <c r="L1260" s="6" t="str">
        <f>HYPERLINK("https://maps.google.com/?q=17.058568,-96.743064000000004", "🔗 Ver Mapa")</f>
        <v>🔗 Ver Mapa</v>
      </c>
    </row>
    <row r="1261" spans="1:12" ht="58" x14ac:dyDescent="0.35">
      <c r="A1261" s="5" t="s">
        <v>297</v>
      </c>
      <c r="B1261" s="5" t="s">
        <v>298</v>
      </c>
      <c r="C1261" s="5" t="s">
        <v>301</v>
      </c>
      <c r="D1261" s="5" t="s">
        <v>13</v>
      </c>
      <c r="E1261" s="5" t="s">
        <v>52</v>
      </c>
      <c r="F1261" s="5" t="s">
        <v>70</v>
      </c>
      <c r="G1261" s="5" t="s">
        <v>71</v>
      </c>
      <c r="H1261" s="5" t="s">
        <v>72</v>
      </c>
      <c r="I1261" s="5" t="s">
        <v>32</v>
      </c>
      <c r="J1261" s="5">
        <v>17.058568000000001</v>
      </c>
      <c r="K1261" s="5">
        <v>-96.743064000000004</v>
      </c>
      <c r="L1261" s="5" t="str">
        <f>HYPERLINK("https://maps.google.com/?q=17.058568,-96.743064000000004", "🔗 Ver Mapa")</f>
        <v>🔗 Ver Mapa</v>
      </c>
    </row>
    <row r="1262" spans="1:12" ht="58" x14ac:dyDescent="0.35">
      <c r="A1262" s="6" t="s">
        <v>297</v>
      </c>
      <c r="B1262" s="6" t="s">
        <v>298</v>
      </c>
      <c r="C1262" s="6" t="s">
        <v>301</v>
      </c>
      <c r="D1262" s="6" t="s">
        <v>13</v>
      </c>
      <c r="E1262" s="6" t="s">
        <v>52</v>
      </c>
      <c r="F1262" s="6" t="s">
        <v>70</v>
      </c>
      <c r="G1262" s="6" t="s">
        <v>71</v>
      </c>
      <c r="H1262" s="6" t="s">
        <v>72</v>
      </c>
      <c r="I1262" s="6" t="s">
        <v>32</v>
      </c>
      <c r="J1262" s="6">
        <v>17.058588</v>
      </c>
      <c r="K1262" s="6">
        <v>-96.743084999999994</v>
      </c>
      <c r="L1262" s="6" t="str">
        <f>HYPERLINK("https://maps.google.com/?q=17.058588,-96.743084999999994", "🔗 Ver Mapa")</f>
        <v>🔗 Ver Mapa</v>
      </c>
    </row>
    <row r="1263" spans="1:12" ht="58" x14ac:dyDescent="0.35">
      <c r="A1263" s="5" t="s">
        <v>297</v>
      </c>
      <c r="B1263" s="5" t="s">
        <v>298</v>
      </c>
      <c r="C1263" s="5" t="s">
        <v>301</v>
      </c>
      <c r="D1263" s="5" t="s">
        <v>13</v>
      </c>
      <c r="E1263" s="5" t="s">
        <v>52</v>
      </c>
      <c r="F1263" s="5" t="s">
        <v>70</v>
      </c>
      <c r="G1263" s="5" t="s">
        <v>71</v>
      </c>
      <c r="H1263" s="5" t="s">
        <v>72</v>
      </c>
      <c r="I1263" s="5" t="s">
        <v>32</v>
      </c>
      <c r="J1263" s="5">
        <v>17.058588</v>
      </c>
      <c r="K1263" s="5">
        <v>-96.743084999999994</v>
      </c>
      <c r="L1263" s="5" t="str">
        <f>HYPERLINK("https://maps.google.com/?q=17.058588,-96.743084999999994", "🔗 Ver Mapa")</f>
        <v>🔗 Ver Mapa</v>
      </c>
    </row>
    <row r="1264" spans="1:12" ht="58" x14ac:dyDescent="0.35">
      <c r="A1264" s="6" t="s">
        <v>297</v>
      </c>
      <c r="B1264" s="6" t="s">
        <v>298</v>
      </c>
      <c r="C1264" s="6" t="s">
        <v>301</v>
      </c>
      <c r="D1264" s="6" t="s">
        <v>13</v>
      </c>
      <c r="E1264" s="6" t="s">
        <v>52</v>
      </c>
      <c r="F1264" s="6" t="s">
        <v>70</v>
      </c>
      <c r="G1264" s="6" t="s">
        <v>71</v>
      </c>
      <c r="H1264" s="6" t="s">
        <v>72</v>
      </c>
      <c r="I1264" s="6" t="s">
        <v>32</v>
      </c>
      <c r="J1264" s="6">
        <v>17.058588</v>
      </c>
      <c r="K1264" s="6">
        <v>-96.743084999999994</v>
      </c>
      <c r="L1264" s="6" t="str">
        <f>HYPERLINK("https://maps.google.com/?q=17.058588,-96.743084999999994", "🔗 Ver Mapa")</f>
        <v>🔗 Ver Mapa</v>
      </c>
    </row>
    <row r="1265" spans="1:12" ht="58" x14ac:dyDescent="0.35">
      <c r="A1265" s="5" t="s">
        <v>297</v>
      </c>
      <c r="B1265" s="5" t="s">
        <v>298</v>
      </c>
      <c r="C1265" s="5" t="s">
        <v>301</v>
      </c>
      <c r="D1265" s="5" t="s">
        <v>13</v>
      </c>
      <c r="E1265" s="5" t="s">
        <v>52</v>
      </c>
      <c r="F1265" s="5" t="s">
        <v>70</v>
      </c>
      <c r="G1265" s="5" t="s">
        <v>71</v>
      </c>
      <c r="H1265" s="5" t="s">
        <v>72</v>
      </c>
      <c r="I1265" s="5" t="s">
        <v>32</v>
      </c>
      <c r="J1265" s="5">
        <v>17.058588</v>
      </c>
      <c r="K1265" s="5">
        <v>-96.743084999999994</v>
      </c>
      <c r="L1265" s="5" t="str">
        <f>HYPERLINK("https://maps.google.com/?q=17.058588,-96.743084999999994", "🔗 Ver Mapa")</f>
        <v>🔗 Ver Mapa</v>
      </c>
    </row>
    <row r="1266" spans="1:12" ht="58" x14ac:dyDescent="0.35">
      <c r="A1266" s="6" t="s">
        <v>297</v>
      </c>
      <c r="B1266" s="6" t="s">
        <v>298</v>
      </c>
      <c r="C1266" s="6" t="s">
        <v>301</v>
      </c>
      <c r="D1266" s="6" t="s">
        <v>13</v>
      </c>
      <c r="E1266" s="6" t="s">
        <v>52</v>
      </c>
      <c r="F1266" s="6" t="s">
        <v>70</v>
      </c>
      <c r="G1266" s="6" t="s">
        <v>71</v>
      </c>
      <c r="H1266" s="6" t="s">
        <v>72</v>
      </c>
      <c r="I1266" s="6" t="s">
        <v>32</v>
      </c>
      <c r="J1266" s="6">
        <v>17.058592999999998</v>
      </c>
      <c r="K1266" s="6">
        <v>-96.743018000000006</v>
      </c>
      <c r="L1266" s="6" t="str">
        <f>HYPERLINK("https://maps.google.com/?q=17.058593,-96.743018000000006", "🔗 Ver Mapa")</f>
        <v>🔗 Ver Mapa</v>
      </c>
    </row>
    <row r="1267" spans="1:12" ht="58" x14ac:dyDescent="0.35">
      <c r="A1267" s="5" t="s">
        <v>297</v>
      </c>
      <c r="B1267" s="5" t="s">
        <v>298</v>
      </c>
      <c r="C1267" s="5" t="s">
        <v>301</v>
      </c>
      <c r="D1267" s="5" t="s">
        <v>13</v>
      </c>
      <c r="E1267" s="5" t="s">
        <v>52</v>
      </c>
      <c r="F1267" s="5" t="s">
        <v>70</v>
      </c>
      <c r="G1267" s="5" t="s">
        <v>71</v>
      </c>
      <c r="H1267" s="5" t="s">
        <v>72</v>
      </c>
      <c r="I1267" s="5" t="s">
        <v>32</v>
      </c>
      <c r="J1267" s="5">
        <v>17.058592999999998</v>
      </c>
      <c r="K1267" s="5">
        <v>-96.743018000000006</v>
      </c>
      <c r="L1267" s="5" t="str">
        <f>HYPERLINK("https://maps.google.com/?q=17.058593,-96.743018000000006", "🔗 Ver Mapa")</f>
        <v>🔗 Ver Mapa</v>
      </c>
    </row>
    <row r="1268" spans="1:12" ht="58" x14ac:dyDescent="0.35">
      <c r="A1268" s="6" t="s">
        <v>297</v>
      </c>
      <c r="B1268" s="6" t="s">
        <v>298</v>
      </c>
      <c r="C1268" s="6" t="s">
        <v>301</v>
      </c>
      <c r="D1268" s="6" t="s">
        <v>13</v>
      </c>
      <c r="E1268" s="6" t="s">
        <v>52</v>
      </c>
      <c r="F1268" s="6" t="s">
        <v>70</v>
      </c>
      <c r="G1268" s="6" t="s">
        <v>71</v>
      </c>
      <c r="H1268" s="6" t="s">
        <v>72</v>
      </c>
      <c r="I1268" s="6" t="s">
        <v>32</v>
      </c>
      <c r="J1268" s="6">
        <v>17.058592999999998</v>
      </c>
      <c r="K1268" s="6">
        <v>-96.743018000000006</v>
      </c>
      <c r="L1268" s="6" t="str">
        <f>HYPERLINK("https://maps.google.com/?q=17.058593,-96.743018000000006", "🔗 Ver Mapa")</f>
        <v>🔗 Ver Mapa</v>
      </c>
    </row>
    <row r="1269" spans="1:12" ht="58" x14ac:dyDescent="0.35">
      <c r="A1269" s="5" t="s">
        <v>297</v>
      </c>
      <c r="B1269" s="5" t="s">
        <v>298</v>
      </c>
      <c r="C1269" s="5" t="s">
        <v>301</v>
      </c>
      <c r="D1269" s="5" t="s">
        <v>13</v>
      </c>
      <c r="E1269" s="5" t="s">
        <v>52</v>
      </c>
      <c r="F1269" s="5" t="s">
        <v>70</v>
      </c>
      <c r="G1269" s="5" t="s">
        <v>71</v>
      </c>
      <c r="H1269" s="5" t="s">
        <v>72</v>
      </c>
      <c r="I1269" s="5" t="s">
        <v>32</v>
      </c>
      <c r="J1269" s="5">
        <v>17.058592999999998</v>
      </c>
      <c r="K1269" s="5">
        <v>-96.743018000000006</v>
      </c>
      <c r="L1269" s="5" t="str">
        <f>HYPERLINK("https://maps.google.com/?q=17.058593,-96.743018000000006", "🔗 Ver Mapa")</f>
        <v>🔗 Ver Mapa</v>
      </c>
    </row>
    <row r="1270" spans="1:12" ht="58" x14ac:dyDescent="0.35">
      <c r="A1270" s="6" t="s">
        <v>297</v>
      </c>
      <c r="B1270" s="6" t="s">
        <v>298</v>
      </c>
      <c r="C1270" s="6" t="s">
        <v>301</v>
      </c>
      <c r="D1270" s="6" t="s">
        <v>13</v>
      </c>
      <c r="E1270" s="6" t="s">
        <v>52</v>
      </c>
      <c r="F1270" s="6" t="s">
        <v>70</v>
      </c>
      <c r="G1270" s="6" t="s">
        <v>71</v>
      </c>
      <c r="H1270" s="6" t="s">
        <v>72</v>
      </c>
      <c r="I1270" s="6" t="s">
        <v>32</v>
      </c>
      <c r="J1270" s="6">
        <v>17.058592999999998</v>
      </c>
      <c r="K1270" s="6">
        <v>-96.743078999999994</v>
      </c>
      <c r="L1270" s="6" t="str">
        <f>HYPERLINK("https://maps.google.com/?q=17.058593,-96.743078999999994", "🔗 Ver Mapa")</f>
        <v>🔗 Ver Mapa</v>
      </c>
    </row>
    <row r="1271" spans="1:12" ht="58" x14ac:dyDescent="0.35">
      <c r="A1271" s="5" t="s">
        <v>297</v>
      </c>
      <c r="B1271" s="5" t="s">
        <v>298</v>
      </c>
      <c r="C1271" s="5" t="s">
        <v>301</v>
      </c>
      <c r="D1271" s="5" t="s">
        <v>13</v>
      </c>
      <c r="E1271" s="5" t="s">
        <v>52</v>
      </c>
      <c r="F1271" s="5" t="s">
        <v>70</v>
      </c>
      <c r="G1271" s="5" t="s">
        <v>71</v>
      </c>
      <c r="H1271" s="5" t="s">
        <v>72</v>
      </c>
      <c r="I1271" s="5" t="s">
        <v>32</v>
      </c>
      <c r="J1271" s="5">
        <v>17.058592999999998</v>
      </c>
      <c r="K1271" s="5">
        <v>-96.743078999999994</v>
      </c>
      <c r="L1271" s="5" t="str">
        <f>HYPERLINK("https://maps.google.com/?q=17.058593,-96.743078999999994", "🔗 Ver Mapa")</f>
        <v>🔗 Ver Mapa</v>
      </c>
    </row>
    <row r="1272" spans="1:12" ht="58" x14ac:dyDescent="0.35">
      <c r="A1272" s="6" t="s">
        <v>297</v>
      </c>
      <c r="B1272" s="6" t="s">
        <v>298</v>
      </c>
      <c r="C1272" s="6" t="s">
        <v>301</v>
      </c>
      <c r="D1272" s="6" t="s">
        <v>13</v>
      </c>
      <c r="E1272" s="6" t="s">
        <v>52</v>
      </c>
      <c r="F1272" s="6" t="s">
        <v>70</v>
      </c>
      <c r="G1272" s="6" t="s">
        <v>71</v>
      </c>
      <c r="H1272" s="6" t="s">
        <v>72</v>
      </c>
      <c r="I1272" s="6" t="s">
        <v>32</v>
      </c>
      <c r="J1272" s="6">
        <v>17.058592999999998</v>
      </c>
      <c r="K1272" s="6">
        <v>-96.743078999999994</v>
      </c>
      <c r="L1272" s="6" t="str">
        <f>HYPERLINK("https://maps.google.com/?q=17.058593,-96.743078999999994", "🔗 Ver Mapa")</f>
        <v>🔗 Ver Mapa</v>
      </c>
    </row>
    <row r="1273" spans="1:12" ht="58" x14ac:dyDescent="0.35">
      <c r="A1273" s="5" t="s">
        <v>297</v>
      </c>
      <c r="B1273" s="5" t="s">
        <v>298</v>
      </c>
      <c r="C1273" s="5" t="s">
        <v>301</v>
      </c>
      <c r="D1273" s="5" t="s">
        <v>13</v>
      </c>
      <c r="E1273" s="5" t="s">
        <v>52</v>
      </c>
      <c r="F1273" s="5" t="s">
        <v>70</v>
      </c>
      <c r="G1273" s="5" t="s">
        <v>71</v>
      </c>
      <c r="H1273" s="5" t="s">
        <v>72</v>
      </c>
      <c r="I1273" s="5" t="s">
        <v>32</v>
      </c>
      <c r="J1273" s="5">
        <v>17.058592999999998</v>
      </c>
      <c r="K1273" s="5">
        <v>-96.743078999999994</v>
      </c>
      <c r="L1273" s="5" t="str">
        <f>HYPERLINK("https://maps.google.com/?q=17.058593,-96.743078999999994", "🔗 Ver Mapa")</f>
        <v>🔗 Ver Mapa</v>
      </c>
    </row>
    <row r="1274" spans="1:12" ht="58" x14ac:dyDescent="0.35">
      <c r="A1274" s="6" t="s">
        <v>297</v>
      </c>
      <c r="B1274" s="6" t="s">
        <v>298</v>
      </c>
      <c r="C1274" s="6" t="s">
        <v>301</v>
      </c>
      <c r="D1274" s="6" t="s">
        <v>13</v>
      </c>
      <c r="E1274" s="6" t="s">
        <v>52</v>
      </c>
      <c r="F1274" s="6" t="s">
        <v>70</v>
      </c>
      <c r="G1274" s="6" t="s">
        <v>71</v>
      </c>
      <c r="H1274" s="6" t="s">
        <v>72</v>
      </c>
      <c r="I1274" s="6" t="s">
        <v>32</v>
      </c>
      <c r="J1274" s="6">
        <v>17.058657</v>
      </c>
      <c r="K1274" s="6">
        <v>-96.743072999999995</v>
      </c>
      <c r="L1274" s="6" t="str">
        <f>HYPERLINK("https://maps.google.com/?q=17.058657,-96.743072999999995", "🔗 Ver Mapa")</f>
        <v>🔗 Ver Mapa</v>
      </c>
    </row>
    <row r="1275" spans="1:12" ht="58" x14ac:dyDescent="0.35">
      <c r="A1275" s="5" t="s">
        <v>297</v>
      </c>
      <c r="B1275" s="5" t="s">
        <v>298</v>
      </c>
      <c r="C1275" s="5" t="s">
        <v>301</v>
      </c>
      <c r="D1275" s="5" t="s">
        <v>13</v>
      </c>
      <c r="E1275" s="5" t="s">
        <v>52</v>
      </c>
      <c r="F1275" s="5" t="s">
        <v>70</v>
      </c>
      <c r="G1275" s="5" t="s">
        <v>71</v>
      </c>
      <c r="H1275" s="5" t="s">
        <v>72</v>
      </c>
      <c r="I1275" s="5" t="s">
        <v>32</v>
      </c>
      <c r="J1275" s="5">
        <v>17.058657</v>
      </c>
      <c r="K1275" s="5">
        <v>-96.743072999999995</v>
      </c>
      <c r="L1275" s="5" t="str">
        <f>HYPERLINK("https://maps.google.com/?q=17.058657,-96.743072999999995", "🔗 Ver Mapa")</f>
        <v>🔗 Ver Mapa</v>
      </c>
    </row>
    <row r="1276" spans="1:12" ht="58" x14ac:dyDescent="0.35">
      <c r="A1276" s="6" t="s">
        <v>297</v>
      </c>
      <c r="B1276" s="6" t="s">
        <v>298</v>
      </c>
      <c r="C1276" s="6" t="s">
        <v>301</v>
      </c>
      <c r="D1276" s="6" t="s">
        <v>13</v>
      </c>
      <c r="E1276" s="6" t="s">
        <v>52</v>
      </c>
      <c r="F1276" s="6" t="s">
        <v>70</v>
      </c>
      <c r="G1276" s="6" t="s">
        <v>71</v>
      </c>
      <c r="H1276" s="6" t="s">
        <v>72</v>
      </c>
      <c r="I1276" s="6" t="s">
        <v>32</v>
      </c>
      <c r="J1276" s="6">
        <v>17.058657</v>
      </c>
      <c r="K1276" s="6">
        <v>-96.743072999999995</v>
      </c>
      <c r="L1276" s="6" t="str">
        <f>HYPERLINK("https://maps.google.com/?q=17.058657,-96.743072999999995", "🔗 Ver Mapa")</f>
        <v>🔗 Ver Mapa</v>
      </c>
    </row>
    <row r="1277" spans="1:12" ht="58" x14ac:dyDescent="0.35">
      <c r="A1277" s="5" t="s">
        <v>297</v>
      </c>
      <c r="B1277" s="5" t="s">
        <v>298</v>
      </c>
      <c r="C1277" s="5" t="s">
        <v>301</v>
      </c>
      <c r="D1277" s="5" t="s">
        <v>13</v>
      </c>
      <c r="E1277" s="5" t="s">
        <v>52</v>
      </c>
      <c r="F1277" s="5" t="s">
        <v>70</v>
      </c>
      <c r="G1277" s="5" t="s">
        <v>71</v>
      </c>
      <c r="H1277" s="5" t="s">
        <v>72</v>
      </c>
      <c r="I1277" s="5" t="s">
        <v>32</v>
      </c>
      <c r="J1277" s="5">
        <v>17.058657</v>
      </c>
      <c r="K1277" s="5">
        <v>-96.743072999999995</v>
      </c>
      <c r="L1277" s="5" t="str">
        <f>HYPERLINK("https://maps.google.com/?q=17.058657,-96.743072999999995", "🔗 Ver Mapa")</f>
        <v>🔗 Ver Mapa</v>
      </c>
    </row>
    <row r="1278" spans="1:12" ht="58" x14ac:dyDescent="0.35">
      <c r="A1278" s="6" t="s">
        <v>297</v>
      </c>
      <c r="B1278" s="6" t="s">
        <v>298</v>
      </c>
      <c r="C1278" s="6" t="s">
        <v>301</v>
      </c>
      <c r="D1278" s="6" t="s">
        <v>13</v>
      </c>
      <c r="E1278" s="6" t="s">
        <v>52</v>
      </c>
      <c r="F1278" s="6" t="s">
        <v>70</v>
      </c>
      <c r="G1278" s="6" t="s">
        <v>71</v>
      </c>
      <c r="H1278" s="6" t="s">
        <v>72</v>
      </c>
      <c r="I1278" s="6" t="s">
        <v>32</v>
      </c>
      <c r="J1278" s="6">
        <v>17.058741999999999</v>
      </c>
      <c r="K1278" s="6">
        <v>-96.743148000000005</v>
      </c>
      <c r="L1278" s="6" t="str">
        <f>HYPERLINK("https://maps.google.com/?q=17.058742,-96.743148000000005", "🔗 Ver Mapa")</f>
        <v>🔗 Ver Mapa</v>
      </c>
    </row>
    <row r="1279" spans="1:12" ht="58" x14ac:dyDescent="0.35">
      <c r="A1279" s="5" t="s">
        <v>297</v>
      </c>
      <c r="B1279" s="5" t="s">
        <v>298</v>
      </c>
      <c r="C1279" s="5" t="s">
        <v>301</v>
      </c>
      <c r="D1279" s="5" t="s">
        <v>13</v>
      </c>
      <c r="E1279" s="5" t="s">
        <v>52</v>
      </c>
      <c r="F1279" s="5" t="s">
        <v>70</v>
      </c>
      <c r="G1279" s="5" t="s">
        <v>71</v>
      </c>
      <c r="H1279" s="5" t="s">
        <v>72</v>
      </c>
      <c r="I1279" s="5" t="s">
        <v>32</v>
      </c>
      <c r="J1279" s="5">
        <v>17.058741999999999</v>
      </c>
      <c r="K1279" s="5">
        <v>-96.743148000000005</v>
      </c>
      <c r="L1279" s="5" t="str">
        <f>HYPERLINK("https://maps.google.com/?q=17.058742,-96.743148000000005", "🔗 Ver Mapa")</f>
        <v>🔗 Ver Mapa</v>
      </c>
    </row>
    <row r="1280" spans="1:12" ht="58" x14ac:dyDescent="0.35">
      <c r="A1280" s="6" t="s">
        <v>297</v>
      </c>
      <c r="B1280" s="6" t="s">
        <v>298</v>
      </c>
      <c r="C1280" s="6" t="s">
        <v>301</v>
      </c>
      <c r="D1280" s="6" t="s">
        <v>13</v>
      </c>
      <c r="E1280" s="6" t="s">
        <v>52</v>
      </c>
      <c r="F1280" s="6" t="s">
        <v>70</v>
      </c>
      <c r="G1280" s="6" t="s">
        <v>71</v>
      </c>
      <c r="H1280" s="6" t="s">
        <v>72</v>
      </c>
      <c r="I1280" s="6" t="s">
        <v>32</v>
      </c>
      <c r="J1280" s="6">
        <v>17.058741999999999</v>
      </c>
      <c r="K1280" s="6">
        <v>-96.743148000000005</v>
      </c>
      <c r="L1280" s="6" t="str">
        <f>HYPERLINK("https://maps.google.com/?q=17.058742,-96.743148000000005", "🔗 Ver Mapa")</f>
        <v>🔗 Ver Mapa</v>
      </c>
    </row>
    <row r="1281" spans="1:12" ht="58" x14ac:dyDescent="0.35">
      <c r="A1281" s="5" t="s">
        <v>297</v>
      </c>
      <c r="B1281" s="5" t="s">
        <v>298</v>
      </c>
      <c r="C1281" s="5" t="s">
        <v>301</v>
      </c>
      <c r="D1281" s="5" t="s">
        <v>13</v>
      </c>
      <c r="E1281" s="5" t="s">
        <v>52</v>
      </c>
      <c r="F1281" s="5" t="s">
        <v>70</v>
      </c>
      <c r="G1281" s="5" t="s">
        <v>71</v>
      </c>
      <c r="H1281" s="5" t="s">
        <v>72</v>
      </c>
      <c r="I1281" s="5" t="s">
        <v>32</v>
      </c>
      <c r="J1281" s="5">
        <v>17.058741999999999</v>
      </c>
      <c r="K1281" s="5">
        <v>-96.743148000000005</v>
      </c>
      <c r="L1281" s="5" t="str">
        <f>HYPERLINK("https://maps.google.com/?q=17.058742,-96.743148000000005", "🔗 Ver Mapa")</f>
        <v>🔗 Ver Mapa</v>
      </c>
    </row>
    <row r="1282" spans="1:12" ht="58" x14ac:dyDescent="0.35">
      <c r="A1282" s="6" t="s">
        <v>297</v>
      </c>
      <c r="B1282" s="6" t="s">
        <v>298</v>
      </c>
      <c r="C1282" s="6" t="s">
        <v>302</v>
      </c>
      <c r="D1282" s="6" t="s">
        <v>13</v>
      </c>
      <c r="E1282" s="6" t="s">
        <v>52</v>
      </c>
      <c r="F1282" s="6" t="s">
        <v>70</v>
      </c>
      <c r="G1282" s="6" t="s">
        <v>71</v>
      </c>
      <c r="H1282" s="6" t="s">
        <v>72</v>
      </c>
      <c r="I1282" s="6" t="s">
        <v>32</v>
      </c>
      <c r="J1282" s="6">
        <v>17.080069000000002</v>
      </c>
      <c r="K1282" s="6">
        <v>-96.725791999999998</v>
      </c>
      <c r="L1282" s="6" t="str">
        <f>HYPERLINK("https://maps.google.com/?q=17.080069,-96.725792", "🔗 Ver Mapa")</f>
        <v>🔗 Ver Mapa</v>
      </c>
    </row>
    <row r="1283" spans="1:12" ht="58" x14ac:dyDescent="0.35">
      <c r="A1283" s="5" t="s">
        <v>297</v>
      </c>
      <c r="B1283" s="5" t="s">
        <v>298</v>
      </c>
      <c r="C1283" s="5" t="s">
        <v>302</v>
      </c>
      <c r="D1283" s="5" t="s">
        <v>13</v>
      </c>
      <c r="E1283" s="5" t="s">
        <v>52</v>
      </c>
      <c r="F1283" s="5" t="s">
        <v>70</v>
      </c>
      <c r="G1283" s="5" t="s">
        <v>71</v>
      </c>
      <c r="H1283" s="5" t="s">
        <v>72</v>
      </c>
      <c r="I1283" s="5" t="s">
        <v>32</v>
      </c>
      <c r="J1283" s="5">
        <v>17.080069000000002</v>
      </c>
      <c r="K1283" s="5">
        <v>-96.725791999999998</v>
      </c>
      <c r="L1283" s="5" t="str">
        <f>HYPERLINK("https://maps.google.com/?q=17.080069,-96.725792", "🔗 Ver Mapa")</f>
        <v>🔗 Ver Mapa</v>
      </c>
    </row>
    <row r="1284" spans="1:12" ht="58" x14ac:dyDescent="0.35">
      <c r="A1284" s="6" t="s">
        <v>297</v>
      </c>
      <c r="B1284" s="6" t="s">
        <v>298</v>
      </c>
      <c r="C1284" s="6" t="s">
        <v>302</v>
      </c>
      <c r="D1284" s="6" t="s">
        <v>13</v>
      </c>
      <c r="E1284" s="6" t="s">
        <v>52</v>
      </c>
      <c r="F1284" s="6" t="s">
        <v>70</v>
      </c>
      <c r="G1284" s="6" t="s">
        <v>71</v>
      </c>
      <c r="H1284" s="6" t="s">
        <v>72</v>
      </c>
      <c r="I1284" s="6" t="s">
        <v>32</v>
      </c>
      <c r="J1284" s="6">
        <v>17.080069000000002</v>
      </c>
      <c r="K1284" s="6">
        <v>-96.725791999999998</v>
      </c>
      <c r="L1284" s="6" t="str">
        <f>HYPERLINK("https://maps.google.com/?q=17.080069,-96.725792", "🔗 Ver Mapa")</f>
        <v>🔗 Ver Mapa</v>
      </c>
    </row>
    <row r="1285" spans="1:12" ht="58" x14ac:dyDescent="0.35">
      <c r="A1285" s="5" t="s">
        <v>297</v>
      </c>
      <c r="B1285" s="5" t="s">
        <v>298</v>
      </c>
      <c r="C1285" s="5" t="s">
        <v>302</v>
      </c>
      <c r="D1285" s="5" t="s">
        <v>13</v>
      </c>
      <c r="E1285" s="5" t="s">
        <v>52</v>
      </c>
      <c r="F1285" s="5" t="s">
        <v>70</v>
      </c>
      <c r="G1285" s="5" t="s">
        <v>71</v>
      </c>
      <c r="H1285" s="5" t="s">
        <v>72</v>
      </c>
      <c r="I1285" s="5" t="s">
        <v>32</v>
      </c>
      <c r="J1285" s="5">
        <v>17.080069000000002</v>
      </c>
      <c r="K1285" s="5">
        <v>-96.725791999999998</v>
      </c>
      <c r="L1285" s="5" t="str">
        <f>HYPERLINK("https://maps.google.com/?q=17.080069,-96.725792", "🔗 Ver Mapa")</f>
        <v>🔗 Ver Mapa</v>
      </c>
    </row>
    <row r="1286" spans="1:12" ht="58" x14ac:dyDescent="0.35">
      <c r="A1286" s="6" t="s">
        <v>297</v>
      </c>
      <c r="B1286" s="6" t="s">
        <v>298</v>
      </c>
      <c r="C1286" s="6" t="s">
        <v>302</v>
      </c>
      <c r="D1286" s="6" t="s">
        <v>13</v>
      </c>
      <c r="E1286" s="6" t="s">
        <v>52</v>
      </c>
      <c r="F1286" s="6" t="s">
        <v>70</v>
      </c>
      <c r="G1286" s="6" t="s">
        <v>71</v>
      </c>
      <c r="H1286" s="6" t="s">
        <v>72</v>
      </c>
      <c r="I1286" s="6" t="s">
        <v>32</v>
      </c>
      <c r="J1286" s="6">
        <v>17.080124000000001</v>
      </c>
      <c r="K1286" s="6">
        <v>-96.725837999999996</v>
      </c>
      <c r="L1286" s="6" t="str">
        <f>HYPERLINK("https://maps.google.com/?q=17.080124,-96.725838", "🔗 Ver Mapa")</f>
        <v>🔗 Ver Mapa</v>
      </c>
    </row>
    <row r="1287" spans="1:12" ht="58" x14ac:dyDescent="0.35">
      <c r="A1287" s="5" t="s">
        <v>297</v>
      </c>
      <c r="B1287" s="5" t="s">
        <v>298</v>
      </c>
      <c r="C1287" s="5" t="s">
        <v>302</v>
      </c>
      <c r="D1287" s="5" t="s">
        <v>13</v>
      </c>
      <c r="E1287" s="5" t="s">
        <v>52</v>
      </c>
      <c r="F1287" s="5" t="s">
        <v>70</v>
      </c>
      <c r="G1287" s="5" t="s">
        <v>71</v>
      </c>
      <c r="H1287" s="5" t="s">
        <v>72</v>
      </c>
      <c r="I1287" s="5" t="s">
        <v>32</v>
      </c>
      <c r="J1287" s="5">
        <v>17.080124000000001</v>
      </c>
      <c r="K1287" s="5">
        <v>-96.725837999999996</v>
      </c>
      <c r="L1287" s="5" t="str">
        <f>HYPERLINK("https://maps.google.com/?q=17.080124,-96.725838", "🔗 Ver Mapa")</f>
        <v>🔗 Ver Mapa</v>
      </c>
    </row>
    <row r="1288" spans="1:12" ht="58" x14ac:dyDescent="0.35">
      <c r="A1288" s="6" t="s">
        <v>297</v>
      </c>
      <c r="B1288" s="6" t="s">
        <v>298</v>
      </c>
      <c r="C1288" s="6" t="s">
        <v>302</v>
      </c>
      <c r="D1288" s="6" t="s">
        <v>13</v>
      </c>
      <c r="E1288" s="6" t="s">
        <v>52</v>
      </c>
      <c r="F1288" s="6" t="s">
        <v>70</v>
      </c>
      <c r="G1288" s="6" t="s">
        <v>71</v>
      </c>
      <c r="H1288" s="6" t="s">
        <v>72</v>
      </c>
      <c r="I1288" s="6" t="s">
        <v>32</v>
      </c>
      <c r="J1288" s="6">
        <v>17.080124000000001</v>
      </c>
      <c r="K1288" s="6">
        <v>-96.725837999999996</v>
      </c>
      <c r="L1288" s="6" t="str">
        <f>HYPERLINK("https://maps.google.com/?q=17.080124,-96.725838", "🔗 Ver Mapa")</f>
        <v>🔗 Ver Mapa</v>
      </c>
    </row>
    <row r="1289" spans="1:12" ht="58" x14ac:dyDescent="0.35">
      <c r="A1289" s="5" t="s">
        <v>297</v>
      </c>
      <c r="B1289" s="5" t="s">
        <v>298</v>
      </c>
      <c r="C1289" s="5" t="s">
        <v>302</v>
      </c>
      <c r="D1289" s="5" t="s">
        <v>13</v>
      </c>
      <c r="E1289" s="5" t="s">
        <v>52</v>
      </c>
      <c r="F1289" s="5" t="s">
        <v>70</v>
      </c>
      <c r="G1289" s="5" t="s">
        <v>71</v>
      </c>
      <c r="H1289" s="5" t="s">
        <v>72</v>
      </c>
      <c r="I1289" s="5" t="s">
        <v>32</v>
      </c>
      <c r="J1289" s="5">
        <v>17.080124000000001</v>
      </c>
      <c r="K1289" s="5">
        <v>-96.725837999999996</v>
      </c>
      <c r="L1289" s="5" t="str">
        <f>HYPERLINK("https://maps.google.com/?q=17.080124,-96.725838", "🔗 Ver Mapa")</f>
        <v>🔗 Ver Mapa</v>
      </c>
    </row>
    <row r="1290" spans="1:12" ht="58" x14ac:dyDescent="0.35">
      <c r="A1290" s="6" t="s">
        <v>297</v>
      </c>
      <c r="B1290" s="6" t="s">
        <v>298</v>
      </c>
      <c r="C1290" s="6" t="s">
        <v>302</v>
      </c>
      <c r="D1290" s="6" t="s">
        <v>13</v>
      </c>
      <c r="E1290" s="6" t="s">
        <v>52</v>
      </c>
      <c r="F1290" s="6" t="s">
        <v>70</v>
      </c>
      <c r="G1290" s="6" t="s">
        <v>71</v>
      </c>
      <c r="H1290" s="6" t="s">
        <v>72</v>
      </c>
      <c r="I1290" s="6" t="s">
        <v>32</v>
      </c>
      <c r="J1290" s="6">
        <v>17.080154</v>
      </c>
      <c r="K1290" s="6">
        <v>-96.726937000000007</v>
      </c>
      <c r="L1290" s="6" t="str">
        <f>HYPERLINK("https://maps.google.com/?q=17.080154,-96.726937", "🔗 Ver Mapa")</f>
        <v>🔗 Ver Mapa</v>
      </c>
    </row>
    <row r="1291" spans="1:12" ht="58" x14ac:dyDescent="0.35">
      <c r="A1291" s="5" t="s">
        <v>297</v>
      </c>
      <c r="B1291" s="5" t="s">
        <v>298</v>
      </c>
      <c r="C1291" s="5" t="s">
        <v>302</v>
      </c>
      <c r="D1291" s="5" t="s">
        <v>13</v>
      </c>
      <c r="E1291" s="5" t="s">
        <v>52</v>
      </c>
      <c r="F1291" s="5" t="s">
        <v>70</v>
      </c>
      <c r="G1291" s="5" t="s">
        <v>71</v>
      </c>
      <c r="H1291" s="5" t="s">
        <v>72</v>
      </c>
      <c r="I1291" s="5" t="s">
        <v>32</v>
      </c>
      <c r="J1291" s="5">
        <v>17.080154</v>
      </c>
      <c r="K1291" s="5">
        <v>-96.726937000000007</v>
      </c>
      <c r="L1291" s="5" t="str">
        <f>HYPERLINK("https://maps.google.com/?q=17.080154,-96.726937", "🔗 Ver Mapa")</f>
        <v>🔗 Ver Mapa</v>
      </c>
    </row>
    <row r="1292" spans="1:12" ht="58" x14ac:dyDescent="0.35">
      <c r="A1292" s="6" t="s">
        <v>297</v>
      </c>
      <c r="B1292" s="6" t="s">
        <v>298</v>
      </c>
      <c r="C1292" s="6" t="s">
        <v>302</v>
      </c>
      <c r="D1292" s="6" t="s">
        <v>13</v>
      </c>
      <c r="E1292" s="6" t="s">
        <v>52</v>
      </c>
      <c r="F1292" s="6" t="s">
        <v>70</v>
      </c>
      <c r="G1292" s="6" t="s">
        <v>71</v>
      </c>
      <c r="H1292" s="6" t="s">
        <v>72</v>
      </c>
      <c r="I1292" s="6" t="s">
        <v>32</v>
      </c>
      <c r="J1292" s="6">
        <v>17.080154</v>
      </c>
      <c r="K1292" s="6">
        <v>-96.726937000000007</v>
      </c>
      <c r="L1292" s="6" t="str">
        <f>HYPERLINK("https://maps.google.com/?q=17.080154,-96.726937", "🔗 Ver Mapa")</f>
        <v>🔗 Ver Mapa</v>
      </c>
    </row>
    <row r="1293" spans="1:12" ht="58" x14ac:dyDescent="0.35">
      <c r="A1293" s="5" t="s">
        <v>297</v>
      </c>
      <c r="B1293" s="5" t="s">
        <v>298</v>
      </c>
      <c r="C1293" s="5" t="s">
        <v>302</v>
      </c>
      <c r="D1293" s="5" t="s">
        <v>13</v>
      </c>
      <c r="E1293" s="5" t="s">
        <v>52</v>
      </c>
      <c r="F1293" s="5" t="s">
        <v>70</v>
      </c>
      <c r="G1293" s="5" t="s">
        <v>71</v>
      </c>
      <c r="H1293" s="5" t="s">
        <v>72</v>
      </c>
      <c r="I1293" s="5" t="s">
        <v>32</v>
      </c>
      <c r="J1293" s="5">
        <v>17.080154</v>
      </c>
      <c r="K1293" s="5">
        <v>-96.726937000000007</v>
      </c>
      <c r="L1293" s="5" t="str">
        <f>HYPERLINK("https://maps.google.com/?q=17.080154,-96.726937", "🔗 Ver Mapa")</f>
        <v>🔗 Ver Mapa</v>
      </c>
    </row>
    <row r="1294" spans="1:12" ht="58" x14ac:dyDescent="0.35">
      <c r="A1294" s="6" t="s">
        <v>297</v>
      </c>
      <c r="B1294" s="6" t="s">
        <v>298</v>
      </c>
      <c r="C1294" s="6" t="s">
        <v>302</v>
      </c>
      <c r="D1294" s="6" t="s">
        <v>13</v>
      </c>
      <c r="E1294" s="6" t="s">
        <v>52</v>
      </c>
      <c r="F1294" s="6" t="s">
        <v>70</v>
      </c>
      <c r="G1294" s="6" t="s">
        <v>71</v>
      </c>
      <c r="H1294" s="6" t="s">
        <v>72</v>
      </c>
      <c r="I1294" s="6" t="s">
        <v>32</v>
      </c>
      <c r="J1294" s="6">
        <v>17.080164</v>
      </c>
      <c r="K1294" s="6">
        <v>-96.726157000000001</v>
      </c>
      <c r="L1294" s="6" t="str">
        <f>HYPERLINK("https://maps.google.com/?q=17.080164,-96.726157", "🔗 Ver Mapa")</f>
        <v>🔗 Ver Mapa</v>
      </c>
    </row>
    <row r="1295" spans="1:12" ht="58" x14ac:dyDescent="0.35">
      <c r="A1295" s="5" t="s">
        <v>297</v>
      </c>
      <c r="B1295" s="5" t="s">
        <v>298</v>
      </c>
      <c r="C1295" s="5" t="s">
        <v>302</v>
      </c>
      <c r="D1295" s="5" t="s">
        <v>13</v>
      </c>
      <c r="E1295" s="5" t="s">
        <v>52</v>
      </c>
      <c r="F1295" s="5" t="s">
        <v>70</v>
      </c>
      <c r="G1295" s="5" t="s">
        <v>71</v>
      </c>
      <c r="H1295" s="5" t="s">
        <v>72</v>
      </c>
      <c r="I1295" s="5" t="s">
        <v>32</v>
      </c>
      <c r="J1295" s="5">
        <v>17.080164</v>
      </c>
      <c r="K1295" s="5">
        <v>-96.726157000000001</v>
      </c>
      <c r="L1295" s="5" t="str">
        <f>HYPERLINK("https://maps.google.com/?q=17.080164,-96.726157", "🔗 Ver Mapa")</f>
        <v>🔗 Ver Mapa</v>
      </c>
    </row>
    <row r="1296" spans="1:12" ht="58" x14ac:dyDescent="0.35">
      <c r="A1296" s="6" t="s">
        <v>297</v>
      </c>
      <c r="B1296" s="6" t="s">
        <v>298</v>
      </c>
      <c r="C1296" s="6" t="s">
        <v>302</v>
      </c>
      <c r="D1296" s="6" t="s">
        <v>13</v>
      </c>
      <c r="E1296" s="6" t="s">
        <v>52</v>
      </c>
      <c r="F1296" s="6" t="s">
        <v>70</v>
      </c>
      <c r="G1296" s="6" t="s">
        <v>71</v>
      </c>
      <c r="H1296" s="6" t="s">
        <v>72</v>
      </c>
      <c r="I1296" s="6" t="s">
        <v>32</v>
      </c>
      <c r="J1296" s="6">
        <v>17.080164</v>
      </c>
      <c r="K1296" s="6">
        <v>-96.726157000000001</v>
      </c>
      <c r="L1296" s="6" t="str">
        <f>HYPERLINK("https://maps.google.com/?q=17.080164,-96.726157", "🔗 Ver Mapa")</f>
        <v>🔗 Ver Mapa</v>
      </c>
    </row>
    <row r="1297" spans="1:12" ht="58" x14ac:dyDescent="0.35">
      <c r="A1297" s="5" t="s">
        <v>297</v>
      </c>
      <c r="B1297" s="5" t="s">
        <v>298</v>
      </c>
      <c r="C1297" s="5" t="s">
        <v>302</v>
      </c>
      <c r="D1297" s="5" t="s">
        <v>13</v>
      </c>
      <c r="E1297" s="5" t="s">
        <v>52</v>
      </c>
      <c r="F1297" s="5" t="s">
        <v>70</v>
      </c>
      <c r="G1297" s="5" t="s">
        <v>71</v>
      </c>
      <c r="H1297" s="5" t="s">
        <v>72</v>
      </c>
      <c r="I1297" s="5" t="s">
        <v>32</v>
      </c>
      <c r="J1297" s="5">
        <v>17.080164</v>
      </c>
      <c r="K1297" s="5">
        <v>-96.726157000000001</v>
      </c>
      <c r="L1297" s="5" t="str">
        <f>HYPERLINK("https://maps.google.com/?q=17.080164,-96.726157", "🔗 Ver Mapa")</f>
        <v>🔗 Ver Mapa</v>
      </c>
    </row>
    <row r="1298" spans="1:12" ht="58" x14ac:dyDescent="0.35">
      <c r="A1298" s="6" t="s">
        <v>297</v>
      </c>
      <c r="B1298" s="6" t="s">
        <v>298</v>
      </c>
      <c r="C1298" s="6" t="s">
        <v>302</v>
      </c>
      <c r="D1298" s="6" t="s">
        <v>13</v>
      </c>
      <c r="E1298" s="6" t="s">
        <v>52</v>
      </c>
      <c r="F1298" s="6" t="s">
        <v>70</v>
      </c>
      <c r="G1298" s="6" t="s">
        <v>71</v>
      </c>
      <c r="H1298" s="6" t="s">
        <v>72</v>
      </c>
      <c r="I1298" s="6" t="s">
        <v>32</v>
      </c>
      <c r="J1298" s="6">
        <v>17.080188</v>
      </c>
      <c r="K1298" s="6">
        <v>-96.726730000000003</v>
      </c>
      <c r="L1298" s="6" t="str">
        <f>HYPERLINK("https://maps.google.com/?q=17.080188,-96.726730", "🔗 Ver Mapa")</f>
        <v>🔗 Ver Mapa</v>
      </c>
    </row>
    <row r="1299" spans="1:12" ht="58" x14ac:dyDescent="0.35">
      <c r="A1299" s="5" t="s">
        <v>297</v>
      </c>
      <c r="B1299" s="5" t="s">
        <v>298</v>
      </c>
      <c r="C1299" s="5" t="s">
        <v>302</v>
      </c>
      <c r="D1299" s="5" t="s">
        <v>13</v>
      </c>
      <c r="E1299" s="5" t="s">
        <v>52</v>
      </c>
      <c r="F1299" s="5" t="s">
        <v>70</v>
      </c>
      <c r="G1299" s="5" t="s">
        <v>71</v>
      </c>
      <c r="H1299" s="5" t="s">
        <v>72</v>
      </c>
      <c r="I1299" s="5" t="s">
        <v>32</v>
      </c>
      <c r="J1299" s="5">
        <v>17.080188</v>
      </c>
      <c r="K1299" s="5">
        <v>-96.726730000000003</v>
      </c>
      <c r="L1299" s="5" t="str">
        <f>HYPERLINK("https://maps.google.com/?q=17.080188,-96.726730", "🔗 Ver Mapa")</f>
        <v>🔗 Ver Mapa</v>
      </c>
    </row>
    <row r="1300" spans="1:12" ht="58" x14ac:dyDescent="0.35">
      <c r="A1300" s="6" t="s">
        <v>297</v>
      </c>
      <c r="B1300" s="6" t="s">
        <v>298</v>
      </c>
      <c r="C1300" s="6" t="s">
        <v>302</v>
      </c>
      <c r="D1300" s="6" t="s">
        <v>13</v>
      </c>
      <c r="E1300" s="6" t="s">
        <v>52</v>
      </c>
      <c r="F1300" s="6" t="s">
        <v>70</v>
      </c>
      <c r="G1300" s="6" t="s">
        <v>71</v>
      </c>
      <c r="H1300" s="6" t="s">
        <v>72</v>
      </c>
      <c r="I1300" s="6" t="s">
        <v>32</v>
      </c>
      <c r="J1300" s="6">
        <v>17.080188</v>
      </c>
      <c r="K1300" s="6">
        <v>-96.726730000000003</v>
      </c>
      <c r="L1300" s="6" t="str">
        <f>HYPERLINK("https://maps.google.com/?q=17.080188,-96.726730", "🔗 Ver Mapa")</f>
        <v>🔗 Ver Mapa</v>
      </c>
    </row>
    <row r="1301" spans="1:12" ht="58" x14ac:dyDescent="0.35">
      <c r="A1301" s="5" t="s">
        <v>297</v>
      </c>
      <c r="B1301" s="5" t="s">
        <v>298</v>
      </c>
      <c r="C1301" s="5" t="s">
        <v>302</v>
      </c>
      <c r="D1301" s="5" t="s">
        <v>13</v>
      </c>
      <c r="E1301" s="5" t="s">
        <v>52</v>
      </c>
      <c r="F1301" s="5" t="s">
        <v>70</v>
      </c>
      <c r="G1301" s="5" t="s">
        <v>71</v>
      </c>
      <c r="H1301" s="5" t="s">
        <v>72</v>
      </c>
      <c r="I1301" s="5" t="s">
        <v>32</v>
      </c>
      <c r="J1301" s="5">
        <v>17.080188</v>
      </c>
      <c r="K1301" s="5">
        <v>-96.726730000000003</v>
      </c>
      <c r="L1301" s="5" t="str">
        <f>HYPERLINK("https://maps.google.com/?q=17.080188,-96.726730", "🔗 Ver Mapa")</f>
        <v>🔗 Ver Mapa</v>
      </c>
    </row>
    <row r="1302" spans="1:12" ht="58" x14ac:dyDescent="0.35">
      <c r="A1302" s="6" t="s">
        <v>297</v>
      </c>
      <c r="B1302" s="6" t="s">
        <v>298</v>
      </c>
      <c r="C1302" s="6" t="s">
        <v>302</v>
      </c>
      <c r="D1302" s="6" t="s">
        <v>13</v>
      </c>
      <c r="E1302" s="6" t="s">
        <v>52</v>
      </c>
      <c r="F1302" s="6" t="s">
        <v>70</v>
      </c>
      <c r="G1302" s="6" t="s">
        <v>71</v>
      </c>
      <c r="H1302" s="6" t="s">
        <v>72</v>
      </c>
      <c r="I1302" s="6" t="s">
        <v>32</v>
      </c>
      <c r="J1302" s="6">
        <v>17.080200000000001</v>
      </c>
      <c r="K1302" s="6">
        <v>-96.726955000000004</v>
      </c>
      <c r="L1302" s="6" t="str">
        <f>HYPERLINK("https://maps.google.com/?q=17.0802,-96.726955", "🔗 Ver Mapa")</f>
        <v>🔗 Ver Mapa</v>
      </c>
    </row>
    <row r="1303" spans="1:12" ht="58" x14ac:dyDescent="0.35">
      <c r="A1303" s="5" t="s">
        <v>297</v>
      </c>
      <c r="B1303" s="5" t="s">
        <v>298</v>
      </c>
      <c r="C1303" s="5" t="s">
        <v>302</v>
      </c>
      <c r="D1303" s="5" t="s">
        <v>13</v>
      </c>
      <c r="E1303" s="5" t="s">
        <v>52</v>
      </c>
      <c r="F1303" s="5" t="s">
        <v>70</v>
      </c>
      <c r="G1303" s="5" t="s">
        <v>71</v>
      </c>
      <c r="H1303" s="5" t="s">
        <v>72</v>
      </c>
      <c r="I1303" s="5" t="s">
        <v>32</v>
      </c>
      <c r="J1303" s="5">
        <v>17.080200000000001</v>
      </c>
      <c r="K1303" s="5">
        <v>-96.726955000000004</v>
      </c>
      <c r="L1303" s="5" t="str">
        <f>HYPERLINK("https://maps.google.com/?q=17.0802,-96.726955", "🔗 Ver Mapa")</f>
        <v>🔗 Ver Mapa</v>
      </c>
    </row>
    <row r="1304" spans="1:12" ht="58" x14ac:dyDescent="0.35">
      <c r="A1304" s="6" t="s">
        <v>297</v>
      </c>
      <c r="B1304" s="6" t="s">
        <v>298</v>
      </c>
      <c r="C1304" s="6" t="s">
        <v>302</v>
      </c>
      <c r="D1304" s="6" t="s">
        <v>13</v>
      </c>
      <c r="E1304" s="6" t="s">
        <v>52</v>
      </c>
      <c r="F1304" s="6" t="s">
        <v>70</v>
      </c>
      <c r="G1304" s="6" t="s">
        <v>71</v>
      </c>
      <c r="H1304" s="6" t="s">
        <v>72</v>
      </c>
      <c r="I1304" s="6" t="s">
        <v>32</v>
      </c>
      <c r="J1304" s="6">
        <v>17.080200000000001</v>
      </c>
      <c r="K1304" s="6">
        <v>-96.726955000000004</v>
      </c>
      <c r="L1304" s="6" t="str">
        <f>HYPERLINK("https://maps.google.com/?q=17.0802,-96.726955", "🔗 Ver Mapa")</f>
        <v>🔗 Ver Mapa</v>
      </c>
    </row>
    <row r="1305" spans="1:12" ht="58" x14ac:dyDescent="0.35">
      <c r="A1305" s="5" t="s">
        <v>297</v>
      </c>
      <c r="B1305" s="5" t="s">
        <v>298</v>
      </c>
      <c r="C1305" s="5" t="s">
        <v>302</v>
      </c>
      <c r="D1305" s="5" t="s">
        <v>13</v>
      </c>
      <c r="E1305" s="5" t="s">
        <v>52</v>
      </c>
      <c r="F1305" s="5" t="s">
        <v>70</v>
      </c>
      <c r="G1305" s="5" t="s">
        <v>71</v>
      </c>
      <c r="H1305" s="5" t="s">
        <v>72</v>
      </c>
      <c r="I1305" s="5" t="s">
        <v>32</v>
      </c>
      <c r="J1305" s="5">
        <v>17.080200000000001</v>
      </c>
      <c r="K1305" s="5">
        <v>-96.726955000000004</v>
      </c>
      <c r="L1305" s="5" t="str">
        <f>HYPERLINK("https://maps.google.com/?q=17.0802,-96.726955", "🔗 Ver Mapa")</f>
        <v>🔗 Ver Mapa</v>
      </c>
    </row>
    <row r="1306" spans="1:12" ht="58" x14ac:dyDescent="0.35">
      <c r="A1306" s="6" t="s">
        <v>297</v>
      </c>
      <c r="B1306" s="6" t="s">
        <v>298</v>
      </c>
      <c r="C1306" s="6" t="s">
        <v>302</v>
      </c>
      <c r="D1306" s="6" t="s">
        <v>13</v>
      </c>
      <c r="E1306" s="6" t="s">
        <v>52</v>
      </c>
      <c r="F1306" s="6" t="s">
        <v>70</v>
      </c>
      <c r="G1306" s="6" t="s">
        <v>71</v>
      </c>
      <c r="H1306" s="6" t="s">
        <v>72</v>
      </c>
      <c r="I1306" s="6" t="s">
        <v>31</v>
      </c>
      <c r="J1306" s="6">
        <v>17.080069000000002</v>
      </c>
      <c r="K1306" s="6">
        <v>-96.725791999999998</v>
      </c>
      <c r="L1306" s="6" t="str">
        <f>HYPERLINK("https://maps.google.com/?q=17.080069,-96.725792", "🔗 Ver Mapa")</f>
        <v>🔗 Ver Mapa</v>
      </c>
    </row>
    <row r="1307" spans="1:12" ht="58" x14ac:dyDescent="0.35">
      <c r="A1307" s="5" t="s">
        <v>297</v>
      </c>
      <c r="B1307" s="5" t="s">
        <v>298</v>
      </c>
      <c r="C1307" s="5" t="s">
        <v>302</v>
      </c>
      <c r="D1307" s="5" t="s">
        <v>13</v>
      </c>
      <c r="E1307" s="5" t="s">
        <v>52</v>
      </c>
      <c r="F1307" s="5" t="s">
        <v>70</v>
      </c>
      <c r="G1307" s="5" t="s">
        <v>71</v>
      </c>
      <c r="H1307" s="5" t="s">
        <v>72</v>
      </c>
      <c r="I1307" s="5" t="s">
        <v>31</v>
      </c>
      <c r="J1307" s="5">
        <v>17.080069000000002</v>
      </c>
      <c r="K1307" s="5">
        <v>-96.725791999999998</v>
      </c>
      <c r="L1307" s="5" t="str">
        <f>HYPERLINK("https://maps.google.com/?q=17.080069,-96.725792", "🔗 Ver Mapa")</f>
        <v>🔗 Ver Mapa</v>
      </c>
    </row>
    <row r="1308" spans="1:12" ht="58" x14ac:dyDescent="0.35">
      <c r="A1308" s="6" t="s">
        <v>297</v>
      </c>
      <c r="B1308" s="6" t="s">
        <v>298</v>
      </c>
      <c r="C1308" s="6" t="s">
        <v>302</v>
      </c>
      <c r="D1308" s="6" t="s">
        <v>13</v>
      </c>
      <c r="E1308" s="6" t="s">
        <v>52</v>
      </c>
      <c r="F1308" s="6" t="s">
        <v>70</v>
      </c>
      <c r="G1308" s="6" t="s">
        <v>71</v>
      </c>
      <c r="H1308" s="6" t="s">
        <v>72</v>
      </c>
      <c r="I1308" s="6" t="s">
        <v>31</v>
      </c>
      <c r="J1308" s="6">
        <v>17.080069000000002</v>
      </c>
      <c r="K1308" s="6">
        <v>-96.725791999999998</v>
      </c>
      <c r="L1308" s="6" t="str">
        <f>HYPERLINK("https://maps.google.com/?q=17.080069,-96.725792", "🔗 Ver Mapa")</f>
        <v>🔗 Ver Mapa</v>
      </c>
    </row>
    <row r="1309" spans="1:12" ht="58" x14ac:dyDescent="0.35">
      <c r="A1309" s="5" t="s">
        <v>297</v>
      </c>
      <c r="B1309" s="5" t="s">
        <v>298</v>
      </c>
      <c r="C1309" s="5" t="s">
        <v>302</v>
      </c>
      <c r="D1309" s="5" t="s">
        <v>13</v>
      </c>
      <c r="E1309" s="5" t="s">
        <v>52</v>
      </c>
      <c r="F1309" s="5" t="s">
        <v>70</v>
      </c>
      <c r="G1309" s="5" t="s">
        <v>71</v>
      </c>
      <c r="H1309" s="5" t="s">
        <v>72</v>
      </c>
      <c r="I1309" s="5" t="s">
        <v>31</v>
      </c>
      <c r="J1309" s="5">
        <v>17.080069000000002</v>
      </c>
      <c r="K1309" s="5">
        <v>-96.725791999999998</v>
      </c>
      <c r="L1309" s="5" t="str">
        <f>HYPERLINK("https://maps.google.com/?q=17.080069,-96.725792", "🔗 Ver Mapa")</f>
        <v>🔗 Ver Mapa</v>
      </c>
    </row>
    <row r="1310" spans="1:12" ht="58" x14ac:dyDescent="0.35">
      <c r="A1310" s="6" t="s">
        <v>297</v>
      </c>
      <c r="B1310" s="6" t="s">
        <v>298</v>
      </c>
      <c r="C1310" s="6" t="s">
        <v>302</v>
      </c>
      <c r="D1310" s="6" t="s">
        <v>13</v>
      </c>
      <c r="E1310" s="6" t="s">
        <v>52</v>
      </c>
      <c r="F1310" s="6" t="s">
        <v>70</v>
      </c>
      <c r="G1310" s="6" t="s">
        <v>71</v>
      </c>
      <c r="H1310" s="6" t="s">
        <v>72</v>
      </c>
      <c r="I1310" s="6" t="s">
        <v>31</v>
      </c>
      <c r="J1310" s="6">
        <v>17.081197</v>
      </c>
      <c r="K1310" s="6">
        <v>-96.727012000000002</v>
      </c>
      <c r="L1310" s="6" t="str">
        <f>HYPERLINK("https://maps.google.com/?q=17.081197,-96.727012", "🔗 Ver Mapa")</f>
        <v>🔗 Ver Mapa</v>
      </c>
    </row>
    <row r="1311" spans="1:12" ht="58" x14ac:dyDescent="0.35">
      <c r="A1311" s="5" t="s">
        <v>297</v>
      </c>
      <c r="B1311" s="5" t="s">
        <v>298</v>
      </c>
      <c r="C1311" s="5" t="s">
        <v>302</v>
      </c>
      <c r="D1311" s="5" t="s">
        <v>13</v>
      </c>
      <c r="E1311" s="5" t="s">
        <v>52</v>
      </c>
      <c r="F1311" s="5" t="s">
        <v>70</v>
      </c>
      <c r="G1311" s="5" t="s">
        <v>71</v>
      </c>
      <c r="H1311" s="5" t="s">
        <v>72</v>
      </c>
      <c r="I1311" s="5" t="s">
        <v>31</v>
      </c>
      <c r="J1311" s="5">
        <v>17.081197</v>
      </c>
      <c r="K1311" s="5">
        <v>-96.727012000000002</v>
      </c>
      <c r="L1311" s="5" t="str">
        <f>HYPERLINK("https://maps.google.com/?q=17.081197,-96.727012", "🔗 Ver Mapa")</f>
        <v>🔗 Ver Mapa</v>
      </c>
    </row>
    <row r="1312" spans="1:12" ht="58" x14ac:dyDescent="0.35">
      <c r="A1312" s="6" t="s">
        <v>297</v>
      </c>
      <c r="B1312" s="6" t="s">
        <v>298</v>
      </c>
      <c r="C1312" s="6" t="s">
        <v>302</v>
      </c>
      <c r="D1312" s="6" t="s">
        <v>13</v>
      </c>
      <c r="E1312" s="6" t="s">
        <v>52</v>
      </c>
      <c r="F1312" s="6" t="s">
        <v>70</v>
      </c>
      <c r="G1312" s="6" t="s">
        <v>71</v>
      </c>
      <c r="H1312" s="6" t="s">
        <v>72</v>
      </c>
      <c r="I1312" s="6" t="s">
        <v>31</v>
      </c>
      <c r="J1312" s="6">
        <v>17.081197</v>
      </c>
      <c r="K1312" s="6">
        <v>-96.727012000000002</v>
      </c>
      <c r="L1312" s="6" t="str">
        <f>HYPERLINK("https://maps.google.com/?q=17.081197,-96.727012", "🔗 Ver Mapa")</f>
        <v>🔗 Ver Mapa</v>
      </c>
    </row>
    <row r="1313" spans="1:12" ht="58" x14ac:dyDescent="0.35">
      <c r="A1313" s="5" t="s">
        <v>297</v>
      </c>
      <c r="B1313" s="5" t="s">
        <v>298</v>
      </c>
      <c r="C1313" s="5" t="s">
        <v>302</v>
      </c>
      <c r="D1313" s="5" t="s">
        <v>13</v>
      </c>
      <c r="E1313" s="5" t="s">
        <v>52</v>
      </c>
      <c r="F1313" s="5" t="s">
        <v>70</v>
      </c>
      <c r="G1313" s="5" t="s">
        <v>71</v>
      </c>
      <c r="H1313" s="5" t="s">
        <v>72</v>
      </c>
      <c r="I1313" s="5" t="s">
        <v>31</v>
      </c>
      <c r="J1313" s="5">
        <v>17.081197</v>
      </c>
      <c r="K1313" s="5">
        <v>-96.727012000000002</v>
      </c>
      <c r="L1313" s="5" t="str">
        <f>HYPERLINK("https://maps.google.com/?q=17.081197,-96.727012", "🔗 Ver Mapa")</f>
        <v>🔗 Ver Mapa</v>
      </c>
    </row>
    <row r="1314" spans="1:12" ht="58" x14ac:dyDescent="0.35">
      <c r="A1314" s="6" t="s">
        <v>297</v>
      </c>
      <c r="B1314" s="6" t="s">
        <v>298</v>
      </c>
      <c r="C1314" s="6" t="s">
        <v>302</v>
      </c>
      <c r="D1314" s="6" t="s">
        <v>13</v>
      </c>
      <c r="E1314" s="6" t="s">
        <v>52</v>
      </c>
      <c r="F1314" s="6" t="s">
        <v>70</v>
      </c>
      <c r="G1314" s="6" t="s">
        <v>71</v>
      </c>
      <c r="H1314" s="6" t="s">
        <v>72</v>
      </c>
      <c r="I1314" s="6" t="s">
        <v>31</v>
      </c>
      <c r="J1314" s="6">
        <v>17.082947999999998</v>
      </c>
      <c r="K1314" s="6">
        <v>-96.727684999999994</v>
      </c>
      <c r="L1314" s="6" t="str">
        <f>HYPERLINK("https://maps.google.com/?q=17.082948,-96.727685", "🔗 Ver Mapa")</f>
        <v>🔗 Ver Mapa</v>
      </c>
    </row>
    <row r="1315" spans="1:12" ht="58" x14ac:dyDescent="0.35">
      <c r="A1315" s="5" t="s">
        <v>297</v>
      </c>
      <c r="B1315" s="5" t="s">
        <v>298</v>
      </c>
      <c r="C1315" s="5" t="s">
        <v>302</v>
      </c>
      <c r="D1315" s="5" t="s">
        <v>13</v>
      </c>
      <c r="E1315" s="5" t="s">
        <v>52</v>
      </c>
      <c r="F1315" s="5" t="s">
        <v>70</v>
      </c>
      <c r="G1315" s="5" t="s">
        <v>71</v>
      </c>
      <c r="H1315" s="5" t="s">
        <v>72</v>
      </c>
      <c r="I1315" s="5" t="s">
        <v>31</v>
      </c>
      <c r="J1315" s="5">
        <v>17.082947999999998</v>
      </c>
      <c r="K1315" s="5">
        <v>-96.727684999999994</v>
      </c>
      <c r="L1315" s="5" t="str">
        <f>HYPERLINK("https://maps.google.com/?q=17.082948,-96.727685", "🔗 Ver Mapa")</f>
        <v>🔗 Ver Mapa</v>
      </c>
    </row>
    <row r="1316" spans="1:12" ht="58" x14ac:dyDescent="0.35">
      <c r="A1316" s="6" t="s">
        <v>297</v>
      </c>
      <c r="B1316" s="6" t="s">
        <v>298</v>
      </c>
      <c r="C1316" s="6" t="s">
        <v>302</v>
      </c>
      <c r="D1316" s="6" t="s">
        <v>13</v>
      </c>
      <c r="E1316" s="6" t="s">
        <v>52</v>
      </c>
      <c r="F1316" s="6" t="s">
        <v>70</v>
      </c>
      <c r="G1316" s="6" t="s">
        <v>71</v>
      </c>
      <c r="H1316" s="6" t="s">
        <v>72</v>
      </c>
      <c r="I1316" s="6" t="s">
        <v>31</v>
      </c>
      <c r="J1316" s="6">
        <v>17.082947999999998</v>
      </c>
      <c r="K1316" s="6">
        <v>-96.727684999999994</v>
      </c>
      <c r="L1316" s="6" t="str">
        <f>HYPERLINK("https://maps.google.com/?q=17.082948,-96.727685", "🔗 Ver Mapa")</f>
        <v>🔗 Ver Mapa</v>
      </c>
    </row>
    <row r="1317" spans="1:12" ht="58" x14ac:dyDescent="0.35">
      <c r="A1317" s="5" t="s">
        <v>297</v>
      </c>
      <c r="B1317" s="5" t="s">
        <v>298</v>
      </c>
      <c r="C1317" s="5" t="s">
        <v>302</v>
      </c>
      <c r="D1317" s="5" t="s">
        <v>13</v>
      </c>
      <c r="E1317" s="5" t="s">
        <v>52</v>
      </c>
      <c r="F1317" s="5" t="s">
        <v>70</v>
      </c>
      <c r="G1317" s="5" t="s">
        <v>71</v>
      </c>
      <c r="H1317" s="5" t="s">
        <v>72</v>
      </c>
      <c r="I1317" s="5" t="s">
        <v>31</v>
      </c>
      <c r="J1317" s="5">
        <v>17.082947999999998</v>
      </c>
      <c r="K1317" s="5">
        <v>-96.727684999999994</v>
      </c>
      <c r="L1317" s="5" t="str">
        <f>HYPERLINK("https://maps.google.com/?q=17.082948,-96.727685", "🔗 Ver Mapa")</f>
        <v>🔗 Ver Mapa</v>
      </c>
    </row>
    <row r="1318" spans="1:12" ht="58" x14ac:dyDescent="0.35">
      <c r="A1318" s="6" t="s">
        <v>297</v>
      </c>
      <c r="B1318" s="6" t="s">
        <v>298</v>
      </c>
      <c r="C1318" s="6" t="s">
        <v>302</v>
      </c>
      <c r="D1318" s="6" t="s">
        <v>13</v>
      </c>
      <c r="E1318" s="6" t="s">
        <v>52</v>
      </c>
      <c r="F1318" s="6" t="s">
        <v>70</v>
      </c>
      <c r="G1318" s="6" t="s">
        <v>71</v>
      </c>
      <c r="H1318" s="6" t="s">
        <v>72</v>
      </c>
      <c r="I1318" s="6" t="s">
        <v>31</v>
      </c>
      <c r="J1318" s="6">
        <v>17.085681000000001</v>
      </c>
      <c r="K1318" s="6">
        <v>-96.731652999999994</v>
      </c>
      <c r="L1318" s="6" t="str">
        <f>HYPERLINK("https://maps.google.com/?q=17.085681,-96.731653", "🔗 Ver Mapa")</f>
        <v>🔗 Ver Mapa</v>
      </c>
    </row>
    <row r="1319" spans="1:12" ht="58" x14ac:dyDescent="0.35">
      <c r="A1319" s="5" t="s">
        <v>297</v>
      </c>
      <c r="B1319" s="5" t="s">
        <v>298</v>
      </c>
      <c r="C1319" s="5" t="s">
        <v>302</v>
      </c>
      <c r="D1319" s="5" t="s">
        <v>13</v>
      </c>
      <c r="E1319" s="5" t="s">
        <v>52</v>
      </c>
      <c r="F1319" s="5" t="s">
        <v>70</v>
      </c>
      <c r="G1319" s="5" t="s">
        <v>71</v>
      </c>
      <c r="H1319" s="5" t="s">
        <v>72</v>
      </c>
      <c r="I1319" s="5" t="s">
        <v>31</v>
      </c>
      <c r="J1319" s="5">
        <v>17.085681000000001</v>
      </c>
      <c r="K1319" s="5">
        <v>-96.731652999999994</v>
      </c>
      <c r="L1319" s="5" t="str">
        <f>HYPERLINK("https://maps.google.com/?q=17.085681,-96.731653", "🔗 Ver Mapa")</f>
        <v>🔗 Ver Mapa</v>
      </c>
    </row>
    <row r="1320" spans="1:12" ht="58" x14ac:dyDescent="0.35">
      <c r="A1320" s="6" t="s">
        <v>297</v>
      </c>
      <c r="B1320" s="6" t="s">
        <v>298</v>
      </c>
      <c r="C1320" s="6" t="s">
        <v>302</v>
      </c>
      <c r="D1320" s="6" t="s">
        <v>13</v>
      </c>
      <c r="E1320" s="6" t="s">
        <v>52</v>
      </c>
      <c r="F1320" s="6" t="s">
        <v>70</v>
      </c>
      <c r="G1320" s="6" t="s">
        <v>71</v>
      </c>
      <c r="H1320" s="6" t="s">
        <v>72</v>
      </c>
      <c r="I1320" s="6" t="s">
        <v>31</v>
      </c>
      <c r="J1320" s="6">
        <v>17.085681000000001</v>
      </c>
      <c r="K1320" s="6">
        <v>-96.731652999999994</v>
      </c>
      <c r="L1320" s="6" t="str">
        <f>HYPERLINK("https://maps.google.com/?q=17.085681,-96.731653", "🔗 Ver Mapa")</f>
        <v>🔗 Ver Mapa</v>
      </c>
    </row>
    <row r="1321" spans="1:12" ht="58" x14ac:dyDescent="0.35">
      <c r="A1321" s="5" t="s">
        <v>297</v>
      </c>
      <c r="B1321" s="5" t="s">
        <v>298</v>
      </c>
      <c r="C1321" s="5" t="s">
        <v>302</v>
      </c>
      <c r="D1321" s="5" t="s">
        <v>13</v>
      </c>
      <c r="E1321" s="5" t="s">
        <v>52</v>
      </c>
      <c r="F1321" s="5" t="s">
        <v>70</v>
      </c>
      <c r="G1321" s="5" t="s">
        <v>71</v>
      </c>
      <c r="H1321" s="5" t="s">
        <v>72</v>
      </c>
      <c r="I1321" s="5" t="s">
        <v>31</v>
      </c>
      <c r="J1321" s="5">
        <v>17.085681000000001</v>
      </c>
      <c r="K1321" s="5">
        <v>-96.731652999999994</v>
      </c>
      <c r="L1321" s="5" t="str">
        <f>HYPERLINK("https://maps.google.com/?q=17.085681,-96.731653", "🔗 Ver Mapa")</f>
        <v>🔗 Ver Mapa</v>
      </c>
    </row>
    <row r="1322" spans="1:12" ht="43.5" x14ac:dyDescent="0.35">
      <c r="A1322" s="6" t="s">
        <v>297</v>
      </c>
      <c r="B1322" s="6" t="s">
        <v>298</v>
      </c>
      <c r="C1322" s="6" t="s">
        <v>303</v>
      </c>
      <c r="D1322" s="6" t="s">
        <v>13</v>
      </c>
      <c r="E1322" s="6" t="s">
        <v>52</v>
      </c>
      <c r="F1322" s="6" t="s">
        <v>70</v>
      </c>
      <c r="G1322" s="6" t="s">
        <v>304</v>
      </c>
      <c r="H1322" s="6" t="s">
        <v>305</v>
      </c>
      <c r="I1322" s="6" t="s">
        <v>31</v>
      </c>
      <c r="J1322" s="6">
        <v>17.094465</v>
      </c>
      <c r="K1322" s="6">
        <v>-96.755263999999997</v>
      </c>
      <c r="L1322" s="6" t="str">
        <f>HYPERLINK("https://maps.google.com/?q=17.094465,-96.75526400", "🔗 Ver Mapa")</f>
        <v>🔗 Ver Mapa</v>
      </c>
    </row>
    <row r="1323" spans="1:12" ht="43.5" x14ac:dyDescent="0.35">
      <c r="A1323" s="5" t="s">
        <v>297</v>
      </c>
      <c r="B1323" s="5" t="s">
        <v>298</v>
      </c>
      <c r="C1323" s="5" t="s">
        <v>303</v>
      </c>
      <c r="D1323" s="5" t="s">
        <v>13</v>
      </c>
      <c r="E1323" s="5" t="s">
        <v>52</v>
      </c>
      <c r="F1323" s="5" t="s">
        <v>70</v>
      </c>
      <c r="G1323" s="5" t="s">
        <v>304</v>
      </c>
      <c r="H1323" s="5" t="s">
        <v>305</v>
      </c>
      <c r="I1323" s="5" t="s">
        <v>31</v>
      </c>
      <c r="J1323" s="5">
        <v>17.094465</v>
      </c>
      <c r="K1323" s="5">
        <v>-96.755263999999997</v>
      </c>
      <c r="L1323" s="5" t="str">
        <f>HYPERLINK("https://maps.google.com/?q=17.094465,-96.75526400", "🔗 Ver Mapa")</f>
        <v>🔗 Ver Mapa</v>
      </c>
    </row>
    <row r="1324" spans="1:12" ht="43.5" x14ac:dyDescent="0.35">
      <c r="A1324" s="6" t="s">
        <v>297</v>
      </c>
      <c r="B1324" s="6" t="s">
        <v>298</v>
      </c>
      <c r="C1324" s="6" t="s">
        <v>303</v>
      </c>
      <c r="D1324" s="6" t="s">
        <v>13</v>
      </c>
      <c r="E1324" s="6" t="s">
        <v>52</v>
      </c>
      <c r="F1324" s="6" t="s">
        <v>70</v>
      </c>
      <c r="G1324" s="6" t="s">
        <v>304</v>
      </c>
      <c r="H1324" s="6" t="s">
        <v>305</v>
      </c>
      <c r="I1324" s="6" t="s">
        <v>31</v>
      </c>
      <c r="J1324" s="6">
        <v>17.094465</v>
      </c>
      <c r="K1324" s="6">
        <v>-96.755263999999997</v>
      </c>
      <c r="L1324" s="6" t="str">
        <f>HYPERLINK("https://maps.google.com/?q=17.094465,-96.75526400", "🔗 Ver Mapa")</f>
        <v>🔗 Ver Mapa</v>
      </c>
    </row>
    <row r="1325" spans="1:12" ht="43.5" x14ac:dyDescent="0.35">
      <c r="A1325" s="5" t="s">
        <v>297</v>
      </c>
      <c r="B1325" s="5" t="s">
        <v>298</v>
      </c>
      <c r="C1325" s="5" t="s">
        <v>303</v>
      </c>
      <c r="D1325" s="5" t="s">
        <v>13</v>
      </c>
      <c r="E1325" s="5" t="s">
        <v>52</v>
      </c>
      <c r="F1325" s="5" t="s">
        <v>70</v>
      </c>
      <c r="G1325" s="5" t="s">
        <v>304</v>
      </c>
      <c r="H1325" s="5" t="s">
        <v>305</v>
      </c>
      <c r="I1325" s="5" t="s">
        <v>31</v>
      </c>
      <c r="J1325" s="5">
        <v>17.094465</v>
      </c>
      <c r="K1325" s="5">
        <v>-96.755263999999997</v>
      </c>
      <c r="L1325" s="5" t="str">
        <f>HYPERLINK("https://maps.google.com/?q=17.094465,-96.75526400", "🔗 Ver Mapa")</f>
        <v>🔗 Ver Mapa</v>
      </c>
    </row>
    <row r="1326" spans="1:12" ht="58" x14ac:dyDescent="0.35">
      <c r="A1326" s="6" t="s">
        <v>297</v>
      </c>
      <c r="B1326" s="6" t="s">
        <v>298</v>
      </c>
      <c r="C1326" s="6" t="s">
        <v>306</v>
      </c>
      <c r="D1326" s="6" t="s">
        <v>13</v>
      </c>
      <c r="E1326" s="6" t="s">
        <v>52</v>
      </c>
      <c r="F1326" s="6" t="s">
        <v>70</v>
      </c>
      <c r="G1326" s="6" t="s">
        <v>123</v>
      </c>
      <c r="H1326" s="6" t="s">
        <v>307</v>
      </c>
      <c r="I1326" s="6" t="s">
        <v>32</v>
      </c>
      <c r="J1326" s="6">
        <v>17.01772643</v>
      </c>
      <c r="K1326" s="6">
        <v>-96.718593040000002</v>
      </c>
      <c r="L1326" s="6" t="str">
        <f>HYPERLINK("https://maps.google.com/?q=17.01772643,-96.71859304", "🔗 Ver Mapa")</f>
        <v>🔗 Ver Mapa</v>
      </c>
    </row>
    <row r="1327" spans="1:12" ht="58" x14ac:dyDescent="0.35">
      <c r="A1327" s="5" t="s">
        <v>297</v>
      </c>
      <c r="B1327" s="5" t="s">
        <v>298</v>
      </c>
      <c r="C1327" s="5" t="s">
        <v>306</v>
      </c>
      <c r="D1327" s="5" t="s">
        <v>13</v>
      </c>
      <c r="E1327" s="5" t="s">
        <v>52</v>
      </c>
      <c r="F1327" s="5" t="s">
        <v>70</v>
      </c>
      <c r="G1327" s="5" t="s">
        <v>123</v>
      </c>
      <c r="H1327" s="5" t="s">
        <v>307</v>
      </c>
      <c r="I1327" s="5" t="s">
        <v>32</v>
      </c>
      <c r="J1327" s="5">
        <v>17.01772643</v>
      </c>
      <c r="K1327" s="5">
        <v>-96.718593040000002</v>
      </c>
      <c r="L1327" s="5" t="str">
        <f>HYPERLINK("https://maps.google.com/?q=17.01772643,-96.71859304", "🔗 Ver Mapa")</f>
        <v>🔗 Ver Mapa</v>
      </c>
    </row>
    <row r="1328" spans="1:12" ht="58" x14ac:dyDescent="0.35">
      <c r="A1328" s="6" t="s">
        <v>297</v>
      </c>
      <c r="B1328" s="6" t="s">
        <v>298</v>
      </c>
      <c r="C1328" s="6" t="s">
        <v>306</v>
      </c>
      <c r="D1328" s="6" t="s">
        <v>13</v>
      </c>
      <c r="E1328" s="6" t="s">
        <v>52</v>
      </c>
      <c r="F1328" s="6" t="s">
        <v>70</v>
      </c>
      <c r="G1328" s="6" t="s">
        <v>123</v>
      </c>
      <c r="H1328" s="6" t="s">
        <v>307</v>
      </c>
      <c r="I1328" s="6" t="s">
        <v>32</v>
      </c>
      <c r="J1328" s="6">
        <v>17.01772643</v>
      </c>
      <c r="K1328" s="6">
        <v>-96.718593040000002</v>
      </c>
      <c r="L1328" s="6" t="str">
        <f>HYPERLINK("https://maps.google.com/?q=17.01772643,-96.71859304", "🔗 Ver Mapa")</f>
        <v>🔗 Ver Mapa</v>
      </c>
    </row>
    <row r="1329" spans="1:12" ht="58" x14ac:dyDescent="0.35">
      <c r="A1329" s="5" t="s">
        <v>297</v>
      </c>
      <c r="B1329" s="5" t="s">
        <v>298</v>
      </c>
      <c r="C1329" s="5" t="s">
        <v>306</v>
      </c>
      <c r="D1329" s="5" t="s">
        <v>13</v>
      </c>
      <c r="E1329" s="5" t="s">
        <v>52</v>
      </c>
      <c r="F1329" s="5" t="s">
        <v>70</v>
      </c>
      <c r="G1329" s="5" t="s">
        <v>123</v>
      </c>
      <c r="H1329" s="5" t="s">
        <v>307</v>
      </c>
      <c r="I1329" s="5" t="s">
        <v>32</v>
      </c>
      <c r="J1329" s="5">
        <v>17.01772643</v>
      </c>
      <c r="K1329" s="5">
        <v>-96.718593040000002</v>
      </c>
      <c r="L1329" s="5" t="str">
        <f>HYPERLINK("https://maps.google.com/?q=17.01772643,-96.71859304", "🔗 Ver Mapa")</f>
        <v>🔗 Ver Mapa</v>
      </c>
    </row>
    <row r="1330" spans="1:12" ht="58" x14ac:dyDescent="0.35">
      <c r="A1330" s="6" t="s">
        <v>297</v>
      </c>
      <c r="B1330" s="6" t="s">
        <v>298</v>
      </c>
      <c r="C1330" s="6" t="s">
        <v>306</v>
      </c>
      <c r="D1330" s="6" t="s">
        <v>13</v>
      </c>
      <c r="E1330" s="6" t="s">
        <v>52</v>
      </c>
      <c r="F1330" s="6" t="s">
        <v>70</v>
      </c>
      <c r="G1330" s="6" t="s">
        <v>123</v>
      </c>
      <c r="H1330" s="6" t="s">
        <v>307</v>
      </c>
      <c r="I1330" s="6" t="s">
        <v>32</v>
      </c>
      <c r="J1330" s="6">
        <v>17.018052319999999</v>
      </c>
      <c r="K1330" s="6">
        <v>-96.718519939999993</v>
      </c>
      <c r="L1330" s="6" t="str">
        <f>HYPERLINK("https://maps.google.com/?q=17.01805232,-96.71851994", "🔗 Ver Mapa")</f>
        <v>🔗 Ver Mapa</v>
      </c>
    </row>
    <row r="1331" spans="1:12" ht="58" x14ac:dyDescent="0.35">
      <c r="A1331" s="5" t="s">
        <v>297</v>
      </c>
      <c r="B1331" s="5" t="s">
        <v>298</v>
      </c>
      <c r="C1331" s="5" t="s">
        <v>306</v>
      </c>
      <c r="D1331" s="5" t="s">
        <v>13</v>
      </c>
      <c r="E1331" s="5" t="s">
        <v>52</v>
      </c>
      <c r="F1331" s="5" t="s">
        <v>70</v>
      </c>
      <c r="G1331" s="5" t="s">
        <v>123</v>
      </c>
      <c r="H1331" s="5" t="s">
        <v>307</v>
      </c>
      <c r="I1331" s="5" t="s">
        <v>32</v>
      </c>
      <c r="J1331" s="5">
        <v>17.018052319999999</v>
      </c>
      <c r="K1331" s="5">
        <v>-96.718519939999993</v>
      </c>
      <c r="L1331" s="5" t="str">
        <f>HYPERLINK("https://maps.google.com/?q=17.01805232,-96.71851994", "🔗 Ver Mapa")</f>
        <v>🔗 Ver Mapa</v>
      </c>
    </row>
    <row r="1332" spans="1:12" ht="58" x14ac:dyDescent="0.35">
      <c r="A1332" s="6" t="s">
        <v>297</v>
      </c>
      <c r="B1332" s="6" t="s">
        <v>298</v>
      </c>
      <c r="C1332" s="6" t="s">
        <v>306</v>
      </c>
      <c r="D1332" s="6" t="s">
        <v>13</v>
      </c>
      <c r="E1332" s="6" t="s">
        <v>52</v>
      </c>
      <c r="F1332" s="6" t="s">
        <v>70</v>
      </c>
      <c r="G1332" s="6" t="s">
        <v>123</v>
      </c>
      <c r="H1332" s="6" t="s">
        <v>307</v>
      </c>
      <c r="I1332" s="6" t="s">
        <v>32</v>
      </c>
      <c r="J1332" s="6">
        <v>17.018052319999999</v>
      </c>
      <c r="K1332" s="6">
        <v>-96.718519939999993</v>
      </c>
      <c r="L1332" s="6" t="str">
        <f>HYPERLINK("https://maps.google.com/?q=17.01805232,-96.71851994", "🔗 Ver Mapa")</f>
        <v>🔗 Ver Mapa</v>
      </c>
    </row>
    <row r="1333" spans="1:12" ht="58" x14ac:dyDescent="0.35">
      <c r="A1333" s="5" t="s">
        <v>297</v>
      </c>
      <c r="B1333" s="5" t="s">
        <v>298</v>
      </c>
      <c r="C1333" s="5" t="s">
        <v>306</v>
      </c>
      <c r="D1333" s="5" t="s">
        <v>13</v>
      </c>
      <c r="E1333" s="5" t="s">
        <v>52</v>
      </c>
      <c r="F1333" s="5" t="s">
        <v>70</v>
      </c>
      <c r="G1333" s="5" t="s">
        <v>123</v>
      </c>
      <c r="H1333" s="5" t="s">
        <v>307</v>
      </c>
      <c r="I1333" s="5" t="s">
        <v>32</v>
      </c>
      <c r="J1333" s="5">
        <v>17.018052319999999</v>
      </c>
      <c r="K1333" s="5">
        <v>-96.718519939999993</v>
      </c>
      <c r="L1333" s="5" t="str">
        <f>HYPERLINK("https://maps.google.com/?q=17.01805232,-96.71851994", "🔗 Ver Mapa")</f>
        <v>🔗 Ver Mapa</v>
      </c>
    </row>
    <row r="1334" spans="1:12" ht="58" x14ac:dyDescent="0.35">
      <c r="A1334" s="6" t="s">
        <v>297</v>
      </c>
      <c r="B1334" s="6" t="s">
        <v>298</v>
      </c>
      <c r="C1334" s="6" t="s">
        <v>306</v>
      </c>
      <c r="D1334" s="6" t="s">
        <v>13</v>
      </c>
      <c r="E1334" s="6" t="s">
        <v>52</v>
      </c>
      <c r="F1334" s="6" t="s">
        <v>70</v>
      </c>
      <c r="G1334" s="6" t="s">
        <v>123</v>
      </c>
      <c r="H1334" s="6" t="s">
        <v>307</v>
      </c>
      <c r="I1334" s="6" t="s">
        <v>32</v>
      </c>
      <c r="J1334" s="6">
        <v>17.018084699999999</v>
      </c>
      <c r="K1334" s="6">
        <v>-96.718677189999994</v>
      </c>
      <c r="L1334" s="6" t="str">
        <f>HYPERLINK("https://maps.google.com/?q=17.0180847,-96.71867719", "🔗 Ver Mapa")</f>
        <v>🔗 Ver Mapa</v>
      </c>
    </row>
    <row r="1335" spans="1:12" ht="58" x14ac:dyDescent="0.35">
      <c r="A1335" s="5" t="s">
        <v>297</v>
      </c>
      <c r="B1335" s="5" t="s">
        <v>298</v>
      </c>
      <c r="C1335" s="5" t="s">
        <v>306</v>
      </c>
      <c r="D1335" s="5" t="s">
        <v>13</v>
      </c>
      <c r="E1335" s="5" t="s">
        <v>52</v>
      </c>
      <c r="F1335" s="5" t="s">
        <v>70</v>
      </c>
      <c r="G1335" s="5" t="s">
        <v>123</v>
      </c>
      <c r="H1335" s="5" t="s">
        <v>307</v>
      </c>
      <c r="I1335" s="5" t="s">
        <v>32</v>
      </c>
      <c r="J1335" s="5">
        <v>17.018084699999999</v>
      </c>
      <c r="K1335" s="5">
        <v>-96.718677189999994</v>
      </c>
      <c r="L1335" s="5" t="str">
        <f>HYPERLINK("https://maps.google.com/?q=17.0180847,-96.71867719", "🔗 Ver Mapa")</f>
        <v>🔗 Ver Mapa</v>
      </c>
    </row>
    <row r="1336" spans="1:12" ht="58" x14ac:dyDescent="0.35">
      <c r="A1336" s="6" t="s">
        <v>297</v>
      </c>
      <c r="B1336" s="6" t="s">
        <v>298</v>
      </c>
      <c r="C1336" s="6" t="s">
        <v>306</v>
      </c>
      <c r="D1336" s="6" t="s">
        <v>13</v>
      </c>
      <c r="E1336" s="6" t="s">
        <v>52</v>
      </c>
      <c r="F1336" s="6" t="s">
        <v>70</v>
      </c>
      <c r="G1336" s="6" t="s">
        <v>123</v>
      </c>
      <c r="H1336" s="6" t="s">
        <v>307</v>
      </c>
      <c r="I1336" s="6" t="s">
        <v>32</v>
      </c>
      <c r="J1336" s="6">
        <v>17.018084699999999</v>
      </c>
      <c r="K1336" s="6">
        <v>-96.718677189999994</v>
      </c>
      <c r="L1336" s="6" t="str">
        <f>HYPERLINK("https://maps.google.com/?q=17.0180847,-96.71867719", "🔗 Ver Mapa")</f>
        <v>🔗 Ver Mapa</v>
      </c>
    </row>
    <row r="1337" spans="1:12" ht="58" x14ac:dyDescent="0.35">
      <c r="A1337" s="5" t="s">
        <v>297</v>
      </c>
      <c r="B1337" s="5" t="s">
        <v>298</v>
      </c>
      <c r="C1337" s="5" t="s">
        <v>306</v>
      </c>
      <c r="D1337" s="5" t="s">
        <v>13</v>
      </c>
      <c r="E1337" s="5" t="s">
        <v>52</v>
      </c>
      <c r="F1337" s="5" t="s">
        <v>70</v>
      </c>
      <c r="G1337" s="5" t="s">
        <v>123</v>
      </c>
      <c r="H1337" s="5" t="s">
        <v>307</v>
      </c>
      <c r="I1337" s="5" t="s">
        <v>32</v>
      </c>
      <c r="J1337" s="5">
        <v>17.018084699999999</v>
      </c>
      <c r="K1337" s="5">
        <v>-96.718677189999994</v>
      </c>
      <c r="L1337" s="5" t="str">
        <f>HYPERLINK("https://maps.google.com/?q=17.0180847,-96.71867719", "🔗 Ver Mapa")</f>
        <v>🔗 Ver Mapa</v>
      </c>
    </row>
    <row r="1338" spans="1:12" ht="58" x14ac:dyDescent="0.35">
      <c r="A1338" s="6" t="s">
        <v>297</v>
      </c>
      <c r="B1338" s="6" t="s">
        <v>298</v>
      </c>
      <c r="C1338" s="6" t="s">
        <v>306</v>
      </c>
      <c r="D1338" s="6" t="s">
        <v>13</v>
      </c>
      <c r="E1338" s="6" t="s">
        <v>52</v>
      </c>
      <c r="F1338" s="6" t="s">
        <v>70</v>
      </c>
      <c r="G1338" s="6" t="s">
        <v>123</v>
      </c>
      <c r="H1338" s="6" t="s">
        <v>307</v>
      </c>
      <c r="I1338" s="6" t="s">
        <v>32</v>
      </c>
      <c r="J1338" s="6">
        <v>17.018891150000002</v>
      </c>
      <c r="K1338" s="6">
        <v>-96.718331770000006</v>
      </c>
      <c r="L1338" s="6" t="str">
        <f>HYPERLINK("https://maps.google.com/?q=17.01889115,-96.71833177", "🔗 Ver Mapa")</f>
        <v>🔗 Ver Mapa</v>
      </c>
    </row>
    <row r="1339" spans="1:12" ht="58" x14ac:dyDescent="0.35">
      <c r="A1339" s="5" t="s">
        <v>297</v>
      </c>
      <c r="B1339" s="5" t="s">
        <v>298</v>
      </c>
      <c r="C1339" s="5" t="s">
        <v>306</v>
      </c>
      <c r="D1339" s="5" t="s">
        <v>13</v>
      </c>
      <c r="E1339" s="5" t="s">
        <v>52</v>
      </c>
      <c r="F1339" s="5" t="s">
        <v>70</v>
      </c>
      <c r="G1339" s="5" t="s">
        <v>123</v>
      </c>
      <c r="H1339" s="5" t="s">
        <v>307</v>
      </c>
      <c r="I1339" s="5" t="s">
        <v>32</v>
      </c>
      <c r="J1339" s="5">
        <v>17.018891150000002</v>
      </c>
      <c r="K1339" s="5">
        <v>-96.718331770000006</v>
      </c>
      <c r="L1339" s="5" t="str">
        <f>HYPERLINK("https://maps.google.com/?q=17.01889115,-96.71833177", "🔗 Ver Mapa")</f>
        <v>🔗 Ver Mapa</v>
      </c>
    </row>
    <row r="1340" spans="1:12" ht="58" x14ac:dyDescent="0.35">
      <c r="A1340" s="6" t="s">
        <v>297</v>
      </c>
      <c r="B1340" s="6" t="s">
        <v>298</v>
      </c>
      <c r="C1340" s="6" t="s">
        <v>306</v>
      </c>
      <c r="D1340" s="6" t="s">
        <v>13</v>
      </c>
      <c r="E1340" s="6" t="s">
        <v>52</v>
      </c>
      <c r="F1340" s="6" t="s">
        <v>70</v>
      </c>
      <c r="G1340" s="6" t="s">
        <v>123</v>
      </c>
      <c r="H1340" s="6" t="s">
        <v>307</v>
      </c>
      <c r="I1340" s="6" t="s">
        <v>32</v>
      </c>
      <c r="J1340" s="6">
        <v>17.018891150000002</v>
      </c>
      <c r="K1340" s="6">
        <v>-96.718331770000006</v>
      </c>
      <c r="L1340" s="6" t="str">
        <f>HYPERLINK("https://maps.google.com/?q=17.01889115,-96.71833177", "🔗 Ver Mapa")</f>
        <v>🔗 Ver Mapa</v>
      </c>
    </row>
    <row r="1341" spans="1:12" ht="58" x14ac:dyDescent="0.35">
      <c r="A1341" s="5" t="s">
        <v>297</v>
      </c>
      <c r="B1341" s="5" t="s">
        <v>298</v>
      </c>
      <c r="C1341" s="5" t="s">
        <v>306</v>
      </c>
      <c r="D1341" s="5" t="s">
        <v>13</v>
      </c>
      <c r="E1341" s="5" t="s">
        <v>52</v>
      </c>
      <c r="F1341" s="5" t="s">
        <v>70</v>
      </c>
      <c r="G1341" s="5" t="s">
        <v>123</v>
      </c>
      <c r="H1341" s="5" t="s">
        <v>307</v>
      </c>
      <c r="I1341" s="5" t="s">
        <v>32</v>
      </c>
      <c r="J1341" s="5">
        <v>17.018891150000002</v>
      </c>
      <c r="K1341" s="5">
        <v>-96.718331770000006</v>
      </c>
      <c r="L1341" s="5" t="str">
        <f>HYPERLINK("https://maps.google.com/?q=17.01889115,-96.71833177", "🔗 Ver Mapa")</f>
        <v>🔗 Ver Mapa</v>
      </c>
    </row>
    <row r="1342" spans="1:12" ht="58" x14ac:dyDescent="0.35">
      <c r="A1342" s="6" t="s">
        <v>297</v>
      </c>
      <c r="B1342" s="6" t="s">
        <v>298</v>
      </c>
      <c r="C1342" s="6" t="s">
        <v>306</v>
      </c>
      <c r="D1342" s="6" t="s">
        <v>13</v>
      </c>
      <c r="E1342" s="6" t="s">
        <v>52</v>
      </c>
      <c r="F1342" s="6" t="s">
        <v>70</v>
      </c>
      <c r="G1342" s="6" t="s">
        <v>123</v>
      </c>
      <c r="H1342" s="6" t="s">
        <v>307</v>
      </c>
      <c r="I1342" s="6" t="s">
        <v>32</v>
      </c>
      <c r="J1342" s="6">
        <v>17.018946799999998</v>
      </c>
      <c r="K1342" s="6">
        <v>-96.718225000000004</v>
      </c>
      <c r="L1342" s="6" t="str">
        <f>HYPERLINK("https://maps.google.com/?q=17.0189468,-96.718225", "🔗 Ver Mapa")</f>
        <v>🔗 Ver Mapa</v>
      </c>
    </row>
    <row r="1343" spans="1:12" ht="58" x14ac:dyDescent="0.35">
      <c r="A1343" s="5" t="s">
        <v>297</v>
      </c>
      <c r="B1343" s="5" t="s">
        <v>298</v>
      </c>
      <c r="C1343" s="5" t="s">
        <v>306</v>
      </c>
      <c r="D1343" s="5" t="s">
        <v>13</v>
      </c>
      <c r="E1343" s="5" t="s">
        <v>52</v>
      </c>
      <c r="F1343" s="5" t="s">
        <v>70</v>
      </c>
      <c r="G1343" s="5" t="s">
        <v>123</v>
      </c>
      <c r="H1343" s="5" t="s">
        <v>307</v>
      </c>
      <c r="I1343" s="5" t="s">
        <v>32</v>
      </c>
      <c r="J1343" s="5">
        <v>17.018946799999998</v>
      </c>
      <c r="K1343" s="5">
        <v>-96.718225000000004</v>
      </c>
      <c r="L1343" s="5" t="str">
        <f>HYPERLINK("https://maps.google.com/?q=17.0189468,-96.718225", "🔗 Ver Mapa")</f>
        <v>🔗 Ver Mapa</v>
      </c>
    </row>
    <row r="1344" spans="1:12" ht="58" x14ac:dyDescent="0.35">
      <c r="A1344" s="6" t="s">
        <v>297</v>
      </c>
      <c r="B1344" s="6" t="s">
        <v>298</v>
      </c>
      <c r="C1344" s="6" t="s">
        <v>306</v>
      </c>
      <c r="D1344" s="6" t="s">
        <v>13</v>
      </c>
      <c r="E1344" s="6" t="s">
        <v>52</v>
      </c>
      <c r="F1344" s="6" t="s">
        <v>70</v>
      </c>
      <c r="G1344" s="6" t="s">
        <v>123</v>
      </c>
      <c r="H1344" s="6" t="s">
        <v>307</v>
      </c>
      <c r="I1344" s="6" t="s">
        <v>32</v>
      </c>
      <c r="J1344" s="6">
        <v>17.018946799999998</v>
      </c>
      <c r="K1344" s="6">
        <v>-96.718225000000004</v>
      </c>
      <c r="L1344" s="6" t="str">
        <f>HYPERLINK("https://maps.google.com/?q=17.0189468,-96.718225", "🔗 Ver Mapa")</f>
        <v>🔗 Ver Mapa</v>
      </c>
    </row>
    <row r="1345" spans="1:12" ht="58" x14ac:dyDescent="0.35">
      <c r="A1345" s="5" t="s">
        <v>297</v>
      </c>
      <c r="B1345" s="5" t="s">
        <v>298</v>
      </c>
      <c r="C1345" s="5" t="s">
        <v>306</v>
      </c>
      <c r="D1345" s="5" t="s">
        <v>13</v>
      </c>
      <c r="E1345" s="5" t="s">
        <v>52</v>
      </c>
      <c r="F1345" s="5" t="s">
        <v>70</v>
      </c>
      <c r="G1345" s="5" t="s">
        <v>123</v>
      </c>
      <c r="H1345" s="5" t="s">
        <v>307</v>
      </c>
      <c r="I1345" s="5" t="s">
        <v>32</v>
      </c>
      <c r="J1345" s="5">
        <v>17.018946799999998</v>
      </c>
      <c r="K1345" s="5">
        <v>-96.718225000000004</v>
      </c>
      <c r="L1345" s="5" t="str">
        <f>HYPERLINK("https://maps.google.com/?q=17.0189468,-96.718225", "🔗 Ver Mapa")</f>
        <v>🔗 Ver Mapa</v>
      </c>
    </row>
    <row r="1346" spans="1:12" ht="58" x14ac:dyDescent="0.35">
      <c r="A1346" s="6" t="s">
        <v>297</v>
      </c>
      <c r="B1346" s="6" t="s">
        <v>298</v>
      </c>
      <c r="C1346" s="6" t="s">
        <v>306</v>
      </c>
      <c r="D1346" s="6" t="s">
        <v>13</v>
      </c>
      <c r="E1346" s="6" t="s">
        <v>52</v>
      </c>
      <c r="F1346" s="6" t="s">
        <v>70</v>
      </c>
      <c r="G1346" s="6" t="s">
        <v>123</v>
      </c>
      <c r="H1346" s="6" t="s">
        <v>307</v>
      </c>
      <c r="I1346" s="6" t="s">
        <v>32</v>
      </c>
      <c r="J1346" s="6">
        <v>17.019725300000001</v>
      </c>
      <c r="K1346" s="6">
        <v>-96.718037499999994</v>
      </c>
      <c r="L1346" s="6" t="str">
        <f>HYPERLINK("https://maps.google.com/?q=17.0197253,-96.7180375", "🔗 Ver Mapa")</f>
        <v>🔗 Ver Mapa</v>
      </c>
    </row>
    <row r="1347" spans="1:12" ht="58" x14ac:dyDescent="0.35">
      <c r="A1347" s="5" t="s">
        <v>297</v>
      </c>
      <c r="B1347" s="5" t="s">
        <v>298</v>
      </c>
      <c r="C1347" s="5" t="s">
        <v>306</v>
      </c>
      <c r="D1347" s="5" t="s">
        <v>13</v>
      </c>
      <c r="E1347" s="5" t="s">
        <v>52</v>
      </c>
      <c r="F1347" s="5" t="s">
        <v>70</v>
      </c>
      <c r="G1347" s="5" t="s">
        <v>123</v>
      </c>
      <c r="H1347" s="5" t="s">
        <v>307</v>
      </c>
      <c r="I1347" s="5" t="s">
        <v>32</v>
      </c>
      <c r="J1347" s="5">
        <v>17.019725300000001</v>
      </c>
      <c r="K1347" s="5">
        <v>-96.718037499999994</v>
      </c>
      <c r="L1347" s="5" t="str">
        <f>HYPERLINK("https://maps.google.com/?q=17.0197253,-96.7180375", "🔗 Ver Mapa")</f>
        <v>🔗 Ver Mapa</v>
      </c>
    </row>
    <row r="1348" spans="1:12" ht="58" x14ac:dyDescent="0.35">
      <c r="A1348" s="6" t="s">
        <v>297</v>
      </c>
      <c r="B1348" s="6" t="s">
        <v>298</v>
      </c>
      <c r="C1348" s="6" t="s">
        <v>306</v>
      </c>
      <c r="D1348" s="6" t="s">
        <v>13</v>
      </c>
      <c r="E1348" s="6" t="s">
        <v>52</v>
      </c>
      <c r="F1348" s="6" t="s">
        <v>70</v>
      </c>
      <c r="G1348" s="6" t="s">
        <v>123</v>
      </c>
      <c r="H1348" s="6" t="s">
        <v>307</v>
      </c>
      <c r="I1348" s="6" t="s">
        <v>32</v>
      </c>
      <c r="J1348" s="6">
        <v>17.019725300000001</v>
      </c>
      <c r="K1348" s="6">
        <v>-96.718037499999994</v>
      </c>
      <c r="L1348" s="6" t="str">
        <f>HYPERLINK("https://maps.google.com/?q=17.0197253,-96.7180375", "🔗 Ver Mapa")</f>
        <v>🔗 Ver Mapa</v>
      </c>
    </row>
    <row r="1349" spans="1:12" ht="58" x14ac:dyDescent="0.35">
      <c r="A1349" s="5" t="s">
        <v>297</v>
      </c>
      <c r="B1349" s="5" t="s">
        <v>298</v>
      </c>
      <c r="C1349" s="5" t="s">
        <v>306</v>
      </c>
      <c r="D1349" s="5" t="s">
        <v>13</v>
      </c>
      <c r="E1349" s="5" t="s">
        <v>52</v>
      </c>
      <c r="F1349" s="5" t="s">
        <v>70</v>
      </c>
      <c r="G1349" s="5" t="s">
        <v>123</v>
      </c>
      <c r="H1349" s="5" t="s">
        <v>307</v>
      </c>
      <c r="I1349" s="5" t="s">
        <v>32</v>
      </c>
      <c r="J1349" s="5">
        <v>17.019725300000001</v>
      </c>
      <c r="K1349" s="5">
        <v>-96.718037499999994</v>
      </c>
      <c r="L1349" s="5" t="str">
        <f>HYPERLINK("https://maps.google.com/?q=17.0197253,-96.7180375", "🔗 Ver Mapa")</f>
        <v>🔗 Ver Mapa</v>
      </c>
    </row>
    <row r="1350" spans="1:12" ht="58" x14ac:dyDescent="0.35">
      <c r="A1350" s="6" t="s">
        <v>297</v>
      </c>
      <c r="B1350" s="6" t="s">
        <v>298</v>
      </c>
      <c r="C1350" s="6" t="s">
        <v>306</v>
      </c>
      <c r="D1350" s="6" t="s">
        <v>13</v>
      </c>
      <c r="E1350" s="6" t="s">
        <v>52</v>
      </c>
      <c r="F1350" s="6" t="s">
        <v>70</v>
      </c>
      <c r="G1350" s="6" t="s">
        <v>123</v>
      </c>
      <c r="H1350" s="6" t="s">
        <v>307</v>
      </c>
      <c r="I1350" s="6" t="s">
        <v>32</v>
      </c>
      <c r="J1350" s="6">
        <v>17.020021530000001</v>
      </c>
      <c r="K1350" s="6">
        <v>-96.718138929999995</v>
      </c>
      <c r="L1350" s="6" t="str">
        <f>HYPERLINK("https://maps.google.com/?q=17.02002153,-96.71813893", "🔗 Ver Mapa")</f>
        <v>🔗 Ver Mapa</v>
      </c>
    </row>
    <row r="1351" spans="1:12" ht="58" x14ac:dyDescent="0.35">
      <c r="A1351" s="5" t="s">
        <v>297</v>
      </c>
      <c r="B1351" s="5" t="s">
        <v>298</v>
      </c>
      <c r="C1351" s="5" t="s">
        <v>306</v>
      </c>
      <c r="D1351" s="5" t="s">
        <v>13</v>
      </c>
      <c r="E1351" s="5" t="s">
        <v>52</v>
      </c>
      <c r="F1351" s="5" t="s">
        <v>70</v>
      </c>
      <c r="G1351" s="5" t="s">
        <v>123</v>
      </c>
      <c r="H1351" s="5" t="s">
        <v>307</v>
      </c>
      <c r="I1351" s="5" t="s">
        <v>32</v>
      </c>
      <c r="J1351" s="5">
        <v>17.020021530000001</v>
      </c>
      <c r="K1351" s="5">
        <v>-96.718138929999995</v>
      </c>
      <c r="L1351" s="5" t="str">
        <f>HYPERLINK("https://maps.google.com/?q=17.02002153,-96.71813893", "🔗 Ver Mapa")</f>
        <v>🔗 Ver Mapa</v>
      </c>
    </row>
    <row r="1352" spans="1:12" ht="58" x14ac:dyDescent="0.35">
      <c r="A1352" s="6" t="s">
        <v>297</v>
      </c>
      <c r="B1352" s="6" t="s">
        <v>298</v>
      </c>
      <c r="C1352" s="6" t="s">
        <v>306</v>
      </c>
      <c r="D1352" s="6" t="s">
        <v>13</v>
      </c>
      <c r="E1352" s="6" t="s">
        <v>52</v>
      </c>
      <c r="F1352" s="6" t="s">
        <v>70</v>
      </c>
      <c r="G1352" s="6" t="s">
        <v>123</v>
      </c>
      <c r="H1352" s="6" t="s">
        <v>307</v>
      </c>
      <c r="I1352" s="6" t="s">
        <v>32</v>
      </c>
      <c r="J1352" s="6">
        <v>17.020021530000001</v>
      </c>
      <c r="K1352" s="6">
        <v>-96.718138929999995</v>
      </c>
      <c r="L1352" s="6" t="str">
        <f>HYPERLINK("https://maps.google.com/?q=17.02002153,-96.71813893", "🔗 Ver Mapa")</f>
        <v>🔗 Ver Mapa</v>
      </c>
    </row>
    <row r="1353" spans="1:12" ht="58" x14ac:dyDescent="0.35">
      <c r="A1353" s="5" t="s">
        <v>297</v>
      </c>
      <c r="B1353" s="5" t="s">
        <v>298</v>
      </c>
      <c r="C1353" s="5" t="s">
        <v>306</v>
      </c>
      <c r="D1353" s="5" t="s">
        <v>13</v>
      </c>
      <c r="E1353" s="5" t="s">
        <v>52</v>
      </c>
      <c r="F1353" s="5" t="s">
        <v>70</v>
      </c>
      <c r="G1353" s="5" t="s">
        <v>123</v>
      </c>
      <c r="H1353" s="5" t="s">
        <v>307</v>
      </c>
      <c r="I1353" s="5" t="s">
        <v>32</v>
      </c>
      <c r="J1353" s="5">
        <v>17.020021530000001</v>
      </c>
      <c r="K1353" s="5">
        <v>-96.718138929999995</v>
      </c>
      <c r="L1353" s="5" t="str">
        <f>HYPERLINK("https://maps.google.com/?q=17.02002153,-96.71813893", "🔗 Ver Mapa")</f>
        <v>🔗 Ver Mapa</v>
      </c>
    </row>
    <row r="1354" spans="1:12" ht="58" x14ac:dyDescent="0.35">
      <c r="A1354" s="6" t="s">
        <v>297</v>
      </c>
      <c r="B1354" s="6" t="s">
        <v>298</v>
      </c>
      <c r="C1354" s="6" t="s">
        <v>306</v>
      </c>
      <c r="D1354" s="6" t="s">
        <v>13</v>
      </c>
      <c r="E1354" s="6" t="s">
        <v>52</v>
      </c>
      <c r="F1354" s="6" t="s">
        <v>70</v>
      </c>
      <c r="G1354" s="6" t="s">
        <v>123</v>
      </c>
      <c r="H1354" s="6" t="s">
        <v>307</v>
      </c>
      <c r="I1354" s="6" t="s">
        <v>32</v>
      </c>
      <c r="J1354" s="6">
        <v>17.020366889999998</v>
      </c>
      <c r="K1354" s="6">
        <v>-96.718112239999996</v>
      </c>
      <c r="L1354" s="6" t="str">
        <f>HYPERLINK("https://maps.google.com/?q=17.02036689,-96.71811224", "🔗 Ver Mapa")</f>
        <v>🔗 Ver Mapa</v>
      </c>
    </row>
    <row r="1355" spans="1:12" ht="58" x14ac:dyDescent="0.35">
      <c r="A1355" s="5" t="s">
        <v>297</v>
      </c>
      <c r="B1355" s="5" t="s">
        <v>298</v>
      </c>
      <c r="C1355" s="5" t="s">
        <v>306</v>
      </c>
      <c r="D1355" s="5" t="s">
        <v>13</v>
      </c>
      <c r="E1355" s="5" t="s">
        <v>52</v>
      </c>
      <c r="F1355" s="5" t="s">
        <v>70</v>
      </c>
      <c r="G1355" s="5" t="s">
        <v>123</v>
      </c>
      <c r="H1355" s="5" t="s">
        <v>307</v>
      </c>
      <c r="I1355" s="5" t="s">
        <v>32</v>
      </c>
      <c r="J1355" s="5">
        <v>17.020366889999998</v>
      </c>
      <c r="K1355" s="5">
        <v>-96.718112239999996</v>
      </c>
      <c r="L1355" s="5" t="str">
        <f>HYPERLINK("https://maps.google.com/?q=17.02036689,-96.71811224", "🔗 Ver Mapa")</f>
        <v>🔗 Ver Mapa</v>
      </c>
    </row>
    <row r="1356" spans="1:12" ht="58" x14ac:dyDescent="0.35">
      <c r="A1356" s="6" t="s">
        <v>297</v>
      </c>
      <c r="B1356" s="6" t="s">
        <v>298</v>
      </c>
      <c r="C1356" s="6" t="s">
        <v>306</v>
      </c>
      <c r="D1356" s="6" t="s">
        <v>13</v>
      </c>
      <c r="E1356" s="6" t="s">
        <v>52</v>
      </c>
      <c r="F1356" s="6" t="s">
        <v>70</v>
      </c>
      <c r="G1356" s="6" t="s">
        <v>123</v>
      </c>
      <c r="H1356" s="6" t="s">
        <v>307</v>
      </c>
      <c r="I1356" s="6" t="s">
        <v>32</v>
      </c>
      <c r="J1356" s="6">
        <v>17.020366889999998</v>
      </c>
      <c r="K1356" s="6">
        <v>-96.718112239999996</v>
      </c>
      <c r="L1356" s="6" t="str">
        <f>HYPERLINK("https://maps.google.com/?q=17.02036689,-96.71811224", "🔗 Ver Mapa")</f>
        <v>🔗 Ver Mapa</v>
      </c>
    </row>
    <row r="1357" spans="1:12" ht="58" x14ac:dyDescent="0.35">
      <c r="A1357" s="5" t="s">
        <v>297</v>
      </c>
      <c r="B1357" s="5" t="s">
        <v>298</v>
      </c>
      <c r="C1357" s="5" t="s">
        <v>306</v>
      </c>
      <c r="D1357" s="5" t="s">
        <v>13</v>
      </c>
      <c r="E1357" s="5" t="s">
        <v>52</v>
      </c>
      <c r="F1357" s="5" t="s">
        <v>70</v>
      </c>
      <c r="G1357" s="5" t="s">
        <v>123</v>
      </c>
      <c r="H1357" s="5" t="s">
        <v>307</v>
      </c>
      <c r="I1357" s="5" t="s">
        <v>32</v>
      </c>
      <c r="J1357" s="5">
        <v>17.020366889999998</v>
      </c>
      <c r="K1357" s="5">
        <v>-96.718112239999996</v>
      </c>
      <c r="L1357" s="5" t="str">
        <f>HYPERLINK("https://maps.google.com/?q=17.02036689,-96.71811224", "🔗 Ver Mapa")</f>
        <v>🔗 Ver Mapa</v>
      </c>
    </row>
    <row r="1358" spans="1:12" ht="58" x14ac:dyDescent="0.35">
      <c r="A1358" s="6" t="s">
        <v>297</v>
      </c>
      <c r="B1358" s="6" t="s">
        <v>298</v>
      </c>
      <c r="C1358" s="6" t="s">
        <v>306</v>
      </c>
      <c r="D1358" s="6" t="s">
        <v>13</v>
      </c>
      <c r="E1358" s="6" t="s">
        <v>52</v>
      </c>
      <c r="F1358" s="6" t="s">
        <v>70</v>
      </c>
      <c r="G1358" s="6" t="s">
        <v>123</v>
      </c>
      <c r="H1358" s="6" t="s">
        <v>307</v>
      </c>
      <c r="I1358" s="6" t="s">
        <v>32</v>
      </c>
      <c r="J1358" s="6">
        <v>17.02079444</v>
      </c>
      <c r="K1358" s="6">
        <v>-96.717963449999999</v>
      </c>
      <c r="L1358" s="6" t="str">
        <f t="shared" ref="L1358:L1365" si="0">HYPERLINK("https://maps.google.com/?q=17.02079444,-96.71796345", "🔗 Ver Mapa")</f>
        <v>🔗 Ver Mapa</v>
      </c>
    </row>
    <row r="1359" spans="1:12" ht="58" x14ac:dyDescent="0.35">
      <c r="A1359" s="5" t="s">
        <v>297</v>
      </c>
      <c r="B1359" s="5" t="s">
        <v>298</v>
      </c>
      <c r="C1359" s="5" t="s">
        <v>306</v>
      </c>
      <c r="D1359" s="5" t="s">
        <v>13</v>
      </c>
      <c r="E1359" s="5" t="s">
        <v>52</v>
      </c>
      <c r="F1359" s="5" t="s">
        <v>70</v>
      </c>
      <c r="G1359" s="5" t="s">
        <v>123</v>
      </c>
      <c r="H1359" s="5" t="s">
        <v>307</v>
      </c>
      <c r="I1359" s="5" t="s">
        <v>32</v>
      </c>
      <c r="J1359" s="5">
        <v>17.02079444</v>
      </c>
      <c r="K1359" s="5">
        <v>-96.717963449999999</v>
      </c>
      <c r="L1359" s="5" t="str">
        <f t="shared" si="0"/>
        <v>🔗 Ver Mapa</v>
      </c>
    </row>
    <row r="1360" spans="1:12" ht="58" x14ac:dyDescent="0.35">
      <c r="A1360" s="6" t="s">
        <v>297</v>
      </c>
      <c r="B1360" s="6" t="s">
        <v>298</v>
      </c>
      <c r="C1360" s="6" t="s">
        <v>306</v>
      </c>
      <c r="D1360" s="6" t="s">
        <v>13</v>
      </c>
      <c r="E1360" s="6" t="s">
        <v>52</v>
      </c>
      <c r="F1360" s="6" t="s">
        <v>70</v>
      </c>
      <c r="G1360" s="6" t="s">
        <v>123</v>
      </c>
      <c r="H1360" s="6" t="s">
        <v>307</v>
      </c>
      <c r="I1360" s="6" t="s">
        <v>32</v>
      </c>
      <c r="J1360" s="6">
        <v>17.02079444</v>
      </c>
      <c r="K1360" s="6">
        <v>-96.717963449999999</v>
      </c>
      <c r="L1360" s="6" t="str">
        <f t="shared" si="0"/>
        <v>🔗 Ver Mapa</v>
      </c>
    </row>
    <row r="1361" spans="1:12" ht="58" x14ac:dyDescent="0.35">
      <c r="A1361" s="5" t="s">
        <v>297</v>
      </c>
      <c r="B1361" s="5" t="s">
        <v>298</v>
      </c>
      <c r="C1361" s="5" t="s">
        <v>306</v>
      </c>
      <c r="D1361" s="5" t="s">
        <v>13</v>
      </c>
      <c r="E1361" s="5" t="s">
        <v>52</v>
      </c>
      <c r="F1361" s="5" t="s">
        <v>70</v>
      </c>
      <c r="G1361" s="5" t="s">
        <v>123</v>
      </c>
      <c r="H1361" s="5" t="s">
        <v>307</v>
      </c>
      <c r="I1361" s="5" t="s">
        <v>32</v>
      </c>
      <c r="J1361" s="5">
        <v>17.02079444</v>
      </c>
      <c r="K1361" s="5">
        <v>-96.717963449999999</v>
      </c>
      <c r="L1361" s="5" t="str">
        <f t="shared" si="0"/>
        <v>🔗 Ver Mapa</v>
      </c>
    </row>
    <row r="1362" spans="1:12" ht="58" x14ac:dyDescent="0.35">
      <c r="A1362" s="6" t="s">
        <v>297</v>
      </c>
      <c r="B1362" s="6" t="s">
        <v>298</v>
      </c>
      <c r="C1362" s="6" t="s">
        <v>306</v>
      </c>
      <c r="D1362" s="6" t="s">
        <v>13</v>
      </c>
      <c r="E1362" s="6" t="s">
        <v>52</v>
      </c>
      <c r="F1362" s="6" t="s">
        <v>70</v>
      </c>
      <c r="G1362" s="6" t="s">
        <v>123</v>
      </c>
      <c r="H1362" s="6" t="s">
        <v>307</v>
      </c>
      <c r="I1362" s="6" t="s">
        <v>31</v>
      </c>
      <c r="J1362" s="6">
        <v>17.02079444</v>
      </c>
      <c r="K1362" s="6">
        <v>-96.717963449999999</v>
      </c>
      <c r="L1362" s="6" t="str">
        <f t="shared" si="0"/>
        <v>🔗 Ver Mapa</v>
      </c>
    </row>
    <row r="1363" spans="1:12" ht="58" x14ac:dyDescent="0.35">
      <c r="A1363" s="5" t="s">
        <v>297</v>
      </c>
      <c r="B1363" s="5" t="s">
        <v>298</v>
      </c>
      <c r="C1363" s="5" t="s">
        <v>306</v>
      </c>
      <c r="D1363" s="5" t="s">
        <v>13</v>
      </c>
      <c r="E1363" s="5" t="s">
        <v>52</v>
      </c>
      <c r="F1363" s="5" t="s">
        <v>70</v>
      </c>
      <c r="G1363" s="5" t="s">
        <v>123</v>
      </c>
      <c r="H1363" s="5" t="s">
        <v>307</v>
      </c>
      <c r="I1363" s="5" t="s">
        <v>31</v>
      </c>
      <c r="J1363" s="5">
        <v>17.02079444</v>
      </c>
      <c r="K1363" s="5">
        <v>-96.717963449999999</v>
      </c>
      <c r="L1363" s="5" t="str">
        <f t="shared" si="0"/>
        <v>🔗 Ver Mapa</v>
      </c>
    </row>
    <row r="1364" spans="1:12" ht="58" x14ac:dyDescent="0.35">
      <c r="A1364" s="6" t="s">
        <v>297</v>
      </c>
      <c r="B1364" s="6" t="s">
        <v>298</v>
      </c>
      <c r="C1364" s="6" t="s">
        <v>306</v>
      </c>
      <c r="D1364" s="6" t="s">
        <v>13</v>
      </c>
      <c r="E1364" s="6" t="s">
        <v>52</v>
      </c>
      <c r="F1364" s="6" t="s">
        <v>70</v>
      </c>
      <c r="G1364" s="6" t="s">
        <v>123</v>
      </c>
      <c r="H1364" s="6" t="s">
        <v>307</v>
      </c>
      <c r="I1364" s="6" t="s">
        <v>31</v>
      </c>
      <c r="J1364" s="6">
        <v>17.02079444</v>
      </c>
      <c r="K1364" s="6">
        <v>-96.717963449999999</v>
      </c>
      <c r="L1364" s="6" t="str">
        <f t="shared" si="0"/>
        <v>🔗 Ver Mapa</v>
      </c>
    </row>
    <row r="1365" spans="1:12" ht="58" x14ac:dyDescent="0.35">
      <c r="A1365" s="5" t="s">
        <v>297</v>
      </c>
      <c r="B1365" s="5" t="s">
        <v>298</v>
      </c>
      <c r="C1365" s="5" t="s">
        <v>306</v>
      </c>
      <c r="D1365" s="5" t="s">
        <v>13</v>
      </c>
      <c r="E1365" s="5" t="s">
        <v>52</v>
      </c>
      <c r="F1365" s="5" t="s">
        <v>70</v>
      </c>
      <c r="G1365" s="5" t="s">
        <v>123</v>
      </c>
      <c r="H1365" s="5" t="s">
        <v>307</v>
      </c>
      <c r="I1365" s="5" t="s">
        <v>31</v>
      </c>
      <c r="J1365" s="5">
        <v>17.02079444</v>
      </c>
      <c r="K1365" s="5">
        <v>-96.717963449999999</v>
      </c>
      <c r="L1365" s="5" t="str">
        <f t="shared" si="0"/>
        <v>🔗 Ver Mapa</v>
      </c>
    </row>
    <row r="1366" spans="1:12" ht="29" x14ac:dyDescent="0.35">
      <c r="A1366" s="6" t="s">
        <v>282</v>
      </c>
      <c r="B1366" s="6" t="s">
        <v>283</v>
      </c>
      <c r="C1366" s="6" t="s">
        <v>308</v>
      </c>
      <c r="D1366" s="6" t="s">
        <v>76</v>
      </c>
      <c r="E1366" s="6" t="s">
        <v>52</v>
      </c>
      <c r="F1366" s="6" t="s">
        <v>70</v>
      </c>
      <c r="G1366" s="6" t="s">
        <v>71</v>
      </c>
      <c r="H1366" s="6" t="s">
        <v>72</v>
      </c>
      <c r="I1366" s="6" t="s">
        <v>31</v>
      </c>
      <c r="J1366" s="6">
        <v>17.048224999999999</v>
      </c>
      <c r="K1366" s="6">
        <v>-96.711478999999997</v>
      </c>
      <c r="L1366" s="6" t="str">
        <f>HYPERLINK("https://maps.google.com/?q=17.048225,-96.711479", "🔗 Ver Mapa")</f>
        <v>🔗 Ver Mapa</v>
      </c>
    </row>
    <row r="1367" spans="1:12" ht="29" x14ac:dyDescent="0.35">
      <c r="A1367" s="5" t="s">
        <v>282</v>
      </c>
      <c r="B1367" s="5" t="s">
        <v>283</v>
      </c>
      <c r="C1367" s="5" t="s">
        <v>308</v>
      </c>
      <c r="D1367" s="5" t="s">
        <v>76</v>
      </c>
      <c r="E1367" s="5" t="s">
        <v>52</v>
      </c>
      <c r="F1367" s="5" t="s">
        <v>70</v>
      </c>
      <c r="G1367" s="5" t="s">
        <v>71</v>
      </c>
      <c r="H1367" s="5" t="s">
        <v>72</v>
      </c>
      <c r="I1367" s="5" t="s">
        <v>31</v>
      </c>
      <c r="J1367" s="5">
        <v>17.048275</v>
      </c>
      <c r="K1367" s="5">
        <v>-96.711470000000006</v>
      </c>
      <c r="L1367" s="5" t="str">
        <f>HYPERLINK("https://maps.google.com/?q=17.048275,-96.71147", "🔗 Ver Mapa")</f>
        <v>🔗 Ver Mapa</v>
      </c>
    </row>
    <row r="1368" spans="1:12" ht="29" x14ac:dyDescent="0.35">
      <c r="A1368" s="6" t="s">
        <v>282</v>
      </c>
      <c r="B1368" s="6" t="s">
        <v>283</v>
      </c>
      <c r="C1368" s="6" t="s">
        <v>308</v>
      </c>
      <c r="D1368" s="6" t="s">
        <v>76</v>
      </c>
      <c r="E1368" s="6" t="s">
        <v>52</v>
      </c>
      <c r="F1368" s="6" t="s">
        <v>70</v>
      </c>
      <c r="G1368" s="6" t="s">
        <v>71</v>
      </c>
      <c r="H1368" s="6" t="s">
        <v>72</v>
      </c>
      <c r="I1368" s="6" t="s">
        <v>31</v>
      </c>
      <c r="J1368" s="6">
        <v>17.048310000000001</v>
      </c>
      <c r="K1368" s="6">
        <v>-96.711275000000001</v>
      </c>
      <c r="L1368" s="6" t="str">
        <f>HYPERLINK("https://maps.google.com/?q=17.04831,-96.711275", "🔗 Ver Mapa")</f>
        <v>🔗 Ver Mapa</v>
      </c>
    </row>
    <row r="1369" spans="1:12" ht="29" x14ac:dyDescent="0.35">
      <c r="A1369" s="5" t="s">
        <v>282</v>
      </c>
      <c r="B1369" s="5" t="s">
        <v>283</v>
      </c>
      <c r="C1369" s="5" t="s">
        <v>308</v>
      </c>
      <c r="D1369" s="5" t="s">
        <v>76</v>
      </c>
      <c r="E1369" s="5" t="s">
        <v>52</v>
      </c>
      <c r="F1369" s="5" t="s">
        <v>70</v>
      </c>
      <c r="G1369" s="5" t="s">
        <v>71</v>
      </c>
      <c r="H1369" s="5" t="s">
        <v>72</v>
      </c>
      <c r="I1369" s="5" t="s">
        <v>31</v>
      </c>
      <c r="J1369" s="5">
        <v>17.048545000000001</v>
      </c>
      <c r="K1369" s="5">
        <v>-96.716610000000003</v>
      </c>
      <c r="L1369" s="5" t="str">
        <f>HYPERLINK("https://maps.google.com/?q=17.048545,-96.71661", "🔗 Ver Mapa")</f>
        <v>🔗 Ver Mapa</v>
      </c>
    </row>
    <row r="1370" spans="1:12" ht="43.5" x14ac:dyDescent="0.35">
      <c r="A1370" s="6" t="s">
        <v>309</v>
      </c>
      <c r="B1370" s="6" t="s">
        <v>310</v>
      </c>
      <c r="C1370" s="6" t="s">
        <v>311</v>
      </c>
      <c r="D1370" s="6" t="s">
        <v>312</v>
      </c>
      <c r="E1370" s="6" t="s">
        <v>52</v>
      </c>
      <c r="F1370" s="6" t="s">
        <v>70</v>
      </c>
      <c r="G1370" s="6" t="s">
        <v>71</v>
      </c>
      <c r="H1370" s="6" t="s">
        <v>72</v>
      </c>
      <c r="I1370" s="6" t="s">
        <v>31</v>
      </c>
      <c r="J1370" s="6">
        <v>17.063685973718002</v>
      </c>
      <c r="K1370" s="6">
        <v>-96.729641469862003</v>
      </c>
      <c r="L1370" s="6" t="str">
        <f>HYPERLINK("https://maps.google.com/?q=17.0636859737182,-96.7296414698624", "🔗 Ver Mapa")</f>
        <v>🔗 Ver Mapa</v>
      </c>
    </row>
    <row r="1371" spans="1:12" ht="43.5" x14ac:dyDescent="0.35">
      <c r="A1371" s="5" t="s">
        <v>309</v>
      </c>
      <c r="B1371" s="5" t="s">
        <v>310</v>
      </c>
      <c r="C1371" s="5" t="s">
        <v>313</v>
      </c>
      <c r="D1371" s="5" t="s">
        <v>312</v>
      </c>
      <c r="E1371" s="5" t="s">
        <v>140</v>
      </c>
      <c r="F1371" s="5" t="s">
        <v>141</v>
      </c>
      <c r="G1371" s="5" t="s">
        <v>187</v>
      </c>
      <c r="H1371" s="5" t="s">
        <v>188</v>
      </c>
      <c r="I1371" s="5" t="s">
        <v>31</v>
      </c>
      <c r="J1371" s="5">
        <v>18.092906031982999</v>
      </c>
      <c r="K1371" s="5">
        <v>-96.145206901077998</v>
      </c>
      <c r="L1371" s="5" t="str">
        <f>HYPERLINK("https://maps.google.com/?q=18.0929060319826,-96.1452069010785", "🔗 Ver Mapa")</f>
        <v>🔗 Ver Mapa</v>
      </c>
    </row>
    <row r="1372" spans="1:12" ht="43.5" x14ac:dyDescent="0.35">
      <c r="A1372" s="6" t="s">
        <v>309</v>
      </c>
      <c r="B1372" s="6" t="s">
        <v>310</v>
      </c>
      <c r="C1372" s="6" t="s">
        <v>314</v>
      </c>
      <c r="D1372" s="6" t="s">
        <v>312</v>
      </c>
      <c r="E1372" s="6" t="s">
        <v>17</v>
      </c>
      <c r="F1372" s="6" t="s">
        <v>46</v>
      </c>
      <c r="G1372" s="6" t="s">
        <v>212</v>
      </c>
      <c r="H1372" s="6" t="s">
        <v>213</v>
      </c>
      <c r="I1372" s="6" t="s">
        <v>31</v>
      </c>
      <c r="J1372" s="6">
        <v>15.994811260416</v>
      </c>
      <c r="K1372" s="6">
        <v>-97.424954029356002</v>
      </c>
      <c r="L1372" s="6" t="str">
        <f>HYPERLINK("https://maps.google.com/?q=15.994811260416,-97.424954029356", "🔗 Ver Mapa")</f>
        <v>🔗 Ver Mapa</v>
      </c>
    </row>
    <row r="1373" spans="1:12" ht="43.5" x14ac:dyDescent="0.35">
      <c r="A1373" s="5" t="s">
        <v>309</v>
      </c>
      <c r="B1373" s="5" t="s">
        <v>310</v>
      </c>
      <c r="C1373" s="5" t="s">
        <v>315</v>
      </c>
      <c r="D1373" s="5" t="s">
        <v>312</v>
      </c>
      <c r="E1373" s="5" t="s">
        <v>52</v>
      </c>
      <c r="F1373" s="5" t="s">
        <v>70</v>
      </c>
      <c r="G1373" s="5" t="s">
        <v>123</v>
      </c>
      <c r="H1373" s="5" t="s">
        <v>307</v>
      </c>
      <c r="I1373" s="5" t="s">
        <v>31</v>
      </c>
      <c r="J1373" s="5">
        <v>17.016999940261002</v>
      </c>
      <c r="K1373" s="5">
        <v>-96.719964761702002</v>
      </c>
      <c r="L1373" s="5" t="str">
        <f>HYPERLINK("https://maps.google.com/?q=17.0169999402607,-96.7199647617017", "🔗 Ver Mapa")</f>
        <v>🔗 Ver Mapa</v>
      </c>
    </row>
    <row r="1374" spans="1:12" ht="43.5" x14ac:dyDescent="0.35">
      <c r="A1374" s="6" t="s">
        <v>309</v>
      </c>
      <c r="B1374" s="6" t="s">
        <v>310</v>
      </c>
      <c r="C1374" s="6" t="s">
        <v>316</v>
      </c>
      <c r="D1374" s="6" t="s">
        <v>312</v>
      </c>
      <c r="E1374" s="6" t="s">
        <v>52</v>
      </c>
      <c r="F1374" s="6" t="s">
        <v>70</v>
      </c>
      <c r="G1374" s="6" t="s">
        <v>317</v>
      </c>
      <c r="H1374" s="6" t="s">
        <v>318</v>
      </c>
      <c r="I1374" s="6" t="s">
        <v>31</v>
      </c>
      <c r="J1374" s="6">
        <v>17.063827142891</v>
      </c>
      <c r="K1374" s="6">
        <v>-96.704804429166998</v>
      </c>
      <c r="L1374" s="6" t="str">
        <f>HYPERLINK("https://maps.google.com/?q=17.06382714289129,-96.704804429167197", "🔗 Ver Mapa")</f>
        <v>🔗 Ver Mapa</v>
      </c>
    </row>
    <row r="1375" spans="1:12" ht="43.5" x14ac:dyDescent="0.35">
      <c r="A1375" s="5" t="s">
        <v>309</v>
      </c>
      <c r="B1375" s="5" t="s">
        <v>310</v>
      </c>
      <c r="C1375" s="5" t="s">
        <v>319</v>
      </c>
      <c r="D1375" s="5" t="s">
        <v>312</v>
      </c>
      <c r="E1375" s="5" t="s">
        <v>52</v>
      </c>
      <c r="F1375" s="5" t="s">
        <v>70</v>
      </c>
      <c r="G1375" s="5" t="s">
        <v>272</v>
      </c>
      <c r="H1375" s="5" t="s">
        <v>320</v>
      </c>
      <c r="I1375" s="5" t="s">
        <v>31</v>
      </c>
      <c r="J1375" s="5">
        <v>16.909980699999998</v>
      </c>
      <c r="K1375" s="5">
        <v>-96.720372999999995</v>
      </c>
      <c r="L1375" s="5" t="str">
        <f>HYPERLINK("https://maps.google.com/?q=16.9099807,-96.720373", "🔗 Ver Mapa")</f>
        <v>🔗 Ver Mapa</v>
      </c>
    </row>
    <row r="1376" spans="1:12" ht="43.5" x14ac:dyDescent="0.35">
      <c r="A1376" s="6" t="s">
        <v>321</v>
      </c>
      <c r="B1376" s="6" t="s">
        <v>322</v>
      </c>
      <c r="C1376" s="6" t="s">
        <v>323</v>
      </c>
      <c r="D1376" s="6" t="s">
        <v>69</v>
      </c>
      <c r="E1376" s="6" t="s">
        <v>324</v>
      </c>
      <c r="F1376" s="6" t="s">
        <v>325</v>
      </c>
      <c r="G1376" s="6" t="s">
        <v>326</v>
      </c>
      <c r="H1376" s="6" t="s">
        <v>327</v>
      </c>
      <c r="I1376" s="6" t="s">
        <v>31</v>
      </c>
      <c r="J1376" s="6">
        <v>15.746143999999999</v>
      </c>
      <c r="K1376" s="6">
        <v>-96.465182999999996</v>
      </c>
      <c r="L1376" s="6" t="str">
        <f>HYPERLINK("https://maps.google.com/?q=15.746144,-96.465182999999996", "🔗 Ver Mapa")</f>
        <v>🔗 Ver Mapa</v>
      </c>
    </row>
    <row r="1377" spans="1:12" ht="43.5" x14ac:dyDescent="0.35">
      <c r="A1377" s="5" t="s">
        <v>321</v>
      </c>
      <c r="B1377" s="5" t="s">
        <v>322</v>
      </c>
      <c r="C1377" s="5" t="s">
        <v>323</v>
      </c>
      <c r="D1377" s="5" t="s">
        <v>69</v>
      </c>
      <c r="E1377" s="5" t="s">
        <v>324</v>
      </c>
      <c r="F1377" s="5" t="s">
        <v>325</v>
      </c>
      <c r="G1377" s="5" t="s">
        <v>326</v>
      </c>
      <c r="H1377" s="5" t="s">
        <v>327</v>
      </c>
      <c r="I1377" s="5" t="s">
        <v>31</v>
      </c>
      <c r="J1377" s="5">
        <v>16.237075999999998</v>
      </c>
      <c r="K1377" s="5">
        <v>-97.292351999999994</v>
      </c>
      <c r="L1377" s="5" t="str">
        <f>HYPERLINK("https://maps.google.com/?q=16.237076,-97.292351999999994", "🔗 Ver Mapa")</f>
        <v>🔗 Ver Mapa</v>
      </c>
    </row>
    <row r="1378" spans="1:12" ht="43.5" x14ac:dyDescent="0.35">
      <c r="A1378" s="6" t="s">
        <v>321</v>
      </c>
      <c r="B1378" s="6" t="s">
        <v>322</v>
      </c>
      <c r="C1378" s="6" t="s">
        <v>323</v>
      </c>
      <c r="D1378" s="6" t="s">
        <v>69</v>
      </c>
      <c r="E1378" s="6" t="s">
        <v>324</v>
      </c>
      <c r="F1378" s="6" t="s">
        <v>325</v>
      </c>
      <c r="G1378" s="6" t="s">
        <v>326</v>
      </c>
      <c r="H1378" s="6" t="s">
        <v>327</v>
      </c>
      <c r="I1378" s="6" t="s">
        <v>31</v>
      </c>
      <c r="J1378" s="6">
        <v>16.328751</v>
      </c>
      <c r="K1378" s="6">
        <v>-96.596529000000004</v>
      </c>
      <c r="L1378" s="6" t="str">
        <f>HYPERLINK("https://maps.google.com/?q=16.328751,-96.596529000000004", "🔗 Ver Mapa")</f>
        <v>🔗 Ver Mapa</v>
      </c>
    </row>
    <row r="1379" spans="1:12" ht="43.5" x14ac:dyDescent="0.35">
      <c r="A1379" s="5" t="s">
        <v>321</v>
      </c>
      <c r="B1379" s="5" t="s">
        <v>322</v>
      </c>
      <c r="C1379" s="5" t="s">
        <v>323</v>
      </c>
      <c r="D1379" s="5" t="s">
        <v>69</v>
      </c>
      <c r="E1379" s="5" t="s">
        <v>324</v>
      </c>
      <c r="F1379" s="5" t="s">
        <v>325</v>
      </c>
      <c r="G1379" s="5" t="s">
        <v>326</v>
      </c>
      <c r="H1379" s="5" t="s">
        <v>327</v>
      </c>
      <c r="I1379" s="5" t="s">
        <v>31</v>
      </c>
      <c r="J1379" s="5">
        <v>16.332014000000001</v>
      </c>
      <c r="K1379" s="5">
        <v>-95.231966</v>
      </c>
      <c r="L1379" s="5" t="str">
        <f>HYPERLINK("https://maps.google.com/?q=16.332014,-95.231966", "🔗 Ver Mapa")</f>
        <v>🔗 Ver Mapa</v>
      </c>
    </row>
    <row r="1380" spans="1:12" ht="43.5" x14ac:dyDescent="0.35">
      <c r="A1380" s="6" t="s">
        <v>321</v>
      </c>
      <c r="B1380" s="6" t="s">
        <v>322</v>
      </c>
      <c r="C1380" s="6" t="s">
        <v>323</v>
      </c>
      <c r="D1380" s="6" t="s">
        <v>69</v>
      </c>
      <c r="E1380" s="6" t="s">
        <v>324</v>
      </c>
      <c r="F1380" s="6" t="s">
        <v>325</v>
      </c>
      <c r="G1380" s="6" t="s">
        <v>326</v>
      </c>
      <c r="H1380" s="6" t="s">
        <v>327</v>
      </c>
      <c r="I1380" s="6" t="s">
        <v>31</v>
      </c>
      <c r="J1380" s="6">
        <v>16.433347000000001</v>
      </c>
      <c r="K1380" s="6">
        <v>-95.021687</v>
      </c>
      <c r="L1380" s="6" t="str">
        <f>HYPERLINK("https://maps.google.com/?q=16.433347,-95.021687", "🔗 Ver Mapa")</f>
        <v>🔗 Ver Mapa</v>
      </c>
    </row>
    <row r="1381" spans="1:12" ht="43.5" x14ac:dyDescent="0.35">
      <c r="A1381" s="5" t="s">
        <v>321</v>
      </c>
      <c r="B1381" s="5" t="s">
        <v>322</v>
      </c>
      <c r="C1381" s="5" t="s">
        <v>323</v>
      </c>
      <c r="D1381" s="5" t="s">
        <v>69</v>
      </c>
      <c r="E1381" s="5" t="s">
        <v>324</v>
      </c>
      <c r="F1381" s="5" t="s">
        <v>325</v>
      </c>
      <c r="G1381" s="5" t="s">
        <v>326</v>
      </c>
      <c r="H1381" s="5" t="s">
        <v>327</v>
      </c>
      <c r="I1381" s="5" t="s">
        <v>31</v>
      </c>
      <c r="J1381" s="5">
        <v>16.519807</v>
      </c>
      <c r="K1381" s="5">
        <v>-96.983885000000001</v>
      </c>
      <c r="L1381" s="5" t="str">
        <f>HYPERLINK("https://maps.google.com/?q=16.519807,-96.983885000000001", "🔗 Ver Mapa")</f>
        <v>🔗 Ver Mapa</v>
      </c>
    </row>
    <row r="1382" spans="1:12" ht="43.5" x14ac:dyDescent="0.35">
      <c r="A1382" s="6" t="s">
        <v>321</v>
      </c>
      <c r="B1382" s="6" t="s">
        <v>322</v>
      </c>
      <c r="C1382" s="6" t="s">
        <v>323</v>
      </c>
      <c r="D1382" s="6" t="s">
        <v>69</v>
      </c>
      <c r="E1382" s="6" t="s">
        <v>324</v>
      </c>
      <c r="F1382" s="6" t="s">
        <v>325</v>
      </c>
      <c r="G1382" s="6" t="s">
        <v>326</v>
      </c>
      <c r="H1382" s="6" t="s">
        <v>327</v>
      </c>
      <c r="I1382" s="6" t="s">
        <v>31</v>
      </c>
      <c r="J1382" s="6">
        <v>16.564243999999999</v>
      </c>
      <c r="K1382" s="6">
        <v>-96.731829000000005</v>
      </c>
      <c r="L1382" s="6" t="str">
        <f>HYPERLINK("https://maps.google.com/?q=16.564244,-96.731829000000005", "🔗 Ver Mapa")</f>
        <v>🔗 Ver Mapa</v>
      </c>
    </row>
    <row r="1383" spans="1:12" ht="43.5" x14ac:dyDescent="0.35">
      <c r="A1383" s="5" t="s">
        <v>321</v>
      </c>
      <c r="B1383" s="5" t="s">
        <v>322</v>
      </c>
      <c r="C1383" s="5" t="s">
        <v>323</v>
      </c>
      <c r="D1383" s="5" t="s">
        <v>69</v>
      </c>
      <c r="E1383" s="5" t="s">
        <v>324</v>
      </c>
      <c r="F1383" s="5" t="s">
        <v>325</v>
      </c>
      <c r="G1383" s="5" t="s">
        <v>326</v>
      </c>
      <c r="H1383" s="5" t="s">
        <v>327</v>
      </c>
      <c r="I1383" s="5" t="s">
        <v>31</v>
      </c>
      <c r="J1383" s="5">
        <v>16.791625</v>
      </c>
      <c r="K1383" s="5">
        <v>-96.674999</v>
      </c>
      <c r="L1383" s="5" t="str">
        <f>HYPERLINK("https://maps.google.com/?q=16.791625,-96.674999", "🔗 Ver Mapa")</f>
        <v>🔗 Ver Mapa</v>
      </c>
    </row>
    <row r="1384" spans="1:12" ht="43.5" x14ac:dyDescent="0.35">
      <c r="A1384" s="6" t="s">
        <v>321</v>
      </c>
      <c r="B1384" s="6" t="s">
        <v>322</v>
      </c>
      <c r="C1384" s="6" t="s">
        <v>323</v>
      </c>
      <c r="D1384" s="6" t="s">
        <v>69</v>
      </c>
      <c r="E1384" s="6" t="s">
        <v>324</v>
      </c>
      <c r="F1384" s="6" t="s">
        <v>325</v>
      </c>
      <c r="G1384" s="6" t="s">
        <v>326</v>
      </c>
      <c r="H1384" s="6" t="s">
        <v>327</v>
      </c>
      <c r="I1384" s="6" t="s">
        <v>31</v>
      </c>
      <c r="J1384" s="6">
        <v>16.955580000000001</v>
      </c>
      <c r="K1384" s="6">
        <v>-96.479206000000005</v>
      </c>
      <c r="L1384" s="6" t="str">
        <f>HYPERLINK("https://maps.google.com/?q=16.95558,-96.479206000000005", "🔗 Ver Mapa")</f>
        <v>🔗 Ver Mapa</v>
      </c>
    </row>
    <row r="1385" spans="1:12" ht="43.5" x14ac:dyDescent="0.35">
      <c r="A1385" s="5" t="s">
        <v>321</v>
      </c>
      <c r="B1385" s="5" t="s">
        <v>322</v>
      </c>
      <c r="C1385" s="5" t="s">
        <v>323</v>
      </c>
      <c r="D1385" s="5" t="s">
        <v>69</v>
      </c>
      <c r="E1385" s="5" t="s">
        <v>324</v>
      </c>
      <c r="F1385" s="5" t="s">
        <v>325</v>
      </c>
      <c r="G1385" s="5" t="s">
        <v>326</v>
      </c>
      <c r="H1385" s="5" t="s">
        <v>327</v>
      </c>
      <c r="I1385" s="5" t="s">
        <v>31</v>
      </c>
      <c r="J1385" s="5">
        <v>17.027131000000001</v>
      </c>
      <c r="K1385" s="5">
        <v>-96.077044000000001</v>
      </c>
      <c r="L1385" s="5" t="str">
        <f>HYPERLINK("https://maps.google.com/?q=17.027131,-96.077044000000001", "🔗 Ver Mapa")</f>
        <v>🔗 Ver Mapa</v>
      </c>
    </row>
    <row r="1386" spans="1:12" ht="43.5" x14ac:dyDescent="0.35">
      <c r="A1386" s="6" t="s">
        <v>321</v>
      </c>
      <c r="B1386" s="6" t="s">
        <v>322</v>
      </c>
      <c r="C1386" s="6" t="s">
        <v>323</v>
      </c>
      <c r="D1386" s="6" t="s">
        <v>69</v>
      </c>
      <c r="E1386" s="6" t="s">
        <v>324</v>
      </c>
      <c r="F1386" s="6" t="s">
        <v>325</v>
      </c>
      <c r="G1386" s="6" t="s">
        <v>326</v>
      </c>
      <c r="H1386" s="6" t="s">
        <v>327</v>
      </c>
      <c r="I1386" s="6" t="s">
        <v>31</v>
      </c>
      <c r="J1386" s="6">
        <v>17.063777999999999</v>
      </c>
      <c r="K1386" s="6">
        <v>-96.729971000000006</v>
      </c>
      <c r="L1386" s="6" t="str">
        <f>HYPERLINK("https://maps.google.com/?q=17.063778,-96.729971000000006", "🔗 Ver Mapa")</f>
        <v>🔗 Ver Mapa</v>
      </c>
    </row>
    <row r="1387" spans="1:12" ht="43.5" x14ac:dyDescent="0.35">
      <c r="A1387" s="5" t="s">
        <v>321</v>
      </c>
      <c r="B1387" s="5" t="s">
        <v>322</v>
      </c>
      <c r="C1387" s="5" t="s">
        <v>323</v>
      </c>
      <c r="D1387" s="5" t="s">
        <v>69</v>
      </c>
      <c r="E1387" s="5" t="s">
        <v>324</v>
      </c>
      <c r="F1387" s="5" t="s">
        <v>325</v>
      </c>
      <c r="G1387" s="5" t="s">
        <v>326</v>
      </c>
      <c r="H1387" s="5" t="s">
        <v>327</v>
      </c>
      <c r="I1387" s="5" t="s">
        <v>31</v>
      </c>
      <c r="J1387" s="5">
        <v>17.207464000000002</v>
      </c>
      <c r="K1387" s="5">
        <v>-96.801094000000006</v>
      </c>
      <c r="L1387" s="5" t="str">
        <f>HYPERLINK("https://maps.google.com/?q=17.207464,-96.801094000000006", "🔗 Ver Mapa")</f>
        <v>🔗 Ver Mapa</v>
      </c>
    </row>
    <row r="1388" spans="1:12" ht="43.5" x14ac:dyDescent="0.35">
      <c r="A1388" s="6" t="s">
        <v>321</v>
      </c>
      <c r="B1388" s="6" t="s">
        <v>322</v>
      </c>
      <c r="C1388" s="6" t="s">
        <v>323</v>
      </c>
      <c r="D1388" s="6" t="s">
        <v>69</v>
      </c>
      <c r="E1388" s="6" t="s">
        <v>324</v>
      </c>
      <c r="F1388" s="6" t="s">
        <v>325</v>
      </c>
      <c r="G1388" s="6" t="s">
        <v>326</v>
      </c>
      <c r="H1388" s="6" t="s">
        <v>327</v>
      </c>
      <c r="I1388" s="6" t="s">
        <v>31</v>
      </c>
      <c r="J1388" s="6">
        <v>17.267448999999999</v>
      </c>
      <c r="K1388" s="6">
        <v>-97.680485000000004</v>
      </c>
      <c r="L1388" s="6" t="str">
        <f>HYPERLINK("https://maps.google.com/?q=17.267449,-97.680485000000004", "🔗 Ver Mapa")</f>
        <v>🔗 Ver Mapa</v>
      </c>
    </row>
    <row r="1389" spans="1:12" ht="43.5" x14ac:dyDescent="0.35">
      <c r="A1389" s="5" t="s">
        <v>321</v>
      </c>
      <c r="B1389" s="5" t="s">
        <v>322</v>
      </c>
      <c r="C1389" s="5" t="s">
        <v>323</v>
      </c>
      <c r="D1389" s="5" t="s">
        <v>69</v>
      </c>
      <c r="E1389" s="5" t="s">
        <v>324</v>
      </c>
      <c r="F1389" s="5" t="s">
        <v>325</v>
      </c>
      <c r="G1389" s="5" t="s">
        <v>326</v>
      </c>
      <c r="H1389" s="5" t="s">
        <v>327</v>
      </c>
      <c r="I1389" s="5" t="s">
        <v>31</v>
      </c>
      <c r="J1389" s="5">
        <v>17.331247999999999</v>
      </c>
      <c r="K1389" s="5">
        <v>-96.487900999999994</v>
      </c>
      <c r="L1389" s="5" t="str">
        <f>HYPERLINK("https://maps.google.com/?q=17.331248,-96.487900999999994", "🔗 Ver Mapa")</f>
        <v>🔗 Ver Mapa</v>
      </c>
    </row>
    <row r="1390" spans="1:12" ht="43.5" x14ac:dyDescent="0.35">
      <c r="A1390" s="6" t="s">
        <v>321</v>
      </c>
      <c r="B1390" s="6" t="s">
        <v>322</v>
      </c>
      <c r="C1390" s="6" t="s">
        <v>323</v>
      </c>
      <c r="D1390" s="6" t="s">
        <v>69</v>
      </c>
      <c r="E1390" s="6" t="s">
        <v>324</v>
      </c>
      <c r="F1390" s="6" t="s">
        <v>325</v>
      </c>
      <c r="G1390" s="6" t="s">
        <v>326</v>
      </c>
      <c r="H1390" s="6" t="s">
        <v>327</v>
      </c>
      <c r="I1390" s="6" t="s">
        <v>31</v>
      </c>
      <c r="J1390" s="6">
        <v>17.458341000000001</v>
      </c>
      <c r="K1390" s="6">
        <v>-97.225285</v>
      </c>
      <c r="L1390" s="6" t="str">
        <f>HYPERLINK("https://maps.google.com/?q=17.458341,-97.225285", "🔗 Ver Mapa")</f>
        <v>🔗 Ver Mapa</v>
      </c>
    </row>
    <row r="1391" spans="1:12" ht="43.5" x14ac:dyDescent="0.35">
      <c r="A1391" s="5" t="s">
        <v>321</v>
      </c>
      <c r="B1391" s="5" t="s">
        <v>322</v>
      </c>
      <c r="C1391" s="5" t="s">
        <v>323</v>
      </c>
      <c r="D1391" s="5" t="s">
        <v>69</v>
      </c>
      <c r="E1391" s="5" t="s">
        <v>324</v>
      </c>
      <c r="F1391" s="5" t="s">
        <v>325</v>
      </c>
      <c r="G1391" s="5" t="s">
        <v>326</v>
      </c>
      <c r="H1391" s="5" t="s">
        <v>327</v>
      </c>
      <c r="I1391" s="5" t="s">
        <v>31</v>
      </c>
      <c r="J1391" s="5">
        <v>17.501442000000001</v>
      </c>
      <c r="K1391" s="5">
        <v>-98.142583999999999</v>
      </c>
      <c r="L1391" s="5" t="str">
        <f>HYPERLINK("https://maps.google.com/?q=17.501442,-98.142583999999999", "🔗 Ver Mapa")</f>
        <v>🔗 Ver Mapa</v>
      </c>
    </row>
    <row r="1392" spans="1:12" ht="43.5" x14ac:dyDescent="0.35">
      <c r="A1392" s="6" t="s">
        <v>321</v>
      </c>
      <c r="B1392" s="6" t="s">
        <v>322</v>
      </c>
      <c r="C1392" s="6" t="s">
        <v>323</v>
      </c>
      <c r="D1392" s="6" t="s">
        <v>69</v>
      </c>
      <c r="E1392" s="6" t="s">
        <v>324</v>
      </c>
      <c r="F1392" s="6" t="s">
        <v>325</v>
      </c>
      <c r="G1392" s="6" t="s">
        <v>326</v>
      </c>
      <c r="H1392" s="6" t="s">
        <v>327</v>
      </c>
      <c r="I1392" s="6" t="s">
        <v>31</v>
      </c>
      <c r="J1392" s="6">
        <v>17.511838000000001</v>
      </c>
      <c r="K1392" s="6">
        <v>-97.488547999999994</v>
      </c>
      <c r="L1392" s="6" t="str">
        <f>HYPERLINK("https://maps.google.com/?q=17.511838,-97.488547999999994", "🔗 Ver Mapa")</f>
        <v>🔗 Ver Mapa</v>
      </c>
    </row>
    <row r="1393" spans="1:12" ht="43.5" x14ac:dyDescent="0.35">
      <c r="A1393" s="5" t="s">
        <v>321</v>
      </c>
      <c r="B1393" s="5" t="s">
        <v>322</v>
      </c>
      <c r="C1393" s="5" t="s">
        <v>323</v>
      </c>
      <c r="D1393" s="5" t="s">
        <v>69</v>
      </c>
      <c r="E1393" s="5" t="s">
        <v>324</v>
      </c>
      <c r="F1393" s="5" t="s">
        <v>325</v>
      </c>
      <c r="G1393" s="5" t="s">
        <v>326</v>
      </c>
      <c r="H1393" s="5" t="s">
        <v>327</v>
      </c>
      <c r="I1393" s="5" t="s">
        <v>31</v>
      </c>
      <c r="J1393" s="5">
        <v>17.806621</v>
      </c>
      <c r="K1393" s="5">
        <v>-97.776161999999999</v>
      </c>
      <c r="L1393" s="5" t="str">
        <f>HYPERLINK("https://maps.google.com/?q=17.806621,-97.776161999999999", "🔗 Ver Mapa")</f>
        <v>🔗 Ver Mapa</v>
      </c>
    </row>
    <row r="1394" spans="1:12" ht="43.5" x14ac:dyDescent="0.35">
      <c r="A1394" s="6" t="s">
        <v>321</v>
      </c>
      <c r="B1394" s="6" t="s">
        <v>322</v>
      </c>
      <c r="C1394" s="6" t="s">
        <v>323</v>
      </c>
      <c r="D1394" s="6" t="s">
        <v>69</v>
      </c>
      <c r="E1394" s="6" t="s">
        <v>324</v>
      </c>
      <c r="F1394" s="6" t="s">
        <v>325</v>
      </c>
      <c r="G1394" s="6" t="s">
        <v>326</v>
      </c>
      <c r="H1394" s="6" t="s">
        <v>327</v>
      </c>
      <c r="I1394" s="6" t="s">
        <v>31</v>
      </c>
      <c r="J1394" s="6">
        <v>18.081168999999999</v>
      </c>
      <c r="K1394" s="6">
        <v>-96.118475000000004</v>
      </c>
      <c r="L1394" s="6" t="str">
        <f>HYPERLINK("https://maps.google.com/?q=18.081169,-96.118475000000004", "🔗 Ver Mapa")</f>
        <v>🔗 Ver Mapa</v>
      </c>
    </row>
    <row r="1395" spans="1:12" ht="43.5" x14ac:dyDescent="0.35">
      <c r="A1395" s="5" t="s">
        <v>321</v>
      </c>
      <c r="B1395" s="5" t="s">
        <v>322</v>
      </c>
      <c r="C1395" s="5" t="s">
        <v>323</v>
      </c>
      <c r="D1395" s="5" t="s">
        <v>69</v>
      </c>
      <c r="E1395" s="5" t="s">
        <v>324</v>
      </c>
      <c r="F1395" s="5" t="s">
        <v>325</v>
      </c>
      <c r="G1395" s="5" t="s">
        <v>326</v>
      </c>
      <c r="H1395" s="5" t="s">
        <v>327</v>
      </c>
      <c r="I1395" s="5" t="s">
        <v>31</v>
      </c>
      <c r="J1395" s="5">
        <v>18.13222</v>
      </c>
      <c r="K1395" s="5">
        <v>-97.070751000000001</v>
      </c>
      <c r="L1395" s="5" t="str">
        <f>HYPERLINK("https://maps.google.com/?q=18.13222,-97.070751000000001", "🔗 Ver Mapa")</f>
        <v>🔗 Ver Mapa</v>
      </c>
    </row>
    <row r="1396" spans="1:12" ht="43.5" x14ac:dyDescent="0.35">
      <c r="A1396" s="6" t="s">
        <v>321</v>
      </c>
      <c r="B1396" s="6" t="s">
        <v>322</v>
      </c>
      <c r="C1396" s="6" t="s">
        <v>328</v>
      </c>
      <c r="D1396" s="6" t="s">
        <v>69</v>
      </c>
      <c r="E1396" s="6" t="s">
        <v>324</v>
      </c>
      <c r="F1396" s="6" t="s">
        <v>325</v>
      </c>
      <c r="G1396" s="6" t="s">
        <v>326</v>
      </c>
      <c r="H1396" s="6" t="s">
        <v>327</v>
      </c>
      <c r="I1396" s="6" t="s">
        <v>31</v>
      </c>
      <c r="J1396" s="6">
        <v>16.237075999999998</v>
      </c>
      <c r="K1396" s="6">
        <v>-97.292351999999994</v>
      </c>
      <c r="L1396" s="6" t="str">
        <f>HYPERLINK("https://maps.google.com/?q=16.237076,-97.292351999999994", "🔗 Ver Mapa")</f>
        <v>🔗 Ver Mapa</v>
      </c>
    </row>
    <row r="1397" spans="1:12" ht="43.5" x14ac:dyDescent="0.35">
      <c r="A1397" s="5" t="s">
        <v>321</v>
      </c>
      <c r="B1397" s="5" t="s">
        <v>322</v>
      </c>
      <c r="C1397" s="5" t="s">
        <v>328</v>
      </c>
      <c r="D1397" s="5" t="s">
        <v>69</v>
      </c>
      <c r="E1397" s="5" t="s">
        <v>324</v>
      </c>
      <c r="F1397" s="5" t="s">
        <v>325</v>
      </c>
      <c r="G1397" s="5" t="s">
        <v>326</v>
      </c>
      <c r="H1397" s="5" t="s">
        <v>327</v>
      </c>
      <c r="I1397" s="5" t="s">
        <v>31</v>
      </c>
      <c r="J1397" s="5">
        <v>16.279057999999999</v>
      </c>
      <c r="K1397" s="5">
        <v>-97.820240999999996</v>
      </c>
      <c r="L1397" s="5" t="str">
        <f>HYPERLINK("https://maps.google.com/?q=16.279058,-97.820240999999996", "🔗 Ver Mapa")</f>
        <v>🔗 Ver Mapa</v>
      </c>
    </row>
    <row r="1398" spans="1:12" ht="43.5" x14ac:dyDescent="0.35">
      <c r="A1398" s="6" t="s">
        <v>321</v>
      </c>
      <c r="B1398" s="6" t="s">
        <v>322</v>
      </c>
      <c r="C1398" s="6" t="s">
        <v>328</v>
      </c>
      <c r="D1398" s="6" t="s">
        <v>69</v>
      </c>
      <c r="E1398" s="6" t="s">
        <v>324</v>
      </c>
      <c r="F1398" s="6" t="s">
        <v>325</v>
      </c>
      <c r="G1398" s="6" t="s">
        <v>326</v>
      </c>
      <c r="H1398" s="6" t="s">
        <v>327</v>
      </c>
      <c r="I1398" s="6" t="s">
        <v>31</v>
      </c>
      <c r="J1398" s="6">
        <v>16.328751</v>
      </c>
      <c r="K1398" s="6">
        <v>-96.596529000000004</v>
      </c>
      <c r="L1398" s="6" t="str">
        <f>HYPERLINK("https://maps.google.com/?q=16.328751,-96.596529000000004", "🔗 Ver Mapa")</f>
        <v>🔗 Ver Mapa</v>
      </c>
    </row>
    <row r="1399" spans="1:12" ht="43.5" x14ac:dyDescent="0.35">
      <c r="A1399" s="5" t="s">
        <v>321</v>
      </c>
      <c r="B1399" s="5" t="s">
        <v>322</v>
      </c>
      <c r="C1399" s="5" t="s">
        <v>328</v>
      </c>
      <c r="D1399" s="5" t="s">
        <v>69</v>
      </c>
      <c r="E1399" s="5" t="s">
        <v>324</v>
      </c>
      <c r="F1399" s="5" t="s">
        <v>325</v>
      </c>
      <c r="G1399" s="5" t="s">
        <v>326</v>
      </c>
      <c r="H1399" s="5" t="s">
        <v>327</v>
      </c>
      <c r="I1399" s="5" t="s">
        <v>31</v>
      </c>
      <c r="J1399" s="5">
        <v>16.332014000000001</v>
      </c>
      <c r="K1399" s="5">
        <v>-95.231966</v>
      </c>
      <c r="L1399" s="5" t="str">
        <f>HYPERLINK("https://maps.google.com/?q=16.332014,-95.231966", "🔗 Ver Mapa")</f>
        <v>🔗 Ver Mapa</v>
      </c>
    </row>
    <row r="1400" spans="1:12" ht="43.5" x14ac:dyDescent="0.35">
      <c r="A1400" s="6" t="s">
        <v>321</v>
      </c>
      <c r="B1400" s="6" t="s">
        <v>322</v>
      </c>
      <c r="C1400" s="6" t="s">
        <v>328</v>
      </c>
      <c r="D1400" s="6" t="s">
        <v>69</v>
      </c>
      <c r="E1400" s="6" t="s">
        <v>324</v>
      </c>
      <c r="F1400" s="6" t="s">
        <v>325</v>
      </c>
      <c r="G1400" s="6" t="s">
        <v>326</v>
      </c>
      <c r="H1400" s="6" t="s">
        <v>327</v>
      </c>
      <c r="I1400" s="6" t="s">
        <v>31</v>
      </c>
      <c r="J1400" s="6">
        <v>16.433347000000001</v>
      </c>
      <c r="K1400" s="6">
        <v>-95.021687</v>
      </c>
      <c r="L1400" s="6" t="str">
        <f>HYPERLINK("https://maps.google.com/?q=16.433347,-95.021687", "🔗 Ver Mapa")</f>
        <v>🔗 Ver Mapa</v>
      </c>
    </row>
    <row r="1401" spans="1:12" ht="43.5" x14ac:dyDescent="0.35">
      <c r="A1401" s="5" t="s">
        <v>321</v>
      </c>
      <c r="B1401" s="5" t="s">
        <v>322</v>
      </c>
      <c r="C1401" s="5" t="s">
        <v>328</v>
      </c>
      <c r="D1401" s="5" t="s">
        <v>69</v>
      </c>
      <c r="E1401" s="5" t="s">
        <v>324</v>
      </c>
      <c r="F1401" s="5" t="s">
        <v>325</v>
      </c>
      <c r="G1401" s="5" t="s">
        <v>326</v>
      </c>
      <c r="H1401" s="5" t="s">
        <v>327</v>
      </c>
      <c r="I1401" s="5" t="s">
        <v>31</v>
      </c>
      <c r="J1401" s="5">
        <v>16.564243999999999</v>
      </c>
      <c r="K1401" s="5">
        <v>-96.731829000000005</v>
      </c>
      <c r="L1401" s="5" t="str">
        <f>HYPERLINK("https://maps.google.com/?q=16.564244,-96.731829000000005", "🔗 Ver Mapa")</f>
        <v>🔗 Ver Mapa</v>
      </c>
    </row>
    <row r="1402" spans="1:12" ht="43.5" x14ac:dyDescent="0.35">
      <c r="A1402" s="6" t="s">
        <v>321</v>
      </c>
      <c r="B1402" s="6" t="s">
        <v>322</v>
      </c>
      <c r="C1402" s="6" t="s">
        <v>328</v>
      </c>
      <c r="D1402" s="6" t="s">
        <v>69</v>
      </c>
      <c r="E1402" s="6" t="s">
        <v>324</v>
      </c>
      <c r="F1402" s="6" t="s">
        <v>325</v>
      </c>
      <c r="G1402" s="6" t="s">
        <v>326</v>
      </c>
      <c r="H1402" s="6" t="s">
        <v>327</v>
      </c>
      <c r="I1402" s="6" t="s">
        <v>31</v>
      </c>
      <c r="J1402" s="6">
        <v>16.791625</v>
      </c>
      <c r="K1402" s="6">
        <v>-96.674999</v>
      </c>
      <c r="L1402" s="6" t="str">
        <f>HYPERLINK("https://maps.google.com/?q=16.791625,-96.674999", "🔗 Ver Mapa")</f>
        <v>🔗 Ver Mapa</v>
      </c>
    </row>
    <row r="1403" spans="1:12" ht="43.5" x14ac:dyDescent="0.35">
      <c r="A1403" s="5" t="s">
        <v>321</v>
      </c>
      <c r="B1403" s="5" t="s">
        <v>322</v>
      </c>
      <c r="C1403" s="5" t="s">
        <v>328</v>
      </c>
      <c r="D1403" s="5" t="s">
        <v>69</v>
      </c>
      <c r="E1403" s="5" t="s">
        <v>324</v>
      </c>
      <c r="F1403" s="5" t="s">
        <v>325</v>
      </c>
      <c r="G1403" s="5" t="s">
        <v>326</v>
      </c>
      <c r="H1403" s="5" t="s">
        <v>327</v>
      </c>
      <c r="I1403" s="5" t="s">
        <v>31</v>
      </c>
      <c r="J1403" s="5">
        <v>16.866371000000001</v>
      </c>
      <c r="K1403" s="5">
        <v>-96.785623000000001</v>
      </c>
      <c r="L1403" s="5" t="str">
        <f>HYPERLINK("https://maps.google.com/?q=16.866371,-96.785623000000001", "🔗 Ver Mapa")</f>
        <v>🔗 Ver Mapa</v>
      </c>
    </row>
    <row r="1404" spans="1:12" ht="43.5" x14ac:dyDescent="0.35">
      <c r="A1404" s="6" t="s">
        <v>321</v>
      </c>
      <c r="B1404" s="6" t="s">
        <v>322</v>
      </c>
      <c r="C1404" s="6" t="s">
        <v>328</v>
      </c>
      <c r="D1404" s="6" t="s">
        <v>69</v>
      </c>
      <c r="E1404" s="6" t="s">
        <v>324</v>
      </c>
      <c r="F1404" s="6" t="s">
        <v>325</v>
      </c>
      <c r="G1404" s="6" t="s">
        <v>326</v>
      </c>
      <c r="H1404" s="6" t="s">
        <v>327</v>
      </c>
      <c r="I1404" s="6" t="s">
        <v>31</v>
      </c>
      <c r="J1404" s="6">
        <v>16.950706</v>
      </c>
      <c r="K1404" s="6">
        <v>-96.750504000000006</v>
      </c>
      <c r="L1404" s="6" t="str">
        <f>HYPERLINK("https://maps.google.com/?q=16.950706,-96.750504000000006", "🔗 Ver Mapa")</f>
        <v>🔗 Ver Mapa</v>
      </c>
    </row>
    <row r="1405" spans="1:12" ht="43.5" x14ac:dyDescent="0.35">
      <c r="A1405" s="5" t="s">
        <v>321</v>
      </c>
      <c r="B1405" s="5" t="s">
        <v>322</v>
      </c>
      <c r="C1405" s="5" t="s">
        <v>328</v>
      </c>
      <c r="D1405" s="5" t="s">
        <v>69</v>
      </c>
      <c r="E1405" s="5" t="s">
        <v>324</v>
      </c>
      <c r="F1405" s="5" t="s">
        <v>325</v>
      </c>
      <c r="G1405" s="5" t="s">
        <v>326</v>
      </c>
      <c r="H1405" s="5" t="s">
        <v>327</v>
      </c>
      <c r="I1405" s="5" t="s">
        <v>31</v>
      </c>
      <c r="J1405" s="5">
        <v>17.026216000000002</v>
      </c>
      <c r="K1405" s="5">
        <v>-97.928115000000005</v>
      </c>
      <c r="L1405" s="5" t="str">
        <f>HYPERLINK("https://maps.google.com/?q=17.026216,-97.928115000000005", "🔗 Ver Mapa")</f>
        <v>🔗 Ver Mapa</v>
      </c>
    </row>
    <row r="1406" spans="1:12" ht="43.5" x14ac:dyDescent="0.35">
      <c r="A1406" s="6" t="s">
        <v>321</v>
      </c>
      <c r="B1406" s="6" t="s">
        <v>322</v>
      </c>
      <c r="C1406" s="6" t="s">
        <v>328</v>
      </c>
      <c r="D1406" s="6" t="s">
        <v>69</v>
      </c>
      <c r="E1406" s="6" t="s">
        <v>324</v>
      </c>
      <c r="F1406" s="6" t="s">
        <v>325</v>
      </c>
      <c r="G1406" s="6" t="s">
        <v>326</v>
      </c>
      <c r="H1406" s="6" t="s">
        <v>327</v>
      </c>
      <c r="I1406" s="6" t="s">
        <v>31</v>
      </c>
      <c r="J1406" s="6">
        <v>17.063777999999999</v>
      </c>
      <c r="K1406" s="6">
        <v>-96.729971000000006</v>
      </c>
      <c r="L1406" s="6" t="str">
        <f>HYPERLINK("https://maps.google.com/?q=17.063778,-96.729971000000006", "🔗 Ver Mapa")</f>
        <v>🔗 Ver Mapa</v>
      </c>
    </row>
    <row r="1407" spans="1:12" ht="43.5" x14ac:dyDescent="0.35">
      <c r="A1407" s="5" t="s">
        <v>321</v>
      </c>
      <c r="B1407" s="5" t="s">
        <v>322</v>
      </c>
      <c r="C1407" s="5" t="s">
        <v>328</v>
      </c>
      <c r="D1407" s="5" t="s">
        <v>69</v>
      </c>
      <c r="E1407" s="5" t="s">
        <v>324</v>
      </c>
      <c r="F1407" s="5" t="s">
        <v>325</v>
      </c>
      <c r="G1407" s="5" t="s">
        <v>326</v>
      </c>
      <c r="H1407" s="5" t="s">
        <v>327</v>
      </c>
      <c r="I1407" s="5" t="s">
        <v>31</v>
      </c>
      <c r="J1407" s="5">
        <v>17.267448999999999</v>
      </c>
      <c r="K1407" s="5">
        <v>-97.680485000000004</v>
      </c>
      <c r="L1407" s="5" t="str">
        <f>HYPERLINK("https://maps.google.com/?q=17.267449,-97.680485000000004", "🔗 Ver Mapa")</f>
        <v>🔗 Ver Mapa</v>
      </c>
    </row>
    <row r="1408" spans="1:12" ht="43.5" x14ac:dyDescent="0.35">
      <c r="A1408" s="6" t="s">
        <v>321</v>
      </c>
      <c r="B1408" s="6" t="s">
        <v>322</v>
      </c>
      <c r="C1408" s="6" t="s">
        <v>328</v>
      </c>
      <c r="D1408" s="6" t="s">
        <v>69</v>
      </c>
      <c r="E1408" s="6" t="s">
        <v>324</v>
      </c>
      <c r="F1408" s="6" t="s">
        <v>325</v>
      </c>
      <c r="G1408" s="6" t="s">
        <v>326</v>
      </c>
      <c r="H1408" s="6" t="s">
        <v>327</v>
      </c>
      <c r="I1408" s="6" t="s">
        <v>31</v>
      </c>
      <c r="J1408" s="6">
        <v>17.331247999999999</v>
      </c>
      <c r="K1408" s="6">
        <v>-96.487900999999994</v>
      </c>
      <c r="L1408" s="6" t="str">
        <f>HYPERLINK("https://maps.google.com/?q=17.331248,-96.487900999999994", "🔗 Ver Mapa")</f>
        <v>🔗 Ver Mapa</v>
      </c>
    </row>
    <row r="1409" spans="1:12" ht="43.5" x14ac:dyDescent="0.35">
      <c r="A1409" s="5" t="s">
        <v>321</v>
      </c>
      <c r="B1409" s="5" t="s">
        <v>322</v>
      </c>
      <c r="C1409" s="5" t="s">
        <v>328</v>
      </c>
      <c r="D1409" s="5" t="s">
        <v>69</v>
      </c>
      <c r="E1409" s="5" t="s">
        <v>324</v>
      </c>
      <c r="F1409" s="5" t="s">
        <v>325</v>
      </c>
      <c r="G1409" s="5" t="s">
        <v>326</v>
      </c>
      <c r="H1409" s="5" t="s">
        <v>327</v>
      </c>
      <c r="I1409" s="5" t="s">
        <v>31</v>
      </c>
      <c r="J1409" s="5">
        <v>17.335315999999999</v>
      </c>
      <c r="K1409" s="5">
        <v>-98.012051</v>
      </c>
      <c r="L1409" s="5" t="str">
        <f>HYPERLINK("https://maps.google.com/?q=17.335316,-98.012051", "🔗 Ver Mapa")</f>
        <v>🔗 Ver Mapa</v>
      </c>
    </row>
    <row r="1410" spans="1:12" ht="43.5" x14ac:dyDescent="0.35">
      <c r="A1410" s="6" t="s">
        <v>321</v>
      </c>
      <c r="B1410" s="6" t="s">
        <v>322</v>
      </c>
      <c r="C1410" s="6" t="s">
        <v>328</v>
      </c>
      <c r="D1410" s="6" t="s">
        <v>69</v>
      </c>
      <c r="E1410" s="6" t="s">
        <v>324</v>
      </c>
      <c r="F1410" s="6" t="s">
        <v>325</v>
      </c>
      <c r="G1410" s="6" t="s">
        <v>326</v>
      </c>
      <c r="H1410" s="6" t="s">
        <v>327</v>
      </c>
      <c r="I1410" s="6" t="s">
        <v>31</v>
      </c>
      <c r="J1410" s="6">
        <v>17.338730000000002</v>
      </c>
      <c r="K1410" s="6">
        <v>-96.152553999999995</v>
      </c>
      <c r="L1410" s="6" t="str">
        <f>HYPERLINK("https://maps.google.com/?q=17.33873,-96.152553999999995", "🔗 Ver Mapa")</f>
        <v>🔗 Ver Mapa</v>
      </c>
    </row>
    <row r="1411" spans="1:12" ht="43.5" x14ac:dyDescent="0.35">
      <c r="A1411" s="5" t="s">
        <v>321</v>
      </c>
      <c r="B1411" s="5" t="s">
        <v>322</v>
      </c>
      <c r="C1411" s="5" t="s">
        <v>328</v>
      </c>
      <c r="D1411" s="5" t="s">
        <v>69</v>
      </c>
      <c r="E1411" s="5" t="s">
        <v>324</v>
      </c>
      <c r="F1411" s="5" t="s">
        <v>325</v>
      </c>
      <c r="G1411" s="5" t="s">
        <v>326</v>
      </c>
      <c r="H1411" s="5" t="s">
        <v>327</v>
      </c>
      <c r="I1411" s="5" t="s">
        <v>31</v>
      </c>
      <c r="J1411" s="5">
        <v>17.361765999999999</v>
      </c>
      <c r="K1411" s="5">
        <v>-95.922253999999995</v>
      </c>
      <c r="L1411" s="5" t="str">
        <f>HYPERLINK("https://maps.google.com/?q=17.361766,-95.922253999999995", "🔗 Ver Mapa")</f>
        <v>🔗 Ver Mapa</v>
      </c>
    </row>
    <row r="1412" spans="1:12" ht="43.5" x14ac:dyDescent="0.35">
      <c r="A1412" s="6" t="s">
        <v>321</v>
      </c>
      <c r="B1412" s="6" t="s">
        <v>322</v>
      </c>
      <c r="C1412" s="6" t="s">
        <v>328</v>
      </c>
      <c r="D1412" s="6" t="s">
        <v>69</v>
      </c>
      <c r="E1412" s="6" t="s">
        <v>324</v>
      </c>
      <c r="F1412" s="6" t="s">
        <v>325</v>
      </c>
      <c r="G1412" s="6" t="s">
        <v>326</v>
      </c>
      <c r="H1412" s="6" t="s">
        <v>327</v>
      </c>
      <c r="I1412" s="6" t="s">
        <v>31</v>
      </c>
      <c r="J1412" s="6">
        <v>17.458341000000001</v>
      </c>
      <c r="K1412" s="6">
        <v>-97.225285</v>
      </c>
      <c r="L1412" s="6" t="str">
        <f>HYPERLINK("https://maps.google.com/?q=17.458341,-97.225285", "🔗 Ver Mapa")</f>
        <v>🔗 Ver Mapa</v>
      </c>
    </row>
    <row r="1413" spans="1:12" ht="43.5" x14ac:dyDescent="0.35">
      <c r="A1413" s="5" t="s">
        <v>321</v>
      </c>
      <c r="B1413" s="5" t="s">
        <v>322</v>
      </c>
      <c r="C1413" s="5" t="s">
        <v>328</v>
      </c>
      <c r="D1413" s="5" t="s">
        <v>69</v>
      </c>
      <c r="E1413" s="5" t="s">
        <v>324</v>
      </c>
      <c r="F1413" s="5" t="s">
        <v>325</v>
      </c>
      <c r="G1413" s="5" t="s">
        <v>326</v>
      </c>
      <c r="H1413" s="5" t="s">
        <v>327</v>
      </c>
      <c r="I1413" s="5" t="s">
        <v>31</v>
      </c>
      <c r="J1413" s="5">
        <v>17.724615</v>
      </c>
      <c r="K1413" s="5">
        <v>-97.323898</v>
      </c>
      <c r="L1413" s="5" t="str">
        <f>HYPERLINK("https://maps.google.com/?q=17.724615,-97.323898", "🔗 Ver Mapa")</f>
        <v>🔗 Ver Mapa</v>
      </c>
    </row>
    <row r="1414" spans="1:12" ht="43.5" x14ac:dyDescent="0.35">
      <c r="A1414" s="6" t="s">
        <v>321</v>
      </c>
      <c r="B1414" s="6" t="s">
        <v>322</v>
      </c>
      <c r="C1414" s="6" t="s">
        <v>328</v>
      </c>
      <c r="D1414" s="6" t="s">
        <v>69</v>
      </c>
      <c r="E1414" s="6" t="s">
        <v>324</v>
      </c>
      <c r="F1414" s="6" t="s">
        <v>325</v>
      </c>
      <c r="G1414" s="6" t="s">
        <v>326</v>
      </c>
      <c r="H1414" s="6" t="s">
        <v>327</v>
      </c>
      <c r="I1414" s="6" t="s">
        <v>31</v>
      </c>
      <c r="J1414" s="6">
        <v>17.801687000000001</v>
      </c>
      <c r="K1414" s="6">
        <v>-96.959688</v>
      </c>
      <c r="L1414" s="6" t="str">
        <f>HYPERLINK("https://maps.google.com/?q=17.801687,-96.959688", "🔗 Ver Mapa")</f>
        <v>🔗 Ver Mapa</v>
      </c>
    </row>
    <row r="1415" spans="1:12" ht="43.5" x14ac:dyDescent="0.35">
      <c r="A1415" s="5" t="s">
        <v>321</v>
      </c>
      <c r="B1415" s="5" t="s">
        <v>322</v>
      </c>
      <c r="C1415" s="5" t="s">
        <v>328</v>
      </c>
      <c r="D1415" s="5" t="s">
        <v>69</v>
      </c>
      <c r="E1415" s="5" t="s">
        <v>324</v>
      </c>
      <c r="F1415" s="5" t="s">
        <v>325</v>
      </c>
      <c r="G1415" s="5" t="s">
        <v>326</v>
      </c>
      <c r="H1415" s="5" t="s">
        <v>327</v>
      </c>
      <c r="I1415" s="5" t="s">
        <v>31</v>
      </c>
      <c r="J1415" s="5">
        <v>17.806621</v>
      </c>
      <c r="K1415" s="5">
        <v>-97.776161999999999</v>
      </c>
      <c r="L1415" s="5" t="str">
        <f>HYPERLINK("https://maps.google.com/?q=17.806621,-97.776161999999999", "🔗 Ver Mapa")</f>
        <v>🔗 Ver Mapa</v>
      </c>
    </row>
    <row r="1416" spans="1:12" ht="43.5" x14ac:dyDescent="0.35">
      <c r="A1416" s="6" t="s">
        <v>329</v>
      </c>
      <c r="B1416" s="6" t="s">
        <v>330</v>
      </c>
      <c r="C1416" s="6" t="s">
        <v>331</v>
      </c>
      <c r="D1416" s="6" t="s">
        <v>332</v>
      </c>
      <c r="E1416" s="6" t="s">
        <v>324</v>
      </c>
      <c r="F1416" s="6" t="s">
        <v>325</v>
      </c>
      <c r="G1416" s="6" t="s">
        <v>326</v>
      </c>
      <c r="H1416" s="6" t="s">
        <v>327</v>
      </c>
      <c r="I1416" s="6" t="s">
        <v>31</v>
      </c>
      <c r="J1416" s="6">
        <v>16.339652999999998</v>
      </c>
      <c r="K1416" s="6">
        <v>-98.051551000000003</v>
      </c>
      <c r="L1416" s="6" t="str">
        <f>HYPERLINK("https://maps.google.com/?q=16.339653,-98.051551", "🔗 Ver Mapa")</f>
        <v>🔗 Ver Mapa</v>
      </c>
    </row>
    <row r="1417" spans="1:12" ht="43.5" x14ac:dyDescent="0.35">
      <c r="A1417" s="5" t="s">
        <v>329</v>
      </c>
      <c r="B1417" s="5" t="s">
        <v>330</v>
      </c>
      <c r="C1417" s="5" t="s">
        <v>331</v>
      </c>
      <c r="D1417" s="5" t="s">
        <v>332</v>
      </c>
      <c r="E1417" s="5" t="s">
        <v>324</v>
      </c>
      <c r="F1417" s="5" t="s">
        <v>325</v>
      </c>
      <c r="G1417" s="5" t="s">
        <v>326</v>
      </c>
      <c r="H1417" s="5" t="s">
        <v>327</v>
      </c>
      <c r="I1417" s="5" t="s">
        <v>31</v>
      </c>
      <c r="J1417" s="5">
        <v>16.339652999999998</v>
      </c>
      <c r="K1417" s="5">
        <v>-98.051551000000003</v>
      </c>
      <c r="L1417" s="5" t="str">
        <f>HYPERLINK("https://maps.google.com/?q=16.339653,-98.051551", "🔗 Ver Mapa")</f>
        <v>🔗 Ver Mapa</v>
      </c>
    </row>
    <row r="1418" spans="1:12" ht="43.5" x14ac:dyDescent="0.35">
      <c r="A1418" s="6" t="s">
        <v>329</v>
      </c>
      <c r="B1418" s="6" t="s">
        <v>330</v>
      </c>
      <c r="C1418" s="6" t="s">
        <v>331</v>
      </c>
      <c r="D1418" s="6" t="s">
        <v>332</v>
      </c>
      <c r="E1418" s="6" t="s">
        <v>324</v>
      </c>
      <c r="F1418" s="6" t="s">
        <v>325</v>
      </c>
      <c r="G1418" s="6" t="s">
        <v>326</v>
      </c>
      <c r="H1418" s="6" t="s">
        <v>327</v>
      </c>
      <c r="I1418" s="6" t="s">
        <v>31</v>
      </c>
      <c r="J1418" s="6">
        <v>16.339652999999998</v>
      </c>
      <c r="K1418" s="6">
        <v>-98.051551000000003</v>
      </c>
      <c r="L1418" s="6" t="str">
        <f>HYPERLINK("https://maps.google.com/?q=16.339653,-98.051551", "🔗 Ver Mapa")</f>
        <v>🔗 Ver Mapa</v>
      </c>
    </row>
    <row r="1419" spans="1:12" ht="43.5" x14ac:dyDescent="0.35">
      <c r="A1419" s="5" t="s">
        <v>329</v>
      </c>
      <c r="B1419" s="5" t="s">
        <v>330</v>
      </c>
      <c r="C1419" s="5" t="s">
        <v>331</v>
      </c>
      <c r="D1419" s="5" t="s">
        <v>332</v>
      </c>
      <c r="E1419" s="5" t="s">
        <v>324</v>
      </c>
      <c r="F1419" s="5" t="s">
        <v>325</v>
      </c>
      <c r="G1419" s="5" t="s">
        <v>326</v>
      </c>
      <c r="H1419" s="5" t="s">
        <v>327</v>
      </c>
      <c r="I1419" s="5" t="s">
        <v>31</v>
      </c>
      <c r="J1419" s="5">
        <v>16.339652999999998</v>
      </c>
      <c r="K1419" s="5">
        <v>-98.051551000000003</v>
      </c>
      <c r="L1419" s="5" t="str">
        <f>HYPERLINK("https://maps.google.com/?q=16.339653,-98.051551", "🔗 Ver Mapa")</f>
        <v>🔗 Ver Mapa</v>
      </c>
    </row>
    <row r="1420" spans="1:12" ht="43.5" x14ac:dyDescent="0.35">
      <c r="A1420" s="6" t="s">
        <v>329</v>
      </c>
      <c r="B1420" s="6" t="s">
        <v>330</v>
      </c>
      <c r="C1420" s="6" t="s">
        <v>331</v>
      </c>
      <c r="D1420" s="6" t="s">
        <v>332</v>
      </c>
      <c r="E1420" s="6" t="s">
        <v>324</v>
      </c>
      <c r="F1420" s="6" t="s">
        <v>325</v>
      </c>
      <c r="G1420" s="6" t="s">
        <v>326</v>
      </c>
      <c r="H1420" s="6" t="s">
        <v>327</v>
      </c>
      <c r="I1420" s="6" t="s">
        <v>31</v>
      </c>
      <c r="J1420" s="6">
        <v>17.070529000000001</v>
      </c>
      <c r="K1420" s="6">
        <v>-96.732887000000005</v>
      </c>
      <c r="L1420" s="6" t="str">
        <f>HYPERLINK("https://maps.google.com/?q=17.070529,-96.732887", "🔗 Ver Mapa")</f>
        <v>🔗 Ver Mapa</v>
      </c>
    </row>
    <row r="1421" spans="1:12" ht="43.5" x14ac:dyDescent="0.35">
      <c r="A1421" s="5" t="s">
        <v>329</v>
      </c>
      <c r="B1421" s="5" t="s">
        <v>330</v>
      </c>
      <c r="C1421" s="5" t="s">
        <v>331</v>
      </c>
      <c r="D1421" s="5" t="s">
        <v>332</v>
      </c>
      <c r="E1421" s="5" t="s">
        <v>324</v>
      </c>
      <c r="F1421" s="5" t="s">
        <v>325</v>
      </c>
      <c r="G1421" s="5" t="s">
        <v>326</v>
      </c>
      <c r="H1421" s="5" t="s">
        <v>327</v>
      </c>
      <c r="I1421" s="5" t="s">
        <v>31</v>
      </c>
      <c r="J1421" s="5">
        <v>17.070529000000001</v>
      </c>
      <c r="K1421" s="5">
        <v>-96.732887000000005</v>
      </c>
      <c r="L1421" s="5" t="str">
        <f>HYPERLINK("https://maps.google.com/?q=17.070529,-96.732887", "🔗 Ver Mapa")</f>
        <v>🔗 Ver Mapa</v>
      </c>
    </row>
    <row r="1422" spans="1:12" ht="43.5" x14ac:dyDescent="0.35">
      <c r="A1422" s="6" t="s">
        <v>329</v>
      </c>
      <c r="B1422" s="6" t="s">
        <v>330</v>
      </c>
      <c r="C1422" s="6" t="s">
        <v>331</v>
      </c>
      <c r="D1422" s="6" t="s">
        <v>332</v>
      </c>
      <c r="E1422" s="6" t="s">
        <v>324</v>
      </c>
      <c r="F1422" s="6" t="s">
        <v>325</v>
      </c>
      <c r="G1422" s="6" t="s">
        <v>326</v>
      </c>
      <c r="H1422" s="6" t="s">
        <v>327</v>
      </c>
      <c r="I1422" s="6" t="s">
        <v>31</v>
      </c>
      <c r="J1422" s="6">
        <v>17.070529000000001</v>
      </c>
      <c r="K1422" s="6">
        <v>-96.732887000000005</v>
      </c>
      <c r="L1422" s="6" t="str">
        <f>HYPERLINK("https://maps.google.com/?q=17.070529,-96.732887", "🔗 Ver Mapa")</f>
        <v>🔗 Ver Mapa</v>
      </c>
    </row>
    <row r="1423" spans="1:12" ht="43.5" x14ac:dyDescent="0.35">
      <c r="A1423" s="5" t="s">
        <v>329</v>
      </c>
      <c r="B1423" s="5" t="s">
        <v>330</v>
      </c>
      <c r="C1423" s="5" t="s">
        <v>331</v>
      </c>
      <c r="D1423" s="5" t="s">
        <v>332</v>
      </c>
      <c r="E1423" s="5" t="s">
        <v>324</v>
      </c>
      <c r="F1423" s="5" t="s">
        <v>325</v>
      </c>
      <c r="G1423" s="5" t="s">
        <v>326</v>
      </c>
      <c r="H1423" s="5" t="s">
        <v>327</v>
      </c>
      <c r="I1423" s="5" t="s">
        <v>31</v>
      </c>
      <c r="J1423" s="5">
        <v>17.070529000000001</v>
      </c>
      <c r="K1423" s="5">
        <v>-96.732887000000005</v>
      </c>
      <c r="L1423" s="5" t="str">
        <f>HYPERLINK("https://maps.google.com/?q=17.070529,-96.732887", "🔗 Ver Mapa")</f>
        <v>🔗 Ver Mapa</v>
      </c>
    </row>
    <row r="1424" spans="1:12" ht="43.5" x14ac:dyDescent="0.35">
      <c r="A1424" s="6" t="s">
        <v>329</v>
      </c>
      <c r="B1424" s="6" t="s">
        <v>330</v>
      </c>
      <c r="C1424" s="6" t="s">
        <v>331</v>
      </c>
      <c r="D1424" s="6" t="s">
        <v>332</v>
      </c>
      <c r="E1424" s="6" t="s">
        <v>324</v>
      </c>
      <c r="F1424" s="6" t="s">
        <v>325</v>
      </c>
      <c r="G1424" s="6" t="s">
        <v>326</v>
      </c>
      <c r="H1424" s="6" t="s">
        <v>327</v>
      </c>
      <c r="I1424" s="6" t="s">
        <v>31</v>
      </c>
      <c r="J1424" s="6">
        <v>18.082556</v>
      </c>
      <c r="K1424" s="6">
        <v>-96.152877000000004</v>
      </c>
      <c r="L1424" s="6" t="str">
        <f>HYPERLINK("https://maps.google.com/?q=18.082556,-96.152877", "🔗 Ver Mapa")</f>
        <v>🔗 Ver Mapa</v>
      </c>
    </row>
    <row r="1425" spans="1:12" ht="43.5" x14ac:dyDescent="0.35">
      <c r="A1425" s="5" t="s">
        <v>329</v>
      </c>
      <c r="B1425" s="5" t="s">
        <v>330</v>
      </c>
      <c r="C1425" s="5" t="s">
        <v>331</v>
      </c>
      <c r="D1425" s="5" t="s">
        <v>332</v>
      </c>
      <c r="E1425" s="5" t="s">
        <v>324</v>
      </c>
      <c r="F1425" s="5" t="s">
        <v>325</v>
      </c>
      <c r="G1425" s="5" t="s">
        <v>326</v>
      </c>
      <c r="H1425" s="5" t="s">
        <v>327</v>
      </c>
      <c r="I1425" s="5" t="s">
        <v>31</v>
      </c>
      <c r="J1425" s="5">
        <v>18.082556</v>
      </c>
      <c r="K1425" s="5">
        <v>-96.152877000000004</v>
      </c>
      <c r="L1425" s="5" t="str">
        <f>HYPERLINK("https://maps.google.com/?q=18.082556,-96.152877", "🔗 Ver Mapa")</f>
        <v>🔗 Ver Mapa</v>
      </c>
    </row>
    <row r="1426" spans="1:12" ht="43.5" x14ac:dyDescent="0.35">
      <c r="A1426" s="6" t="s">
        <v>329</v>
      </c>
      <c r="B1426" s="6" t="s">
        <v>330</v>
      </c>
      <c r="C1426" s="6" t="s">
        <v>331</v>
      </c>
      <c r="D1426" s="6" t="s">
        <v>332</v>
      </c>
      <c r="E1426" s="6" t="s">
        <v>324</v>
      </c>
      <c r="F1426" s="6" t="s">
        <v>325</v>
      </c>
      <c r="G1426" s="6" t="s">
        <v>326</v>
      </c>
      <c r="H1426" s="6" t="s">
        <v>327</v>
      </c>
      <c r="I1426" s="6" t="s">
        <v>31</v>
      </c>
      <c r="J1426" s="6">
        <v>18.082556</v>
      </c>
      <c r="K1426" s="6">
        <v>-96.152877000000004</v>
      </c>
      <c r="L1426" s="6" t="str">
        <f>HYPERLINK("https://maps.google.com/?q=18.082556,-96.152877", "🔗 Ver Mapa")</f>
        <v>🔗 Ver Mapa</v>
      </c>
    </row>
    <row r="1427" spans="1:12" ht="43.5" x14ac:dyDescent="0.35">
      <c r="A1427" s="5" t="s">
        <v>329</v>
      </c>
      <c r="B1427" s="5" t="s">
        <v>330</v>
      </c>
      <c r="C1427" s="5" t="s">
        <v>331</v>
      </c>
      <c r="D1427" s="5" t="s">
        <v>332</v>
      </c>
      <c r="E1427" s="5" t="s">
        <v>324</v>
      </c>
      <c r="F1427" s="5" t="s">
        <v>325</v>
      </c>
      <c r="G1427" s="5" t="s">
        <v>326</v>
      </c>
      <c r="H1427" s="5" t="s">
        <v>327</v>
      </c>
      <c r="I1427" s="5" t="s">
        <v>31</v>
      </c>
      <c r="J1427" s="5">
        <v>18.082556</v>
      </c>
      <c r="K1427" s="5">
        <v>-96.152877000000004</v>
      </c>
      <c r="L1427" s="5" t="str">
        <f>HYPERLINK("https://maps.google.com/?q=18.082556,-96.152877", "🔗 Ver Mapa")</f>
        <v>🔗 Ver Mapa</v>
      </c>
    </row>
    <row r="1428" spans="1:12" ht="43.5" x14ac:dyDescent="0.35">
      <c r="A1428" s="6" t="s">
        <v>333</v>
      </c>
      <c r="B1428" s="6" t="s">
        <v>334</v>
      </c>
      <c r="C1428" s="6" t="s">
        <v>335</v>
      </c>
      <c r="D1428" s="6" t="s">
        <v>336</v>
      </c>
      <c r="E1428" s="6" t="s">
        <v>52</v>
      </c>
      <c r="F1428" s="6" t="s">
        <v>70</v>
      </c>
      <c r="G1428" s="6" t="s">
        <v>71</v>
      </c>
      <c r="H1428" s="6" t="s">
        <v>72</v>
      </c>
      <c r="I1428" s="6" t="s">
        <v>31</v>
      </c>
      <c r="J1428" s="6">
        <v>17.071537149621001</v>
      </c>
      <c r="K1428" s="6">
        <v>-96.715794091296004</v>
      </c>
      <c r="L1428" s="6" t="str">
        <f>HYPERLINK("https://maps.google.com/?q=17.071537149621424,-96.7157940912962", "🔗 Ver Mapa")</f>
        <v>🔗 Ver Mapa</v>
      </c>
    </row>
    <row r="1429" spans="1:12" ht="43.5" x14ac:dyDescent="0.35">
      <c r="A1429" s="5" t="s">
        <v>333</v>
      </c>
      <c r="B1429" s="5" t="s">
        <v>334</v>
      </c>
      <c r="C1429" s="5" t="s">
        <v>337</v>
      </c>
      <c r="D1429" s="5" t="s">
        <v>336</v>
      </c>
      <c r="E1429" s="5" t="s">
        <v>52</v>
      </c>
      <c r="F1429" s="5" t="s">
        <v>70</v>
      </c>
      <c r="G1429" s="5" t="s">
        <v>71</v>
      </c>
      <c r="H1429" s="5" t="s">
        <v>72</v>
      </c>
      <c r="I1429" s="5" t="s">
        <v>31</v>
      </c>
      <c r="J1429" s="5">
        <v>17.071537149621001</v>
      </c>
      <c r="K1429" s="5" t="s">
        <v>338</v>
      </c>
      <c r="L1429" s="5" t="str">
        <f>HYPERLINK("https://maps.google.com/?q=17.07153714962142,-96.7157940912962	", "🔗 Ver Mapa")</f>
        <v>🔗 Ver Mapa</v>
      </c>
    </row>
    <row r="1430" spans="1:12" ht="29" x14ac:dyDescent="0.35">
      <c r="A1430" s="6" t="s">
        <v>339</v>
      </c>
      <c r="B1430" s="6" t="s">
        <v>340</v>
      </c>
      <c r="C1430" s="6" t="s">
        <v>341</v>
      </c>
      <c r="D1430" s="6" t="s">
        <v>342</v>
      </c>
      <c r="E1430" s="6" t="s">
        <v>52</v>
      </c>
      <c r="F1430" s="6" t="s">
        <v>70</v>
      </c>
      <c r="G1430" s="6" t="s">
        <v>71</v>
      </c>
      <c r="H1430" s="6" t="s">
        <v>72</v>
      </c>
      <c r="I1430" s="6" t="s">
        <v>31</v>
      </c>
      <c r="J1430" s="6">
        <v>17.068528799999999</v>
      </c>
      <c r="K1430" s="6">
        <v>-96.720360400000004</v>
      </c>
      <c r="L1430" s="6" t="str">
        <f>HYPERLINK("https://maps.google.com/?q=17.0685288,-96.7203604", "🔗 Ver Mapa")</f>
        <v>🔗 Ver Mapa</v>
      </c>
    </row>
    <row r="1431" spans="1:12" ht="29" x14ac:dyDescent="0.35">
      <c r="A1431" s="5" t="s">
        <v>282</v>
      </c>
      <c r="B1431" s="5" t="s">
        <v>283</v>
      </c>
      <c r="C1431" s="5" t="s">
        <v>343</v>
      </c>
      <c r="D1431" s="5" t="s">
        <v>76</v>
      </c>
      <c r="E1431" s="5" t="s">
        <v>52</v>
      </c>
      <c r="F1431" s="5" t="s">
        <v>70</v>
      </c>
      <c r="G1431" s="5" t="s">
        <v>71</v>
      </c>
      <c r="H1431" s="5" t="s">
        <v>72</v>
      </c>
      <c r="I1431" s="5" t="s">
        <v>31</v>
      </c>
      <c r="J1431" s="5">
        <v>17.04637</v>
      </c>
      <c r="K1431" s="5">
        <v>-96.713300000000004</v>
      </c>
      <c r="L1431" s="5" t="str">
        <f>HYPERLINK("https://maps.google.com/?q=17.04637,-96.71330", "🔗 Ver Mapa")</f>
        <v>🔗 Ver Mapa</v>
      </c>
    </row>
    <row r="1432" spans="1:12" ht="29" x14ac:dyDescent="0.35">
      <c r="A1432" s="6" t="s">
        <v>282</v>
      </c>
      <c r="B1432" s="6" t="s">
        <v>283</v>
      </c>
      <c r="C1432" s="6" t="s">
        <v>343</v>
      </c>
      <c r="D1432" s="6" t="s">
        <v>76</v>
      </c>
      <c r="E1432" s="6" t="s">
        <v>52</v>
      </c>
      <c r="F1432" s="6" t="s">
        <v>70</v>
      </c>
      <c r="G1432" s="6" t="s">
        <v>71</v>
      </c>
      <c r="H1432" s="6" t="s">
        <v>72</v>
      </c>
      <c r="I1432" s="6" t="s">
        <v>31</v>
      </c>
      <c r="J1432" s="6">
        <v>17.04663</v>
      </c>
      <c r="K1432" s="6">
        <v>-96.713380000000001</v>
      </c>
      <c r="L1432" s="6" t="str">
        <f>HYPERLINK("https://maps.google.com/?q=17.04663,-96.71338", "🔗 Ver Mapa")</f>
        <v>🔗 Ver Mapa</v>
      </c>
    </row>
    <row r="1433" spans="1:12" ht="29" x14ac:dyDescent="0.35">
      <c r="A1433" s="5" t="s">
        <v>344</v>
      </c>
      <c r="B1433" s="5" t="s">
        <v>345</v>
      </c>
      <c r="C1433" s="5" t="s">
        <v>346</v>
      </c>
      <c r="D1433" s="5" t="s">
        <v>76</v>
      </c>
      <c r="E1433" s="5" t="s">
        <v>90</v>
      </c>
      <c r="F1433" s="5" t="s">
        <v>119</v>
      </c>
      <c r="G1433" s="5" t="s">
        <v>347</v>
      </c>
      <c r="H1433" s="5" t="s">
        <v>348</v>
      </c>
      <c r="I1433" s="5" t="s">
        <v>31</v>
      </c>
      <c r="J1433" s="5">
        <v>17.31706623837</v>
      </c>
      <c r="K1433" s="5">
        <v>-96.483379373313994</v>
      </c>
      <c r="L1433" s="5" t="str">
        <f>HYPERLINK("https://maps.google.com/?q=17.317066238369932,-96.48337937331387", "🔗 Ver Mapa")</f>
        <v>🔗 Ver Mapa</v>
      </c>
    </row>
    <row r="1434" spans="1:12" ht="43.5" x14ac:dyDescent="0.35">
      <c r="A1434" s="6" t="s">
        <v>73</v>
      </c>
      <c r="B1434" s="6" t="s">
        <v>74</v>
      </c>
      <c r="C1434" s="6" t="s">
        <v>349</v>
      </c>
      <c r="D1434" s="6" t="s">
        <v>76</v>
      </c>
      <c r="E1434" s="6" t="s">
        <v>90</v>
      </c>
      <c r="F1434" s="6" t="s">
        <v>119</v>
      </c>
      <c r="G1434" s="6" t="s">
        <v>350</v>
      </c>
      <c r="H1434" s="6" t="s">
        <v>351</v>
      </c>
      <c r="I1434" s="6" t="s">
        <v>31</v>
      </c>
      <c r="J1434" s="6">
        <v>17.317177277717999</v>
      </c>
      <c r="K1434" s="6">
        <v>-96.493815467326002</v>
      </c>
      <c r="L1434" s="6" t="str">
        <f>HYPERLINK("https://maps.google.com/?q=17.317177277717942,-96.4938154673257", "🔗 Ver Mapa")</f>
        <v>🔗 Ver Mapa</v>
      </c>
    </row>
    <row r="1435" spans="1:12" ht="58" x14ac:dyDescent="0.35">
      <c r="A1435" s="5" t="s">
        <v>73</v>
      </c>
      <c r="B1435" s="5" t="s">
        <v>74</v>
      </c>
      <c r="C1435" s="5" t="s">
        <v>352</v>
      </c>
      <c r="D1435" s="5" t="s">
        <v>76</v>
      </c>
      <c r="E1435" s="5" t="s">
        <v>39</v>
      </c>
      <c r="F1435" s="5" t="s">
        <v>353</v>
      </c>
      <c r="G1435" s="5" t="s">
        <v>354</v>
      </c>
      <c r="H1435" s="5" t="s">
        <v>355</v>
      </c>
      <c r="I1435" s="5" t="s">
        <v>31</v>
      </c>
      <c r="J1435" s="5">
        <v>16.027763135352</v>
      </c>
      <c r="K1435" s="5">
        <v>-96.906573585291994</v>
      </c>
      <c r="L1435" s="5" t="str">
        <f>HYPERLINK("https://maps.google.com/?q=16.02776313535173,-96.90657358529246", "🔗 Ver Mapa")</f>
        <v>🔗 Ver Mapa</v>
      </c>
    </row>
    <row r="1436" spans="1:12" ht="58" x14ac:dyDescent="0.35">
      <c r="A1436" s="6" t="s">
        <v>73</v>
      </c>
      <c r="B1436" s="6" t="s">
        <v>74</v>
      </c>
      <c r="C1436" s="6" t="s">
        <v>356</v>
      </c>
      <c r="D1436" s="6" t="s">
        <v>76</v>
      </c>
      <c r="E1436" s="6" t="s">
        <v>39</v>
      </c>
      <c r="F1436" s="6" t="s">
        <v>133</v>
      </c>
      <c r="G1436" s="6" t="s">
        <v>357</v>
      </c>
      <c r="H1436" s="6" t="s">
        <v>358</v>
      </c>
      <c r="I1436" s="6" t="s">
        <v>31</v>
      </c>
      <c r="J1436" s="6">
        <v>16.559210781600999</v>
      </c>
      <c r="K1436" s="6">
        <v>-96.028570803741005</v>
      </c>
      <c r="L1436" s="6" t="str">
        <f>HYPERLINK("https://maps.google.com/?q=16.559210781600964,-96.02857080374137", "🔗 Ver Mapa")</f>
        <v>🔗 Ver Mapa</v>
      </c>
    </row>
    <row r="1437" spans="1:12" ht="72.5" x14ac:dyDescent="0.35">
      <c r="A1437" s="5" t="s">
        <v>359</v>
      </c>
      <c r="B1437" s="5" t="s">
        <v>360</v>
      </c>
      <c r="C1437" s="5" t="s">
        <v>361</v>
      </c>
      <c r="D1437" s="5" t="s">
        <v>332</v>
      </c>
      <c r="E1437" s="5" t="s">
        <v>52</v>
      </c>
      <c r="F1437" s="5" t="s">
        <v>101</v>
      </c>
      <c r="G1437" s="5" t="s">
        <v>362</v>
      </c>
      <c r="H1437" s="5" t="s">
        <v>363</v>
      </c>
      <c r="I1437" s="5" t="s">
        <v>31</v>
      </c>
      <c r="J1437" s="5">
        <v>16.923068917203999</v>
      </c>
      <c r="K1437" s="5">
        <v>-96.685183530657994</v>
      </c>
      <c r="L1437" s="5" t="str">
        <f>HYPERLINK("https://maps.google.com/?q=16.923068917204045,-96.68518353065842", "🔗 Ver Mapa")</f>
        <v>🔗 Ver Mapa</v>
      </c>
    </row>
    <row r="1438" spans="1:12" ht="29" x14ac:dyDescent="0.35">
      <c r="A1438" s="6" t="s">
        <v>282</v>
      </c>
      <c r="B1438" s="6" t="s">
        <v>283</v>
      </c>
      <c r="C1438" s="6" t="s">
        <v>364</v>
      </c>
      <c r="D1438" s="6" t="s">
        <v>76</v>
      </c>
      <c r="E1438" s="6" t="s">
        <v>52</v>
      </c>
      <c r="F1438" s="6" t="s">
        <v>70</v>
      </c>
      <c r="G1438" s="6" t="s">
        <v>71</v>
      </c>
      <c r="H1438" s="6" t="s">
        <v>72</v>
      </c>
      <c r="I1438" s="6" t="s">
        <v>31</v>
      </c>
      <c r="J1438" s="6">
        <v>17.04935</v>
      </c>
      <c r="K1438" s="6">
        <v>-96.712190000000007</v>
      </c>
      <c r="L1438" s="6" t="str">
        <f>HYPERLINK("https://maps.google.com/?q=17.04935,-96.71219", "🔗 Ver Mapa")</f>
        <v>🔗 Ver Mapa</v>
      </c>
    </row>
    <row r="1439" spans="1:12" ht="58" x14ac:dyDescent="0.35">
      <c r="A1439" s="5" t="s">
        <v>282</v>
      </c>
      <c r="B1439" s="5" t="s">
        <v>283</v>
      </c>
      <c r="C1439" s="5" t="s">
        <v>365</v>
      </c>
      <c r="D1439" s="5" t="s">
        <v>76</v>
      </c>
      <c r="E1439" s="5" t="s">
        <v>52</v>
      </c>
      <c r="F1439" s="5" t="s">
        <v>70</v>
      </c>
      <c r="G1439" s="5" t="s">
        <v>71</v>
      </c>
      <c r="H1439" s="5" t="s">
        <v>72</v>
      </c>
      <c r="I1439" s="5" t="s">
        <v>31</v>
      </c>
      <c r="J1439" s="5">
        <v>17.08295</v>
      </c>
      <c r="K1439" s="5">
        <v>-96.718090000000004</v>
      </c>
      <c r="L1439" s="5" t="str">
        <f>HYPERLINK("https://maps.google.com/?q=17.08295,-96.71809", "🔗 Ver Mapa")</f>
        <v>🔗 Ver Mapa</v>
      </c>
    </row>
    <row r="1440" spans="1:12" ht="58" x14ac:dyDescent="0.35">
      <c r="A1440" s="6" t="s">
        <v>282</v>
      </c>
      <c r="B1440" s="6" t="s">
        <v>283</v>
      </c>
      <c r="C1440" s="6" t="s">
        <v>365</v>
      </c>
      <c r="D1440" s="6" t="s">
        <v>76</v>
      </c>
      <c r="E1440" s="6" t="s">
        <v>52</v>
      </c>
      <c r="F1440" s="6" t="s">
        <v>70</v>
      </c>
      <c r="G1440" s="6" t="s">
        <v>71</v>
      </c>
      <c r="H1440" s="6" t="s">
        <v>72</v>
      </c>
      <c r="I1440" s="6" t="s">
        <v>31</v>
      </c>
      <c r="J1440" s="6">
        <v>17.082999999999998</v>
      </c>
      <c r="K1440" s="6">
        <v>-96.718329999999995</v>
      </c>
      <c r="L1440" s="6" t="str">
        <f>HYPERLINK("https://maps.google.com/?q=17.083,-96.71833", "🔗 Ver Mapa")</f>
        <v>🔗 Ver Mapa</v>
      </c>
    </row>
    <row r="1441" spans="1:12" ht="58" x14ac:dyDescent="0.35">
      <c r="A1441" s="5" t="s">
        <v>282</v>
      </c>
      <c r="B1441" s="5" t="s">
        <v>283</v>
      </c>
      <c r="C1441" s="5" t="s">
        <v>365</v>
      </c>
      <c r="D1441" s="5" t="s">
        <v>76</v>
      </c>
      <c r="E1441" s="5" t="s">
        <v>52</v>
      </c>
      <c r="F1441" s="5" t="s">
        <v>70</v>
      </c>
      <c r="G1441" s="5" t="s">
        <v>71</v>
      </c>
      <c r="H1441" s="5" t="s">
        <v>72</v>
      </c>
      <c r="I1441" s="5" t="s">
        <v>31</v>
      </c>
      <c r="J1441" s="5">
        <v>17.083770000000001</v>
      </c>
      <c r="K1441" s="5">
        <v>-96.718530000000001</v>
      </c>
      <c r="L1441" s="5" t="str">
        <f>HYPERLINK("https://maps.google.com/?q=17.08377,-96.71853", "🔗 Ver Mapa")</f>
        <v>🔗 Ver Mapa</v>
      </c>
    </row>
    <row r="1442" spans="1:12" ht="58" x14ac:dyDescent="0.35">
      <c r="A1442" s="6" t="s">
        <v>282</v>
      </c>
      <c r="B1442" s="6" t="s">
        <v>283</v>
      </c>
      <c r="C1442" s="6" t="s">
        <v>365</v>
      </c>
      <c r="D1442" s="6" t="s">
        <v>76</v>
      </c>
      <c r="E1442" s="6" t="s">
        <v>52</v>
      </c>
      <c r="F1442" s="6" t="s">
        <v>70</v>
      </c>
      <c r="G1442" s="6" t="s">
        <v>71</v>
      </c>
      <c r="H1442" s="6" t="s">
        <v>72</v>
      </c>
      <c r="I1442" s="6" t="s">
        <v>31</v>
      </c>
      <c r="J1442" s="6">
        <v>17.083839999999999</v>
      </c>
      <c r="K1442" s="6">
        <v>-96.718239999999994</v>
      </c>
      <c r="L1442" s="6" t="str">
        <f>HYPERLINK("https://maps.google.com/?q=17.08384,-96.71824", "🔗 Ver Mapa")</f>
        <v>🔗 Ver Mapa</v>
      </c>
    </row>
    <row r="1443" spans="1:12" ht="58" x14ac:dyDescent="0.35">
      <c r="A1443" s="5" t="s">
        <v>282</v>
      </c>
      <c r="B1443" s="5" t="s">
        <v>283</v>
      </c>
      <c r="C1443" s="5" t="s">
        <v>365</v>
      </c>
      <c r="D1443" s="5" t="s">
        <v>76</v>
      </c>
      <c r="E1443" s="5" t="s">
        <v>52</v>
      </c>
      <c r="F1443" s="5" t="s">
        <v>70</v>
      </c>
      <c r="G1443" s="5" t="s">
        <v>71</v>
      </c>
      <c r="H1443" s="5" t="s">
        <v>72</v>
      </c>
      <c r="I1443" s="5" t="s">
        <v>31</v>
      </c>
      <c r="J1443" s="5">
        <v>17.083929999999999</v>
      </c>
      <c r="K1443" s="5">
        <v>-96.718549999999993</v>
      </c>
      <c r="L1443" s="5" t="str">
        <f>HYPERLINK("https://maps.google.com/?q=17.08393,-96.71855", "🔗 Ver Mapa")</f>
        <v>🔗 Ver Mapa</v>
      </c>
    </row>
    <row r="1444" spans="1:12" ht="58" x14ac:dyDescent="0.35">
      <c r="A1444" s="6" t="s">
        <v>282</v>
      </c>
      <c r="B1444" s="6" t="s">
        <v>283</v>
      </c>
      <c r="C1444" s="6" t="s">
        <v>365</v>
      </c>
      <c r="D1444" s="6" t="s">
        <v>76</v>
      </c>
      <c r="E1444" s="6" t="s">
        <v>52</v>
      </c>
      <c r="F1444" s="6" t="s">
        <v>70</v>
      </c>
      <c r="G1444" s="6" t="s">
        <v>71</v>
      </c>
      <c r="H1444" s="6" t="s">
        <v>72</v>
      </c>
      <c r="I1444" s="6" t="s">
        <v>31</v>
      </c>
      <c r="J1444" s="6">
        <v>17.08399</v>
      </c>
      <c r="K1444" s="6">
        <v>-96.718310000000002</v>
      </c>
      <c r="L1444" s="6" t="str">
        <f>HYPERLINK("https://maps.google.com/?q=17.08399,-96.71831", "🔗 Ver Mapa")</f>
        <v>🔗 Ver Mapa</v>
      </c>
    </row>
    <row r="1445" spans="1:12" ht="58" x14ac:dyDescent="0.35">
      <c r="A1445" s="5" t="s">
        <v>282</v>
      </c>
      <c r="B1445" s="5" t="s">
        <v>283</v>
      </c>
      <c r="C1445" s="5" t="s">
        <v>365</v>
      </c>
      <c r="D1445" s="5" t="s">
        <v>76</v>
      </c>
      <c r="E1445" s="5" t="s">
        <v>52</v>
      </c>
      <c r="F1445" s="5" t="s">
        <v>70</v>
      </c>
      <c r="G1445" s="5" t="s">
        <v>71</v>
      </c>
      <c r="H1445" s="5" t="s">
        <v>72</v>
      </c>
      <c r="I1445" s="5" t="s">
        <v>31</v>
      </c>
      <c r="J1445" s="5">
        <v>17.084109999999999</v>
      </c>
      <c r="K1445" s="5">
        <v>-96.717939999999999</v>
      </c>
      <c r="L1445" s="5" t="str">
        <f>HYPERLINK("https://maps.google.com/?q=17.08411,-96.71794", "🔗 Ver Mapa")</f>
        <v>🔗 Ver Mapa</v>
      </c>
    </row>
    <row r="1446" spans="1:12" ht="58" x14ac:dyDescent="0.35">
      <c r="A1446" s="6" t="s">
        <v>282</v>
      </c>
      <c r="B1446" s="6" t="s">
        <v>283</v>
      </c>
      <c r="C1446" s="6" t="s">
        <v>365</v>
      </c>
      <c r="D1446" s="6" t="s">
        <v>76</v>
      </c>
      <c r="E1446" s="6" t="s">
        <v>52</v>
      </c>
      <c r="F1446" s="6" t="s">
        <v>70</v>
      </c>
      <c r="G1446" s="6" t="s">
        <v>71</v>
      </c>
      <c r="H1446" s="6" t="s">
        <v>72</v>
      </c>
      <c r="I1446" s="6" t="s">
        <v>31</v>
      </c>
      <c r="J1446" s="6">
        <v>17.084340000000001</v>
      </c>
      <c r="K1446" s="6">
        <v>-96.717879999999994</v>
      </c>
      <c r="L1446" s="6" t="str">
        <f>HYPERLINK("https://maps.google.com/?q=17.08434,-96.71788", "🔗 Ver Mapa")</f>
        <v>🔗 Ver Mapa</v>
      </c>
    </row>
    <row r="1447" spans="1:12" ht="58" x14ac:dyDescent="0.35">
      <c r="A1447" s="5" t="s">
        <v>282</v>
      </c>
      <c r="B1447" s="5" t="s">
        <v>283</v>
      </c>
      <c r="C1447" s="5" t="s">
        <v>365</v>
      </c>
      <c r="D1447" s="5" t="s">
        <v>76</v>
      </c>
      <c r="E1447" s="5" t="s">
        <v>52</v>
      </c>
      <c r="F1447" s="5" t="s">
        <v>70</v>
      </c>
      <c r="G1447" s="5" t="s">
        <v>71</v>
      </c>
      <c r="H1447" s="5" t="s">
        <v>72</v>
      </c>
      <c r="I1447" s="5" t="s">
        <v>31</v>
      </c>
      <c r="J1447" s="5">
        <v>17.08437</v>
      </c>
      <c r="K1447" s="5">
        <v>-96.718249999999998</v>
      </c>
      <c r="L1447" s="5" t="str">
        <f>HYPERLINK("https://maps.google.com/?q=17.08437,-96.71825", "🔗 Ver Mapa")</f>
        <v>🔗 Ver Mapa</v>
      </c>
    </row>
    <row r="1448" spans="1:12" ht="29" x14ac:dyDescent="0.35">
      <c r="A1448" s="6" t="s">
        <v>282</v>
      </c>
      <c r="B1448" s="6" t="s">
        <v>283</v>
      </c>
      <c r="C1448" s="6" t="s">
        <v>366</v>
      </c>
      <c r="D1448" s="6" t="s">
        <v>76</v>
      </c>
      <c r="E1448" s="6" t="s">
        <v>52</v>
      </c>
      <c r="F1448" s="6" t="s">
        <v>70</v>
      </c>
      <c r="G1448" s="6" t="s">
        <v>71</v>
      </c>
      <c r="H1448" s="6" t="s">
        <v>72</v>
      </c>
      <c r="I1448" s="6" t="s">
        <v>31</v>
      </c>
      <c r="J1448" s="6">
        <v>17.04888</v>
      </c>
      <c r="K1448" s="6">
        <v>-96.712230000000005</v>
      </c>
      <c r="L1448" s="6" t="str">
        <f>HYPERLINK("https://maps.google.com/?q=17.04888,-96.71223", "🔗 Ver Mapa")</f>
        <v>🔗 Ver Mapa</v>
      </c>
    </row>
    <row r="1449" spans="1:12" ht="58" x14ac:dyDescent="0.35">
      <c r="A1449" s="5" t="s">
        <v>288</v>
      </c>
      <c r="B1449" s="5" t="s">
        <v>289</v>
      </c>
      <c r="C1449" s="5" t="s">
        <v>367</v>
      </c>
      <c r="D1449" s="5" t="s">
        <v>13</v>
      </c>
      <c r="E1449" s="5" t="s">
        <v>110</v>
      </c>
      <c r="F1449" s="5" t="s">
        <v>111</v>
      </c>
      <c r="G1449" s="5" t="s">
        <v>293</v>
      </c>
      <c r="H1449" s="5" t="s">
        <v>296</v>
      </c>
      <c r="I1449" s="5" t="s">
        <v>31</v>
      </c>
      <c r="J1449" s="5">
        <v>18.111111999999999</v>
      </c>
      <c r="K1449" s="5">
        <v>-96.623361000000003</v>
      </c>
      <c r="L1449" s="5" t="str">
        <f>HYPERLINK("https://maps.google.com/?q=18.111112,-96.62336100", "🔗 Ver Mapa")</f>
        <v>🔗 Ver Mapa</v>
      </c>
    </row>
    <row r="1450" spans="1:12" ht="58" x14ac:dyDescent="0.35">
      <c r="A1450" s="6" t="s">
        <v>288</v>
      </c>
      <c r="B1450" s="6" t="s">
        <v>289</v>
      </c>
      <c r="C1450" s="6" t="s">
        <v>367</v>
      </c>
      <c r="D1450" s="6" t="s">
        <v>13</v>
      </c>
      <c r="E1450" s="6" t="s">
        <v>110</v>
      </c>
      <c r="F1450" s="6" t="s">
        <v>111</v>
      </c>
      <c r="G1450" s="6" t="s">
        <v>293</v>
      </c>
      <c r="H1450" s="6" t="s">
        <v>296</v>
      </c>
      <c r="I1450" s="6" t="s">
        <v>31</v>
      </c>
      <c r="J1450" s="6">
        <v>18.111111999999999</v>
      </c>
      <c r="K1450" s="6">
        <v>-96.623361000000003</v>
      </c>
      <c r="L1450" s="6" t="str">
        <f>HYPERLINK("https://maps.google.com/?q=18.111112,-96.62336100", "🔗 Ver Mapa")</f>
        <v>🔗 Ver Mapa</v>
      </c>
    </row>
    <row r="1451" spans="1:12" ht="58" x14ac:dyDescent="0.35">
      <c r="A1451" s="5" t="s">
        <v>288</v>
      </c>
      <c r="B1451" s="5" t="s">
        <v>289</v>
      </c>
      <c r="C1451" s="5" t="s">
        <v>367</v>
      </c>
      <c r="D1451" s="5" t="s">
        <v>13</v>
      </c>
      <c r="E1451" s="5" t="s">
        <v>110</v>
      </c>
      <c r="F1451" s="5" t="s">
        <v>111</v>
      </c>
      <c r="G1451" s="5" t="s">
        <v>293</v>
      </c>
      <c r="H1451" s="5" t="s">
        <v>296</v>
      </c>
      <c r="I1451" s="5" t="s">
        <v>31</v>
      </c>
      <c r="J1451" s="5">
        <v>18.111111999999999</v>
      </c>
      <c r="K1451" s="5">
        <v>-96.623361000000003</v>
      </c>
      <c r="L1451" s="5" t="str">
        <f>HYPERLINK("https://maps.google.com/?q=18.111112,-96.62336100", "🔗 Ver Mapa")</f>
        <v>🔗 Ver Mapa</v>
      </c>
    </row>
    <row r="1452" spans="1:12" ht="58" x14ac:dyDescent="0.35">
      <c r="A1452" s="6" t="s">
        <v>288</v>
      </c>
      <c r="B1452" s="6" t="s">
        <v>289</v>
      </c>
      <c r="C1452" s="6" t="s">
        <v>367</v>
      </c>
      <c r="D1452" s="6" t="s">
        <v>13</v>
      </c>
      <c r="E1452" s="6" t="s">
        <v>110</v>
      </c>
      <c r="F1452" s="6" t="s">
        <v>111</v>
      </c>
      <c r="G1452" s="6" t="s">
        <v>293</v>
      </c>
      <c r="H1452" s="6" t="s">
        <v>296</v>
      </c>
      <c r="I1452" s="6" t="s">
        <v>31</v>
      </c>
      <c r="J1452" s="6">
        <v>18.111111999999999</v>
      </c>
      <c r="K1452" s="6">
        <v>-96.623361000000003</v>
      </c>
      <c r="L1452" s="6" t="str">
        <f>HYPERLINK("https://maps.google.com/?q=18.111112,-96.62336100", "🔗 Ver Mapa")</f>
        <v>🔗 Ver Mapa</v>
      </c>
    </row>
    <row r="1453" spans="1:12" ht="58" x14ac:dyDescent="0.35">
      <c r="A1453" s="5" t="s">
        <v>288</v>
      </c>
      <c r="B1453" s="5" t="s">
        <v>289</v>
      </c>
      <c r="C1453" s="5" t="s">
        <v>368</v>
      </c>
      <c r="D1453" s="5" t="s">
        <v>13</v>
      </c>
      <c r="E1453" s="5" t="s">
        <v>158</v>
      </c>
      <c r="F1453" s="5" t="s">
        <v>159</v>
      </c>
      <c r="G1453" s="5" t="s">
        <v>222</v>
      </c>
      <c r="H1453" s="5" t="s">
        <v>291</v>
      </c>
      <c r="I1453" s="5" t="s">
        <v>31</v>
      </c>
      <c r="J1453" s="5">
        <v>17.005213197574999</v>
      </c>
      <c r="K1453" s="5">
        <v>-95.028684698486003</v>
      </c>
      <c r="L1453" s="5" t="str">
        <f>HYPERLINK("https://maps.google.com/?q=17.005213197575458,-95.02868469848633", "🔗 Ver Mapa")</f>
        <v>🔗 Ver Mapa</v>
      </c>
    </row>
    <row r="1454" spans="1:12" ht="58" x14ac:dyDescent="0.35">
      <c r="A1454" s="6" t="s">
        <v>288</v>
      </c>
      <c r="B1454" s="6" t="s">
        <v>289</v>
      </c>
      <c r="C1454" s="6" t="s">
        <v>368</v>
      </c>
      <c r="D1454" s="6" t="s">
        <v>13</v>
      </c>
      <c r="E1454" s="6" t="s">
        <v>158</v>
      </c>
      <c r="F1454" s="6" t="s">
        <v>159</v>
      </c>
      <c r="G1454" s="6" t="s">
        <v>222</v>
      </c>
      <c r="H1454" s="6" t="s">
        <v>291</v>
      </c>
      <c r="I1454" s="6" t="s">
        <v>31</v>
      </c>
      <c r="J1454" s="6">
        <v>17.005213197574999</v>
      </c>
      <c r="K1454" s="6">
        <v>-95.028684698486003</v>
      </c>
      <c r="L1454" s="6" t="str">
        <f>HYPERLINK("https://maps.google.com/?q=17.005213197575458,-95.02868469848633", "🔗 Ver Mapa")</f>
        <v>🔗 Ver Mapa</v>
      </c>
    </row>
    <row r="1455" spans="1:12" ht="58" x14ac:dyDescent="0.35">
      <c r="A1455" s="5" t="s">
        <v>288</v>
      </c>
      <c r="B1455" s="5" t="s">
        <v>289</v>
      </c>
      <c r="C1455" s="5" t="s">
        <v>368</v>
      </c>
      <c r="D1455" s="5" t="s">
        <v>13</v>
      </c>
      <c r="E1455" s="5" t="s">
        <v>158</v>
      </c>
      <c r="F1455" s="5" t="s">
        <v>159</v>
      </c>
      <c r="G1455" s="5" t="s">
        <v>222</v>
      </c>
      <c r="H1455" s="5" t="s">
        <v>291</v>
      </c>
      <c r="I1455" s="5" t="s">
        <v>31</v>
      </c>
      <c r="J1455" s="5">
        <v>17.005213197574999</v>
      </c>
      <c r="K1455" s="5">
        <v>-95.028684698486003</v>
      </c>
      <c r="L1455" s="5" t="str">
        <f>HYPERLINK("https://maps.google.com/?q=17.005213197575458,-95.02868469848633", "🔗 Ver Mapa")</f>
        <v>🔗 Ver Mapa</v>
      </c>
    </row>
    <row r="1456" spans="1:12" ht="58" x14ac:dyDescent="0.35">
      <c r="A1456" s="6" t="s">
        <v>288</v>
      </c>
      <c r="B1456" s="6" t="s">
        <v>289</v>
      </c>
      <c r="C1456" s="6" t="s">
        <v>368</v>
      </c>
      <c r="D1456" s="6" t="s">
        <v>13</v>
      </c>
      <c r="E1456" s="6" t="s">
        <v>158</v>
      </c>
      <c r="F1456" s="6" t="s">
        <v>159</v>
      </c>
      <c r="G1456" s="6" t="s">
        <v>222</v>
      </c>
      <c r="H1456" s="6" t="s">
        <v>291</v>
      </c>
      <c r="I1456" s="6" t="s">
        <v>31</v>
      </c>
      <c r="J1456" s="6">
        <v>17.005213197574999</v>
      </c>
      <c r="K1456" s="6">
        <v>-95.028684698486003</v>
      </c>
      <c r="L1456" s="6" t="str">
        <f>HYPERLINK("https://maps.google.com/?q=17.005213197575458,-95.02868469848633", "🔗 Ver Mapa")</f>
        <v>🔗 Ver Mapa</v>
      </c>
    </row>
    <row r="1457" spans="1:12" ht="58" x14ac:dyDescent="0.35">
      <c r="A1457" s="5" t="s">
        <v>288</v>
      </c>
      <c r="B1457" s="5" t="s">
        <v>289</v>
      </c>
      <c r="C1457" s="5" t="s">
        <v>369</v>
      </c>
      <c r="D1457" s="5" t="s">
        <v>13</v>
      </c>
      <c r="E1457" s="5" t="s">
        <v>110</v>
      </c>
      <c r="F1457" s="5" t="s">
        <v>111</v>
      </c>
      <c r="G1457" s="5" t="s">
        <v>293</v>
      </c>
      <c r="H1457" s="5" t="s">
        <v>294</v>
      </c>
      <c r="I1457" s="5" t="s">
        <v>31</v>
      </c>
      <c r="J1457" s="5">
        <v>18.159880000000001</v>
      </c>
      <c r="K1457" s="5">
        <v>-96.716806000000005</v>
      </c>
      <c r="L1457" s="5" t="str">
        <f>HYPERLINK("https://maps.google.com/?q=18.15988,-96.716806", "🔗 Ver Mapa")</f>
        <v>🔗 Ver Mapa</v>
      </c>
    </row>
    <row r="1458" spans="1:12" ht="58" x14ac:dyDescent="0.35">
      <c r="A1458" s="6" t="s">
        <v>288</v>
      </c>
      <c r="B1458" s="6" t="s">
        <v>289</v>
      </c>
      <c r="C1458" s="6" t="s">
        <v>369</v>
      </c>
      <c r="D1458" s="6" t="s">
        <v>13</v>
      </c>
      <c r="E1458" s="6" t="s">
        <v>110</v>
      </c>
      <c r="F1458" s="6" t="s">
        <v>111</v>
      </c>
      <c r="G1458" s="6" t="s">
        <v>293</v>
      </c>
      <c r="H1458" s="6" t="s">
        <v>294</v>
      </c>
      <c r="I1458" s="6" t="s">
        <v>31</v>
      </c>
      <c r="J1458" s="6">
        <v>18.159880000000001</v>
      </c>
      <c r="K1458" s="6">
        <v>-96.716806000000005</v>
      </c>
      <c r="L1458" s="6" t="str">
        <f>HYPERLINK("https://maps.google.com/?q=18.15988,-96.716806", "🔗 Ver Mapa")</f>
        <v>🔗 Ver Mapa</v>
      </c>
    </row>
    <row r="1459" spans="1:12" ht="58" x14ac:dyDescent="0.35">
      <c r="A1459" s="5" t="s">
        <v>288</v>
      </c>
      <c r="B1459" s="5" t="s">
        <v>289</v>
      </c>
      <c r="C1459" s="5" t="s">
        <v>369</v>
      </c>
      <c r="D1459" s="5" t="s">
        <v>13</v>
      </c>
      <c r="E1459" s="5" t="s">
        <v>110</v>
      </c>
      <c r="F1459" s="5" t="s">
        <v>111</v>
      </c>
      <c r="G1459" s="5" t="s">
        <v>293</v>
      </c>
      <c r="H1459" s="5" t="s">
        <v>294</v>
      </c>
      <c r="I1459" s="5" t="s">
        <v>31</v>
      </c>
      <c r="J1459" s="5">
        <v>18.159880000000001</v>
      </c>
      <c r="K1459" s="5">
        <v>-96.716806000000005</v>
      </c>
      <c r="L1459" s="5" t="str">
        <f>HYPERLINK("https://maps.google.com/?q=18.15988,-96.716806", "🔗 Ver Mapa")</f>
        <v>🔗 Ver Mapa</v>
      </c>
    </row>
    <row r="1460" spans="1:12" ht="58" x14ac:dyDescent="0.35">
      <c r="A1460" s="6" t="s">
        <v>288</v>
      </c>
      <c r="B1460" s="6" t="s">
        <v>289</v>
      </c>
      <c r="C1460" s="6" t="s">
        <v>369</v>
      </c>
      <c r="D1460" s="6" t="s">
        <v>13</v>
      </c>
      <c r="E1460" s="6" t="s">
        <v>110</v>
      </c>
      <c r="F1460" s="6" t="s">
        <v>111</v>
      </c>
      <c r="G1460" s="6" t="s">
        <v>293</v>
      </c>
      <c r="H1460" s="6" t="s">
        <v>294</v>
      </c>
      <c r="I1460" s="6" t="s">
        <v>31</v>
      </c>
      <c r="J1460" s="6">
        <v>18.159880000000001</v>
      </c>
      <c r="K1460" s="6">
        <v>-96.716806000000005</v>
      </c>
      <c r="L1460" s="6" t="str">
        <f>HYPERLINK("https://maps.google.com/?q=18.15988,-96.716806", "🔗 Ver Mapa")</f>
        <v>🔗 Ver Mapa</v>
      </c>
    </row>
    <row r="1461" spans="1:12" ht="58" x14ac:dyDescent="0.35">
      <c r="A1461" s="5" t="s">
        <v>73</v>
      </c>
      <c r="B1461" s="5" t="s">
        <v>74</v>
      </c>
      <c r="C1461" s="5" t="s">
        <v>370</v>
      </c>
      <c r="D1461" s="5" t="s">
        <v>76</v>
      </c>
      <c r="E1461" s="5" t="s">
        <v>90</v>
      </c>
      <c r="F1461" s="5" t="s">
        <v>119</v>
      </c>
      <c r="G1461" s="5" t="s">
        <v>371</v>
      </c>
      <c r="H1461" s="5" t="s">
        <v>372</v>
      </c>
      <c r="I1461" s="5" t="s">
        <v>31</v>
      </c>
      <c r="J1461" s="5">
        <v>17.284168215438999</v>
      </c>
      <c r="K1461" s="5">
        <v>-96.620846695767995</v>
      </c>
      <c r="L1461" s="5" t="str">
        <f>HYPERLINK("https://maps.google.com/?q=17.28416821543893,-96.62084669576836", "🔗 Ver Mapa")</f>
        <v>🔗 Ver Mapa</v>
      </c>
    </row>
    <row r="1462" spans="1:12" ht="58" x14ac:dyDescent="0.35">
      <c r="A1462" s="6" t="s">
        <v>73</v>
      </c>
      <c r="B1462" s="6" t="s">
        <v>74</v>
      </c>
      <c r="C1462" s="6" t="s">
        <v>373</v>
      </c>
      <c r="D1462" s="6" t="s">
        <v>76</v>
      </c>
      <c r="E1462" s="6" t="s">
        <v>52</v>
      </c>
      <c r="F1462" s="6" t="s">
        <v>53</v>
      </c>
      <c r="G1462" s="6" t="s">
        <v>374</v>
      </c>
      <c r="H1462" s="6" t="s">
        <v>375</v>
      </c>
      <c r="I1462" s="6" t="s">
        <v>31</v>
      </c>
      <c r="J1462" s="6">
        <v>16.924083453023002</v>
      </c>
      <c r="K1462" s="6">
        <v>-96.610950161869994</v>
      </c>
      <c r="L1462" s="6" t="str">
        <f>HYPERLINK("https://maps.google.com/?q=16.92408345302335,-96.6109501618704", "🔗 Ver Mapa")</f>
        <v>🔗 Ver Mapa</v>
      </c>
    </row>
    <row r="1463" spans="1:12" ht="58" x14ac:dyDescent="0.35">
      <c r="A1463" s="5" t="s">
        <v>73</v>
      </c>
      <c r="B1463" s="5" t="s">
        <v>74</v>
      </c>
      <c r="C1463" s="5" t="s">
        <v>376</v>
      </c>
      <c r="D1463" s="5" t="s">
        <v>76</v>
      </c>
      <c r="E1463" s="5" t="s">
        <v>140</v>
      </c>
      <c r="F1463" s="5" t="s">
        <v>141</v>
      </c>
      <c r="G1463" s="5" t="s">
        <v>142</v>
      </c>
      <c r="H1463" s="5" t="s">
        <v>377</v>
      </c>
      <c r="I1463" s="5" t="s">
        <v>31</v>
      </c>
      <c r="J1463" s="5">
        <v>17.862349040786999</v>
      </c>
      <c r="K1463" s="5">
        <v>-96.307377838828998</v>
      </c>
      <c r="L1463" s="5" t="str">
        <f>HYPERLINK("https://maps.google.com/?q=17.862349040787,-96.30737783882856", "🔗 Ver Mapa")</f>
        <v>🔗 Ver Mapa</v>
      </c>
    </row>
    <row r="1464" spans="1:12" ht="43.5" x14ac:dyDescent="0.35">
      <c r="A1464" s="6" t="s">
        <v>73</v>
      </c>
      <c r="B1464" s="6" t="s">
        <v>74</v>
      </c>
      <c r="C1464" s="6" t="s">
        <v>378</v>
      </c>
      <c r="D1464" s="6" t="s">
        <v>76</v>
      </c>
      <c r="E1464" s="6" t="s">
        <v>17</v>
      </c>
      <c r="F1464" s="6" t="s">
        <v>46</v>
      </c>
      <c r="G1464" s="6" t="s">
        <v>152</v>
      </c>
      <c r="H1464" s="6" t="s">
        <v>379</v>
      </c>
      <c r="I1464" s="6" t="s">
        <v>31</v>
      </c>
      <c r="J1464" s="6">
        <v>16.157825272497</v>
      </c>
      <c r="K1464" s="6">
        <v>-97.124734110450007</v>
      </c>
      <c r="L1464" s="6" t="str">
        <f>HYPERLINK("https://maps.google.com/?q=16.157825272497256,-97.12473411044955", "🔗 Ver Mapa")</f>
        <v>🔗 Ver Mapa</v>
      </c>
    </row>
    <row r="1465" spans="1:12" ht="43.5" x14ac:dyDescent="0.35">
      <c r="A1465" s="5" t="s">
        <v>73</v>
      </c>
      <c r="B1465" s="5" t="s">
        <v>74</v>
      </c>
      <c r="C1465" s="5" t="s">
        <v>380</v>
      </c>
      <c r="D1465" s="5" t="s">
        <v>76</v>
      </c>
      <c r="E1465" s="5" t="s">
        <v>17</v>
      </c>
      <c r="F1465" s="5" t="s">
        <v>46</v>
      </c>
      <c r="G1465" s="5" t="s">
        <v>152</v>
      </c>
      <c r="H1465" s="5" t="s">
        <v>379</v>
      </c>
      <c r="I1465" s="5" t="s">
        <v>31</v>
      </c>
      <c r="J1465" s="5">
        <v>16.157240050673</v>
      </c>
      <c r="K1465" s="5">
        <v>-97.120729309192996</v>
      </c>
      <c r="L1465" s="5" t="str">
        <f>HYPERLINK("https://maps.google.com/?q=16.1572400506734,-97.12072930919297", "🔗 Ver Mapa")</f>
        <v>🔗 Ver Mapa</v>
      </c>
    </row>
    <row r="1466" spans="1:12" ht="58" x14ac:dyDescent="0.35">
      <c r="A1466" s="6" t="s">
        <v>73</v>
      </c>
      <c r="B1466" s="6" t="s">
        <v>74</v>
      </c>
      <c r="C1466" s="6" t="s">
        <v>381</v>
      </c>
      <c r="D1466" s="6" t="s">
        <v>76</v>
      </c>
      <c r="E1466" s="6" t="s">
        <v>52</v>
      </c>
      <c r="F1466" s="6" t="s">
        <v>228</v>
      </c>
      <c r="G1466" s="6" t="s">
        <v>382</v>
      </c>
      <c r="H1466" s="6" t="s">
        <v>383</v>
      </c>
      <c r="I1466" s="6" t="s">
        <v>31</v>
      </c>
      <c r="J1466" s="6">
        <v>16.828771751712999</v>
      </c>
      <c r="K1466" s="6">
        <v>-96.672481644711993</v>
      </c>
      <c r="L1466" s="6" t="str">
        <f>HYPERLINK("https://maps.google.com/?q=16.828771751712736,-96.67248164471219", "🔗 Ver Mapa")</f>
        <v>🔗 Ver Mapa</v>
      </c>
    </row>
    <row r="1467" spans="1:12" ht="29" x14ac:dyDescent="0.35">
      <c r="A1467" s="5" t="s">
        <v>282</v>
      </c>
      <c r="B1467" s="5" t="s">
        <v>283</v>
      </c>
      <c r="C1467" s="5" t="s">
        <v>384</v>
      </c>
      <c r="D1467" s="5" t="s">
        <v>76</v>
      </c>
      <c r="E1467" s="5" t="s">
        <v>16</v>
      </c>
      <c r="F1467" s="5" t="s">
        <v>145</v>
      </c>
      <c r="G1467" s="5" t="s">
        <v>146</v>
      </c>
      <c r="H1467" s="5" t="s">
        <v>385</v>
      </c>
      <c r="I1467" s="5" t="s">
        <v>31</v>
      </c>
      <c r="J1467" s="5">
        <v>17.78425</v>
      </c>
      <c r="K1467" s="5">
        <v>-97.789969999999997</v>
      </c>
      <c r="L1467" s="5" t="str">
        <f>HYPERLINK("https://maps.google.com/?q=17.78425,-97.78997", "🔗 Ver Mapa")</f>
        <v>🔗 Ver Mapa</v>
      </c>
    </row>
    <row r="1468" spans="1:12" ht="43.5" x14ac:dyDescent="0.35">
      <c r="A1468" s="6" t="s">
        <v>282</v>
      </c>
      <c r="B1468" s="6" t="s">
        <v>283</v>
      </c>
      <c r="C1468" s="6" t="s">
        <v>386</v>
      </c>
      <c r="D1468" s="6" t="s">
        <v>76</v>
      </c>
      <c r="E1468" s="6" t="s">
        <v>52</v>
      </c>
      <c r="F1468" s="6" t="s">
        <v>70</v>
      </c>
      <c r="G1468" s="6" t="s">
        <v>71</v>
      </c>
      <c r="H1468" s="6" t="s">
        <v>72</v>
      </c>
      <c r="I1468" s="6" t="s">
        <v>31</v>
      </c>
      <c r="J1468" s="6">
        <v>17.049379999999999</v>
      </c>
      <c r="K1468" s="6">
        <v>-96.709440000000001</v>
      </c>
      <c r="L1468" s="6" t="str">
        <f>HYPERLINK("https://maps.google.com/?q=17.04938,-96.70944", "🔗 Ver Mapa")</f>
        <v>🔗 Ver Mapa</v>
      </c>
    </row>
    <row r="1469" spans="1:12" ht="43.5" x14ac:dyDescent="0.35">
      <c r="A1469" s="5" t="s">
        <v>282</v>
      </c>
      <c r="B1469" s="5" t="s">
        <v>283</v>
      </c>
      <c r="C1469" s="5" t="s">
        <v>386</v>
      </c>
      <c r="D1469" s="5" t="s">
        <v>76</v>
      </c>
      <c r="E1469" s="5" t="s">
        <v>52</v>
      </c>
      <c r="F1469" s="5" t="s">
        <v>70</v>
      </c>
      <c r="G1469" s="5" t="s">
        <v>71</v>
      </c>
      <c r="H1469" s="5" t="s">
        <v>72</v>
      </c>
      <c r="I1469" s="5" t="s">
        <v>31</v>
      </c>
      <c r="J1469" s="5">
        <v>17.049440000000001</v>
      </c>
      <c r="K1469" s="5">
        <v>-96.709569999999999</v>
      </c>
      <c r="L1469" s="5" t="str">
        <f>HYPERLINK("https://maps.google.com/?q=17.04944,-96.70957", "🔗 Ver Mapa")</f>
        <v>🔗 Ver Mapa</v>
      </c>
    </row>
    <row r="1470" spans="1:12" ht="43.5" x14ac:dyDescent="0.35">
      <c r="A1470" s="6" t="s">
        <v>282</v>
      </c>
      <c r="B1470" s="6" t="s">
        <v>283</v>
      </c>
      <c r="C1470" s="6" t="s">
        <v>386</v>
      </c>
      <c r="D1470" s="6" t="s">
        <v>76</v>
      </c>
      <c r="E1470" s="6" t="s">
        <v>52</v>
      </c>
      <c r="F1470" s="6" t="s">
        <v>70</v>
      </c>
      <c r="G1470" s="6" t="s">
        <v>71</v>
      </c>
      <c r="H1470" s="6" t="s">
        <v>72</v>
      </c>
      <c r="I1470" s="6" t="s">
        <v>31</v>
      </c>
      <c r="J1470" s="6">
        <v>17.04982</v>
      </c>
      <c r="K1470" s="6">
        <v>-96.708929999999995</v>
      </c>
      <c r="L1470" s="6" t="str">
        <f>HYPERLINK("https://maps.google.com/?q=17.04982,-96.70893", "🔗 Ver Mapa")</f>
        <v>🔗 Ver Mapa</v>
      </c>
    </row>
    <row r="1471" spans="1:12" ht="43.5" x14ac:dyDescent="0.35">
      <c r="A1471" s="5" t="s">
        <v>282</v>
      </c>
      <c r="B1471" s="5" t="s">
        <v>283</v>
      </c>
      <c r="C1471" s="5" t="s">
        <v>386</v>
      </c>
      <c r="D1471" s="5" t="s">
        <v>76</v>
      </c>
      <c r="E1471" s="5" t="s">
        <v>52</v>
      </c>
      <c r="F1471" s="5" t="s">
        <v>70</v>
      </c>
      <c r="G1471" s="5" t="s">
        <v>71</v>
      </c>
      <c r="H1471" s="5" t="s">
        <v>72</v>
      </c>
      <c r="I1471" s="5" t="s">
        <v>31</v>
      </c>
      <c r="J1471" s="5">
        <v>17.049890000000001</v>
      </c>
      <c r="K1471" s="5">
        <v>-96.709310000000002</v>
      </c>
      <c r="L1471" s="5" t="str">
        <f>HYPERLINK("https://maps.google.com/?q=17.04989,-96.70931", "🔗 Ver Mapa")</f>
        <v>🔗 Ver Mapa</v>
      </c>
    </row>
    <row r="1472" spans="1:12" ht="43.5" x14ac:dyDescent="0.35">
      <c r="A1472" s="6" t="s">
        <v>282</v>
      </c>
      <c r="B1472" s="6" t="s">
        <v>283</v>
      </c>
      <c r="C1472" s="6" t="s">
        <v>386</v>
      </c>
      <c r="D1472" s="6" t="s">
        <v>76</v>
      </c>
      <c r="E1472" s="6" t="s">
        <v>52</v>
      </c>
      <c r="F1472" s="6" t="s">
        <v>70</v>
      </c>
      <c r="G1472" s="6" t="s">
        <v>71</v>
      </c>
      <c r="H1472" s="6" t="s">
        <v>72</v>
      </c>
      <c r="I1472" s="6" t="s">
        <v>31</v>
      </c>
      <c r="J1472" s="6">
        <v>17.05</v>
      </c>
      <c r="K1472" s="6">
        <v>-96.708299999999994</v>
      </c>
      <c r="L1472" s="6" t="str">
        <f>HYPERLINK("https://maps.google.com/?q=17.05,-96.70830", "🔗 Ver Mapa")</f>
        <v>🔗 Ver Mapa</v>
      </c>
    </row>
    <row r="1473" spans="1:12" ht="58" x14ac:dyDescent="0.35">
      <c r="A1473" s="5" t="s">
        <v>73</v>
      </c>
      <c r="B1473" s="5" t="s">
        <v>74</v>
      </c>
      <c r="C1473" s="5" t="s">
        <v>387</v>
      </c>
      <c r="D1473" s="5" t="s">
        <v>76</v>
      </c>
      <c r="E1473" s="5" t="s">
        <v>158</v>
      </c>
      <c r="F1473" s="5" t="s">
        <v>166</v>
      </c>
      <c r="G1473" s="5" t="s">
        <v>167</v>
      </c>
      <c r="H1473" s="5" t="s">
        <v>168</v>
      </c>
      <c r="I1473" s="5" t="s">
        <v>31</v>
      </c>
      <c r="J1473" s="5">
        <v>16.287709920063001</v>
      </c>
      <c r="K1473" s="5">
        <v>-95.243151681338006</v>
      </c>
      <c r="L1473" s="5" t="str">
        <f>HYPERLINK("https://maps.google.com/?q=16.287709920062706,-95.24315168133805", "🔗 Ver Mapa")</f>
        <v>🔗 Ver Mapa</v>
      </c>
    </row>
    <row r="1474" spans="1:12" ht="43.5" x14ac:dyDescent="0.35">
      <c r="A1474" s="6" t="s">
        <v>388</v>
      </c>
      <c r="B1474" s="6" t="s">
        <v>389</v>
      </c>
      <c r="C1474" s="6" t="s">
        <v>390</v>
      </c>
      <c r="D1474" s="6" t="s">
        <v>336</v>
      </c>
      <c r="E1474" s="6" t="s">
        <v>52</v>
      </c>
      <c r="F1474" s="6" t="s">
        <v>70</v>
      </c>
      <c r="G1474" s="6" t="s">
        <v>71</v>
      </c>
      <c r="H1474" s="6" t="s">
        <v>72</v>
      </c>
      <c r="I1474" s="6" t="s">
        <v>31</v>
      </c>
      <c r="J1474" s="6">
        <v>17.055648876631</v>
      </c>
      <c r="K1474" s="6">
        <v>-96.724945003966994</v>
      </c>
      <c r="L1474" s="6" t="str">
        <f>HYPERLINK("https://maps.google.com/?q=17.05564887663106,-96.72494500396688", "🔗 Ver Mapa")</f>
        <v>🔗 Ver Mapa</v>
      </c>
    </row>
    <row r="1475" spans="1:12" ht="43.5" x14ac:dyDescent="0.35">
      <c r="A1475" s="5" t="s">
        <v>388</v>
      </c>
      <c r="B1475" s="5" t="s">
        <v>389</v>
      </c>
      <c r="C1475" s="5" t="s">
        <v>391</v>
      </c>
      <c r="D1475" s="5" t="s">
        <v>336</v>
      </c>
      <c r="E1475" s="5" t="s">
        <v>158</v>
      </c>
      <c r="F1475" s="5" t="s">
        <v>159</v>
      </c>
      <c r="G1475" s="5" t="s">
        <v>278</v>
      </c>
      <c r="H1475" s="5" t="s">
        <v>279</v>
      </c>
      <c r="I1475" s="5" t="s">
        <v>31</v>
      </c>
      <c r="J1475" s="5">
        <v>16.45424484586</v>
      </c>
      <c r="K1475" s="5">
        <v>-95.027451616817004</v>
      </c>
      <c r="L1475" s="5" t="str">
        <f>HYPERLINK("https://maps.google.com/?q=16.454244845859733,-95.02745161681662", "🔗 Ver Mapa")</f>
        <v>🔗 Ver Mapa</v>
      </c>
    </row>
    <row r="1476" spans="1:12" ht="43.5" x14ac:dyDescent="0.35">
      <c r="A1476" s="6" t="s">
        <v>392</v>
      </c>
      <c r="B1476" s="6" t="s">
        <v>393</v>
      </c>
      <c r="C1476" s="6" t="s">
        <v>394</v>
      </c>
      <c r="D1476" s="6" t="s">
        <v>82</v>
      </c>
      <c r="E1476" s="6" t="s">
        <v>52</v>
      </c>
      <c r="F1476" s="6" t="s">
        <v>70</v>
      </c>
      <c r="G1476" s="6" t="s">
        <v>71</v>
      </c>
      <c r="H1476" s="6" t="s">
        <v>72</v>
      </c>
      <c r="I1476" s="6" t="s">
        <v>31</v>
      </c>
      <c r="J1476" s="6">
        <v>17.080633417645998</v>
      </c>
      <c r="K1476" s="6">
        <v>-96.710262544756006</v>
      </c>
      <c r="L1476" s="6" t="str">
        <f>HYPERLINK("https://maps.google.com/?q=17.08063341764641,-96.71026254475612", "🔗 Ver Mapa")</f>
        <v>🔗 Ver Mapa</v>
      </c>
    </row>
    <row r="1477" spans="1:12" ht="29" x14ac:dyDescent="0.35">
      <c r="A1477" s="5" t="s">
        <v>282</v>
      </c>
      <c r="B1477" s="5" t="s">
        <v>283</v>
      </c>
      <c r="C1477" s="5" t="s">
        <v>395</v>
      </c>
      <c r="D1477" s="5" t="s">
        <v>76</v>
      </c>
      <c r="E1477" s="5" t="s">
        <v>52</v>
      </c>
      <c r="F1477" s="5" t="s">
        <v>70</v>
      </c>
      <c r="G1477" s="5" t="s">
        <v>71</v>
      </c>
      <c r="H1477" s="5" t="s">
        <v>72</v>
      </c>
      <c r="I1477" s="5" t="s">
        <v>31</v>
      </c>
      <c r="J1477" s="5">
        <v>17.04834</v>
      </c>
      <c r="K1477" s="5">
        <v>-96.712630000000004</v>
      </c>
      <c r="L1477" s="5" t="str">
        <f>HYPERLINK("https://maps.google.com/?q=17.04834,-96.71263", "🔗 Ver Mapa")</f>
        <v>🔗 Ver Mapa</v>
      </c>
    </row>
    <row r="1478" spans="1:12" ht="29" x14ac:dyDescent="0.35">
      <c r="A1478" s="6" t="s">
        <v>396</v>
      </c>
      <c r="B1478" s="6" t="s">
        <v>397</v>
      </c>
      <c r="C1478" s="6" t="s">
        <v>398</v>
      </c>
      <c r="D1478" s="6" t="s">
        <v>399</v>
      </c>
      <c r="E1478" s="6" t="s">
        <v>110</v>
      </c>
      <c r="F1478" s="6" t="s">
        <v>111</v>
      </c>
      <c r="G1478" s="6" t="s">
        <v>400</v>
      </c>
      <c r="H1478" s="6" t="s">
        <v>401</v>
      </c>
      <c r="I1478" s="6" t="s">
        <v>31</v>
      </c>
      <c r="J1478" s="6">
        <v>18.101140000000001</v>
      </c>
      <c r="K1478" s="6">
        <v>-97.058599999999998</v>
      </c>
      <c r="L1478" s="6" t="str">
        <f>HYPERLINK("https://maps.google.com/?q=18.10114,-97.05860", "🔗 Ver Mapa")</f>
        <v>🔗 Ver Mapa</v>
      </c>
    </row>
    <row r="1479" spans="1:12" ht="29" x14ac:dyDescent="0.35">
      <c r="A1479" s="5" t="s">
        <v>396</v>
      </c>
      <c r="B1479" s="5" t="s">
        <v>397</v>
      </c>
      <c r="C1479" s="5" t="s">
        <v>402</v>
      </c>
      <c r="D1479" s="5" t="s">
        <v>399</v>
      </c>
      <c r="E1479" s="5" t="s">
        <v>158</v>
      </c>
      <c r="F1479" s="5" t="s">
        <v>166</v>
      </c>
      <c r="G1479" s="5" t="s">
        <v>403</v>
      </c>
      <c r="H1479" s="5" t="s">
        <v>404</v>
      </c>
      <c r="I1479" s="5" t="s">
        <v>31</v>
      </c>
      <c r="J1479" s="5">
        <v>16.591589087974999</v>
      </c>
      <c r="K1479" s="5">
        <v>-95.161604008015999</v>
      </c>
      <c r="L1479" s="5" t="str">
        <f>HYPERLINK("https://maps.google.com/?q=16.591589087974725,-95.1616040080161", "🔗 Ver Mapa")</f>
        <v>🔗 Ver Mapa</v>
      </c>
    </row>
    <row r="1480" spans="1:12" ht="29" x14ac:dyDescent="0.35">
      <c r="A1480" s="6" t="s">
        <v>396</v>
      </c>
      <c r="B1480" s="6" t="s">
        <v>397</v>
      </c>
      <c r="C1480" s="6" t="s">
        <v>405</v>
      </c>
      <c r="D1480" s="6" t="s">
        <v>399</v>
      </c>
      <c r="E1480" s="6" t="s">
        <v>39</v>
      </c>
      <c r="F1480" s="6" t="s">
        <v>133</v>
      </c>
      <c r="G1480" s="6" t="s">
        <v>406</v>
      </c>
      <c r="H1480" s="6" t="s">
        <v>407</v>
      </c>
      <c r="I1480" s="6" t="s">
        <v>31</v>
      </c>
      <c r="J1480" s="6">
        <v>16.430330000000001</v>
      </c>
      <c r="K1480" s="6">
        <v>-95.973060000000004</v>
      </c>
      <c r="L1480" s="6" t="str">
        <f>HYPERLINK("https://maps.google.com/?q=16.43033,-95.97306", "🔗 Ver Mapa")</f>
        <v>🔗 Ver Mapa</v>
      </c>
    </row>
    <row r="1481" spans="1:12" ht="29" x14ac:dyDescent="0.35">
      <c r="A1481" s="5" t="s">
        <v>396</v>
      </c>
      <c r="B1481" s="5" t="s">
        <v>397</v>
      </c>
      <c r="C1481" s="5" t="s">
        <v>408</v>
      </c>
      <c r="D1481" s="5" t="s">
        <v>399</v>
      </c>
      <c r="E1481" s="5" t="s">
        <v>16</v>
      </c>
      <c r="F1481" s="5" t="s">
        <v>409</v>
      </c>
      <c r="G1481" s="5" t="s">
        <v>410</v>
      </c>
      <c r="H1481" s="5" t="s">
        <v>411</v>
      </c>
      <c r="I1481" s="5" t="s">
        <v>31</v>
      </c>
      <c r="J1481" s="5">
        <v>17.724872728167998</v>
      </c>
      <c r="K1481" s="5">
        <v>-97.324060989733994</v>
      </c>
      <c r="L1481" s="5" t="str">
        <f>HYPERLINK("https://maps.google.com/?q=17.724872728167533,-97.32406098973402", "🔗 Ver Mapa")</f>
        <v>🔗 Ver Mapa</v>
      </c>
    </row>
    <row r="1482" spans="1:12" ht="72.5" x14ac:dyDescent="0.35">
      <c r="A1482" s="6" t="s">
        <v>297</v>
      </c>
      <c r="B1482" s="6" t="s">
        <v>298</v>
      </c>
      <c r="C1482" s="6" t="s">
        <v>412</v>
      </c>
      <c r="D1482" s="6" t="s">
        <v>13</v>
      </c>
      <c r="E1482" s="6" t="s">
        <v>52</v>
      </c>
      <c r="F1482" s="6" t="s">
        <v>70</v>
      </c>
      <c r="G1482" s="6" t="s">
        <v>71</v>
      </c>
      <c r="H1482" s="6" t="s">
        <v>72</v>
      </c>
      <c r="I1482" s="6" t="s">
        <v>32</v>
      </c>
      <c r="J1482" s="6">
        <v>17.058717000000001</v>
      </c>
      <c r="K1482" s="6">
        <v>-96.753580999999997</v>
      </c>
      <c r="L1482" s="6" t="str">
        <f>HYPERLINK("https://maps.google.com/?q=17.058717,-96.753580999999997", "🔗 Ver Mapa")</f>
        <v>🔗 Ver Mapa</v>
      </c>
    </row>
    <row r="1483" spans="1:12" ht="72.5" x14ac:dyDescent="0.35">
      <c r="A1483" s="5" t="s">
        <v>297</v>
      </c>
      <c r="B1483" s="5" t="s">
        <v>298</v>
      </c>
      <c r="C1483" s="5" t="s">
        <v>412</v>
      </c>
      <c r="D1483" s="5" t="s">
        <v>13</v>
      </c>
      <c r="E1483" s="5" t="s">
        <v>52</v>
      </c>
      <c r="F1483" s="5" t="s">
        <v>70</v>
      </c>
      <c r="G1483" s="5" t="s">
        <v>71</v>
      </c>
      <c r="H1483" s="5" t="s">
        <v>72</v>
      </c>
      <c r="I1483" s="5" t="s">
        <v>32</v>
      </c>
      <c r="J1483" s="5">
        <v>17.058717000000001</v>
      </c>
      <c r="K1483" s="5">
        <v>-96.753580999999997</v>
      </c>
      <c r="L1483" s="5" t="str">
        <f>HYPERLINK("https://maps.google.com/?q=17.058717,-96.753580999999997", "🔗 Ver Mapa")</f>
        <v>🔗 Ver Mapa</v>
      </c>
    </row>
    <row r="1484" spans="1:12" ht="72.5" x14ac:dyDescent="0.35">
      <c r="A1484" s="6" t="s">
        <v>297</v>
      </c>
      <c r="B1484" s="6" t="s">
        <v>298</v>
      </c>
      <c r="C1484" s="6" t="s">
        <v>412</v>
      </c>
      <c r="D1484" s="6" t="s">
        <v>13</v>
      </c>
      <c r="E1484" s="6" t="s">
        <v>52</v>
      </c>
      <c r="F1484" s="6" t="s">
        <v>70</v>
      </c>
      <c r="G1484" s="6" t="s">
        <v>71</v>
      </c>
      <c r="H1484" s="6" t="s">
        <v>72</v>
      </c>
      <c r="I1484" s="6" t="s">
        <v>32</v>
      </c>
      <c r="J1484" s="6">
        <v>17.058717000000001</v>
      </c>
      <c r="K1484" s="6">
        <v>-96.753580999999997</v>
      </c>
      <c r="L1484" s="6" t="str">
        <f>HYPERLINK("https://maps.google.com/?q=17.058717,-96.753580999999997", "🔗 Ver Mapa")</f>
        <v>🔗 Ver Mapa</v>
      </c>
    </row>
    <row r="1485" spans="1:12" ht="72.5" x14ac:dyDescent="0.35">
      <c r="A1485" s="5" t="s">
        <v>297</v>
      </c>
      <c r="B1485" s="5" t="s">
        <v>298</v>
      </c>
      <c r="C1485" s="5" t="s">
        <v>412</v>
      </c>
      <c r="D1485" s="5" t="s">
        <v>13</v>
      </c>
      <c r="E1485" s="5" t="s">
        <v>52</v>
      </c>
      <c r="F1485" s="5" t="s">
        <v>70</v>
      </c>
      <c r="G1485" s="5" t="s">
        <v>71</v>
      </c>
      <c r="H1485" s="5" t="s">
        <v>72</v>
      </c>
      <c r="I1485" s="5" t="s">
        <v>32</v>
      </c>
      <c r="J1485" s="5">
        <v>17.058717000000001</v>
      </c>
      <c r="K1485" s="5">
        <v>-96.753580999999997</v>
      </c>
      <c r="L1485" s="5" t="str">
        <f>HYPERLINK("https://maps.google.com/?q=17.058717,-96.753580999999997", "🔗 Ver Mapa")</f>
        <v>🔗 Ver Mapa</v>
      </c>
    </row>
    <row r="1486" spans="1:12" ht="72.5" x14ac:dyDescent="0.35">
      <c r="A1486" s="6" t="s">
        <v>297</v>
      </c>
      <c r="B1486" s="6" t="s">
        <v>298</v>
      </c>
      <c r="C1486" s="6" t="s">
        <v>412</v>
      </c>
      <c r="D1486" s="6" t="s">
        <v>13</v>
      </c>
      <c r="E1486" s="6" t="s">
        <v>52</v>
      </c>
      <c r="F1486" s="6" t="s">
        <v>70</v>
      </c>
      <c r="G1486" s="6" t="s">
        <v>71</v>
      </c>
      <c r="H1486" s="6" t="s">
        <v>72</v>
      </c>
      <c r="I1486" s="6" t="s">
        <v>32</v>
      </c>
      <c r="J1486" s="6">
        <v>17.058951</v>
      </c>
      <c r="K1486" s="6">
        <v>-96.751512000000005</v>
      </c>
      <c r="L1486" s="6" t="str">
        <f>HYPERLINK("https://maps.google.com/?q=17.058951,-96.751512000000005", "🔗 Ver Mapa")</f>
        <v>🔗 Ver Mapa</v>
      </c>
    </row>
    <row r="1487" spans="1:12" ht="72.5" x14ac:dyDescent="0.35">
      <c r="A1487" s="5" t="s">
        <v>297</v>
      </c>
      <c r="B1487" s="5" t="s">
        <v>298</v>
      </c>
      <c r="C1487" s="5" t="s">
        <v>412</v>
      </c>
      <c r="D1487" s="5" t="s">
        <v>13</v>
      </c>
      <c r="E1487" s="5" t="s">
        <v>52</v>
      </c>
      <c r="F1487" s="5" t="s">
        <v>70</v>
      </c>
      <c r="G1487" s="5" t="s">
        <v>71</v>
      </c>
      <c r="H1487" s="5" t="s">
        <v>72</v>
      </c>
      <c r="I1487" s="5" t="s">
        <v>32</v>
      </c>
      <c r="J1487" s="5">
        <v>17.058951</v>
      </c>
      <c r="K1487" s="5">
        <v>-96.751512000000005</v>
      </c>
      <c r="L1487" s="5" t="str">
        <f>HYPERLINK("https://maps.google.com/?q=17.058951,-96.751512000000005", "🔗 Ver Mapa")</f>
        <v>🔗 Ver Mapa</v>
      </c>
    </row>
    <row r="1488" spans="1:12" ht="72.5" x14ac:dyDescent="0.35">
      <c r="A1488" s="6" t="s">
        <v>297</v>
      </c>
      <c r="B1488" s="6" t="s">
        <v>298</v>
      </c>
      <c r="C1488" s="6" t="s">
        <v>412</v>
      </c>
      <c r="D1488" s="6" t="s">
        <v>13</v>
      </c>
      <c r="E1488" s="6" t="s">
        <v>52</v>
      </c>
      <c r="F1488" s="6" t="s">
        <v>70</v>
      </c>
      <c r="G1488" s="6" t="s">
        <v>71</v>
      </c>
      <c r="H1488" s="6" t="s">
        <v>72</v>
      </c>
      <c r="I1488" s="6" t="s">
        <v>32</v>
      </c>
      <c r="J1488" s="6">
        <v>17.058951</v>
      </c>
      <c r="K1488" s="6">
        <v>-96.751512000000005</v>
      </c>
      <c r="L1488" s="6" t="str">
        <f>HYPERLINK("https://maps.google.com/?q=17.058951,-96.751512000000005", "🔗 Ver Mapa")</f>
        <v>🔗 Ver Mapa</v>
      </c>
    </row>
    <row r="1489" spans="1:12" ht="72.5" x14ac:dyDescent="0.35">
      <c r="A1489" s="5" t="s">
        <v>297</v>
      </c>
      <c r="B1489" s="5" t="s">
        <v>298</v>
      </c>
      <c r="C1489" s="5" t="s">
        <v>412</v>
      </c>
      <c r="D1489" s="5" t="s">
        <v>13</v>
      </c>
      <c r="E1489" s="5" t="s">
        <v>52</v>
      </c>
      <c r="F1489" s="5" t="s">
        <v>70</v>
      </c>
      <c r="G1489" s="5" t="s">
        <v>71</v>
      </c>
      <c r="H1489" s="5" t="s">
        <v>72</v>
      </c>
      <c r="I1489" s="5" t="s">
        <v>32</v>
      </c>
      <c r="J1489" s="5">
        <v>17.058951</v>
      </c>
      <c r="K1489" s="5">
        <v>-96.751512000000005</v>
      </c>
      <c r="L1489" s="5" t="str">
        <f>HYPERLINK("https://maps.google.com/?q=17.058951,-96.751512000000005", "🔗 Ver Mapa")</f>
        <v>🔗 Ver Mapa</v>
      </c>
    </row>
    <row r="1490" spans="1:12" ht="72.5" x14ac:dyDescent="0.35">
      <c r="A1490" s="6" t="s">
        <v>297</v>
      </c>
      <c r="B1490" s="6" t="s">
        <v>298</v>
      </c>
      <c r="C1490" s="6" t="s">
        <v>412</v>
      </c>
      <c r="D1490" s="6" t="s">
        <v>13</v>
      </c>
      <c r="E1490" s="6" t="s">
        <v>52</v>
      </c>
      <c r="F1490" s="6" t="s">
        <v>70</v>
      </c>
      <c r="G1490" s="6" t="s">
        <v>71</v>
      </c>
      <c r="H1490" s="6" t="s">
        <v>72</v>
      </c>
      <c r="I1490" s="6" t="s">
        <v>32</v>
      </c>
      <c r="J1490" s="6">
        <v>17.058954</v>
      </c>
      <c r="K1490" s="6">
        <v>-96.752435000000006</v>
      </c>
      <c r="L1490" s="6" t="str">
        <f>HYPERLINK("https://maps.google.com/?q=17.058954,-96.752435000000006", "🔗 Ver Mapa")</f>
        <v>🔗 Ver Mapa</v>
      </c>
    </row>
    <row r="1491" spans="1:12" ht="72.5" x14ac:dyDescent="0.35">
      <c r="A1491" s="5" t="s">
        <v>297</v>
      </c>
      <c r="B1491" s="5" t="s">
        <v>298</v>
      </c>
      <c r="C1491" s="5" t="s">
        <v>412</v>
      </c>
      <c r="D1491" s="5" t="s">
        <v>13</v>
      </c>
      <c r="E1491" s="5" t="s">
        <v>52</v>
      </c>
      <c r="F1491" s="5" t="s">
        <v>70</v>
      </c>
      <c r="G1491" s="5" t="s">
        <v>71</v>
      </c>
      <c r="H1491" s="5" t="s">
        <v>72</v>
      </c>
      <c r="I1491" s="5" t="s">
        <v>32</v>
      </c>
      <c r="J1491" s="5">
        <v>17.058954</v>
      </c>
      <c r="K1491" s="5">
        <v>-96.752435000000006</v>
      </c>
      <c r="L1491" s="5" t="str">
        <f>HYPERLINK("https://maps.google.com/?q=17.058954,-96.752435000000006", "🔗 Ver Mapa")</f>
        <v>🔗 Ver Mapa</v>
      </c>
    </row>
    <row r="1492" spans="1:12" ht="72.5" x14ac:dyDescent="0.35">
      <c r="A1492" s="6" t="s">
        <v>297</v>
      </c>
      <c r="B1492" s="6" t="s">
        <v>298</v>
      </c>
      <c r="C1492" s="6" t="s">
        <v>412</v>
      </c>
      <c r="D1492" s="6" t="s">
        <v>13</v>
      </c>
      <c r="E1492" s="6" t="s">
        <v>52</v>
      </c>
      <c r="F1492" s="6" t="s">
        <v>70</v>
      </c>
      <c r="G1492" s="6" t="s">
        <v>71</v>
      </c>
      <c r="H1492" s="6" t="s">
        <v>72</v>
      </c>
      <c r="I1492" s="6" t="s">
        <v>32</v>
      </c>
      <c r="J1492" s="6">
        <v>17.058954</v>
      </c>
      <c r="K1492" s="6">
        <v>-96.752435000000006</v>
      </c>
      <c r="L1492" s="6" t="str">
        <f>HYPERLINK("https://maps.google.com/?q=17.058954,-96.752435000000006", "🔗 Ver Mapa")</f>
        <v>🔗 Ver Mapa</v>
      </c>
    </row>
    <row r="1493" spans="1:12" ht="72.5" x14ac:dyDescent="0.35">
      <c r="A1493" s="5" t="s">
        <v>297</v>
      </c>
      <c r="B1493" s="5" t="s">
        <v>298</v>
      </c>
      <c r="C1493" s="5" t="s">
        <v>412</v>
      </c>
      <c r="D1493" s="5" t="s">
        <v>13</v>
      </c>
      <c r="E1493" s="5" t="s">
        <v>52</v>
      </c>
      <c r="F1493" s="5" t="s">
        <v>70</v>
      </c>
      <c r="G1493" s="5" t="s">
        <v>71</v>
      </c>
      <c r="H1493" s="5" t="s">
        <v>72</v>
      </c>
      <c r="I1493" s="5" t="s">
        <v>32</v>
      </c>
      <c r="J1493" s="5">
        <v>17.058954</v>
      </c>
      <c r="K1493" s="5">
        <v>-96.752435000000006</v>
      </c>
      <c r="L1493" s="5" t="str">
        <f>HYPERLINK("https://maps.google.com/?q=17.058954,-96.752435000000006", "🔗 Ver Mapa")</f>
        <v>🔗 Ver Mapa</v>
      </c>
    </row>
    <row r="1494" spans="1:12" ht="72.5" x14ac:dyDescent="0.35">
      <c r="A1494" s="6" t="s">
        <v>297</v>
      </c>
      <c r="B1494" s="6" t="s">
        <v>298</v>
      </c>
      <c r="C1494" s="6" t="s">
        <v>412</v>
      </c>
      <c r="D1494" s="6" t="s">
        <v>13</v>
      </c>
      <c r="E1494" s="6" t="s">
        <v>52</v>
      </c>
      <c r="F1494" s="6" t="s">
        <v>70</v>
      </c>
      <c r="G1494" s="6" t="s">
        <v>71</v>
      </c>
      <c r="H1494" s="6" t="s">
        <v>72</v>
      </c>
      <c r="I1494" s="6" t="s">
        <v>32</v>
      </c>
      <c r="J1494" s="6">
        <v>17.059170999999999</v>
      </c>
      <c r="K1494" s="6">
        <v>-96.750380000000007</v>
      </c>
      <c r="L1494" s="6" t="str">
        <f>HYPERLINK("https://maps.google.com/?q=17.059171,-96.750380000000007", "🔗 Ver Mapa")</f>
        <v>🔗 Ver Mapa</v>
      </c>
    </row>
    <row r="1495" spans="1:12" ht="72.5" x14ac:dyDescent="0.35">
      <c r="A1495" s="5" t="s">
        <v>297</v>
      </c>
      <c r="B1495" s="5" t="s">
        <v>298</v>
      </c>
      <c r="C1495" s="5" t="s">
        <v>412</v>
      </c>
      <c r="D1495" s="5" t="s">
        <v>13</v>
      </c>
      <c r="E1495" s="5" t="s">
        <v>52</v>
      </c>
      <c r="F1495" s="5" t="s">
        <v>70</v>
      </c>
      <c r="G1495" s="5" t="s">
        <v>71</v>
      </c>
      <c r="H1495" s="5" t="s">
        <v>72</v>
      </c>
      <c r="I1495" s="5" t="s">
        <v>32</v>
      </c>
      <c r="J1495" s="5">
        <v>17.059170999999999</v>
      </c>
      <c r="K1495" s="5">
        <v>-96.750380000000007</v>
      </c>
      <c r="L1495" s="5" t="str">
        <f>HYPERLINK("https://maps.google.com/?q=17.059171,-96.750380000000007", "🔗 Ver Mapa")</f>
        <v>🔗 Ver Mapa</v>
      </c>
    </row>
    <row r="1496" spans="1:12" ht="72.5" x14ac:dyDescent="0.35">
      <c r="A1496" s="6" t="s">
        <v>297</v>
      </c>
      <c r="B1496" s="6" t="s">
        <v>298</v>
      </c>
      <c r="C1496" s="6" t="s">
        <v>412</v>
      </c>
      <c r="D1496" s="6" t="s">
        <v>13</v>
      </c>
      <c r="E1496" s="6" t="s">
        <v>52</v>
      </c>
      <c r="F1496" s="6" t="s">
        <v>70</v>
      </c>
      <c r="G1496" s="6" t="s">
        <v>71</v>
      </c>
      <c r="H1496" s="6" t="s">
        <v>72</v>
      </c>
      <c r="I1496" s="6" t="s">
        <v>32</v>
      </c>
      <c r="J1496" s="6">
        <v>17.059170999999999</v>
      </c>
      <c r="K1496" s="6">
        <v>-96.750380000000007</v>
      </c>
      <c r="L1496" s="6" t="str">
        <f>HYPERLINK("https://maps.google.com/?q=17.059171,-96.750380000000007", "🔗 Ver Mapa")</f>
        <v>🔗 Ver Mapa</v>
      </c>
    </row>
    <row r="1497" spans="1:12" ht="72.5" x14ac:dyDescent="0.35">
      <c r="A1497" s="5" t="s">
        <v>297</v>
      </c>
      <c r="B1497" s="5" t="s">
        <v>298</v>
      </c>
      <c r="C1497" s="5" t="s">
        <v>412</v>
      </c>
      <c r="D1497" s="5" t="s">
        <v>13</v>
      </c>
      <c r="E1497" s="5" t="s">
        <v>52</v>
      </c>
      <c r="F1497" s="5" t="s">
        <v>70</v>
      </c>
      <c r="G1497" s="5" t="s">
        <v>71</v>
      </c>
      <c r="H1497" s="5" t="s">
        <v>72</v>
      </c>
      <c r="I1497" s="5" t="s">
        <v>32</v>
      </c>
      <c r="J1497" s="5">
        <v>17.059170999999999</v>
      </c>
      <c r="K1497" s="5">
        <v>-96.750380000000007</v>
      </c>
      <c r="L1497" s="5" t="str">
        <f>HYPERLINK("https://maps.google.com/?q=17.059171,-96.750380000000007", "🔗 Ver Mapa")</f>
        <v>🔗 Ver Mapa</v>
      </c>
    </row>
    <row r="1498" spans="1:12" ht="72.5" x14ac:dyDescent="0.35">
      <c r="A1498" s="6" t="s">
        <v>297</v>
      </c>
      <c r="B1498" s="6" t="s">
        <v>298</v>
      </c>
      <c r="C1498" s="6" t="s">
        <v>412</v>
      </c>
      <c r="D1498" s="6" t="s">
        <v>13</v>
      </c>
      <c r="E1498" s="6" t="s">
        <v>52</v>
      </c>
      <c r="F1498" s="6" t="s">
        <v>70</v>
      </c>
      <c r="G1498" s="6" t="s">
        <v>71</v>
      </c>
      <c r="H1498" s="6" t="s">
        <v>72</v>
      </c>
      <c r="I1498" s="6" t="s">
        <v>32</v>
      </c>
      <c r="J1498" s="6">
        <v>17.059207000000001</v>
      </c>
      <c r="K1498" s="6">
        <v>-96.749972</v>
      </c>
      <c r="L1498" s="6" t="str">
        <f>HYPERLINK("https://maps.google.com/?q=17.059207,-96.749972", "🔗 Ver Mapa")</f>
        <v>🔗 Ver Mapa</v>
      </c>
    </row>
    <row r="1499" spans="1:12" ht="72.5" x14ac:dyDescent="0.35">
      <c r="A1499" s="5" t="s">
        <v>297</v>
      </c>
      <c r="B1499" s="5" t="s">
        <v>298</v>
      </c>
      <c r="C1499" s="5" t="s">
        <v>412</v>
      </c>
      <c r="D1499" s="5" t="s">
        <v>13</v>
      </c>
      <c r="E1499" s="5" t="s">
        <v>52</v>
      </c>
      <c r="F1499" s="5" t="s">
        <v>70</v>
      </c>
      <c r="G1499" s="5" t="s">
        <v>71</v>
      </c>
      <c r="H1499" s="5" t="s">
        <v>72</v>
      </c>
      <c r="I1499" s="5" t="s">
        <v>32</v>
      </c>
      <c r="J1499" s="5">
        <v>17.059207000000001</v>
      </c>
      <c r="K1499" s="5">
        <v>-96.749972</v>
      </c>
      <c r="L1499" s="5" t="str">
        <f>HYPERLINK("https://maps.google.com/?q=17.059207,-96.749972", "🔗 Ver Mapa")</f>
        <v>🔗 Ver Mapa</v>
      </c>
    </row>
    <row r="1500" spans="1:12" ht="72.5" x14ac:dyDescent="0.35">
      <c r="A1500" s="6" t="s">
        <v>297</v>
      </c>
      <c r="B1500" s="6" t="s">
        <v>298</v>
      </c>
      <c r="C1500" s="6" t="s">
        <v>412</v>
      </c>
      <c r="D1500" s="6" t="s">
        <v>13</v>
      </c>
      <c r="E1500" s="6" t="s">
        <v>52</v>
      </c>
      <c r="F1500" s="6" t="s">
        <v>70</v>
      </c>
      <c r="G1500" s="6" t="s">
        <v>71</v>
      </c>
      <c r="H1500" s="6" t="s">
        <v>72</v>
      </c>
      <c r="I1500" s="6" t="s">
        <v>32</v>
      </c>
      <c r="J1500" s="6">
        <v>17.059207000000001</v>
      </c>
      <c r="K1500" s="6">
        <v>-96.749972</v>
      </c>
      <c r="L1500" s="6" t="str">
        <f>HYPERLINK("https://maps.google.com/?q=17.059207,-96.749972", "🔗 Ver Mapa")</f>
        <v>🔗 Ver Mapa</v>
      </c>
    </row>
    <row r="1501" spans="1:12" ht="72.5" x14ac:dyDescent="0.35">
      <c r="A1501" s="5" t="s">
        <v>297</v>
      </c>
      <c r="B1501" s="5" t="s">
        <v>298</v>
      </c>
      <c r="C1501" s="5" t="s">
        <v>412</v>
      </c>
      <c r="D1501" s="5" t="s">
        <v>13</v>
      </c>
      <c r="E1501" s="5" t="s">
        <v>52</v>
      </c>
      <c r="F1501" s="5" t="s">
        <v>70</v>
      </c>
      <c r="G1501" s="5" t="s">
        <v>71</v>
      </c>
      <c r="H1501" s="5" t="s">
        <v>72</v>
      </c>
      <c r="I1501" s="5" t="s">
        <v>32</v>
      </c>
      <c r="J1501" s="5">
        <v>17.059207000000001</v>
      </c>
      <c r="K1501" s="5">
        <v>-96.749972</v>
      </c>
      <c r="L1501" s="5" t="str">
        <f>HYPERLINK("https://maps.google.com/?q=17.059207,-96.749972", "🔗 Ver Mapa")</f>
        <v>🔗 Ver Mapa</v>
      </c>
    </row>
    <row r="1502" spans="1:12" ht="72.5" x14ac:dyDescent="0.35">
      <c r="A1502" s="6" t="s">
        <v>297</v>
      </c>
      <c r="B1502" s="6" t="s">
        <v>298</v>
      </c>
      <c r="C1502" s="6" t="s">
        <v>412</v>
      </c>
      <c r="D1502" s="6" t="s">
        <v>13</v>
      </c>
      <c r="E1502" s="6" t="s">
        <v>52</v>
      </c>
      <c r="F1502" s="6" t="s">
        <v>70</v>
      </c>
      <c r="G1502" s="6" t="s">
        <v>71</v>
      </c>
      <c r="H1502" s="6" t="s">
        <v>72</v>
      </c>
      <c r="I1502" s="6" t="s">
        <v>32</v>
      </c>
      <c r="J1502" s="6">
        <v>17.061036000000001</v>
      </c>
      <c r="K1502" s="6">
        <v>-96.755902000000006</v>
      </c>
      <c r="L1502" s="6" t="str">
        <f>HYPERLINK("https://maps.google.com/?q=17.061036,-96.755902000000006", "🔗 Ver Mapa")</f>
        <v>🔗 Ver Mapa</v>
      </c>
    </row>
    <row r="1503" spans="1:12" ht="72.5" x14ac:dyDescent="0.35">
      <c r="A1503" s="5" t="s">
        <v>297</v>
      </c>
      <c r="B1503" s="5" t="s">
        <v>298</v>
      </c>
      <c r="C1503" s="5" t="s">
        <v>412</v>
      </c>
      <c r="D1503" s="5" t="s">
        <v>13</v>
      </c>
      <c r="E1503" s="5" t="s">
        <v>52</v>
      </c>
      <c r="F1503" s="5" t="s">
        <v>70</v>
      </c>
      <c r="G1503" s="5" t="s">
        <v>71</v>
      </c>
      <c r="H1503" s="5" t="s">
        <v>72</v>
      </c>
      <c r="I1503" s="5" t="s">
        <v>32</v>
      </c>
      <c r="J1503" s="5">
        <v>17.061036000000001</v>
      </c>
      <c r="K1503" s="5">
        <v>-96.755902000000006</v>
      </c>
      <c r="L1503" s="5" t="str">
        <f>HYPERLINK("https://maps.google.com/?q=17.061036,-96.755902000000006", "🔗 Ver Mapa")</f>
        <v>🔗 Ver Mapa</v>
      </c>
    </row>
    <row r="1504" spans="1:12" ht="72.5" x14ac:dyDescent="0.35">
      <c r="A1504" s="6" t="s">
        <v>297</v>
      </c>
      <c r="B1504" s="6" t="s">
        <v>298</v>
      </c>
      <c r="C1504" s="6" t="s">
        <v>412</v>
      </c>
      <c r="D1504" s="6" t="s">
        <v>13</v>
      </c>
      <c r="E1504" s="6" t="s">
        <v>52</v>
      </c>
      <c r="F1504" s="6" t="s">
        <v>70</v>
      </c>
      <c r="G1504" s="6" t="s">
        <v>71</v>
      </c>
      <c r="H1504" s="6" t="s">
        <v>72</v>
      </c>
      <c r="I1504" s="6" t="s">
        <v>32</v>
      </c>
      <c r="J1504" s="6">
        <v>17.061036000000001</v>
      </c>
      <c r="K1504" s="6">
        <v>-96.755902000000006</v>
      </c>
      <c r="L1504" s="6" t="str">
        <f>HYPERLINK("https://maps.google.com/?q=17.061036,-96.755902000000006", "🔗 Ver Mapa")</f>
        <v>🔗 Ver Mapa</v>
      </c>
    </row>
    <row r="1505" spans="1:12" ht="72.5" x14ac:dyDescent="0.35">
      <c r="A1505" s="5" t="s">
        <v>297</v>
      </c>
      <c r="B1505" s="5" t="s">
        <v>298</v>
      </c>
      <c r="C1505" s="5" t="s">
        <v>412</v>
      </c>
      <c r="D1505" s="5" t="s">
        <v>13</v>
      </c>
      <c r="E1505" s="5" t="s">
        <v>52</v>
      </c>
      <c r="F1505" s="5" t="s">
        <v>70</v>
      </c>
      <c r="G1505" s="5" t="s">
        <v>71</v>
      </c>
      <c r="H1505" s="5" t="s">
        <v>72</v>
      </c>
      <c r="I1505" s="5" t="s">
        <v>32</v>
      </c>
      <c r="J1505" s="5">
        <v>17.061036000000001</v>
      </c>
      <c r="K1505" s="5">
        <v>-96.755902000000006</v>
      </c>
      <c r="L1505" s="5" t="str">
        <f>HYPERLINK("https://maps.google.com/?q=17.061036,-96.755902000000006", "🔗 Ver Mapa")</f>
        <v>🔗 Ver Mapa</v>
      </c>
    </row>
    <row r="1506" spans="1:12" ht="72.5" x14ac:dyDescent="0.35">
      <c r="A1506" s="6" t="s">
        <v>297</v>
      </c>
      <c r="B1506" s="6" t="s">
        <v>298</v>
      </c>
      <c r="C1506" s="6" t="s">
        <v>412</v>
      </c>
      <c r="D1506" s="6" t="s">
        <v>13</v>
      </c>
      <c r="E1506" s="6" t="s">
        <v>52</v>
      </c>
      <c r="F1506" s="6" t="s">
        <v>70</v>
      </c>
      <c r="G1506" s="6" t="s">
        <v>71</v>
      </c>
      <c r="H1506" s="6" t="s">
        <v>72</v>
      </c>
      <c r="I1506" s="6" t="s">
        <v>32</v>
      </c>
      <c r="J1506" s="6">
        <v>17.061053999999999</v>
      </c>
      <c r="K1506" s="6">
        <v>-96.756463999999994</v>
      </c>
      <c r="L1506" s="6" t="str">
        <f>HYPERLINK("https://maps.google.com/?q=17.061054,-96.756463999999994", "🔗 Ver Mapa")</f>
        <v>🔗 Ver Mapa</v>
      </c>
    </row>
    <row r="1507" spans="1:12" ht="72.5" x14ac:dyDescent="0.35">
      <c r="A1507" s="5" t="s">
        <v>297</v>
      </c>
      <c r="B1507" s="5" t="s">
        <v>298</v>
      </c>
      <c r="C1507" s="5" t="s">
        <v>412</v>
      </c>
      <c r="D1507" s="5" t="s">
        <v>13</v>
      </c>
      <c r="E1507" s="5" t="s">
        <v>52</v>
      </c>
      <c r="F1507" s="5" t="s">
        <v>70</v>
      </c>
      <c r="G1507" s="5" t="s">
        <v>71</v>
      </c>
      <c r="H1507" s="5" t="s">
        <v>72</v>
      </c>
      <c r="I1507" s="5" t="s">
        <v>32</v>
      </c>
      <c r="J1507" s="5">
        <v>17.061053999999999</v>
      </c>
      <c r="K1507" s="5">
        <v>-96.756463999999994</v>
      </c>
      <c r="L1507" s="5" t="str">
        <f>HYPERLINK("https://maps.google.com/?q=17.061054,-96.756463999999994", "🔗 Ver Mapa")</f>
        <v>🔗 Ver Mapa</v>
      </c>
    </row>
    <row r="1508" spans="1:12" ht="72.5" x14ac:dyDescent="0.35">
      <c r="A1508" s="6" t="s">
        <v>297</v>
      </c>
      <c r="B1508" s="6" t="s">
        <v>298</v>
      </c>
      <c r="C1508" s="6" t="s">
        <v>412</v>
      </c>
      <c r="D1508" s="6" t="s">
        <v>13</v>
      </c>
      <c r="E1508" s="6" t="s">
        <v>52</v>
      </c>
      <c r="F1508" s="6" t="s">
        <v>70</v>
      </c>
      <c r="G1508" s="6" t="s">
        <v>71</v>
      </c>
      <c r="H1508" s="6" t="s">
        <v>72</v>
      </c>
      <c r="I1508" s="6" t="s">
        <v>32</v>
      </c>
      <c r="J1508" s="6">
        <v>17.061053999999999</v>
      </c>
      <c r="K1508" s="6">
        <v>-96.756463999999994</v>
      </c>
      <c r="L1508" s="6" t="str">
        <f>HYPERLINK("https://maps.google.com/?q=17.061054,-96.756463999999994", "🔗 Ver Mapa")</f>
        <v>🔗 Ver Mapa</v>
      </c>
    </row>
    <row r="1509" spans="1:12" ht="72.5" x14ac:dyDescent="0.35">
      <c r="A1509" s="5" t="s">
        <v>297</v>
      </c>
      <c r="B1509" s="5" t="s">
        <v>298</v>
      </c>
      <c r="C1509" s="5" t="s">
        <v>412</v>
      </c>
      <c r="D1509" s="5" t="s">
        <v>13</v>
      </c>
      <c r="E1509" s="5" t="s">
        <v>52</v>
      </c>
      <c r="F1509" s="5" t="s">
        <v>70</v>
      </c>
      <c r="G1509" s="5" t="s">
        <v>71</v>
      </c>
      <c r="H1509" s="5" t="s">
        <v>72</v>
      </c>
      <c r="I1509" s="5" t="s">
        <v>32</v>
      </c>
      <c r="J1509" s="5">
        <v>17.061053999999999</v>
      </c>
      <c r="K1509" s="5">
        <v>-96.756463999999994</v>
      </c>
      <c r="L1509" s="5" t="str">
        <f>HYPERLINK("https://maps.google.com/?q=17.061054,-96.756463999999994", "🔗 Ver Mapa")</f>
        <v>🔗 Ver Mapa</v>
      </c>
    </row>
    <row r="1510" spans="1:12" ht="72.5" x14ac:dyDescent="0.35">
      <c r="A1510" s="6" t="s">
        <v>297</v>
      </c>
      <c r="B1510" s="6" t="s">
        <v>298</v>
      </c>
      <c r="C1510" s="6" t="s">
        <v>412</v>
      </c>
      <c r="D1510" s="6" t="s">
        <v>13</v>
      </c>
      <c r="E1510" s="6" t="s">
        <v>52</v>
      </c>
      <c r="F1510" s="6" t="s">
        <v>70</v>
      </c>
      <c r="G1510" s="6" t="s">
        <v>71</v>
      </c>
      <c r="H1510" s="6" t="s">
        <v>72</v>
      </c>
      <c r="I1510" s="6" t="s">
        <v>32</v>
      </c>
      <c r="J1510" s="6">
        <v>17.061150000000001</v>
      </c>
      <c r="K1510" s="6">
        <v>-96.755579999999995</v>
      </c>
      <c r="L1510" s="6" t="str">
        <f>HYPERLINK("https://maps.google.com/?q=17.06115,-96.755579999999995", "🔗 Ver Mapa")</f>
        <v>🔗 Ver Mapa</v>
      </c>
    </row>
    <row r="1511" spans="1:12" ht="72.5" x14ac:dyDescent="0.35">
      <c r="A1511" s="5" t="s">
        <v>297</v>
      </c>
      <c r="B1511" s="5" t="s">
        <v>298</v>
      </c>
      <c r="C1511" s="5" t="s">
        <v>412</v>
      </c>
      <c r="D1511" s="5" t="s">
        <v>13</v>
      </c>
      <c r="E1511" s="5" t="s">
        <v>52</v>
      </c>
      <c r="F1511" s="5" t="s">
        <v>70</v>
      </c>
      <c r="G1511" s="5" t="s">
        <v>71</v>
      </c>
      <c r="H1511" s="5" t="s">
        <v>72</v>
      </c>
      <c r="I1511" s="5" t="s">
        <v>32</v>
      </c>
      <c r="J1511" s="5">
        <v>17.061150000000001</v>
      </c>
      <c r="K1511" s="5">
        <v>-96.755579999999995</v>
      </c>
      <c r="L1511" s="5" t="str">
        <f>HYPERLINK("https://maps.google.com/?q=17.06115,-96.755579999999995", "🔗 Ver Mapa")</f>
        <v>🔗 Ver Mapa</v>
      </c>
    </row>
    <row r="1512" spans="1:12" ht="72.5" x14ac:dyDescent="0.35">
      <c r="A1512" s="6" t="s">
        <v>297</v>
      </c>
      <c r="B1512" s="6" t="s">
        <v>298</v>
      </c>
      <c r="C1512" s="6" t="s">
        <v>412</v>
      </c>
      <c r="D1512" s="6" t="s">
        <v>13</v>
      </c>
      <c r="E1512" s="6" t="s">
        <v>52</v>
      </c>
      <c r="F1512" s="6" t="s">
        <v>70</v>
      </c>
      <c r="G1512" s="6" t="s">
        <v>71</v>
      </c>
      <c r="H1512" s="6" t="s">
        <v>72</v>
      </c>
      <c r="I1512" s="6" t="s">
        <v>32</v>
      </c>
      <c r="J1512" s="6">
        <v>17.061150000000001</v>
      </c>
      <c r="K1512" s="6">
        <v>-96.755579999999995</v>
      </c>
      <c r="L1512" s="6" t="str">
        <f>HYPERLINK("https://maps.google.com/?q=17.06115,-96.755579999999995", "🔗 Ver Mapa")</f>
        <v>🔗 Ver Mapa</v>
      </c>
    </row>
    <row r="1513" spans="1:12" ht="72.5" x14ac:dyDescent="0.35">
      <c r="A1513" s="5" t="s">
        <v>297</v>
      </c>
      <c r="B1513" s="5" t="s">
        <v>298</v>
      </c>
      <c r="C1513" s="5" t="s">
        <v>412</v>
      </c>
      <c r="D1513" s="5" t="s">
        <v>13</v>
      </c>
      <c r="E1513" s="5" t="s">
        <v>52</v>
      </c>
      <c r="F1513" s="5" t="s">
        <v>70</v>
      </c>
      <c r="G1513" s="5" t="s">
        <v>71</v>
      </c>
      <c r="H1513" s="5" t="s">
        <v>72</v>
      </c>
      <c r="I1513" s="5" t="s">
        <v>32</v>
      </c>
      <c r="J1513" s="5">
        <v>17.061150000000001</v>
      </c>
      <c r="K1513" s="5">
        <v>-96.755579999999995</v>
      </c>
      <c r="L1513" s="5" t="str">
        <f>HYPERLINK("https://maps.google.com/?q=17.06115,-96.755579999999995", "🔗 Ver Mapa")</f>
        <v>🔗 Ver Mapa</v>
      </c>
    </row>
    <row r="1514" spans="1:12" ht="72.5" x14ac:dyDescent="0.35">
      <c r="A1514" s="6" t="s">
        <v>297</v>
      </c>
      <c r="B1514" s="6" t="s">
        <v>298</v>
      </c>
      <c r="C1514" s="6" t="s">
        <v>412</v>
      </c>
      <c r="D1514" s="6" t="s">
        <v>13</v>
      </c>
      <c r="E1514" s="6" t="s">
        <v>52</v>
      </c>
      <c r="F1514" s="6" t="s">
        <v>70</v>
      </c>
      <c r="G1514" s="6" t="s">
        <v>71</v>
      </c>
      <c r="H1514" s="6" t="s">
        <v>72</v>
      </c>
      <c r="I1514" s="6" t="s">
        <v>32</v>
      </c>
      <c r="J1514" s="6">
        <v>17.061239</v>
      </c>
      <c r="K1514" s="6">
        <v>-96.756981999999994</v>
      </c>
      <c r="L1514" s="6" t="str">
        <f>HYPERLINK("https://maps.google.com/?q=17.061239,-96.756981999999994", "🔗 Ver Mapa")</f>
        <v>🔗 Ver Mapa</v>
      </c>
    </row>
    <row r="1515" spans="1:12" ht="72.5" x14ac:dyDescent="0.35">
      <c r="A1515" s="5" t="s">
        <v>297</v>
      </c>
      <c r="B1515" s="5" t="s">
        <v>298</v>
      </c>
      <c r="C1515" s="5" t="s">
        <v>412</v>
      </c>
      <c r="D1515" s="5" t="s">
        <v>13</v>
      </c>
      <c r="E1515" s="5" t="s">
        <v>52</v>
      </c>
      <c r="F1515" s="5" t="s">
        <v>70</v>
      </c>
      <c r="G1515" s="5" t="s">
        <v>71</v>
      </c>
      <c r="H1515" s="5" t="s">
        <v>72</v>
      </c>
      <c r="I1515" s="5" t="s">
        <v>32</v>
      </c>
      <c r="J1515" s="5">
        <v>17.061239</v>
      </c>
      <c r="K1515" s="5">
        <v>-96.756981999999994</v>
      </c>
      <c r="L1515" s="5" t="str">
        <f>HYPERLINK("https://maps.google.com/?q=17.061239,-96.756981999999994", "🔗 Ver Mapa")</f>
        <v>🔗 Ver Mapa</v>
      </c>
    </row>
    <row r="1516" spans="1:12" ht="72.5" x14ac:dyDescent="0.35">
      <c r="A1516" s="6" t="s">
        <v>297</v>
      </c>
      <c r="B1516" s="6" t="s">
        <v>298</v>
      </c>
      <c r="C1516" s="6" t="s">
        <v>412</v>
      </c>
      <c r="D1516" s="6" t="s">
        <v>13</v>
      </c>
      <c r="E1516" s="6" t="s">
        <v>52</v>
      </c>
      <c r="F1516" s="6" t="s">
        <v>70</v>
      </c>
      <c r="G1516" s="6" t="s">
        <v>71</v>
      </c>
      <c r="H1516" s="6" t="s">
        <v>72</v>
      </c>
      <c r="I1516" s="6" t="s">
        <v>32</v>
      </c>
      <c r="J1516" s="6">
        <v>17.061239</v>
      </c>
      <c r="K1516" s="6">
        <v>-96.756981999999994</v>
      </c>
      <c r="L1516" s="6" t="str">
        <f>HYPERLINK("https://maps.google.com/?q=17.061239,-96.756981999999994", "🔗 Ver Mapa")</f>
        <v>🔗 Ver Mapa</v>
      </c>
    </row>
    <row r="1517" spans="1:12" ht="72.5" x14ac:dyDescent="0.35">
      <c r="A1517" s="5" t="s">
        <v>297</v>
      </c>
      <c r="B1517" s="5" t="s">
        <v>298</v>
      </c>
      <c r="C1517" s="5" t="s">
        <v>412</v>
      </c>
      <c r="D1517" s="5" t="s">
        <v>13</v>
      </c>
      <c r="E1517" s="5" t="s">
        <v>52</v>
      </c>
      <c r="F1517" s="5" t="s">
        <v>70</v>
      </c>
      <c r="G1517" s="5" t="s">
        <v>71</v>
      </c>
      <c r="H1517" s="5" t="s">
        <v>72</v>
      </c>
      <c r="I1517" s="5" t="s">
        <v>32</v>
      </c>
      <c r="J1517" s="5">
        <v>17.061239</v>
      </c>
      <c r="K1517" s="5">
        <v>-96.756981999999994</v>
      </c>
      <c r="L1517" s="5" t="str">
        <f>HYPERLINK("https://maps.google.com/?q=17.061239,-96.756981999999994", "🔗 Ver Mapa")</f>
        <v>🔗 Ver Mapa</v>
      </c>
    </row>
    <row r="1518" spans="1:12" ht="72.5" x14ac:dyDescent="0.35">
      <c r="A1518" s="6" t="s">
        <v>297</v>
      </c>
      <c r="B1518" s="6" t="s">
        <v>298</v>
      </c>
      <c r="C1518" s="6" t="s">
        <v>412</v>
      </c>
      <c r="D1518" s="6" t="s">
        <v>13</v>
      </c>
      <c r="E1518" s="6" t="s">
        <v>52</v>
      </c>
      <c r="F1518" s="6" t="s">
        <v>70</v>
      </c>
      <c r="G1518" s="6" t="s">
        <v>71</v>
      </c>
      <c r="H1518" s="6" t="s">
        <v>72</v>
      </c>
      <c r="I1518" s="6" t="s">
        <v>32</v>
      </c>
      <c r="J1518" s="6">
        <v>17.061461999999999</v>
      </c>
      <c r="K1518" s="6">
        <v>-96.754750999999999</v>
      </c>
      <c r="L1518" s="6" t="str">
        <f>HYPERLINK("https://maps.google.com/?q=17.061462,-96.754750999999999", "🔗 Ver Mapa")</f>
        <v>🔗 Ver Mapa</v>
      </c>
    </row>
    <row r="1519" spans="1:12" ht="72.5" x14ac:dyDescent="0.35">
      <c r="A1519" s="5" t="s">
        <v>297</v>
      </c>
      <c r="B1519" s="5" t="s">
        <v>298</v>
      </c>
      <c r="C1519" s="5" t="s">
        <v>412</v>
      </c>
      <c r="D1519" s="5" t="s">
        <v>13</v>
      </c>
      <c r="E1519" s="5" t="s">
        <v>52</v>
      </c>
      <c r="F1519" s="5" t="s">
        <v>70</v>
      </c>
      <c r="G1519" s="5" t="s">
        <v>71</v>
      </c>
      <c r="H1519" s="5" t="s">
        <v>72</v>
      </c>
      <c r="I1519" s="5" t="s">
        <v>32</v>
      </c>
      <c r="J1519" s="5">
        <v>17.061461999999999</v>
      </c>
      <c r="K1519" s="5">
        <v>-96.754750999999999</v>
      </c>
      <c r="L1519" s="5" t="str">
        <f>HYPERLINK("https://maps.google.com/?q=17.061462,-96.754750999999999", "🔗 Ver Mapa")</f>
        <v>🔗 Ver Mapa</v>
      </c>
    </row>
    <row r="1520" spans="1:12" ht="72.5" x14ac:dyDescent="0.35">
      <c r="A1520" s="6" t="s">
        <v>297</v>
      </c>
      <c r="B1520" s="6" t="s">
        <v>298</v>
      </c>
      <c r="C1520" s="6" t="s">
        <v>412</v>
      </c>
      <c r="D1520" s="6" t="s">
        <v>13</v>
      </c>
      <c r="E1520" s="6" t="s">
        <v>52</v>
      </c>
      <c r="F1520" s="6" t="s">
        <v>70</v>
      </c>
      <c r="G1520" s="6" t="s">
        <v>71</v>
      </c>
      <c r="H1520" s="6" t="s">
        <v>72</v>
      </c>
      <c r="I1520" s="6" t="s">
        <v>32</v>
      </c>
      <c r="J1520" s="6">
        <v>17.061461999999999</v>
      </c>
      <c r="K1520" s="6">
        <v>-96.754750999999999</v>
      </c>
      <c r="L1520" s="6" t="str">
        <f>HYPERLINK("https://maps.google.com/?q=17.061462,-96.754750999999999", "🔗 Ver Mapa")</f>
        <v>🔗 Ver Mapa</v>
      </c>
    </row>
    <row r="1521" spans="1:12" ht="72.5" x14ac:dyDescent="0.35">
      <c r="A1521" s="5" t="s">
        <v>297</v>
      </c>
      <c r="B1521" s="5" t="s">
        <v>298</v>
      </c>
      <c r="C1521" s="5" t="s">
        <v>412</v>
      </c>
      <c r="D1521" s="5" t="s">
        <v>13</v>
      </c>
      <c r="E1521" s="5" t="s">
        <v>52</v>
      </c>
      <c r="F1521" s="5" t="s">
        <v>70</v>
      </c>
      <c r="G1521" s="5" t="s">
        <v>71</v>
      </c>
      <c r="H1521" s="5" t="s">
        <v>72</v>
      </c>
      <c r="I1521" s="5" t="s">
        <v>32</v>
      </c>
      <c r="J1521" s="5">
        <v>17.061461999999999</v>
      </c>
      <c r="K1521" s="5">
        <v>-96.754750999999999</v>
      </c>
      <c r="L1521" s="5" t="str">
        <f>HYPERLINK("https://maps.google.com/?q=17.061462,-96.754750999999999", "🔗 Ver Mapa")</f>
        <v>🔗 Ver Mapa</v>
      </c>
    </row>
    <row r="1522" spans="1:12" ht="72.5" x14ac:dyDescent="0.35">
      <c r="A1522" s="6" t="s">
        <v>297</v>
      </c>
      <c r="B1522" s="6" t="s">
        <v>298</v>
      </c>
      <c r="C1522" s="6" t="s">
        <v>412</v>
      </c>
      <c r="D1522" s="6" t="s">
        <v>13</v>
      </c>
      <c r="E1522" s="6" t="s">
        <v>52</v>
      </c>
      <c r="F1522" s="6" t="s">
        <v>70</v>
      </c>
      <c r="G1522" s="6" t="s">
        <v>71</v>
      </c>
      <c r="H1522" s="6" t="s">
        <v>72</v>
      </c>
      <c r="I1522" s="6" t="s">
        <v>32</v>
      </c>
      <c r="J1522" s="6">
        <v>17.06147</v>
      </c>
      <c r="K1522" s="6">
        <v>-96.757279999999994</v>
      </c>
      <c r="L1522" s="6" t="str">
        <f>HYPERLINK("https://maps.google.com/?q=17.06147,-96.757279999999994", "🔗 Ver Mapa")</f>
        <v>🔗 Ver Mapa</v>
      </c>
    </row>
    <row r="1523" spans="1:12" ht="72.5" x14ac:dyDescent="0.35">
      <c r="A1523" s="5" t="s">
        <v>297</v>
      </c>
      <c r="B1523" s="5" t="s">
        <v>298</v>
      </c>
      <c r="C1523" s="5" t="s">
        <v>412</v>
      </c>
      <c r="D1523" s="5" t="s">
        <v>13</v>
      </c>
      <c r="E1523" s="5" t="s">
        <v>52</v>
      </c>
      <c r="F1523" s="5" t="s">
        <v>70</v>
      </c>
      <c r="G1523" s="5" t="s">
        <v>71</v>
      </c>
      <c r="H1523" s="5" t="s">
        <v>72</v>
      </c>
      <c r="I1523" s="5" t="s">
        <v>32</v>
      </c>
      <c r="J1523" s="5">
        <v>17.06147</v>
      </c>
      <c r="K1523" s="5">
        <v>-96.757279999999994</v>
      </c>
      <c r="L1523" s="5" t="str">
        <f>HYPERLINK("https://maps.google.com/?q=17.06147,-96.757279999999994", "🔗 Ver Mapa")</f>
        <v>🔗 Ver Mapa</v>
      </c>
    </row>
    <row r="1524" spans="1:12" ht="72.5" x14ac:dyDescent="0.35">
      <c r="A1524" s="6" t="s">
        <v>297</v>
      </c>
      <c r="B1524" s="6" t="s">
        <v>298</v>
      </c>
      <c r="C1524" s="6" t="s">
        <v>412</v>
      </c>
      <c r="D1524" s="6" t="s">
        <v>13</v>
      </c>
      <c r="E1524" s="6" t="s">
        <v>52</v>
      </c>
      <c r="F1524" s="6" t="s">
        <v>70</v>
      </c>
      <c r="G1524" s="6" t="s">
        <v>71</v>
      </c>
      <c r="H1524" s="6" t="s">
        <v>72</v>
      </c>
      <c r="I1524" s="6" t="s">
        <v>32</v>
      </c>
      <c r="J1524" s="6">
        <v>17.06147</v>
      </c>
      <c r="K1524" s="6">
        <v>-96.757279999999994</v>
      </c>
      <c r="L1524" s="6" t="str">
        <f>HYPERLINK("https://maps.google.com/?q=17.06147,-96.757279999999994", "🔗 Ver Mapa")</f>
        <v>🔗 Ver Mapa</v>
      </c>
    </row>
    <row r="1525" spans="1:12" ht="72.5" x14ac:dyDescent="0.35">
      <c r="A1525" s="5" t="s">
        <v>297</v>
      </c>
      <c r="B1525" s="5" t="s">
        <v>298</v>
      </c>
      <c r="C1525" s="5" t="s">
        <v>412</v>
      </c>
      <c r="D1525" s="5" t="s">
        <v>13</v>
      </c>
      <c r="E1525" s="5" t="s">
        <v>52</v>
      </c>
      <c r="F1525" s="5" t="s">
        <v>70</v>
      </c>
      <c r="G1525" s="5" t="s">
        <v>71</v>
      </c>
      <c r="H1525" s="5" t="s">
        <v>72</v>
      </c>
      <c r="I1525" s="5" t="s">
        <v>32</v>
      </c>
      <c r="J1525" s="5">
        <v>17.06147</v>
      </c>
      <c r="K1525" s="5">
        <v>-96.757279999999994</v>
      </c>
      <c r="L1525" s="5" t="str">
        <f>HYPERLINK("https://maps.google.com/?q=17.06147,-96.757279999999994", "🔗 Ver Mapa")</f>
        <v>🔗 Ver Mapa</v>
      </c>
    </row>
    <row r="1526" spans="1:12" ht="72.5" x14ac:dyDescent="0.35">
      <c r="A1526" s="6" t="s">
        <v>297</v>
      </c>
      <c r="B1526" s="6" t="s">
        <v>298</v>
      </c>
      <c r="C1526" s="6" t="s">
        <v>412</v>
      </c>
      <c r="D1526" s="6" t="s">
        <v>13</v>
      </c>
      <c r="E1526" s="6" t="s">
        <v>52</v>
      </c>
      <c r="F1526" s="6" t="s">
        <v>70</v>
      </c>
      <c r="G1526" s="6" t="s">
        <v>71</v>
      </c>
      <c r="H1526" s="6" t="s">
        <v>72</v>
      </c>
      <c r="I1526" s="6" t="s">
        <v>32</v>
      </c>
      <c r="J1526" s="6">
        <v>17.061861</v>
      </c>
      <c r="K1526" s="6">
        <v>-96.753832000000003</v>
      </c>
      <c r="L1526" s="6" t="str">
        <f>HYPERLINK("https://maps.google.com/?q=17.061861,-96.753832000000003", "🔗 Ver Mapa")</f>
        <v>🔗 Ver Mapa</v>
      </c>
    </row>
    <row r="1527" spans="1:12" ht="72.5" x14ac:dyDescent="0.35">
      <c r="A1527" s="5" t="s">
        <v>297</v>
      </c>
      <c r="B1527" s="5" t="s">
        <v>298</v>
      </c>
      <c r="C1527" s="5" t="s">
        <v>412</v>
      </c>
      <c r="D1527" s="5" t="s">
        <v>13</v>
      </c>
      <c r="E1527" s="5" t="s">
        <v>52</v>
      </c>
      <c r="F1527" s="5" t="s">
        <v>70</v>
      </c>
      <c r="G1527" s="5" t="s">
        <v>71</v>
      </c>
      <c r="H1527" s="5" t="s">
        <v>72</v>
      </c>
      <c r="I1527" s="5" t="s">
        <v>32</v>
      </c>
      <c r="J1527" s="5">
        <v>17.061861</v>
      </c>
      <c r="K1527" s="5">
        <v>-96.753832000000003</v>
      </c>
      <c r="L1527" s="5" t="str">
        <f>HYPERLINK("https://maps.google.com/?q=17.061861,-96.753832000000003", "🔗 Ver Mapa")</f>
        <v>🔗 Ver Mapa</v>
      </c>
    </row>
    <row r="1528" spans="1:12" ht="72.5" x14ac:dyDescent="0.35">
      <c r="A1528" s="6" t="s">
        <v>297</v>
      </c>
      <c r="B1528" s="6" t="s">
        <v>298</v>
      </c>
      <c r="C1528" s="6" t="s">
        <v>412</v>
      </c>
      <c r="D1528" s="6" t="s">
        <v>13</v>
      </c>
      <c r="E1528" s="6" t="s">
        <v>52</v>
      </c>
      <c r="F1528" s="6" t="s">
        <v>70</v>
      </c>
      <c r="G1528" s="6" t="s">
        <v>71</v>
      </c>
      <c r="H1528" s="6" t="s">
        <v>72</v>
      </c>
      <c r="I1528" s="6" t="s">
        <v>32</v>
      </c>
      <c r="J1528" s="6">
        <v>17.061861</v>
      </c>
      <c r="K1528" s="6">
        <v>-96.753832000000003</v>
      </c>
      <c r="L1528" s="6" t="str">
        <f>HYPERLINK("https://maps.google.com/?q=17.061861,-96.753832000000003", "🔗 Ver Mapa")</f>
        <v>🔗 Ver Mapa</v>
      </c>
    </row>
    <row r="1529" spans="1:12" ht="72.5" x14ac:dyDescent="0.35">
      <c r="A1529" s="5" t="s">
        <v>297</v>
      </c>
      <c r="B1529" s="5" t="s">
        <v>298</v>
      </c>
      <c r="C1529" s="5" t="s">
        <v>412</v>
      </c>
      <c r="D1529" s="5" t="s">
        <v>13</v>
      </c>
      <c r="E1529" s="5" t="s">
        <v>52</v>
      </c>
      <c r="F1529" s="5" t="s">
        <v>70</v>
      </c>
      <c r="G1529" s="5" t="s">
        <v>71</v>
      </c>
      <c r="H1529" s="5" t="s">
        <v>72</v>
      </c>
      <c r="I1529" s="5" t="s">
        <v>32</v>
      </c>
      <c r="J1529" s="5">
        <v>17.061861</v>
      </c>
      <c r="K1529" s="5">
        <v>-96.753832000000003</v>
      </c>
      <c r="L1529" s="5" t="str">
        <f>HYPERLINK("https://maps.google.com/?q=17.061861,-96.753832000000003", "🔗 Ver Mapa")</f>
        <v>🔗 Ver Mapa</v>
      </c>
    </row>
    <row r="1530" spans="1:12" ht="72.5" x14ac:dyDescent="0.35">
      <c r="A1530" s="6" t="s">
        <v>297</v>
      </c>
      <c r="B1530" s="6" t="s">
        <v>298</v>
      </c>
      <c r="C1530" s="6" t="s">
        <v>412</v>
      </c>
      <c r="D1530" s="6" t="s">
        <v>13</v>
      </c>
      <c r="E1530" s="6" t="s">
        <v>52</v>
      </c>
      <c r="F1530" s="6" t="s">
        <v>70</v>
      </c>
      <c r="G1530" s="6" t="s">
        <v>71</v>
      </c>
      <c r="H1530" s="6" t="s">
        <v>72</v>
      </c>
      <c r="I1530" s="6" t="s">
        <v>32</v>
      </c>
      <c r="J1530" s="6">
        <v>17.062009</v>
      </c>
      <c r="K1530" s="6">
        <v>-96.757019999999997</v>
      </c>
      <c r="L1530" s="6" t="str">
        <f>HYPERLINK("https://maps.google.com/?q=17.062009,-96.757019999999997", "🔗 Ver Mapa")</f>
        <v>🔗 Ver Mapa</v>
      </c>
    </row>
    <row r="1531" spans="1:12" ht="72.5" x14ac:dyDescent="0.35">
      <c r="A1531" s="5" t="s">
        <v>297</v>
      </c>
      <c r="B1531" s="5" t="s">
        <v>298</v>
      </c>
      <c r="C1531" s="5" t="s">
        <v>412</v>
      </c>
      <c r="D1531" s="5" t="s">
        <v>13</v>
      </c>
      <c r="E1531" s="5" t="s">
        <v>52</v>
      </c>
      <c r="F1531" s="5" t="s">
        <v>70</v>
      </c>
      <c r="G1531" s="5" t="s">
        <v>71</v>
      </c>
      <c r="H1531" s="5" t="s">
        <v>72</v>
      </c>
      <c r="I1531" s="5" t="s">
        <v>32</v>
      </c>
      <c r="J1531" s="5">
        <v>17.062009</v>
      </c>
      <c r="K1531" s="5">
        <v>-96.757019999999997</v>
      </c>
      <c r="L1531" s="5" t="str">
        <f>HYPERLINK("https://maps.google.com/?q=17.062009,-96.757019999999997", "🔗 Ver Mapa")</f>
        <v>🔗 Ver Mapa</v>
      </c>
    </row>
    <row r="1532" spans="1:12" ht="72.5" x14ac:dyDescent="0.35">
      <c r="A1532" s="6" t="s">
        <v>297</v>
      </c>
      <c r="B1532" s="6" t="s">
        <v>298</v>
      </c>
      <c r="C1532" s="6" t="s">
        <v>412</v>
      </c>
      <c r="D1532" s="6" t="s">
        <v>13</v>
      </c>
      <c r="E1532" s="6" t="s">
        <v>52</v>
      </c>
      <c r="F1532" s="6" t="s">
        <v>70</v>
      </c>
      <c r="G1532" s="6" t="s">
        <v>71</v>
      </c>
      <c r="H1532" s="6" t="s">
        <v>72</v>
      </c>
      <c r="I1532" s="6" t="s">
        <v>32</v>
      </c>
      <c r="J1532" s="6">
        <v>17.062009</v>
      </c>
      <c r="K1532" s="6">
        <v>-96.757019999999997</v>
      </c>
      <c r="L1532" s="6" t="str">
        <f>HYPERLINK("https://maps.google.com/?q=17.062009,-96.757019999999997", "🔗 Ver Mapa")</f>
        <v>🔗 Ver Mapa</v>
      </c>
    </row>
    <row r="1533" spans="1:12" ht="72.5" x14ac:dyDescent="0.35">
      <c r="A1533" s="5" t="s">
        <v>297</v>
      </c>
      <c r="B1533" s="5" t="s">
        <v>298</v>
      </c>
      <c r="C1533" s="5" t="s">
        <v>412</v>
      </c>
      <c r="D1533" s="5" t="s">
        <v>13</v>
      </c>
      <c r="E1533" s="5" t="s">
        <v>52</v>
      </c>
      <c r="F1533" s="5" t="s">
        <v>70</v>
      </c>
      <c r="G1533" s="5" t="s">
        <v>71</v>
      </c>
      <c r="H1533" s="5" t="s">
        <v>72</v>
      </c>
      <c r="I1533" s="5" t="s">
        <v>32</v>
      </c>
      <c r="J1533" s="5">
        <v>17.062009</v>
      </c>
      <c r="K1533" s="5">
        <v>-96.757019999999997</v>
      </c>
      <c r="L1533" s="5" t="str">
        <f>HYPERLINK("https://maps.google.com/?q=17.062009,-96.757019999999997", "🔗 Ver Mapa")</f>
        <v>🔗 Ver Mapa</v>
      </c>
    </row>
    <row r="1534" spans="1:12" ht="72.5" x14ac:dyDescent="0.35">
      <c r="A1534" s="6" t="s">
        <v>297</v>
      </c>
      <c r="B1534" s="6" t="s">
        <v>298</v>
      </c>
      <c r="C1534" s="6" t="s">
        <v>412</v>
      </c>
      <c r="D1534" s="6" t="s">
        <v>13</v>
      </c>
      <c r="E1534" s="6" t="s">
        <v>52</v>
      </c>
      <c r="F1534" s="6" t="s">
        <v>70</v>
      </c>
      <c r="G1534" s="6" t="s">
        <v>71</v>
      </c>
      <c r="H1534" s="6" t="s">
        <v>72</v>
      </c>
      <c r="I1534" s="6" t="s">
        <v>32</v>
      </c>
      <c r="J1534" s="6">
        <v>17.062101999999999</v>
      </c>
      <c r="K1534" s="6">
        <v>-96.753140999999999</v>
      </c>
      <c r="L1534" s="6" t="str">
        <f>HYPERLINK("https://maps.google.com/?q=17.062102,-96.753140999999999", "🔗 Ver Mapa")</f>
        <v>🔗 Ver Mapa</v>
      </c>
    </row>
    <row r="1535" spans="1:12" ht="72.5" x14ac:dyDescent="0.35">
      <c r="A1535" s="5" t="s">
        <v>297</v>
      </c>
      <c r="B1535" s="5" t="s">
        <v>298</v>
      </c>
      <c r="C1535" s="5" t="s">
        <v>412</v>
      </c>
      <c r="D1535" s="5" t="s">
        <v>13</v>
      </c>
      <c r="E1535" s="5" t="s">
        <v>52</v>
      </c>
      <c r="F1535" s="5" t="s">
        <v>70</v>
      </c>
      <c r="G1535" s="5" t="s">
        <v>71</v>
      </c>
      <c r="H1535" s="5" t="s">
        <v>72</v>
      </c>
      <c r="I1535" s="5" t="s">
        <v>32</v>
      </c>
      <c r="J1535" s="5">
        <v>17.062101999999999</v>
      </c>
      <c r="K1535" s="5">
        <v>-96.753140999999999</v>
      </c>
      <c r="L1535" s="5" t="str">
        <f>HYPERLINK("https://maps.google.com/?q=17.062102,-96.753140999999999", "🔗 Ver Mapa")</f>
        <v>🔗 Ver Mapa</v>
      </c>
    </row>
    <row r="1536" spans="1:12" ht="72.5" x14ac:dyDescent="0.35">
      <c r="A1536" s="6" t="s">
        <v>297</v>
      </c>
      <c r="B1536" s="6" t="s">
        <v>298</v>
      </c>
      <c r="C1536" s="6" t="s">
        <v>412</v>
      </c>
      <c r="D1536" s="6" t="s">
        <v>13</v>
      </c>
      <c r="E1536" s="6" t="s">
        <v>52</v>
      </c>
      <c r="F1536" s="6" t="s">
        <v>70</v>
      </c>
      <c r="G1536" s="6" t="s">
        <v>71</v>
      </c>
      <c r="H1536" s="6" t="s">
        <v>72</v>
      </c>
      <c r="I1536" s="6" t="s">
        <v>32</v>
      </c>
      <c r="J1536" s="6">
        <v>17.062101999999999</v>
      </c>
      <c r="K1536" s="6">
        <v>-96.753140999999999</v>
      </c>
      <c r="L1536" s="6" t="str">
        <f>HYPERLINK("https://maps.google.com/?q=17.062102,-96.753140999999999", "🔗 Ver Mapa")</f>
        <v>🔗 Ver Mapa</v>
      </c>
    </row>
    <row r="1537" spans="1:12" ht="72.5" x14ac:dyDescent="0.35">
      <c r="A1537" s="5" t="s">
        <v>297</v>
      </c>
      <c r="B1537" s="5" t="s">
        <v>298</v>
      </c>
      <c r="C1537" s="5" t="s">
        <v>412</v>
      </c>
      <c r="D1537" s="5" t="s">
        <v>13</v>
      </c>
      <c r="E1537" s="5" t="s">
        <v>52</v>
      </c>
      <c r="F1537" s="5" t="s">
        <v>70</v>
      </c>
      <c r="G1537" s="5" t="s">
        <v>71</v>
      </c>
      <c r="H1537" s="5" t="s">
        <v>72</v>
      </c>
      <c r="I1537" s="5" t="s">
        <v>32</v>
      </c>
      <c r="J1537" s="5">
        <v>17.062101999999999</v>
      </c>
      <c r="K1537" s="5">
        <v>-96.753140999999999</v>
      </c>
      <c r="L1537" s="5" t="str">
        <f>HYPERLINK("https://maps.google.com/?q=17.062102,-96.753140999999999", "🔗 Ver Mapa")</f>
        <v>🔗 Ver Mapa</v>
      </c>
    </row>
    <row r="1538" spans="1:12" ht="72.5" x14ac:dyDescent="0.35">
      <c r="A1538" s="6" t="s">
        <v>297</v>
      </c>
      <c r="B1538" s="6" t="s">
        <v>298</v>
      </c>
      <c r="C1538" s="6" t="s">
        <v>412</v>
      </c>
      <c r="D1538" s="6" t="s">
        <v>13</v>
      </c>
      <c r="E1538" s="6" t="s">
        <v>52</v>
      </c>
      <c r="F1538" s="6" t="s">
        <v>70</v>
      </c>
      <c r="G1538" s="6" t="s">
        <v>71</v>
      </c>
      <c r="H1538" s="6" t="s">
        <v>72</v>
      </c>
      <c r="I1538" s="6" t="s">
        <v>32</v>
      </c>
      <c r="J1538" s="6">
        <v>17.062180000000001</v>
      </c>
      <c r="K1538" s="6">
        <v>-96.753029999999995</v>
      </c>
      <c r="L1538" s="6" t="str">
        <f>HYPERLINK("https://maps.google.com/?q=17.06218,-96.753029999999995", "🔗 Ver Mapa")</f>
        <v>🔗 Ver Mapa</v>
      </c>
    </row>
    <row r="1539" spans="1:12" ht="72.5" x14ac:dyDescent="0.35">
      <c r="A1539" s="5" t="s">
        <v>297</v>
      </c>
      <c r="B1539" s="5" t="s">
        <v>298</v>
      </c>
      <c r="C1539" s="5" t="s">
        <v>412</v>
      </c>
      <c r="D1539" s="5" t="s">
        <v>13</v>
      </c>
      <c r="E1539" s="5" t="s">
        <v>52</v>
      </c>
      <c r="F1539" s="5" t="s">
        <v>70</v>
      </c>
      <c r="G1539" s="5" t="s">
        <v>71</v>
      </c>
      <c r="H1539" s="5" t="s">
        <v>72</v>
      </c>
      <c r="I1539" s="5" t="s">
        <v>32</v>
      </c>
      <c r="J1539" s="5">
        <v>17.062180000000001</v>
      </c>
      <c r="K1539" s="5">
        <v>-96.753029999999995</v>
      </c>
      <c r="L1539" s="5" t="str">
        <f>HYPERLINK("https://maps.google.com/?q=17.06218,-96.753029999999995", "🔗 Ver Mapa")</f>
        <v>🔗 Ver Mapa</v>
      </c>
    </row>
    <row r="1540" spans="1:12" ht="72.5" x14ac:dyDescent="0.35">
      <c r="A1540" s="6" t="s">
        <v>297</v>
      </c>
      <c r="B1540" s="6" t="s">
        <v>298</v>
      </c>
      <c r="C1540" s="6" t="s">
        <v>412</v>
      </c>
      <c r="D1540" s="6" t="s">
        <v>13</v>
      </c>
      <c r="E1540" s="6" t="s">
        <v>52</v>
      </c>
      <c r="F1540" s="6" t="s">
        <v>70</v>
      </c>
      <c r="G1540" s="6" t="s">
        <v>71</v>
      </c>
      <c r="H1540" s="6" t="s">
        <v>72</v>
      </c>
      <c r="I1540" s="6" t="s">
        <v>32</v>
      </c>
      <c r="J1540" s="6">
        <v>17.062180000000001</v>
      </c>
      <c r="K1540" s="6">
        <v>-96.753029999999995</v>
      </c>
      <c r="L1540" s="6" t="str">
        <f>HYPERLINK("https://maps.google.com/?q=17.06218,-96.753029999999995", "🔗 Ver Mapa")</f>
        <v>🔗 Ver Mapa</v>
      </c>
    </row>
    <row r="1541" spans="1:12" ht="72.5" x14ac:dyDescent="0.35">
      <c r="A1541" s="5" t="s">
        <v>297</v>
      </c>
      <c r="B1541" s="5" t="s">
        <v>298</v>
      </c>
      <c r="C1541" s="5" t="s">
        <v>412</v>
      </c>
      <c r="D1541" s="5" t="s">
        <v>13</v>
      </c>
      <c r="E1541" s="5" t="s">
        <v>52</v>
      </c>
      <c r="F1541" s="5" t="s">
        <v>70</v>
      </c>
      <c r="G1541" s="5" t="s">
        <v>71</v>
      </c>
      <c r="H1541" s="5" t="s">
        <v>72</v>
      </c>
      <c r="I1541" s="5" t="s">
        <v>32</v>
      </c>
      <c r="J1541" s="5">
        <v>17.062180000000001</v>
      </c>
      <c r="K1541" s="5">
        <v>-96.753029999999995</v>
      </c>
      <c r="L1541" s="5" t="str">
        <f>HYPERLINK("https://maps.google.com/?q=17.06218,-96.753029999999995", "🔗 Ver Mapa")</f>
        <v>🔗 Ver Mapa</v>
      </c>
    </row>
    <row r="1542" spans="1:12" ht="72.5" x14ac:dyDescent="0.35">
      <c r="A1542" s="6" t="s">
        <v>297</v>
      </c>
      <c r="B1542" s="6" t="s">
        <v>298</v>
      </c>
      <c r="C1542" s="6" t="s">
        <v>412</v>
      </c>
      <c r="D1542" s="6" t="s">
        <v>13</v>
      </c>
      <c r="E1542" s="6" t="s">
        <v>52</v>
      </c>
      <c r="F1542" s="6" t="s">
        <v>70</v>
      </c>
      <c r="G1542" s="6" t="s">
        <v>71</v>
      </c>
      <c r="H1542" s="6" t="s">
        <v>72</v>
      </c>
      <c r="I1542" s="6" t="s">
        <v>32</v>
      </c>
      <c r="J1542" s="6">
        <v>17.062460999999999</v>
      </c>
      <c r="K1542" s="6">
        <v>-96.757001000000002</v>
      </c>
      <c r="L1542" s="6" t="str">
        <f>HYPERLINK("https://maps.google.com/?q=17.062461,-96.757001000000002", "🔗 Ver Mapa")</f>
        <v>🔗 Ver Mapa</v>
      </c>
    </row>
    <row r="1543" spans="1:12" ht="72.5" x14ac:dyDescent="0.35">
      <c r="A1543" s="5" t="s">
        <v>297</v>
      </c>
      <c r="B1543" s="5" t="s">
        <v>298</v>
      </c>
      <c r="C1543" s="5" t="s">
        <v>412</v>
      </c>
      <c r="D1543" s="5" t="s">
        <v>13</v>
      </c>
      <c r="E1543" s="5" t="s">
        <v>52</v>
      </c>
      <c r="F1543" s="5" t="s">
        <v>70</v>
      </c>
      <c r="G1543" s="5" t="s">
        <v>71</v>
      </c>
      <c r="H1543" s="5" t="s">
        <v>72</v>
      </c>
      <c r="I1543" s="5" t="s">
        <v>32</v>
      </c>
      <c r="J1543" s="5">
        <v>17.062460999999999</v>
      </c>
      <c r="K1543" s="5">
        <v>-96.757001000000002</v>
      </c>
      <c r="L1543" s="5" t="str">
        <f>HYPERLINK("https://maps.google.com/?q=17.062461,-96.757001000000002", "🔗 Ver Mapa")</f>
        <v>🔗 Ver Mapa</v>
      </c>
    </row>
    <row r="1544" spans="1:12" ht="72.5" x14ac:dyDescent="0.35">
      <c r="A1544" s="6" t="s">
        <v>297</v>
      </c>
      <c r="B1544" s="6" t="s">
        <v>298</v>
      </c>
      <c r="C1544" s="6" t="s">
        <v>412</v>
      </c>
      <c r="D1544" s="6" t="s">
        <v>13</v>
      </c>
      <c r="E1544" s="6" t="s">
        <v>52</v>
      </c>
      <c r="F1544" s="6" t="s">
        <v>70</v>
      </c>
      <c r="G1544" s="6" t="s">
        <v>71</v>
      </c>
      <c r="H1544" s="6" t="s">
        <v>72</v>
      </c>
      <c r="I1544" s="6" t="s">
        <v>32</v>
      </c>
      <c r="J1544" s="6">
        <v>17.062460999999999</v>
      </c>
      <c r="K1544" s="6">
        <v>-96.757001000000002</v>
      </c>
      <c r="L1544" s="6" t="str">
        <f>HYPERLINK("https://maps.google.com/?q=17.062461,-96.757001000000002", "🔗 Ver Mapa")</f>
        <v>🔗 Ver Mapa</v>
      </c>
    </row>
    <row r="1545" spans="1:12" ht="72.5" x14ac:dyDescent="0.35">
      <c r="A1545" s="5" t="s">
        <v>297</v>
      </c>
      <c r="B1545" s="5" t="s">
        <v>298</v>
      </c>
      <c r="C1545" s="5" t="s">
        <v>412</v>
      </c>
      <c r="D1545" s="5" t="s">
        <v>13</v>
      </c>
      <c r="E1545" s="5" t="s">
        <v>52</v>
      </c>
      <c r="F1545" s="5" t="s">
        <v>70</v>
      </c>
      <c r="G1545" s="5" t="s">
        <v>71</v>
      </c>
      <c r="H1545" s="5" t="s">
        <v>72</v>
      </c>
      <c r="I1545" s="5" t="s">
        <v>32</v>
      </c>
      <c r="J1545" s="5">
        <v>17.062460999999999</v>
      </c>
      <c r="K1545" s="5">
        <v>-96.757001000000002</v>
      </c>
      <c r="L1545" s="5" t="str">
        <f>HYPERLINK("https://maps.google.com/?q=17.062461,-96.757001000000002", "🔗 Ver Mapa")</f>
        <v>🔗 Ver Mapa</v>
      </c>
    </row>
    <row r="1546" spans="1:12" ht="72.5" x14ac:dyDescent="0.35">
      <c r="A1546" s="6" t="s">
        <v>297</v>
      </c>
      <c r="B1546" s="6" t="s">
        <v>298</v>
      </c>
      <c r="C1546" s="6" t="s">
        <v>412</v>
      </c>
      <c r="D1546" s="6" t="s">
        <v>13</v>
      </c>
      <c r="E1546" s="6" t="s">
        <v>52</v>
      </c>
      <c r="F1546" s="6" t="s">
        <v>70</v>
      </c>
      <c r="G1546" s="6" t="s">
        <v>71</v>
      </c>
      <c r="H1546" s="6" t="s">
        <v>72</v>
      </c>
      <c r="I1546" s="6" t="s">
        <v>32</v>
      </c>
      <c r="J1546" s="6">
        <v>17.062860000000001</v>
      </c>
      <c r="K1546" s="6">
        <v>-96.757170000000002</v>
      </c>
      <c r="L1546" s="6" t="str">
        <f>HYPERLINK("https://maps.google.com/?q=17.06286,-96.757170000000002", "🔗 Ver Mapa")</f>
        <v>🔗 Ver Mapa</v>
      </c>
    </row>
    <row r="1547" spans="1:12" ht="72.5" x14ac:dyDescent="0.35">
      <c r="A1547" s="5" t="s">
        <v>297</v>
      </c>
      <c r="B1547" s="5" t="s">
        <v>298</v>
      </c>
      <c r="C1547" s="5" t="s">
        <v>412</v>
      </c>
      <c r="D1547" s="5" t="s">
        <v>13</v>
      </c>
      <c r="E1547" s="5" t="s">
        <v>52</v>
      </c>
      <c r="F1547" s="5" t="s">
        <v>70</v>
      </c>
      <c r="G1547" s="5" t="s">
        <v>71</v>
      </c>
      <c r="H1547" s="5" t="s">
        <v>72</v>
      </c>
      <c r="I1547" s="5" t="s">
        <v>32</v>
      </c>
      <c r="J1547" s="5">
        <v>17.062860000000001</v>
      </c>
      <c r="K1547" s="5">
        <v>-96.757170000000002</v>
      </c>
      <c r="L1547" s="5" t="str">
        <f>HYPERLINK("https://maps.google.com/?q=17.06286,-96.757170000000002", "🔗 Ver Mapa")</f>
        <v>🔗 Ver Mapa</v>
      </c>
    </row>
    <row r="1548" spans="1:12" ht="72.5" x14ac:dyDescent="0.35">
      <c r="A1548" s="6" t="s">
        <v>297</v>
      </c>
      <c r="B1548" s="6" t="s">
        <v>298</v>
      </c>
      <c r="C1548" s="6" t="s">
        <v>412</v>
      </c>
      <c r="D1548" s="6" t="s">
        <v>13</v>
      </c>
      <c r="E1548" s="6" t="s">
        <v>52</v>
      </c>
      <c r="F1548" s="6" t="s">
        <v>70</v>
      </c>
      <c r="G1548" s="6" t="s">
        <v>71</v>
      </c>
      <c r="H1548" s="6" t="s">
        <v>72</v>
      </c>
      <c r="I1548" s="6" t="s">
        <v>32</v>
      </c>
      <c r="J1548" s="6">
        <v>17.062860000000001</v>
      </c>
      <c r="K1548" s="6">
        <v>-96.757170000000002</v>
      </c>
      <c r="L1548" s="6" t="str">
        <f>HYPERLINK("https://maps.google.com/?q=17.06286,-96.757170000000002", "🔗 Ver Mapa")</f>
        <v>🔗 Ver Mapa</v>
      </c>
    </row>
    <row r="1549" spans="1:12" ht="72.5" x14ac:dyDescent="0.35">
      <c r="A1549" s="5" t="s">
        <v>297</v>
      </c>
      <c r="B1549" s="5" t="s">
        <v>298</v>
      </c>
      <c r="C1549" s="5" t="s">
        <v>412</v>
      </c>
      <c r="D1549" s="5" t="s">
        <v>13</v>
      </c>
      <c r="E1549" s="5" t="s">
        <v>52</v>
      </c>
      <c r="F1549" s="5" t="s">
        <v>70</v>
      </c>
      <c r="G1549" s="5" t="s">
        <v>71</v>
      </c>
      <c r="H1549" s="5" t="s">
        <v>72</v>
      </c>
      <c r="I1549" s="5" t="s">
        <v>32</v>
      </c>
      <c r="J1549" s="5">
        <v>17.062860000000001</v>
      </c>
      <c r="K1549" s="5">
        <v>-96.757170000000002</v>
      </c>
      <c r="L1549" s="5" t="str">
        <f>HYPERLINK("https://maps.google.com/?q=17.06286,-96.757170000000002", "🔗 Ver Mapa")</f>
        <v>🔗 Ver Mapa</v>
      </c>
    </row>
    <row r="1550" spans="1:12" ht="43.5" x14ac:dyDescent="0.35">
      <c r="A1550" s="6" t="s">
        <v>288</v>
      </c>
      <c r="B1550" s="6" t="s">
        <v>289</v>
      </c>
      <c r="C1550" s="6" t="s">
        <v>413</v>
      </c>
      <c r="D1550" s="6" t="s">
        <v>414</v>
      </c>
      <c r="E1550" s="6" t="s">
        <v>17</v>
      </c>
      <c r="F1550" s="6" t="s">
        <v>59</v>
      </c>
      <c r="G1550" s="6" t="s">
        <v>415</v>
      </c>
      <c r="H1550" s="6" t="s">
        <v>416</v>
      </c>
      <c r="I1550" s="6" t="s">
        <v>31</v>
      </c>
      <c r="J1550" s="6">
        <v>16.489371972884999</v>
      </c>
      <c r="K1550" s="6">
        <v>-97.842466561026001</v>
      </c>
      <c r="L1550" s="6" t="str">
        <f>HYPERLINK("https://maps.google.com/?q=16.48937197288463,-97.84246656102594", "🔗 Ver Mapa")</f>
        <v>🔗 Ver Mapa</v>
      </c>
    </row>
    <row r="1551" spans="1:12" ht="43.5" x14ac:dyDescent="0.35">
      <c r="A1551" s="5" t="s">
        <v>288</v>
      </c>
      <c r="B1551" s="5" t="s">
        <v>289</v>
      </c>
      <c r="C1551" s="5" t="s">
        <v>413</v>
      </c>
      <c r="D1551" s="5" t="s">
        <v>414</v>
      </c>
      <c r="E1551" s="5" t="s">
        <v>17</v>
      </c>
      <c r="F1551" s="5" t="s">
        <v>59</v>
      </c>
      <c r="G1551" s="5" t="s">
        <v>415</v>
      </c>
      <c r="H1551" s="5" t="s">
        <v>416</v>
      </c>
      <c r="I1551" s="5" t="s">
        <v>31</v>
      </c>
      <c r="J1551" s="5">
        <v>16.489496709807</v>
      </c>
      <c r="K1551" s="5">
        <v>-97.842850116912004</v>
      </c>
      <c r="L1551" s="5" t="str">
        <f>HYPERLINK("https://maps.google.com/?q=16.48949670980702,-97.8428501169121", "🔗 Ver Mapa")</f>
        <v>🔗 Ver Mapa</v>
      </c>
    </row>
    <row r="1552" spans="1:12" ht="43.5" x14ac:dyDescent="0.35">
      <c r="A1552" s="6" t="s">
        <v>288</v>
      </c>
      <c r="B1552" s="6" t="s">
        <v>289</v>
      </c>
      <c r="C1552" s="6" t="s">
        <v>413</v>
      </c>
      <c r="D1552" s="6" t="s">
        <v>414</v>
      </c>
      <c r="E1552" s="6" t="s">
        <v>17</v>
      </c>
      <c r="F1552" s="6" t="s">
        <v>59</v>
      </c>
      <c r="G1552" s="6" t="s">
        <v>415</v>
      </c>
      <c r="H1552" s="6" t="s">
        <v>416</v>
      </c>
      <c r="I1552" s="6" t="s">
        <v>31</v>
      </c>
      <c r="J1552" s="6">
        <v>16.489545796834999</v>
      </c>
      <c r="K1552" s="6">
        <v>-97.841901701501996</v>
      </c>
      <c r="L1552" s="6" t="str">
        <f>HYPERLINK("https://maps.google.com/?q=16.489545796835433,-97.84190170150238", "🔗 Ver Mapa")</f>
        <v>🔗 Ver Mapa</v>
      </c>
    </row>
    <row r="1553" spans="1:12" ht="43.5" x14ac:dyDescent="0.35">
      <c r="A1553" s="5" t="s">
        <v>288</v>
      </c>
      <c r="B1553" s="5" t="s">
        <v>289</v>
      </c>
      <c r="C1553" s="5" t="s">
        <v>413</v>
      </c>
      <c r="D1553" s="5" t="s">
        <v>414</v>
      </c>
      <c r="E1553" s="5" t="s">
        <v>17</v>
      </c>
      <c r="F1553" s="5" t="s">
        <v>59</v>
      </c>
      <c r="G1553" s="5" t="s">
        <v>415</v>
      </c>
      <c r="H1553" s="5" t="s">
        <v>416</v>
      </c>
      <c r="I1553" s="5" t="s">
        <v>31</v>
      </c>
      <c r="J1553" s="5">
        <v>16.492470824329999</v>
      </c>
      <c r="K1553" s="5">
        <v>-97.838971607665002</v>
      </c>
      <c r="L1553" s="5" t="str">
        <f>HYPERLINK("https://maps.google.com/?q=16.492470824329533,-97.83897160766507", "🔗 Ver Mapa")</f>
        <v>🔗 Ver Mapa</v>
      </c>
    </row>
    <row r="1554" spans="1:12" ht="43.5" x14ac:dyDescent="0.35">
      <c r="A1554" s="6" t="s">
        <v>288</v>
      </c>
      <c r="B1554" s="6" t="s">
        <v>289</v>
      </c>
      <c r="C1554" s="6" t="s">
        <v>413</v>
      </c>
      <c r="D1554" s="6" t="s">
        <v>414</v>
      </c>
      <c r="E1554" s="6" t="s">
        <v>17</v>
      </c>
      <c r="F1554" s="6" t="s">
        <v>59</v>
      </c>
      <c r="G1554" s="6" t="s">
        <v>415</v>
      </c>
      <c r="H1554" s="6" t="s">
        <v>416</v>
      </c>
      <c r="I1554" s="6" t="s">
        <v>31</v>
      </c>
      <c r="J1554" s="6">
        <v>16.492560489875</v>
      </c>
      <c r="K1554" s="6">
        <v>-97.839243966032996</v>
      </c>
      <c r="L1554" s="6" t="str">
        <f>HYPERLINK("https://maps.google.com/?q=16.4925604898751,-97.83924396603305", "🔗 Ver Mapa")</f>
        <v>🔗 Ver Mapa</v>
      </c>
    </row>
    <row r="1555" spans="1:12" ht="43.5" x14ac:dyDescent="0.35">
      <c r="A1555" s="5" t="s">
        <v>288</v>
      </c>
      <c r="B1555" s="5" t="s">
        <v>289</v>
      </c>
      <c r="C1555" s="5" t="s">
        <v>413</v>
      </c>
      <c r="D1555" s="5" t="s">
        <v>414</v>
      </c>
      <c r="E1555" s="5" t="s">
        <v>17</v>
      </c>
      <c r="F1555" s="5" t="s">
        <v>59</v>
      </c>
      <c r="G1555" s="5" t="s">
        <v>415</v>
      </c>
      <c r="H1555" s="5" t="s">
        <v>416</v>
      </c>
      <c r="I1555" s="5" t="s">
        <v>31</v>
      </c>
      <c r="J1555" s="5">
        <v>16.492623960330999</v>
      </c>
      <c r="K1555" s="5">
        <v>-97.839396361363001</v>
      </c>
      <c r="L1555" s="5" t="str">
        <f>HYPERLINK("https://maps.google.com/?q=16.492623960330505,-97.83939636136286", "🔗 Ver Mapa")</f>
        <v>🔗 Ver Mapa</v>
      </c>
    </row>
    <row r="1556" spans="1:12" ht="43.5" x14ac:dyDescent="0.35">
      <c r="A1556" s="6" t="s">
        <v>288</v>
      </c>
      <c r="B1556" s="6" t="s">
        <v>289</v>
      </c>
      <c r="C1556" s="6" t="s">
        <v>413</v>
      </c>
      <c r="D1556" s="6" t="s">
        <v>414</v>
      </c>
      <c r="E1556" s="6" t="s">
        <v>17</v>
      </c>
      <c r="F1556" s="6" t="s">
        <v>59</v>
      </c>
      <c r="G1556" s="6" t="s">
        <v>415</v>
      </c>
      <c r="H1556" s="6" t="s">
        <v>416</v>
      </c>
      <c r="I1556" s="6" t="s">
        <v>31</v>
      </c>
      <c r="J1556" s="6">
        <v>16.493371291149</v>
      </c>
      <c r="K1556" s="6">
        <v>-97.838883241857999</v>
      </c>
      <c r="L1556" s="6" t="str">
        <f>HYPERLINK("https://maps.google.com/?q=16.493371291148573,-97.8388832418583", "🔗 Ver Mapa")</f>
        <v>🔗 Ver Mapa</v>
      </c>
    </row>
    <row r="1557" spans="1:12" ht="43.5" x14ac:dyDescent="0.35">
      <c r="A1557" s="5" t="s">
        <v>288</v>
      </c>
      <c r="B1557" s="5" t="s">
        <v>289</v>
      </c>
      <c r="C1557" s="5" t="s">
        <v>413</v>
      </c>
      <c r="D1557" s="5" t="s">
        <v>414</v>
      </c>
      <c r="E1557" s="5" t="s">
        <v>17</v>
      </c>
      <c r="F1557" s="5" t="s">
        <v>59</v>
      </c>
      <c r="G1557" s="5" t="s">
        <v>415</v>
      </c>
      <c r="H1557" s="5" t="s">
        <v>416</v>
      </c>
      <c r="I1557" s="5" t="s">
        <v>31</v>
      </c>
      <c r="J1557" s="5">
        <v>16.493803623373999</v>
      </c>
      <c r="K1557" s="5">
        <v>-97.838562762950005</v>
      </c>
      <c r="L1557" s="5" t="str">
        <f>HYPERLINK("https://maps.google.com/?q=16.49380362337352,-97.83856276294989", "🔗 Ver Mapa")</f>
        <v>🔗 Ver Mapa</v>
      </c>
    </row>
    <row r="1558" spans="1:12" ht="43.5" x14ac:dyDescent="0.35">
      <c r="A1558" s="6" t="s">
        <v>288</v>
      </c>
      <c r="B1558" s="6" t="s">
        <v>289</v>
      </c>
      <c r="C1558" s="6" t="s">
        <v>413</v>
      </c>
      <c r="D1558" s="6" t="s">
        <v>414</v>
      </c>
      <c r="E1558" s="6" t="s">
        <v>17</v>
      </c>
      <c r="F1558" s="6" t="s">
        <v>59</v>
      </c>
      <c r="G1558" s="6" t="s">
        <v>415</v>
      </c>
      <c r="H1558" s="6" t="s">
        <v>416</v>
      </c>
      <c r="I1558" s="6" t="s">
        <v>31</v>
      </c>
      <c r="J1558" s="6">
        <v>16.494170204338999</v>
      </c>
      <c r="K1558" s="6">
        <v>-97.838267749839005</v>
      </c>
      <c r="L1558" s="6" t="str">
        <f>HYPERLINK("https://maps.google.com/?q=16.494170204338545,-97.83826774983864", "🔗 Ver Mapa")</f>
        <v>🔗 Ver Mapa</v>
      </c>
    </row>
    <row r="1559" spans="1:12" ht="43.5" x14ac:dyDescent="0.35">
      <c r="A1559" s="5" t="s">
        <v>98</v>
      </c>
      <c r="B1559" s="5" t="s">
        <v>99</v>
      </c>
      <c r="C1559" s="5" t="s">
        <v>417</v>
      </c>
      <c r="D1559" s="5" t="s">
        <v>14</v>
      </c>
      <c r="E1559" s="5" t="s">
        <v>16</v>
      </c>
      <c r="F1559" s="5" t="s">
        <v>21</v>
      </c>
      <c r="G1559" s="5" t="s">
        <v>418</v>
      </c>
      <c r="H1559" s="5" t="s">
        <v>419</v>
      </c>
      <c r="I1559" s="5" t="s">
        <v>31</v>
      </c>
      <c r="J1559" s="5">
        <v>16.953048971701001</v>
      </c>
      <c r="K1559" s="5">
        <v>-97.450275597553002</v>
      </c>
      <c r="L1559" s="5" t="str">
        <f>HYPERLINK("https://maps.google.com/?q=16.953048971701,-97.450275597553301", "🔗 Ver Mapa")</f>
        <v>🔗 Ver Mapa</v>
      </c>
    </row>
    <row r="1560" spans="1:12" ht="43.5" x14ac:dyDescent="0.35">
      <c r="A1560" s="6" t="s">
        <v>98</v>
      </c>
      <c r="B1560" s="6" t="s">
        <v>99</v>
      </c>
      <c r="C1560" s="6" t="s">
        <v>417</v>
      </c>
      <c r="D1560" s="6" t="s">
        <v>14</v>
      </c>
      <c r="E1560" s="6" t="s">
        <v>16</v>
      </c>
      <c r="F1560" s="6" t="s">
        <v>21</v>
      </c>
      <c r="G1560" s="6" t="s">
        <v>418</v>
      </c>
      <c r="H1560" s="6" t="s">
        <v>419</v>
      </c>
      <c r="I1560" s="6" t="s">
        <v>31</v>
      </c>
      <c r="J1560" s="6">
        <v>16.955275921352001</v>
      </c>
      <c r="K1560" s="6">
        <v>-97.449215626984</v>
      </c>
      <c r="L1560" s="6" t="str">
        <f>HYPERLINK("https://maps.google.com/?q=16.9552759213522,-97.449215626983602", "🔗 Ver Mapa")</f>
        <v>🔗 Ver Mapa</v>
      </c>
    </row>
    <row r="1561" spans="1:12" ht="43.5" x14ac:dyDescent="0.35">
      <c r="A1561" s="5" t="s">
        <v>98</v>
      </c>
      <c r="B1561" s="5" t="s">
        <v>99</v>
      </c>
      <c r="C1561" s="5" t="s">
        <v>417</v>
      </c>
      <c r="D1561" s="5" t="s">
        <v>14</v>
      </c>
      <c r="E1561" s="5" t="s">
        <v>16</v>
      </c>
      <c r="F1561" s="5" t="s">
        <v>21</v>
      </c>
      <c r="G1561" s="5" t="s">
        <v>418</v>
      </c>
      <c r="H1561" s="5" t="s">
        <v>419</v>
      </c>
      <c r="I1561" s="5" t="s">
        <v>31</v>
      </c>
      <c r="J1561" s="5">
        <v>16.955463116381999</v>
      </c>
      <c r="K1561" s="5">
        <v>-97.449562802790993</v>
      </c>
      <c r="L1561" s="5" t="str">
        <f>HYPERLINK("https://maps.google.com/?q=16.9554631163821,-97.449562802791306", "🔗 Ver Mapa")</f>
        <v>🔗 Ver Mapa</v>
      </c>
    </row>
    <row r="1562" spans="1:12" ht="43.5" x14ac:dyDescent="0.35">
      <c r="A1562" s="6" t="s">
        <v>98</v>
      </c>
      <c r="B1562" s="6" t="s">
        <v>99</v>
      </c>
      <c r="C1562" s="6" t="s">
        <v>417</v>
      </c>
      <c r="D1562" s="6" t="s">
        <v>14</v>
      </c>
      <c r="E1562" s="6" t="s">
        <v>16</v>
      </c>
      <c r="F1562" s="6" t="s">
        <v>21</v>
      </c>
      <c r="G1562" s="6" t="s">
        <v>418</v>
      </c>
      <c r="H1562" s="6" t="s">
        <v>419</v>
      </c>
      <c r="I1562" s="6" t="s">
        <v>31</v>
      </c>
      <c r="J1562" s="6">
        <v>16.956074577706001</v>
      </c>
      <c r="K1562" s="6">
        <v>-97.453058748340993</v>
      </c>
      <c r="L1562" s="6" t="str">
        <f>HYPERLINK("https://maps.google.com/?q=16.9560745777065,-97.453058748340695", "🔗 Ver Mapa")</f>
        <v>🔗 Ver Mapa</v>
      </c>
    </row>
    <row r="1563" spans="1:12" ht="43.5" x14ac:dyDescent="0.35">
      <c r="A1563" s="5" t="s">
        <v>98</v>
      </c>
      <c r="B1563" s="5" t="s">
        <v>99</v>
      </c>
      <c r="C1563" s="5" t="s">
        <v>417</v>
      </c>
      <c r="D1563" s="5" t="s">
        <v>14</v>
      </c>
      <c r="E1563" s="5" t="s">
        <v>16</v>
      </c>
      <c r="F1563" s="5" t="s">
        <v>21</v>
      </c>
      <c r="G1563" s="5" t="s">
        <v>418</v>
      </c>
      <c r="H1563" s="5" t="s">
        <v>419</v>
      </c>
      <c r="I1563" s="5" t="s">
        <v>31</v>
      </c>
      <c r="J1563" s="5">
        <v>16.956156320765</v>
      </c>
      <c r="K1563" s="5">
        <v>-97.452621050847</v>
      </c>
      <c r="L1563" s="5" t="str">
        <f>HYPERLINK("https://maps.google.com/?q=16.9561563207648,-97.452621050847", "🔗 Ver Mapa")</f>
        <v>🔗 Ver Mapa</v>
      </c>
    </row>
    <row r="1564" spans="1:12" ht="43.5" x14ac:dyDescent="0.35">
      <c r="A1564" s="6" t="s">
        <v>98</v>
      </c>
      <c r="B1564" s="6" t="s">
        <v>99</v>
      </c>
      <c r="C1564" s="6" t="s">
        <v>417</v>
      </c>
      <c r="D1564" s="6" t="s">
        <v>14</v>
      </c>
      <c r="E1564" s="6" t="s">
        <v>16</v>
      </c>
      <c r="F1564" s="6" t="s">
        <v>21</v>
      </c>
      <c r="G1564" s="6" t="s">
        <v>418</v>
      </c>
      <c r="H1564" s="6" t="s">
        <v>419</v>
      </c>
      <c r="I1564" s="6" t="s">
        <v>31</v>
      </c>
      <c r="J1564" s="6">
        <v>16.956301658025001</v>
      </c>
      <c r="K1564" s="6">
        <v>-97.453768016184</v>
      </c>
      <c r="L1564" s="6" t="str">
        <f>HYPERLINK("https://maps.google.com/?q=16.9563016580255,-97.453768016183503", "🔗 Ver Mapa")</f>
        <v>🔗 Ver Mapa</v>
      </c>
    </row>
    <row r="1565" spans="1:12" ht="43.5" x14ac:dyDescent="0.35">
      <c r="A1565" s="5" t="s">
        <v>98</v>
      </c>
      <c r="B1565" s="5" t="s">
        <v>99</v>
      </c>
      <c r="C1565" s="5" t="s">
        <v>417</v>
      </c>
      <c r="D1565" s="5" t="s">
        <v>14</v>
      </c>
      <c r="E1565" s="5" t="s">
        <v>16</v>
      </c>
      <c r="F1565" s="5" t="s">
        <v>21</v>
      </c>
      <c r="G1565" s="5" t="s">
        <v>418</v>
      </c>
      <c r="H1565" s="5" t="s">
        <v>419</v>
      </c>
      <c r="I1565" s="5" t="s">
        <v>31</v>
      </c>
      <c r="J1565" s="5">
        <v>16.957841664661</v>
      </c>
      <c r="K1565" s="5">
        <v>-97.455746434359</v>
      </c>
      <c r="L1565" s="5" t="str">
        <f>HYPERLINK("https://maps.google.com/?q=16.9578416646609,-97.455746434358602", "🔗 Ver Mapa")</f>
        <v>🔗 Ver Mapa</v>
      </c>
    </row>
    <row r="1566" spans="1:12" ht="43.5" x14ac:dyDescent="0.35">
      <c r="A1566" s="6" t="s">
        <v>98</v>
      </c>
      <c r="B1566" s="6" t="s">
        <v>99</v>
      </c>
      <c r="C1566" s="6" t="s">
        <v>417</v>
      </c>
      <c r="D1566" s="6" t="s">
        <v>14</v>
      </c>
      <c r="E1566" s="6" t="s">
        <v>16</v>
      </c>
      <c r="F1566" s="6" t="s">
        <v>21</v>
      </c>
      <c r="G1566" s="6" t="s">
        <v>418</v>
      </c>
      <c r="H1566" s="6" t="s">
        <v>419</v>
      </c>
      <c r="I1566" s="6" t="s">
        <v>31</v>
      </c>
      <c r="J1566" s="6">
        <v>16.957928154284001</v>
      </c>
      <c r="K1566" s="6">
        <v>-97.451861055224995</v>
      </c>
      <c r="L1566" s="6" t="str">
        <f>HYPERLINK("https://maps.google.com/?q=16.9579281542844,-97.451861055225393", "🔗 Ver Mapa")</f>
        <v>🔗 Ver Mapa</v>
      </c>
    </row>
    <row r="1567" spans="1:12" ht="43.5" x14ac:dyDescent="0.35">
      <c r="A1567" s="5" t="s">
        <v>98</v>
      </c>
      <c r="B1567" s="5" t="s">
        <v>99</v>
      </c>
      <c r="C1567" s="5" t="s">
        <v>417</v>
      </c>
      <c r="D1567" s="5" t="s">
        <v>14</v>
      </c>
      <c r="E1567" s="5" t="s">
        <v>16</v>
      </c>
      <c r="F1567" s="5" t="s">
        <v>21</v>
      </c>
      <c r="G1567" s="5" t="s">
        <v>418</v>
      </c>
      <c r="H1567" s="5" t="s">
        <v>419</v>
      </c>
      <c r="I1567" s="5" t="s">
        <v>31</v>
      </c>
      <c r="J1567" s="5">
        <v>16.960301200705999</v>
      </c>
      <c r="K1567" s="5">
        <v>-97.452240991401993</v>
      </c>
      <c r="L1567" s="5" t="str">
        <f>HYPERLINK("https://maps.google.com/?q=16.9603012007056,-97.452240991401595", "🔗 Ver Mapa")</f>
        <v>🔗 Ver Mapa</v>
      </c>
    </row>
    <row r="1568" spans="1:12" ht="43.5" x14ac:dyDescent="0.35">
      <c r="A1568" s="6" t="s">
        <v>98</v>
      </c>
      <c r="B1568" s="6" t="s">
        <v>99</v>
      </c>
      <c r="C1568" s="6" t="s">
        <v>417</v>
      </c>
      <c r="D1568" s="6" t="s">
        <v>14</v>
      </c>
      <c r="E1568" s="6" t="s">
        <v>16</v>
      </c>
      <c r="F1568" s="6" t="s">
        <v>21</v>
      </c>
      <c r="G1568" s="6" t="s">
        <v>418</v>
      </c>
      <c r="H1568" s="6" t="s">
        <v>419</v>
      </c>
      <c r="I1568" s="6" t="s">
        <v>31</v>
      </c>
      <c r="J1568" s="6">
        <v>16.961029506397001</v>
      </c>
      <c r="K1568" s="6">
        <v>-97.450697404927993</v>
      </c>
      <c r="L1568" s="6" t="str">
        <f>HYPERLINK("https://maps.google.com/?q=16.9610295063971,-97.450697404928107", "🔗 Ver Mapa")</f>
        <v>🔗 Ver Mapa</v>
      </c>
    </row>
    <row r="1569" spans="1:12" ht="58" x14ac:dyDescent="0.35">
      <c r="A1569" s="5" t="s">
        <v>98</v>
      </c>
      <c r="B1569" s="5" t="s">
        <v>99</v>
      </c>
      <c r="C1569" s="5" t="s">
        <v>420</v>
      </c>
      <c r="D1569" s="5" t="s">
        <v>14</v>
      </c>
      <c r="E1569" s="5" t="s">
        <v>52</v>
      </c>
      <c r="F1569" s="5" t="s">
        <v>421</v>
      </c>
      <c r="G1569" s="5" t="s">
        <v>422</v>
      </c>
      <c r="H1569" s="5" t="s">
        <v>423</v>
      </c>
      <c r="I1569" s="5" t="s">
        <v>31</v>
      </c>
      <c r="J1569" s="5">
        <v>16.548484999999999</v>
      </c>
      <c r="K1569" s="5">
        <v>-96.722316000000006</v>
      </c>
      <c r="L1569" s="5" t="str">
        <f>HYPERLINK("https://maps.google.com/?q=16.548485,-96.722316000000006", "🔗 Ver Mapa")</f>
        <v>🔗 Ver Mapa</v>
      </c>
    </row>
    <row r="1570" spans="1:12" ht="58" x14ac:dyDescent="0.35">
      <c r="A1570" s="6" t="s">
        <v>98</v>
      </c>
      <c r="B1570" s="6" t="s">
        <v>99</v>
      </c>
      <c r="C1570" s="6" t="s">
        <v>420</v>
      </c>
      <c r="D1570" s="6" t="s">
        <v>14</v>
      </c>
      <c r="E1570" s="6" t="s">
        <v>52</v>
      </c>
      <c r="F1570" s="6" t="s">
        <v>421</v>
      </c>
      <c r="G1570" s="6" t="s">
        <v>422</v>
      </c>
      <c r="H1570" s="6" t="s">
        <v>423</v>
      </c>
      <c r="I1570" s="6" t="s">
        <v>31</v>
      </c>
      <c r="J1570" s="6">
        <v>16.548734</v>
      </c>
      <c r="K1570" s="6">
        <v>-96.723229000000003</v>
      </c>
      <c r="L1570" s="6" t="str">
        <f>HYPERLINK("https://maps.google.com/?q=16.548734,-96.723229000000003", "🔗 Ver Mapa")</f>
        <v>🔗 Ver Mapa</v>
      </c>
    </row>
    <row r="1571" spans="1:12" ht="58" x14ac:dyDescent="0.35">
      <c r="A1571" s="5" t="s">
        <v>98</v>
      </c>
      <c r="B1571" s="5" t="s">
        <v>99</v>
      </c>
      <c r="C1571" s="5" t="s">
        <v>420</v>
      </c>
      <c r="D1571" s="5" t="s">
        <v>14</v>
      </c>
      <c r="E1571" s="5" t="s">
        <v>52</v>
      </c>
      <c r="F1571" s="5" t="s">
        <v>421</v>
      </c>
      <c r="G1571" s="5" t="s">
        <v>422</v>
      </c>
      <c r="H1571" s="5" t="s">
        <v>423</v>
      </c>
      <c r="I1571" s="5" t="s">
        <v>31</v>
      </c>
      <c r="J1571" s="5">
        <v>16.549327999999999</v>
      </c>
      <c r="K1571" s="5">
        <v>-96.725290000000001</v>
      </c>
      <c r="L1571" s="5" t="str">
        <f>HYPERLINK("https://maps.google.com/?q=16.549328,-96.725290000000001", "🔗 Ver Mapa")</f>
        <v>🔗 Ver Mapa</v>
      </c>
    </row>
    <row r="1572" spans="1:12" ht="58" x14ac:dyDescent="0.35">
      <c r="A1572" s="6" t="s">
        <v>98</v>
      </c>
      <c r="B1572" s="6" t="s">
        <v>99</v>
      </c>
      <c r="C1572" s="6" t="s">
        <v>420</v>
      </c>
      <c r="D1572" s="6" t="s">
        <v>14</v>
      </c>
      <c r="E1572" s="6" t="s">
        <v>52</v>
      </c>
      <c r="F1572" s="6" t="s">
        <v>421</v>
      </c>
      <c r="G1572" s="6" t="s">
        <v>422</v>
      </c>
      <c r="H1572" s="6" t="s">
        <v>423</v>
      </c>
      <c r="I1572" s="6" t="s">
        <v>31</v>
      </c>
      <c r="J1572" s="6">
        <v>16.549474</v>
      </c>
      <c r="K1572" s="6">
        <v>-96.723628000000005</v>
      </c>
      <c r="L1572" s="6" t="str">
        <f>HYPERLINK("https://maps.google.com/?q=16.549474,-96.723628000000005", "🔗 Ver Mapa")</f>
        <v>🔗 Ver Mapa</v>
      </c>
    </row>
    <row r="1573" spans="1:12" ht="58" x14ac:dyDescent="0.35">
      <c r="A1573" s="5" t="s">
        <v>98</v>
      </c>
      <c r="B1573" s="5" t="s">
        <v>99</v>
      </c>
      <c r="C1573" s="5" t="s">
        <v>420</v>
      </c>
      <c r="D1573" s="5" t="s">
        <v>14</v>
      </c>
      <c r="E1573" s="5" t="s">
        <v>52</v>
      </c>
      <c r="F1573" s="5" t="s">
        <v>421</v>
      </c>
      <c r="G1573" s="5" t="s">
        <v>422</v>
      </c>
      <c r="H1573" s="5" t="s">
        <v>423</v>
      </c>
      <c r="I1573" s="5" t="s">
        <v>31</v>
      </c>
      <c r="J1573" s="5">
        <v>16.549738000000001</v>
      </c>
      <c r="K1573" s="5">
        <v>-96.723467999999997</v>
      </c>
      <c r="L1573" s="5" t="str">
        <f>HYPERLINK("https://maps.google.com/?q=16.549738,-96.723467999999997", "🔗 Ver Mapa")</f>
        <v>🔗 Ver Mapa</v>
      </c>
    </row>
    <row r="1574" spans="1:12" ht="58" x14ac:dyDescent="0.35">
      <c r="A1574" s="6" t="s">
        <v>98</v>
      </c>
      <c r="B1574" s="6" t="s">
        <v>99</v>
      </c>
      <c r="C1574" s="6" t="s">
        <v>424</v>
      </c>
      <c r="D1574" s="6" t="s">
        <v>14</v>
      </c>
      <c r="E1574" s="6" t="s">
        <v>52</v>
      </c>
      <c r="F1574" s="6" t="s">
        <v>421</v>
      </c>
      <c r="G1574" s="6" t="s">
        <v>422</v>
      </c>
      <c r="H1574" s="6" t="s">
        <v>425</v>
      </c>
      <c r="I1574" s="6" t="s">
        <v>31</v>
      </c>
      <c r="J1574" s="6">
        <v>16.563189999999999</v>
      </c>
      <c r="K1574" s="6">
        <v>-96.700419999999994</v>
      </c>
      <c r="L1574" s="6" t="str">
        <f>HYPERLINK("https://maps.google.com/?q=16.56319,-96.700419999999994", "🔗 Ver Mapa")</f>
        <v>🔗 Ver Mapa</v>
      </c>
    </row>
    <row r="1575" spans="1:12" ht="58" x14ac:dyDescent="0.35">
      <c r="A1575" s="5" t="s">
        <v>98</v>
      </c>
      <c r="B1575" s="5" t="s">
        <v>99</v>
      </c>
      <c r="C1575" s="5" t="s">
        <v>424</v>
      </c>
      <c r="D1575" s="5" t="s">
        <v>14</v>
      </c>
      <c r="E1575" s="5" t="s">
        <v>52</v>
      </c>
      <c r="F1575" s="5" t="s">
        <v>421</v>
      </c>
      <c r="G1575" s="5" t="s">
        <v>422</v>
      </c>
      <c r="H1575" s="5" t="s">
        <v>425</v>
      </c>
      <c r="I1575" s="5" t="s">
        <v>31</v>
      </c>
      <c r="J1575" s="5">
        <v>16.563915227228001</v>
      </c>
      <c r="K1575" s="5">
        <v>-96.701393761046006</v>
      </c>
      <c r="L1575" s="5" t="str">
        <f>HYPERLINK("https://maps.google.com/?q=16.563915227228,-96.701393761046106", "🔗 Ver Mapa")</f>
        <v>🔗 Ver Mapa</v>
      </c>
    </row>
    <row r="1576" spans="1:12" ht="58" x14ac:dyDescent="0.35">
      <c r="A1576" s="6" t="s">
        <v>98</v>
      </c>
      <c r="B1576" s="6" t="s">
        <v>99</v>
      </c>
      <c r="C1576" s="6" t="s">
        <v>424</v>
      </c>
      <c r="D1576" s="6" t="s">
        <v>14</v>
      </c>
      <c r="E1576" s="6" t="s">
        <v>52</v>
      </c>
      <c r="F1576" s="6" t="s">
        <v>421</v>
      </c>
      <c r="G1576" s="6" t="s">
        <v>422</v>
      </c>
      <c r="H1576" s="6" t="s">
        <v>425</v>
      </c>
      <c r="I1576" s="6" t="s">
        <v>31</v>
      </c>
      <c r="J1576" s="6">
        <v>16.564317182983</v>
      </c>
      <c r="K1576" s="6">
        <v>-96.701187855816002</v>
      </c>
      <c r="L1576" s="6" t="str">
        <f>HYPERLINK("https://maps.google.com/?q=16.5643171829831,-96.7011878558164", "🔗 Ver Mapa")</f>
        <v>🔗 Ver Mapa</v>
      </c>
    </row>
    <row r="1577" spans="1:12" ht="58" x14ac:dyDescent="0.35">
      <c r="A1577" s="5" t="s">
        <v>98</v>
      </c>
      <c r="B1577" s="5" t="s">
        <v>99</v>
      </c>
      <c r="C1577" s="5" t="s">
        <v>424</v>
      </c>
      <c r="D1577" s="5" t="s">
        <v>14</v>
      </c>
      <c r="E1577" s="5" t="s">
        <v>52</v>
      </c>
      <c r="F1577" s="5" t="s">
        <v>421</v>
      </c>
      <c r="G1577" s="5" t="s">
        <v>422</v>
      </c>
      <c r="H1577" s="5" t="s">
        <v>425</v>
      </c>
      <c r="I1577" s="5" t="s">
        <v>31</v>
      </c>
      <c r="J1577" s="5">
        <v>16.564399999999999</v>
      </c>
      <c r="K1577" s="5">
        <v>-96.700140000000005</v>
      </c>
      <c r="L1577" s="5" t="str">
        <f>HYPERLINK("https://maps.google.com/?q=16.5644,-96.700140000000005", "🔗 Ver Mapa")</f>
        <v>🔗 Ver Mapa</v>
      </c>
    </row>
    <row r="1578" spans="1:12" ht="58" x14ac:dyDescent="0.35">
      <c r="A1578" s="6" t="s">
        <v>98</v>
      </c>
      <c r="B1578" s="6" t="s">
        <v>99</v>
      </c>
      <c r="C1578" s="6" t="s">
        <v>424</v>
      </c>
      <c r="D1578" s="6" t="s">
        <v>14</v>
      </c>
      <c r="E1578" s="6" t="s">
        <v>52</v>
      </c>
      <c r="F1578" s="6" t="s">
        <v>421</v>
      </c>
      <c r="G1578" s="6" t="s">
        <v>422</v>
      </c>
      <c r="H1578" s="6" t="s">
        <v>425</v>
      </c>
      <c r="I1578" s="6" t="s">
        <v>31</v>
      </c>
      <c r="J1578" s="6">
        <v>16.5644095</v>
      </c>
      <c r="K1578" s="6">
        <v>-96.702659999999995</v>
      </c>
      <c r="L1578" s="6" t="str">
        <f>HYPERLINK("https://maps.google.com/?q=16.5644095,-96.702659999999995", "🔗 Ver Mapa")</f>
        <v>🔗 Ver Mapa</v>
      </c>
    </row>
    <row r="1579" spans="1:12" ht="58" x14ac:dyDescent="0.35">
      <c r="A1579" s="5" t="s">
        <v>98</v>
      </c>
      <c r="B1579" s="5" t="s">
        <v>99</v>
      </c>
      <c r="C1579" s="5" t="s">
        <v>424</v>
      </c>
      <c r="D1579" s="5" t="s">
        <v>14</v>
      </c>
      <c r="E1579" s="5" t="s">
        <v>52</v>
      </c>
      <c r="F1579" s="5" t="s">
        <v>421</v>
      </c>
      <c r="G1579" s="5" t="s">
        <v>422</v>
      </c>
      <c r="H1579" s="5" t="s">
        <v>425</v>
      </c>
      <c r="I1579" s="5" t="s">
        <v>31</v>
      </c>
      <c r="J1579" s="5">
        <v>16.565100000000001</v>
      </c>
      <c r="K1579" s="5">
        <v>-96.704139999999995</v>
      </c>
      <c r="L1579" s="5" t="str">
        <f>HYPERLINK("https://maps.google.com/?q=16.5651,-96.704139999999995", "🔗 Ver Mapa")</f>
        <v>🔗 Ver Mapa</v>
      </c>
    </row>
    <row r="1580" spans="1:12" ht="58" x14ac:dyDescent="0.35">
      <c r="A1580" s="6" t="s">
        <v>98</v>
      </c>
      <c r="B1580" s="6" t="s">
        <v>99</v>
      </c>
      <c r="C1580" s="6" t="s">
        <v>424</v>
      </c>
      <c r="D1580" s="6" t="s">
        <v>14</v>
      </c>
      <c r="E1580" s="6" t="s">
        <v>52</v>
      </c>
      <c r="F1580" s="6" t="s">
        <v>421</v>
      </c>
      <c r="G1580" s="6" t="s">
        <v>422</v>
      </c>
      <c r="H1580" s="6" t="s">
        <v>425</v>
      </c>
      <c r="I1580" s="6" t="s">
        <v>31</v>
      </c>
      <c r="J1580" s="6">
        <v>16.565239999999999</v>
      </c>
      <c r="K1580" s="6">
        <v>-96.700320000000005</v>
      </c>
      <c r="L1580" s="6" t="str">
        <f>HYPERLINK("https://maps.google.com/?q=16.56524,-96.700320000000005", "🔗 Ver Mapa")</f>
        <v>🔗 Ver Mapa</v>
      </c>
    </row>
    <row r="1581" spans="1:12" ht="58" x14ac:dyDescent="0.35">
      <c r="A1581" s="5" t="s">
        <v>98</v>
      </c>
      <c r="B1581" s="5" t="s">
        <v>99</v>
      </c>
      <c r="C1581" s="5" t="s">
        <v>424</v>
      </c>
      <c r="D1581" s="5" t="s">
        <v>14</v>
      </c>
      <c r="E1581" s="5" t="s">
        <v>52</v>
      </c>
      <c r="F1581" s="5" t="s">
        <v>421</v>
      </c>
      <c r="G1581" s="5" t="s">
        <v>422</v>
      </c>
      <c r="H1581" s="5" t="s">
        <v>425</v>
      </c>
      <c r="I1581" s="5" t="s">
        <v>31</v>
      </c>
      <c r="J1581" s="5">
        <v>16.565529999999999</v>
      </c>
      <c r="K1581" s="5">
        <v>-96.699560000000005</v>
      </c>
      <c r="L1581" s="5" t="str">
        <f>HYPERLINK("https://maps.google.com/?q=16.56553,-96.699560000000005", "🔗 Ver Mapa")</f>
        <v>🔗 Ver Mapa</v>
      </c>
    </row>
    <row r="1582" spans="1:12" ht="58" x14ac:dyDescent="0.35">
      <c r="A1582" s="6" t="s">
        <v>98</v>
      </c>
      <c r="B1582" s="6" t="s">
        <v>99</v>
      </c>
      <c r="C1582" s="6" t="s">
        <v>424</v>
      </c>
      <c r="D1582" s="6" t="s">
        <v>14</v>
      </c>
      <c r="E1582" s="6" t="s">
        <v>52</v>
      </c>
      <c r="F1582" s="6" t="s">
        <v>421</v>
      </c>
      <c r="G1582" s="6" t="s">
        <v>422</v>
      </c>
      <c r="H1582" s="6" t="s">
        <v>425</v>
      </c>
      <c r="I1582" s="6" t="s">
        <v>31</v>
      </c>
      <c r="J1582" s="6">
        <v>16.565580000000001</v>
      </c>
      <c r="K1582" s="6">
        <v>-96.700109999999995</v>
      </c>
      <c r="L1582" s="6" t="str">
        <f>HYPERLINK("https://maps.google.com/?q=16.56558,-96.700109999999995", "🔗 Ver Mapa")</f>
        <v>🔗 Ver Mapa</v>
      </c>
    </row>
    <row r="1583" spans="1:12" ht="58" x14ac:dyDescent="0.35">
      <c r="A1583" s="5" t="s">
        <v>98</v>
      </c>
      <c r="B1583" s="5" t="s">
        <v>99</v>
      </c>
      <c r="C1583" s="5" t="s">
        <v>424</v>
      </c>
      <c r="D1583" s="5" t="s">
        <v>14</v>
      </c>
      <c r="E1583" s="5" t="s">
        <v>52</v>
      </c>
      <c r="F1583" s="5" t="s">
        <v>421</v>
      </c>
      <c r="G1583" s="5" t="s">
        <v>422</v>
      </c>
      <c r="H1583" s="5" t="s">
        <v>425</v>
      </c>
      <c r="I1583" s="5" t="s">
        <v>31</v>
      </c>
      <c r="J1583" s="5">
        <v>16.565625018413002</v>
      </c>
      <c r="K1583" s="5">
        <v>-96.699308976417001</v>
      </c>
      <c r="L1583" s="5" t="str">
        <f>HYPERLINK("https://maps.google.com/?q=16.565625018413,-96.6993089764172", "🔗 Ver Mapa")</f>
        <v>🔗 Ver Mapa</v>
      </c>
    </row>
    <row r="1584" spans="1:12" ht="58" x14ac:dyDescent="0.35">
      <c r="A1584" s="6" t="s">
        <v>98</v>
      </c>
      <c r="B1584" s="6" t="s">
        <v>99</v>
      </c>
      <c r="C1584" s="6" t="s">
        <v>424</v>
      </c>
      <c r="D1584" s="6" t="s">
        <v>14</v>
      </c>
      <c r="E1584" s="6" t="s">
        <v>52</v>
      </c>
      <c r="F1584" s="6" t="s">
        <v>421</v>
      </c>
      <c r="G1584" s="6" t="s">
        <v>422</v>
      </c>
      <c r="H1584" s="6" t="s">
        <v>425</v>
      </c>
      <c r="I1584" s="6" t="s">
        <v>31</v>
      </c>
      <c r="J1584" s="6">
        <v>16.565689365162999</v>
      </c>
      <c r="K1584" s="6">
        <v>-96.699842378634997</v>
      </c>
      <c r="L1584" s="6" t="str">
        <f>HYPERLINK("https://maps.google.com/?q=16.5656893651628,-96.699842378634898", "🔗 Ver Mapa")</f>
        <v>🔗 Ver Mapa</v>
      </c>
    </row>
    <row r="1585" spans="1:12" ht="58" x14ac:dyDescent="0.35">
      <c r="A1585" s="5" t="s">
        <v>98</v>
      </c>
      <c r="B1585" s="5" t="s">
        <v>99</v>
      </c>
      <c r="C1585" s="5" t="s">
        <v>424</v>
      </c>
      <c r="D1585" s="5" t="s">
        <v>14</v>
      </c>
      <c r="E1585" s="5" t="s">
        <v>52</v>
      </c>
      <c r="F1585" s="5" t="s">
        <v>421</v>
      </c>
      <c r="G1585" s="5" t="s">
        <v>422</v>
      </c>
      <c r="H1585" s="5" t="s">
        <v>425</v>
      </c>
      <c r="I1585" s="5" t="s">
        <v>31</v>
      </c>
      <c r="J1585" s="5">
        <v>16.566479999999999</v>
      </c>
      <c r="K1585" s="5">
        <v>-96.703860000000006</v>
      </c>
      <c r="L1585" s="5" t="str">
        <f>HYPERLINK("https://maps.google.com/?q=16.56648,-96.703860000000006", "🔗 Ver Mapa")</f>
        <v>🔗 Ver Mapa</v>
      </c>
    </row>
    <row r="1586" spans="1:12" ht="58" x14ac:dyDescent="0.35">
      <c r="A1586" s="6" t="s">
        <v>98</v>
      </c>
      <c r="B1586" s="6" t="s">
        <v>99</v>
      </c>
      <c r="C1586" s="6" t="s">
        <v>424</v>
      </c>
      <c r="D1586" s="6" t="s">
        <v>14</v>
      </c>
      <c r="E1586" s="6" t="s">
        <v>52</v>
      </c>
      <c r="F1586" s="6" t="s">
        <v>421</v>
      </c>
      <c r="G1586" s="6" t="s">
        <v>422</v>
      </c>
      <c r="H1586" s="6" t="s">
        <v>425</v>
      </c>
      <c r="I1586" s="6" t="s">
        <v>31</v>
      </c>
      <c r="J1586" s="6">
        <v>16.566528000000002</v>
      </c>
      <c r="K1586" s="6">
        <v>-96.7001171</v>
      </c>
      <c r="L1586" s="6" t="str">
        <f>HYPERLINK("https://maps.google.com/?q=16.566528,-96.7001171", "🔗 Ver Mapa")</f>
        <v>🔗 Ver Mapa</v>
      </c>
    </row>
    <row r="1587" spans="1:12" ht="58" x14ac:dyDescent="0.35">
      <c r="A1587" s="5" t="s">
        <v>98</v>
      </c>
      <c r="B1587" s="5" t="s">
        <v>99</v>
      </c>
      <c r="C1587" s="5" t="s">
        <v>424</v>
      </c>
      <c r="D1587" s="5" t="s">
        <v>14</v>
      </c>
      <c r="E1587" s="5" t="s">
        <v>52</v>
      </c>
      <c r="F1587" s="5" t="s">
        <v>421</v>
      </c>
      <c r="G1587" s="5" t="s">
        <v>422</v>
      </c>
      <c r="H1587" s="5" t="s">
        <v>425</v>
      </c>
      <c r="I1587" s="5" t="s">
        <v>31</v>
      </c>
      <c r="J1587" s="5">
        <v>16.567181309999999</v>
      </c>
      <c r="K1587" s="5">
        <v>-96.698915200000002</v>
      </c>
      <c r="L1587" s="5" t="str">
        <f>HYPERLINK("https://maps.google.com/?q=16.56718131,-96.698915200000002", "🔗 Ver Mapa")</f>
        <v>🔗 Ver Mapa</v>
      </c>
    </row>
    <row r="1588" spans="1:12" ht="58" x14ac:dyDescent="0.35">
      <c r="A1588" s="6" t="s">
        <v>98</v>
      </c>
      <c r="B1588" s="6" t="s">
        <v>99</v>
      </c>
      <c r="C1588" s="6" t="s">
        <v>424</v>
      </c>
      <c r="D1588" s="6" t="s">
        <v>14</v>
      </c>
      <c r="E1588" s="6" t="s">
        <v>52</v>
      </c>
      <c r="F1588" s="6" t="s">
        <v>421</v>
      </c>
      <c r="G1588" s="6" t="s">
        <v>422</v>
      </c>
      <c r="H1588" s="6" t="s">
        <v>425</v>
      </c>
      <c r="I1588" s="6" t="s">
        <v>31</v>
      </c>
      <c r="J1588" s="6">
        <v>16.56851</v>
      </c>
      <c r="K1588" s="6">
        <v>-96.703360000000004</v>
      </c>
      <c r="L1588" s="6" t="str">
        <f>HYPERLINK("https://maps.google.com/?q=16.56851,-96.703360000000004", "🔗 Ver Mapa")</f>
        <v>🔗 Ver Mapa</v>
      </c>
    </row>
    <row r="1589" spans="1:12" ht="43.5" x14ac:dyDescent="0.35">
      <c r="A1589" s="5" t="s">
        <v>98</v>
      </c>
      <c r="B1589" s="5" t="s">
        <v>99</v>
      </c>
      <c r="C1589" s="5" t="s">
        <v>426</v>
      </c>
      <c r="D1589" s="5" t="s">
        <v>14</v>
      </c>
      <c r="E1589" s="5" t="s">
        <v>52</v>
      </c>
      <c r="F1589" s="5" t="s">
        <v>421</v>
      </c>
      <c r="G1589" s="5" t="s">
        <v>427</v>
      </c>
      <c r="H1589" s="5" t="s">
        <v>428</v>
      </c>
      <c r="I1589" s="5" t="s">
        <v>31</v>
      </c>
      <c r="J1589" s="5">
        <v>16.520485000000001</v>
      </c>
      <c r="K1589" s="5">
        <v>-96.596945000000005</v>
      </c>
      <c r="L1589" s="5" t="str">
        <f>HYPERLINK("https://maps.google.com/?q=16.520485,-96.596945000000005", "🔗 Ver Mapa")</f>
        <v>🔗 Ver Mapa</v>
      </c>
    </row>
    <row r="1590" spans="1:12" ht="43.5" x14ac:dyDescent="0.35">
      <c r="A1590" s="6" t="s">
        <v>98</v>
      </c>
      <c r="B1590" s="6" t="s">
        <v>99</v>
      </c>
      <c r="C1590" s="6" t="s">
        <v>426</v>
      </c>
      <c r="D1590" s="6" t="s">
        <v>14</v>
      </c>
      <c r="E1590" s="6" t="s">
        <v>52</v>
      </c>
      <c r="F1590" s="6" t="s">
        <v>421</v>
      </c>
      <c r="G1590" s="6" t="s">
        <v>427</v>
      </c>
      <c r="H1590" s="6" t="s">
        <v>428</v>
      </c>
      <c r="I1590" s="6" t="s">
        <v>31</v>
      </c>
      <c r="J1590" s="6">
        <v>16.520536</v>
      </c>
      <c r="K1590" s="6">
        <v>-96.599971999999994</v>
      </c>
      <c r="L1590" s="6" t="str">
        <f>HYPERLINK("https://maps.google.com/?q=16.520536,-96.599971999999994", "🔗 Ver Mapa")</f>
        <v>🔗 Ver Mapa</v>
      </c>
    </row>
    <row r="1591" spans="1:12" ht="43.5" x14ac:dyDescent="0.35">
      <c r="A1591" s="5" t="s">
        <v>98</v>
      </c>
      <c r="B1591" s="5" t="s">
        <v>99</v>
      </c>
      <c r="C1591" s="5" t="s">
        <v>426</v>
      </c>
      <c r="D1591" s="5" t="s">
        <v>14</v>
      </c>
      <c r="E1591" s="5" t="s">
        <v>52</v>
      </c>
      <c r="F1591" s="5" t="s">
        <v>421</v>
      </c>
      <c r="G1591" s="5" t="s">
        <v>427</v>
      </c>
      <c r="H1591" s="5" t="s">
        <v>428</v>
      </c>
      <c r="I1591" s="5" t="s">
        <v>31</v>
      </c>
      <c r="J1591" s="5">
        <v>16.520752999999999</v>
      </c>
      <c r="K1591" s="5">
        <v>-96.602138999999994</v>
      </c>
      <c r="L1591" s="5" t="str">
        <f>HYPERLINK("https://maps.google.com/?q=16.520753,-96.602138999999994", "🔗 Ver Mapa")</f>
        <v>🔗 Ver Mapa</v>
      </c>
    </row>
    <row r="1592" spans="1:12" ht="43.5" x14ac:dyDescent="0.35">
      <c r="A1592" s="6" t="s">
        <v>98</v>
      </c>
      <c r="B1592" s="6" t="s">
        <v>99</v>
      </c>
      <c r="C1592" s="6" t="s">
        <v>426</v>
      </c>
      <c r="D1592" s="6" t="s">
        <v>14</v>
      </c>
      <c r="E1592" s="6" t="s">
        <v>52</v>
      </c>
      <c r="F1592" s="6" t="s">
        <v>421</v>
      </c>
      <c r="G1592" s="6" t="s">
        <v>427</v>
      </c>
      <c r="H1592" s="6" t="s">
        <v>428</v>
      </c>
      <c r="I1592" s="6" t="s">
        <v>31</v>
      </c>
      <c r="J1592" s="6">
        <v>16.523855999999999</v>
      </c>
      <c r="K1592" s="6">
        <v>-96.600385000000003</v>
      </c>
      <c r="L1592" s="6" t="str">
        <f>HYPERLINK("https://maps.google.com/?q=16.523856,-96.600385000000003", "🔗 Ver Mapa")</f>
        <v>🔗 Ver Mapa</v>
      </c>
    </row>
    <row r="1593" spans="1:12" ht="43.5" x14ac:dyDescent="0.35">
      <c r="A1593" s="5" t="s">
        <v>98</v>
      </c>
      <c r="B1593" s="5" t="s">
        <v>99</v>
      </c>
      <c r="C1593" s="5" t="s">
        <v>426</v>
      </c>
      <c r="D1593" s="5" t="s">
        <v>14</v>
      </c>
      <c r="E1593" s="5" t="s">
        <v>52</v>
      </c>
      <c r="F1593" s="5" t="s">
        <v>421</v>
      </c>
      <c r="G1593" s="5" t="s">
        <v>427</v>
      </c>
      <c r="H1593" s="5" t="s">
        <v>428</v>
      </c>
      <c r="I1593" s="5" t="s">
        <v>31</v>
      </c>
      <c r="J1593" s="5">
        <v>16.523887999999999</v>
      </c>
      <c r="K1593" s="5">
        <v>-96.596277000000001</v>
      </c>
      <c r="L1593" s="5" t="str">
        <f>HYPERLINK("https://maps.google.com/?q=16.523888,-96.596277000000001", "🔗 Ver Mapa")</f>
        <v>🔗 Ver Mapa</v>
      </c>
    </row>
    <row r="1594" spans="1:12" ht="43.5" x14ac:dyDescent="0.35">
      <c r="A1594" s="6" t="s">
        <v>98</v>
      </c>
      <c r="B1594" s="6" t="s">
        <v>99</v>
      </c>
      <c r="C1594" s="6" t="s">
        <v>429</v>
      </c>
      <c r="D1594" s="6" t="s">
        <v>14</v>
      </c>
      <c r="E1594" s="6" t="s">
        <v>140</v>
      </c>
      <c r="F1594" s="6" t="s">
        <v>141</v>
      </c>
      <c r="G1594" s="6" t="s">
        <v>430</v>
      </c>
      <c r="H1594" s="6" t="s">
        <v>431</v>
      </c>
      <c r="I1594" s="6" t="s">
        <v>31</v>
      </c>
      <c r="J1594" s="6">
        <v>17.670475</v>
      </c>
      <c r="K1594" s="6">
        <v>-96.124295000000004</v>
      </c>
      <c r="L1594" s="6" t="str">
        <f>HYPERLINK("https://maps.google.com/?q=17.670475,-96.124295000000004", "🔗 Ver Mapa")</f>
        <v>🔗 Ver Mapa</v>
      </c>
    </row>
    <row r="1595" spans="1:12" ht="43.5" x14ac:dyDescent="0.35">
      <c r="A1595" s="5" t="s">
        <v>98</v>
      </c>
      <c r="B1595" s="5" t="s">
        <v>99</v>
      </c>
      <c r="C1595" s="5" t="s">
        <v>429</v>
      </c>
      <c r="D1595" s="5" t="s">
        <v>14</v>
      </c>
      <c r="E1595" s="5" t="s">
        <v>140</v>
      </c>
      <c r="F1595" s="5" t="s">
        <v>141</v>
      </c>
      <c r="G1595" s="5" t="s">
        <v>430</v>
      </c>
      <c r="H1595" s="5" t="s">
        <v>431</v>
      </c>
      <c r="I1595" s="5" t="s">
        <v>31</v>
      </c>
      <c r="J1595" s="5">
        <v>17.670608999999999</v>
      </c>
      <c r="K1595" s="5">
        <v>-96.123953</v>
      </c>
      <c r="L1595" s="5" t="str">
        <f>HYPERLINK("https://maps.google.com/?q=17.670609,-96.123953", "🔗 Ver Mapa")</f>
        <v>🔗 Ver Mapa</v>
      </c>
    </row>
    <row r="1596" spans="1:12" ht="43.5" x14ac:dyDescent="0.35">
      <c r="A1596" s="6" t="s">
        <v>98</v>
      </c>
      <c r="B1596" s="6" t="s">
        <v>99</v>
      </c>
      <c r="C1596" s="6" t="s">
        <v>429</v>
      </c>
      <c r="D1596" s="6" t="s">
        <v>14</v>
      </c>
      <c r="E1596" s="6" t="s">
        <v>140</v>
      </c>
      <c r="F1596" s="6" t="s">
        <v>141</v>
      </c>
      <c r="G1596" s="6" t="s">
        <v>430</v>
      </c>
      <c r="H1596" s="6" t="s">
        <v>431</v>
      </c>
      <c r="I1596" s="6" t="s">
        <v>31</v>
      </c>
      <c r="J1596" s="6">
        <v>17.670614</v>
      </c>
      <c r="K1596" s="6">
        <v>-96.123407</v>
      </c>
      <c r="L1596" s="6" t="str">
        <f>HYPERLINK("https://maps.google.com/?q=17.670614,-96.123407", "🔗 Ver Mapa")</f>
        <v>🔗 Ver Mapa</v>
      </c>
    </row>
    <row r="1597" spans="1:12" ht="43.5" x14ac:dyDescent="0.35">
      <c r="A1597" s="5" t="s">
        <v>98</v>
      </c>
      <c r="B1597" s="5" t="s">
        <v>99</v>
      </c>
      <c r="C1597" s="5" t="s">
        <v>429</v>
      </c>
      <c r="D1597" s="5" t="s">
        <v>14</v>
      </c>
      <c r="E1597" s="5" t="s">
        <v>140</v>
      </c>
      <c r="F1597" s="5" t="s">
        <v>141</v>
      </c>
      <c r="G1597" s="5" t="s">
        <v>430</v>
      </c>
      <c r="H1597" s="5" t="s">
        <v>431</v>
      </c>
      <c r="I1597" s="5" t="s">
        <v>31</v>
      </c>
      <c r="J1597" s="5">
        <v>17.673991000000001</v>
      </c>
      <c r="K1597" s="5">
        <v>-96.129248000000004</v>
      </c>
      <c r="L1597" s="5" t="str">
        <f>HYPERLINK("https://maps.google.com/?q=17.673991,-96.129248000000004", "🔗 Ver Mapa")</f>
        <v>🔗 Ver Mapa</v>
      </c>
    </row>
    <row r="1598" spans="1:12" ht="43.5" x14ac:dyDescent="0.35">
      <c r="A1598" s="6" t="s">
        <v>98</v>
      </c>
      <c r="B1598" s="6" t="s">
        <v>99</v>
      </c>
      <c r="C1598" s="6" t="s">
        <v>429</v>
      </c>
      <c r="D1598" s="6" t="s">
        <v>14</v>
      </c>
      <c r="E1598" s="6" t="s">
        <v>140</v>
      </c>
      <c r="F1598" s="6" t="s">
        <v>141</v>
      </c>
      <c r="G1598" s="6" t="s">
        <v>430</v>
      </c>
      <c r="H1598" s="6" t="s">
        <v>431</v>
      </c>
      <c r="I1598" s="6" t="s">
        <v>31</v>
      </c>
      <c r="J1598" s="6">
        <v>17.674182999999999</v>
      </c>
      <c r="K1598" s="6">
        <v>-96.129579000000007</v>
      </c>
      <c r="L1598" s="6" t="str">
        <f>HYPERLINK("https://maps.google.com/?q=17.674183,-96.129579000000007", "🔗 Ver Mapa")</f>
        <v>🔗 Ver Mapa</v>
      </c>
    </row>
    <row r="1599" spans="1:12" ht="43.5" x14ac:dyDescent="0.35">
      <c r="A1599" s="5" t="s">
        <v>98</v>
      </c>
      <c r="B1599" s="5" t="s">
        <v>99</v>
      </c>
      <c r="C1599" s="5" t="s">
        <v>429</v>
      </c>
      <c r="D1599" s="5" t="s">
        <v>14</v>
      </c>
      <c r="E1599" s="5" t="s">
        <v>140</v>
      </c>
      <c r="F1599" s="5" t="s">
        <v>141</v>
      </c>
      <c r="G1599" s="5" t="s">
        <v>430</v>
      </c>
      <c r="H1599" s="5" t="s">
        <v>431</v>
      </c>
      <c r="I1599" s="5" t="s">
        <v>31</v>
      </c>
      <c r="J1599" s="5">
        <v>17.674764</v>
      </c>
      <c r="K1599" s="5">
        <v>-96.127960999999999</v>
      </c>
      <c r="L1599" s="5" t="str">
        <f>HYPERLINK("https://maps.google.com/?q=17.674764,-96.127960999999999", "🔗 Ver Mapa")</f>
        <v>🔗 Ver Mapa</v>
      </c>
    </row>
    <row r="1600" spans="1:12" ht="43.5" x14ac:dyDescent="0.35">
      <c r="A1600" s="6" t="s">
        <v>98</v>
      </c>
      <c r="B1600" s="6" t="s">
        <v>99</v>
      </c>
      <c r="C1600" s="6" t="s">
        <v>429</v>
      </c>
      <c r="D1600" s="6" t="s">
        <v>14</v>
      </c>
      <c r="E1600" s="6" t="s">
        <v>140</v>
      </c>
      <c r="F1600" s="6" t="s">
        <v>141</v>
      </c>
      <c r="G1600" s="6" t="s">
        <v>430</v>
      </c>
      <c r="H1600" s="6" t="s">
        <v>431</v>
      </c>
      <c r="I1600" s="6" t="s">
        <v>31</v>
      </c>
      <c r="J1600" s="6">
        <v>17.676145000000002</v>
      </c>
      <c r="K1600" s="6">
        <v>-96.128206000000006</v>
      </c>
      <c r="L1600" s="6" t="str">
        <f>HYPERLINK("https://maps.google.com/?q=17.676145,-96.128206000000006", "🔗 Ver Mapa")</f>
        <v>🔗 Ver Mapa</v>
      </c>
    </row>
    <row r="1601" spans="1:12" ht="43.5" x14ac:dyDescent="0.35">
      <c r="A1601" s="5" t="s">
        <v>98</v>
      </c>
      <c r="B1601" s="5" t="s">
        <v>99</v>
      </c>
      <c r="C1601" s="5" t="s">
        <v>429</v>
      </c>
      <c r="D1601" s="5" t="s">
        <v>14</v>
      </c>
      <c r="E1601" s="5" t="s">
        <v>140</v>
      </c>
      <c r="F1601" s="5" t="s">
        <v>141</v>
      </c>
      <c r="G1601" s="5" t="s">
        <v>430</v>
      </c>
      <c r="H1601" s="5" t="s">
        <v>431</v>
      </c>
      <c r="I1601" s="5" t="s">
        <v>31</v>
      </c>
      <c r="J1601" s="5">
        <v>17.677465000000002</v>
      </c>
      <c r="K1601" s="5">
        <v>-96.128328999999994</v>
      </c>
      <c r="L1601" s="5" t="str">
        <f>HYPERLINK("https://maps.google.com/?q=17.677465,-96.128328999999994", "🔗 Ver Mapa")</f>
        <v>🔗 Ver Mapa</v>
      </c>
    </row>
    <row r="1602" spans="1:12" ht="43.5" x14ac:dyDescent="0.35">
      <c r="A1602" s="6" t="s">
        <v>98</v>
      </c>
      <c r="B1602" s="6" t="s">
        <v>99</v>
      </c>
      <c r="C1602" s="6" t="s">
        <v>432</v>
      </c>
      <c r="D1602" s="6" t="s">
        <v>14</v>
      </c>
      <c r="E1602" s="6" t="s">
        <v>140</v>
      </c>
      <c r="F1602" s="6" t="s">
        <v>141</v>
      </c>
      <c r="G1602" s="6" t="s">
        <v>430</v>
      </c>
      <c r="H1602" s="6" t="s">
        <v>433</v>
      </c>
      <c r="I1602" s="6" t="s">
        <v>31</v>
      </c>
      <c r="J1602" s="6">
        <v>17.759504</v>
      </c>
      <c r="K1602" s="6">
        <v>-96.079621000000003</v>
      </c>
      <c r="L1602" s="6" t="str">
        <f>HYPERLINK("https://maps.google.com/?q=17.759504,-96.079621000000003", "🔗 Ver Mapa")</f>
        <v>🔗 Ver Mapa</v>
      </c>
    </row>
    <row r="1603" spans="1:12" ht="43.5" x14ac:dyDescent="0.35">
      <c r="A1603" s="5" t="s">
        <v>98</v>
      </c>
      <c r="B1603" s="5" t="s">
        <v>99</v>
      </c>
      <c r="C1603" s="5" t="s">
        <v>432</v>
      </c>
      <c r="D1603" s="5" t="s">
        <v>14</v>
      </c>
      <c r="E1603" s="5" t="s">
        <v>140</v>
      </c>
      <c r="F1603" s="5" t="s">
        <v>141</v>
      </c>
      <c r="G1603" s="5" t="s">
        <v>430</v>
      </c>
      <c r="H1603" s="5" t="s">
        <v>433</v>
      </c>
      <c r="I1603" s="5" t="s">
        <v>31</v>
      </c>
      <c r="J1603" s="5">
        <v>17.759567000000001</v>
      </c>
      <c r="K1603" s="5">
        <v>-96.079023000000007</v>
      </c>
      <c r="L1603" s="5" t="str">
        <f>HYPERLINK("https://maps.google.com/?q=17.759567,-96.079023000000007", "🔗 Ver Mapa")</f>
        <v>🔗 Ver Mapa</v>
      </c>
    </row>
    <row r="1604" spans="1:12" ht="43.5" x14ac:dyDescent="0.35">
      <c r="A1604" s="6" t="s">
        <v>98</v>
      </c>
      <c r="B1604" s="6" t="s">
        <v>99</v>
      </c>
      <c r="C1604" s="6" t="s">
        <v>432</v>
      </c>
      <c r="D1604" s="6" t="s">
        <v>14</v>
      </c>
      <c r="E1604" s="6" t="s">
        <v>140</v>
      </c>
      <c r="F1604" s="6" t="s">
        <v>141</v>
      </c>
      <c r="G1604" s="6" t="s">
        <v>430</v>
      </c>
      <c r="H1604" s="6" t="s">
        <v>433</v>
      </c>
      <c r="I1604" s="6" t="s">
        <v>31</v>
      </c>
      <c r="J1604" s="6">
        <v>17.759595999999998</v>
      </c>
      <c r="K1604" s="6">
        <v>-96.081389000000001</v>
      </c>
      <c r="L1604" s="6" t="str">
        <f>HYPERLINK("https://maps.google.com/?q=17.759596,-96.081389000000001", "🔗 Ver Mapa")</f>
        <v>🔗 Ver Mapa</v>
      </c>
    </row>
    <row r="1605" spans="1:12" ht="43.5" x14ac:dyDescent="0.35">
      <c r="A1605" s="5" t="s">
        <v>98</v>
      </c>
      <c r="B1605" s="5" t="s">
        <v>99</v>
      </c>
      <c r="C1605" s="5" t="s">
        <v>432</v>
      </c>
      <c r="D1605" s="5" t="s">
        <v>14</v>
      </c>
      <c r="E1605" s="5" t="s">
        <v>140</v>
      </c>
      <c r="F1605" s="5" t="s">
        <v>141</v>
      </c>
      <c r="G1605" s="5" t="s">
        <v>430</v>
      </c>
      <c r="H1605" s="5" t="s">
        <v>433</v>
      </c>
      <c r="I1605" s="5" t="s">
        <v>31</v>
      </c>
      <c r="J1605" s="5">
        <v>17.759692000000001</v>
      </c>
      <c r="K1605" s="5">
        <v>-96.081547999999998</v>
      </c>
      <c r="L1605" s="5" t="str">
        <f>HYPERLINK("https://maps.google.com/?q=17.759692,-96.081547999999998", "🔗 Ver Mapa")</f>
        <v>🔗 Ver Mapa</v>
      </c>
    </row>
    <row r="1606" spans="1:12" ht="43.5" x14ac:dyDescent="0.35">
      <c r="A1606" s="6" t="s">
        <v>98</v>
      </c>
      <c r="B1606" s="6" t="s">
        <v>99</v>
      </c>
      <c r="C1606" s="6" t="s">
        <v>432</v>
      </c>
      <c r="D1606" s="6" t="s">
        <v>14</v>
      </c>
      <c r="E1606" s="6" t="s">
        <v>140</v>
      </c>
      <c r="F1606" s="6" t="s">
        <v>141</v>
      </c>
      <c r="G1606" s="6" t="s">
        <v>430</v>
      </c>
      <c r="H1606" s="6" t="s">
        <v>433</v>
      </c>
      <c r="I1606" s="6" t="s">
        <v>31</v>
      </c>
      <c r="J1606" s="6">
        <v>17.760387000000001</v>
      </c>
      <c r="K1606" s="6">
        <v>-96.077879999999993</v>
      </c>
      <c r="L1606" s="6" t="str">
        <f>HYPERLINK("https://maps.google.com/?q=17.760387,-96.077879999999993", "🔗 Ver Mapa")</f>
        <v>🔗 Ver Mapa</v>
      </c>
    </row>
    <row r="1607" spans="1:12" ht="43.5" x14ac:dyDescent="0.35">
      <c r="A1607" s="5" t="s">
        <v>98</v>
      </c>
      <c r="B1607" s="5" t="s">
        <v>99</v>
      </c>
      <c r="C1607" s="5" t="s">
        <v>432</v>
      </c>
      <c r="D1607" s="5" t="s">
        <v>14</v>
      </c>
      <c r="E1607" s="5" t="s">
        <v>140</v>
      </c>
      <c r="F1607" s="5" t="s">
        <v>141</v>
      </c>
      <c r="G1607" s="5" t="s">
        <v>430</v>
      </c>
      <c r="H1607" s="5" t="s">
        <v>433</v>
      </c>
      <c r="I1607" s="5" t="s">
        <v>31</v>
      </c>
      <c r="J1607" s="5">
        <v>17.760466999999998</v>
      </c>
      <c r="K1607" s="5">
        <v>-96.078631000000001</v>
      </c>
      <c r="L1607" s="5" t="str">
        <f>HYPERLINK("https://maps.google.com/?q=17.760467,-96.078631000000001", "🔗 Ver Mapa")</f>
        <v>🔗 Ver Mapa</v>
      </c>
    </row>
    <row r="1608" spans="1:12" ht="43.5" x14ac:dyDescent="0.35">
      <c r="A1608" s="6" t="s">
        <v>98</v>
      </c>
      <c r="B1608" s="6" t="s">
        <v>99</v>
      </c>
      <c r="C1608" s="6" t="s">
        <v>432</v>
      </c>
      <c r="D1608" s="6" t="s">
        <v>14</v>
      </c>
      <c r="E1608" s="6" t="s">
        <v>140</v>
      </c>
      <c r="F1608" s="6" t="s">
        <v>141</v>
      </c>
      <c r="G1608" s="6" t="s">
        <v>430</v>
      </c>
      <c r="H1608" s="6" t="s">
        <v>433</v>
      </c>
      <c r="I1608" s="6" t="s">
        <v>31</v>
      </c>
      <c r="J1608" s="6">
        <v>17.760518999999999</v>
      </c>
      <c r="K1608" s="6">
        <v>-96.080978000000002</v>
      </c>
      <c r="L1608" s="6" t="str">
        <f>HYPERLINK("https://maps.google.com/?q=17.760519,-96.080978000000002", "🔗 Ver Mapa")</f>
        <v>🔗 Ver Mapa</v>
      </c>
    </row>
    <row r="1609" spans="1:12" ht="43.5" x14ac:dyDescent="0.35">
      <c r="A1609" s="5" t="s">
        <v>98</v>
      </c>
      <c r="B1609" s="5" t="s">
        <v>99</v>
      </c>
      <c r="C1609" s="5" t="s">
        <v>432</v>
      </c>
      <c r="D1609" s="5" t="s">
        <v>14</v>
      </c>
      <c r="E1609" s="5" t="s">
        <v>140</v>
      </c>
      <c r="F1609" s="5" t="s">
        <v>141</v>
      </c>
      <c r="G1609" s="5" t="s">
        <v>430</v>
      </c>
      <c r="H1609" s="5" t="s">
        <v>433</v>
      </c>
      <c r="I1609" s="5" t="s">
        <v>31</v>
      </c>
      <c r="J1609" s="5">
        <v>17.760583</v>
      </c>
      <c r="K1609" s="5">
        <v>-96.081805000000003</v>
      </c>
      <c r="L1609" s="5" t="str">
        <f>HYPERLINK("https://maps.google.com/?q=17.760583,-96.081805000000003", "🔗 Ver Mapa")</f>
        <v>🔗 Ver Mapa</v>
      </c>
    </row>
    <row r="1610" spans="1:12" ht="43.5" x14ac:dyDescent="0.35">
      <c r="A1610" s="6" t="s">
        <v>98</v>
      </c>
      <c r="B1610" s="6" t="s">
        <v>99</v>
      </c>
      <c r="C1610" s="6" t="s">
        <v>432</v>
      </c>
      <c r="D1610" s="6" t="s">
        <v>14</v>
      </c>
      <c r="E1610" s="6" t="s">
        <v>140</v>
      </c>
      <c r="F1610" s="6" t="s">
        <v>141</v>
      </c>
      <c r="G1610" s="6" t="s">
        <v>430</v>
      </c>
      <c r="H1610" s="6" t="s">
        <v>433</v>
      </c>
      <c r="I1610" s="6" t="s">
        <v>31</v>
      </c>
      <c r="J1610" s="6">
        <v>17.760801000000001</v>
      </c>
      <c r="K1610" s="6">
        <v>-96.080815000000001</v>
      </c>
      <c r="L1610" s="6" t="str">
        <f>HYPERLINK("https://maps.google.com/?q=17.760801,-96.080815000000001", "🔗 Ver Mapa")</f>
        <v>🔗 Ver Mapa</v>
      </c>
    </row>
    <row r="1611" spans="1:12" ht="43.5" x14ac:dyDescent="0.35">
      <c r="A1611" s="5" t="s">
        <v>98</v>
      </c>
      <c r="B1611" s="5" t="s">
        <v>99</v>
      </c>
      <c r="C1611" s="5" t="s">
        <v>432</v>
      </c>
      <c r="D1611" s="5" t="s">
        <v>14</v>
      </c>
      <c r="E1611" s="5" t="s">
        <v>140</v>
      </c>
      <c r="F1611" s="5" t="s">
        <v>141</v>
      </c>
      <c r="G1611" s="5" t="s">
        <v>430</v>
      </c>
      <c r="H1611" s="5" t="s">
        <v>433</v>
      </c>
      <c r="I1611" s="5" t="s">
        <v>31</v>
      </c>
      <c r="J1611" s="5">
        <v>17.760961000000002</v>
      </c>
      <c r="K1611" s="5">
        <v>-96.081624000000005</v>
      </c>
      <c r="L1611" s="5" t="str">
        <f>HYPERLINK("https://maps.google.com/?q=17.760961,-96.081624000000005", "🔗 Ver Mapa")</f>
        <v>🔗 Ver Mapa</v>
      </c>
    </row>
    <row r="1612" spans="1:12" ht="43.5" x14ac:dyDescent="0.35">
      <c r="A1612" s="6" t="s">
        <v>98</v>
      </c>
      <c r="B1612" s="6" t="s">
        <v>99</v>
      </c>
      <c r="C1612" s="6" t="s">
        <v>432</v>
      </c>
      <c r="D1612" s="6" t="s">
        <v>14</v>
      </c>
      <c r="E1612" s="6" t="s">
        <v>140</v>
      </c>
      <c r="F1612" s="6" t="s">
        <v>141</v>
      </c>
      <c r="G1612" s="6" t="s">
        <v>430</v>
      </c>
      <c r="H1612" s="6" t="s">
        <v>433</v>
      </c>
      <c r="I1612" s="6" t="s">
        <v>31</v>
      </c>
      <c r="J1612" s="6">
        <v>17.760966</v>
      </c>
      <c r="K1612" s="6">
        <v>-96.081498999999994</v>
      </c>
      <c r="L1612" s="6" t="str">
        <f>HYPERLINK("https://maps.google.com/?q=17.760966,-96.081498999999994", "🔗 Ver Mapa")</f>
        <v>🔗 Ver Mapa</v>
      </c>
    </row>
    <row r="1613" spans="1:12" ht="43.5" x14ac:dyDescent="0.35">
      <c r="A1613" s="5" t="s">
        <v>98</v>
      </c>
      <c r="B1613" s="5" t="s">
        <v>99</v>
      </c>
      <c r="C1613" s="5" t="s">
        <v>432</v>
      </c>
      <c r="D1613" s="5" t="s">
        <v>14</v>
      </c>
      <c r="E1613" s="5" t="s">
        <v>140</v>
      </c>
      <c r="F1613" s="5" t="s">
        <v>141</v>
      </c>
      <c r="G1613" s="5" t="s">
        <v>430</v>
      </c>
      <c r="H1613" s="5" t="s">
        <v>433</v>
      </c>
      <c r="I1613" s="5" t="s">
        <v>31</v>
      </c>
      <c r="J1613" s="5">
        <v>17.761088000000001</v>
      </c>
      <c r="K1613" s="5">
        <v>-96.080783999999994</v>
      </c>
      <c r="L1613" s="5" t="str">
        <f>HYPERLINK("https://maps.google.com/?q=17.761088,-96.080783999999994", "🔗 Ver Mapa")</f>
        <v>🔗 Ver Mapa</v>
      </c>
    </row>
    <row r="1614" spans="1:12" ht="43.5" x14ac:dyDescent="0.35">
      <c r="A1614" s="6" t="s">
        <v>98</v>
      </c>
      <c r="B1614" s="6" t="s">
        <v>99</v>
      </c>
      <c r="C1614" s="6" t="s">
        <v>432</v>
      </c>
      <c r="D1614" s="6" t="s">
        <v>14</v>
      </c>
      <c r="E1614" s="6" t="s">
        <v>140</v>
      </c>
      <c r="F1614" s="6" t="s">
        <v>141</v>
      </c>
      <c r="G1614" s="6" t="s">
        <v>430</v>
      </c>
      <c r="H1614" s="6" t="s">
        <v>433</v>
      </c>
      <c r="I1614" s="6" t="s">
        <v>31</v>
      </c>
      <c r="J1614" s="6">
        <v>17.761143000000001</v>
      </c>
      <c r="K1614" s="6">
        <v>-96.080586999999994</v>
      </c>
      <c r="L1614" s="6" t="str">
        <f>HYPERLINK("https://maps.google.com/?q=17.761143,-96.080586999999994", "🔗 Ver Mapa")</f>
        <v>🔗 Ver Mapa</v>
      </c>
    </row>
    <row r="1615" spans="1:12" ht="43.5" x14ac:dyDescent="0.35">
      <c r="A1615" s="5" t="s">
        <v>98</v>
      </c>
      <c r="B1615" s="5" t="s">
        <v>99</v>
      </c>
      <c r="C1615" s="5" t="s">
        <v>432</v>
      </c>
      <c r="D1615" s="5" t="s">
        <v>14</v>
      </c>
      <c r="E1615" s="5" t="s">
        <v>140</v>
      </c>
      <c r="F1615" s="5" t="s">
        <v>141</v>
      </c>
      <c r="G1615" s="5" t="s">
        <v>430</v>
      </c>
      <c r="H1615" s="5" t="s">
        <v>433</v>
      </c>
      <c r="I1615" s="5" t="s">
        <v>31</v>
      </c>
      <c r="J1615" s="5">
        <v>17.761441999999999</v>
      </c>
      <c r="K1615" s="5">
        <v>-96.079718999999997</v>
      </c>
      <c r="L1615" s="5" t="str">
        <f>HYPERLINK("https://maps.google.com/?q=17.761442,-96.079718999999997", "🔗 Ver Mapa")</f>
        <v>🔗 Ver Mapa</v>
      </c>
    </row>
    <row r="1616" spans="1:12" ht="43.5" x14ac:dyDescent="0.35">
      <c r="A1616" s="6" t="s">
        <v>98</v>
      </c>
      <c r="B1616" s="6" t="s">
        <v>99</v>
      </c>
      <c r="C1616" s="6" t="s">
        <v>432</v>
      </c>
      <c r="D1616" s="6" t="s">
        <v>14</v>
      </c>
      <c r="E1616" s="6" t="s">
        <v>140</v>
      </c>
      <c r="F1616" s="6" t="s">
        <v>141</v>
      </c>
      <c r="G1616" s="6" t="s">
        <v>430</v>
      </c>
      <c r="H1616" s="6" t="s">
        <v>433</v>
      </c>
      <c r="I1616" s="6" t="s">
        <v>31</v>
      </c>
      <c r="J1616" s="6">
        <v>17.761842000000001</v>
      </c>
      <c r="K1616" s="6">
        <v>-96.078052</v>
      </c>
      <c r="L1616" s="6" t="str">
        <f>HYPERLINK("https://maps.google.com/?q=17.761842,-96.078052", "🔗 Ver Mapa")</f>
        <v>🔗 Ver Mapa</v>
      </c>
    </row>
    <row r="1617" spans="1:12" ht="43.5" x14ac:dyDescent="0.35">
      <c r="A1617" s="5" t="s">
        <v>98</v>
      </c>
      <c r="B1617" s="5" t="s">
        <v>99</v>
      </c>
      <c r="C1617" s="5" t="s">
        <v>434</v>
      </c>
      <c r="D1617" s="5" t="s">
        <v>14</v>
      </c>
      <c r="E1617" s="5" t="s">
        <v>140</v>
      </c>
      <c r="F1617" s="5" t="s">
        <v>141</v>
      </c>
      <c r="G1617" s="5" t="s">
        <v>430</v>
      </c>
      <c r="H1617" s="5" t="s">
        <v>433</v>
      </c>
      <c r="I1617" s="5" t="s">
        <v>31</v>
      </c>
      <c r="J1617" s="5">
        <v>17.758149</v>
      </c>
      <c r="K1617" s="5">
        <v>-96.079808999999997</v>
      </c>
      <c r="L1617" s="5" t="str">
        <f>HYPERLINK("https://maps.google.com/?q=17.758149,-96.079808999999997", "🔗 Ver Mapa")</f>
        <v>🔗 Ver Mapa</v>
      </c>
    </row>
    <row r="1618" spans="1:12" ht="43.5" x14ac:dyDescent="0.35">
      <c r="A1618" s="6" t="s">
        <v>98</v>
      </c>
      <c r="B1618" s="6" t="s">
        <v>99</v>
      </c>
      <c r="C1618" s="6" t="s">
        <v>434</v>
      </c>
      <c r="D1618" s="6" t="s">
        <v>14</v>
      </c>
      <c r="E1618" s="6" t="s">
        <v>140</v>
      </c>
      <c r="F1618" s="6" t="s">
        <v>141</v>
      </c>
      <c r="G1618" s="6" t="s">
        <v>430</v>
      </c>
      <c r="H1618" s="6" t="s">
        <v>433</v>
      </c>
      <c r="I1618" s="6" t="s">
        <v>31</v>
      </c>
      <c r="J1618" s="6">
        <v>17.759032000000001</v>
      </c>
      <c r="K1618" s="6">
        <v>-96.079143999999999</v>
      </c>
      <c r="L1618" s="6" t="str">
        <f>HYPERLINK("https://maps.google.com/?q=17.759032,-96.079143999999999", "🔗 Ver Mapa")</f>
        <v>🔗 Ver Mapa</v>
      </c>
    </row>
    <row r="1619" spans="1:12" ht="43.5" x14ac:dyDescent="0.35">
      <c r="A1619" s="5" t="s">
        <v>98</v>
      </c>
      <c r="B1619" s="5" t="s">
        <v>99</v>
      </c>
      <c r="C1619" s="5" t="s">
        <v>434</v>
      </c>
      <c r="D1619" s="5" t="s">
        <v>14</v>
      </c>
      <c r="E1619" s="5" t="s">
        <v>140</v>
      </c>
      <c r="F1619" s="5" t="s">
        <v>141</v>
      </c>
      <c r="G1619" s="5" t="s">
        <v>430</v>
      </c>
      <c r="H1619" s="5" t="s">
        <v>433</v>
      </c>
      <c r="I1619" s="5" t="s">
        <v>31</v>
      </c>
      <c r="J1619" s="5">
        <v>17.759308000000001</v>
      </c>
      <c r="K1619" s="5">
        <v>-96.079195999999996</v>
      </c>
      <c r="L1619" s="5" t="str">
        <f>HYPERLINK("https://maps.google.com/?q=17.759308,-96.079195999999996", "🔗 Ver Mapa")</f>
        <v>🔗 Ver Mapa</v>
      </c>
    </row>
    <row r="1620" spans="1:12" ht="43.5" x14ac:dyDescent="0.35">
      <c r="A1620" s="6" t="s">
        <v>98</v>
      </c>
      <c r="B1620" s="6" t="s">
        <v>99</v>
      </c>
      <c r="C1620" s="6" t="s">
        <v>434</v>
      </c>
      <c r="D1620" s="6" t="s">
        <v>14</v>
      </c>
      <c r="E1620" s="6" t="s">
        <v>140</v>
      </c>
      <c r="F1620" s="6" t="s">
        <v>141</v>
      </c>
      <c r="G1620" s="6" t="s">
        <v>430</v>
      </c>
      <c r="H1620" s="6" t="s">
        <v>433</v>
      </c>
      <c r="I1620" s="6" t="s">
        <v>31</v>
      </c>
      <c r="J1620" s="6">
        <v>17.759549</v>
      </c>
      <c r="K1620" s="6">
        <v>-96.079035000000005</v>
      </c>
      <c r="L1620" s="6" t="str">
        <f>HYPERLINK("https://maps.google.com/?q=17.759549,-96.079035000000005", "🔗 Ver Mapa")</f>
        <v>🔗 Ver Mapa</v>
      </c>
    </row>
    <row r="1621" spans="1:12" ht="43.5" x14ac:dyDescent="0.35">
      <c r="A1621" s="5" t="s">
        <v>98</v>
      </c>
      <c r="B1621" s="5" t="s">
        <v>99</v>
      </c>
      <c r="C1621" s="5" t="s">
        <v>434</v>
      </c>
      <c r="D1621" s="5" t="s">
        <v>14</v>
      </c>
      <c r="E1621" s="5" t="s">
        <v>140</v>
      </c>
      <c r="F1621" s="5" t="s">
        <v>141</v>
      </c>
      <c r="G1621" s="5" t="s">
        <v>430</v>
      </c>
      <c r="H1621" s="5" t="s">
        <v>433</v>
      </c>
      <c r="I1621" s="5" t="s">
        <v>31</v>
      </c>
      <c r="J1621" s="5">
        <v>17.759682999999999</v>
      </c>
      <c r="K1621" s="5">
        <v>-96.081564</v>
      </c>
      <c r="L1621" s="5" t="str">
        <f>HYPERLINK("https://maps.google.com/?q=17.759683,-96.081564", "🔗 Ver Mapa")</f>
        <v>🔗 Ver Mapa</v>
      </c>
    </row>
    <row r="1622" spans="1:12" ht="43.5" x14ac:dyDescent="0.35">
      <c r="A1622" s="6" t="s">
        <v>98</v>
      </c>
      <c r="B1622" s="6" t="s">
        <v>99</v>
      </c>
      <c r="C1622" s="6" t="s">
        <v>434</v>
      </c>
      <c r="D1622" s="6" t="s">
        <v>14</v>
      </c>
      <c r="E1622" s="6" t="s">
        <v>140</v>
      </c>
      <c r="F1622" s="6" t="s">
        <v>141</v>
      </c>
      <c r="G1622" s="6" t="s">
        <v>430</v>
      </c>
      <c r="H1622" s="6" t="s">
        <v>433</v>
      </c>
      <c r="I1622" s="6" t="s">
        <v>31</v>
      </c>
      <c r="J1622" s="6">
        <v>17.760007999999999</v>
      </c>
      <c r="K1622" s="6">
        <v>-96.080929999999995</v>
      </c>
      <c r="L1622" s="6" t="str">
        <f>HYPERLINK("https://maps.google.com/?q=17.760008,-96.080929999999995", "🔗 Ver Mapa")</f>
        <v>🔗 Ver Mapa</v>
      </c>
    </row>
    <row r="1623" spans="1:12" ht="43.5" x14ac:dyDescent="0.35">
      <c r="A1623" s="5" t="s">
        <v>98</v>
      </c>
      <c r="B1623" s="5" t="s">
        <v>99</v>
      </c>
      <c r="C1623" s="5" t="s">
        <v>434</v>
      </c>
      <c r="D1623" s="5" t="s">
        <v>14</v>
      </c>
      <c r="E1623" s="5" t="s">
        <v>140</v>
      </c>
      <c r="F1623" s="5" t="s">
        <v>141</v>
      </c>
      <c r="G1623" s="5" t="s">
        <v>430</v>
      </c>
      <c r="H1623" s="5" t="s">
        <v>433</v>
      </c>
      <c r="I1623" s="5" t="s">
        <v>31</v>
      </c>
      <c r="J1623" s="5">
        <v>17.760124999999999</v>
      </c>
      <c r="K1623" s="5">
        <v>-96.081281000000004</v>
      </c>
      <c r="L1623" s="5" t="str">
        <f>HYPERLINK("https://maps.google.com/?q=17.760125,-96.081281000000004", "🔗 Ver Mapa")</f>
        <v>🔗 Ver Mapa</v>
      </c>
    </row>
    <row r="1624" spans="1:12" ht="43.5" x14ac:dyDescent="0.35">
      <c r="A1624" s="6" t="s">
        <v>98</v>
      </c>
      <c r="B1624" s="6" t="s">
        <v>99</v>
      </c>
      <c r="C1624" s="6" t="s">
        <v>434</v>
      </c>
      <c r="D1624" s="6" t="s">
        <v>14</v>
      </c>
      <c r="E1624" s="6" t="s">
        <v>140</v>
      </c>
      <c r="F1624" s="6" t="s">
        <v>141</v>
      </c>
      <c r="G1624" s="6" t="s">
        <v>430</v>
      </c>
      <c r="H1624" s="6" t="s">
        <v>433</v>
      </c>
      <c r="I1624" s="6" t="s">
        <v>31</v>
      </c>
      <c r="J1624" s="6">
        <v>17.760793</v>
      </c>
      <c r="K1624" s="6">
        <v>-96.080838</v>
      </c>
      <c r="L1624" s="6" t="str">
        <f>HYPERLINK("https://maps.google.com/?q=17.760793,-96.080838", "🔗 Ver Mapa")</f>
        <v>🔗 Ver Mapa</v>
      </c>
    </row>
    <row r="1625" spans="1:12" ht="43.5" x14ac:dyDescent="0.35">
      <c r="A1625" s="5" t="s">
        <v>98</v>
      </c>
      <c r="B1625" s="5" t="s">
        <v>99</v>
      </c>
      <c r="C1625" s="5" t="s">
        <v>434</v>
      </c>
      <c r="D1625" s="5" t="s">
        <v>14</v>
      </c>
      <c r="E1625" s="5" t="s">
        <v>140</v>
      </c>
      <c r="F1625" s="5" t="s">
        <v>141</v>
      </c>
      <c r="G1625" s="5" t="s">
        <v>430</v>
      </c>
      <c r="H1625" s="5" t="s">
        <v>433</v>
      </c>
      <c r="I1625" s="5" t="s">
        <v>31</v>
      </c>
      <c r="J1625" s="5">
        <v>17.760867999999999</v>
      </c>
      <c r="K1625" s="5">
        <v>-96.081631000000002</v>
      </c>
      <c r="L1625" s="5" t="str">
        <f>HYPERLINK("https://maps.google.com/?q=17.760868,-96.081631000000002", "🔗 Ver Mapa")</f>
        <v>🔗 Ver Mapa</v>
      </c>
    </row>
    <row r="1626" spans="1:12" ht="43.5" x14ac:dyDescent="0.35">
      <c r="A1626" s="6" t="s">
        <v>98</v>
      </c>
      <c r="B1626" s="6" t="s">
        <v>99</v>
      </c>
      <c r="C1626" s="6" t="s">
        <v>434</v>
      </c>
      <c r="D1626" s="6" t="s">
        <v>14</v>
      </c>
      <c r="E1626" s="6" t="s">
        <v>140</v>
      </c>
      <c r="F1626" s="6" t="s">
        <v>141</v>
      </c>
      <c r="G1626" s="6" t="s">
        <v>430</v>
      </c>
      <c r="H1626" s="6" t="s">
        <v>433</v>
      </c>
      <c r="I1626" s="6" t="s">
        <v>31</v>
      </c>
      <c r="J1626" s="6">
        <v>17.761071000000001</v>
      </c>
      <c r="K1626" s="6">
        <v>-96.078333000000001</v>
      </c>
      <c r="L1626" s="6" t="str">
        <f>HYPERLINK("https://maps.google.com/?q=17.761071,-96.078333000000001", "🔗 Ver Mapa")</f>
        <v>🔗 Ver Mapa</v>
      </c>
    </row>
    <row r="1627" spans="1:12" ht="43.5" x14ac:dyDescent="0.35">
      <c r="A1627" s="5" t="s">
        <v>98</v>
      </c>
      <c r="B1627" s="5" t="s">
        <v>99</v>
      </c>
      <c r="C1627" s="5" t="s">
        <v>435</v>
      </c>
      <c r="D1627" s="5" t="s">
        <v>14</v>
      </c>
      <c r="E1627" s="5" t="s">
        <v>17</v>
      </c>
      <c r="F1627" s="5" t="s">
        <v>20</v>
      </c>
      <c r="G1627" s="5" t="s">
        <v>436</v>
      </c>
      <c r="H1627" s="5" t="s">
        <v>437</v>
      </c>
      <c r="I1627" s="5" t="s">
        <v>31</v>
      </c>
      <c r="J1627" s="5">
        <v>15.919184957402001</v>
      </c>
      <c r="K1627" s="5">
        <v>-96.414989697091997</v>
      </c>
      <c r="L1627" s="5" t="str">
        <f>HYPERLINK("https://maps.google.com/?q=15.9191849574021,-96.414989697091798", "🔗 Ver Mapa")</f>
        <v>🔗 Ver Mapa</v>
      </c>
    </row>
    <row r="1628" spans="1:12" ht="43.5" x14ac:dyDescent="0.35">
      <c r="A1628" s="6" t="s">
        <v>98</v>
      </c>
      <c r="B1628" s="6" t="s">
        <v>99</v>
      </c>
      <c r="C1628" s="6" t="s">
        <v>435</v>
      </c>
      <c r="D1628" s="6" t="s">
        <v>14</v>
      </c>
      <c r="E1628" s="6" t="s">
        <v>17</v>
      </c>
      <c r="F1628" s="6" t="s">
        <v>20</v>
      </c>
      <c r="G1628" s="6" t="s">
        <v>436</v>
      </c>
      <c r="H1628" s="6" t="s">
        <v>437</v>
      </c>
      <c r="I1628" s="6" t="s">
        <v>31</v>
      </c>
      <c r="J1628" s="6">
        <v>15.920474741882</v>
      </c>
      <c r="K1628" s="6">
        <v>-96.414192784061001</v>
      </c>
      <c r="L1628" s="6" t="str">
        <f>HYPERLINK("https://maps.google.com/?q=15.9204747418821,-96.414192784061399", "🔗 Ver Mapa")</f>
        <v>🔗 Ver Mapa</v>
      </c>
    </row>
    <row r="1629" spans="1:12" ht="43.5" x14ac:dyDescent="0.35">
      <c r="A1629" s="5" t="s">
        <v>98</v>
      </c>
      <c r="B1629" s="5" t="s">
        <v>99</v>
      </c>
      <c r="C1629" s="5" t="s">
        <v>438</v>
      </c>
      <c r="D1629" s="5" t="s">
        <v>14</v>
      </c>
      <c r="E1629" s="5" t="s">
        <v>17</v>
      </c>
      <c r="F1629" s="5" t="s">
        <v>20</v>
      </c>
      <c r="G1629" s="5" t="s">
        <v>436</v>
      </c>
      <c r="H1629" s="5" t="s">
        <v>439</v>
      </c>
      <c r="I1629" s="5" t="s">
        <v>31</v>
      </c>
      <c r="J1629" s="5">
        <v>15.905817501249</v>
      </c>
      <c r="K1629" s="5">
        <v>-96.432885902159995</v>
      </c>
      <c r="L1629" s="5" t="str">
        <f>HYPERLINK("https://maps.google.com/?q=15.9058175012486,-96.432885902159597", "🔗 Ver Mapa")</f>
        <v>🔗 Ver Mapa</v>
      </c>
    </row>
    <row r="1630" spans="1:12" ht="43.5" x14ac:dyDescent="0.35">
      <c r="A1630" s="6" t="s">
        <v>98</v>
      </c>
      <c r="B1630" s="6" t="s">
        <v>99</v>
      </c>
      <c r="C1630" s="6" t="s">
        <v>438</v>
      </c>
      <c r="D1630" s="6" t="s">
        <v>14</v>
      </c>
      <c r="E1630" s="6" t="s">
        <v>17</v>
      </c>
      <c r="F1630" s="6" t="s">
        <v>20</v>
      </c>
      <c r="G1630" s="6" t="s">
        <v>436</v>
      </c>
      <c r="H1630" s="6" t="s">
        <v>439</v>
      </c>
      <c r="I1630" s="6" t="s">
        <v>31</v>
      </c>
      <c r="J1630" s="6">
        <v>15.906129531007</v>
      </c>
      <c r="K1630" s="6">
        <v>-96.432514499478998</v>
      </c>
      <c r="L1630" s="6" t="str">
        <f>HYPERLINK("https://maps.google.com/?q=15.9061295310068,-96.432514499478998", "🔗 Ver Mapa")</f>
        <v>🔗 Ver Mapa</v>
      </c>
    </row>
    <row r="1631" spans="1:12" ht="43.5" x14ac:dyDescent="0.35">
      <c r="A1631" s="5" t="s">
        <v>98</v>
      </c>
      <c r="B1631" s="5" t="s">
        <v>99</v>
      </c>
      <c r="C1631" s="5" t="s">
        <v>440</v>
      </c>
      <c r="D1631" s="5" t="s">
        <v>14</v>
      </c>
      <c r="E1631" s="5" t="s">
        <v>17</v>
      </c>
      <c r="F1631" s="5" t="s">
        <v>20</v>
      </c>
      <c r="G1631" s="5" t="s">
        <v>436</v>
      </c>
      <c r="H1631" s="5" t="s">
        <v>441</v>
      </c>
      <c r="I1631" s="5" t="s">
        <v>31</v>
      </c>
      <c r="J1631" s="5">
        <v>15.928706</v>
      </c>
      <c r="K1631" s="5">
        <v>-96.426646000000005</v>
      </c>
      <c r="L1631" s="5" t="str">
        <f>HYPERLINK("https://maps.google.com/?q=15.928706,-96.426646000000005", "🔗 Ver Mapa")</f>
        <v>🔗 Ver Mapa</v>
      </c>
    </row>
    <row r="1632" spans="1:12" ht="43.5" x14ac:dyDescent="0.35">
      <c r="A1632" s="6" t="s">
        <v>98</v>
      </c>
      <c r="B1632" s="6" t="s">
        <v>99</v>
      </c>
      <c r="C1632" s="6" t="s">
        <v>440</v>
      </c>
      <c r="D1632" s="6" t="s">
        <v>14</v>
      </c>
      <c r="E1632" s="6" t="s">
        <v>17</v>
      </c>
      <c r="F1632" s="6" t="s">
        <v>20</v>
      </c>
      <c r="G1632" s="6" t="s">
        <v>436</v>
      </c>
      <c r="H1632" s="6" t="s">
        <v>441</v>
      </c>
      <c r="I1632" s="6" t="s">
        <v>31</v>
      </c>
      <c r="J1632" s="6">
        <v>15.928749</v>
      </c>
      <c r="K1632" s="6">
        <v>-96.42671</v>
      </c>
      <c r="L1632" s="6" t="str">
        <f>HYPERLINK("https://maps.google.com/?q=15.928749,-96.42671", "🔗 Ver Mapa")</f>
        <v>🔗 Ver Mapa</v>
      </c>
    </row>
    <row r="1633" spans="1:12" ht="43.5" x14ac:dyDescent="0.35">
      <c r="A1633" s="5" t="s">
        <v>98</v>
      </c>
      <c r="B1633" s="5" t="s">
        <v>99</v>
      </c>
      <c r="C1633" s="5" t="s">
        <v>440</v>
      </c>
      <c r="D1633" s="5" t="s">
        <v>14</v>
      </c>
      <c r="E1633" s="5" t="s">
        <v>17</v>
      </c>
      <c r="F1633" s="5" t="s">
        <v>20</v>
      </c>
      <c r="G1633" s="5" t="s">
        <v>436</v>
      </c>
      <c r="H1633" s="5" t="s">
        <v>441</v>
      </c>
      <c r="I1633" s="5" t="s">
        <v>31</v>
      </c>
      <c r="J1633" s="5">
        <v>15.928965</v>
      </c>
      <c r="K1633" s="5">
        <v>-96.427083999999994</v>
      </c>
      <c r="L1633" s="5" t="str">
        <f>HYPERLINK("https://maps.google.com/?q=15.928965,-96.427083999999994", "🔗 Ver Mapa")</f>
        <v>🔗 Ver Mapa</v>
      </c>
    </row>
    <row r="1634" spans="1:12" ht="43.5" x14ac:dyDescent="0.35">
      <c r="A1634" s="6" t="s">
        <v>98</v>
      </c>
      <c r="B1634" s="6" t="s">
        <v>99</v>
      </c>
      <c r="C1634" s="6" t="s">
        <v>442</v>
      </c>
      <c r="D1634" s="6" t="s">
        <v>14</v>
      </c>
      <c r="E1634" s="6" t="s">
        <v>52</v>
      </c>
      <c r="F1634" s="6" t="s">
        <v>443</v>
      </c>
      <c r="G1634" s="6" t="s">
        <v>444</v>
      </c>
      <c r="H1634" s="6" t="s">
        <v>445</v>
      </c>
      <c r="I1634" s="6" t="s">
        <v>31</v>
      </c>
      <c r="J1634" s="6">
        <v>16.890582766468</v>
      </c>
      <c r="K1634" s="6">
        <v>-96.934924123664999</v>
      </c>
      <c r="L1634" s="6" t="str">
        <f>HYPERLINK("https://maps.google.com/?q=16.8905827664681,-96.934924123665297", "🔗 Ver Mapa")</f>
        <v>🔗 Ver Mapa</v>
      </c>
    </row>
    <row r="1635" spans="1:12" ht="43.5" x14ac:dyDescent="0.35">
      <c r="A1635" s="5" t="s">
        <v>98</v>
      </c>
      <c r="B1635" s="5" t="s">
        <v>99</v>
      </c>
      <c r="C1635" s="5" t="s">
        <v>442</v>
      </c>
      <c r="D1635" s="5" t="s">
        <v>14</v>
      </c>
      <c r="E1635" s="5" t="s">
        <v>52</v>
      </c>
      <c r="F1635" s="5" t="s">
        <v>443</v>
      </c>
      <c r="G1635" s="5" t="s">
        <v>444</v>
      </c>
      <c r="H1635" s="5" t="s">
        <v>445</v>
      </c>
      <c r="I1635" s="5" t="s">
        <v>31</v>
      </c>
      <c r="J1635" s="5">
        <v>16.890760872807</v>
      </c>
      <c r="K1635" s="5">
        <v>-96.934079533382999</v>
      </c>
      <c r="L1635" s="5" t="str">
        <f>HYPERLINK("https://maps.google.com/?q=16.8907608728069,-96.934079533383098", "🔗 Ver Mapa")</f>
        <v>🔗 Ver Mapa</v>
      </c>
    </row>
    <row r="1636" spans="1:12" ht="43.5" x14ac:dyDescent="0.35">
      <c r="A1636" s="6" t="s">
        <v>98</v>
      </c>
      <c r="B1636" s="6" t="s">
        <v>99</v>
      </c>
      <c r="C1636" s="6" t="s">
        <v>442</v>
      </c>
      <c r="D1636" s="6" t="s">
        <v>14</v>
      </c>
      <c r="E1636" s="6" t="s">
        <v>52</v>
      </c>
      <c r="F1636" s="6" t="s">
        <v>443</v>
      </c>
      <c r="G1636" s="6" t="s">
        <v>444</v>
      </c>
      <c r="H1636" s="6" t="s">
        <v>445</v>
      </c>
      <c r="I1636" s="6" t="s">
        <v>31</v>
      </c>
      <c r="J1636" s="6">
        <v>16.891456392948999</v>
      </c>
      <c r="K1636" s="6">
        <v>-96.935385769172996</v>
      </c>
      <c r="L1636" s="6" t="str">
        <f>HYPERLINK("https://maps.google.com/?q=16.891456392949,-96.935385769172996", "🔗 Ver Mapa")</f>
        <v>🔗 Ver Mapa</v>
      </c>
    </row>
    <row r="1637" spans="1:12" ht="43.5" x14ac:dyDescent="0.35">
      <c r="A1637" s="5" t="s">
        <v>98</v>
      </c>
      <c r="B1637" s="5" t="s">
        <v>99</v>
      </c>
      <c r="C1637" s="5" t="s">
        <v>442</v>
      </c>
      <c r="D1637" s="5" t="s">
        <v>14</v>
      </c>
      <c r="E1637" s="5" t="s">
        <v>52</v>
      </c>
      <c r="F1637" s="5" t="s">
        <v>443</v>
      </c>
      <c r="G1637" s="5" t="s">
        <v>444</v>
      </c>
      <c r="H1637" s="5" t="s">
        <v>445</v>
      </c>
      <c r="I1637" s="5" t="s">
        <v>31</v>
      </c>
      <c r="J1637" s="5">
        <v>16.891577999999999</v>
      </c>
      <c r="K1637" s="5">
        <v>-96.934133000000003</v>
      </c>
      <c r="L1637" s="5" t="str">
        <f>HYPERLINK("https://maps.google.com/?q=16.891578,-96.934133000000003", "🔗 Ver Mapa")</f>
        <v>🔗 Ver Mapa</v>
      </c>
    </row>
    <row r="1638" spans="1:12" ht="43.5" x14ac:dyDescent="0.35">
      <c r="A1638" s="6" t="s">
        <v>98</v>
      </c>
      <c r="B1638" s="6" t="s">
        <v>99</v>
      </c>
      <c r="C1638" s="6" t="s">
        <v>442</v>
      </c>
      <c r="D1638" s="6" t="s">
        <v>14</v>
      </c>
      <c r="E1638" s="6" t="s">
        <v>52</v>
      </c>
      <c r="F1638" s="6" t="s">
        <v>443</v>
      </c>
      <c r="G1638" s="6" t="s">
        <v>444</v>
      </c>
      <c r="H1638" s="6" t="s">
        <v>445</v>
      </c>
      <c r="I1638" s="6" t="s">
        <v>31</v>
      </c>
      <c r="J1638" s="6">
        <v>16.891686193464</v>
      </c>
      <c r="K1638" s="6">
        <v>-96.938761918403003</v>
      </c>
      <c r="L1638" s="6" t="str">
        <f>HYPERLINK("https://maps.google.com/?q=16.8916861934643,-96.938761918402705", "🔗 Ver Mapa")</f>
        <v>🔗 Ver Mapa</v>
      </c>
    </row>
    <row r="1639" spans="1:12" ht="43.5" x14ac:dyDescent="0.35">
      <c r="A1639" s="5" t="s">
        <v>98</v>
      </c>
      <c r="B1639" s="5" t="s">
        <v>99</v>
      </c>
      <c r="C1639" s="5" t="s">
        <v>442</v>
      </c>
      <c r="D1639" s="5" t="s">
        <v>14</v>
      </c>
      <c r="E1639" s="5" t="s">
        <v>52</v>
      </c>
      <c r="F1639" s="5" t="s">
        <v>443</v>
      </c>
      <c r="G1639" s="5" t="s">
        <v>444</v>
      </c>
      <c r="H1639" s="5" t="s">
        <v>445</v>
      </c>
      <c r="I1639" s="5" t="s">
        <v>31</v>
      </c>
      <c r="J1639" s="5">
        <v>16.891840933444001</v>
      </c>
      <c r="K1639" s="5">
        <v>-96.934813647238997</v>
      </c>
      <c r="L1639" s="5" t="str">
        <f>HYPERLINK("https://maps.google.com/?q=16.8918409334438,-96.934813647238698", "🔗 Ver Mapa")</f>
        <v>🔗 Ver Mapa</v>
      </c>
    </row>
    <row r="1640" spans="1:12" ht="43.5" x14ac:dyDescent="0.35">
      <c r="A1640" s="6" t="s">
        <v>98</v>
      </c>
      <c r="B1640" s="6" t="s">
        <v>99</v>
      </c>
      <c r="C1640" s="6" t="s">
        <v>442</v>
      </c>
      <c r="D1640" s="6" t="s">
        <v>14</v>
      </c>
      <c r="E1640" s="6" t="s">
        <v>52</v>
      </c>
      <c r="F1640" s="6" t="s">
        <v>443</v>
      </c>
      <c r="G1640" s="6" t="s">
        <v>444</v>
      </c>
      <c r="H1640" s="6" t="s">
        <v>445</v>
      </c>
      <c r="I1640" s="6" t="s">
        <v>31</v>
      </c>
      <c r="J1640" s="6">
        <v>16.892044118303001</v>
      </c>
      <c r="K1640" s="6">
        <v>-96.936286991402</v>
      </c>
      <c r="L1640" s="6" t="str">
        <f>HYPERLINK("https://maps.google.com/?q=16.892044118303,-96.936286991401701", "🔗 Ver Mapa")</f>
        <v>🔗 Ver Mapa</v>
      </c>
    </row>
    <row r="1641" spans="1:12" ht="43.5" x14ac:dyDescent="0.35">
      <c r="A1641" s="5" t="s">
        <v>98</v>
      </c>
      <c r="B1641" s="5" t="s">
        <v>99</v>
      </c>
      <c r="C1641" s="5" t="s">
        <v>442</v>
      </c>
      <c r="D1641" s="5" t="s">
        <v>14</v>
      </c>
      <c r="E1641" s="5" t="s">
        <v>52</v>
      </c>
      <c r="F1641" s="5" t="s">
        <v>443</v>
      </c>
      <c r="G1641" s="5" t="s">
        <v>444</v>
      </c>
      <c r="H1641" s="5" t="s">
        <v>445</v>
      </c>
      <c r="I1641" s="5" t="s">
        <v>31</v>
      </c>
      <c r="J1641" s="5">
        <v>16.89227</v>
      </c>
      <c r="K1641" s="5">
        <v>-96.939723000000001</v>
      </c>
      <c r="L1641" s="5" t="str">
        <f>HYPERLINK("https://maps.google.com/?q=16.89227,-96.939723000000001", "🔗 Ver Mapa")</f>
        <v>🔗 Ver Mapa</v>
      </c>
    </row>
    <row r="1642" spans="1:12" ht="43.5" x14ac:dyDescent="0.35">
      <c r="A1642" s="6" t="s">
        <v>98</v>
      </c>
      <c r="B1642" s="6" t="s">
        <v>99</v>
      </c>
      <c r="C1642" s="6" t="s">
        <v>442</v>
      </c>
      <c r="D1642" s="6" t="s">
        <v>14</v>
      </c>
      <c r="E1642" s="6" t="s">
        <v>52</v>
      </c>
      <c r="F1642" s="6" t="s">
        <v>443</v>
      </c>
      <c r="G1642" s="6" t="s">
        <v>444</v>
      </c>
      <c r="H1642" s="6" t="s">
        <v>445</v>
      </c>
      <c r="I1642" s="6" t="s">
        <v>31</v>
      </c>
      <c r="J1642" s="6">
        <v>16.892271517320001</v>
      </c>
      <c r="K1642" s="6">
        <v>-96.937118170638996</v>
      </c>
      <c r="L1642" s="6" t="str">
        <f>HYPERLINK("https://maps.google.com/?q=16.8922715173205,-96.937118170638797", "🔗 Ver Mapa")</f>
        <v>🔗 Ver Mapa</v>
      </c>
    </row>
    <row r="1643" spans="1:12" ht="43.5" x14ac:dyDescent="0.35">
      <c r="A1643" s="5" t="s">
        <v>98</v>
      </c>
      <c r="B1643" s="5" t="s">
        <v>99</v>
      </c>
      <c r="C1643" s="5" t="s">
        <v>442</v>
      </c>
      <c r="D1643" s="5" t="s">
        <v>14</v>
      </c>
      <c r="E1643" s="5" t="s">
        <v>52</v>
      </c>
      <c r="F1643" s="5" t="s">
        <v>443</v>
      </c>
      <c r="G1643" s="5" t="s">
        <v>444</v>
      </c>
      <c r="H1643" s="5" t="s">
        <v>445</v>
      </c>
      <c r="I1643" s="5" t="s">
        <v>31</v>
      </c>
      <c r="J1643" s="5">
        <v>16.892464003160001</v>
      </c>
      <c r="K1643" s="5">
        <v>-96.936817763229001</v>
      </c>
      <c r="L1643" s="5" t="str">
        <f>HYPERLINK("https://maps.google.com/?q=16.8924640031601,-96.9368177632292", "🔗 Ver Mapa")</f>
        <v>🔗 Ver Mapa</v>
      </c>
    </row>
    <row r="1644" spans="1:12" ht="43.5" x14ac:dyDescent="0.35">
      <c r="A1644" s="6" t="s">
        <v>98</v>
      </c>
      <c r="B1644" s="6" t="s">
        <v>99</v>
      </c>
      <c r="C1644" s="6" t="s">
        <v>442</v>
      </c>
      <c r="D1644" s="6" t="s">
        <v>14</v>
      </c>
      <c r="E1644" s="6" t="s">
        <v>52</v>
      </c>
      <c r="F1644" s="6" t="s">
        <v>443</v>
      </c>
      <c r="G1644" s="6" t="s">
        <v>444</v>
      </c>
      <c r="H1644" s="6" t="s">
        <v>445</v>
      </c>
      <c r="I1644" s="6" t="s">
        <v>31</v>
      </c>
      <c r="J1644" s="6">
        <v>16.892653922329998</v>
      </c>
      <c r="K1644" s="6">
        <v>-96.938915250677994</v>
      </c>
      <c r="L1644" s="6" t="str">
        <f>HYPERLINK("https://maps.google.com/?q=16.8926539223295,-96.938915250678306", "🔗 Ver Mapa")</f>
        <v>🔗 Ver Mapa</v>
      </c>
    </row>
    <row r="1645" spans="1:12" ht="43.5" x14ac:dyDescent="0.35">
      <c r="A1645" s="5" t="s">
        <v>98</v>
      </c>
      <c r="B1645" s="5" t="s">
        <v>99</v>
      </c>
      <c r="C1645" s="5" t="s">
        <v>442</v>
      </c>
      <c r="D1645" s="5" t="s">
        <v>14</v>
      </c>
      <c r="E1645" s="5" t="s">
        <v>52</v>
      </c>
      <c r="F1645" s="5" t="s">
        <v>443</v>
      </c>
      <c r="G1645" s="5" t="s">
        <v>444</v>
      </c>
      <c r="H1645" s="5" t="s">
        <v>445</v>
      </c>
      <c r="I1645" s="5" t="s">
        <v>31</v>
      </c>
      <c r="J1645" s="5">
        <v>16.892759147732999</v>
      </c>
      <c r="K1645" s="5">
        <v>-96.933993397137002</v>
      </c>
      <c r="L1645" s="5" t="str">
        <f>HYPERLINK("https://maps.google.com/?q=16.8927591477329,-96.933993397137399", "🔗 Ver Mapa")</f>
        <v>🔗 Ver Mapa</v>
      </c>
    </row>
    <row r="1646" spans="1:12" ht="43.5" x14ac:dyDescent="0.35">
      <c r="A1646" s="6" t="s">
        <v>98</v>
      </c>
      <c r="B1646" s="6" t="s">
        <v>99</v>
      </c>
      <c r="C1646" s="6" t="s">
        <v>442</v>
      </c>
      <c r="D1646" s="6" t="s">
        <v>14</v>
      </c>
      <c r="E1646" s="6" t="s">
        <v>52</v>
      </c>
      <c r="F1646" s="6" t="s">
        <v>443</v>
      </c>
      <c r="G1646" s="6" t="s">
        <v>444</v>
      </c>
      <c r="H1646" s="6" t="s">
        <v>445</v>
      </c>
      <c r="I1646" s="6" t="s">
        <v>31</v>
      </c>
      <c r="J1646" s="6">
        <v>16.893138985286001</v>
      </c>
      <c r="K1646" s="6">
        <v>-96.936576364418002</v>
      </c>
      <c r="L1646" s="6" t="str">
        <f>HYPERLINK("https://maps.google.com/?q=16.8931389852862,-96.936576364418002", "🔗 Ver Mapa")</f>
        <v>🔗 Ver Mapa</v>
      </c>
    </row>
    <row r="1647" spans="1:12" ht="43.5" x14ac:dyDescent="0.35">
      <c r="A1647" s="5" t="s">
        <v>98</v>
      </c>
      <c r="B1647" s="5" t="s">
        <v>99</v>
      </c>
      <c r="C1647" s="5" t="s">
        <v>442</v>
      </c>
      <c r="D1647" s="5" t="s">
        <v>14</v>
      </c>
      <c r="E1647" s="5" t="s">
        <v>52</v>
      </c>
      <c r="F1647" s="5" t="s">
        <v>443</v>
      </c>
      <c r="G1647" s="5" t="s">
        <v>444</v>
      </c>
      <c r="H1647" s="5" t="s">
        <v>445</v>
      </c>
      <c r="I1647" s="5" t="s">
        <v>31</v>
      </c>
      <c r="J1647" s="5">
        <v>16.89315438409</v>
      </c>
      <c r="K1647" s="5">
        <v>-96.936047969241997</v>
      </c>
      <c r="L1647" s="5" t="str">
        <f>HYPERLINK("https://maps.google.com/?q=16.8931543840898,-96.936047969242196", "🔗 Ver Mapa")</f>
        <v>🔗 Ver Mapa</v>
      </c>
    </row>
    <row r="1648" spans="1:12" ht="43.5" x14ac:dyDescent="0.35">
      <c r="A1648" s="6" t="s">
        <v>98</v>
      </c>
      <c r="B1648" s="6" t="s">
        <v>99</v>
      </c>
      <c r="C1648" s="6" t="s">
        <v>442</v>
      </c>
      <c r="D1648" s="6" t="s">
        <v>14</v>
      </c>
      <c r="E1648" s="6" t="s">
        <v>52</v>
      </c>
      <c r="F1648" s="6" t="s">
        <v>443</v>
      </c>
      <c r="G1648" s="6" t="s">
        <v>444</v>
      </c>
      <c r="H1648" s="6" t="s">
        <v>445</v>
      </c>
      <c r="I1648" s="6" t="s">
        <v>31</v>
      </c>
      <c r="J1648" s="6">
        <v>16.893344302564</v>
      </c>
      <c r="K1648" s="6">
        <v>-96.938397584339</v>
      </c>
      <c r="L1648" s="6" t="str">
        <f>HYPERLINK("https://maps.google.com/?q=16.8933443025642,-96.938397584338503", "🔗 Ver Mapa")</f>
        <v>🔗 Ver Mapa</v>
      </c>
    </row>
    <row r="1649" spans="1:12" ht="43.5" x14ac:dyDescent="0.35">
      <c r="A1649" s="5" t="s">
        <v>98</v>
      </c>
      <c r="B1649" s="5" t="s">
        <v>99</v>
      </c>
      <c r="C1649" s="5" t="s">
        <v>442</v>
      </c>
      <c r="D1649" s="5" t="s">
        <v>14</v>
      </c>
      <c r="E1649" s="5" t="s">
        <v>52</v>
      </c>
      <c r="F1649" s="5" t="s">
        <v>443</v>
      </c>
      <c r="G1649" s="5" t="s">
        <v>444</v>
      </c>
      <c r="H1649" s="5" t="s">
        <v>445</v>
      </c>
      <c r="I1649" s="5" t="s">
        <v>31</v>
      </c>
      <c r="J1649" s="5">
        <v>16.893377666601001</v>
      </c>
      <c r="K1649" s="5">
        <v>-96.935259399792002</v>
      </c>
      <c r="L1649" s="5" t="str">
        <f>HYPERLINK("https://maps.google.com/?q=16.8933776666008,-96.935259399792102", "🔗 Ver Mapa")</f>
        <v>🔗 Ver Mapa</v>
      </c>
    </row>
    <row r="1650" spans="1:12" ht="43.5" x14ac:dyDescent="0.35">
      <c r="A1650" s="6" t="s">
        <v>98</v>
      </c>
      <c r="B1650" s="6" t="s">
        <v>99</v>
      </c>
      <c r="C1650" s="6" t="s">
        <v>442</v>
      </c>
      <c r="D1650" s="6" t="s">
        <v>14</v>
      </c>
      <c r="E1650" s="6" t="s">
        <v>52</v>
      </c>
      <c r="F1650" s="6" t="s">
        <v>443</v>
      </c>
      <c r="G1650" s="6" t="s">
        <v>444</v>
      </c>
      <c r="H1650" s="6" t="s">
        <v>445</v>
      </c>
      <c r="I1650" s="6" t="s">
        <v>31</v>
      </c>
      <c r="J1650" s="6">
        <v>16.893452094046001</v>
      </c>
      <c r="K1650" s="6">
        <v>-96.937676070113994</v>
      </c>
      <c r="L1650" s="6" t="str">
        <f>HYPERLINK("https://maps.google.com/?q=16.8934520940457,-96.937676070113795", "🔗 Ver Mapa")</f>
        <v>🔗 Ver Mapa</v>
      </c>
    </row>
    <row r="1651" spans="1:12" ht="43.5" x14ac:dyDescent="0.35">
      <c r="A1651" s="5" t="s">
        <v>98</v>
      </c>
      <c r="B1651" s="5" t="s">
        <v>99</v>
      </c>
      <c r="C1651" s="5" t="s">
        <v>442</v>
      </c>
      <c r="D1651" s="5" t="s">
        <v>14</v>
      </c>
      <c r="E1651" s="5" t="s">
        <v>52</v>
      </c>
      <c r="F1651" s="5" t="s">
        <v>443</v>
      </c>
      <c r="G1651" s="5" t="s">
        <v>444</v>
      </c>
      <c r="H1651" s="5" t="s">
        <v>445</v>
      </c>
      <c r="I1651" s="5" t="s">
        <v>31</v>
      </c>
      <c r="J1651" s="5">
        <v>16.893454660509001</v>
      </c>
      <c r="K1651" s="5">
        <v>-96.939282713313006</v>
      </c>
      <c r="L1651" s="5" t="str">
        <f>HYPERLINK("https://maps.google.com/?q=16.8934546605088,-96.939282713313204", "🔗 Ver Mapa")</f>
        <v>🔗 Ver Mapa</v>
      </c>
    </row>
    <row r="1652" spans="1:12" ht="43.5" x14ac:dyDescent="0.35">
      <c r="A1652" s="6" t="s">
        <v>98</v>
      </c>
      <c r="B1652" s="6" t="s">
        <v>99</v>
      </c>
      <c r="C1652" s="6" t="s">
        <v>442</v>
      </c>
      <c r="D1652" s="6" t="s">
        <v>14</v>
      </c>
      <c r="E1652" s="6" t="s">
        <v>52</v>
      </c>
      <c r="F1652" s="6" t="s">
        <v>443</v>
      </c>
      <c r="G1652" s="6" t="s">
        <v>444</v>
      </c>
      <c r="H1652" s="6" t="s">
        <v>445</v>
      </c>
      <c r="I1652" s="6" t="s">
        <v>31</v>
      </c>
      <c r="J1652" s="6">
        <v>16.893455678268001</v>
      </c>
      <c r="K1652" s="6">
        <v>-96.940334444803995</v>
      </c>
      <c r="L1652" s="6" t="str">
        <f>HYPERLINK("https://maps.google.com/?q=16.8934556782683,-96.940334444803895", "🔗 Ver Mapa")</f>
        <v>🔗 Ver Mapa</v>
      </c>
    </row>
    <row r="1653" spans="1:12" ht="43.5" x14ac:dyDescent="0.35">
      <c r="A1653" s="5" t="s">
        <v>98</v>
      </c>
      <c r="B1653" s="5" t="s">
        <v>99</v>
      </c>
      <c r="C1653" s="5" t="s">
        <v>442</v>
      </c>
      <c r="D1653" s="5" t="s">
        <v>14</v>
      </c>
      <c r="E1653" s="5" t="s">
        <v>52</v>
      </c>
      <c r="F1653" s="5" t="s">
        <v>443</v>
      </c>
      <c r="G1653" s="5" t="s">
        <v>444</v>
      </c>
      <c r="H1653" s="5" t="s">
        <v>445</v>
      </c>
      <c r="I1653" s="5" t="s">
        <v>31</v>
      </c>
      <c r="J1653" s="5">
        <v>16.89356758485</v>
      </c>
      <c r="K1653" s="5">
        <v>-96.940181253332995</v>
      </c>
      <c r="L1653" s="5" t="str">
        <f>HYPERLINK("https://maps.google.com/?q=16.8935675848504,-96.940181253332895", "🔗 Ver Mapa")</f>
        <v>🔗 Ver Mapa</v>
      </c>
    </row>
    <row r="1654" spans="1:12" ht="43.5" x14ac:dyDescent="0.35">
      <c r="A1654" s="6" t="s">
        <v>98</v>
      </c>
      <c r="B1654" s="6" t="s">
        <v>99</v>
      </c>
      <c r="C1654" s="6" t="s">
        <v>442</v>
      </c>
      <c r="D1654" s="6" t="s">
        <v>14</v>
      </c>
      <c r="E1654" s="6" t="s">
        <v>52</v>
      </c>
      <c r="F1654" s="6" t="s">
        <v>443</v>
      </c>
      <c r="G1654" s="6" t="s">
        <v>444</v>
      </c>
      <c r="H1654" s="6" t="s">
        <v>445</v>
      </c>
      <c r="I1654" s="6" t="s">
        <v>31</v>
      </c>
      <c r="J1654" s="6">
        <v>16.893572717773001</v>
      </c>
      <c r="K1654" s="6">
        <v>-96.934398410699004</v>
      </c>
      <c r="L1654" s="6" t="str">
        <f>HYPERLINK("https://maps.google.com/?q=16.8935727177734,-96.934398410698606", "🔗 Ver Mapa")</f>
        <v>🔗 Ver Mapa</v>
      </c>
    </row>
    <row r="1655" spans="1:12" ht="43.5" x14ac:dyDescent="0.35">
      <c r="A1655" s="5" t="s">
        <v>98</v>
      </c>
      <c r="B1655" s="5" t="s">
        <v>99</v>
      </c>
      <c r="C1655" s="5" t="s">
        <v>442</v>
      </c>
      <c r="D1655" s="5" t="s">
        <v>14</v>
      </c>
      <c r="E1655" s="5" t="s">
        <v>52</v>
      </c>
      <c r="F1655" s="5" t="s">
        <v>443</v>
      </c>
      <c r="G1655" s="5" t="s">
        <v>444</v>
      </c>
      <c r="H1655" s="5" t="s">
        <v>445</v>
      </c>
      <c r="I1655" s="5" t="s">
        <v>31</v>
      </c>
      <c r="J1655" s="5">
        <v>16.893577850696001</v>
      </c>
      <c r="K1655" s="5">
        <v>-96.937021611114005</v>
      </c>
      <c r="L1655" s="5" t="str">
        <f>HYPERLINK("https://maps.google.com/?q=16.8935778506963,-96.937021611114304", "🔗 Ver Mapa")</f>
        <v>🔗 Ver Mapa</v>
      </c>
    </row>
    <row r="1656" spans="1:12" ht="43.5" x14ac:dyDescent="0.35">
      <c r="A1656" s="6" t="s">
        <v>98</v>
      </c>
      <c r="B1656" s="6" t="s">
        <v>99</v>
      </c>
      <c r="C1656" s="6" t="s">
        <v>442</v>
      </c>
      <c r="D1656" s="6" t="s">
        <v>14</v>
      </c>
      <c r="E1656" s="6" t="s">
        <v>52</v>
      </c>
      <c r="F1656" s="6" t="s">
        <v>443</v>
      </c>
      <c r="G1656" s="6" t="s">
        <v>444</v>
      </c>
      <c r="H1656" s="6" t="s">
        <v>445</v>
      </c>
      <c r="I1656" s="6" t="s">
        <v>31</v>
      </c>
      <c r="J1656" s="6">
        <v>16.893591700761998</v>
      </c>
      <c r="K1656" s="6">
        <v>-96.936506932540993</v>
      </c>
      <c r="L1656" s="6" t="str">
        <f>HYPERLINK("https://maps.google.com/?q=16.8935917007616,-96.936506932540794", "🔗 Ver Mapa")</f>
        <v>🔗 Ver Mapa</v>
      </c>
    </row>
    <row r="1657" spans="1:12" ht="43.5" x14ac:dyDescent="0.35">
      <c r="A1657" s="5" t="s">
        <v>98</v>
      </c>
      <c r="B1657" s="5" t="s">
        <v>99</v>
      </c>
      <c r="C1657" s="5" t="s">
        <v>442</v>
      </c>
      <c r="D1657" s="5" t="s">
        <v>14</v>
      </c>
      <c r="E1657" s="5" t="s">
        <v>52</v>
      </c>
      <c r="F1657" s="5" t="s">
        <v>443</v>
      </c>
      <c r="G1657" s="5" t="s">
        <v>444</v>
      </c>
      <c r="H1657" s="5" t="s">
        <v>445</v>
      </c>
      <c r="I1657" s="5" t="s">
        <v>31</v>
      </c>
      <c r="J1657" s="5">
        <v>16.893919189754001</v>
      </c>
      <c r="K1657" s="5">
        <v>-96.939105687517994</v>
      </c>
      <c r="L1657" s="5" t="str">
        <f>HYPERLINK("https://maps.google.com/?q=16.8939191897539,-96.939105687518307", "🔗 Ver Mapa")</f>
        <v>🔗 Ver Mapa</v>
      </c>
    </row>
    <row r="1658" spans="1:12" ht="43.5" x14ac:dyDescent="0.35">
      <c r="A1658" s="6" t="s">
        <v>98</v>
      </c>
      <c r="B1658" s="6" t="s">
        <v>99</v>
      </c>
      <c r="C1658" s="6" t="s">
        <v>442</v>
      </c>
      <c r="D1658" s="6" t="s">
        <v>14</v>
      </c>
      <c r="E1658" s="6" t="s">
        <v>52</v>
      </c>
      <c r="F1658" s="6" t="s">
        <v>443</v>
      </c>
      <c r="G1658" s="6" t="s">
        <v>444</v>
      </c>
      <c r="H1658" s="6" t="s">
        <v>445</v>
      </c>
      <c r="I1658" s="6" t="s">
        <v>31</v>
      </c>
      <c r="J1658" s="6">
        <v>16.89407130248</v>
      </c>
      <c r="K1658" s="6">
        <v>-96.936014755208006</v>
      </c>
      <c r="L1658" s="6" t="str">
        <f>HYPERLINK("https://maps.google.com/?q=16.8940713024798,-96.936014755208006", "🔗 Ver Mapa")</f>
        <v>🔗 Ver Mapa</v>
      </c>
    </row>
    <row r="1659" spans="1:12" ht="43.5" x14ac:dyDescent="0.35">
      <c r="A1659" s="5" t="s">
        <v>98</v>
      </c>
      <c r="B1659" s="5" t="s">
        <v>99</v>
      </c>
      <c r="C1659" s="5" t="s">
        <v>442</v>
      </c>
      <c r="D1659" s="5" t="s">
        <v>14</v>
      </c>
      <c r="E1659" s="5" t="s">
        <v>52</v>
      </c>
      <c r="F1659" s="5" t="s">
        <v>443</v>
      </c>
      <c r="G1659" s="5" t="s">
        <v>444</v>
      </c>
      <c r="H1659" s="5" t="s">
        <v>445</v>
      </c>
      <c r="I1659" s="5" t="s">
        <v>31</v>
      </c>
      <c r="J1659" s="5">
        <v>16.894119373275</v>
      </c>
      <c r="K1659" s="5">
        <v>-96.938856242080007</v>
      </c>
      <c r="L1659" s="5" t="str">
        <f>HYPERLINK("https://maps.google.com/?q=16.8941193732748,-96.938856242080007", "🔗 Ver Mapa")</f>
        <v>🔗 Ver Mapa</v>
      </c>
    </row>
    <row r="1660" spans="1:12" ht="43.5" x14ac:dyDescent="0.35">
      <c r="A1660" s="6" t="s">
        <v>98</v>
      </c>
      <c r="B1660" s="6" t="s">
        <v>99</v>
      </c>
      <c r="C1660" s="6" t="s">
        <v>442</v>
      </c>
      <c r="D1660" s="6" t="s">
        <v>14</v>
      </c>
      <c r="E1660" s="6" t="s">
        <v>52</v>
      </c>
      <c r="F1660" s="6" t="s">
        <v>443</v>
      </c>
      <c r="G1660" s="6" t="s">
        <v>444</v>
      </c>
      <c r="H1660" s="6" t="s">
        <v>445</v>
      </c>
      <c r="I1660" s="6" t="s">
        <v>31</v>
      </c>
      <c r="J1660" s="6">
        <v>16.894392434960999</v>
      </c>
      <c r="K1660" s="6">
        <v>-96.937365239425006</v>
      </c>
      <c r="L1660" s="6" t="str">
        <f>HYPERLINK("https://maps.google.com/?q=16.8943924349607,-96.937365239425304", "🔗 Ver Mapa")</f>
        <v>🔗 Ver Mapa</v>
      </c>
    </row>
    <row r="1661" spans="1:12" ht="43.5" x14ac:dyDescent="0.35">
      <c r="A1661" s="5" t="s">
        <v>98</v>
      </c>
      <c r="B1661" s="5" t="s">
        <v>99</v>
      </c>
      <c r="C1661" s="5" t="s">
        <v>442</v>
      </c>
      <c r="D1661" s="5" t="s">
        <v>14</v>
      </c>
      <c r="E1661" s="5" t="s">
        <v>52</v>
      </c>
      <c r="F1661" s="5" t="s">
        <v>443</v>
      </c>
      <c r="G1661" s="5" t="s">
        <v>444</v>
      </c>
      <c r="H1661" s="5" t="s">
        <v>445</v>
      </c>
      <c r="I1661" s="5" t="s">
        <v>31</v>
      </c>
      <c r="J1661" s="5">
        <v>16.894456999999999</v>
      </c>
      <c r="K1661" s="5">
        <v>-96.939513000000005</v>
      </c>
      <c r="L1661" s="5" t="str">
        <f>HYPERLINK("https://maps.google.com/?q=16.894457,-96.939513000000005", "🔗 Ver Mapa")</f>
        <v>🔗 Ver Mapa</v>
      </c>
    </row>
    <row r="1662" spans="1:12" ht="43.5" x14ac:dyDescent="0.35">
      <c r="A1662" s="6" t="s">
        <v>98</v>
      </c>
      <c r="B1662" s="6" t="s">
        <v>99</v>
      </c>
      <c r="C1662" s="6" t="s">
        <v>442</v>
      </c>
      <c r="D1662" s="6" t="s">
        <v>14</v>
      </c>
      <c r="E1662" s="6" t="s">
        <v>52</v>
      </c>
      <c r="F1662" s="6" t="s">
        <v>443</v>
      </c>
      <c r="G1662" s="6" t="s">
        <v>444</v>
      </c>
      <c r="H1662" s="6" t="s">
        <v>445</v>
      </c>
      <c r="I1662" s="6" t="s">
        <v>31</v>
      </c>
      <c r="J1662" s="6">
        <v>16.894552558234</v>
      </c>
      <c r="K1662" s="6">
        <v>-96.935839588955005</v>
      </c>
      <c r="L1662" s="6" t="str">
        <f>HYPERLINK("https://maps.google.com/?q=16.8945525582342,-96.935839588954906", "🔗 Ver Mapa")</f>
        <v>🔗 Ver Mapa</v>
      </c>
    </row>
    <row r="1663" spans="1:12" ht="43.5" x14ac:dyDescent="0.35">
      <c r="A1663" s="5" t="s">
        <v>98</v>
      </c>
      <c r="B1663" s="5" t="s">
        <v>99</v>
      </c>
      <c r="C1663" s="5" t="s">
        <v>442</v>
      </c>
      <c r="D1663" s="5" t="s">
        <v>14</v>
      </c>
      <c r="E1663" s="5" t="s">
        <v>52</v>
      </c>
      <c r="F1663" s="5" t="s">
        <v>443</v>
      </c>
      <c r="G1663" s="5" t="s">
        <v>444</v>
      </c>
      <c r="H1663" s="5" t="s">
        <v>445</v>
      </c>
      <c r="I1663" s="5" t="s">
        <v>31</v>
      </c>
      <c r="J1663" s="5">
        <v>16.895011233514001</v>
      </c>
      <c r="K1663" s="5">
        <v>-96.938112693866003</v>
      </c>
      <c r="L1663" s="5" t="str">
        <f>HYPERLINK("https://maps.google.com/?q=16.8950112335135,-96.938112693865804", "🔗 Ver Mapa")</f>
        <v>🔗 Ver Mapa</v>
      </c>
    </row>
    <row r="1664" spans="1:12" ht="58" x14ac:dyDescent="0.35">
      <c r="A1664" s="6" t="s">
        <v>98</v>
      </c>
      <c r="B1664" s="6" t="s">
        <v>99</v>
      </c>
      <c r="C1664" s="6" t="s">
        <v>446</v>
      </c>
      <c r="D1664" s="6" t="s">
        <v>14</v>
      </c>
      <c r="E1664" s="6" t="s">
        <v>52</v>
      </c>
      <c r="F1664" s="6" t="s">
        <v>421</v>
      </c>
      <c r="G1664" s="6" t="s">
        <v>422</v>
      </c>
      <c r="H1664" s="6" t="s">
        <v>447</v>
      </c>
      <c r="I1664" s="6" t="s">
        <v>31</v>
      </c>
      <c r="J1664" s="6">
        <v>16.644172999999999</v>
      </c>
      <c r="K1664" s="6">
        <v>-96.772869999999998</v>
      </c>
      <c r="L1664" s="6" t="str">
        <f>HYPERLINK("https://maps.google.com/?q=16.644173,-96.772869999999998", "🔗 Ver Mapa")</f>
        <v>🔗 Ver Mapa</v>
      </c>
    </row>
    <row r="1665" spans="1:12" ht="58" x14ac:dyDescent="0.35">
      <c r="A1665" s="5" t="s">
        <v>98</v>
      </c>
      <c r="B1665" s="5" t="s">
        <v>99</v>
      </c>
      <c r="C1665" s="5" t="s">
        <v>446</v>
      </c>
      <c r="D1665" s="5" t="s">
        <v>14</v>
      </c>
      <c r="E1665" s="5" t="s">
        <v>52</v>
      </c>
      <c r="F1665" s="5" t="s">
        <v>421</v>
      </c>
      <c r="G1665" s="5" t="s">
        <v>422</v>
      </c>
      <c r="H1665" s="5" t="s">
        <v>447</v>
      </c>
      <c r="I1665" s="5" t="s">
        <v>31</v>
      </c>
      <c r="J1665" s="5">
        <v>16.648038</v>
      </c>
      <c r="K1665" s="5">
        <v>-96.776764999999997</v>
      </c>
      <c r="L1665" s="5" t="str">
        <f>HYPERLINK("https://maps.google.com/?q=16.648038,-96.776764999999997", "🔗 Ver Mapa")</f>
        <v>🔗 Ver Mapa</v>
      </c>
    </row>
    <row r="1666" spans="1:12" ht="58" x14ac:dyDescent="0.35">
      <c r="A1666" s="6" t="s">
        <v>98</v>
      </c>
      <c r="B1666" s="6" t="s">
        <v>99</v>
      </c>
      <c r="C1666" s="6" t="s">
        <v>446</v>
      </c>
      <c r="D1666" s="6" t="s">
        <v>14</v>
      </c>
      <c r="E1666" s="6" t="s">
        <v>52</v>
      </c>
      <c r="F1666" s="6" t="s">
        <v>421</v>
      </c>
      <c r="G1666" s="6" t="s">
        <v>422</v>
      </c>
      <c r="H1666" s="6" t="s">
        <v>447</v>
      </c>
      <c r="I1666" s="6" t="s">
        <v>31</v>
      </c>
      <c r="J1666" s="6">
        <v>16.650196000000001</v>
      </c>
      <c r="K1666" s="6">
        <v>-96.775102000000004</v>
      </c>
      <c r="L1666" s="6" t="str">
        <f>HYPERLINK("https://maps.google.com/?q=16.650196,-96.775102000000004", "🔗 Ver Mapa")</f>
        <v>🔗 Ver Mapa</v>
      </c>
    </row>
    <row r="1667" spans="1:12" ht="58" x14ac:dyDescent="0.35">
      <c r="A1667" s="5" t="s">
        <v>98</v>
      </c>
      <c r="B1667" s="5" t="s">
        <v>99</v>
      </c>
      <c r="C1667" s="5" t="s">
        <v>446</v>
      </c>
      <c r="D1667" s="5" t="s">
        <v>14</v>
      </c>
      <c r="E1667" s="5" t="s">
        <v>52</v>
      </c>
      <c r="F1667" s="5" t="s">
        <v>421</v>
      </c>
      <c r="G1667" s="5" t="s">
        <v>422</v>
      </c>
      <c r="H1667" s="5" t="s">
        <v>447</v>
      </c>
      <c r="I1667" s="5" t="s">
        <v>31</v>
      </c>
      <c r="J1667" s="5">
        <v>16.650313000000001</v>
      </c>
      <c r="K1667" s="5" t="s">
        <v>448</v>
      </c>
      <c r="L1667" s="5" t="str">
        <f>HYPERLINK("https://maps.google.com/?q=16.650313, -96.772346", "🔗 Ver Mapa")</f>
        <v>🔗 Ver Mapa</v>
      </c>
    </row>
    <row r="1668" spans="1:12" ht="58" x14ac:dyDescent="0.35">
      <c r="A1668" s="6" t="s">
        <v>98</v>
      </c>
      <c r="B1668" s="6" t="s">
        <v>99</v>
      </c>
      <c r="C1668" s="6" t="s">
        <v>446</v>
      </c>
      <c r="D1668" s="6" t="s">
        <v>14</v>
      </c>
      <c r="E1668" s="6" t="s">
        <v>52</v>
      </c>
      <c r="F1668" s="6" t="s">
        <v>421</v>
      </c>
      <c r="G1668" s="6" t="s">
        <v>422</v>
      </c>
      <c r="H1668" s="6" t="s">
        <v>447</v>
      </c>
      <c r="I1668" s="6" t="s">
        <v>31</v>
      </c>
      <c r="J1668" s="6">
        <v>16.652460000000001</v>
      </c>
      <c r="K1668" s="6">
        <v>-96.775622999999996</v>
      </c>
      <c r="L1668" s="6" t="str">
        <f>HYPERLINK("https://maps.google.com/?q=16.65246,-96.775622999999996", "🔗 Ver Mapa")</f>
        <v>🔗 Ver Mapa</v>
      </c>
    </row>
    <row r="1669" spans="1:12" ht="43.5" x14ac:dyDescent="0.35">
      <c r="A1669" s="5" t="s">
        <v>98</v>
      </c>
      <c r="B1669" s="5" t="s">
        <v>99</v>
      </c>
      <c r="C1669" s="5" t="s">
        <v>449</v>
      </c>
      <c r="D1669" s="5" t="s">
        <v>14</v>
      </c>
      <c r="E1669" s="5" t="s">
        <v>110</v>
      </c>
      <c r="F1669" s="5" t="s">
        <v>111</v>
      </c>
      <c r="G1669" s="5" t="s">
        <v>450</v>
      </c>
      <c r="H1669" s="5" t="s">
        <v>451</v>
      </c>
      <c r="I1669" s="5" t="s">
        <v>31</v>
      </c>
      <c r="J1669" s="5">
        <v>18.046580238183001</v>
      </c>
      <c r="K1669" s="5">
        <v>-96.894088987711996</v>
      </c>
      <c r="L1669" s="5" t="str">
        <f>HYPERLINK("https://maps.google.com/?q=18.0465802381835,-96.894088987711896", "🔗 Ver Mapa")</f>
        <v>🔗 Ver Mapa</v>
      </c>
    </row>
    <row r="1670" spans="1:12" ht="43.5" x14ac:dyDescent="0.35">
      <c r="A1670" s="6" t="s">
        <v>98</v>
      </c>
      <c r="B1670" s="6" t="s">
        <v>99</v>
      </c>
      <c r="C1670" s="6" t="s">
        <v>449</v>
      </c>
      <c r="D1670" s="6" t="s">
        <v>14</v>
      </c>
      <c r="E1670" s="6" t="s">
        <v>110</v>
      </c>
      <c r="F1670" s="6" t="s">
        <v>111</v>
      </c>
      <c r="G1670" s="6" t="s">
        <v>450</v>
      </c>
      <c r="H1670" s="6" t="s">
        <v>451</v>
      </c>
      <c r="I1670" s="6" t="s">
        <v>31</v>
      </c>
      <c r="J1670" s="6">
        <v>18.046812206489001</v>
      </c>
      <c r="K1670" s="6">
        <v>-96.893767720767997</v>
      </c>
      <c r="L1670" s="6" t="str">
        <f>HYPERLINK("https://maps.google.com/?q=18.0468122064888,-96.893767720767599", "🔗 Ver Mapa")</f>
        <v>🔗 Ver Mapa</v>
      </c>
    </row>
    <row r="1671" spans="1:12" ht="43.5" x14ac:dyDescent="0.35">
      <c r="A1671" s="5" t="s">
        <v>98</v>
      </c>
      <c r="B1671" s="5" t="s">
        <v>99</v>
      </c>
      <c r="C1671" s="5" t="s">
        <v>449</v>
      </c>
      <c r="D1671" s="5" t="s">
        <v>14</v>
      </c>
      <c r="E1671" s="5" t="s">
        <v>110</v>
      </c>
      <c r="F1671" s="5" t="s">
        <v>111</v>
      </c>
      <c r="G1671" s="5" t="s">
        <v>450</v>
      </c>
      <c r="H1671" s="5" t="s">
        <v>451</v>
      </c>
      <c r="I1671" s="5" t="s">
        <v>31</v>
      </c>
      <c r="J1671" s="5">
        <v>18.047176079499</v>
      </c>
      <c r="K1671" s="5">
        <v>-96.895697449213003</v>
      </c>
      <c r="L1671" s="5" t="str">
        <f>HYPERLINK("https://maps.google.com/?q=18.047176079499,-96.895697449213401", "🔗 Ver Mapa")</f>
        <v>🔗 Ver Mapa</v>
      </c>
    </row>
    <row r="1672" spans="1:12" ht="43.5" x14ac:dyDescent="0.35">
      <c r="A1672" s="6" t="s">
        <v>98</v>
      </c>
      <c r="B1672" s="6" t="s">
        <v>99</v>
      </c>
      <c r="C1672" s="6" t="s">
        <v>449</v>
      </c>
      <c r="D1672" s="6" t="s">
        <v>14</v>
      </c>
      <c r="E1672" s="6" t="s">
        <v>110</v>
      </c>
      <c r="F1672" s="6" t="s">
        <v>111</v>
      </c>
      <c r="G1672" s="6" t="s">
        <v>450</v>
      </c>
      <c r="H1672" s="6" t="s">
        <v>451</v>
      </c>
      <c r="I1672" s="6" t="s">
        <v>31</v>
      </c>
      <c r="J1672" s="6">
        <v>18.047298193433999</v>
      </c>
      <c r="K1672" s="6">
        <v>-96.894811940988006</v>
      </c>
      <c r="L1672" s="6" t="str">
        <f>HYPERLINK("https://maps.google.com/?q=18.0472981934343,-96.894811940987594", "🔗 Ver Mapa")</f>
        <v>🔗 Ver Mapa</v>
      </c>
    </row>
    <row r="1673" spans="1:12" ht="43.5" x14ac:dyDescent="0.35">
      <c r="A1673" s="5" t="s">
        <v>98</v>
      </c>
      <c r="B1673" s="5" t="s">
        <v>99</v>
      </c>
      <c r="C1673" s="5" t="s">
        <v>449</v>
      </c>
      <c r="D1673" s="5" t="s">
        <v>14</v>
      </c>
      <c r="E1673" s="5" t="s">
        <v>110</v>
      </c>
      <c r="F1673" s="5" t="s">
        <v>111</v>
      </c>
      <c r="G1673" s="5" t="s">
        <v>450</v>
      </c>
      <c r="H1673" s="5" t="s">
        <v>451</v>
      </c>
      <c r="I1673" s="5" t="s">
        <v>31</v>
      </c>
      <c r="J1673" s="5">
        <v>18.047552370748001</v>
      </c>
      <c r="K1673" s="5">
        <v>-96.895612628945003</v>
      </c>
      <c r="L1673" s="5" t="str">
        <f>HYPERLINK("https://maps.google.com/?q=18.0475523707484,-96.895612628945003", "🔗 Ver Mapa")</f>
        <v>🔗 Ver Mapa</v>
      </c>
    </row>
    <row r="1674" spans="1:12" ht="43.5" x14ac:dyDescent="0.35">
      <c r="A1674" s="6" t="s">
        <v>98</v>
      </c>
      <c r="B1674" s="6" t="s">
        <v>99</v>
      </c>
      <c r="C1674" s="6" t="s">
        <v>452</v>
      </c>
      <c r="D1674" s="6" t="s">
        <v>14</v>
      </c>
      <c r="E1674" s="6" t="s">
        <v>110</v>
      </c>
      <c r="F1674" s="6" t="s">
        <v>111</v>
      </c>
      <c r="G1674" s="6" t="s">
        <v>450</v>
      </c>
      <c r="H1674" s="6" t="s">
        <v>453</v>
      </c>
      <c r="I1674" s="6" t="s">
        <v>31</v>
      </c>
      <c r="J1674" s="6">
        <v>18.003786299658</v>
      </c>
      <c r="K1674" s="6">
        <v>-96.893774448944995</v>
      </c>
      <c r="L1674" s="6" t="str">
        <f>HYPERLINK("https://maps.google.com/?q=18.0037862996582,-96.893774448945393", "🔗 Ver Mapa")</f>
        <v>🔗 Ver Mapa</v>
      </c>
    </row>
    <row r="1675" spans="1:12" ht="43.5" x14ac:dyDescent="0.35">
      <c r="A1675" s="5" t="s">
        <v>98</v>
      </c>
      <c r="B1675" s="5" t="s">
        <v>99</v>
      </c>
      <c r="C1675" s="5" t="s">
        <v>452</v>
      </c>
      <c r="D1675" s="5" t="s">
        <v>14</v>
      </c>
      <c r="E1675" s="5" t="s">
        <v>110</v>
      </c>
      <c r="F1675" s="5" t="s">
        <v>111</v>
      </c>
      <c r="G1675" s="5" t="s">
        <v>450</v>
      </c>
      <c r="H1675" s="5" t="s">
        <v>453</v>
      </c>
      <c r="I1675" s="5" t="s">
        <v>31</v>
      </c>
      <c r="J1675" s="5">
        <v>18.004220928780001</v>
      </c>
      <c r="K1675" s="5">
        <v>-96.895229021267994</v>
      </c>
      <c r="L1675" s="5" t="str">
        <f>HYPERLINK("https://maps.google.com/?q=18.0042209287796,-96.895229021268193", "🔗 Ver Mapa")</f>
        <v>🔗 Ver Mapa</v>
      </c>
    </row>
    <row r="1676" spans="1:12" ht="43.5" x14ac:dyDescent="0.35">
      <c r="A1676" s="6" t="s">
        <v>98</v>
      </c>
      <c r="B1676" s="6" t="s">
        <v>99</v>
      </c>
      <c r="C1676" s="6" t="s">
        <v>452</v>
      </c>
      <c r="D1676" s="6" t="s">
        <v>14</v>
      </c>
      <c r="E1676" s="6" t="s">
        <v>110</v>
      </c>
      <c r="F1676" s="6" t="s">
        <v>111</v>
      </c>
      <c r="G1676" s="6" t="s">
        <v>450</v>
      </c>
      <c r="H1676" s="6" t="s">
        <v>453</v>
      </c>
      <c r="I1676" s="6" t="s">
        <v>31</v>
      </c>
      <c r="J1676" s="6">
        <v>18.004534685669999</v>
      </c>
      <c r="K1676" s="6">
        <v>-96.895282665449002</v>
      </c>
      <c r="L1676" s="6" t="str">
        <f>HYPERLINK("https://maps.google.com/?q=18.0045346856695,-96.895282665448505", "🔗 Ver Mapa")</f>
        <v>🔗 Ver Mapa</v>
      </c>
    </row>
    <row r="1677" spans="1:12" ht="43.5" x14ac:dyDescent="0.35">
      <c r="A1677" s="5" t="s">
        <v>98</v>
      </c>
      <c r="B1677" s="5" t="s">
        <v>99</v>
      </c>
      <c r="C1677" s="5" t="s">
        <v>452</v>
      </c>
      <c r="D1677" s="5" t="s">
        <v>14</v>
      </c>
      <c r="E1677" s="5" t="s">
        <v>110</v>
      </c>
      <c r="F1677" s="5" t="s">
        <v>111</v>
      </c>
      <c r="G1677" s="5" t="s">
        <v>450</v>
      </c>
      <c r="H1677" s="5" t="s">
        <v>453</v>
      </c>
      <c r="I1677" s="5" t="s">
        <v>31</v>
      </c>
      <c r="J1677" s="5">
        <v>18.004597476863001</v>
      </c>
      <c r="K1677" s="5">
        <v>-96.896470069003996</v>
      </c>
      <c r="L1677" s="5" t="str">
        <f>HYPERLINK("https://maps.google.com/?q=18.0045974768631,-96.896470069004494", "🔗 Ver Mapa")</f>
        <v>🔗 Ver Mapa</v>
      </c>
    </row>
    <row r="1678" spans="1:12" ht="43.5" x14ac:dyDescent="0.35">
      <c r="A1678" s="6" t="s">
        <v>98</v>
      </c>
      <c r="B1678" s="6" t="s">
        <v>99</v>
      </c>
      <c r="C1678" s="6" t="s">
        <v>452</v>
      </c>
      <c r="D1678" s="6" t="s">
        <v>14</v>
      </c>
      <c r="E1678" s="6" t="s">
        <v>110</v>
      </c>
      <c r="F1678" s="6" t="s">
        <v>111</v>
      </c>
      <c r="G1678" s="6" t="s">
        <v>450</v>
      </c>
      <c r="H1678" s="6" t="s">
        <v>453</v>
      </c>
      <c r="I1678" s="6" t="s">
        <v>31</v>
      </c>
      <c r="J1678" s="6">
        <v>18.004704613196001</v>
      </c>
      <c r="K1678" s="6">
        <v>-96.894549607350001</v>
      </c>
      <c r="L1678" s="6" t="str">
        <f>HYPERLINK("https://maps.google.com/?q=18.0047046131961,-96.894549607350498", "🔗 Ver Mapa")</f>
        <v>🔗 Ver Mapa</v>
      </c>
    </row>
    <row r="1679" spans="1:12" ht="43.5" x14ac:dyDescent="0.35">
      <c r="A1679" s="5" t="s">
        <v>98</v>
      </c>
      <c r="B1679" s="5" t="s">
        <v>99</v>
      </c>
      <c r="C1679" s="5" t="s">
        <v>452</v>
      </c>
      <c r="D1679" s="5" t="s">
        <v>14</v>
      </c>
      <c r="E1679" s="5" t="s">
        <v>110</v>
      </c>
      <c r="F1679" s="5" t="s">
        <v>111</v>
      </c>
      <c r="G1679" s="5" t="s">
        <v>450</v>
      </c>
      <c r="H1679" s="5" t="s">
        <v>453</v>
      </c>
      <c r="I1679" s="5" t="s">
        <v>31</v>
      </c>
      <c r="J1679" s="5">
        <v>18.004751509209999</v>
      </c>
      <c r="K1679" s="5">
        <v>-96.896358231262994</v>
      </c>
      <c r="L1679" s="5" t="str">
        <f>HYPERLINK("https://maps.google.com/?q=18.0047515092102,-96.896358231263093", "🔗 Ver Mapa")</f>
        <v>🔗 Ver Mapa</v>
      </c>
    </row>
    <row r="1680" spans="1:12" ht="43.5" x14ac:dyDescent="0.35">
      <c r="A1680" s="6" t="s">
        <v>98</v>
      </c>
      <c r="B1680" s="6" t="s">
        <v>99</v>
      </c>
      <c r="C1680" s="6" t="s">
        <v>452</v>
      </c>
      <c r="D1680" s="6" t="s">
        <v>14</v>
      </c>
      <c r="E1680" s="6" t="s">
        <v>110</v>
      </c>
      <c r="F1680" s="6" t="s">
        <v>111</v>
      </c>
      <c r="G1680" s="6" t="s">
        <v>450</v>
      </c>
      <c r="H1680" s="6" t="s">
        <v>453</v>
      </c>
      <c r="I1680" s="6" t="s">
        <v>31</v>
      </c>
      <c r="J1680" s="6">
        <v>18.005102547577</v>
      </c>
      <c r="K1680" s="6">
        <v>-96.895592986656993</v>
      </c>
      <c r="L1680" s="6" t="str">
        <f>HYPERLINK("https://maps.google.com/?q=18.0051025475769,-96.895592986656894", "🔗 Ver Mapa")</f>
        <v>🔗 Ver Mapa</v>
      </c>
    </row>
    <row r="1681" spans="1:12" ht="43.5" x14ac:dyDescent="0.35">
      <c r="A1681" s="5" t="s">
        <v>98</v>
      </c>
      <c r="B1681" s="5" t="s">
        <v>99</v>
      </c>
      <c r="C1681" s="5" t="s">
        <v>452</v>
      </c>
      <c r="D1681" s="5" t="s">
        <v>14</v>
      </c>
      <c r="E1681" s="5" t="s">
        <v>110</v>
      </c>
      <c r="F1681" s="5" t="s">
        <v>111</v>
      </c>
      <c r="G1681" s="5" t="s">
        <v>450</v>
      </c>
      <c r="H1681" s="5" t="s">
        <v>453</v>
      </c>
      <c r="I1681" s="5" t="s">
        <v>31</v>
      </c>
      <c r="J1681" s="5">
        <v>18.005106080268</v>
      </c>
      <c r="K1681" s="5">
        <v>-96.897136075074997</v>
      </c>
      <c r="L1681" s="5" t="str">
        <f>HYPERLINK("https://maps.google.com/?q=18.0051060802679,-96.897136075074897", "🔗 Ver Mapa")</f>
        <v>🔗 Ver Mapa</v>
      </c>
    </row>
    <row r="1682" spans="1:12" ht="43.5" x14ac:dyDescent="0.35">
      <c r="A1682" s="6" t="s">
        <v>98</v>
      </c>
      <c r="B1682" s="6" t="s">
        <v>99</v>
      </c>
      <c r="C1682" s="6" t="s">
        <v>452</v>
      </c>
      <c r="D1682" s="6" t="s">
        <v>14</v>
      </c>
      <c r="E1682" s="6" t="s">
        <v>110</v>
      </c>
      <c r="F1682" s="6" t="s">
        <v>111</v>
      </c>
      <c r="G1682" s="6" t="s">
        <v>450</v>
      </c>
      <c r="H1682" s="6" t="s">
        <v>453</v>
      </c>
      <c r="I1682" s="6" t="s">
        <v>31</v>
      </c>
      <c r="J1682" s="6">
        <v>18.005302080023</v>
      </c>
      <c r="K1682" s="6">
        <v>-96.893743905991002</v>
      </c>
      <c r="L1682" s="6" t="str">
        <f>HYPERLINK("https://maps.google.com/?q=18.0053020800229,-96.893743905990604", "🔗 Ver Mapa")</f>
        <v>🔗 Ver Mapa</v>
      </c>
    </row>
    <row r="1683" spans="1:12" ht="43.5" x14ac:dyDescent="0.35">
      <c r="A1683" s="5" t="s">
        <v>98</v>
      </c>
      <c r="B1683" s="5" t="s">
        <v>99</v>
      </c>
      <c r="C1683" s="5" t="s">
        <v>452</v>
      </c>
      <c r="D1683" s="5" t="s">
        <v>14</v>
      </c>
      <c r="E1683" s="5" t="s">
        <v>110</v>
      </c>
      <c r="F1683" s="5" t="s">
        <v>111</v>
      </c>
      <c r="G1683" s="5" t="s">
        <v>450</v>
      </c>
      <c r="H1683" s="5" t="s">
        <v>453</v>
      </c>
      <c r="I1683" s="5" t="s">
        <v>31</v>
      </c>
      <c r="J1683" s="5">
        <v>18.005745067789</v>
      </c>
      <c r="K1683" s="5">
        <v>-96.895352402883006</v>
      </c>
      <c r="L1683" s="5" t="str">
        <f>HYPERLINK("https://maps.google.com/?q=18.0057450677888,-96.895352402882807", "🔗 Ver Mapa")</f>
        <v>🔗 Ver Mapa</v>
      </c>
    </row>
    <row r="1684" spans="1:12" ht="43.5" x14ac:dyDescent="0.35">
      <c r="A1684" s="6" t="s">
        <v>98</v>
      </c>
      <c r="B1684" s="6" t="s">
        <v>99</v>
      </c>
      <c r="C1684" s="6" t="s">
        <v>452</v>
      </c>
      <c r="D1684" s="6" t="s">
        <v>14</v>
      </c>
      <c r="E1684" s="6" t="s">
        <v>110</v>
      </c>
      <c r="F1684" s="6" t="s">
        <v>111</v>
      </c>
      <c r="G1684" s="6" t="s">
        <v>450</v>
      </c>
      <c r="H1684" s="6" t="s">
        <v>453</v>
      </c>
      <c r="I1684" s="6" t="s">
        <v>31</v>
      </c>
      <c r="J1684" s="6">
        <v>18.005825420893</v>
      </c>
      <c r="K1684" s="6">
        <v>-96.897283596571</v>
      </c>
      <c r="L1684" s="6" t="str">
        <f>HYPERLINK("https://maps.google.com/?q=18.0058254208931,-96.897283596570702", "🔗 Ver Mapa")</f>
        <v>🔗 Ver Mapa</v>
      </c>
    </row>
    <row r="1685" spans="1:12" ht="43.5" x14ac:dyDescent="0.35">
      <c r="A1685" s="5" t="s">
        <v>98</v>
      </c>
      <c r="B1685" s="5" t="s">
        <v>99</v>
      </c>
      <c r="C1685" s="5" t="s">
        <v>452</v>
      </c>
      <c r="D1685" s="5" t="s">
        <v>14</v>
      </c>
      <c r="E1685" s="5" t="s">
        <v>110</v>
      </c>
      <c r="F1685" s="5" t="s">
        <v>111</v>
      </c>
      <c r="G1685" s="5" t="s">
        <v>450</v>
      </c>
      <c r="H1685" s="5" t="s">
        <v>453</v>
      </c>
      <c r="I1685" s="5" t="s">
        <v>31</v>
      </c>
      <c r="J1685" s="5">
        <v>18.005876854956998</v>
      </c>
      <c r="K1685" s="5">
        <v>-96.894051966598994</v>
      </c>
      <c r="L1685" s="5" t="str">
        <f>HYPERLINK("https://maps.google.com/?q=18.0058768549565,-96.894051966599207", "🔗 Ver Mapa")</f>
        <v>🔗 Ver Mapa</v>
      </c>
    </row>
    <row r="1686" spans="1:12" ht="43.5" x14ac:dyDescent="0.35">
      <c r="A1686" s="6" t="s">
        <v>98</v>
      </c>
      <c r="B1686" s="6" t="s">
        <v>99</v>
      </c>
      <c r="C1686" s="6" t="s">
        <v>452</v>
      </c>
      <c r="D1686" s="6" t="s">
        <v>14</v>
      </c>
      <c r="E1686" s="6" t="s">
        <v>110</v>
      </c>
      <c r="F1686" s="6" t="s">
        <v>111</v>
      </c>
      <c r="G1686" s="6" t="s">
        <v>450</v>
      </c>
      <c r="H1686" s="6" t="s">
        <v>453</v>
      </c>
      <c r="I1686" s="6" t="s">
        <v>31</v>
      </c>
      <c r="J1686" s="6">
        <v>18.005946879730999</v>
      </c>
      <c r="K1686" s="6">
        <v>-96.894841968132994</v>
      </c>
      <c r="L1686" s="6" t="str">
        <f>HYPERLINK("https://maps.google.com/?q=18.0059468797305,-96.894841968132994", "🔗 Ver Mapa")</f>
        <v>🔗 Ver Mapa</v>
      </c>
    </row>
    <row r="1687" spans="1:12" ht="43.5" x14ac:dyDescent="0.35">
      <c r="A1687" s="5" t="s">
        <v>98</v>
      </c>
      <c r="B1687" s="5" t="s">
        <v>99</v>
      </c>
      <c r="C1687" s="5" t="s">
        <v>452</v>
      </c>
      <c r="D1687" s="5" t="s">
        <v>14</v>
      </c>
      <c r="E1687" s="5" t="s">
        <v>110</v>
      </c>
      <c r="F1687" s="5" t="s">
        <v>111</v>
      </c>
      <c r="G1687" s="5" t="s">
        <v>450</v>
      </c>
      <c r="H1687" s="5" t="s">
        <v>453</v>
      </c>
      <c r="I1687" s="5" t="s">
        <v>31</v>
      </c>
      <c r="J1687" s="5">
        <v>18.006019285240001</v>
      </c>
      <c r="K1687" s="5">
        <v>-96.896170479830005</v>
      </c>
      <c r="L1687" s="5" t="str">
        <f>HYPERLINK("https://maps.google.com/?q=18.0060192852403,-96.896170479829905", "🔗 Ver Mapa")</f>
        <v>🔗 Ver Mapa</v>
      </c>
    </row>
    <row r="1688" spans="1:12" ht="43.5" x14ac:dyDescent="0.35">
      <c r="A1688" s="6" t="s">
        <v>98</v>
      </c>
      <c r="B1688" s="6" t="s">
        <v>99</v>
      </c>
      <c r="C1688" s="6" t="s">
        <v>452</v>
      </c>
      <c r="D1688" s="6" t="s">
        <v>14</v>
      </c>
      <c r="E1688" s="6" t="s">
        <v>110</v>
      </c>
      <c r="F1688" s="6" t="s">
        <v>111</v>
      </c>
      <c r="G1688" s="6" t="s">
        <v>450</v>
      </c>
      <c r="H1688" s="6" t="s">
        <v>453</v>
      </c>
      <c r="I1688" s="6" t="s">
        <v>31</v>
      </c>
      <c r="J1688" s="6">
        <v>18.006386606576999</v>
      </c>
      <c r="K1688" s="6">
        <v>-96.895202202375998</v>
      </c>
      <c r="L1688" s="6" t="str">
        <f>HYPERLINK("https://maps.google.com/?q=18.0063866065766,-96.895202202375799", "🔗 Ver Mapa")</f>
        <v>🔗 Ver Mapa</v>
      </c>
    </row>
    <row r="1689" spans="1:12" ht="43.5" x14ac:dyDescent="0.35">
      <c r="A1689" s="5" t="s">
        <v>98</v>
      </c>
      <c r="B1689" s="5" t="s">
        <v>99</v>
      </c>
      <c r="C1689" s="5" t="s">
        <v>452</v>
      </c>
      <c r="D1689" s="5" t="s">
        <v>14</v>
      </c>
      <c r="E1689" s="5" t="s">
        <v>110</v>
      </c>
      <c r="F1689" s="5" t="s">
        <v>111</v>
      </c>
      <c r="G1689" s="5" t="s">
        <v>450</v>
      </c>
      <c r="H1689" s="5" t="s">
        <v>453</v>
      </c>
      <c r="I1689" s="5" t="s">
        <v>31</v>
      </c>
      <c r="J1689" s="5">
        <v>18.006408582310002</v>
      </c>
      <c r="K1689" s="5">
        <v>-96.894595204903993</v>
      </c>
      <c r="L1689" s="5" t="str">
        <f>HYPERLINK("https://maps.google.com/?q=18.0064085823096,-96.894595204903695", "🔗 Ver Mapa")</f>
        <v>🔗 Ver Mapa</v>
      </c>
    </row>
    <row r="1690" spans="1:12" ht="43.5" x14ac:dyDescent="0.35">
      <c r="A1690" s="6" t="s">
        <v>98</v>
      </c>
      <c r="B1690" s="6" t="s">
        <v>99</v>
      </c>
      <c r="C1690" s="6" t="s">
        <v>452</v>
      </c>
      <c r="D1690" s="6" t="s">
        <v>14</v>
      </c>
      <c r="E1690" s="6" t="s">
        <v>110</v>
      </c>
      <c r="F1690" s="6" t="s">
        <v>111</v>
      </c>
      <c r="G1690" s="6" t="s">
        <v>450</v>
      </c>
      <c r="H1690" s="6" t="s">
        <v>453</v>
      </c>
      <c r="I1690" s="6" t="s">
        <v>31</v>
      </c>
      <c r="J1690" s="6">
        <v>18.006434090704001</v>
      </c>
      <c r="K1690" s="6">
        <v>-96.896944820000002</v>
      </c>
      <c r="L1690" s="6" t="str">
        <f>HYPERLINK("https://maps.google.com/?q=18.0064340907041,-96.896944820000002", "🔗 Ver Mapa")</f>
        <v>🔗 Ver Mapa</v>
      </c>
    </row>
    <row r="1691" spans="1:12" ht="43.5" x14ac:dyDescent="0.35">
      <c r="A1691" s="5" t="s">
        <v>98</v>
      </c>
      <c r="B1691" s="5" t="s">
        <v>99</v>
      </c>
      <c r="C1691" s="5" t="s">
        <v>452</v>
      </c>
      <c r="D1691" s="5" t="s">
        <v>14</v>
      </c>
      <c r="E1691" s="5" t="s">
        <v>110</v>
      </c>
      <c r="F1691" s="5" t="s">
        <v>111</v>
      </c>
      <c r="G1691" s="5" t="s">
        <v>450</v>
      </c>
      <c r="H1691" s="5" t="s">
        <v>453</v>
      </c>
      <c r="I1691" s="5" t="s">
        <v>31</v>
      </c>
      <c r="J1691" s="5">
        <v>18.007329138048998</v>
      </c>
      <c r="K1691" s="5">
        <v>-96.895612577156996</v>
      </c>
      <c r="L1691" s="5" t="str">
        <f>HYPERLINK("https://maps.google.com/?q=18.007329138049,-96.895612577156697", "🔗 Ver Mapa")</f>
        <v>🔗 Ver Mapa</v>
      </c>
    </row>
    <row r="1692" spans="1:12" ht="43.5" x14ac:dyDescent="0.35">
      <c r="A1692" s="6" t="s">
        <v>98</v>
      </c>
      <c r="B1692" s="6" t="s">
        <v>99</v>
      </c>
      <c r="C1692" s="6" t="s">
        <v>454</v>
      </c>
      <c r="D1692" s="6" t="s">
        <v>14</v>
      </c>
      <c r="E1692" s="6" t="s">
        <v>110</v>
      </c>
      <c r="F1692" s="6" t="s">
        <v>111</v>
      </c>
      <c r="G1692" s="6" t="s">
        <v>450</v>
      </c>
      <c r="H1692" s="6" t="s">
        <v>455</v>
      </c>
      <c r="I1692" s="6" t="s">
        <v>31</v>
      </c>
      <c r="J1692" s="6">
        <v>18.071475658912998</v>
      </c>
      <c r="K1692" s="6">
        <v>-96.898021547550002</v>
      </c>
      <c r="L1692" s="6" t="str">
        <f>HYPERLINK("https://maps.google.com/?q=18.0714756589127,-96.898021547549504", "🔗 Ver Mapa")</f>
        <v>🔗 Ver Mapa</v>
      </c>
    </row>
    <row r="1693" spans="1:12" ht="43.5" x14ac:dyDescent="0.35">
      <c r="A1693" s="5" t="s">
        <v>98</v>
      </c>
      <c r="B1693" s="5" t="s">
        <v>99</v>
      </c>
      <c r="C1693" s="5" t="s">
        <v>454</v>
      </c>
      <c r="D1693" s="5" t="s">
        <v>14</v>
      </c>
      <c r="E1693" s="5" t="s">
        <v>110</v>
      </c>
      <c r="F1693" s="5" t="s">
        <v>111</v>
      </c>
      <c r="G1693" s="5" t="s">
        <v>450</v>
      </c>
      <c r="H1693" s="5" t="s">
        <v>455</v>
      </c>
      <c r="I1693" s="5" t="s">
        <v>31</v>
      </c>
      <c r="J1693" s="5">
        <v>18.071504322742999</v>
      </c>
      <c r="K1693" s="5">
        <v>-96.897352620001001</v>
      </c>
      <c r="L1693" s="5" t="str">
        <f>HYPERLINK("https://maps.google.com/?q=18.0715043227434,-96.897352620000902", "🔗 Ver Mapa")</f>
        <v>🔗 Ver Mapa</v>
      </c>
    </row>
    <row r="1694" spans="1:12" ht="43.5" x14ac:dyDescent="0.35">
      <c r="A1694" s="6" t="s">
        <v>98</v>
      </c>
      <c r="B1694" s="6" t="s">
        <v>99</v>
      </c>
      <c r="C1694" s="6" t="s">
        <v>454</v>
      </c>
      <c r="D1694" s="6" t="s">
        <v>14</v>
      </c>
      <c r="E1694" s="6" t="s">
        <v>110</v>
      </c>
      <c r="F1694" s="6" t="s">
        <v>111</v>
      </c>
      <c r="G1694" s="6" t="s">
        <v>450</v>
      </c>
      <c r="H1694" s="6" t="s">
        <v>455</v>
      </c>
      <c r="I1694" s="6" t="s">
        <v>31</v>
      </c>
      <c r="J1694" s="6">
        <v>18.07161080337</v>
      </c>
      <c r="K1694" s="6">
        <v>-96.897667495959993</v>
      </c>
      <c r="L1694" s="6" t="str">
        <f>HYPERLINK("https://maps.google.com/?q=18.0716108033699,-96.897667495959595", "🔗 Ver Mapa")</f>
        <v>🔗 Ver Mapa</v>
      </c>
    </row>
    <row r="1695" spans="1:12" ht="43.5" x14ac:dyDescent="0.35">
      <c r="A1695" s="5" t="s">
        <v>98</v>
      </c>
      <c r="B1695" s="5" t="s">
        <v>99</v>
      </c>
      <c r="C1695" s="5" t="s">
        <v>454</v>
      </c>
      <c r="D1695" s="5" t="s">
        <v>14</v>
      </c>
      <c r="E1695" s="5" t="s">
        <v>110</v>
      </c>
      <c r="F1695" s="5" t="s">
        <v>111</v>
      </c>
      <c r="G1695" s="5" t="s">
        <v>450</v>
      </c>
      <c r="H1695" s="5" t="s">
        <v>455</v>
      </c>
      <c r="I1695" s="5" t="s">
        <v>31</v>
      </c>
      <c r="J1695" s="5">
        <v>18.071653497688001</v>
      </c>
      <c r="K1695" s="5">
        <v>-96.897748250058996</v>
      </c>
      <c r="L1695" s="5" t="str">
        <f>HYPERLINK("https://maps.google.com/?q=18.0716534976883,-96.897748250059394", "🔗 Ver Mapa")</f>
        <v>🔗 Ver Mapa</v>
      </c>
    </row>
    <row r="1696" spans="1:12" ht="43.5" x14ac:dyDescent="0.35">
      <c r="A1696" s="6" t="s">
        <v>98</v>
      </c>
      <c r="B1696" s="6" t="s">
        <v>99</v>
      </c>
      <c r="C1696" s="6" t="s">
        <v>454</v>
      </c>
      <c r="D1696" s="6" t="s">
        <v>14</v>
      </c>
      <c r="E1696" s="6" t="s">
        <v>110</v>
      </c>
      <c r="F1696" s="6" t="s">
        <v>111</v>
      </c>
      <c r="G1696" s="6" t="s">
        <v>450</v>
      </c>
      <c r="H1696" s="6" t="s">
        <v>455</v>
      </c>
      <c r="I1696" s="6" t="s">
        <v>31</v>
      </c>
      <c r="J1696" s="6">
        <v>18.071863242738001</v>
      </c>
      <c r="K1696" s="6">
        <v>-96.899554429999995</v>
      </c>
      <c r="L1696" s="6" t="str">
        <f>HYPERLINK("https://maps.google.com/?q=18.0718632427384,-96.899554429999995", "🔗 Ver Mapa")</f>
        <v>🔗 Ver Mapa</v>
      </c>
    </row>
    <row r="1697" spans="1:12" ht="43.5" x14ac:dyDescent="0.35">
      <c r="A1697" s="5" t="s">
        <v>98</v>
      </c>
      <c r="B1697" s="5" t="s">
        <v>99</v>
      </c>
      <c r="C1697" s="5" t="s">
        <v>454</v>
      </c>
      <c r="D1697" s="5" t="s">
        <v>14</v>
      </c>
      <c r="E1697" s="5" t="s">
        <v>110</v>
      </c>
      <c r="F1697" s="5" t="s">
        <v>111</v>
      </c>
      <c r="G1697" s="5" t="s">
        <v>450</v>
      </c>
      <c r="H1697" s="5" t="s">
        <v>455</v>
      </c>
      <c r="I1697" s="5" t="s">
        <v>31</v>
      </c>
      <c r="J1697" s="5">
        <v>18.071923052117999</v>
      </c>
      <c r="K1697" s="5">
        <v>-96.897055670664997</v>
      </c>
      <c r="L1697" s="5" t="str">
        <f>HYPERLINK("https://maps.google.com/?q=18.0719230521185,-96.897055670665097", "🔗 Ver Mapa")</f>
        <v>🔗 Ver Mapa</v>
      </c>
    </row>
    <row r="1698" spans="1:12" ht="43.5" x14ac:dyDescent="0.35">
      <c r="A1698" s="6" t="s">
        <v>98</v>
      </c>
      <c r="B1698" s="6" t="s">
        <v>99</v>
      </c>
      <c r="C1698" s="6" t="s">
        <v>454</v>
      </c>
      <c r="D1698" s="6" t="s">
        <v>14</v>
      </c>
      <c r="E1698" s="6" t="s">
        <v>110</v>
      </c>
      <c r="F1698" s="6" t="s">
        <v>111</v>
      </c>
      <c r="G1698" s="6" t="s">
        <v>450</v>
      </c>
      <c r="H1698" s="6" t="s">
        <v>455</v>
      </c>
      <c r="I1698" s="6" t="s">
        <v>31</v>
      </c>
      <c r="J1698" s="6">
        <v>18.071955662185001</v>
      </c>
      <c r="K1698" s="6">
        <v>-96.899653955581996</v>
      </c>
      <c r="L1698" s="6" t="str">
        <f>HYPERLINK("https://maps.google.com/?q=18.0719556621848,-96.899653955581996", "🔗 Ver Mapa")</f>
        <v>🔗 Ver Mapa</v>
      </c>
    </row>
    <row r="1699" spans="1:12" ht="43.5" x14ac:dyDescent="0.35">
      <c r="A1699" s="5" t="s">
        <v>98</v>
      </c>
      <c r="B1699" s="5" t="s">
        <v>99</v>
      </c>
      <c r="C1699" s="5" t="s">
        <v>454</v>
      </c>
      <c r="D1699" s="5" t="s">
        <v>14</v>
      </c>
      <c r="E1699" s="5" t="s">
        <v>110</v>
      </c>
      <c r="F1699" s="5" t="s">
        <v>111</v>
      </c>
      <c r="G1699" s="5" t="s">
        <v>450</v>
      </c>
      <c r="H1699" s="5" t="s">
        <v>455</v>
      </c>
      <c r="I1699" s="5" t="s">
        <v>31</v>
      </c>
      <c r="J1699" s="5">
        <v>18.072143452961001</v>
      </c>
      <c r="K1699" s="5">
        <v>-96.899257635582003</v>
      </c>
      <c r="L1699" s="5" t="str">
        <f>HYPERLINK("https://maps.google.com/?q=18.072143452961,-96.899257635582103", "🔗 Ver Mapa")</f>
        <v>🔗 Ver Mapa</v>
      </c>
    </row>
    <row r="1700" spans="1:12" ht="43.5" x14ac:dyDescent="0.35">
      <c r="A1700" s="6" t="s">
        <v>98</v>
      </c>
      <c r="B1700" s="6" t="s">
        <v>99</v>
      </c>
      <c r="C1700" s="6" t="s">
        <v>454</v>
      </c>
      <c r="D1700" s="6" t="s">
        <v>14</v>
      </c>
      <c r="E1700" s="6" t="s">
        <v>110</v>
      </c>
      <c r="F1700" s="6" t="s">
        <v>111</v>
      </c>
      <c r="G1700" s="6" t="s">
        <v>450</v>
      </c>
      <c r="H1700" s="6" t="s">
        <v>455</v>
      </c>
      <c r="I1700" s="6" t="s">
        <v>31</v>
      </c>
      <c r="J1700" s="6">
        <v>18.072402858023001</v>
      </c>
      <c r="K1700" s="6">
        <v>-96.899469790180007</v>
      </c>
      <c r="L1700" s="6" t="str">
        <f>HYPERLINK("https://maps.google.com/?q=18.0724028580232,-96.899469790180206", "🔗 Ver Mapa")</f>
        <v>🔗 Ver Mapa</v>
      </c>
    </row>
    <row r="1701" spans="1:12" ht="43.5" x14ac:dyDescent="0.35">
      <c r="A1701" s="5" t="s">
        <v>98</v>
      </c>
      <c r="B1701" s="5" t="s">
        <v>99</v>
      </c>
      <c r="C1701" s="5" t="s">
        <v>454</v>
      </c>
      <c r="D1701" s="5" t="s">
        <v>14</v>
      </c>
      <c r="E1701" s="5" t="s">
        <v>110</v>
      </c>
      <c r="F1701" s="5" t="s">
        <v>111</v>
      </c>
      <c r="G1701" s="5" t="s">
        <v>450</v>
      </c>
      <c r="H1701" s="5" t="s">
        <v>455</v>
      </c>
      <c r="I1701" s="5" t="s">
        <v>31</v>
      </c>
      <c r="J1701" s="5">
        <v>18.0724620694</v>
      </c>
      <c r="K1701" s="5">
        <v>-96.899162066792002</v>
      </c>
      <c r="L1701" s="5" t="str">
        <f>HYPERLINK("https://maps.google.com/?q=18.0724620693999,-96.899162066792002", "🔗 Ver Mapa")</f>
        <v>🔗 Ver Mapa</v>
      </c>
    </row>
    <row r="1702" spans="1:12" ht="43.5" x14ac:dyDescent="0.35">
      <c r="A1702" s="6" t="s">
        <v>98</v>
      </c>
      <c r="B1702" s="6" t="s">
        <v>99</v>
      </c>
      <c r="C1702" s="6" t="s">
        <v>454</v>
      </c>
      <c r="D1702" s="6" t="s">
        <v>14</v>
      </c>
      <c r="E1702" s="6" t="s">
        <v>110</v>
      </c>
      <c r="F1702" s="6" t="s">
        <v>111</v>
      </c>
      <c r="G1702" s="6" t="s">
        <v>450</v>
      </c>
      <c r="H1702" s="6" t="s">
        <v>455</v>
      </c>
      <c r="I1702" s="6" t="s">
        <v>31</v>
      </c>
      <c r="J1702" s="6">
        <v>18.072730826859999</v>
      </c>
      <c r="K1702" s="6">
        <v>-96.898623987321002</v>
      </c>
      <c r="L1702" s="6" t="str">
        <f>HYPERLINK("https://maps.google.com/?q=18.0727308268604,-96.898623987320804", "🔗 Ver Mapa")</f>
        <v>🔗 Ver Mapa</v>
      </c>
    </row>
    <row r="1703" spans="1:12" ht="43.5" x14ac:dyDescent="0.35">
      <c r="A1703" s="5" t="s">
        <v>98</v>
      </c>
      <c r="B1703" s="5" t="s">
        <v>99</v>
      </c>
      <c r="C1703" s="5" t="s">
        <v>454</v>
      </c>
      <c r="D1703" s="5" t="s">
        <v>14</v>
      </c>
      <c r="E1703" s="5" t="s">
        <v>110</v>
      </c>
      <c r="F1703" s="5" t="s">
        <v>111</v>
      </c>
      <c r="G1703" s="5" t="s">
        <v>450</v>
      </c>
      <c r="H1703" s="5" t="s">
        <v>455</v>
      </c>
      <c r="I1703" s="5" t="s">
        <v>31</v>
      </c>
      <c r="J1703" s="5">
        <v>18.072933916059998</v>
      </c>
      <c r="K1703" s="5">
        <v>-96.898827141035994</v>
      </c>
      <c r="L1703" s="5" t="str">
        <f>HYPERLINK("https://maps.google.com/?q=18.0729339160595,-96.898827141035596", "🔗 Ver Mapa")</f>
        <v>🔗 Ver Mapa</v>
      </c>
    </row>
    <row r="1704" spans="1:12" ht="43.5" x14ac:dyDescent="0.35">
      <c r="A1704" s="6" t="s">
        <v>98</v>
      </c>
      <c r="B1704" s="6" t="s">
        <v>99</v>
      </c>
      <c r="C1704" s="6" t="s">
        <v>454</v>
      </c>
      <c r="D1704" s="6" t="s">
        <v>14</v>
      </c>
      <c r="E1704" s="6" t="s">
        <v>110</v>
      </c>
      <c r="F1704" s="6" t="s">
        <v>111</v>
      </c>
      <c r="G1704" s="6" t="s">
        <v>450</v>
      </c>
      <c r="H1704" s="6" t="s">
        <v>455</v>
      </c>
      <c r="I1704" s="6" t="s">
        <v>31</v>
      </c>
      <c r="J1704" s="6">
        <v>18.072960329815</v>
      </c>
      <c r="K1704" s="6">
        <v>-96.898032276386004</v>
      </c>
      <c r="L1704" s="6" t="str">
        <f>HYPERLINK("https://maps.google.com/?q=18.0729603298149,-96.898032276385507", "🔗 Ver Mapa")</f>
        <v>🔗 Ver Mapa</v>
      </c>
    </row>
    <row r="1705" spans="1:12" ht="43.5" x14ac:dyDescent="0.35">
      <c r="A1705" s="5" t="s">
        <v>98</v>
      </c>
      <c r="B1705" s="5" t="s">
        <v>99</v>
      </c>
      <c r="C1705" s="5" t="s">
        <v>454</v>
      </c>
      <c r="D1705" s="5" t="s">
        <v>14</v>
      </c>
      <c r="E1705" s="5" t="s">
        <v>110</v>
      </c>
      <c r="F1705" s="5" t="s">
        <v>111</v>
      </c>
      <c r="G1705" s="5" t="s">
        <v>450</v>
      </c>
      <c r="H1705" s="5" t="s">
        <v>455</v>
      </c>
      <c r="I1705" s="5" t="s">
        <v>31</v>
      </c>
      <c r="J1705" s="5">
        <v>18.072969891846</v>
      </c>
      <c r="K1705" s="5">
        <v>-96.898232100955994</v>
      </c>
      <c r="L1705" s="5" t="str">
        <f>HYPERLINK("https://maps.google.com/?q=18.0729698918457,-96.898232100956406", "🔗 Ver Mapa")</f>
        <v>🔗 Ver Mapa</v>
      </c>
    </row>
    <row r="1706" spans="1:12" ht="43.5" x14ac:dyDescent="0.35">
      <c r="A1706" s="6" t="s">
        <v>98</v>
      </c>
      <c r="B1706" s="6" t="s">
        <v>99</v>
      </c>
      <c r="C1706" s="6" t="s">
        <v>454</v>
      </c>
      <c r="D1706" s="6" t="s">
        <v>14</v>
      </c>
      <c r="E1706" s="6" t="s">
        <v>110</v>
      </c>
      <c r="F1706" s="6" t="s">
        <v>111</v>
      </c>
      <c r="G1706" s="6" t="s">
        <v>450</v>
      </c>
      <c r="H1706" s="6" t="s">
        <v>455</v>
      </c>
      <c r="I1706" s="6" t="s">
        <v>31</v>
      </c>
      <c r="J1706" s="6">
        <v>18.072991169133001</v>
      </c>
      <c r="K1706" s="6">
        <v>-96.898507607791004</v>
      </c>
      <c r="L1706" s="6" t="str">
        <f>HYPERLINK("https://maps.google.com/?q=18.0729911691334,-96.898507607791203", "🔗 Ver Mapa")</f>
        <v>🔗 Ver Mapa</v>
      </c>
    </row>
    <row r="1707" spans="1:12" ht="43.5" x14ac:dyDescent="0.35">
      <c r="A1707" s="5" t="s">
        <v>98</v>
      </c>
      <c r="B1707" s="5" t="s">
        <v>99</v>
      </c>
      <c r="C1707" s="5" t="s">
        <v>454</v>
      </c>
      <c r="D1707" s="5" t="s">
        <v>14</v>
      </c>
      <c r="E1707" s="5" t="s">
        <v>110</v>
      </c>
      <c r="F1707" s="5" t="s">
        <v>111</v>
      </c>
      <c r="G1707" s="5" t="s">
        <v>450</v>
      </c>
      <c r="H1707" s="5" t="s">
        <v>455</v>
      </c>
      <c r="I1707" s="5" t="s">
        <v>31</v>
      </c>
      <c r="J1707" s="5">
        <v>18.073153482727999</v>
      </c>
      <c r="K1707" s="5">
        <v>-96.898114083760007</v>
      </c>
      <c r="L1707" s="5" t="str">
        <f>HYPERLINK("https://maps.google.com/?q=18.0731534827282,-96.898114083759793", "🔗 Ver Mapa")</f>
        <v>🔗 Ver Mapa</v>
      </c>
    </row>
    <row r="1708" spans="1:12" ht="43.5" x14ac:dyDescent="0.35">
      <c r="A1708" s="6" t="s">
        <v>98</v>
      </c>
      <c r="B1708" s="6" t="s">
        <v>99</v>
      </c>
      <c r="C1708" s="6" t="s">
        <v>454</v>
      </c>
      <c r="D1708" s="6" t="s">
        <v>14</v>
      </c>
      <c r="E1708" s="6" t="s">
        <v>110</v>
      </c>
      <c r="F1708" s="6" t="s">
        <v>111</v>
      </c>
      <c r="G1708" s="6" t="s">
        <v>450</v>
      </c>
      <c r="H1708" s="6" t="s">
        <v>455</v>
      </c>
      <c r="I1708" s="6" t="s">
        <v>31</v>
      </c>
      <c r="J1708" s="6">
        <v>18.073984739042999</v>
      </c>
      <c r="K1708" s="6">
        <v>-96.896440385334998</v>
      </c>
      <c r="L1708" s="6" t="str">
        <f>HYPERLINK("https://maps.google.com/?q=18.073984739043,-96.896440385335495", "🔗 Ver Mapa")</f>
        <v>🔗 Ver Mapa</v>
      </c>
    </row>
    <row r="1709" spans="1:12" ht="43.5" x14ac:dyDescent="0.35">
      <c r="A1709" s="5" t="s">
        <v>98</v>
      </c>
      <c r="B1709" s="5" t="s">
        <v>99</v>
      </c>
      <c r="C1709" s="5" t="s">
        <v>454</v>
      </c>
      <c r="D1709" s="5" t="s">
        <v>14</v>
      </c>
      <c r="E1709" s="5" t="s">
        <v>110</v>
      </c>
      <c r="F1709" s="5" t="s">
        <v>111</v>
      </c>
      <c r="G1709" s="5" t="s">
        <v>450</v>
      </c>
      <c r="H1709" s="5" t="s">
        <v>455</v>
      </c>
      <c r="I1709" s="5" t="s">
        <v>31</v>
      </c>
      <c r="J1709" s="5">
        <v>18.074043512562</v>
      </c>
      <c r="K1709" s="5">
        <v>-96.896048983566999</v>
      </c>
      <c r="L1709" s="5" t="str">
        <f>HYPERLINK("https://maps.google.com/?q=18.0740435125617,-96.8960489835667", "🔗 Ver Mapa")</f>
        <v>🔗 Ver Mapa</v>
      </c>
    </row>
    <row r="1710" spans="1:12" ht="43.5" x14ac:dyDescent="0.35">
      <c r="A1710" s="6" t="s">
        <v>98</v>
      </c>
      <c r="B1710" s="6" t="s">
        <v>99</v>
      </c>
      <c r="C1710" s="6" t="s">
        <v>454</v>
      </c>
      <c r="D1710" s="6" t="s">
        <v>14</v>
      </c>
      <c r="E1710" s="6" t="s">
        <v>110</v>
      </c>
      <c r="F1710" s="6" t="s">
        <v>111</v>
      </c>
      <c r="G1710" s="6" t="s">
        <v>450</v>
      </c>
      <c r="H1710" s="6" t="s">
        <v>455</v>
      </c>
      <c r="I1710" s="6" t="s">
        <v>31</v>
      </c>
      <c r="J1710" s="6">
        <v>18.074051162139</v>
      </c>
      <c r="K1710" s="6">
        <v>-96.901112994184999</v>
      </c>
      <c r="L1710" s="6" t="str">
        <f>HYPERLINK("https://maps.google.com/?q=18.0740511621389,-96.901112994185297", "🔗 Ver Mapa")</f>
        <v>🔗 Ver Mapa</v>
      </c>
    </row>
    <row r="1711" spans="1:12" ht="43.5" x14ac:dyDescent="0.35">
      <c r="A1711" s="5" t="s">
        <v>98</v>
      </c>
      <c r="B1711" s="5" t="s">
        <v>99</v>
      </c>
      <c r="C1711" s="5" t="s">
        <v>454</v>
      </c>
      <c r="D1711" s="5" t="s">
        <v>14</v>
      </c>
      <c r="E1711" s="5" t="s">
        <v>110</v>
      </c>
      <c r="F1711" s="5" t="s">
        <v>111</v>
      </c>
      <c r="G1711" s="5" t="s">
        <v>450</v>
      </c>
      <c r="H1711" s="5" t="s">
        <v>455</v>
      </c>
      <c r="I1711" s="5" t="s">
        <v>31</v>
      </c>
      <c r="J1711" s="5">
        <v>18.074685949132</v>
      </c>
      <c r="K1711" s="5">
        <v>-96.897202132695</v>
      </c>
      <c r="L1711" s="5" t="str">
        <f>HYPERLINK("https://maps.google.com/?q=18.0746859491321,-96.897202132695497", "🔗 Ver Mapa")</f>
        <v>🔗 Ver Mapa</v>
      </c>
    </row>
    <row r="1712" spans="1:12" ht="43.5" x14ac:dyDescent="0.35">
      <c r="A1712" s="6" t="s">
        <v>98</v>
      </c>
      <c r="B1712" s="6" t="s">
        <v>99</v>
      </c>
      <c r="C1712" s="6" t="s">
        <v>454</v>
      </c>
      <c r="D1712" s="6" t="s">
        <v>14</v>
      </c>
      <c r="E1712" s="6" t="s">
        <v>110</v>
      </c>
      <c r="F1712" s="6" t="s">
        <v>111</v>
      </c>
      <c r="G1712" s="6" t="s">
        <v>450</v>
      </c>
      <c r="H1712" s="6" t="s">
        <v>455</v>
      </c>
      <c r="I1712" s="6" t="s">
        <v>31</v>
      </c>
      <c r="J1712" s="6">
        <v>18.074729296573999</v>
      </c>
      <c r="K1712" s="6">
        <v>-96.896413563243996</v>
      </c>
      <c r="L1712" s="6" t="str">
        <f>HYPERLINK("https://maps.google.com/?q=18.0747292965736,-96.896413563244494", "🔗 Ver Mapa")</f>
        <v>🔗 Ver Mapa</v>
      </c>
    </row>
    <row r="1713" spans="1:12" ht="43.5" x14ac:dyDescent="0.35">
      <c r="A1713" s="5" t="s">
        <v>98</v>
      </c>
      <c r="B1713" s="5" t="s">
        <v>99</v>
      </c>
      <c r="C1713" s="5" t="s">
        <v>454</v>
      </c>
      <c r="D1713" s="5" t="s">
        <v>14</v>
      </c>
      <c r="E1713" s="5" t="s">
        <v>110</v>
      </c>
      <c r="F1713" s="5" t="s">
        <v>111</v>
      </c>
      <c r="G1713" s="5" t="s">
        <v>450</v>
      </c>
      <c r="H1713" s="5" t="s">
        <v>455</v>
      </c>
      <c r="I1713" s="5" t="s">
        <v>31</v>
      </c>
      <c r="J1713" s="5">
        <v>18.075389833009002</v>
      </c>
      <c r="K1713" s="5">
        <v>-96.896773179999997</v>
      </c>
      <c r="L1713" s="5" t="str">
        <f>HYPERLINK("https://maps.google.com/?q=18.0753898330086,-96.896773179999997", "🔗 Ver Mapa")</f>
        <v>🔗 Ver Mapa</v>
      </c>
    </row>
    <row r="1714" spans="1:12" ht="43.5" x14ac:dyDescent="0.35">
      <c r="A1714" s="6" t="s">
        <v>98</v>
      </c>
      <c r="B1714" s="6" t="s">
        <v>99</v>
      </c>
      <c r="C1714" s="6" t="s">
        <v>454</v>
      </c>
      <c r="D1714" s="6" t="s">
        <v>14</v>
      </c>
      <c r="E1714" s="6" t="s">
        <v>110</v>
      </c>
      <c r="F1714" s="6" t="s">
        <v>111</v>
      </c>
      <c r="G1714" s="6" t="s">
        <v>450</v>
      </c>
      <c r="H1714" s="6" t="s">
        <v>455</v>
      </c>
      <c r="I1714" s="6" t="s">
        <v>31</v>
      </c>
      <c r="J1714" s="6">
        <v>18.075439742334002</v>
      </c>
      <c r="K1714" s="6">
        <v>-96.896869388541006</v>
      </c>
      <c r="L1714" s="6" t="str">
        <f>HYPERLINK("https://maps.google.com/?q=18.0754397423345,-96.896869388541106", "🔗 Ver Mapa")</f>
        <v>🔗 Ver Mapa</v>
      </c>
    </row>
    <row r="1715" spans="1:12" ht="43.5" x14ac:dyDescent="0.35">
      <c r="A1715" s="5" t="s">
        <v>98</v>
      </c>
      <c r="B1715" s="5" t="s">
        <v>99</v>
      </c>
      <c r="C1715" s="5" t="s">
        <v>454</v>
      </c>
      <c r="D1715" s="5" t="s">
        <v>14</v>
      </c>
      <c r="E1715" s="5" t="s">
        <v>110</v>
      </c>
      <c r="F1715" s="5" t="s">
        <v>111</v>
      </c>
      <c r="G1715" s="5" t="s">
        <v>450</v>
      </c>
      <c r="H1715" s="5" t="s">
        <v>455</v>
      </c>
      <c r="I1715" s="5" t="s">
        <v>31</v>
      </c>
      <c r="J1715" s="5">
        <v>18.075621868254999</v>
      </c>
      <c r="K1715" s="5">
        <v>-96.896856328479998</v>
      </c>
      <c r="L1715" s="5" t="str">
        <f>HYPERLINK("https://maps.google.com/?q=18.0756218682546,-96.896856328479998", "🔗 Ver Mapa")</f>
        <v>🔗 Ver Mapa</v>
      </c>
    </row>
    <row r="1716" spans="1:12" ht="43.5" x14ac:dyDescent="0.35">
      <c r="A1716" s="6" t="s">
        <v>98</v>
      </c>
      <c r="B1716" s="6" t="s">
        <v>99</v>
      </c>
      <c r="C1716" s="6" t="s">
        <v>454</v>
      </c>
      <c r="D1716" s="6" t="s">
        <v>14</v>
      </c>
      <c r="E1716" s="6" t="s">
        <v>110</v>
      </c>
      <c r="F1716" s="6" t="s">
        <v>111</v>
      </c>
      <c r="G1716" s="6" t="s">
        <v>450</v>
      </c>
      <c r="H1716" s="6" t="s">
        <v>455</v>
      </c>
      <c r="I1716" s="6" t="s">
        <v>31</v>
      </c>
      <c r="J1716" s="6">
        <v>18.075704737911</v>
      </c>
      <c r="K1716" s="6">
        <v>-96.897776326172007</v>
      </c>
      <c r="L1716" s="6" t="str">
        <f>HYPERLINK("https://maps.google.com/?q=18.0757047379111,-96.897776326172107", "🔗 Ver Mapa")</f>
        <v>🔗 Ver Mapa</v>
      </c>
    </row>
    <row r="1717" spans="1:12" ht="43.5" x14ac:dyDescent="0.35">
      <c r="A1717" s="5" t="s">
        <v>98</v>
      </c>
      <c r="B1717" s="5" t="s">
        <v>99</v>
      </c>
      <c r="C1717" s="5" t="s">
        <v>454</v>
      </c>
      <c r="D1717" s="5" t="s">
        <v>14</v>
      </c>
      <c r="E1717" s="5" t="s">
        <v>110</v>
      </c>
      <c r="F1717" s="5" t="s">
        <v>111</v>
      </c>
      <c r="G1717" s="5" t="s">
        <v>450</v>
      </c>
      <c r="H1717" s="5" t="s">
        <v>455</v>
      </c>
      <c r="I1717" s="5" t="s">
        <v>31</v>
      </c>
      <c r="J1717" s="5">
        <v>18.076023063867002</v>
      </c>
      <c r="K1717" s="5">
        <v>-96.899100191163996</v>
      </c>
      <c r="L1717" s="5" t="str">
        <f>HYPERLINK("https://maps.google.com/?q=18.0760230638666,-96.899100191164194", "🔗 Ver Mapa")</f>
        <v>🔗 Ver Mapa</v>
      </c>
    </row>
    <row r="1718" spans="1:12" ht="43.5" x14ac:dyDescent="0.35">
      <c r="A1718" s="6" t="s">
        <v>98</v>
      </c>
      <c r="B1718" s="6" t="s">
        <v>99</v>
      </c>
      <c r="C1718" s="6" t="s">
        <v>456</v>
      </c>
      <c r="D1718" s="6" t="s">
        <v>14</v>
      </c>
      <c r="E1718" s="6" t="s">
        <v>110</v>
      </c>
      <c r="F1718" s="6" t="s">
        <v>111</v>
      </c>
      <c r="G1718" s="6" t="s">
        <v>450</v>
      </c>
      <c r="H1718" s="6" t="s">
        <v>457</v>
      </c>
      <c r="I1718" s="6" t="s">
        <v>31</v>
      </c>
      <c r="J1718" s="6">
        <v>18.054732622705</v>
      </c>
      <c r="K1718" s="6">
        <v>-96.829629999999995</v>
      </c>
      <c r="L1718" s="6" t="str">
        <f>HYPERLINK("https://maps.google.com/?q=18.0547326227051,-96.829629999999995", "🔗 Ver Mapa")</f>
        <v>🔗 Ver Mapa</v>
      </c>
    </row>
    <row r="1719" spans="1:12" ht="43.5" x14ac:dyDescent="0.35">
      <c r="A1719" s="5" t="s">
        <v>98</v>
      </c>
      <c r="B1719" s="5" t="s">
        <v>99</v>
      </c>
      <c r="C1719" s="5" t="s">
        <v>456</v>
      </c>
      <c r="D1719" s="5" t="s">
        <v>14</v>
      </c>
      <c r="E1719" s="5" t="s">
        <v>110</v>
      </c>
      <c r="F1719" s="5" t="s">
        <v>111</v>
      </c>
      <c r="G1719" s="5" t="s">
        <v>450</v>
      </c>
      <c r="H1719" s="5" t="s">
        <v>457</v>
      </c>
      <c r="I1719" s="5" t="s">
        <v>31</v>
      </c>
      <c r="J1719" s="5">
        <v>18.055742358642998</v>
      </c>
      <c r="K1719" s="5">
        <v>-96.826059787673003</v>
      </c>
      <c r="L1719" s="5" t="str">
        <f>HYPERLINK("https://maps.google.com/?q=18.0557423586425,-96.826059787672705", "🔗 Ver Mapa")</f>
        <v>🔗 Ver Mapa</v>
      </c>
    </row>
    <row r="1720" spans="1:12" ht="43.5" x14ac:dyDescent="0.35">
      <c r="A1720" s="6" t="s">
        <v>98</v>
      </c>
      <c r="B1720" s="6" t="s">
        <v>99</v>
      </c>
      <c r="C1720" s="6" t="s">
        <v>456</v>
      </c>
      <c r="D1720" s="6" t="s">
        <v>14</v>
      </c>
      <c r="E1720" s="6" t="s">
        <v>110</v>
      </c>
      <c r="F1720" s="6" t="s">
        <v>111</v>
      </c>
      <c r="G1720" s="6" t="s">
        <v>450</v>
      </c>
      <c r="H1720" s="6" t="s">
        <v>457</v>
      </c>
      <c r="I1720" s="6" t="s">
        <v>31</v>
      </c>
      <c r="J1720" s="6">
        <v>18.056238364315998</v>
      </c>
      <c r="K1720" s="6">
        <v>-96.827714334719005</v>
      </c>
      <c r="L1720" s="6" t="str">
        <f>HYPERLINK("https://maps.google.com/?q=18.0562383643162,-96.827714334718806", "🔗 Ver Mapa")</f>
        <v>🔗 Ver Mapa</v>
      </c>
    </row>
    <row r="1721" spans="1:12" ht="43.5" x14ac:dyDescent="0.35">
      <c r="A1721" s="5" t="s">
        <v>98</v>
      </c>
      <c r="B1721" s="5" t="s">
        <v>99</v>
      </c>
      <c r="C1721" s="5" t="s">
        <v>456</v>
      </c>
      <c r="D1721" s="5" t="s">
        <v>14</v>
      </c>
      <c r="E1721" s="5" t="s">
        <v>110</v>
      </c>
      <c r="F1721" s="5" t="s">
        <v>111</v>
      </c>
      <c r="G1721" s="5" t="s">
        <v>450</v>
      </c>
      <c r="H1721" s="5" t="s">
        <v>457</v>
      </c>
      <c r="I1721" s="5" t="s">
        <v>31</v>
      </c>
      <c r="J1721" s="5">
        <v>18.056470499256001</v>
      </c>
      <c r="K1721" s="5">
        <v>-96.831492579636006</v>
      </c>
      <c r="L1721" s="5" t="str">
        <f>HYPERLINK("https://maps.google.com/?q=18.0564704992555,-96.831492579635693", "🔗 Ver Mapa")</f>
        <v>🔗 Ver Mapa</v>
      </c>
    </row>
    <row r="1722" spans="1:12" ht="43.5" x14ac:dyDescent="0.35">
      <c r="A1722" s="6" t="s">
        <v>98</v>
      </c>
      <c r="B1722" s="6" t="s">
        <v>99</v>
      </c>
      <c r="C1722" s="6" t="s">
        <v>456</v>
      </c>
      <c r="D1722" s="6" t="s">
        <v>14</v>
      </c>
      <c r="E1722" s="6" t="s">
        <v>110</v>
      </c>
      <c r="F1722" s="6" t="s">
        <v>111</v>
      </c>
      <c r="G1722" s="6" t="s">
        <v>450</v>
      </c>
      <c r="H1722" s="6" t="s">
        <v>457</v>
      </c>
      <c r="I1722" s="6" t="s">
        <v>31</v>
      </c>
      <c r="J1722" s="6">
        <v>18.056907042953</v>
      </c>
      <c r="K1722" s="6">
        <v>-96.831203537790998</v>
      </c>
      <c r="L1722" s="6" t="str">
        <f>HYPERLINK("https://maps.google.com/?q=18.0569070429529,-96.8312035377905", "🔗 Ver Mapa")</f>
        <v>🔗 Ver Mapa</v>
      </c>
    </row>
    <row r="1723" spans="1:12" ht="43.5" x14ac:dyDescent="0.35">
      <c r="A1723" s="5" t="s">
        <v>98</v>
      </c>
      <c r="B1723" s="5" t="s">
        <v>99</v>
      </c>
      <c r="C1723" s="5" t="s">
        <v>456</v>
      </c>
      <c r="D1723" s="5" t="s">
        <v>14</v>
      </c>
      <c r="E1723" s="5" t="s">
        <v>110</v>
      </c>
      <c r="F1723" s="5" t="s">
        <v>111</v>
      </c>
      <c r="G1723" s="5" t="s">
        <v>450</v>
      </c>
      <c r="H1723" s="5" t="s">
        <v>457</v>
      </c>
      <c r="I1723" s="5" t="s">
        <v>31</v>
      </c>
      <c r="J1723" s="5">
        <v>18.058590103012001</v>
      </c>
      <c r="K1723" s="5">
        <v>-96.836292364418</v>
      </c>
      <c r="L1723" s="5" t="str">
        <f>HYPERLINK("https://maps.google.com/?q=18.0585901030123,-96.836292364418", "🔗 Ver Mapa")</f>
        <v>🔗 Ver Mapa</v>
      </c>
    </row>
    <row r="1724" spans="1:12" ht="43.5" x14ac:dyDescent="0.35">
      <c r="A1724" s="6" t="s">
        <v>98</v>
      </c>
      <c r="B1724" s="6" t="s">
        <v>99</v>
      </c>
      <c r="C1724" s="6" t="s">
        <v>456</v>
      </c>
      <c r="D1724" s="6" t="s">
        <v>14</v>
      </c>
      <c r="E1724" s="6" t="s">
        <v>110</v>
      </c>
      <c r="F1724" s="6" t="s">
        <v>111</v>
      </c>
      <c r="G1724" s="6" t="s">
        <v>450</v>
      </c>
      <c r="H1724" s="6" t="s">
        <v>457</v>
      </c>
      <c r="I1724" s="6" t="s">
        <v>31</v>
      </c>
      <c r="J1724" s="6">
        <v>18.062520992899</v>
      </c>
      <c r="K1724" s="6">
        <v>-96.834372247790995</v>
      </c>
      <c r="L1724" s="6" t="str">
        <f>HYPERLINK("https://maps.google.com/?q=18.0625209928989,-96.834372247790995", "🔗 Ver Mapa")</f>
        <v>🔗 Ver Mapa</v>
      </c>
    </row>
    <row r="1725" spans="1:12" ht="43.5" x14ac:dyDescent="0.35">
      <c r="A1725" s="5" t="s">
        <v>98</v>
      </c>
      <c r="B1725" s="5" t="s">
        <v>99</v>
      </c>
      <c r="C1725" s="5" t="s">
        <v>456</v>
      </c>
      <c r="D1725" s="5" t="s">
        <v>14</v>
      </c>
      <c r="E1725" s="5" t="s">
        <v>110</v>
      </c>
      <c r="F1725" s="5" t="s">
        <v>111</v>
      </c>
      <c r="G1725" s="5" t="s">
        <v>450</v>
      </c>
      <c r="H1725" s="5" t="s">
        <v>457</v>
      </c>
      <c r="I1725" s="5" t="s">
        <v>31</v>
      </c>
      <c r="J1725" s="5">
        <v>18.063016402864999</v>
      </c>
      <c r="K1725" s="5">
        <v>-96.832215854417996</v>
      </c>
      <c r="L1725" s="5" t="str">
        <f>HYPERLINK("https://maps.google.com/?q=18.0630164028653,-96.832215854418095", "🔗 Ver Mapa")</f>
        <v>🔗 Ver Mapa</v>
      </c>
    </row>
    <row r="1726" spans="1:12" ht="43.5" x14ac:dyDescent="0.35">
      <c r="A1726" s="6" t="s">
        <v>98</v>
      </c>
      <c r="B1726" s="6" t="s">
        <v>99</v>
      </c>
      <c r="C1726" s="6" t="s">
        <v>456</v>
      </c>
      <c r="D1726" s="6" t="s">
        <v>14</v>
      </c>
      <c r="E1726" s="6" t="s">
        <v>110</v>
      </c>
      <c r="F1726" s="6" t="s">
        <v>111</v>
      </c>
      <c r="G1726" s="6" t="s">
        <v>450</v>
      </c>
      <c r="H1726" s="6" t="s">
        <v>457</v>
      </c>
      <c r="I1726" s="6" t="s">
        <v>31</v>
      </c>
      <c r="J1726" s="6">
        <v>18.063027177816998</v>
      </c>
      <c r="K1726" s="6">
        <v>-96.836113002209004</v>
      </c>
      <c r="L1726" s="6" t="str">
        <f>HYPERLINK("https://maps.google.com/?q=18.0630271778175,-96.836113002209103", "🔗 Ver Mapa")</f>
        <v>🔗 Ver Mapa</v>
      </c>
    </row>
    <row r="1727" spans="1:12" ht="43.5" x14ac:dyDescent="0.35">
      <c r="A1727" s="5" t="s">
        <v>98</v>
      </c>
      <c r="B1727" s="5" t="s">
        <v>99</v>
      </c>
      <c r="C1727" s="5" t="s">
        <v>456</v>
      </c>
      <c r="D1727" s="5" t="s">
        <v>14</v>
      </c>
      <c r="E1727" s="5" t="s">
        <v>110</v>
      </c>
      <c r="F1727" s="5" t="s">
        <v>111</v>
      </c>
      <c r="G1727" s="5" t="s">
        <v>450</v>
      </c>
      <c r="H1727" s="5" t="s">
        <v>457</v>
      </c>
      <c r="I1727" s="5" t="s">
        <v>31</v>
      </c>
      <c r="J1727" s="5">
        <v>18.063355965357001</v>
      </c>
      <c r="K1727" s="5">
        <v>-96.833353220551999</v>
      </c>
      <c r="L1727" s="5" t="str">
        <f>HYPERLINK("https://maps.google.com/?q=18.0633559653567,-96.833353220552297", "🔗 Ver Mapa")</f>
        <v>🔗 Ver Mapa</v>
      </c>
    </row>
    <row r="1728" spans="1:12" ht="43.5" x14ac:dyDescent="0.35">
      <c r="A1728" s="6" t="s">
        <v>98</v>
      </c>
      <c r="B1728" s="6" t="s">
        <v>99</v>
      </c>
      <c r="C1728" s="6" t="s">
        <v>456</v>
      </c>
      <c r="D1728" s="6" t="s">
        <v>14</v>
      </c>
      <c r="E1728" s="6" t="s">
        <v>110</v>
      </c>
      <c r="F1728" s="6" t="s">
        <v>111</v>
      </c>
      <c r="G1728" s="6" t="s">
        <v>450</v>
      </c>
      <c r="H1728" s="6" t="s">
        <v>457</v>
      </c>
      <c r="I1728" s="6" t="s">
        <v>31</v>
      </c>
      <c r="J1728" s="6">
        <v>18.06344990282</v>
      </c>
      <c r="K1728" s="6">
        <v>-96.832547112208999</v>
      </c>
      <c r="L1728" s="6" t="str">
        <f>HYPERLINK("https://maps.google.com/?q=18.0634499028204,-96.832547112208999", "🔗 Ver Mapa")</f>
        <v>🔗 Ver Mapa</v>
      </c>
    </row>
    <row r="1729" spans="1:12" ht="43.5" x14ac:dyDescent="0.35">
      <c r="A1729" s="5" t="s">
        <v>98</v>
      </c>
      <c r="B1729" s="5" t="s">
        <v>99</v>
      </c>
      <c r="C1729" s="5" t="s">
        <v>456</v>
      </c>
      <c r="D1729" s="5" t="s">
        <v>14</v>
      </c>
      <c r="E1729" s="5" t="s">
        <v>110</v>
      </c>
      <c r="F1729" s="5" t="s">
        <v>111</v>
      </c>
      <c r="G1729" s="5" t="s">
        <v>450</v>
      </c>
      <c r="H1729" s="5" t="s">
        <v>457</v>
      </c>
      <c r="I1729" s="5" t="s">
        <v>31</v>
      </c>
      <c r="J1729" s="5">
        <v>18.063521438430001</v>
      </c>
      <c r="K1729" s="5">
        <v>-96.833481245114001</v>
      </c>
      <c r="L1729" s="5" t="str">
        <f>HYPERLINK("https://maps.google.com/?q=18.0635214384303,-96.833481245113902", "🔗 Ver Mapa")</f>
        <v>🔗 Ver Mapa</v>
      </c>
    </row>
    <row r="1730" spans="1:12" ht="43.5" x14ac:dyDescent="0.35">
      <c r="A1730" s="6" t="s">
        <v>98</v>
      </c>
      <c r="B1730" s="6" t="s">
        <v>99</v>
      </c>
      <c r="C1730" s="6" t="s">
        <v>456</v>
      </c>
      <c r="D1730" s="6" t="s">
        <v>14</v>
      </c>
      <c r="E1730" s="6" t="s">
        <v>110</v>
      </c>
      <c r="F1730" s="6" t="s">
        <v>111</v>
      </c>
      <c r="G1730" s="6" t="s">
        <v>450</v>
      </c>
      <c r="H1730" s="6" t="s">
        <v>457</v>
      </c>
      <c r="I1730" s="6" t="s">
        <v>31</v>
      </c>
      <c r="J1730" s="6">
        <v>18.063528252857999</v>
      </c>
      <c r="K1730" s="6">
        <v>-96.832623454417998</v>
      </c>
      <c r="L1730" s="6" t="str">
        <f>HYPERLINK("https://maps.google.com/?q=18.0635282528579,-96.832623454418098", "🔗 Ver Mapa")</f>
        <v>🔗 Ver Mapa</v>
      </c>
    </row>
    <row r="1731" spans="1:12" ht="43.5" x14ac:dyDescent="0.35">
      <c r="A1731" s="5" t="s">
        <v>98</v>
      </c>
      <c r="B1731" s="5" t="s">
        <v>99</v>
      </c>
      <c r="C1731" s="5" t="s">
        <v>456</v>
      </c>
      <c r="D1731" s="5" t="s">
        <v>14</v>
      </c>
      <c r="E1731" s="5" t="s">
        <v>110</v>
      </c>
      <c r="F1731" s="5" t="s">
        <v>111</v>
      </c>
      <c r="G1731" s="5" t="s">
        <v>450</v>
      </c>
      <c r="H1731" s="5" t="s">
        <v>457</v>
      </c>
      <c r="I1731" s="5" t="s">
        <v>31</v>
      </c>
      <c r="J1731" s="5">
        <v>18.063548483779002</v>
      </c>
      <c r="K1731" s="5">
        <v>-96.838496675507002</v>
      </c>
      <c r="L1731" s="5" t="str">
        <f>HYPERLINK("https://maps.google.com/?q=18.0635484837788,-96.838496675506903", "🔗 Ver Mapa")</f>
        <v>🔗 Ver Mapa</v>
      </c>
    </row>
    <row r="1732" spans="1:12" ht="43.5" x14ac:dyDescent="0.35">
      <c r="A1732" s="6" t="s">
        <v>98</v>
      </c>
      <c r="B1732" s="6" t="s">
        <v>99</v>
      </c>
      <c r="C1732" s="6" t="s">
        <v>456</v>
      </c>
      <c r="D1732" s="6" t="s">
        <v>14</v>
      </c>
      <c r="E1732" s="6" t="s">
        <v>110</v>
      </c>
      <c r="F1732" s="6" t="s">
        <v>111</v>
      </c>
      <c r="G1732" s="6" t="s">
        <v>450</v>
      </c>
      <c r="H1732" s="6" t="s">
        <v>457</v>
      </c>
      <c r="I1732" s="6" t="s">
        <v>31</v>
      </c>
      <c r="J1732" s="6">
        <v>18.063668774726001</v>
      </c>
      <c r="K1732" s="6">
        <v>-96.838516244201003</v>
      </c>
      <c r="L1732" s="6" t="str">
        <f>HYPERLINK("https://maps.google.com/?q=18.0636687747263,-96.838516244200903", "🔗 Ver Mapa")</f>
        <v>🔗 Ver Mapa</v>
      </c>
    </row>
    <row r="1733" spans="1:12" ht="43.5" x14ac:dyDescent="0.35">
      <c r="A1733" s="5" t="s">
        <v>98</v>
      </c>
      <c r="B1733" s="5" t="s">
        <v>99</v>
      </c>
      <c r="C1733" s="5" t="s">
        <v>456</v>
      </c>
      <c r="D1733" s="5" t="s">
        <v>14</v>
      </c>
      <c r="E1733" s="5" t="s">
        <v>110</v>
      </c>
      <c r="F1733" s="5" t="s">
        <v>111</v>
      </c>
      <c r="G1733" s="5" t="s">
        <v>450</v>
      </c>
      <c r="H1733" s="5" t="s">
        <v>457</v>
      </c>
      <c r="I1733" s="5" t="s">
        <v>31</v>
      </c>
      <c r="J1733" s="5">
        <v>18.063710578030999</v>
      </c>
      <c r="K1733" s="5">
        <v>-96.838695969168</v>
      </c>
      <c r="L1733" s="5" t="str">
        <f>HYPERLINK("https://maps.google.com/?q=18.0637105780314,-96.838695969167901", "🔗 Ver Mapa")</f>
        <v>🔗 Ver Mapa</v>
      </c>
    </row>
    <row r="1734" spans="1:12" ht="43.5" x14ac:dyDescent="0.35">
      <c r="A1734" s="6" t="s">
        <v>98</v>
      </c>
      <c r="B1734" s="6" t="s">
        <v>99</v>
      </c>
      <c r="C1734" s="6" t="s">
        <v>456</v>
      </c>
      <c r="D1734" s="6" t="s">
        <v>14</v>
      </c>
      <c r="E1734" s="6" t="s">
        <v>110</v>
      </c>
      <c r="F1734" s="6" t="s">
        <v>111</v>
      </c>
      <c r="G1734" s="6" t="s">
        <v>450</v>
      </c>
      <c r="H1734" s="6" t="s">
        <v>457</v>
      </c>
      <c r="I1734" s="6" t="s">
        <v>31</v>
      </c>
      <c r="J1734" s="6">
        <v>18.063712552883</v>
      </c>
      <c r="K1734" s="6">
        <v>-96.832281570000006</v>
      </c>
      <c r="L1734" s="6" t="str">
        <f>HYPERLINK("https://maps.google.com/?q=18.0637125528829,-96.832281570000006", "🔗 Ver Mapa")</f>
        <v>🔗 Ver Mapa</v>
      </c>
    </row>
    <row r="1735" spans="1:12" ht="43.5" x14ac:dyDescent="0.35">
      <c r="A1735" s="5" t="s">
        <v>98</v>
      </c>
      <c r="B1735" s="5" t="s">
        <v>99</v>
      </c>
      <c r="C1735" s="5" t="s">
        <v>456</v>
      </c>
      <c r="D1735" s="5" t="s">
        <v>14</v>
      </c>
      <c r="E1735" s="5" t="s">
        <v>110</v>
      </c>
      <c r="F1735" s="5" t="s">
        <v>111</v>
      </c>
      <c r="G1735" s="5" t="s">
        <v>450</v>
      </c>
      <c r="H1735" s="5" t="s">
        <v>457</v>
      </c>
      <c r="I1735" s="5" t="s">
        <v>31</v>
      </c>
      <c r="J1735" s="5">
        <v>18.063794212977001</v>
      </c>
      <c r="K1735" s="5">
        <v>-96.833266793139003</v>
      </c>
      <c r="L1735" s="5" t="str">
        <f>HYPERLINK("https://maps.google.com/?q=18.0637942129766,-96.833266793139202", "🔗 Ver Mapa")</f>
        <v>🔗 Ver Mapa</v>
      </c>
    </row>
    <row r="1736" spans="1:12" ht="43.5" x14ac:dyDescent="0.35">
      <c r="A1736" s="6" t="s">
        <v>98</v>
      </c>
      <c r="B1736" s="6" t="s">
        <v>99</v>
      </c>
      <c r="C1736" s="6" t="s">
        <v>456</v>
      </c>
      <c r="D1736" s="6" t="s">
        <v>14</v>
      </c>
      <c r="E1736" s="6" t="s">
        <v>110</v>
      </c>
      <c r="F1736" s="6" t="s">
        <v>111</v>
      </c>
      <c r="G1736" s="6" t="s">
        <v>450</v>
      </c>
      <c r="H1736" s="6" t="s">
        <v>457</v>
      </c>
      <c r="I1736" s="6" t="s">
        <v>31</v>
      </c>
      <c r="J1736" s="6">
        <v>18.063813890586001</v>
      </c>
      <c r="K1736" s="6">
        <v>-96.841591284456996</v>
      </c>
      <c r="L1736" s="6" t="str">
        <f>HYPERLINK("https://maps.google.com/?q=18.0638138905862,-96.841591284456698", "🔗 Ver Mapa")</f>
        <v>🔗 Ver Mapa</v>
      </c>
    </row>
    <row r="1737" spans="1:12" ht="43.5" x14ac:dyDescent="0.35">
      <c r="A1737" s="5" t="s">
        <v>98</v>
      </c>
      <c r="B1737" s="5" t="s">
        <v>99</v>
      </c>
      <c r="C1737" s="5" t="s">
        <v>456</v>
      </c>
      <c r="D1737" s="5" t="s">
        <v>14</v>
      </c>
      <c r="E1737" s="5" t="s">
        <v>110</v>
      </c>
      <c r="F1737" s="5" t="s">
        <v>111</v>
      </c>
      <c r="G1737" s="5" t="s">
        <v>450</v>
      </c>
      <c r="H1737" s="5" t="s">
        <v>457</v>
      </c>
      <c r="I1737" s="5" t="s">
        <v>31</v>
      </c>
      <c r="J1737" s="5">
        <v>18.063815603369999</v>
      </c>
      <c r="K1737" s="5">
        <v>-96.840251923349996</v>
      </c>
      <c r="L1737" s="5" t="str">
        <f>HYPERLINK("https://maps.google.com/?q=18.0638156033697,-96.840251923350394", "🔗 Ver Mapa")</f>
        <v>🔗 Ver Mapa</v>
      </c>
    </row>
    <row r="1738" spans="1:12" ht="43.5" x14ac:dyDescent="0.35">
      <c r="A1738" s="6" t="s">
        <v>98</v>
      </c>
      <c r="B1738" s="6" t="s">
        <v>99</v>
      </c>
      <c r="C1738" s="6" t="s">
        <v>456</v>
      </c>
      <c r="D1738" s="6" t="s">
        <v>14</v>
      </c>
      <c r="E1738" s="6" t="s">
        <v>110</v>
      </c>
      <c r="F1738" s="6" t="s">
        <v>111</v>
      </c>
      <c r="G1738" s="6" t="s">
        <v>450</v>
      </c>
      <c r="H1738" s="6" t="s">
        <v>457</v>
      </c>
      <c r="I1738" s="6" t="s">
        <v>31</v>
      </c>
      <c r="J1738" s="6">
        <v>18.063818952860998</v>
      </c>
      <c r="K1738" s="6">
        <v>-96.833808989999994</v>
      </c>
      <c r="L1738" s="6" t="str">
        <f>HYPERLINK("https://maps.google.com/?q=18.0638189528614,-96.833808990000094", "🔗 Ver Mapa")</f>
        <v>🔗 Ver Mapa</v>
      </c>
    </row>
    <row r="1739" spans="1:12" ht="43.5" x14ac:dyDescent="0.35">
      <c r="A1739" s="5" t="s">
        <v>98</v>
      </c>
      <c r="B1739" s="5" t="s">
        <v>99</v>
      </c>
      <c r="C1739" s="5" t="s">
        <v>456</v>
      </c>
      <c r="D1739" s="5" t="s">
        <v>14</v>
      </c>
      <c r="E1739" s="5" t="s">
        <v>110</v>
      </c>
      <c r="F1739" s="5" t="s">
        <v>111</v>
      </c>
      <c r="G1739" s="5" t="s">
        <v>450</v>
      </c>
      <c r="H1739" s="5" t="s">
        <v>457</v>
      </c>
      <c r="I1739" s="5" t="s">
        <v>31</v>
      </c>
      <c r="J1739" s="5">
        <v>18.063836660220002</v>
      </c>
      <c r="K1739" s="5">
        <v>-96.838840657770007</v>
      </c>
      <c r="L1739" s="5" t="str">
        <f>HYPERLINK("https://maps.google.com/?q=18.0638366602198,-96.838840657770305", "🔗 Ver Mapa")</f>
        <v>🔗 Ver Mapa</v>
      </c>
    </row>
    <row r="1740" spans="1:12" ht="43.5" x14ac:dyDescent="0.35">
      <c r="A1740" s="6" t="s">
        <v>98</v>
      </c>
      <c r="B1740" s="6" t="s">
        <v>99</v>
      </c>
      <c r="C1740" s="6" t="s">
        <v>456</v>
      </c>
      <c r="D1740" s="6" t="s">
        <v>14</v>
      </c>
      <c r="E1740" s="6" t="s">
        <v>110</v>
      </c>
      <c r="F1740" s="6" t="s">
        <v>111</v>
      </c>
      <c r="G1740" s="6" t="s">
        <v>450</v>
      </c>
      <c r="H1740" s="6" t="s">
        <v>457</v>
      </c>
      <c r="I1740" s="6" t="s">
        <v>31</v>
      </c>
      <c r="J1740" s="6">
        <v>18.063895182412999</v>
      </c>
      <c r="K1740" s="6">
        <v>-96.833453896495996</v>
      </c>
      <c r="L1740" s="6" t="str">
        <f>HYPERLINK("https://maps.google.com/?q=18.0638951824129,-96.833453896496195", "🔗 Ver Mapa")</f>
        <v>🔗 Ver Mapa</v>
      </c>
    </row>
    <row r="1741" spans="1:12" ht="43.5" x14ac:dyDescent="0.35">
      <c r="A1741" s="5" t="s">
        <v>98</v>
      </c>
      <c r="B1741" s="5" t="s">
        <v>99</v>
      </c>
      <c r="C1741" s="5" t="s">
        <v>456</v>
      </c>
      <c r="D1741" s="5" t="s">
        <v>14</v>
      </c>
      <c r="E1741" s="5" t="s">
        <v>110</v>
      </c>
      <c r="F1741" s="5" t="s">
        <v>111</v>
      </c>
      <c r="G1741" s="5" t="s">
        <v>450</v>
      </c>
      <c r="H1741" s="5" t="s">
        <v>457</v>
      </c>
      <c r="I1741" s="5" t="s">
        <v>31</v>
      </c>
      <c r="J1741" s="5">
        <v>18.063948385199001</v>
      </c>
      <c r="K1741" s="5">
        <v>-96.839689178585004</v>
      </c>
      <c r="L1741" s="5" t="str">
        <f>HYPERLINK("https://maps.google.com/?q=18.0639483851985,-96.839689178585402", "🔗 Ver Mapa")</f>
        <v>🔗 Ver Mapa</v>
      </c>
    </row>
    <row r="1742" spans="1:12" ht="43.5" x14ac:dyDescent="0.35">
      <c r="A1742" s="6" t="s">
        <v>98</v>
      </c>
      <c r="B1742" s="6" t="s">
        <v>99</v>
      </c>
      <c r="C1742" s="6" t="s">
        <v>456</v>
      </c>
      <c r="D1742" s="6" t="s">
        <v>14</v>
      </c>
      <c r="E1742" s="6" t="s">
        <v>110</v>
      </c>
      <c r="F1742" s="6" t="s">
        <v>111</v>
      </c>
      <c r="G1742" s="6" t="s">
        <v>450</v>
      </c>
      <c r="H1742" s="6" t="s">
        <v>457</v>
      </c>
      <c r="I1742" s="6" t="s">
        <v>31</v>
      </c>
      <c r="J1742" s="6">
        <v>18.063954102829999</v>
      </c>
      <c r="K1742" s="6">
        <v>-96.832701232209004</v>
      </c>
      <c r="L1742" s="6" t="str">
        <f>HYPERLINK("https://maps.google.com/?q=18.0639541028296,-96.832701232208905", "🔗 Ver Mapa")</f>
        <v>🔗 Ver Mapa</v>
      </c>
    </row>
    <row r="1743" spans="1:12" ht="43.5" x14ac:dyDescent="0.35">
      <c r="A1743" s="5" t="s">
        <v>98</v>
      </c>
      <c r="B1743" s="5" t="s">
        <v>99</v>
      </c>
      <c r="C1743" s="5" t="s">
        <v>456</v>
      </c>
      <c r="D1743" s="5" t="s">
        <v>14</v>
      </c>
      <c r="E1743" s="5" t="s">
        <v>110</v>
      </c>
      <c r="F1743" s="5" t="s">
        <v>111</v>
      </c>
      <c r="G1743" s="5" t="s">
        <v>450</v>
      </c>
      <c r="H1743" s="5" t="s">
        <v>457</v>
      </c>
      <c r="I1743" s="5" t="s">
        <v>31</v>
      </c>
      <c r="J1743" s="5">
        <v>18.064057152893</v>
      </c>
      <c r="K1743" s="5">
        <v>-96.833735448952993</v>
      </c>
      <c r="L1743" s="5" t="str">
        <f>HYPERLINK("https://maps.google.com/?q=18.0640571528934,-96.833735448953107", "🔗 Ver Mapa")</f>
        <v>🔗 Ver Mapa</v>
      </c>
    </row>
    <row r="1744" spans="1:12" ht="43.5" x14ac:dyDescent="0.35">
      <c r="A1744" s="6" t="s">
        <v>98</v>
      </c>
      <c r="B1744" s="6" t="s">
        <v>99</v>
      </c>
      <c r="C1744" s="6" t="s">
        <v>456</v>
      </c>
      <c r="D1744" s="6" t="s">
        <v>14</v>
      </c>
      <c r="E1744" s="6" t="s">
        <v>110</v>
      </c>
      <c r="F1744" s="6" t="s">
        <v>111</v>
      </c>
      <c r="G1744" s="6" t="s">
        <v>450</v>
      </c>
      <c r="H1744" s="6" t="s">
        <v>457</v>
      </c>
      <c r="I1744" s="6" t="s">
        <v>31</v>
      </c>
      <c r="J1744" s="6">
        <v>18.064304733526999</v>
      </c>
      <c r="K1744" s="6">
        <v>-96.836228994256999</v>
      </c>
      <c r="L1744" s="6" t="str">
        <f>HYPERLINK("https://maps.google.com/?q=18.0643047335265,-96.836228994256899", "🔗 Ver Mapa")</f>
        <v>🔗 Ver Mapa</v>
      </c>
    </row>
    <row r="1745" spans="1:12" ht="43.5" x14ac:dyDescent="0.35">
      <c r="A1745" s="5" t="s">
        <v>98</v>
      </c>
      <c r="B1745" s="5" t="s">
        <v>99</v>
      </c>
      <c r="C1745" s="5" t="s">
        <v>456</v>
      </c>
      <c r="D1745" s="5" t="s">
        <v>14</v>
      </c>
      <c r="E1745" s="5" t="s">
        <v>110</v>
      </c>
      <c r="F1745" s="5" t="s">
        <v>111</v>
      </c>
      <c r="G1745" s="5" t="s">
        <v>450</v>
      </c>
      <c r="H1745" s="5" t="s">
        <v>457</v>
      </c>
      <c r="I1745" s="5" t="s">
        <v>31</v>
      </c>
      <c r="J1745" s="5">
        <v>18.064342379732999</v>
      </c>
      <c r="K1745" s="5">
        <v>-96.835658749469999</v>
      </c>
      <c r="L1745" s="5" t="str">
        <f>HYPERLINK("https://maps.google.com/?q=18.0643423797329,-96.835658749469602", "🔗 Ver Mapa")</f>
        <v>🔗 Ver Mapa</v>
      </c>
    </row>
    <row r="1746" spans="1:12" ht="43.5" x14ac:dyDescent="0.35">
      <c r="A1746" s="6" t="s">
        <v>98</v>
      </c>
      <c r="B1746" s="6" t="s">
        <v>99</v>
      </c>
      <c r="C1746" s="6" t="s">
        <v>458</v>
      </c>
      <c r="D1746" s="6" t="s">
        <v>14</v>
      </c>
      <c r="E1746" s="6" t="s">
        <v>110</v>
      </c>
      <c r="F1746" s="6" t="s">
        <v>111</v>
      </c>
      <c r="G1746" s="6" t="s">
        <v>450</v>
      </c>
      <c r="H1746" s="6" t="s">
        <v>459</v>
      </c>
      <c r="I1746" s="6" t="s">
        <v>31</v>
      </c>
      <c r="J1746" s="6">
        <v>18.06044696</v>
      </c>
      <c r="K1746" s="6">
        <v>-96.850972240000004</v>
      </c>
      <c r="L1746" s="6" t="str">
        <f>HYPERLINK("https://maps.google.com/?q=18.06044696,-96.850972240000004", "🔗 Ver Mapa")</f>
        <v>🔗 Ver Mapa</v>
      </c>
    </row>
    <row r="1747" spans="1:12" ht="43.5" x14ac:dyDescent="0.35">
      <c r="A1747" s="5" t="s">
        <v>98</v>
      </c>
      <c r="B1747" s="5" t="s">
        <v>99</v>
      </c>
      <c r="C1747" s="5" t="s">
        <v>458</v>
      </c>
      <c r="D1747" s="5" t="s">
        <v>14</v>
      </c>
      <c r="E1747" s="5" t="s">
        <v>110</v>
      </c>
      <c r="F1747" s="5" t="s">
        <v>111</v>
      </c>
      <c r="G1747" s="5" t="s">
        <v>450</v>
      </c>
      <c r="H1747" s="5" t="s">
        <v>459</v>
      </c>
      <c r="I1747" s="5" t="s">
        <v>31</v>
      </c>
      <c r="J1747" s="5">
        <v>18.06046431</v>
      </c>
      <c r="K1747" s="5">
        <v>-96.849362450000001</v>
      </c>
      <c r="L1747" s="5" t="str">
        <f>HYPERLINK("https://maps.google.com/?q=18.06046431,-96.849362450000001", "🔗 Ver Mapa")</f>
        <v>🔗 Ver Mapa</v>
      </c>
    </row>
    <row r="1748" spans="1:12" ht="43.5" x14ac:dyDescent="0.35">
      <c r="A1748" s="6" t="s">
        <v>98</v>
      </c>
      <c r="B1748" s="6" t="s">
        <v>99</v>
      </c>
      <c r="C1748" s="6" t="s">
        <v>458</v>
      </c>
      <c r="D1748" s="6" t="s">
        <v>14</v>
      </c>
      <c r="E1748" s="6" t="s">
        <v>110</v>
      </c>
      <c r="F1748" s="6" t="s">
        <v>111</v>
      </c>
      <c r="G1748" s="6" t="s">
        <v>450</v>
      </c>
      <c r="H1748" s="6" t="s">
        <v>459</v>
      </c>
      <c r="I1748" s="6" t="s">
        <v>31</v>
      </c>
      <c r="J1748" s="6">
        <v>18.060500050000002</v>
      </c>
      <c r="K1748" s="6">
        <v>-96.850885959999999</v>
      </c>
      <c r="L1748" s="6" t="str">
        <f>HYPERLINK("https://maps.google.com/?q=18.06050005,-96.850885959999999", "🔗 Ver Mapa")</f>
        <v>🔗 Ver Mapa</v>
      </c>
    </row>
    <row r="1749" spans="1:12" ht="43.5" x14ac:dyDescent="0.35">
      <c r="A1749" s="5" t="s">
        <v>98</v>
      </c>
      <c r="B1749" s="5" t="s">
        <v>99</v>
      </c>
      <c r="C1749" s="5" t="s">
        <v>458</v>
      </c>
      <c r="D1749" s="5" t="s">
        <v>14</v>
      </c>
      <c r="E1749" s="5" t="s">
        <v>110</v>
      </c>
      <c r="F1749" s="5" t="s">
        <v>111</v>
      </c>
      <c r="G1749" s="5" t="s">
        <v>450</v>
      </c>
      <c r="H1749" s="5" t="s">
        <v>459</v>
      </c>
      <c r="I1749" s="5" t="s">
        <v>31</v>
      </c>
      <c r="J1749" s="5">
        <v>18.06059436</v>
      </c>
      <c r="K1749" s="5">
        <v>-96.849249799999996</v>
      </c>
      <c r="L1749" s="5" t="str">
        <f>HYPERLINK("https://maps.google.com/?q=18.06059436,-96.849249799999996", "🔗 Ver Mapa")</f>
        <v>🔗 Ver Mapa</v>
      </c>
    </row>
    <row r="1750" spans="1:12" ht="43.5" x14ac:dyDescent="0.35">
      <c r="A1750" s="6" t="s">
        <v>98</v>
      </c>
      <c r="B1750" s="6" t="s">
        <v>99</v>
      </c>
      <c r="C1750" s="6" t="s">
        <v>458</v>
      </c>
      <c r="D1750" s="6" t="s">
        <v>14</v>
      </c>
      <c r="E1750" s="6" t="s">
        <v>110</v>
      </c>
      <c r="F1750" s="6" t="s">
        <v>111</v>
      </c>
      <c r="G1750" s="6" t="s">
        <v>450</v>
      </c>
      <c r="H1750" s="6" t="s">
        <v>459</v>
      </c>
      <c r="I1750" s="6" t="s">
        <v>31</v>
      </c>
      <c r="J1750" s="6">
        <v>18.06069316</v>
      </c>
      <c r="K1750" s="6">
        <v>-96.850084879999997</v>
      </c>
      <c r="L1750" s="6" t="str">
        <f>HYPERLINK("https://maps.google.com/?q=18.06069316,-96.850084879999997", "🔗 Ver Mapa")</f>
        <v>🔗 Ver Mapa</v>
      </c>
    </row>
    <row r="1751" spans="1:12" ht="43.5" x14ac:dyDescent="0.35">
      <c r="A1751" s="5" t="s">
        <v>98</v>
      </c>
      <c r="B1751" s="5" t="s">
        <v>99</v>
      </c>
      <c r="C1751" s="5" t="s">
        <v>458</v>
      </c>
      <c r="D1751" s="5" t="s">
        <v>14</v>
      </c>
      <c r="E1751" s="5" t="s">
        <v>110</v>
      </c>
      <c r="F1751" s="5" t="s">
        <v>111</v>
      </c>
      <c r="G1751" s="5" t="s">
        <v>450</v>
      </c>
      <c r="H1751" s="5" t="s">
        <v>459</v>
      </c>
      <c r="I1751" s="5" t="s">
        <v>31</v>
      </c>
      <c r="J1751" s="5">
        <v>18.06077797</v>
      </c>
      <c r="K1751" s="5">
        <v>-96.850279760000006</v>
      </c>
      <c r="L1751" s="5" t="str">
        <f>HYPERLINK("https://maps.google.com/?q=18.06077797,-96.850279760000006", "🔗 Ver Mapa")</f>
        <v>🔗 Ver Mapa</v>
      </c>
    </row>
    <row r="1752" spans="1:12" ht="43.5" x14ac:dyDescent="0.35">
      <c r="A1752" s="6" t="s">
        <v>98</v>
      </c>
      <c r="B1752" s="6" t="s">
        <v>99</v>
      </c>
      <c r="C1752" s="6" t="s">
        <v>458</v>
      </c>
      <c r="D1752" s="6" t="s">
        <v>14</v>
      </c>
      <c r="E1752" s="6" t="s">
        <v>110</v>
      </c>
      <c r="F1752" s="6" t="s">
        <v>111</v>
      </c>
      <c r="G1752" s="6" t="s">
        <v>450</v>
      </c>
      <c r="H1752" s="6" t="s">
        <v>459</v>
      </c>
      <c r="I1752" s="6" t="s">
        <v>31</v>
      </c>
      <c r="J1752" s="6">
        <v>18.06078067</v>
      </c>
      <c r="K1752" s="6">
        <v>-96.850373660000002</v>
      </c>
      <c r="L1752" s="6" t="str">
        <f>HYPERLINK("https://maps.google.com/?q=18.06078067,-96.850373660000002", "🔗 Ver Mapa")</f>
        <v>🔗 Ver Mapa</v>
      </c>
    </row>
    <row r="1753" spans="1:12" ht="43.5" x14ac:dyDescent="0.35">
      <c r="A1753" s="5" t="s">
        <v>98</v>
      </c>
      <c r="B1753" s="5" t="s">
        <v>99</v>
      </c>
      <c r="C1753" s="5" t="s">
        <v>458</v>
      </c>
      <c r="D1753" s="5" t="s">
        <v>14</v>
      </c>
      <c r="E1753" s="5" t="s">
        <v>110</v>
      </c>
      <c r="F1753" s="5" t="s">
        <v>111</v>
      </c>
      <c r="G1753" s="5" t="s">
        <v>450</v>
      </c>
      <c r="H1753" s="5" t="s">
        <v>459</v>
      </c>
      <c r="I1753" s="5" t="s">
        <v>31</v>
      </c>
      <c r="J1753" s="5">
        <v>18.060888930000001</v>
      </c>
      <c r="K1753" s="5">
        <v>-96.84808305</v>
      </c>
      <c r="L1753" s="5" t="str">
        <f>HYPERLINK("https://maps.google.com/?q=18.06088893,-96.84808305", "🔗 Ver Mapa")</f>
        <v>🔗 Ver Mapa</v>
      </c>
    </row>
    <row r="1754" spans="1:12" ht="43.5" x14ac:dyDescent="0.35">
      <c r="A1754" s="6" t="s">
        <v>98</v>
      </c>
      <c r="B1754" s="6" t="s">
        <v>99</v>
      </c>
      <c r="C1754" s="6" t="s">
        <v>458</v>
      </c>
      <c r="D1754" s="6" t="s">
        <v>14</v>
      </c>
      <c r="E1754" s="6" t="s">
        <v>110</v>
      </c>
      <c r="F1754" s="6" t="s">
        <v>111</v>
      </c>
      <c r="G1754" s="6" t="s">
        <v>450</v>
      </c>
      <c r="H1754" s="6" t="s">
        <v>459</v>
      </c>
      <c r="I1754" s="6" t="s">
        <v>31</v>
      </c>
      <c r="J1754" s="6">
        <v>18.060936229999999</v>
      </c>
      <c r="K1754" s="6">
        <v>-96.849220310000007</v>
      </c>
      <c r="L1754" s="6" t="str">
        <f>HYPERLINK("https://maps.google.com/?q=18.06093623,-96.849220310000007", "🔗 Ver Mapa")</f>
        <v>🔗 Ver Mapa</v>
      </c>
    </row>
    <row r="1755" spans="1:12" ht="43.5" x14ac:dyDescent="0.35">
      <c r="A1755" s="5" t="s">
        <v>98</v>
      </c>
      <c r="B1755" s="5" t="s">
        <v>99</v>
      </c>
      <c r="C1755" s="5" t="s">
        <v>458</v>
      </c>
      <c r="D1755" s="5" t="s">
        <v>14</v>
      </c>
      <c r="E1755" s="5" t="s">
        <v>110</v>
      </c>
      <c r="F1755" s="5" t="s">
        <v>111</v>
      </c>
      <c r="G1755" s="5" t="s">
        <v>450</v>
      </c>
      <c r="H1755" s="5" t="s">
        <v>459</v>
      </c>
      <c r="I1755" s="5" t="s">
        <v>31</v>
      </c>
      <c r="J1755" s="5">
        <v>18.061073029999999</v>
      </c>
      <c r="K1755" s="5">
        <v>-96.853206139999998</v>
      </c>
      <c r="L1755" s="5" t="str">
        <f>HYPERLINK("https://maps.google.com/?q=18.06107303,-96.853206139999998", "🔗 Ver Mapa")</f>
        <v>🔗 Ver Mapa</v>
      </c>
    </row>
    <row r="1756" spans="1:12" ht="43.5" x14ac:dyDescent="0.35">
      <c r="A1756" s="6" t="s">
        <v>98</v>
      </c>
      <c r="B1756" s="6" t="s">
        <v>99</v>
      </c>
      <c r="C1756" s="6" t="s">
        <v>458</v>
      </c>
      <c r="D1756" s="6" t="s">
        <v>14</v>
      </c>
      <c r="E1756" s="6" t="s">
        <v>110</v>
      </c>
      <c r="F1756" s="6" t="s">
        <v>111</v>
      </c>
      <c r="G1756" s="6" t="s">
        <v>450</v>
      </c>
      <c r="H1756" s="6" t="s">
        <v>459</v>
      </c>
      <c r="I1756" s="6" t="s">
        <v>31</v>
      </c>
      <c r="J1756" s="6">
        <v>18.061233770000001</v>
      </c>
      <c r="K1756" s="6">
        <v>-96.848349490000004</v>
      </c>
      <c r="L1756" s="6" t="str">
        <f>HYPERLINK("https://maps.google.com/?q=18.06123377,-96.848349490000004", "🔗 Ver Mapa")</f>
        <v>🔗 Ver Mapa</v>
      </c>
    </row>
    <row r="1757" spans="1:12" ht="43.5" x14ac:dyDescent="0.35">
      <c r="A1757" s="5" t="s">
        <v>98</v>
      </c>
      <c r="B1757" s="5" t="s">
        <v>99</v>
      </c>
      <c r="C1757" s="5" t="s">
        <v>458</v>
      </c>
      <c r="D1757" s="5" t="s">
        <v>14</v>
      </c>
      <c r="E1757" s="5" t="s">
        <v>110</v>
      </c>
      <c r="F1757" s="5" t="s">
        <v>111</v>
      </c>
      <c r="G1757" s="5" t="s">
        <v>450</v>
      </c>
      <c r="H1757" s="5" t="s">
        <v>459</v>
      </c>
      <c r="I1757" s="5" t="s">
        <v>31</v>
      </c>
      <c r="J1757" s="5">
        <v>18.06126248</v>
      </c>
      <c r="K1757" s="5">
        <v>-96.849268570000007</v>
      </c>
      <c r="L1757" s="5" t="str">
        <f>HYPERLINK("https://maps.google.com/?q=18.06126248,-96.849268570000007", "🔗 Ver Mapa")</f>
        <v>🔗 Ver Mapa</v>
      </c>
    </row>
    <row r="1758" spans="1:12" ht="43.5" x14ac:dyDescent="0.35">
      <c r="A1758" s="6" t="s">
        <v>98</v>
      </c>
      <c r="B1758" s="6" t="s">
        <v>99</v>
      </c>
      <c r="C1758" s="6" t="s">
        <v>458</v>
      </c>
      <c r="D1758" s="6" t="s">
        <v>14</v>
      </c>
      <c r="E1758" s="6" t="s">
        <v>110</v>
      </c>
      <c r="F1758" s="6" t="s">
        <v>111</v>
      </c>
      <c r="G1758" s="6" t="s">
        <v>450</v>
      </c>
      <c r="H1758" s="6" t="s">
        <v>459</v>
      </c>
      <c r="I1758" s="6" t="s">
        <v>31</v>
      </c>
      <c r="J1758" s="6">
        <v>18.06129357</v>
      </c>
      <c r="K1758" s="6">
        <v>-96.849570790000001</v>
      </c>
      <c r="L1758" s="6" t="str">
        <f>HYPERLINK("https://maps.google.com/?q=18.06129357,-96.849570790000001", "🔗 Ver Mapa")</f>
        <v>🔗 Ver Mapa</v>
      </c>
    </row>
    <row r="1759" spans="1:12" ht="43.5" x14ac:dyDescent="0.35">
      <c r="A1759" s="5" t="s">
        <v>98</v>
      </c>
      <c r="B1759" s="5" t="s">
        <v>99</v>
      </c>
      <c r="C1759" s="5" t="s">
        <v>458</v>
      </c>
      <c r="D1759" s="5" t="s">
        <v>14</v>
      </c>
      <c r="E1759" s="5" t="s">
        <v>110</v>
      </c>
      <c r="F1759" s="5" t="s">
        <v>111</v>
      </c>
      <c r="G1759" s="5" t="s">
        <v>450</v>
      </c>
      <c r="H1759" s="5" t="s">
        <v>459</v>
      </c>
      <c r="I1759" s="5" t="s">
        <v>31</v>
      </c>
      <c r="J1759" s="5">
        <v>18.061296129999999</v>
      </c>
      <c r="K1759" s="5">
        <v>-96.847607420000003</v>
      </c>
      <c r="L1759" s="5" t="str">
        <f>HYPERLINK("https://maps.google.com/?q=18.06129613,-96.847607420000003", "🔗 Ver Mapa")</f>
        <v>🔗 Ver Mapa</v>
      </c>
    </row>
    <row r="1760" spans="1:12" ht="43.5" x14ac:dyDescent="0.35">
      <c r="A1760" s="6" t="s">
        <v>98</v>
      </c>
      <c r="B1760" s="6" t="s">
        <v>99</v>
      </c>
      <c r="C1760" s="6" t="s">
        <v>458</v>
      </c>
      <c r="D1760" s="6" t="s">
        <v>14</v>
      </c>
      <c r="E1760" s="6" t="s">
        <v>110</v>
      </c>
      <c r="F1760" s="6" t="s">
        <v>111</v>
      </c>
      <c r="G1760" s="6" t="s">
        <v>450</v>
      </c>
      <c r="H1760" s="6" t="s">
        <v>459</v>
      </c>
      <c r="I1760" s="6" t="s">
        <v>31</v>
      </c>
      <c r="J1760" s="6">
        <v>18.061300760000002</v>
      </c>
      <c r="K1760" s="6">
        <v>-96.850379029999999</v>
      </c>
      <c r="L1760" s="6" t="str">
        <f>HYPERLINK("https://maps.google.com/?q=18.06130076,-96.850379029999999", "🔗 Ver Mapa")</f>
        <v>🔗 Ver Mapa</v>
      </c>
    </row>
    <row r="1761" spans="1:12" ht="43.5" x14ac:dyDescent="0.35">
      <c r="A1761" s="5" t="s">
        <v>98</v>
      </c>
      <c r="B1761" s="5" t="s">
        <v>99</v>
      </c>
      <c r="C1761" s="5" t="s">
        <v>458</v>
      </c>
      <c r="D1761" s="5" t="s">
        <v>14</v>
      </c>
      <c r="E1761" s="5" t="s">
        <v>110</v>
      </c>
      <c r="F1761" s="5" t="s">
        <v>111</v>
      </c>
      <c r="G1761" s="5" t="s">
        <v>450</v>
      </c>
      <c r="H1761" s="5" t="s">
        <v>459</v>
      </c>
      <c r="I1761" s="5" t="s">
        <v>31</v>
      </c>
      <c r="J1761" s="5">
        <v>18.061370190000002</v>
      </c>
      <c r="K1761" s="5">
        <v>-96.849113919999994</v>
      </c>
      <c r="L1761" s="5" t="str">
        <f>HYPERLINK("https://maps.google.com/?q=18.06137019,-96.849113919999994", "🔗 Ver Mapa")</f>
        <v>🔗 Ver Mapa</v>
      </c>
    </row>
    <row r="1762" spans="1:12" ht="43.5" x14ac:dyDescent="0.35">
      <c r="A1762" s="6" t="s">
        <v>98</v>
      </c>
      <c r="B1762" s="6" t="s">
        <v>99</v>
      </c>
      <c r="C1762" s="6" t="s">
        <v>458</v>
      </c>
      <c r="D1762" s="6" t="s">
        <v>14</v>
      </c>
      <c r="E1762" s="6" t="s">
        <v>110</v>
      </c>
      <c r="F1762" s="6" t="s">
        <v>111</v>
      </c>
      <c r="G1762" s="6" t="s">
        <v>450</v>
      </c>
      <c r="H1762" s="6" t="s">
        <v>459</v>
      </c>
      <c r="I1762" s="6" t="s">
        <v>31</v>
      </c>
      <c r="J1762" s="6">
        <v>18.061381090000001</v>
      </c>
      <c r="K1762" s="6">
        <v>-96.849598499999999</v>
      </c>
      <c r="L1762" s="6" t="str">
        <f>HYPERLINK("https://maps.google.com/?q=18.06138109,-96.849598499999999", "🔗 Ver Mapa")</f>
        <v>🔗 Ver Mapa</v>
      </c>
    </row>
    <row r="1763" spans="1:12" ht="43.5" x14ac:dyDescent="0.35">
      <c r="A1763" s="5" t="s">
        <v>98</v>
      </c>
      <c r="B1763" s="5" t="s">
        <v>99</v>
      </c>
      <c r="C1763" s="5" t="s">
        <v>458</v>
      </c>
      <c r="D1763" s="5" t="s">
        <v>14</v>
      </c>
      <c r="E1763" s="5" t="s">
        <v>110</v>
      </c>
      <c r="F1763" s="5" t="s">
        <v>111</v>
      </c>
      <c r="G1763" s="5" t="s">
        <v>450</v>
      </c>
      <c r="H1763" s="5" t="s">
        <v>459</v>
      </c>
      <c r="I1763" s="5" t="s">
        <v>31</v>
      </c>
      <c r="J1763" s="5">
        <v>18.061386649999999</v>
      </c>
      <c r="K1763" s="5">
        <v>-96.847644959999997</v>
      </c>
      <c r="L1763" s="5" t="str">
        <f>HYPERLINK("https://maps.google.com/?q=18.06138665,-96.847644959999997", "🔗 Ver Mapa")</f>
        <v>🔗 Ver Mapa</v>
      </c>
    </row>
    <row r="1764" spans="1:12" ht="43.5" x14ac:dyDescent="0.35">
      <c r="A1764" s="6" t="s">
        <v>98</v>
      </c>
      <c r="B1764" s="6" t="s">
        <v>99</v>
      </c>
      <c r="C1764" s="6" t="s">
        <v>458</v>
      </c>
      <c r="D1764" s="6" t="s">
        <v>14</v>
      </c>
      <c r="E1764" s="6" t="s">
        <v>110</v>
      </c>
      <c r="F1764" s="6" t="s">
        <v>111</v>
      </c>
      <c r="G1764" s="6" t="s">
        <v>450</v>
      </c>
      <c r="H1764" s="6" t="s">
        <v>459</v>
      </c>
      <c r="I1764" s="6" t="s">
        <v>31</v>
      </c>
      <c r="J1764" s="6">
        <v>18.061408239999999</v>
      </c>
      <c r="K1764" s="6">
        <v>-96.849469350000007</v>
      </c>
      <c r="L1764" s="6" t="str">
        <f>HYPERLINK("https://maps.google.com/?q=18.06140824,-96.849469350000007", "🔗 Ver Mapa")</f>
        <v>🔗 Ver Mapa</v>
      </c>
    </row>
    <row r="1765" spans="1:12" ht="43.5" x14ac:dyDescent="0.35">
      <c r="A1765" s="5" t="s">
        <v>98</v>
      </c>
      <c r="B1765" s="5" t="s">
        <v>99</v>
      </c>
      <c r="C1765" s="5" t="s">
        <v>458</v>
      </c>
      <c r="D1765" s="5" t="s">
        <v>14</v>
      </c>
      <c r="E1765" s="5" t="s">
        <v>110</v>
      </c>
      <c r="F1765" s="5" t="s">
        <v>111</v>
      </c>
      <c r="G1765" s="5" t="s">
        <v>450</v>
      </c>
      <c r="H1765" s="5" t="s">
        <v>459</v>
      </c>
      <c r="I1765" s="5" t="s">
        <v>31</v>
      </c>
      <c r="J1765" s="5">
        <v>18.061464430000001</v>
      </c>
      <c r="K1765" s="5">
        <v>-96.847612780000006</v>
      </c>
      <c r="L1765" s="5" t="str">
        <f>HYPERLINK("https://maps.google.com/?q=18.06146443,-96.847612780000006", "🔗 Ver Mapa")</f>
        <v>🔗 Ver Mapa</v>
      </c>
    </row>
    <row r="1766" spans="1:12" ht="43.5" x14ac:dyDescent="0.35">
      <c r="A1766" s="6" t="s">
        <v>98</v>
      </c>
      <c r="B1766" s="6" t="s">
        <v>99</v>
      </c>
      <c r="C1766" s="6" t="s">
        <v>458</v>
      </c>
      <c r="D1766" s="6" t="s">
        <v>14</v>
      </c>
      <c r="E1766" s="6" t="s">
        <v>110</v>
      </c>
      <c r="F1766" s="6" t="s">
        <v>111</v>
      </c>
      <c r="G1766" s="6" t="s">
        <v>450</v>
      </c>
      <c r="H1766" s="6" t="s">
        <v>459</v>
      </c>
      <c r="I1766" s="6" t="s">
        <v>31</v>
      </c>
      <c r="J1766" s="6">
        <v>18.061486070000001</v>
      </c>
      <c r="K1766" s="6">
        <v>-96.852837019999996</v>
      </c>
      <c r="L1766" s="6" t="str">
        <f>HYPERLINK("https://maps.google.com/?q=18.06148607,-96.852837019999996", "🔗 Ver Mapa")</f>
        <v>🔗 Ver Mapa</v>
      </c>
    </row>
    <row r="1767" spans="1:12" ht="43.5" x14ac:dyDescent="0.35">
      <c r="A1767" s="5" t="s">
        <v>98</v>
      </c>
      <c r="B1767" s="5" t="s">
        <v>99</v>
      </c>
      <c r="C1767" s="5" t="s">
        <v>458</v>
      </c>
      <c r="D1767" s="5" t="s">
        <v>14</v>
      </c>
      <c r="E1767" s="5" t="s">
        <v>110</v>
      </c>
      <c r="F1767" s="5" t="s">
        <v>111</v>
      </c>
      <c r="G1767" s="5" t="s">
        <v>450</v>
      </c>
      <c r="H1767" s="5" t="s">
        <v>459</v>
      </c>
      <c r="I1767" s="5" t="s">
        <v>31</v>
      </c>
      <c r="J1767" s="5">
        <v>18.0615269</v>
      </c>
      <c r="K1767" s="5">
        <v>-96.847493420000006</v>
      </c>
      <c r="L1767" s="5" t="str">
        <f>HYPERLINK("https://maps.google.com/?q=18.0615269,-96.847493420000006", "🔗 Ver Mapa")</f>
        <v>🔗 Ver Mapa</v>
      </c>
    </row>
    <row r="1768" spans="1:12" ht="43.5" x14ac:dyDescent="0.35">
      <c r="A1768" s="6" t="s">
        <v>98</v>
      </c>
      <c r="B1768" s="6" t="s">
        <v>99</v>
      </c>
      <c r="C1768" s="6" t="s">
        <v>458</v>
      </c>
      <c r="D1768" s="6" t="s">
        <v>14</v>
      </c>
      <c r="E1768" s="6" t="s">
        <v>110</v>
      </c>
      <c r="F1768" s="6" t="s">
        <v>111</v>
      </c>
      <c r="G1768" s="6" t="s">
        <v>450</v>
      </c>
      <c r="H1768" s="6" t="s">
        <v>459</v>
      </c>
      <c r="I1768" s="6" t="s">
        <v>31</v>
      </c>
      <c r="J1768" s="6">
        <v>18.061562599999998</v>
      </c>
      <c r="K1768" s="6">
        <v>-96.848729910000003</v>
      </c>
      <c r="L1768" s="6" t="str">
        <f>HYPERLINK("https://maps.google.com/?q=18.0615626,-96.848729910000003", "🔗 Ver Mapa")</f>
        <v>🔗 Ver Mapa</v>
      </c>
    </row>
    <row r="1769" spans="1:12" ht="43.5" x14ac:dyDescent="0.35">
      <c r="A1769" s="5" t="s">
        <v>98</v>
      </c>
      <c r="B1769" s="5" t="s">
        <v>99</v>
      </c>
      <c r="C1769" s="5" t="s">
        <v>458</v>
      </c>
      <c r="D1769" s="5" t="s">
        <v>14</v>
      </c>
      <c r="E1769" s="5" t="s">
        <v>110</v>
      </c>
      <c r="F1769" s="5" t="s">
        <v>111</v>
      </c>
      <c r="G1769" s="5" t="s">
        <v>450</v>
      </c>
      <c r="H1769" s="5" t="s">
        <v>459</v>
      </c>
      <c r="I1769" s="5" t="s">
        <v>31</v>
      </c>
      <c r="J1769" s="5">
        <v>18.061593779999999</v>
      </c>
      <c r="K1769" s="5">
        <v>-96.852940279999999</v>
      </c>
      <c r="L1769" s="5" t="str">
        <f>HYPERLINK("https://maps.google.com/?q=18.06159378,-96.852940279999999", "🔗 Ver Mapa")</f>
        <v>🔗 Ver Mapa</v>
      </c>
    </row>
    <row r="1770" spans="1:12" ht="43.5" x14ac:dyDescent="0.35">
      <c r="A1770" s="6" t="s">
        <v>98</v>
      </c>
      <c r="B1770" s="6" t="s">
        <v>99</v>
      </c>
      <c r="C1770" s="6" t="s">
        <v>458</v>
      </c>
      <c r="D1770" s="6" t="s">
        <v>14</v>
      </c>
      <c r="E1770" s="6" t="s">
        <v>110</v>
      </c>
      <c r="F1770" s="6" t="s">
        <v>111</v>
      </c>
      <c r="G1770" s="6" t="s">
        <v>450</v>
      </c>
      <c r="H1770" s="6" t="s">
        <v>459</v>
      </c>
      <c r="I1770" s="6" t="s">
        <v>31</v>
      </c>
      <c r="J1770" s="6">
        <v>18.061617429999998</v>
      </c>
      <c r="K1770" s="6">
        <v>-96.847407590000003</v>
      </c>
      <c r="L1770" s="6" t="str">
        <f>HYPERLINK("https://maps.google.com/?q=18.06161743,-96.847407590000003", "🔗 Ver Mapa")</f>
        <v>🔗 Ver Mapa</v>
      </c>
    </row>
    <row r="1771" spans="1:12" ht="43.5" x14ac:dyDescent="0.35">
      <c r="A1771" s="5" t="s">
        <v>98</v>
      </c>
      <c r="B1771" s="5" t="s">
        <v>99</v>
      </c>
      <c r="C1771" s="5" t="s">
        <v>458</v>
      </c>
      <c r="D1771" s="5" t="s">
        <v>14</v>
      </c>
      <c r="E1771" s="5" t="s">
        <v>110</v>
      </c>
      <c r="F1771" s="5" t="s">
        <v>111</v>
      </c>
      <c r="G1771" s="5" t="s">
        <v>450</v>
      </c>
      <c r="H1771" s="5" t="s">
        <v>459</v>
      </c>
      <c r="I1771" s="5" t="s">
        <v>31</v>
      </c>
      <c r="J1771" s="5">
        <v>18.06181518</v>
      </c>
      <c r="K1771" s="5">
        <v>-96.848086640000005</v>
      </c>
      <c r="L1771" s="5" t="str">
        <f>HYPERLINK("https://maps.google.com/?q=18.06181518,-96.848086640000005", "🔗 Ver Mapa")</f>
        <v>🔗 Ver Mapa</v>
      </c>
    </row>
    <row r="1772" spans="1:12" ht="43.5" x14ac:dyDescent="0.35">
      <c r="A1772" s="6" t="s">
        <v>98</v>
      </c>
      <c r="B1772" s="6" t="s">
        <v>99</v>
      </c>
      <c r="C1772" s="6" t="s">
        <v>458</v>
      </c>
      <c r="D1772" s="6" t="s">
        <v>14</v>
      </c>
      <c r="E1772" s="6" t="s">
        <v>110</v>
      </c>
      <c r="F1772" s="6" t="s">
        <v>111</v>
      </c>
      <c r="G1772" s="6" t="s">
        <v>450</v>
      </c>
      <c r="H1772" s="6" t="s">
        <v>459</v>
      </c>
      <c r="I1772" s="6" t="s">
        <v>31</v>
      </c>
      <c r="J1772" s="6">
        <v>18.061824829999999</v>
      </c>
      <c r="K1772" s="6">
        <v>-96.847758279999994</v>
      </c>
      <c r="L1772" s="6" t="str">
        <f>HYPERLINK("https://maps.google.com/?q=18.06182483,-96.847758279999994", "🔗 Ver Mapa")</f>
        <v>🔗 Ver Mapa</v>
      </c>
    </row>
    <row r="1773" spans="1:12" ht="43.5" x14ac:dyDescent="0.35">
      <c r="A1773" s="5" t="s">
        <v>98</v>
      </c>
      <c r="B1773" s="5" t="s">
        <v>99</v>
      </c>
      <c r="C1773" s="5" t="s">
        <v>458</v>
      </c>
      <c r="D1773" s="5" t="s">
        <v>14</v>
      </c>
      <c r="E1773" s="5" t="s">
        <v>110</v>
      </c>
      <c r="F1773" s="5" t="s">
        <v>111</v>
      </c>
      <c r="G1773" s="5" t="s">
        <v>450</v>
      </c>
      <c r="H1773" s="5" t="s">
        <v>459</v>
      </c>
      <c r="I1773" s="5" t="s">
        <v>31</v>
      </c>
      <c r="J1773" s="5">
        <v>18.061968870000001</v>
      </c>
      <c r="K1773" s="5">
        <v>-96.848416990000004</v>
      </c>
      <c r="L1773" s="5" t="str">
        <f>HYPERLINK("https://maps.google.com/?q=18.06196887,-96.848416990000004", "🔗 Ver Mapa")</f>
        <v>🔗 Ver Mapa</v>
      </c>
    </row>
    <row r="1774" spans="1:12" ht="43.5" x14ac:dyDescent="0.35">
      <c r="A1774" s="6" t="s">
        <v>98</v>
      </c>
      <c r="B1774" s="6" t="s">
        <v>99</v>
      </c>
      <c r="C1774" s="6" t="s">
        <v>458</v>
      </c>
      <c r="D1774" s="6" t="s">
        <v>14</v>
      </c>
      <c r="E1774" s="6" t="s">
        <v>110</v>
      </c>
      <c r="F1774" s="6" t="s">
        <v>111</v>
      </c>
      <c r="G1774" s="6" t="s">
        <v>450</v>
      </c>
      <c r="H1774" s="6" t="s">
        <v>459</v>
      </c>
      <c r="I1774" s="6" t="s">
        <v>31</v>
      </c>
      <c r="J1774" s="6">
        <v>18.062008429999999</v>
      </c>
      <c r="K1774" s="6">
        <v>-96.847039440000003</v>
      </c>
      <c r="L1774" s="6" t="str">
        <f>HYPERLINK("https://maps.google.com/?q=18.06200843,-96.847039440000003", "🔗 Ver Mapa")</f>
        <v>🔗 Ver Mapa</v>
      </c>
    </row>
    <row r="1775" spans="1:12" ht="43.5" x14ac:dyDescent="0.35">
      <c r="A1775" s="5" t="s">
        <v>98</v>
      </c>
      <c r="B1775" s="5" t="s">
        <v>99</v>
      </c>
      <c r="C1775" s="5" t="s">
        <v>458</v>
      </c>
      <c r="D1775" s="5" t="s">
        <v>14</v>
      </c>
      <c r="E1775" s="5" t="s">
        <v>110</v>
      </c>
      <c r="F1775" s="5" t="s">
        <v>111</v>
      </c>
      <c r="G1775" s="5" t="s">
        <v>450</v>
      </c>
      <c r="H1775" s="5" t="s">
        <v>459</v>
      </c>
      <c r="I1775" s="5" t="s">
        <v>31</v>
      </c>
      <c r="J1775" s="5">
        <v>18.06203176</v>
      </c>
      <c r="K1775" s="5">
        <v>-96.848093419999998</v>
      </c>
      <c r="L1775" s="5" t="str">
        <f>HYPERLINK("https://maps.google.com/?q=18.06203176,-96.848093419999998", "🔗 Ver Mapa")</f>
        <v>🔗 Ver Mapa</v>
      </c>
    </row>
    <row r="1776" spans="1:12" ht="43.5" x14ac:dyDescent="0.35">
      <c r="A1776" s="6" t="s">
        <v>98</v>
      </c>
      <c r="B1776" s="6" t="s">
        <v>99</v>
      </c>
      <c r="C1776" s="6" t="s">
        <v>458</v>
      </c>
      <c r="D1776" s="6" t="s">
        <v>14</v>
      </c>
      <c r="E1776" s="6" t="s">
        <v>110</v>
      </c>
      <c r="F1776" s="6" t="s">
        <v>111</v>
      </c>
      <c r="G1776" s="6" t="s">
        <v>450</v>
      </c>
      <c r="H1776" s="6" t="s">
        <v>459</v>
      </c>
      <c r="I1776" s="6" t="s">
        <v>31</v>
      </c>
      <c r="J1776" s="6">
        <v>18.062125730000002</v>
      </c>
      <c r="K1776" s="6">
        <v>-96.847130640000003</v>
      </c>
      <c r="L1776" s="6" t="str">
        <f>HYPERLINK("https://maps.google.com/?q=18.06212573,-96.847130640000003", "🔗 Ver Mapa")</f>
        <v>🔗 Ver Mapa</v>
      </c>
    </row>
    <row r="1777" spans="1:12" ht="43.5" x14ac:dyDescent="0.35">
      <c r="A1777" s="5" t="s">
        <v>98</v>
      </c>
      <c r="B1777" s="5" t="s">
        <v>99</v>
      </c>
      <c r="C1777" s="5" t="s">
        <v>458</v>
      </c>
      <c r="D1777" s="5" t="s">
        <v>14</v>
      </c>
      <c r="E1777" s="5" t="s">
        <v>110</v>
      </c>
      <c r="F1777" s="5" t="s">
        <v>111</v>
      </c>
      <c r="G1777" s="5" t="s">
        <v>450</v>
      </c>
      <c r="H1777" s="5" t="s">
        <v>459</v>
      </c>
      <c r="I1777" s="5" t="s">
        <v>31</v>
      </c>
      <c r="J1777" s="5">
        <v>18.062404069999999</v>
      </c>
      <c r="K1777" s="5">
        <v>-96.846997740000006</v>
      </c>
      <c r="L1777" s="5" t="str">
        <f>HYPERLINK("https://maps.google.com/?q=18.06240407,-96.846997740000006", "🔗 Ver Mapa")</f>
        <v>🔗 Ver Mapa</v>
      </c>
    </row>
    <row r="1778" spans="1:12" ht="43.5" x14ac:dyDescent="0.35">
      <c r="A1778" s="6" t="s">
        <v>98</v>
      </c>
      <c r="B1778" s="6" t="s">
        <v>99</v>
      </c>
      <c r="C1778" s="6" t="s">
        <v>458</v>
      </c>
      <c r="D1778" s="6" t="s">
        <v>14</v>
      </c>
      <c r="E1778" s="6" t="s">
        <v>110</v>
      </c>
      <c r="F1778" s="6" t="s">
        <v>111</v>
      </c>
      <c r="G1778" s="6" t="s">
        <v>450</v>
      </c>
      <c r="H1778" s="6" t="s">
        <v>459</v>
      </c>
      <c r="I1778" s="6" t="s">
        <v>31</v>
      </c>
      <c r="J1778" s="6">
        <v>18.062430930000001</v>
      </c>
      <c r="K1778" s="6">
        <v>-96.848639680000005</v>
      </c>
      <c r="L1778" s="6" t="str">
        <f>HYPERLINK("https://maps.google.com/?q=18.06243093,-96.848639680000005", "🔗 Ver Mapa")</f>
        <v>🔗 Ver Mapa</v>
      </c>
    </row>
    <row r="1779" spans="1:12" ht="43.5" x14ac:dyDescent="0.35">
      <c r="A1779" s="5" t="s">
        <v>98</v>
      </c>
      <c r="B1779" s="5" t="s">
        <v>99</v>
      </c>
      <c r="C1779" s="5" t="s">
        <v>458</v>
      </c>
      <c r="D1779" s="5" t="s">
        <v>14</v>
      </c>
      <c r="E1779" s="5" t="s">
        <v>110</v>
      </c>
      <c r="F1779" s="5" t="s">
        <v>111</v>
      </c>
      <c r="G1779" s="5" t="s">
        <v>450</v>
      </c>
      <c r="H1779" s="5" t="s">
        <v>459</v>
      </c>
      <c r="I1779" s="5" t="s">
        <v>31</v>
      </c>
      <c r="J1779" s="5">
        <v>18.063364239999999</v>
      </c>
      <c r="K1779" s="5">
        <v>-96.848344639999993</v>
      </c>
      <c r="L1779" s="5" t="str">
        <f>HYPERLINK("https://maps.google.com/?q=18.06336424,-96.848344639999993", "🔗 Ver Mapa")</f>
        <v>🔗 Ver Mapa</v>
      </c>
    </row>
    <row r="1780" spans="1:12" ht="43.5" x14ac:dyDescent="0.35">
      <c r="A1780" s="6" t="s">
        <v>98</v>
      </c>
      <c r="B1780" s="6" t="s">
        <v>99</v>
      </c>
      <c r="C1780" s="6" t="s">
        <v>458</v>
      </c>
      <c r="D1780" s="6" t="s">
        <v>14</v>
      </c>
      <c r="E1780" s="6" t="s">
        <v>110</v>
      </c>
      <c r="F1780" s="6" t="s">
        <v>111</v>
      </c>
      <c r="G1780" s="6" t="s">
        <v>450</v>
      </c>
      <c r="H1780" s="6" t="s">
        <v>459</v>
      </c>
      <c r="I1780" s="6" t="s">
        <v>31</v>
      </c>
      <c r="J1780" s="6">
        <v>18.063435519999999</v>
      </c>
      <c r="K1780" s="6">
        <v>-96.848257000000004</v>
      </c>
      <c r="L1780" s="6" t="str">
        <f>HYPERLINK("https://maps.google.com/?q=18.06343552,-96.848257000000004", "🔗 Ver Mapa")</f>
        <v>🔗 Ver Mapa</v>
      </c>
    </row>
    <row r="1781" spans="1:12" ht="43.5" x14ac:dyDescent="0.35">
      <c r="A1781" s="5" t="s">
        <v>98</v>
      </c>
      <c r="B1781" s="5" t="s">
        <v>99</v>
      </c>
      <c r="C1781" s="5" t="s">
        <v>460</v>
      </c>
      <c r="D1781" s="5" t="s">
        <v>14</v>
      </c>
      <c r="E1781" s="5" t="s">
        <v>110</v>
      </c>
      <c r="F1781" s="5" t="s">
        <v>111</v>
      </c>
      <c r="G1781" s="5" t="s">
        <v>450</v>
      </c>
      <c r="H1781" s="5" t="s">
        <v>461</v>
      </c>
      <c r="I1781" s="5" t="s">
        <v>31</v>
      </c>
      <c r="J1781" s="5">
        <v>18.058727103252998</v>
      </c>
      <c r="K1781" s="5">
        <v>-96.899611496746004</v>
      </c>
      <c r="L1781" s="5" t="str">
        <f>HYPERLINK("https://maps.google.com/?q=18.0587271032531,-96.899611496745905", "🔗 Ver Mapa")</f>
        <v>🔗 Ver Mapa</v>
      </c>
    </row>
    <row r="1782" spans="1:12" ht="43.5" x14ac:dyDescent="0.35">
      <c r="A1782" s="6" t="s">
        <v>98</v>
      </c>
      <c r="B1782" s="6" t="s">
        <v>99</v>
      </c>
      <c r="C1782" s="6" t="s">
        <v>460</v>
      </c>
      <c r="D1782" s="6" t="s">
        <v>14</v>
      </c>
      <c r="E1782" s="6" t="s">
        <v>110</v>
      </c>
      <c r="F1782" s="6" t="s">
        <v>111</v>
      </c>
      <c r="G1782" s="6" t="s">
        <v>450</v>
      </c>
      <c r="H1782" s="6" t="s">
        <v>461</v>
      </c>
      <c r="I1782" s="6" t="s">
        <v>31</v>
      </c>
      <c r="J1782" s="6">
        <v>18.058854607280001</v>
      </c>
      <c r="K1782" s="6">
        <v>-96.899032139599001</v>
      </c>
      <c r="L1782" s="6" t="str">
        <f>HYPERLINK("https://maps.google.com/?q=18.0588546072803,-96.899032139598603", "🔗 Ver Mapa")</f>
        <v>🔗 Ver Mapa</v>
      </c>
    </row>
    <row r="1783" spans="1:12" ht="43.5" x14ac:dyDescent="0.35">
      <c r="A1783" s="5" t="s">
        <v>98</v>
      </c>
      <c r="B1783" s="5" t="s">
        <v>99</v>
      </c>
      <c r="C1783" s="5" t="s">
        <v>460</v>
      </c>
      <c r="D1783" s="5" t="s">
        <v>14</v>
      </c>
      <c r="E1783" s="5" t="s">
        <v>110</v>
      </c>
      <c r="F1783" s="5" t="s">
        <v>111</v>
      </c>
      <c r="G1783" s="5" t="s">
        <v>450</v>
      </c>
      <c r="H1783" s="5" t="s">
        <v>461</v>
      </c>
      <c r="I1783" s="5" t="s">
        <v>31</v>
      </c>
      <c r="J1783" s="5">
        <v>18.060454938922</v>
      </c>
      <c r="K1783" s="5">
        <v>-96.899353990281995</v>
      </c>
      <c r="L1783" s="5" t="str">
        <f>HYPERLINK("https://maps.google.com/?q=18.0604549389222,-96.899353990281995", "🔗 Ver Mapa")</f>
        <v>🔗 Ver Mapa</v>
      </c>
    </row>
    <row r="1784" spans="1:12" ht="43.5" x14ac:dyDescent="0.35">
      <c r="A1784" s="6" t="s">
        <v>98</v>
      </c>
      <c r="B1784" s="6" t="s">
        <v>99</v>
      </c>
      <c r="C1784" s="6" t="s">
        <v>460</v>
      </c>
      <c r="D1784" s="6" t="s">
        <v>14</v>
      </c>
      <c r="E1784" s="6" t="s">
        <v>110</v>
      </c>
      <c r="F1784" s="6" t="s">
        <v>111</v>
      </c>
      <c r="G1784" s="6" t="s">
        <v>450</v>
      </c>
      <c r="H1784" s="6" t="s">
        <v>461</v>
      </c>
      <c r="I1784" s="6" t="s">
        <v>31</v>
      </c>
      <c r="J1784" s="6">
        <v>18.061148552892</v>
      </c>
      <c r="K1784" s="6">
        <v>-96.898729035581994</v>
      </c>
      <c r="L1784" s="6" t="str">
        <f>HYPERLINK("https://maps.google.com/?q=18.0611485528921,-96.898729035581994", "🔗 Ver Mapa")</f>
        <v>🔗 Ver Mapa</v>
      </c>
    </row>
    <row r="1785" spans="1:12" ht="43.5" x14ac:dyDescent="0.35">
      <c r="A1785" s="5" t="s">
        <v>98</v>
      </c>
      <c r="B1785" s="5" t="s">
        <v>99</v>
      </c>
      <c r="C1785" s="5" t="s">
        <v>460</v>
      </c>
      <c r="D1785" s="5" t="s">
        <v>14</v>
      </c>
      <c r="E1785" s="5" t="s">
        <v>110</v>
      </c>
      <c r="F1785" s="5" t="s">
        <v>111</v>
      </c>
      <c r="G1785" s="5" t="s">
        <v>450</v>
      </c>
      <c r="H1785" s="5" t="s">
        <v>461</v>
      </c>
      <c r="I1785" s="5" t="s">
        <v>31</v>
      </c>
      <c r="J1785" s="5">
        <v>18.062505400414</v>
      </c>
      <c r="K1785" s="5">
        <v>-96.896023559455003</v>
      </c>
      <c r="L1785" s="5" t="str">
        <f>HYPERLINK("https://maps.google.com/?q=18.0625054004138,-96.896023559454903", "🔗 Ver Mapa")</f>
        <v>🔗 Ver Mapa</v>
      </c>
    </row>
    <row r="1786" spans="1:12" ht="43.5" x14ac:dyDescent="0.35">
      <c r="A1786" s="6" t="s">
        <v>98</v>
      </c>
      <c r="B1786" s="6" t="s">
        <v>99</v>
      </c>
      <c r="C1786" s="6" t="s">
        <v>460</v>
      </c>
      <c r="D1786" s="6" t="s">
        <v>14</v>
      </c>
      <c r="E1786" s="6" t="s">
        <v>110</v>
      </c>
      <c r="F1786" s="6" t="s">
        <v>111</v>
      </c>
      <c r="G1786" s="6" t="s">
        <v>450</v>
      </c>
      <c r="H1786" s="6" t="s">
        <v>461</v>
      </c>
      <c r="I1786" s="6" t="s">
        <v>31</v>
      </c>
      <c r="J1786" s="6">
        <v>18.062680302894002</v>
      </c>
      <c r="K1786" s="6">
        <v>-96.897079897791002</v>
      </c>
      <c r="L1786" s="6" t="str">
        <f>HYPERLINK("https://maps.google.com/?q=18.0626803028943,-96.897079897791002", "🔗 Ver Mapa")</f>
        <v>🔗 Ver Mapa</v>
      </c>
    </row>
    <row r="1787" spans="1:12" ht="43.5" x14ac:dyDescent="0.35">
      <c r="A1787" s="5" t="s">
        <v>98</v>
      </c>
      <c r="B1787" s="5" t="s">
        <v>99</v>
      </c>
      <c r="C1787" s="5" t="s">
        <v>460</v>
      </c>
      <c r="D1787" s="5" t="s">
        <v>14</v>
      </c>
      <c r="E1787" s="5" t="s">
        <v>110</v>
      </c>
      <c r="F1787" s="5" t="s">
        <v>111</v>
      </c>
      <c r="G1787" s="5" t="s">
        <v>450</v>
      </c>
      <c r="H1787" s="5" t="s">
        <v>461</v>
      </c>
      <c r="I1787" s="5" t="s">
        <v>31</v>
      </c>
      <c r="J1787" s="5">
        <v>18.062770602983001</v>
      </c>
      <c r="K1787" s="5">
        <v>-96.896366882208994</v>
      </c>
      <c r="L1787" s="5" t="str">
        <f>HYPERLINK("https://maps.google.com/?q=18.0627706029835,-96.896366882208895", "🔗 Ver Mapa")</f>
        <v>🔗 Ver Mapa</v>
      </c>
    </row>
    <row r="1788" spans="1:12" ht="43.5" x14ac:dyDescent="0.35">
      <c r="A1788" s="6" t="s">
        <v>98</v>
      </c>
      <c r="B1788" s="6" t="s">
        <v>99</v>
      </c>
      <c r="C1788" s="6" t="s">
        <v>460</v>
      </c>
      <c r="D1788" s="6" t="s">
        <v>14</v>
      </c>
      <c r="E1788" s="6" t="s">
        <v>110</v>
      </c>
      <c r="F1788" s="6" t="s">
        <v>111</v>
      </c>
      <c r="G1788" s="6" t="s">
        <v>450</v>
      </c>
      <c r="H1788" s="6" t="s">
        <v>461</v>
      </c>
      <c r="I1788" s="6" t="s">
        <v>31</v>
      </c>
      <c r="J1788" s="6">
        <v>18.062775703029001</v>
      </c>
      <c r="K1788" s="6">
        <v>-96.896028923873004</v>
      </c>
      <c r="L1788" s="6" t="str">
        <f>HYPERLINK("https://maps.google.com/?q=18.062775703029,-96.896028923872905", "🔗 Ver Mapa")</f>
        <v>🔗 Ver Mapa</v>
      </c>
    </row>
    <row r="1789" spans="1:12" ht="43.5" x14ac:dyDescent="0.35">
      <c r="A1789" s="5" t="s">
        <v>98</v>
      </c>
      <c r="B1789" s="5" t="s">
        <v>99</v>
      </c>
      <c r="C1789" s="5" t="s">
        <v>460</v>
      </c>
      <c r="D1789" s="5" t="s">
        <v>14</v>
      </c>
      <c r="E1789" s="5" t="s">
        <v>110</v>
      </c>
      <c r="F1789" s="5" t="s">
        <v>111</v>
      </c>
      <c r="G1789" s="5" t="s">
        <v>450</v>
      </c>
      <c r="H1789" s="5" t="s">
        <v>461</v>
      </c>
      <c r="I1789" s="5" t="s">
        <v>31</v>
      </c>
      <c r="J1789" s="5">
        <v>18.062842886538998</v>
      </c>
      <c r="K1789" s="5">
        <v>-96.897063398181004</v>
      </c>
      <c r="L1789" s="5" t="str">
        <f>HYPERLINK("https://maps.google.com/?q=18.0628428865394,-96.897063398181402", "🔗 Ver Mapa")</f>
        <v>🔗 Ver Mapa</v>
      </c>
    </row>
    <row r="1790" spans="1:12" ht="43.5" x14ac:dyDescent="0.35">
      <c r="A1790" s="6" t="s">
        <v>98</v>
      </c>
      <c r="B1790" s="6" t="s">
        <v>99</v>
      </c>
      <c r="C1790" s="6" t="s">
        <v>460</v>
      </c>
      <c r="D1790" s="6" t="s">
        <v>14</v>
      </c>
      <c r="E1790" s="6" t="s">
        <v>110</v>
      </c>
      <c r="F1790" s="6" t="s">
        <v>111</v>
      </c>
      <c r="G1790" s="6" t="s">
        <v>450</v>
      </c>
      <c r="H1790" s="6" t="s">
        <v>461</v>
      </c>
      <c r="I1790" s="6" t="s">
        <v>31</v>
      </c>
      <c r="J1790" s="6">
        <v>18.063082588419</v>
      </c>
      <c r="K1790" s="6">
        <v>-96.896682524501003</v>
      </c>
      <c r="L1790" s="6" t="str">
        <f>HYPERLINK("https://maps.google.com/?q=18.0630825884189,-96.896682524501202", "🔗 Ver Mapa")</f>
        <v>🔗 Ver Mapa</v>
      </c>
    </row>
    <row r="1791" spans="1:12" ht="43.5" x14ac:dyDescent="0.35">
      <c r="A1791" s="5" t="s">
        <v>98</v>
      </c>
      <c r="B1791" s="5" t="s">
        <v>99</v>
      </c>
      <c r="C1791" s="5" t="s">
        <v>460</v>
      </c>
      <c r="D1791" s="5" t="s">
        <v>14</v>
      </c>
      <c r="E1791" s="5" t="s">
        <v>110</v>
      </c>
      <c r="F1791" s="5" t="s">
        <v>111</v>
      </c>
      <c r="G1791" s="5" t="s">
        <v>450</v>
      </c>
      <c r="H1791" s="5" t="s">
        <v>461</v>
      </c>
      <c r="I1791" s="5" t="s">
        <v>31</v>
      </c>
      <c r="J1791" s="5">
        <v>18.063353552860999</v>
      </c>
      <c r="K1791" s="5">
        <v>-96.896266999999995</v>
      </c>
      <c r="L1791" s="5" t="str">
        <f>HYPERLINK("https://maps.google.com/?q=18.0633535528605,-96.896266999999995", "🔗 Ver Mapa")</f>
        <v>🔗 Ver Mapa</v>
      </c>
    </row>
    <row r="1792" spans="1:12" ht="43.5" x14ac:dyDescent="0.35">
      <c r="A1792" s="6" t="s">
        <v>98</v>
      </c>
      <c r="B1792" s="6" t="s">
        <v>99</v>
      </c>
      <c r="C1792" s="6" t="s">
        <v>460</v>
      </c>
      <c r="D1792" s="6" t="s">
        <v>14</v>
      </c>
      <c r="E1792" s="6" t="s">
        <v>110</v>
      </c>
      <c r="F1792" s="6" t="s">
        <v>111</v>
      </c>
      <c r="G1792" s="6" t="s">
        <v>450</v>
      </c>
      <c r="H1792" s="6" t="s">
        <v>461</v>
      </c>
      <c r="I1792" s="6" t="s">
        <v>31</v>
      </c>
      <c r="J1792" s="6">
        <v>18.063620692699999</v>
      </c>
      <c r="K1792" s="6">
        <v>-96.896460340410002</v>
      </c>
      <c r="L1792" s="6" t="str">
        <f>HYPERLINK("https://maps.google.com/?q=18.0636206926998,-96.896460340410101", "🔗 Ver Mapa")</f>
        <v>🔗 Ver Mapa</v>
      </c>
    </row>
    <row r="1793" spans="1:12" ht="43.5" x14ac:dyDescent="0.35">
      <c r="A1793" s="5" t="s">
        <v>98</v>
      </c>
      <c r="B1793" s="5" t="s">
        <v>99</v>
      </c>
      <c r="C1793" s="5" t="s">
        <v>460</v>
      </c>
      <c r="D1793" s="5" t="s">
        <v>14</v>
      </c>
      <c r="E1793" s="5" t="s">
        <v>110</v>
      </c>
      <c r="F1793" s="5" t="s">
        <v>111</v>
      </c>
      <c r="G1793" s="5" t="s">
        <v>450</v>
      </c>
      <c r="H1793" s="5" t="s">
        <v>461</v>
      </c>
      <c r="I1793" s="5" t="s">
        <v>31</v>
      </c>
      <c r="J1793" s="5">
        <v>18.064721795996999</v>
      </c>
      <c r="K1793" s="5">
        <v>-96.898008119983999</v>
      </c>
      <c r="L1793" s="5" t="str">
        <f>HYPERLINK("https://maps.google.com/?q=18.0647217959975,-96.898008119984496", "🔗 Ver Mapa")</f>
        <v>🔗 Ver Mapa</v>
      </c>
    </row>
    <row r="1794" spans="1:12" ht="43.5" x14ac:dyDescent="0.35">
      <c r="A1794" s="6" t="s">
        <v>98</v>
      </c>
      <c r="B1794" s="6" t="s">
        <v>99</v>
      </c>
      <c r="C1794" s="6" t="s">
        <v>460</v>
      </c>
      <c r="D1794" s="6" t="s">
        <v>14</v>
      </c>
      <c r="E1794" s="6" t="s">
        <v>110</v>
      </c>
      <c r="F1794" s="6" t="s">
        <v>111</v>
      </c>
      <c r="G1794" s="6" t="s">
        <v>450</v>
      </c>
      <c r="H1794" s="6" t="s">
        <v>461</v>
      </c>
      <c r="I1794" s="6" t="s">
        <v>31</v>
      </c>
      <c r="J1794" s="6">
        <v>18.065375432772001</v>
      </c>
      <c r="K1794" s="6">
        <v>-96.896475015581998</v>
      </c>
      <c r="L1794" s="6" t="str">
        <f>HYPERLINK("https://maps.google.com/?q=18.0653754327718,-96.896475015581998", "🔗 Ver Mapa")</f>
        <v>🔗 Ver Mapa</v>
      </c>
    </row>
    <row r="1795" spans="1:12" ht="43.5" x14ac:dyDescent="0.35">
      <c r="A1795" s="5" t="s">
        <v>98</v>
      </c>
      <c r="B1795" s="5" t="s">
        <v>99</v>
      </c>
      <c r="C1795" s="5" t="s">
        <v>460</v>
      </c>
      <c r="D1795" s="5" t="s">
        <v>14</v>
      </c>
      <c r="E1795" s="5" t="s">
        <v>110</v>
      </c>
      <c r="F1795" s="5" t="s">
        <v>111</v>
      </c>
      <c r="G1795" s="5" t="s">
        <v>450</v>
      </c>
      <c r="H1795" s="5" t="s">
        <v>461</v>
      </c>
      <c r="I1795" s="5" t="s">
        <v>31</v>
      </c>
      <c r="J1795" s="5">
        <v>18.067202279762999</v>
      </c>
      <c r="K1795" s="5">
        <v>-96.899621529114</v>
      </c>
      <c r="L1795" s="5" t="str">
        <f>HYPERLINK("https://maps.google.com/?q=18.0672022797625,-96.899621529114", "🔗 Ver Mapa")</f>
        <v>🔗 Ver Mapa</v>
      </c>
    </row>
    <row r="1796" spans="1:12" ht="43.5" x14ac:dyDescent="0.35">
      <c r="A1796" s="6" t="s">
        <v>98</v>
      </c>
      <c r="B1796" s="6" t="s">
        <v>99</v>
      </c>
      <c r="C1796" s="6" t="s">
        <v>460</v>
      </c>
      <c r="D1796" s="6" t="s">
        <v>14</v>
      </c>
      <c r="E1796" s="6" t="s">
        <v>110</v>
      </c>
      <c r="F1796" s="6" t="s">
        <v>111</v>
      </c>
      <c r="G1796" s="6" t="s">
        <v>450</v>
      </c>
      <c r="H1796" s="6" t="s">
        <v>461</v>
      </c>
      <c r="I1796" s="6" t="s">
        <v>31</v>
      </c>
      <c r="J1796" s="6">
        <v>18.067466408003</v>
      </c>
      <c r="K1796" s="6">
        <v>-96.900568066538995</v>
      </c>
      <c r="L1796" s="6" t="str">
        <f>HYPERLINK("https://maps.google.com/?q=18.0674664080032,-96.900568066539293", "🔗 Ver Mapa")</f>
        <v>🔗 Ver Mapa</v>
      </c>
    </row>
    <row r="1797" spans="1:12" ht="43.5" x14ac:dyDescent="0.35">
      <c r="A1797" s="5" t="s">
        <v>98</v>
      </c>
      <c r="B1797" s="5" t="s">
        <v>99</v>
      </c>
      <c r="C1797" s="5" t="s">
        <v>460</v>
      </c>
      <c r="D1797" s="5" t="s">
        <v>14</v>
      </c>
      <c r="E1797" s="5" t="s">
        <v>110</v>
      </c>
      <c r="F1797" s="5" t="s">
        <v>111</v>
      </c>
      <c r="G1797" s="5" t="s">
        <v>450</v>
      </c>
      <c r="H1797" s="5" t="s">
        <v>461</v>
      </c>
      <c r="I1797" s="5" t="s">
        <v>31</v>
      </c>
      <c r="J1797" s="5">
        <v>18.067486465996001</v>
      </c>
      <c r="K1797" s="5">
        <v>-96.900177882104998</v>
      </c>
      <c r="L1797" s="5" t="str">
        <f>HYPERLINK("https://maps.google.com/?q=18.0674864659961,-96.900177882105197", "🔗 Ver Mapa")</f>
        <v>🔗 Ver Mapa</v>
      </c>
    </row>
    <row r="1798" spans="1:12" ht="43.5" x14ac:dyDescent="0.35">
      <c r="A1798" s="6" t="s">
        <v>98</v>
      </c>
      <c r="B1798" s="6" t="s">
        <v>99</v>
      </c>
      <c r="C1798" s="6" t="s">
        <v>460</v>
      </c>
      <c r="D1798" s="6" t="s">
        <v>14</v>
      </c>
      <c r="E1798" s="6" t="s">
        <v>110</v>
      </c>
      <c r="F1798" s="6" t="s">
        <v>111</v>
      </c>
      <c r="G1798" s="6" t="s">
        <v>450</v>
      </c>
      <c r="H1798" s="6" t="s">
        <v>461</v>
      </c>
      <c r="I1798" s="6" t="s">
        <v>31</v>
      </c>
      <c r="J1798" s="6">
        <v>18.067509609396001</v>
      </c>
      <c r="K1798" s="6">
        <v>-96.900808986721003</v>
      </c>
      <c r="L1798" s="6" t="str">
        <f>HYPERLINK("https://maps.google.com/?q=18.0675096093958,-96.900808986721202", "🔗 Ver Mapa")</f>
        <v>🔗 Ver Mapa</v>
      </c>
    </row>
    <row r="1799" spans="1:12" ht="43.5" x14ac:dyDescent="0.35">
      <c r="A1799" s="5" t="s">
        <v>98</v>
      </c>
      <c r="B1799" s="5" t="s">
        <v>99</v>
      </c>
      <c r="C1799" s="5" t="s">
        <v>460</v>
      </c>
      <c r="D1799" s="5" t="s">
        <v>14</v>
      </c>
      <c r="E1799" s="5" t="s">
        <v>110</v>
      </c>
      <c r="F1799" s="5" t="s">
        <v>111</v>
      </c>
      <c r="G1799" s="5" t="s">
        <v>450</v>
      </c>
      <c r="H1799" s="5" t="s">
        <v>461</v>
      </c>
      <c r="I1799" s="5" t="s">
        <v>31</v>
      </c>
      <c r="J1799" s="5">
        <v>18.067596452751999</v>
      </c>
      <c r="K1799" s="5">
        <v>-96.900286440000002</v>
      </c>
      <c r="L1799" s="5" t="str">
        <f>HYPERLINK("https://maps.google.com/?q=18.0675964527524,-96.900286440000002", "🔗 Ver Mapa")</f>
        <v>🔗 Ver Mapa</v>
      </c>
    </row>
    <row r="1800" spans="1:12" ht="43.5" x14ac:dyDescent="0.35">
      <c r="A1800" s="6" t="s">
        <v>98</v>
      </c>
      <c r="B1800" s="6" t="s">
        <v>99</v>
      </c>
      <c r="C1800" s="6" t="s">
        <v>460</v>
      </c>
      <c r="D1800" s="6" t="s">
        <v>14</v>
      </c>
      <c r="E1800" s="6" t="s">
        <v>110</v>
      </c>
      <c r="F1800" s="6" t="s">
        <v>111</v>
      </c>
      <c r="G1800" s="6" t="s">
        <v>450</v>
      </c>
      <c r="H1800" s="6" t="s">
        <v>461</v>
      </c>
      <c r="I1800" s="6" t="s">
        <v>31</v>
      </c>
      <c r="J1800" s="6">
        <v>18.067644563093001</v>
      </c>
      <c r="K1800" s="6">
        <v>-96.900092051417005</v>
      </c>
      <c r="L1800" s="6" t="str">
        <f>HYPERLINK("https://maps.google.com/?q=18.0676445630931,-96.900092051416706", "🔗 Ver Mapa")</f>
        <v>🔗 Ver Mapa</v>
      </c>
    </row>
    <row r="1801" spans="1:12" ht="43.5" x14ac:dyDescent="0.35">
      <c r="A1801" s="5" t="s">
        <v>98</v>
      </c>
      <c r="B1801" s="5" t="s">
        <v>99</v>
      </c>
      <c r="C1801" s="5" t="s">
        <v>460</v>
      </c>
      <c r="D1801" s="5" t="s">
        <v>14</v>
      </c>
      <c r="E1801" s="5" t="s">
        <v>110</v>
      </c>
      <c r="F1801" s="5" t="s">
        <v>111</v>
      </c>
      <c r="G1801" s="5" t="s">
        <v>450</v>
      </c>
      <c r="H1801" s="5" t="s">
        <v>461</v>
      </c>
      <c r="I1801" s="5" t="s">
        <v>31</v>
      </c>
      <c r="J1801" s="5">
        <v>18.067662606569002</v>
      </c>
      <c r="K1801" s="5">
        <v>-96.900234993992001</v>
      </c>
      <c r="L1801" s="5" t="str">
        <f>HYPERLINK("https://maps.google.com/?q=18.0676626065685,-96.900234993991901", "🔗 Ver Mapa")</f>
        <v>🔗 Ver Mapa</v>
      </c>
    </row>
    <row r="1802" spans="1:12" ht="43.5" x14ac:dyDescent="0.35">
      <c r="A1802" s="6" t="s">
        <v>98</v>
      </c>
      <c r="B1802" s="6" t="s">
        <v>99</v>
      </c>
      <c r="C1802" s="6" t="s">
        <v>460</v>
      </c>
      <c r="D1802" s="6" t="s">
        <v>14</v>
      </c>
      <c r="E1802" s="6" t="s">
        <v>110</v>
      </c>
      <c r="F1802" s="6" t="s">
        <v>111</v>
      </c>
      <c r="G1802" s="6" t="s">
        <v>450</v>
      </c>
      <c r="H1802" s="6" t="s">
        <v>461</v>
      </c>
      <c r="I1802" s="6" t="s">
        <v>31</v>
      </c>
      <c r="J1802" s="6">
        <v>18.067776662797002</v>
      </c>
      <c r="K1802" s="6">
        <v>-96.900035869999996</v>
      </c>
      <c r="L1802" s="6" t="str">
        <f>HYPERLINK("https://maps.google.com/?q=18.067776662797,-96.900035869999996", "🔗 Ver Mapa")</f>
        <v>🔗 Ver Mapa</v>
      </c>
    </row>
    <row r="1803" spans="1:12" ht="43.5" x14ac:dyDescent="0.35">
      <c r="A1803" s="5" t="s">
        <v>98</v>
      </c>
      <c r="B1803" s="5" t="s">
        <v>99</v>
      </c>
      <c r="C1803" s="5" t="s">
        <v>460</v>
      </c>
      <c r="D1803" s="5" t="s">
        <v>14</v>
      </c>
      <c r="E1803" s="5" t="s">
        <v>110</v>
      </c>
      <c r="F1803" s="5" t="s">
        <v>111</v>
      </c>
      <c r="G1803" s="5" t="s">
        <v>450</v>
      </c>
      <c r="H1803" s="5" t="s">
        <v>461</v>
      </c>
      <c r="I1803" s="5" t="s">
        <v>31</v>
      </c>
      <c r="J1803" s="5">
        <v>18.067866602591</v>
      </c>
      <c r="K1803" s="5">
        <v>-96.900594409999997</v>
      </c>
      <c r="L1803" s="5" t="str">
        <f>HYPERLINK("https://maps.google.com/?q=18.0678666025914,-96.900594409999997", "🔗 Ver Mapa")</f>
        <v>🔗 Ver Mapa</v>
      </c>
    </row>
    <row r="1804" spans="1:12" ht="43.5" x14ac:dyDescent="0.35">
      <c r="A1804" s="6" t="s">
        <v>98</v>
      </c>
      <c r="B1804" s="6" t="s">
        <v>99</v>
      </c>
      <c r="C1804" s="6" t="s">
        <v>460</v>
      </c>
      <c r="D1804" s="6" t="s">
        <v>14</v>
      </c>
      <c r="E1804" s="6" t="s">
        <v>110</v>
      </c>
      <c r="F1804" s="6" t="s">
        <v>111</v>
      </c>
      <c r="G1804" s="6" t="s">
        <v>450</v>
      </c>
      <c r="H1804" s="6" t="s">
        <v>461</v>
      </c>
      <c r="I1804" s="6" t="s">
        <v>31</v>
      </c>
      <c r="J1804" s="6">
        <v>18.068034142685999</v>
      </c>
      <c r="K1804" s="6">
        <v>-96.900248994418007</v>
      </c>
      <c r="L1804" s="6" t="str">
        <f>HYPERLINK("https://maps.google.com/?q=18.0680341426862,-96.900248994418106", "🔗 Ver Mapa")</f>
        <v>🔗 Ver Mapa</v>
      </c>
    </row>
    <row r="1805" spans="1:12" ht="43.5" x14ac:dyDescent="0.35">
      <c r="A1805" s="5" t="s">
        <v>98</v>
      </c>
      <c r="B1805" s="5" t="s">
        <v>99</v>
      </c>
      <c r="C1805" s="5" t="s">
        <v>460</v>
      </c>
      <c r="D1805" s="5" t="s">
        <v>14</v>
      </c>
      <c r="E1805" s="5" t="s">
        <v>110</v>
      </c>
      <c r="F1805" s="5" t="s">
        <v>111</v>
      </c>
      <c r="G1805" s="5" t="s">
        <v>450</v>
      </c>
      <c r="H1805" s="5" t="s">
        <v>461</v>
      </c>
      <c r="I1805" s="5" t="s">
        <v>31</v>
      </c>
      <c r="J1805" s="5">
        <v>18.068146902925001</v>
      </c>
      <c r="K1805" s="5">
        <v>-96.900590942294002</v>
      </c>
      <c r="L1805" s="5" t="str">
        <f>HYPERLINK("https://maps.google.com/?q=18.0681469029245,-96.900590942293604", "🔗 Ver Mapa")</f>
        <v>🔗 Ver Mapa</v>
      </c>
    </row>
    <row r="1806" spans="1:12" ht="43.5" x14ac:dyDescent="0.35">
      <c r="A1806" s="6" t="s">
        <v>98</v>
      </c>
      <c r="B1806" s="6" t="s">
        <v>99</v>
      </c>
      <c r="C1806" s="6" t="s">
        <v>460</v>
      </c>
      <c r="D1806" s="6" t="s">
        <v>14</v>
      </c>
      <c r="E1806" s="6" t="s">
        <v>110</v>
      </c>
      <c r="F1806" s="6" t="s">
        <v>111</v>
      </c>
      <c r="G1806" s="6" t="s">
        <v>450</v>
      </c>
      <c r="H1806" s="6" t="s">
        <v>461</v>
      </c>
      <c r="I1806" s="6" t="s">
        <v>31</v>
      </c>
      <c r="J1806" s="6">
        <v>18.068150861744002</v>
      </c>
      <c r="K1806" s="6">
        <v>-96.898564738762005</v>
      </c>
      <c r="L1806" s="6" t="str">
        <f>HYPERLINK("https://maps.google.com/?q=18.0681508617445,-96.898564738762005", "🔗 Ver Mapa")</f>
        <v>🔗 Ver Mapa</v>
      </c>
    </row>
    <row r="1807" spans="1:12" ht="43.5" x14ac:dyDescent="0.35">
      <c r="A1807" s="5" t="s">
        <v>98</v>
      </c>
      <c r="B1807" s="5" t="s">
        <v>99</v>
      </c>
      <c r="C1807" s="5" t="s">
        <v>460</v>
      </c>
      <c r="D1807" s="5" t="s">
        <v>14</v>
      </c>
      <c r="E1807" s="5" t="s">
        <v>110</v>
      </c>
      <c r="F1807" s="5" t="s">
        <v>111</v>
      </c>
      <c r="G1807" s="5" t="s">
        <v>450</v>
      </c>
      <c r="H1807" s="5" t="s">
        <v>461</v>
      </c>
      <c r="I1807" s="5" t="s">
        <v>31</v>
      </c>
      <c r="J1807" s="5">
        <v>18.068158489104999</v>
      </c>
      <c r="K1807" s="5">
        <v>-96.899617854531996</v>
      </c>
      <c r="L1807" s="5" t="str">
        <f>HYPERLINK("https://maps.google.com/?q=18.0681584891047,-96.899617854532195", "🔗 Ver Mapa")</f>
        <v>🔗 Ver Mapa</v>
      </c>
    </row>
    <row r="1808" spans="1:12" ht="43.5" x14ac:dyDescent="0.35">
      <c r="A1808" s="6" t="s">
        <v>98</v>
      </c>
      <c r="B1808" s="6" t="s">
        <v>99</v>
      </c>
      <c r="C1808" s="6" t="s">
        <v>460</v>
      </c>
      <c r="D1808" s="6" t="s">
        <v>14</v>
      </c>
      <c r="E1808" s="6" t="s">
        <v>110</v>
      </c>
      <c r="F1808" s="6" t="s">
        <v>111</v>
      </c>
      <c r="G1808" s="6" t="s">
        <v>450</v>
      </c>
      <c r="H1808" s="6" t="s">
        <v>461</v>
      </c>
      <c r="I1808" s="6" t="s">
        <v>31</v>
      </c>
      <c r="J1808" s="6">
        <v>18.068185493733001</v>
      </c>
      <c r="K1808" s="6">
        <v>-96.899886785448999</v>
      </c>
      <c r="L1808" s="6" t="str">
        <f>HYPERLINK("https://maps.google.com/?q=18.0681854937328,-96.899886785449397", "🔗 Ver Mapa")</f>
        <v>🔗 Ver Mapa</v>
      </c>
    </row>
    <row r="1809" spans="1:12" ht="43.5" x14ac:dyDescent="0.35">
      <c r="A1809" s="5" t="s">
        <v>98</v>
      </c>
      <c r="B1809" s="5" t="s">
        <v>99</v>
      </c>
      <c r="C1809" s="5" t="s">
        <v>460</v>
      </c>
      <c r="D1809" s="5" t="s">
        <v>14</v>
      </c>
      <c r="E1809" s="5" t="s">
        <v>110</v>
      </c>
      <c r="F1809" s="5" t="s">
        <v>111</v>
      </c>
      <c r="G1809" s="5" t="s">
        <v>450</v>
      </c>
      <c r="H1809" s="5" t="s">
        <v>461</v>
      </c>
      <c r="I1809" s="5" t="s">
        <v>31</v>
      </c>
      <c r="J1809" s="5">
        <v>18.068215252790999</v>
      </c>
      <c r="K1809" s="5">
        <v>-96.900073419999998</v>
      </c>
      <c r="L1809" s="5" t="str">
        <f>HYPERLINK("https://maps.google.com/?q=18.0682152527907,-96.900073419999998", "🔗 Ver Mapa")</f>
        <v>🔗 Ver Mapa</v>
      </c>
    </row>
    <row r="1810" spans="1:12" ht="43.5" x14ac:dyDescent="0.35">
      <c r="A1810" s="6" t="s">
        <v>98</v>
      </c>
      <c r="B1810" s="6" t="s">
        <v>99</v>
      </c>
      <c r="C1810" s="6" t="s">
        <v>460</v>
      </c>
      <c r="D1810" s="6" t="s">
        <v>14</v>
      </c>
      <c r="E1810" s="6" t="s">
        <v>110</v>
      </c>
      <c r="F1810" s="6" t="s">
        <v>111</v>
      </c>
      <c r="G1810" s="6" t="s">
        <v>450</v>
      </c>
      <c r="H1810" s="6" t="s">
        <v>461</v>
      </c>
      <c r="I1810" s="6" t="s">
        <v>31</v>
      </c>
      <c r="J1810" s="6">
        <v>18.068405856026999</v>
      </c>
      <c r="K1810" s="6">
        <v>-96.898157042991997</v>
      </c>
      <c r="L1810" s="6" t="str">
        <f>HYPERLINK("https://maps.google.com/?q=18.0684058560273,-96.898157042991699", "🔗 Ver Mapa")</f>
        <v>🔗 Ver Mapa</v>
      </c>
    </row>
    <row r="1811" spans="1:12" ht="43.5" x14ac:dyDescent="0.35">
      <c r="A1811" s="5" t="s">
        <v>98</v>
      </c>
      <c r="B1811" s="5" t="s">
        <v>99</v>
      </c>
      <c r="C1811" s="5" t="s">
        <v>460</v>
      </c>
      <c r="D1811" s="5" t="s">
        <v>14</v>
      </c>
      <c r="E1811" s="5" t="s">
        <v>110</v>
      </c>
      <c r="F1811" s="5" t="s">
        <v>111</v>
      </c>
      <c r="G1811" s="5" t="s">
        <v>450</v>
      </c>
      <c r="H1811" s="5" t="s">
        <v>461</v>
      </c>
      <c r="I1811" s="5" t="s">
        <v>31</v>
      </c>
      <c r="J1811" s="5">
        <v>18.068558852418999</v>
      </c>
      <c r="K1811" s="5">
        <v>-96.897856635582002</v>
      </c>
      <c r="L1811" s="5" t="str">
        <f>HYPERLINK("https://maps.google.com/?q=18.0685588524192,-96.897856635582002", "🔗 Ver Mapa")</f>
        <v>🔗 Ver Mapa</v>
      </c>
    </row>
    <row r="1812" spans="1:12" ht="43.5" x14ac:dyDescent="0.35">
      <c r="A1812" s="6" t="s">
        <v>98</v>
      </c>
      <c r="B1812" s="6" t="s">
        <v>99</v>
      </c>
      <c r="C1812" s="6" t="s">
        <v>460</v>
      </c>
      <c r="D1812" s="6" t="s">
        <v>14</v>
      </c>
      <c r="E1812" s="6" t="s">
        <v>110</v>
      </c>
      <c r="F1812" s="6" t="s">
        <v>111</v>
      </c>
      <c r="G1812" s="6" t="s">
        <v>450</v>
      </c>
      <c r="H1812" s="6" t="s">
        <v>461</v>
      </c>
      <c r="I1812" s="6" t="s">
        <v>31</v>
      </c>
      <c r="J1812" s="6">
        <v>18.068558852418999</v>
      </c>
      <c r="K1812" s="6">
        <v>-96.898564738762005</v>
      </c>
      <c r="L1812" s="6" t="str">
        <f>HYPERLINK("https://maps.google.com/?q=18.0685588524192,-96.898564738762005", "🔗 Ver Mapa")</f>
        <v>🔗 Ver Mapa</v>
      </c>
    </row>
    <row r="1813" spans="1:12" ht="43.5" x14ac:dyDescent="0.35">
      <c r="A1813" s="5" t="s">
        <v>98</v>
      </c>
      <c r="B1813" s="5" t="s">
        <v>99</v>
      </c>
      <c r="C1813" s="5" t="s">
        <v>460</v>
      </c>
      <c r="D1813" s="5" t="s">
        <v>14</v>
      </c>
      <c r="E1813" s="5" t="s">
        <v>110</v>
      </c>
      <c r="F1813" s="5" t="s">
        <v>111</v>
      </c>
      <c r="G1813" s="5" t="s">
        <v>450</v>
      </c>
      <c r="H1813" s="5" t="s">
        <v>461</v>
      </c>
      <c r="I1813" s="5" t="s">
        <v>31</v>
      </c>
      <c r="J1813" s="5">
        <v>18.068654682834001</v>
      </c>
      <c r="K1813" s="5">
        <v>-96.899623928965994</v>
      </c>
      <c r="L1813" s="5" t="str">
        <f>HYPERLINK("https://maps.google.com/?q=18.0686546828344,-96.899623928965894", "🔗 Ver Mapa")</f>
        <v>🔗 Ver Mapa</v>
      </c>
    </row>
    <row r="1814" spans="1:12" ht="43.5" x14ac:dyDescent="0.35">
      <c r="A1814" s="6" t="s">
        <v>98</v>
      </c>
      <c r="B1814" s="6" t="s">
        <v>99</v>
      </c>
      <c r="C1814" s="6" t="s">
        <v>460</v>
      </c>
      <c r="D1814" s="6" t="s">
        <v>14</v>
      </c>
      <c r="E1814" s="6" t="s">
        <v>110</v>
      </c>
      <c r="F1814" s="6" t="s">
        <v>111</v>
      </c>
      <c r="G1814" s="6" t="s">
        <v>450</v>
      </c>
      <c r="H1814" s="6" t="s">
        <v>461</v>
      </c>
      <c r="I1814" s="6" t="s">
        <v>31</v>
      </c>
      <c r="J1814" s="6">
        <v>18.0687233833</v>
      </c>
      <c r="K1814" s="6">
        <v>-96.898829516467998</v>
      </c>
      <c r="L1814" s="6" t="str">
        <f>HYPERLINK("https://maps.google.com/?q=18.0687233833002,-96.898829516467899", "🔗 Ver Mapa")</f>
        <v>🔗 Ver Mapa</v>
      </c>
    </row>
    <row r="1815" spans="1:12" ht="43.5" x14ac:dyDescent="0.35">
      <c r="A1815" s="5" t="s">
        <v>98</v>
      </c>
      <c r="B1815" s="5" t="s">
        <v>99</v>
      </c>
      <c r="C1815" s="5" t="s">
        <v>460</v>
      </c>
      <c r="D1815" s="5" t="s">
        <v>14</v>
      </c>
      <c r="E1815" s="5" t="s">
        <v>110</v>
      </c>
      <c r="F1815" s="5" t="s">
        <v>111</v>
      </c>
      <c r="G1815" s="5" t="s">
        <v>450</v>
      </c>
      <c r="H1815" s="5" t="s">
        <v>461</v>
      </c>
      <c r="I1815" s="5" t="s">
        <v>31</v>
      </c>
      <c r="J1815" s="5">
        <v>18.069492705955</v>
      </c>
      <c r="K1815" s="5">
        <v>-96.899996866771005</v>
      </c>
      <c r="L1815" s="5" t="str">
        <f>HYPERLINK("https://maps.google.com/?q=18.0694927059552,-96.899996866770607", "🔗 Ver Mapa")</f>
        <v>🔗 Ver Mapa</v>
      </c>
    </row>
    <row r="1816" spans="1:12" ht="43.5" x14ac:dyDescent="0.35">
      <c r="A1816" s="6" t="s">
        <v>98</v>
      </c>
      <c r="B1816" s="6" t="s">
        <v>99</v>
      </c>
      <c r="C1816" s="6" t="s">
        <v>462</v>
      </c>
      <c r="D1816" s="6" t="s">
        <v>14</v>
      </c>
      <c r="E1816" s="6" t="s">
        <v>110</v>
      </c>
      <c r="F1816" s="6" t="s">
        <v>111</v>
      </c>
      <c r="G1816" s="6" t="s">
        <v>450</v>
      </c>
      <c r="H1816" s="6" t="s">
        <v>463</v>
      </c>
      <c r="I1816" s="6" t="s">
        <v>31</v>
      </c>
      <c r="J1816" s="6">
        <v>18.034887912693002</v>
      </c>
      <c r="K1816" s="6">
        <v>-96.895676893094006</v>
      </c>
      <c r="L1816" s="6" t="str">
        <f>HYPERLINK("https://maps.google.com/?q=18.0348879126934,-96.895676893093693", "🔗 Ver Mapa")</f>
        <v>🔗 Ver Mapa</v>
      </c>
    </row>
    <row r="1817" spans="1:12" ht="43.5" x14ac:dyDescent="0.35">
      <c r="A1817" s="5" t="s">
        <v>98</v>
      </c>
      <c r="B1817" s="5" t="s">
        <v>99</v>
      </c>
      <c r="C1817" s="5" t="s">
        <v>462</v>
      </c>
      <c r="D1817" s="5" t="s">
        <v>14</v>
      </c>
      <c r="E1817" s="5" t="s">
        <v>110</v>
      </c>
      <c r="F1817" s="5" t="s">
        <v>111</v>
      </c>
      <c r="G1817" s="5" t="s">
        <v>450</v>
      </c>
      <c r="H1817" s="5" t="s">
        <v>463</v>
      </c>
      <c r="I1817" s="5" t="s">
        <v>31</v>
      </c>
      <c r="J1817" s="5">
        <v>18.034895749118999</v>
      </c>
      <c r="K1817" s="5">
        <v>-96.896184000876005</v>
      </c>
      <c r="L1817" s="5" t="str">
        <f>HYPERLINK("https://maps.google.com/?q=18.0348957491188,-96.896184000876005", "🔗 Ver Mapa")</f>
        <v>🔗 Ver Mapa</v>
      </c>
    </row>
    <row r="1818" spans="1:12" ht="43.5" x14ac:dyDescent="0.35">
      <c r="A1818" s="6" t="s">
        <v>98</v>
      </c>
      <c r="B1818" s="6" t="s">
        <v>99</v>
      </c>
      <c r="C1818" s="6" t="s">
        <v>462</v>
      </c>
      <c r="D1818" s="6" t="s">
        <v>14</v>
      </c>
      <c r="E1818" s="6" t="s">
        <v>110</v>
      </c>
      <c r="F1818" s="6" t="s">
        <v>111</v>
      </c>
      <c r="G1818" s="6" t="s">
        <v>450</v>
      </c>
      <c r="H1818" s="6" t="s">
        <v>463</v>
      </c>
      <c r="I1818" s="6" t="s">
        <v>31</v>
      </c>
      <c r="J1818" s="6">
        <v>18.034923693267999</v>
      </c>
      <c r="K1818" s="6">
        <v>-96.896369117790996</v>
      </c>
      <c r="L1818" s="6" t="str">
        <f>HYPERLINK("https://maps.google.com/?q=18.034923693268,-96.896369117790996", "🔗 Ver Mapa")</f>
        <v>🔗 Ver Mapa</v>
      </c>
    </row>
    <row r="1819" spans="1:12" ht="43.5" x14ac:dyDescent="0.35">
      <c r="A1819" s="5" t="s">
        <v>98</v>
      </c>
      <c r="B1819" s="5" t="s">
        <v>99</v>
      </c>
      <c r="C1819" s="5" t="s">
        <v>462</v>
      </c>
      <c r="D1819" s="5" t="s">
        <v>14</v>
      </c>
      <c r="E1819" s="5" t="s">
        <v>110</v>
      </c>
      <c r="F1819" s="5" t="s">
        <v>111</v>
      </c>
      <c r="G1819" s="5" t="s">
        <v>450</v>
      </c>
      <c r="H1819" s="5" t="s">
        <v>463</v>
      </c>
      <c r="I1819" s="5" t="s">
        <v>31</v>
      </c>
      <c r="J1819" s="5">
        <v>18.034949500709999</v>
      </c>
      <c r="K1819" s="5">
        <v>-96.8967186</v>
      </c>
      <c r="L1819" s="5" t="str">
        <f>HYPERLINK("https://maps.google.com/?q=18.0349495007103,-96.8967186", "🔗 Ver Mapa")</f>
        <v>🔗 Ver Mapa</v>
      </c>
    </row>
    <row r="1820" spans="1:12" ht="43.5" x14ac:dyDescent="0.35">
      <c r="A1820" s="6" t="s">
        <v>98</v>
      </c>
      <c r="B1820" s="6" t="s">
        <v>99</v>
      </c>
      <c r="C1820" s="6" t="s">
        <v>462</v>
      </c>
      <c r="D1820" s="6" t="s">
        <v>14</v>
      </c>
      <c r="E1820" s="6" t="s">
        <v>110</v>
      </c>
      <c r="F1820" s="6" t="s">
        <v>111</v>
      </c>
      <c r="G1820" s="6" t="s">
        <v>450</v>
      </c>
      <c r="H1820" s="6" t="s">
        <v>463</v>
      </c>
      <c r="I1820" s="6" t="s">
        <v>31</v>
      </c>
      <c r="J1820" s="6">
        <v>18.034971186307001</v>
      </c>
      <c r="K1820" s="6">
        <v>-96.895697444038007</v>
      </c>
      <c r="L1820" s="6" t="str">
        <f>HYPERLINK("https://maps.google.com/?q=18.034971186307,-96.895697444037694", "🔗 Ver Mapa")</f>
        <v>🔗 Ver Mapa</v>
      </c>
    </row>
    <row r="1821" spans="1:12" ht="43.5" x14ac:dyDescent="0.35">
      <c r="A1821" s="5" t="s">
        <v>98</v>
      </c>
      <c r="B1821" s="5" t="s">
        <v>99</v>
      </c>
      <c r="C1821" s="5" t="s">
        <v>462</v>
      </c>
      <c r="D1821" s="5" t="s">
        <v>14</v>
      </c>
      <c r="E1821" s="5" t="s">
        <v>110</v>
      </c>
      <c r="F1821" s="5" t="s">
        <v>111</v>
      </c>
      <c r="G1821" s="5" t="s">
        <v>450</v>
      </c>
      <c r="H1821" s="5" t="s">
        <v>463</v>
      </c>
      <c r="I1821" s="5" t="s">
        <v>31</v>
      </c>
      <c r="J1821" s="5">
        <v>18.035103423660001</v>
      </c>
      <c r="K1821" s="5">
        <v>-96.895344299176003</v>
      </c>
      <c r="L1821" s="5" t="str">
        <f>HYPERLINK("https://maps.google.com/?q=18.0351034236598,-96.895344299176003", "🔗 Ver Mapa")</f>
        <v>🔗 Ver Mapa</v>
      </c>
    </row>
    <row r="1822" spans="1:12" ht="43.5" x14ac:dyDescent="0.35">
      <c r="A1822" s="6" t="s">
        <v>98</v>
      </c>
      <c r="B1822" s="6" t="s">
        <v>99</v>
      </c>
      <c r="C1822" s="6" t="s">
        <v>462</v>
      </c>
      <c r="D1822" s="6" t="s">
        <v>14</v>
      </c>
      <c r="E1822" s="6" t="s">
        <v>110</v>
      </c>
      <c r="F1822" s="6" t="s">
        <v>111</v>
      </c>
      <c r="G1822" s="6" t="s">
        <v>450</v>
      </c>
      <c r="H1822" s="6" t="s">
        <v>463</v>
      </c>
      <c r="I1822" s="6" t="s">
        <v>31</v>
      </c>
      <c r="J1822" s="6">
        <v>18.035265380230001</v>
      </c>
      <c r="K1822" s="6">
        <v>-96.896301602392001</v>
      </c>
      <c r="L1822" s="6" t="str">
        <f>HYPERLINK("https://maps.google.com/?q=18.0352653802296,-96.896301602392001", "🔗 Ver Mapa")</f>
        <v>🔗 Ver Mapa</v>
      </c>
    </row>
    <row r="1823" spans="1:12" ht="43.5" x14ac:dyDescent="0.35">
      <c r="A1823" s="5" t="s">
        <v>98</v>
      </c>
      <c r="B1823" s="5" t="s">
        <v>99</v>
      </c>
      <c r="C1823" s="5" t="s">
        <v>462</v>
      </c>
      <c r="D1823" s="5" t="s">
        <v>14</v>
      </c>
      <c r="E1823" s="5" t="s">
        <v>110</v>
      </c>
      <c r="F1823" s="5" t="s">
        <v>111</v>
      </c>
      <c r="G1823" s="5" t="s">
        <v>450</v>
      </c>
      <c r="H1823" s="5" t="s">
        <v>463</v>
      </c>
      <c r="I1823" s="5" t="s">
        <v>31</v>
      </c>
      <c r="J1823" s="5">
        <v>18.035371820028999</v>
      </c>
      <c r="K1823" s="5">
        <v>-96.896680511230997</v>
      </c>
      <c r="L1823" s="5" t="str">
        <f>HYPERLINK("https://maps.google.com/?q=18.0353718200292,-96.896680511231196", "🔗 Ver Mapa")</f>
        <v>🔗 Ver Mapa</v>
      </c>
    </row>
    <row r="1824" spans="1:12" ht="43.5" x14ac:dyDescent="0.35">
      <c r="A1824" s="6" t="s">
        <v>98</v>
      </c>
      <c r="B1824" s="6" t="s">
        <v>99</v>
      </c>
      <c r="C1824" s="6" t="s">
        <v>462</v>
      </c>
      <c r="D1824" s="6" t="s">
        <v>14</v>
      </c>
      <c r="E1824" s="6" t="s">
        <v>110</v>
      </c>
      <c r="F1824" s="6" t="s">
        <v>111</v>
      </c>
      <c r="G1824" s="6" t="s">
        <v>450</v>
      </c>
      <c r="H1824" s="6" t="s">
        <v>463</v>
      </c>
      <c r="I1824" s="6" t="s">
        <v>31</v>
      </c>
      <c r="J1824" s="6">
        <v>18.035418105912999</v>
      </c>
      <c r="K1824" s="6">
        <v>-96.893905428170001</v>
      </c>
      <c r="L1824" s="6" t="str">
        <f>HYPERLINK("https://maps.google.com/?q=18.0354181059131,-96.893905428169901", "🔗 Ver Mapa")</f>
        <v>🔗 Ver Mapa</v>
      </c>
    </row>
    <row r="1825" spans="1:12" ht="43.5" x14ac:dyDescent="0.35">
      <c r="A1825" s="5" t="s">
        <v>98</v>
      </c>
      <c r="B1825" s="5" t="s">
        <v>99</v>
      </c>
      <c r="C1825" s="5" t="s">
        <v>462</v>
      </c>
      <c r="D1825" s="5" t="s">
        <v>14</v>
      </c>
      <c r="E1825" s="5" t="s">
        <v>110</v>
      </c>
      <c r="F1825" s="5" t="s">
        <v>111</v>
      </c>
      <c r="G1825" s="5" t="s">
        <v>450</v>
      </c>
      <c r="H1825" s="5" t="s">
        <v>463</v>
      </c>
      <c r="I1825" s="5" t="s">
        <v>31</v>
      </c>
      <c r="J1825" s="5">
        <v>18.035457932248999</v>
      </c>
      <c r="K1825" s="5">
        <v>-96.896144938565996</v>
      </c>
      <c r="L1825" s="5" t="str">
        <f>HYPERLINK("https://maps.google.com/?q=18.0354579322492,-96.896144938566394", "🔗 Ver Mapa")</f>
        <v>🔗 Ver Mapa</v>
      </c>
    </row>
    <row r="1826" spans="1:12" ht="43.5" x14ac:dyDescent="0.35">
      <c r="A1826" s="6" t="s">
        <v>98</v>
      </c>
      <c r="B1826" s="6" t="s">
        <v>99</v>
      </c>
      <c r="C1826" s="6" t="s">
        <v>462</v>
      </c>
      <c r="D1826" s="6" t="s">
        <v>14</v>
      </c>
      <c r="E1826" s="6" t="s">
        <v>110</v>
      </c>
      <c r="F1826" s="6" t="s">
        <v>111</v>
      </c>
      <c r="G1826" s="6" t="s">
        <v>450</v>
      </c>
      <c r="H1826" s="6" t="s">
        <v>463</v>
      </c>
      <c r="I1826" s="6" t="s">
        <v>31</v>
      </c>
      <c r="J1826" s="6">
        <v>18.035577801896999</v>
      </c>
      <c r="K1826" s="6">
        <v>-96.897997003892002</v>
      </c>
      <c r="L1826" s="6" t="str">
        <f>HYPERLINK("https://maps.google.com/?q=18.0355778018975,-96.8979970038922", "🔗 Ver Mapa")</f>
        <v>🔗 Ver Mapa</v>
      </c>
    </row>
    <row r="1827" spans="1:12" ht="43.5" x14ac:dyDescent="0.35">
      <c r="A1827" s="5" t="s">
        <v>98</v>
      </c>
      <c r="B1827" s="5" t="s">
        <v>99</v>
      </c>
      <c r="C1827" s="5" t="s">
        <v>462</v>
      </c>
      <c r="D1827" s="5" t="s">
        <v>14</v>
      </c>
      <c r="E1827" s="5" t="s">
        <v>110</v>
      </c>
      <c r="F1827" s="5" t="s">
        <v>111</v>
      </c>
      <c r="G1827" s="5" t="s">
        <v>450</v>
      </c>
      <c r="H1827" s="5" t="s">
        <v>463</v>
      </c>
      <c r="I1827" s="5" t="s">
        <v>31</v>
      </c>
      <c r="J1827" s="5">
        <v>18.035628002841001</v>
      </c>
      <c r="K1827" s="5">
        <v>-96.896017999999998</v>
      </c>
      <c r="L1827" s="5" t="str">
        <f>HYPERLINK("https://maps.google.com/?q=18.0356280028415,-96.896018000000097", "🔗 Ver Mapa")</f>
        <v>🔗 Ver Mapa</v>
      </c>
    </row>
    <row r="1828" spans="1:12" ht="43.5" x14ac:dyDescent="0.35">
      <c r="A1828" s="6" t="s">
        <v>98</v>
      </c>
      <c r="B1828" s="6" t="s">
        <v>99</v>
      </c>
      <c r="C1828" s="6" t="s">
        <v>462</v>
      </c>
      <c r="D1828" s="6" t="s">
        <v>14</v>
      </c>
      <c r="E1828" s="6" t="s">
        <v>110</v>
      </c>
      <c r="F1828" s="6" t="s">
        <v>111</v>
      </c>
      <c r="G1828" s="6" t="s">
        <v>450</v>
      </c>
      <c r="H1828" s="6" t="s">
        <v>463</v>
      </c>
      <c r="I1828" s="6" t="s">
        <v>31</v>
      </c>
      <c r="J1828" s="6">
        <v>18.035674717724</v>
      </c>
      <c r="K1828" s="6">
        <v>-96.897433739999002</v>
      </c>
      <c r="L1828" s="6" t="str">
        <f>HYPERLINK("https://maps.google.com/?q=18.0356747177243,-96.897433739999002", "🔗 Ver Mapa")</f>
        <v>🔗 Ver Mapa</v>
      </c>
    </row>
    <row r="1829" spans="1:12" ht="43.5" x14ac:dyDescent="0.35">
      <c r="A1829" s="5" t="s">
        <v>98</v>
      </c>
      <c r="B1829" s="5" t="s">
        <v>99</v>
      </c>
      <c r="C1829" s="5" t="s">
        <v>462</v>
      </c>
      <c r="D1829" s="5" t="s">
        <v>14</v>
      </c>
      <c r="E1829" s="5" t="s">
        <v>110</v>
      </c>
      <c r="F1829" s="5" t="s">
        <v>111</v>
      </c>
      <c r="G1829" s="5" t="s">
        <v>450</v>
      </c>
      <c r="H1829" s="5" t="s">
        <v>463</v>
      </c>
      <c r="I1829" s="5" t="s">
        <v>31</v>
      </c>
      <c r="J1829" s="5">
        <v>18.035680196329</v>
      </c>
      <c r="K1829" s="5">
        <v>-96.895960875952994</v>
      </c>
      <c r="L1829" s="5" t="str">
        <f>HYPERLINK("https://maps.google.com/?q=18.0356801963291,-96.895960875953094", "🔗 Ver Mapa")</f>
        <v>🔗 Ver Mapa</v>
      </c>
    </row>
    <row r="1830" spans="1:12" ht="43.5" x14ac:dyDescent="0.35">
      <c r="A1830" s="6" t="s">
        <v>98</v>
      </c>
      <c r="B1830" s="6" t="s">
        <v>99</v>
      </c>
      <c r="C1830" s="6" t="s">
        <v>462</v>
      </c>
      <c r="D1830" s="6" t="s">
        <v>14</v>
      </c>
      <c r="E1830" s="6" t="s">
        <v>110</v>
      </c>
      <c r="F1830" s="6" t="s">
        <v>111</v>
      </c>
      <c r="G1830" s="6" t="s">
        <v>450</v>
      </c>
      <c r="H1830" s="6" t="s">
        <v>463</v>
      </c>
      <c r="I1830" s="6" t="s">
        <v>31</v>
      </c>
      <c r="J1830" s="6">
        <v>18.035868038048001</v>
      </c>
      <c r="K1830" s="6">
        <v>-96.896231548895003</v>
      </c>
      <c r="L1830" s="6" t="str">
        <f>HYPERLINK("https://maps.google.com/?q=18.035868038048,-96.8962315488954", "🔗 Ver Mapa")</f>
        <v>🔗 Ver Mapa</v>
      </c>
    </row>
    <row r="1831" spans="1:12" ht="43.5" x14ac:dyDescent="0.35">
      <c r="A1831" s="5" t="s">
        <v>98</v>
      </c>
      <c r="B1831" s="5" t="s">
        <v>99</v>
      </c>
      <c r="C1831" s="5" t="s">
        <v>462</v>
      </c>
      <c r="D1831" s="5" t="s">
        <v>14</v>
      </c>
      <c r="E1831" s="5" t="s">
        <v>110</v>
      </c>
      <c r="F1831" s="5" t="s">
        <v>111</v>
      </c>
      <c r="G1831" s="5" t="s">
        <v>450</v>
      </c>
      <c r="H1831" s="5" t="s">
        <v>463</v>
      </c>
      <c r="I1831" s="5" t="s">
        <v>31</v>
      </c>
      <c r="J1831" s="5">
        <v>18.035936934820999</v>
      </c>
      <c r="K1831" s="5">
        <v>-96.896444161657996</v>
      </c>
      <c r="L1831" s="5" t="str">
        <f>HYPERLINK("https://maps.google.com/?q=18.0359369348213,-96.896444161657897", "🔗 Ver Mapa")</f>
        <v>🔗 Ver Mapa</v>
      </c>
    </row>
    <row r="1832" spans="1:12" ht="43.5" x14ac:dyDescent="0.35">
      <c r="A1832" s="6" t="s">
        <v>98</v>
      </c>
      <c r="B1832" s="6" t="s">
        <v>99</v>
      </c>
      <c r="C1832" s="6" t="s">
        <v>462</v>
      </c>
      <c r="D1832" s="6" t="s">
        <v>14</v>
      </c>
      <c r="E1832" s="6" t="s">
        <v>110</v>
      </c>
      <c r="F1832" s="6" t="s">
        <v>111</v>
      </c>
      <c r="G1832" s="6" t="s">
        <v>450</v>
      </c>
      <c r="H1832" s="6" t="s">
        <v>463</v>
      </c>
      <c r="I1832" s="6" t="s">
        <v>31</v>
      </c>
      <c r="J1832" s="6">
        <v>18.036008821875999</v>
      </c>
      <c r="K1832" s="6">
        <v>-96.897541028359996</v>
      </c>
      <c r="L1832" s="6" t="str">
        <f>HYPERLINK("https://maps.google.com/?q=18.0360088218758,-96.897541028359697", "🔗 Ver Mapa")</f>
        <v>🔗 Ver Mapa</v>
      </c>
    </row>
    <row r="1833" spans="1:12" ht="43.5" x14ac:dyDescent="0.35">
      <c r="A1833" s="5" t="s">
        <v>98</v>
      </c>
      <c r="B1833" s="5" t="s">
        <v>99</v>
      </c>
      <c r="C1833" s="5" t="s">
        <v>462</v>
      </c>
      <c r="D1833" s="5" t="s">
        <v>14</v>
      </c>
      <c r="E1833" s="5" t="s">
        <v>110</v>
      </c>
      <c r="F1833" s="5" t="s">
        <v>111</v>
      </c>
      <c r="G1833" s="5" t="s">
        <v>450</v>
      </c>
      <c r="H1833" s="5" t="s">
        <v>463</v>
      </c>
      <c r="I1833" s="5" t="s">
        <v>31</v>
      </c>
      <c r="J1833" s="5">
        <v>18.036316077483001</v>
      </c>
      <c r="K1833" s="5">
        <v>-96.895247950422998</v>
      </c>
      <c r="L1833" s="5" t="str">
        <f>HYPERLINK("https://maps.google.com/?q=18.0363160774827,-96.895247950422899", "🔗 Ver Mapa")</f>
        <v>🔗 Ver Mapa</v>
      </c>
    </row>
    <row r="1834" spans="1:12" ht="43.5" x14ac:dyDescent="0.35">
      <c r="A1834" s="6" t="s">
        <v>98</v>
      </c>
      <c r="B1834" s="6" t="s">
        <v>99</v>
      </c>
      <c r="C1834" s="6" t="s">
        <v>462</v>
      </c>
      <c r="D1834" s="6" t="s">
        <v>14</v>
      </c>
      <c r="E1834" s="6" t="s">
        <v>110</v>
      </c>
      <c r="F1834" s="6" t="s">
        <v>111</v>
      </c>
      <c r="G1834" s="6" t="s">
        <v>450</v>
      </c>
      <c r="H1834" s="6" t="s">
        <v>463</v>
      </c>
      <c r="I1834" s="6" t="s">
        <v>31</v>
      </c>
      <c r="J1834" s="6">
        <v>18.036358454710001</v>
      </c>
      <c r="K1834" s="6">
        <v>-96.895595331319996</v>
      </c>
      <c r="L1834" s="6" t="str">
        <f>HYPERLINK("https://maps.google.com/?q=18.0363584547099,-96.895595331319896", "🔗 Ver Mapa")</f>
        <v>🔗 Ver Mapa</v>
      </c>
    </row>
    <row r="1835" spans="1:12" ht="43.5" x14ac:dyDescent="0.35">
      <c r="A1835" s="5" t="s">
        <v>98</v>
      </c>
      <c r="B1835" s="5" t="s">
        <v>99</v>
      </c>
      <c r="C1835" s="5" t="s">
        <v>462</v>
      </c>
      <c r="D1835" s="5" t="s">
        <v>14</v>
      </c>
      <c r="E1835" s="5" t="s">
        <v>110</v>
      </c>
      <c r="F1835" s="5" t="s">
        <v>111</v>
      </c>
      <c r="G1835" s="5" t="s">
        <v>450</v>
      </c>
      <c r="H1835" s="5" t="s">
        <v>463</v>
      </c>
      <c r="I1835" s="5" t="s">
        <v>31</v>
      </c>
      <c r="J1835" s="5">
        <v>18.036398084959998</v>
      </c>
      <c r="K1835" s="5">
        <v>-96.896198550733999</v>
      </c>
      <c r="L1835" s="5" t="str">
        <f>HYPERLINK("https://maps.google.com/?q=18.0363980849597,-96.896198550733601", "🔗 Ver Mapa")</f>
        <v>🔗 Ver Mapa</v>
      </c>
    </row>
    <row r="1836" spans="1:12" ht="43.5" x14ac:dyDescent="0.35">
      <c r="A1836" s="6" t="s">
        <v>98</v>
      </c>
      <c r="B1836" s="6" t="s">
        <v>99</v>
      </c>
      <c r="C1836" s="6" t="s">
        <v>462</v>
      </c>
      <c r="D1836" s="6" t="s">
        <v>14</v>
      </c>
      <c r="E1836" s="6" t="s">
        <v>110</v>
      </c>
      <c r="F1836" s="6" t="s">
        <v>111</v>
      </c>
      <c r="G1836" s="6" t="s">
        <v>450</v>
      </c>
      <c r="H1836" s="6" t="s">
        <v>463</v>
      </c>
      <c r="I1836" s="6" t="s">
        <v>31</v>
      </c>
      <c r="J1836" s="6">
        <v>18.036427640149999</v>
      </c>
      <c r="K1836" s="6">
        <v>-96.896405703585998</v>
      </c>
      <c r="L1836" s="6" t="str">
        <f>HYPERLINK("https://maps.google.com/?q=18.0364276401498,-96.896405703585899", "🔗 Ver Mapa")</f>
        <v>🔗 Ver Mapa</v>
      </c>
    </row>
    <row r="1837" spans="1:12" ht="43.5" x14ac:dyDescent="0.35">
      <c r="A1837" s="5" t="s">
        <v>98</v>
      </c>
      <c r="B1837" s="5" t="s">
        <v>99</v>
      </c>
      <c r="C1837" s="5" t="s">
        <v>462</v>
      </c>
      <c r="D1837" s="5" t="s">
        <v>14</v>
      </c>
      <c r="E1837" s="5" t="s">
        <v>110</v>
      </c>
      <c r="F1837" s="5" t="s">
        <v>111</v>
      </c>
      <c r="G1837" s="5" t="s">
        <v>450</v>
      </c>
      <c r="H1837" s="5" t="s">
        <v>463</v>
      </c>
      <c r="I1837" s="5" t="s">
        <v>31</v>
      </c>
      <c r="J1837" s="5">
        <v>18.036495949692998</v>
      </c>
      <c r="K1837" s="5">
        <v>-96.897975546219996</v>
      </c>
      <c r="L1837" s="5" t="str">
        <f>HYPERLINK("https://maps.google.com/?q=18.0364959496931,-96.897975546220096", "🔗 Ver Mapa")</f>
        <v>🔗 Ver Mapa</v>
      </c>
    </row>
    <row r="1838" spans="1:12" ht="43.5" x14ac:dyDescent="0.35">
      <c r="A1838" s="6" t="s">
        <v>98</v>
      </c>
      <c r="B1838" s="6" t="s">
        <v>99</v>
      </c>
      <c r="C1838" s="6" t="s">
        <v>462</v>
      </c>
      <c r="D1838" s="6" t="s">
        <v>14</v>
      </c>
      <c r="E1838" s="6" t="s">
        <v>110</v>
      </c>
      <c r="F1838" s="6" t="s">
        <v>111</v>
      </c>
      <c r="G1838" s="6" t="s">
        <v>450</v>
      </c>
      <c r="H1838" s="6" t="s">
        <v>463</v>
      </c>
      <c r="I1838" s="6" t="s">
        <v>31</v>
      </c>
      <c r="J1838" s="6">
        <v>18.036523528602</v>
      </c>
      <c r="K1838" s="6">
        <v>-96.895204981093002</v>
      </c>
      <c r="L1838" s="6" t="str">
        <f>HYPERLINK("https://maps.google.com/?q=18.0365235286016,-96.895204981092903", "🔗 Ver Mapa")</f>
        <v>🔗 Ver Mapa</v>
      </c>
    </row>
    <row r="1839" spans="1:12" ht="43.5" x14ac:dyDescent="0.35">
      <c r="A1839" s="5" t="s">
        <v>98</v>
      </c>
      <c r="B1839" s="5" t="s">
        <v>99</v>
      </c>
      <c r="C1839" s="5" t="s">
        <v>462</v>
      </c>
      <c r="D1839" s="5" t="s">
        <v>14</v>
      </c>
      <c r="E1839" s="5" t="s">
        <v>110</v>
      </c>
      <c r="F1839" s="5" t="s">
        <v>111</v>
      </c>
      <c r="G1839" s="5" t="s">
        <v>450</v>
      </c>
      <c r="H1839" s="5" t="s">
        <v>463</v>
      </c>
      <c r="I1839" s="5" t="s">
        <v>31</v>
      </c>
      <c r="J1839" s="5">
        <v>18.036594939884999</v>
      </c>
      <c r="K1839" s="5">
        <v>-96.895411511187007</v>
      </c>
      <c r="L1839" s="5" t="str">
        <f>HYPERLINK("https://maps.google.com/?q=18.0365949398848,-96.895411511187206", "🔗 Ver Mapa")</f>
        <v>🔗 Ver Mapa</v>
      </c>
    </row>
    <row r="1840" spans="1:12" ht="43.5" x14ac:dyDescent="0.35">
      <c r="A1840" s="6" t="s">
        <v>98</v>
      </c>
      <c r="B1840" s="6" t="s">
        <v>99</v>
      </c>
      <c r="C1840" s="6" t="s">
        <v>462</v>
      </c>
      <c r="D1840" s="6" t="s">
        <v>14</v>
      </c>
      <c r="E1840" s="6" t="s">
        <v>110</v>
      </c>
      <c r="F1840" s="6" t="s">
        <v>111</v>
      </c>
      <c r="G1840" s="6" t="s">
        <v>450</v>
      </c>
      <c r="H1840" s="6" t="s">
        <v>463</v>
      </c>
      <c r="I1840" s="6" t="s">
        <v>31</v>
      </c>
      <c r="J1840" s="6">
        <v>18.036819850689</v>
      </c>
      <c r="K1840" s="6">
        <v>-96.898313504556</v>
      </c>
      <c r="L1840" s="6" t="str">
        <f>HYPERLINK("https://maps.google.com/?q=18.0368198506892,-96.898313504555901", "🔗 Ver Mapa")</f>
        <v>🔗 Ver Mapa</v>
      </c>
    </row>
    <row r="1841" spans="1:12" ht="43.5" x14ac:dyDescent="0.35">
      <c r="A1841" s="5" t="s">
        <v>98</v>
      </c>
      <c r="B1841" s="5" t="s">
        <v>99</v>
      </c>
      <c r="C1841" s="5" t="s">
        <v>462</v>
      </c>
      <c r="D1841" s="5" t="s">
        <v>14</v>
      </c>
      <c r="E1841" s="5" t="s">
        <v>110</v>
      </c>
      <c r="F1841" s="5" t="s">
        <v>111</v>
      </c>
      <c r="G1841" s="5" t="s">
        <v>450</v>
      </c>
      <c r="H1841" s="5" t="s">
        <v>463</v>
      </c>
      <c r="I1841" s="5" t="s">
        <v>31</v>
      </c>
      <c r="J1841" s="5">
        <v>18.036914408041</v>
      </c>
      <c r="K1841" s="5">
        <v>-96.897980498894995</v>
      </c>
      <c r="L1841" s="5" t="str">
        <f>HYPERLINK("https://maps.google.com/?q=18.0369144080406,-96.897980498895294", "🔗 Ver Mapa")</f>
        <v>🔗 Ver Mapa</v>
      </c>
    </row>
    <row r="1842" spans="1:12" ht="43.5" x14ac:dyDescent="0.35">
      <c r="A1842" s="6" t="s">
        <v>98</v>
      </c>
      <c r="B1842" s="6" t="s">
        <v>99</v>
      </c>
      <c r="C1842" s="6" t="s">
        <v>462</v>
      </c>
      <c r="D1842" s="6" t="s">
        <v>14</v>
      </c>
      <c r="E1842" s="6" t="s">
        <v>110</v>
      </c>
      <c r="F1842" s="6" t="s">
        <v>111</v>
      </c>
      <c r="G1842" s="6" t="s">
        <v>450</v>
      </c>
      <c r="H1842" s="6" t="s">
        <v>463</v>
      </c>
      <c r="I1842" s="6" t="s">
        <v>31</v>
      </c>
      <c r="J1842" s="6">
        <v>18.037049386467</v>
      </c>
      <c r="K1842" s="6">
        <v>-96.899016243318002</v>
      </c>
      <c r="L1842" s="6" t="str">
        <f>HYPERLINK("https://maps.google.com/?q=18.037049386467,-96.899016243317902", "🔗 Ver Mapa")</f>
        <v>🔗 Ver Mapa</v>
      </c>
    </row>
    <row r="1843" spans="1:12" ht="43.5" x14ac:dyDescent="0.35">
      <c r="A1843" s="5" t="s">
        <v>98</v>
      </c>
      <c r="B1843" s="5" t="s">
        <v>99</v>
      </c>
      <c r="C1843" s="5" t="s">
        <v>462</v>
      </c>
      <c r="D1843" s="5" t="s">
        <v>14</v>
      </c>
      <c r="E1843" s="5" t="s">
        <v>110</v>
      </c>
      <c r="F1843" s="5" t="s">
        <v>111</v>
      </c>
      <c r="G1843" s="5" t="s">
        <v>450</v>
      </c>
      <c r="H1843" s="5" t="s">
        <v>463</v>
      </c>
      <c r="I1843" s="5" t="s">
        <v>31</v>
      </c>
      <c r="J1843" s="5">
        <v>18.037199356599999</v>
      </c>
      <c r="K1843" s="5">
        <v>-96.898560371748005</v>
      </c>
      <c r="L1843" s="5" t="str">
        <f>HYPERLINK("https://maps.google.com/?q=18.0371993565999,-96.898560371747806", "🔗 Ver Mapa")</f>
        <v>🔗 Ver Mapa</v>
      </c>
    </row>
    <row r="1844" spans="1:12" ht="43.5" x14ac:dyDescent="0.35">
      <c r="A1844" s="6" t="s">
        <v>98</v>
      </c>
      <c r="B1844" s="6" t="s">
        <v>99</v>
      </c>
      <c r="C1844" s="6" t="s">
        <v>462</v>
      </c>
      <c r="D1844" s="6" t="s">
        <v>14</v>
      </c>
      <c r="E1844" s="6" t="s">
        <v>110</v>
      </c>
      <c r="F1844" s="6" t="s">
        <v>111</v>
      </c>
      <c r="G1844" s="6" t="s">
        <v>450</v>
      </c>
      <c r="H1844" s="6" t="s">
        <v>463</v>
      </c>
      <c r="I1844" s="6" t="s">
        <v>31</v>
      </c>
      <c r="J1844" s="6">
        <v>18.037264062841999</v>
      </c>
      <c r="K1844" s="6">
        <v>-96.897912919999996</v>
      </c>
      <c r="L1844" s="6" t="str">
        <f>HYPERLINK("https://maps.google.com/?q=18.0372640628417,-96.897912919999996", "🔗 Ver Mapa")</f>
        <v>🔗 Ver Mapa</v>
      </c>
    </row>
    <row r="1845" spans="1:12" ht="43.5" x14ac:dyDescent="0.35">
      <c r="A1845" s="5" t="s">
        <v>98</v>
      </c>
      <c r="B1845" s="5" t="s">
        <v>99</v>
      </c>
      <c r="C1845" s="5" t="s">
        <v>462</v>
      </c>
      <c r="D1845" s="5" t="s">
        <v>14</v>
      </c>
      <c r="E1845" s="5" t="s">
        <v>110</v>
      </c>
      <c r="F1845" s="5" t="s">
        <v>111</v>
      </c>
      <c r="G1845" s="5" t="s">
        <v>450</v>
      </c>
      <c r="H1845" s="5" t="s">
        <v>463</v>
      </c>
      <c r="I1845" s="5" t="s">
        <v>31</v>
      </c>
      <c r="J1845" s="5">
        <v>18.037295730440999</v>
      </c>
      <c r="K1845" s="5">
        <v>-96.896272591918006</v>
      </c>
      <c r="L1845" s="5" t="str">
        <f>HYPERLINK("https://maps.google.com/?q=18.0372957304405,-96.896272591918205", "🔗 Ver Mapa")</f>
        <v>🔗 Ver Mapa</v>
      </c>
    </row>
    <row r="1846" spans="1:12" ht="43.5" x14ac:dyDescent="0.35">
      <c r="A1846" s="6" t="s">
        <v>98</v>
      </c>
      <c r="B1846" s="6" t="s">
        <v>99</v>
      </c>
      <c r="C1846" s="6" t="s">
        <v>462</v>
      </c>
      <c r="D1846" s="6" t="s">
        <v>14</v>
      </c>
      <c r="E1846" s="6" t="s">
        <v>110</v>
      </c>
      <c r="F1846" s="6" t="s">
        <v>111</v>
      </c>
      <c r="G1846" s="6" t="s">
        <v>450</v>
      </c>
      <c r="H1846" s="6" t="s">
        <v>463</v>
      </c>
      <c r="I1846" s="6" t="s">
        <v>31</v>
      </c>
      <c r="J1846" s="6">
        <v>18.037368185662</v>
      </c>
      <c r="K1846" s="6">
        <v>-96.896419864991003</v>
      </c>
      <c r="L1846" s="6" t="str">
        <f>HYPERLINK("https://maps.google.com/?q=18.0373681856619,-96.896419864991003", "🔗 Ver Mapa")</f>
        <v>🔗 Ver Mapa</v>
      </c>
    </row>
    <row r="1847" spans="1:12" ht="43.5" x14ac:dyDescent="0.35">
      <c r="A1847" s="5" t="s">
        <v>98</v>
      </c>
      <c r="B1847" s="5" t="s">
        <v>99</v>
      </c>
      <c r="C1847" s="5" t="s">
        <v>462</v>
      </c>
      <c r="D1847" s="5" t="s">
        <v>14</v>
      </c>
      <c r="E1847" s="5" t="s">
        <v>110</v>
      </c>
      <c r="F1847" s="5" t="s">
        <v>111</v>
      </c>
      <c r="G1847" s="5" t="s">
        <v>450</v>
      </c>
      <c r="H1847" s="5" t="s">
        <v>463</v>
      </c>
      <c r="I1847" s="5" t="s">
        <v>31</v>
      </c>
      <c r="J1847" s="5">
        <v>18.037472020894</v>
      </c>
      <c r="K1847" s="5">
        <v>-96.897789720163999</v>
      </c>
      <c r="L1847" s="5" t="str">
        <f>HYPERLINK("https://maps.google.com/?q=18.0374720208938,-96.897789720164297", "🔗 Ver Mapa")</f>
        <v>🔗 Ver Mapa</v>
      </c>
    </row>
    <row r="1848" spans="1:12" ht="43.5" x14ac:dyDescent="0.35">
      <c r="A1848" s="6" t="s">
        <v>98</v>
      </c>
      <c r="B1848" s="6" t="s">
        <v>99</v>
      </c>
      <c r="C1848" s="6" t="s">
        <v>462</v>
      </c>
      <c r="D1848" s="6" t="s">
        <v>14</v>
      </c>
      <c r="E1848" s="6" t="s">
        <v>110</v>
      </c>
      <c r="F1848" s="6" t="s">
        <v>111</v>
      </c>
      <c r="G1848" s="6" t="s">
        <v>450</v>
      </c>
      <c r="H1848" s="6" t="s">
        <v>463</v>
      </c>
      <c r="I1848" s="6" t="s">
        <v>31</v>
      </c>
      <c r="J1848" s="6">
        <v>18.037517444822001</v>
      </c>
      <c r="K1848" s="6">
        <v>-96.896699822909994</v>
      </c>
      <c r="L1848" s="6" t="str">
        <f>HYPERLINK("https://maps.google.com/?q=18.0375174448218,-96.896699822910193", "🔗 Ver Mapa")</f>
        <v>🔗 Ver Mapa</v>
      </c>
    </row>
    <row r="1849" spans="1:12" ht="43.5" x14ac:dyDescent="0.35">
      <c r="A1849" s="5" t="s">
        <v>98</v>
      </c>
      <c r="B1849" s="5" t="s">
        <v>99</v>
      </c>
      <c r="C1849" s="5" t="s">
        <v>462</v>
      </c>
      <c r="D1849" s="5" t="s">
        <v>14</v>
      </c>
      <c r="E1849" s="5" t="s">
        <v>110</v>
      </c>
      <c r="F1849" s="5" t="s">
        <v>111</v>
      </c>
      <c r="G1849" s="5" t="s">
        <v>450</v>
      </c>
      <c r="H1849" s="5" t="s">
        <v>463</v>
      </c>
      <c r="I1849" s="5" t="s">
        <v>31</v>
      </c>
      <c r="J1849" s="5">
        <v>18.037979188445998</v>
      </c>
      <c r="K1849" s="5">
        <v>-96.899855945018004</v>
      </c>
      <c r="L1849" s="5" t="str">
        <f>HYPERLINK("https://maps.google.com/?q=18.0379791884455,-96.899855945018004", "🔗 Ver Mapa")</f>
        <v>🔗 Ver Mapa</v>
      </c>
    </row>
    <row r="1850" spans="1:12" ht="43.5" x14ac:dyDescent="0.35">
      <c r="A1850" s="6" t="s">
        <v>98</v>
      </c>
      <c r="B1850" s="6" t="s">
        <v>99</v>
      </c>
      <c r="C1850" s="6" t="s">
        <v>462</v>
      </c>
      <c r="D1850" s="6" t="s">
        <v>14</v>
      </c>
      <c r="E1850" s="6" t="s">
        <v>110</v>
      </c>
      <c r="F1850" s="6" t="s">
        <v>111</v>
      </c>
      <c r="G1850" s="6" t="s">
        <v>450</v>
      </c>
      <c r="H1850" s="6" t="s">
        <v>463</v>
      </c>
      <c r="I1850" s="6" t="s">
        <v>31</v>
      </c>
      <c r="J1850" s="6">
        <v>18.038277329147999</v>
      </c>
      <c r="K1850" s="6">
        <v>-96.898823335040007</v>
      </c>
      <c r="L1850" s="6" t="str">
        <f>HYPERLINK("https://maps.google.com/?q=18.0382773291479,-96.898823335040206", "🔗 Ver Mapa")</f>
        <v>🔗 Ver Mapa</v>
      </c>
    </row>
    <row r="1851" spans="1:12" ht="43.5" x14ac:dyDescent="0.35">
      <c r="A1851" s="5" t="s">
        <v>98</v>
      </c>
      <c r="B1851" s="5" t="s">
        <v>99</v>
      </c>
      <c r="C1851" s="5" t="s">
        <v>462</v>
      </c>
      <c r="D1851" s="5" t="s">
        <v>14</v>
      </c>
      <c r="E1851" s="5" t="s">
        <v>110</v>
      </c>
      <c r="F1851" s="5" t="s">
        <v>111</v>
      </c>
      <c r="G1851" s="5" t="s">
        <v>450</v>
      </c>
      <c r="H1851" s="5" t="s">
        <v>463</v>
      </c>
      <c r="I1851" s="5" t="s">
        <v>31</v>
      </c>
      <c r="J1851" s="5">
        <v>18.038390623306</v>
      </c>
      <c r="K1851" s="5">
        <v>-96.898655765013004</v>
      </c>
      <c r="L1851" s="5" t="str">
        <f>HYPERLINK("https://maps.google.com/?q=18.0383906233061,-96.898655765012606", "🔗 Ver Mapa")</f>
        <v>🔗 Ver Mapa</v>
      </c>
    </row>
    <row r="1852" spans="1:12" ht="43.5" x14ac:dyDescent="0.35">
      <c r="A1852" s="6" t="s">
        <v>73</v>
      </c>
      <c r="B1852" s="6" t="s">
        <v>74</v>
      </c>
      <c r="C1852" s="6" t="s">
        <v>464</v>
      </c>
      <c r="D1852" s="6" t="s">
        <v>76</v>
      </c>
      <c r="E1852" s="6" t="s">
        <v>52</v>
      </c>
      <c r="F1852" s="6" t="s">
        <v>70</v>
      </c>
      <c r="G1852" s="6" t="s">
        <v>225</v>
      </c>
      <c r="H1852" s="6" t="s">
        <v>226</v>
      </c>
      <c r="I1852" s="6" t="s">
        <v>31</v>
      </c>
      <c r="J1852" s="6">
        <v>16.992083200736001</v>
      </c>
      <c r="K1852" s="6">
        <v>-96.782514678571999</v>
      </c>
      <c r="L1852" s="6" t="str">
        <f>HYPERLINK("https://maps.google.com/?q=16.992083200736488,-96.7825146785719", "🔗 Ver Mapa")</f>
        <v>🔗 Ver Mapa</v>
      </c>
    </row>
    <row r="1853" spans="1:12" ht="58" x14ac:dyDescent="0.35">
      <c r="A1853" s="5" t="s">
        <v>73</v>
      </c>
      <c r="B1853" s="5" t="s">
        <v>74</v>
      </c>
      <c r="C1853" s="5" t="s">
        <v>465</v>
      </c>
      <c r="D1853" s="5" t="s">
        <v>76</v>
      </c>
      <c r="E1853" s="5" t="s">
        <v>52</v>
      </c>
      <c r="F1853" s="5" t="s">
        <v>421</v>
      </c>
      <c r="G1853" s="5" t="s">
        <v>422</v>
      </c>
      <c r="H1853" s="5" t="s">
        <v>466</v>
      </c>
      <c r="I1853" s="5" t="s">
        <v>31</v>
      </c>
      <c r="J1853" s="5">
        <v>16.675966566084998</v>
      </c>
      <c r="K1853" s="5">
        <v>-96.737239080272005</v>
      </c>
      <c r="L1853" s="5" t="str">
        <f>HYPERLINK("https://maps.google.com/?q=16.67596656608471,-96.73723908027195", "🔗 Ver Mapa")</f>
        <v>🔗 Ver Mapa</v>
      </c>
    </row>
    <row r="1854" spans="1:12" ht="43.5" x14ac:dyDescent="0.35">
      <c r="A1854" s="6" t="s">
        <v>288</v>
      </c>
      <c r="B1854" s="6" t="s">
        <v>289</v>
      </c>
      <c r="C1854" s="6" t="s">
        <v>467</v>
      </c>
      <c r="D1854" s="6" t="s">
        <v>414</v>
      </c>
      <c r="E1854" s="6" t="s">
        <v>17</v>
      </c>
      <c r="F1854" s="6" t="s">
        <v>20</v>
      </c>
      <c r="G1854" s="6" t="s">
        <v>208</v>
      </c>
      <c r="H1854" s="6" t="s">
        <v>468</v>
      </c>
      <c r="I1854" s="6" t="s">
        <v>469</v>
      </c>
      <c r="J1854" s="6">
        <v>15.770099907818</v>
      </c>
      <c r="K1854" s="6">
        <v>-96.152604487923</v>
      </c>
      <c r="L1854" s="6" t="str">
        <f>HYPERLINK("https://maps.google.com/?q=15.770099907817526,-96.152604487923114", "🔗 Ver Mapa")</f>
        <v>🔗 Ver Mapa</v>
      </c>
    </row>
    <row r="1855" spans="1:12" ht="43.5" x14ac:dyDescent="0.35">
      <c r="A1855" s="5" t="s">
        <v>288</v>
      </c>
      <c r="B1855" s="5" t="s">
        <v>289</v>
      </c>
      <c r="C1855" s="5" t="s">
        <v>467</v>
      </c>
      <c r="D1855" s="5" t="s">
        <v>414</v>
      </c>
      <c r="E1855" s="5" t="s">
        <v>17</v>
      </c>
      <c r="F1855" s="5" t="s">
        <v>20</v>
      </c>
      <c r="G1855" s="5" t="s">
        <v>208</v>
      </c>
      <c r="H1855" s="5" t="s">
        <v>468</v>
      </c>
      <c r="I1855" s="5" t="s">
        <v>469</v>
      </c>
      <c r="J1855" s="5">
        <v>15.770372011232</v>
      </c>
      <c r="K1855" s="5">
        <v>-96.153384078241999</v>
      </c>
      <c r="L1855" s="5" t="str">
        <f>HYPERLINK("https://maps.google.com/?q=15.770372011231588,-96.15338407824197", "🔗 Ver Mapa")</f>
        <v>🔗 Ver Mapa</v>
      </c>
    </row>
    <row r="1856" spans="1:12" ht="43.5" x14ac:dyDescent="0.35">
      <c r="A1856" s="6" t="s">
        <v>288</v>
      </c>
      <c r="B1856" s="6" t="s">
        <v>289</v>
      </c>
      <c r="C1856" s="6" t="s">
        <v>467</v>
      </c>
      <c r="D1856" s="6" t="s">
        <v>414</v>
      </c>
      <c r="E1856" s="6" t="s">
        <v>17</v>
      </c>
      <c r="F1856" s="6" t="s">
        <v>20</v>
      </c>
      <c r="G1856" s="6" t="s">
        <v>208</v>
      </c>
      <c r="H1856" s="6" t="s">
        <v>468</v>
      </c>
      <c r="I1856" s="6" t="s">
        <v>469</v>
      </c>
      <c r="J1856" s="6">
        <v>15.770577366285</v>
      </c>
      <c r="K1856" s="6">
        <v>-96.152513888258994</v>
      </c>
      <c r="L1856" s="6" t="str">
        <f>HYPERLINK("https://maps.google.com/?q=15.770577366285025,-96.152513888259065", "🔗 Ver Mapa")</f>
        <v>🔗 Ver Mapa</v>
      </c>
    </row>
    <row r="1857" spans="1:12" ht="43.5" x14ac:dyDescent="0.35">
      <c r="A1857" s="5" t="s">
        <v>288</v>
      </c>
      <c r="B1857" s="5" t="s">
        <v>289</v>
      </c>
      <c r="C1857" s="5" t="s">
        <v>467</v>
      </c>
      <c r="D1857" s="5" t="s">
        <v>414</v>
      </c>
      <c r="E1857" s="5" t="s">
        <v>17</v>
      </c>
      <c r="F1857" s="5" t="s">
        <v>20</v>
      </c>
      <c r="G1857" s="5" t="s">
        <v>208</v>
      </c>
      <c r="H1857" s="5" t="s">
        <v>468</v>
      </c>
      <c r="I1857" s="5" t="s">
        <v>469</v>
      </c>
      <c r="J1857" s="5">
        <v>15.770726946356</v>
      </c>
      <c r="K1857" s="5">
        <v>-96.150833108666006</v>
      </c>
      <c r="L1857" s="5" t="str">
        <f>HYPERLINK("https://maps.google.com/?q=15.770726946355866,-96.150833108665992", "🔗 Ver Mapa")</f>
        <v>🔗 Ver Mapa</v>
      </c>
    </row>
    <row r="1858" spans="1:12" ht="43.5" x14ac:dyDescent="0.35">
      <c r="A1858" s="6" t="s">
        <v>288</v>
      </c>
      <c r="B1858" s="6" t="s">
        <v>289</v>
      </c>
      <c r="C1858" s="6" t="s">
        <v>467</v>
      </c>
      <c r="D1858" s="6" t="s">
        <v>414</v>
      </c>
      <c r="E1858" s="6" t="s">
        <v>17</v>
      </c>
      <c r="F1858" s="6" t="s">
        <v>20</v>
      </c>
      <c r="G1858" s="6" t="s">
        <v>208</v>
      </c>
      <c r="H1858" s="6" t="s">
        <v>468</v>
      </c>
      <c r="I1858" s="6" t="s">
        <v>469</v>
      </c>
      <c r="J1858" s="6">
        <v>15.770983778688</v>
      </c>
      <c r="K1858" s="6">
        <v>-96.149757023502005</v>
      </c>
      <c r="L1858" s="6" t="str">
        <f>HYPERLINK("https://maps.google.com/?q=15.770983778687938,-96.149757023502104", "🔗 Ver Mapa")</f>
        <v>🔗 Ver Mapa</v>
      </c>
    </row>
    <row r="1859" spans="1:12" ht="43.5" x14ac:dyDescent="0.35">
      <c r="A1859" s="5" t="s">
        <v>288</v>
      </c>
      <c r="B1859" s="5" t="s">
        <v>289</v>
      </c>
      <c r="C1859" s="5" t="s">
        <v>467</v>
      </c>
      <c r="D1859" s="5" t="s">
        <v>414</v>
      </c>
      <c r="E1859" s="5" t="s">
        <v>17</v>
      </c>
      <c r="F1859" s="5" t="s">
        <v>20</v>
      </c>
      <c r="G1859" s="5" t="s">
        <v>208</v>
      </c>
      <c r="H1859" s="5" t="s">
        <v>468</v>
      </c>
      <c r="I1859" s="5" t="s">
        <v>469</v>
      </c>
      <c r="J1859" s="5">
        <v>15.771040737291999</v>
      </c>
      <c r="K1859" s="5">
        <v>-96.148590469997998</v>
      </c>
      <c r="L1859" s="5" t="str">
        <f>HYPERLINK("https://maps.google.com/?q=15.771040737292195,-96.148590469997757", "🔗 Ver Mapa")</f>
        <v>🔗 Ver Mapa</v>
      </c>
    </row>
    <row r="1860" spans="1:12" ht="43.5" x14ac:dyDescent="0.35">
      <c r="A1860" s="6" t="s">
        <v>288</v>
      </c>
      <c r="B1860" s="6" t="s">
        <v>289</v>
      </c>
      <c r="C1860" s="6" t="s">
        <v>467</v>
      </c>
      <c r="D1860" s="6" t="s">
        <v>414</v>
      </c>
      <c r="E1860" s="6" t="s">
        <v>17</v>
      </c>
      <c r="F1860" s="6" t="s">
        <v>20</v>
      </c>
      <c r="G1860" s="6" t="s">
        <v>208</v>
      </c>
      <c r="H1860" s="6" t="s">
        <v>468</v>
      </c>
      <c r="I1860" s="6" t="s">
        <v>469</v>
      </c>
      <c r="J1860" s="6">
        <v>15.771579441904001</v>
      </c>
      <c r="K1860" s="6">
        <v>-96.148349786815004</v>
      </c>
      <c r="L1860" s="6" t="str">
        <f>HYPERLINK("https://maps.google.com/?q=15.771579441904228,-96.148349786814606", "🔗 Ver Mapa")</f>
        <v>🔗 Ver Mapa</v>
      </c>
    </row>
    <row r="1861" spans="1:12" ht="43.5" x14ac:dyDescent="0.35">
      <c r="A1861" s="5" t="s">
        <v>288</v>
      </c>
      <c r="B1861" s="5" t="s">
        <v>289</v>
      </c>
      <c r="C1861" s="5" t="s">
        <v>467</v>
      </c>
      <c r="D1861" s="5" t="s">
        <v>414</v>
      </c>
      <c r="E1861" s="5" t="s">
        <v>17</v>
      </c>
      <c r="F1861" s="5" t="s">
        <v>20</v>
      </c>
      <c r="G1861" s="5" t="s">
        <v>208</v>
      </c>
      <c r="H1861" s="5" t="s">
        <v>468</v>
      </c>
      <c r="I1861" s="5" t="s">
        <v>469</v>
      </c>
      <c r="J1861" s="5">
        <v>15.772147993772</v>
      </c>
      <c r="K1861" s="5">
        <v>-96.153834924782998</v>
      </c>
      <c r="L1861" s="5" t="str">
        <f>HYPERLINK("https://maps.google.com/?q=15.772147993771743,-96.153834924782785", "🔗 Ver Mapa")</f>
        <v>🔗 Ver Mapa</v>
      </c>
    </row>
    <row r="1862" spans="1:12" ht="43.5" x14ac:dyDescent="0.35">
      <c r="A1862" s="6" t="s">
        <v>288</v>
      </c>
      <c r="B1862" s="6" t="s">
        <v>289</v>
      </c>
      <c r="C1862" s="6" t="s">
        <v>467</v>
      </c>
      <c r="D1862" s="6" t="s">
        <v>414</v>
      </c>
      <c r="E1862" s="6" t="s">
        <v>17</v>
      </c>
      <c r="F1862" s="6" t="s">
        <v>20</v>
      </c>
      <c r="G1862" s="6" t="s">
        <v>208</v>
      </c>
      <c r="H1862" s="6" t="s">
        <v>468</v>
      </c>
      <c r="I1862" s="6" t="s">
        <v>469</v>
      </c>
      <c r="J1862" s="6">
        <v>15.772505750324999</v>
      </c>
      <c r="K1862" s="6">
        <v>-96.152878664178999</v>
      </c>
      <c r="L1862" s="6" t="str">
        <f>HYPERLINK("https://maps.google.com/?q=15.772505750325173,-96.152878664178658", "🔗 Ver Mapa")</f>
        <v>🔗 Ver Mapa</v>
      </c>
    </row>
    <row r="1863" spans="1:12" ht="43.5" x14ac:dyDescent="0.35">
      <c r="A1863" s="5" t="s">
        <v>288</v>
      </c>
      <c r="B1863" s="5" t="s">
        <v>289</v>
      </c>
      <c r="C1863" s="5" t="s">
        <v>467</v>
      </c>
      <c r="D1863" s="5" t="s">
        <v>414</v>
      </c>
      <c r="E1863" s="5" t="s">
        <v>17</v>
      </c>
      <c r="F1863" s="5" t="s">
        <v>20</v>
      </c>
      <c r="G1863" s="5" t="s">
        <v>208</v>
      </c>
      <c r="H1863" s="5" t="s">
        <v>468</v>
      </c>
      <c r="I1863" s="5" t="s">
        <v>469</v>
      </c>
      <c r="J1863" s="5">
        <v>15.77267943232</v>
      </c>
      <c r="K1863" s="5">
        <v>-96.148213166928002</v>
      </c>
      <c r="L1863" s="5" t="str">
        <f>HYPERLINK("https://maps.google.com/?q=15.772679432319741,-96.148213166927562", "🔗 Ver Mapa")</f>
        <v>🔗 Ver Mapa</v>
      </c>
    </row>
    <row r="1864" spans="1:12" ht="43.5" x14ac:dyDescent="0.35">
      <c r="A1864" s="6" t="s">
        <v>288</v>
      </c>
      <c r="B1864" s="6" t="s">
        <v>289</v>
      </c>
      <c r="C1864" s="6" t="s">
        <v>467</v>
      </c>
      <c r="D1864" s="6" t="s">
        <v>414</v>
      </c>
      <c r="E1864" s="6" t="s">
        <v>17</v>
      </c>
      <c r="F1864" s="6" t="s">
        <v>20</v>
      </c>
      <c r="G1864" s="6" t="s">
        <v>208</v>
      </c>
      <c r="H1864" s="6" t="s">
        <v>468</v>
      </c>
      <c r="I1864" s="6" t="s">
        <v>469</v>
      </c>
      <c r="J1864" s="6">
        <v>15.773479149290001</v>
      </c>
      <c r="K1864" s="6">
        <v>-96.148593682959998</v>
      </c>
      <c r="L1864" s="6" t="str">
        <f>HYPERLINK("https://maps.google.com/?q=15.773479149290313,-96.148593682960069", "🔗 Ver Mapa")</f>
        <v>🔗 Ver Mapa</v>
      </c>
    </row>
    <row r="1865" spans="1:12" ht="43.5" x14ac:dyDescent="0.35">
      <c r="A1865" s="5" t="s">
        <v>288</v>
      </c>
      <c r="B1865" s="5" t="s">
        <v>289</v>
      </c>
      <c r="C1865" s="5" t="s">
        <v>467</v>
      </c>
      <c r="D1865" s="5" t="s">
        <v>414</v>
      </c>
      <c r="E1865" s="5" t="s">
        <v>17</v>
      </c>
      <c r="F1865" s="5" t="s">
        <v>20</v>
      </c>
      <c r="G1865" s="5" t="s">
        <v>208</v>
      </c>
      <c r="H1865" s="5" t="s">
        <v>468</v>
      </c>
      <c r="I1865" s="5" t="s">
        <v>469</v>
      </c>
      <c r="J1865" s="5">
        <v>15.774300402699</v>
      </c>
      <c r="K1865" s="5">
        <v>-96.153375878166003</v>
      </c>
      <c r="L1865" s="5" t="str">
        <f>HYPERLINK("https://maps.google.com/?q=15.774300402699422,-96.153375878166031", "🔗 Ver Mapa")</f>
        <v>🔗 Ver Mapa</v>
      </c>
    </row>
    <row r="1866" spans="1:12" ht="43.5" x14ac:dyDescent="0.35">
      <c r="A1866" s="6" t="s">
        <v>288</v>
      </c>
      <c r="B1866" s="6" t="s">
        <v>289</v>
      </c>
      <c r="C1866" s="6" t="s">
        <v>467</v>
      </c>
      <c r="D1866" s="6" t="s">
        <v>414</v>
      </c>
      <c r="E1866" s="6" t="s">
        <v>17</v>
      </c>
      <c r="F1866" s="6" t="s">
        <v>20</v>
      </c>
      <c r="G1866" s="6" t="s">
        <v>208</v>
      </c>
      <c r="H1866" s="6" t="s">
        <v>468</v>
      </c>
      <c r="I1866" s="6" t="s">
        <v>469</v>
      </c>
      <c r="J1866" s="6">
        <v>15.774454212983001</v>
      </c>
      <c r="K1866" s="6">
        <v>-96.149260862719998</v>
      </c>
      <c r="L1866" s="6" t="str">
        <f>HYPERLINK("https://maps.google.com/?q=15.7744542129831,-96.149260862719515", "🔗 Ver Mapa")</f>
        <v>🔗 Ver Mapa</v>
      </c>
    </row>
    <row r="1867" spans="1:12" ht="43.5" x14ac:dyDescent="0.35">
      <c r="A1867" s="5" t="s">
        <v>288</v>
      </c>
      <c r="B1867" s="5" t="s">
        <v>289</v>
      </c>
      <c r="C1867" s="5" t="s">
        <v>467</v>
      </c>
      <c r="D1867" s="5" t="s">
        <v>414</v>
      </c>
      <c r="E1867" s="5" t="s">
        <v>17</v>
      </c>
      <c r="F1867" s="5" t="s">
        <v>20</v>
      </c>
      <c r="G1867" s="5" t="s">
        <v>208</v>
      </c>
      <c r="H1867" s="5" t="s">
        <v>468</v>
      </c>
      <c r="I1867" s="5" t="s">
        <v>469</v>
      </c>
      <c r="J1867" s="5">
        <v>15.775051875859999</v>
      </c>
      <c r="K1867" s="5">
        <v>-96.150073217165996</v>
      </c>
      <c r="L1867" s="5" t="str">
        <f>HYPERLINK("https://maps.google.com/?q=15.775051875860163,-96.150073217165726", "🔗 Ver Mapa")</f>
        <v>🔗 Ver Mapa</v>
      </c>
    </row>
    <row r="1868" spans="1:12" ht="43.5" x14ac:dyDescent="0.35">
      <c r="A1868" s="6" t="s">
        <v>288</v>
      </c>
      <c r="B1868" s="6" t="s">
        <v>289</v>
      </c>
      <c r="C1868" s="6" t="s">
        <v>467</v>
      </c>
      <c r="D1868" s="6" t="s">
        <v>414</v>
      </c>
      <c r="E1868" s="6" t="s">
        <v>17</v>
      </c>
      <c r="F1868" s="6" t="s">
        <v>20</v>
      </c>
      <c r="G1868" s="6" t="s">
        <v>208</v>
      </c>
      <c r="H1868" s="6" t="s">
        <v>468</v>
      </c>
      <c r="I1868" s="6" t="s">
        <v>469</v>
      </c>
      <c r="J1868" s="6">
        <v>15.775609264974999</v>
      </c>
      <c r="K1868" s="6">
        <v>-96.150569045763007</v>
      </c>
      <c r="L1868" s="6" t="str">
        <f>HYPERLINK("https://maps.google.com/?q=15.775609264974845,-96.150569045762964", "🔗 Ver Mapa")</f>
        <v>🔗 Ver Mapa</v>
      </c>
    </row>
    <row r="1869" spans="1:12" ht="43.5" x14ac:dyDescent="0.35">
      <c r="A1869" s="5" t="s">
        <v>288</v>
      </c>
      <c r="B1869" s="5" t="s">
        <v>289</v>
      </c>
      <c r="C1869" s="5" t="s">
        <v>467</v>
      </c>
      <c r="D1869" s="5" t="s">
        <v>414</v>
      </c>
      <c r="E1869" s="5" t="s">
        <v>17</v>
      </c>
      <c r="F1869" s="5" t="s">
        <v>20</v>
      </c>
      <c r="G1869" s="5" t="s">
        <v>208</v>
      </c>
      <c r="H1869" s="5" t="s">
        <v>468</v>
      </c>
      <c r="I1869" s="5" t="s">
        <v>469</v>
      </c>
      <c r="J1869" s="5">
        <v>15.775933355953001</v>
      </c>
      <c r="K1869" s="5">
        <v>-96.151180052314999</v>
      </c>
      <c r="L1869" s="5" t="str">
        <f>HYPERLINK("https://maps.google.com/?q=15.775933355953166,-96.151180052314857", "🔗 Ver Mapa")</f>
        <v>🔗 Ver Mapa</v>
      </c>
    </row>
    <row r="1870" spans="1:12" ht="43.5" x14ac:dyDescent="0.35">
      <c r="A1870" s="6" t="s">
        <v>288</v>
      </c>
      <c r="B1870" s="6" t="s">
        <v>289</v>
      </c>
      <c r="C1870" s="6" t="s">
        <v>470</v>
      </c>
      <c r="D1870" s="6" t="s">
        <v>414</v>
      </c>
      <c r="E1870" s="6" t="s">
        <v>17</v>
      </c>
      <c r="F1870" s="6" t="s">
        <v>20</v>
      </c>
      <c r="G1870" s="6" t="s">
        <v>208</v>
      </c>
      <c r="H1870" s="6" t="s">
        <v>468</v>
      </c>
      <c r="I1870" s="6" t="s">
        <v>469</v>
      </c>
      <c r="J1870" s="6">
        <v>15.775228435323999</v>
      </c>
      <c r="K1870" s="6">
        <v>-96.136016151004</v>
      </c>
      <c r="L1870" s="6" t="str">
        <f>HYPERLINK("https://maps.google.com/?q=15.775228435324351,-96.136016151003531", "🔗 Ver Mapa")</f>
        <v>🔗 Ver Mapa</v>
      </c>
    </row>
    <row r="1871" spans="1:12" ht="43.5" x14ac:dyDescent="0.35">
      <c r="A1871" s="5" t="s">
        <v>288</v>
      </c>
      <c r="B1871" s="5" t="s">
        <v>289</v>
      </c>
      <c r="C1871" s="5" t="s">
        <v>470</v>
      </c>
      <c r="D1871" s="5" t="s">
        <v>414</v>
      </c>
      <c r="E1871" s="5" t="s">
        <v>17</v>
      </c>
      <c r="F1871" s="5" t="s">
        <v>20</v>
      </c>
      <c r="G1871" s="5" t="s">
        <v>208</v>
      </c>
      <c r="H1871" s="5" t="s">
        <v>468</v>
      </c>
      <c r="I1871" s="5" t="s">
        <v>469</v>
      </c>
      <c r="J1871" s="5">
        <v>15.775322657332</v>
      </c>
      <c r="K1871" s="5">
        <v>-96.136313264921</v>
      </c>
      <c r="L1871" s="5" t="str">
        <f>HYPERLINK("https://maps.google.com/?q=15.775322657332042,-96.136313264921213", "🔗 Ver Mapa")</f>
        <v>🔗 Ver Mapa</v>
      </c>
    </row>
    <row r="1872" spans="1:12" ht="43.5" x14ac:dyDescent="0.35">
      <c r="A1872" s="6" t="s">
        <v>288</v>
      </c>
      <c r="B1872" s="6" t="s">
        <v>289</v>
      </c>
      <c r="C1872" s="6" t="s">
        <v>470</v>
      </c>
      <c r="D1872" s="6" t="s">
        <v>414</v>
      </c>
      <c r="E1872" s="6" t="s">
        <v>17</v>
      </c>
      <c r="F1872" s="6" t="s">
        <v>20</v>
      </c>
      <c r="G1872" s="6" t="s">
        <v>208</v>
      </c>
      <c r="H1872" s="6" t="s">
        <v>468</v>
      </c>
      <c r="I1872" s="6" t="s">
        <v>469</v>
      </c>
      <c r="J1872" s="6">
        <v>15.775341820945</v>
      </c>
      <c r="K1872" s="6">
        <v>-96.136396931300993</v>
      </c>
      <c r="L1872" s="6" t="str">
        <f>HYPERLINK("https://maps.google.com/?q=15.775341820944572,-96.136396931300723", "🔗 Ver Mapa")</f>
        <v>🔗 Ver Mapa</v>
      </c>
    </row>
    <row r="1873" spans="1:12" ht="43.5" x14ac:dyDescent="0.35">
      <c r="A1873" s="5" t="s">
        <v>288</v>
      </c>
      <c r="B1873" s="5" t="s">
        <v>289</v>
      </c>
      <c r="C1873" s="5" t="s">
        <v>470</v>
      </c>
      <c r="D1873" s="5" t="s">
        <v>414</v>
      </c>
      <c r="E1873" s="5" t="s">
        <v>17</v>
      </c>
      <c r="F1873" s="5" t="s">
        <v>20</v>
      </c>
      <c r="G1873" s="5" t="s">
        <v>208</v>
      </c>
      <c r="H1873" s="5" t="s">
        <v>468</v>
      </c>
      <c r="I1873" s="5" t="s">
        <v>469</v>
      </c>
      <c r="J1873" s="5">
        <v>15.775359265482001</v>
      </c>
      <c r="K1873" s="5">
        <v>-96.136350055465002</v>
      </c>
      <c r="L1873" s="5" t="str">
        <f>HYPERLINK("https://maps.google.com/?q=15.77535926548166,-96.136350055465272", "🔗 Ver Mapa")</f>
        <v>🔗 Ver Mapa</v>
      </c>
    </row>
    <row r="1874" spans="1:12" ht="43.5" x14ac:dyDescent="0.35">
      <c r="A1874" s="6" t="s">
        <v>288</v>
      </c>
      <c r="B1874" s="6" t="s">
        <v>289</v>
      </c>
      <c r="C1874" s="6" t="s">
        <v>470</v>
      </c>
      <c r="D1874" s="6" t="s">
        <v>414</v>
      </c>
      <c r="E1874" s="6" t="s">
        <v>17</v>
      </c>
      <c r="F1874" s="6" t="s">
        <v>20</v>
      </c>
      <c r="G1874" s="6" t="s">
        <v>208</v>
      </c>
      <c r="H1874" s="6" t="s">
        <v>468</v>
      </c>
      <c r="I1874" s="6" t="s">
        <v>469</v>
      </c>
      <c r="J1874" s="6">
        <v>15.775427627121999</v>
      </c>
      <c r="K1874" s="6">
        <v>-96.136740794689999</v>
      </c>
      <c r="L1874" s="6" t="str">
        <f>HYPERLINK("https://maps.google.com/?q=15.775427627121921,-96.136740794690326", "🔗 Ver Mapa")</f>
        <v>🔗 Ver Mapa</v>
      </c>
    </row>
    <row r="1875" spans="1:12" ht="43.5" x14ac:dyDescent="0.35">
      <c r="A1875" s="5" t="s">
        <v>288</v>
      </c>
      <c r="B1875" s="5" t="s">
        <v>289</v>
      </c>
      <c r="C1875" s="5" t="s">
        <v>470</v>
      </c>
      <c r="D1875" s="5" t="s">
        <v>414</v>
      </c>
      <c r="E1875" s="5" t="s">
        <v>17</v>
      </c>
      <c r="F1875" s="5" t="s">
        <v>20</v>
      </c>
      <c r="G1875" s="5" t="s">
        <v>208</v>
      </c>
      <c r="H1875" s="5" t="s">
        <v>468</v>
      </c>
      <c r="I1875" s="5" t="s">
        <v>469</v>
      </c>
      <c r="J1875" s="5">
        <v>15.775457236435001</v>
      </c>
      <c r="K1875" s="5">
        <v>-96.136246091643002</v>
      </c>
      <c r="L1875" s="5" t="str">
        <f>HYPERLINK("https://maps.google.com/?q=15.775457236434793,-96.136246091642832", "🔗 Ver Mapa")</f>
        <v>🔗 Ver Mapa</v>
      </c>
    </row>
    <row r="1876" spans="1:12" ht="43.5" x14ac:dyDescent="0.35">
      <c r="A1876" s="6" t="s">
        <v>288</v>
      </c>
      <c r="B1876" s="6" t="s">
        <v>289</v>
      </c>
      <c r="C1876" s="6" t="s">
        <v>470</v>
      </c>
      <c r="D1876" s="6" t="s">
        <v>414</v>
      </c>
      <c r="E1876" s="6" t="s">
        <v>17</v>
      </c>
      <c r="F1876" s="6" t="s">
        <v>20</v>
      </c>
      <c r="G1876" s="6" t="s">
        <v>208</v>
      </c>
      <c r="H1876" s="6" t="s">
        <v>468</v>
      </c>
      <c r="I1876" s="6" t="s">
        <v>469</v>
      </c>
      <c r="J1876" s="6">
        <v>15.775466076783999</v>
      </c>
      <c r="K1876" s="6">
        <v>-96.136917452145994</v>
      </c>
      <c r="L1876" s="6" t="str">
        <f>HYPERLINK("https://maps.google.com/?q=15.775466076783605,-96.136917452146292", "🔗 Ver Mapa")</f>
        <v>🔗 Ver Mapa</v>
      </c>
    </row>
    <row r="1877" spans="1:12" ht="43.5" x14ac:dyDescent="0.35">
      <c r="A1877" s="5" t="s">
        <v>288</v>
      </c>
      <c r="B1877" s="5" t="s">
        <v>289</v>
      </c>
      <c r="C1877" s="5" t="s">
        <v>470</v>
      </c>
      <c r="D1877" s="5" t="s">
        <v>414</v>
      </c>
      <c r="E1877" s="5" t="s">
        <v>17</v>
      </c>
      <c r="F1877" s="5" t="s">
        <v>20</v>
      </c>
      <c r="G1877" s="5" t="s">
        <v>208</v>
      </c>
      <c r="H1877" s="5" t="s">
        <v>468</v>
      </c>
      <c r="I1877" s="5" t="s">
        <v>469</v>
      </c>
      <c r="J1877" s="5">
        <v>15.775467739214999</v>
      </c>
      <c r="K1877" s="5">
        <v>-96.136357858222993</v>
      </c>
      <c r="L1877" s="5" t="str">
        <f>HYPERLINK("https://maps.google.com/?q=15.77546773921483,-96.136357858222851", "🔗 Ver Mapa")</f>
        <v>🔗 Ver Mapa</v>
      </c>
    </row>
    <row r="1878" spans="1:12" ht="43.5" x14ac:dyDescent="0.35">
      <c r="A1878" s="6" t="s">
        <v>288</v>
      </c>
      <c r="B1878" s="6" t="s">
        <v>289</v>
      </c>
      <c r="C1878" s="6" t="s">
        <v>470</v>
      </c>
      <c r="D1878" s="6" t="s">
        <v>414</v>
      </c>
      <c r="E1878" s="6" t="s">
        <v>17</v>
      </c>
      <c r="F1878" s="6" t="s">
        <v>20</v>
      </c>
      <c r="G1878" s="6" t="s">
        <v>208</v>
      </c>
      <c r="H1878" s="6" t="s">
        <v>468</v>
      </c>
      <c r="I1878" s="6" t="s">
        <v>469</v>
      </c>
      <c r="J1878" s="6">
        <v>15.775495382560001</v>
      </c>
      <c r="K1878" s="6">
        <v>-96.135713964030998</v>
      </c>
      <c r="L1878" s="6" t="str">
        <f>HYPERLINK("https://maps.google.com/?q=15.775495382559859,-96.135713964030813", "🔗 Ver Mapa")</f>
        <v>🔗 Ver Mapa</v>
      </c>
    </row>
    <row r="1879" spans="1:12" ht="43.5" x14ac:dyDescent="0.35">
      <c r="A1879" s="5" t="s">
        <v>288</v>
      </c>
      <c r="B1879" s="5" t="s">
        <v>289</v>
      </c>
      <c r="C1879" s="5" t="s">
        <v>470</v>
      </c>
      <c r="D1879" s="5" t="s">
        <v>414</v>
      </c>
      <c r="E1879" s="5" t="s">
        <v>17</v>
      </c>
      <c r="F1879" s="5" t="s">
        <v>20</v>
      </c>
      <c r="G1879" s="5" t="s">
        <v>208</v>
      </c>
      <c r="H1879" s="5" t="s">
        <v>468</v>
      </c>
      <c r="I1879" s="5" t="s">
        <v>469</v>
      </c>
      <c r="J1879" s="5">
        <v>15.775495751017999</v>
      </c>
      <c r="K1879" s="5">
        <v>-96.135741937369005</v>
      </c>
      <c r="L1879" s="5" t="str">
        <f>HYPERLINK("https://maps.google.com/?q=15.775495751018237,-96.135741937368806", "🔗 Ver Mapa")</f>
        <v>🔗 Ver Mapa</v>
      </c>
    </row>
    <row r="1880" spans="1:12" ht="43.5" x14ac:dyDescent="0.35">
      <c r="A1880" s="6" t="s">
        <v>288</v>
      </c>
      <c r="B1880" s="6" t="s">
        <v>289</v>
      </c>
      <c r="C1880" s="6" t="s">
        <v>470</v>
      </c>
      <c r="D1880" s="6" t="s">
        <v>414</v>
      </c>
      <c r="E1880" s="6" t="s">
        <v>17</v>
      </c>
      <c r="F1880" s="6" t="s">
        <v>20</v>
      </c>
      <c r="G1880" s="6" t="s">
        <v>208</v>
      </c>
      <c r="H1880" s="6" t="s">
        <v>468</v>
      </c>
      <c r="I1880" s="6" t="s">
        <v>469</v>
      </c>
      <c r="J1880" s="6">
        <v>15.775553668263999</v>
      </c>
      <c r="K1880" s="6">
        <v>-96.136711046244997</v>
      </c>
      <c r="L1880" s="6" t="str">
        <f>HYPERLINK("https://maps.google.com/?q=15.775553668263662,-96.136711046245011", "🔗 Ver Mapa")</f>
        <v>🔗 Ver Mapa</v>
      </c>
    </row>
    <row r="1881" spans="1:12" ht="43.5" x14ac:dyDescent="0.35">
      <c r="A1881" s="5" t="s">
        <v>288</v>
      </c>
      <c r="B1881" s="5" t="s">
        <v>289</v>
      </c>
      <c r="C1881" s="5" t="s">
        <v>470</v>
      </c>
      <c r="D1881" s="5" t="s">
        <v>414</v>
      </c>
      <c r="E1881" s="5" t="s">
        <v>17</v>
      </c>
      <c r="F1881" s="5" t="s">
        <v>20</v>
      </c>
      <c r="G1881" s="5" t="s">
        <v>208</v>
      </c>
      <c r="H1881" s="5" t="s">
        <v>468</v>
      </c>
      <c r="I1881" s="5" t="s">
        <v>469</v>
      </c>
      <c r="J1881" s="5">
        <v>15.775610176464999</v>
      </c>
      <c r="K1881" s="5">
        <v>-96.136887450225004</v>
      </c>
      <c r="L1881" s="5" t="str">
        <f>HYPERLINK("https://maps.google.com/?q=15.775610176464685,-96.136887450225316", "🔗 Ver Mapa")</f>
        <v>🔗 Ver Mapa</v>
      </c>
    </row>
    <row r="1882" spans="1:12" ht="43.5" x14ac:dyDescent="0.35">
      <c r="A1882" s="6" t="s">
        <v>288</v>
      </c>
      <c r="B1882" s="6" t="s">
        <v>289</v>
      </c>
      <c r="C1882" s="6" t="s">
        <v>470</v>
      </c>
      <c r="D1882" s="6" t="s">
        <v>414</v>
      </c>
      <c r="E1882" s="6" t="s">
        <v>17</v>
      </c>
      <c r="F1882" s="6" t="s">
        <v>20</v>
      </c>
      <c r="G1882" s="6" t="s">
        <v>208</v>
      </c>
      <c r="H1882" s="6" t="s">
        <v>468</v>
      </c>
      <c r="I1882" s="6" t="s">
        <v>469</v>
      </c>
      <c r="J1882" s="6">
        <v>15.775620433401</v>
      </c>
      <c r="K1882" s="6">
        <v>-96.136980568054994</v>
      </c>
      <c r="L1882" s="6" t="str">
        <f>HYPERLINK("https://maps.google.com/?q=15.77562043340116,-96.136980568055193", "🔗 Ver Mapa")</f>
        <v>🔗 Ver Mapa</v>
      </c>
    </row>
    <row r="1883" spans="1:12" ht="43.5" x14ac:dyDescent="0.35">
      <c r="A1883" s="5" t="s">
        <v>288</v>
      </c>
      <c r="B1883" s="5" t="s">
        <v>289</v>
      </c>
      <c r="C1883" s="5" t="s">
        <v>470</v>
      </c>
      <c r="D1883" s="5" t="s">
        <v>414</v>
      </c>
      <c r="E1883" s="5" t="s">
        <v>17</v>
      </c>
      <c r="F1883" s="5" t="s">
        <v>20</v>
      </c>
      <c r="G1883" s="5" t="s">
        <v>208</v>
      </c>
      <c r="H1883" s="5" t="s">
        <v>468</v>
      </c>
      <c r="I1883" s="5" t="s">
        <v>469</v>
      </c>
      <c r="J1883" s="5">
        <v>15.775757844620999</v>
      </c>
      <c r="K1883" s="5">
        <v>-96.135756908028</v>
      </c>
      <c r="L1883" s="5" t="str">
        <f>HYPERLINK("https://maps.google.com/?q=15.775757844620973,-96.1357569080281", "🔗 Ver Mapa")</f>
        <v>🔗 Ver Mapa</v>
      </c>
    </row>
    <row r="1884" spans="1:12" ht="43.5" x14ac:dyDescent="0.35">
      <c r="A1884" s="6" t="s">
        <v>288</v>
      </c>
      <c r="B1884" s="6" t="s">
        <v>289</v>
      </c>
      <c r="C1884" s="6" t="s">
        <v>470</v>
      </c>
      <c r="D1884" s="6" t="s">
        <v>414</v>
      </c>
      <c r="E1884" s="6" t="s">
        <v>17</v>
      </c>
      <c r="F1884" s="6" t="s">
        <v>20</v>
      </c>
      <c r="G1884" s="6" t="s">
        <v>208</v>
      </c>
      <c r="H1884" s="6" t="s">
        <v>468</v>
      </c>
      <c r="I1884" s="6" t="s">
        <v>469</v>
      </c>
      <c r="J1884" s="6">
        <v>15.775825779569001</v>
      </c>
      <c r="K1884" s="6">
        <v>-96.135429537228006</v>
      </c>
      <c r="L1884" s="6" t="str">
        <f>HYPERLINK("https://maps.google.com/?q=15.775825779569278,-96.13542953722839", "🔗 Ver Mapa")</f>
        <v>🔗 Ver Mapa</v>
      </c>
    </row>
    <row r="1885" spans="1:12" ht="43.5" x14ac:dyDescent="0.35">
      <c r="A1885" s="5" t="s">
        <v>288</v>
      </c>
      <c r="B1885" s="5" t="s">
        <v>289</v>
      </c>
      <c r="C1885" s="5" t="s">
        <v>470</v>
      </c>
      <c r="D1885" s="5" t="s">
        <v>414</v>
      </c>
      <c r="E1885" s="5" t="s">
        <v>17</v>
      </c>
      <c r="F1885" s="5" t="s">
        <v>20</v>
      </c>
      <c r="G1885" s="5" t="s">
        <v>208</v>
      </c>
      <c r="H1885" s="5" t="s">
        <v>468</v>
      </c>
      <c r="I1885" s="5" t="s">
        <v>469</v>
      </c>
      <c r="J1885" s="5">
        <v>15.775830070390001</v>
      </c>
      <c r="K1885" s="5">
        <v>-96.137126843611995</v>
      </c>
      <c r="L1885" s="5" t="str">
        <f>HYPERLINK("https://maps.google.com/?q=15.775830070390418,-96.137126843612066", "🔗 Ver Mapa")</f>
        <v>🔗 Ver Mapa</v>
      </c>
    </row>
    <row r="1886" spans="1:12" ht="43.5" x14ac:dyDescent="0.35">
      <c r="A1886" s="6" t="s">
        <v>288</v>
      </c>
      <c r="B1886" s="6" t="s">
        <v>289</v>
      </c>
      <c r="C1886" s="6" t="s">
        <v>470</v>
      </c>
      <c r="D1886" s="6" t="s">
        <v>414</v>
      </c>
      <c r="E1886" s="6" t="s">
        <v>17</v>
      </c>
      <c r="F1886" s="6" t="s">
        <v>20</v>
      </c>
      <c r="G1886" s="6" t="s">
        <v>208</v>
      </c>
      <c r="H1886" s="6" t="s">
        <v>468</v>
      </c>
      <c r="I1886" s="6" t="s">
        <v>469</v>
      </c>
      <c r="J1886" s="6">
        <v>15.775975152215</v>
      </c>
      <c r="K1886" s="6">
        <v>-96.137171437570004</v>
      </c>
      <c r="L1886" s="6" t="str">
        <f>HYPERLINK("https://maps.google.com/?q=15.775975152214615,-96.13717143757026", "🔗 Ver Mapa")</f>
        <v>🔗 Ver Mapa</v>
      </c>
    </row>
    <row r="1887" spans="1:12" ht="43.5" x14ac:dyDescent="0.35">
      <c r="A1887" s="5" t="s">
        <v>288</v>
      </c>
      <c r="B1887" s="5" t="s">
        <v>289</v>
      </c>
      <c r="C1887" s="5" t="s">
        <v>470</v>
      </c>
      <c r="D1887" s="5" t="s">
        <v>414</v>
      </c>
      <c r="E1887" s="5" t="s">
        <v>17</v>
      </c>
      <c r="F1887" s="5" t="s">
        <v>20</v>
      </c>
      <c r="G1887" s="5" t="s">
        <v>208</v>
      </c>
      <c r="H1887" s="5" t="s">
        <v>468</v>
      </c>
      <c r="I1887" s="5" t="s">
        <v>469</v>
      </c>
      <c r="J1887" s="5">
        <v>15.775998622666</v>
      </c>
      <c r="K1887" s="5">
        <v>-96.136210509319</v>
      </c>
      <c r="L1887" s="5" t="str">
        <f>HYPERLINK("https://maps.google.com/?q=15.775998622665842,-96.136210509318573", "🔗 Ver Mapa")</f>
        <v>🔗 Ver Mapa</v>
      </c>
    </row>
    <row r="1888" spans="1:12" ht="43.5" x14ac:dyDescent="0.35">
      <c r="A1888" s="6" t="s">
        <v>288</v>
      </c>
      <c r="B1888" s="6" t="s">
        <v>289</v>
      </c>
      <c r="C1888" s="6" t="s">
        <v>470</v>
      </c>
      <c r="D1888" s="6" t="s">
        <v>414</v>
      </c>
      <c r="E1888" s="6" t="s">
        <v>17</v>
      </c>
      <c r="F1888" s="6" t="s">
        <v>20</v>
      </c>
      <c r="G1888" s="6" t="s">
        <v>208</v>
      </c>
      <c r="H1888" s="6" t="s">
        <v>468</v>
      </c>
      <c r="I1888" s="6" t="s">
        <v>469</v>
      </c>
      <c r="J1888" s="6">
        <v>15.776027240715001</v>
      </c>
      <c r="K1888" s="6">
        <v>-96.137012160726997</v>
      </c>
      <c r="L1888" s="6" t="str">
        <f>HYPERLINK("https://maps.google.com/?q=15.7760272407148,-96.137012160726911", "🔗 Ver Mapa")</f>
        <v>🔗 Ver Mapa</v>
      </c>
    </row>
    <row r="1889" spans="1:12" ht="43.5" x14ac:dyDescent="0.35">
      <c r="A1889" s="5" t="s">
        <v>288</v>
      </c>
      <c r="B1889" s="5" t="s">
        <v>289</v>
      </c>
      <c r="C1889" s="5" t="s">
        <v>470</v>
      </c>
      <c r="D1889" s="5" t="s">
        <v>414</v>
      </c>
      <c r="E1889" s="5" t="s">
        <v>17</v>
      </c>
      <c r="F1889" s="5" t="s">
        <v>20</v>
      </c>
      <c r="G1889" s="5" t="s">
        <v>208</v>
      </c>
      <c r="H1889" s="5" t="s">
        <v>468</v>
      </c>
      <c r="I1889" s="5" t="s">
        <v>469</v>
      </c>
      <c r="J1889" s="5">
        <v>15.77602927151</v>
      </c>
      <c r="K1889" s="5">
        <v>-96.136480538647007</v>
      </c>
      <c r="L1889" s="5" t="str">
        <f>HYPERLINK("https://maps.google.com/?q=15.77602927151034,-96.136480538647177", "🔗 Ver Mapa")</f>
        <v>🔗 Ver Mapa</v>
      </c>
    </row>
    <row r="1890" spans="1:12" ht="43.5" x14ac:dyDescent="0.35">
      <c r="A1890" s="6" t="s">
        <v>288</v>
      </c>
      <c r="B1890" s="6" t="s">
        <v>289</v>
      </c>
      <c r="C1890" s="6" t="s">
        <v>470</v>
      </c>
      <c r="D1890" s="6" t="s">
        <v>414</v>
      </c>
      <c r="E1890" s="6" t="s">
        <v>17</v>
      </c>
      <c r="F1890" s="6" t="s">
        <v>20</v>
      </c>
      <c r="G1890" s="6" t="s">
        <v>208</v>
      </c>
      <c r="H1890" s="6" t="s">
        <v>468</v>
      </c>
      <c r="I1890" s="6" t="s">
        <v>469</v>
      </c>
      <c r="J1890" s="6">
        <v>15.776049540181999</v>
      </c>
      <c r="K1890" s="6">
        <v>-96.136648125638999</v>
      </c>
      <c r="L1890" s="6" t="str">
        <f>HYPERLINK("https://maps.google.com/?q=15.776049540182251,-96.136648125638729", "🔗 Ver Mapa")</f>
        <v>🔗 Ver Mapa</v>
      </c>
    </row>
    <row r="1891" spans="1:12" ht="43.5" x14ac:dyDescent="0.35">
      <c r="A1891" s="5" t="s">
        <v>288</v>
      </c>
      <c r="B1891" s="5" t="s">
        <v>289</v>
      </c>
      <c r="C1891" s="5" t="s">
        <v>470</v>
      </c>
      <c r="D1891" s="5" t="s">
        <v>414</v>
      </c>
      <c r="E1891" s="5" t="s">
        <v>17</v>
      </c>
      <c r="F1891" s="5" t="s">
        <v>20</v>
      </c>
      <c r="G1891" s="5" t="s">
        <v>208</v>
      </c>
      <c r="H1891" s="5" t="s">
        <v>468</v>
      </c>
      <c r="I1891" s="5" t="s">
        <v>469</v>
      </c>
      <c r="J1891" s="5">
        <v>15.776208194017</v>
      </c>
      <c r="K1891" s="5">
        <v>-96.137037598507007</v>
      </c>
      <c r="L1891" s="5" t="str">
        <f>HYPERLINK("https://maps.google.com/?q=15.776208194017277,-96.137037598507007", "🔗 Ver Mapa")</f>
        <v>🔗 Ver Mapa</v>
      </c>
    </row>
    <row r="1892" spans="1:12" ht="43.5" x14ac:dyDescent="0.35">
      <c r="A1892" s="6" t="s">
        <v>288</v>
      </c>
      <c r="B1892" s="6" t="s">
        <v>289</v>
      </c>
      <c r="C1892" s="6" t="s">
        <v>470</v>
      </c>
      <c r="D1892" s="6" t="s">
        <v>414</v>
      </c>
      <c r="E1892" s="6" t="s">
        <v>17</v>
      </c>
      <c r="F1892" s="6" t="s">
        <v>20</v>
      </c>
      <c r="G1892" s="6" t="s">
        <v>208</v>
      </c>
      <c r="H1892" s="6" t="s">
        <v>468</v>
      </c>
      <c r="I1892" s="6" t="s">
        <v>469</v>
      </c>
      <c r="J1892" s="6">
        <v>15.776208439554001</v>
      </c>
      <c r="K1892" s="6">
        <v>-96.137056247486001</v>
      </c>
      <c r="L1892" s="6" t="str">
        <f>HYPERLINK("https://maps.google.com/?q=15.776208439553974,-96.137056247485731", "🔗 Ver Mapa")</f>
        <v>🔗 Ver Mapa</v>
      </c>
    </row>
    <row r="1893" spans="1:12" ht="43.5" x14ac:dyDescent="0.35">
      <c r="A1893" s="5" t="s">
        <v>288</v>
      </c>
      <c r="B1893" s="5" t="s">
        <v>289</v>
      </c>
      <c r="C1893" s="5" t="s">
        <v>470</v>
      </c>
      <c r="D1893" s="5" t="s">
        <v>414</v>
      </c>
      <c r="E1893" s="5" t="s">
        <v>17</v>
      </c>
      <c r="F1893" s="5" t="s">
        <v>20</v>
      </c>
      <c r="G1893" s="5" t="s">
        <v>208</v>
      </c>
      <c r="H1893" s="5" t="s">
        <v>468</v>
      </c>
      <c r="I1893" s="5" t="s">
        <v>469</v>
      </c>
      <c r="J1893" s="5">
        <v>15.776260839135</v>
      </c>
      <c r="K1893" s="5">
        <v>-96.136234804994999</v>
      </c>
      <c r="L1893" s="5" t="str">
        <f>HYPERLINK("https://maps.google.com/?q=15.776260839135468,-96.136234804994501", "🔗 Ver Mapa")</f>
        <v>🔗 Ver Mapa</v>
      </c>
    </row>
    <row r="1894" spans="1:12" ht="43.5" x14ac:dyDescent="0.35">
      <c r="A1894" s="6" t="s">
        <v>288</v>
      </c>
      <c r="B1894" s="6" t="s">
        <v>289</v>
      </c>
      <c r="C1894" s="6" t="s">
        <v>470</v>
      </c>
      <c r="D1894" s="6" t="s">
        <v>414</v>
      </c>
      <c r="E1894" s="6" t="s">
        <v>17</v>
      </c>
      <c r="F1894" s="6" t="s">
        <v>20</v>
      </c>
      <c r="G1894" s="6" t="s">
        <v>208</v>
      </c>
      <c r="H1894" s="6" t="s">
        <v>468</v>
      </c>
      <c r="I1894" s="6" t="s">
        <v>469</v>
      </c>
      <c r="J1894" s="6">
        <v>15.776370663681</v>
      </c>
      <c r="K1894" s="6">
        <v>-96.136345177036006</v>
      </c>
      <c r="L1894" s="6" t="str">
        <f>HYPERLINK("https://maps.google.com/?q=15.776370663680698,-96.136345177036077", "🔗 Ver Mapa")</f>
        <v>🔗 Ver Mapa</v>
      </c>
    </row>
    <row r="1895" spans="1:12" ht="43.5" x14ac:dyDescent="0.35">
      <c r="A1895" s="5" t="s">
        <v>288</v>
      </c>
      <c r="B1895" s="5" t="s">
        <v>289</v>
      </c>
      <c r="C1895" s="5" t="s">
        <v>470</v>
      </c>
      <c r="D1895" s="5" t="s">
        <v>414</v>
      </c>
      <c r="E1895" s="5" t="s">
        <v>17</v>
      </c>
      <c r="F1895" s="5" t="s">
        <v>20</v>
      </c>
      <c r="G1895" s="5" t="s">
        <v>208</v>
      </c>
      <c r="H1895" s="5" t="s">
        <v>468</v>
      </c>
      <c r="I1895" s="5" t="s">
        <v>469</v>
      </c>
      <c r="J1895" s="5">
        <v>15.776410100266</v>
      </c>
      <c r="K1895" s="5">
        <v>-96.135225477508001</v>
      </c>
      <c r="L1895" s="5" t="str">
        <f>HYPERLINK("https://maps.google.com/?q=15.776410100265586,-96.135225477508385", "🔗 Ver Mapa")</f>
        <v>🔗 Ver Mapa</v>
      </c>
    </row>
    <row r="1896" spans="1:12" ht="43.5" x14ac:dyDescent="0.35">
      <c r="A1896" s="6" t="s">
        <v>288</v>
      </c>
      <c r="B1896" s="6" t="s">
        <v>289</v>
      </c>
      <c r="C1896" s="6" t="s">
        <v>470</v>
      </c>
      <c r="D1896" s="6" t="s">
        <v>414</v>
      </c>
      <c r="E1896" s="6" t="s">
        <v>17</v>
      </c>
      <c r="F1896" s="6" t="s">
        <v>20</v>
      </c>
      <c r="G1896" s="6" t="s">
        <v>208</v>
      </c>
      <c r="H1896" s="6" t="s">
        <v>468</v>
      </c>
      <c r="I1896" s="6" t="s">
        <v>469</v>
      </c>
      <c r="J1896" s="6">
        <v>15.776446335885</v>
      </c>
      <c r="K1896" s="6">
        <v>-96.136605248378999</v>
      </c>
      <c r="L1896" s="6" t="str">
        <f>HYPERLINK("https://maps.google.com/?q=15.776446335884645,-96.136605248379041", "🔗 Ver Mapa")</f>
        <v>🔗 Ver Mapa</v>
      </c>
    </row>
    <row r="1897" spans="1:12" ht="43.5" x14ac:dyDescent="0.35">
      <c r="A1897" s="5" t="s">
        <v>288</v>
      </c>
      <c r="B1897" s="5" t="s">
        <v>289</v>
      </c>
      <c r="C1897" s="5" t="s">
        <v>470</v>
      </c>
      <c r="D1897" s="5" t="s">
        <v>414</v>
      </c>
      <c r="E1897" s="5" t="s">
        <v>17</v>
      </c>
      <c r="F1897" s="5" t="s">
        <v>20</v>
      </c>
      <c r="G1897" s="5" t="s">
        <v>208</v>
      </c>
      <c r="H1897" s="5" t="s">
        <v>468</v>
      </c>
      <c r="I1897" s="5" t="s">
        <v>469</v>
      </c>
      <c r="J1897" s="5">
        <v>15.776480979367999</v>
      </c>
      <c r="K1897" s="5">
        <v>-96.136492847184996</v>
      </c>
      <c r="L1897" s="5" t="str">
        <f>HYPERLINK("https://maps.google.com/?q=15.776480979368383,-96.13649284718467", "🔗 Ver Mapa")</f>
        <v>🔗 Ver Mapa</v>
      </c>
    </row>
    <row r="1898" spans="1:12" ht="43.5" x14ac:dyDescent="0.35">
      <c r="A1898" s="6" t="s">
        <v>288</v>
      </c>
      <c r="B1898" s="6" t="s">
        <v>289</v>
      </c>
      <c r="C1898" s="6" t="s">
        <v>470</v>
      </c>
      <c r="D1898" s="6" t="s">
        <v>414</v>
      </c>
      <c r="E1898" s="6" t="s">
        <v>17</v>
      </c>
      <c r="F1898" s="6" t="s">
        <v>20</v>
      </c>
      <c r="G1898" s="6" t="s">
        <v>208</v>
      </c>
      <c r="H1898" s="6" t="s">
        <v>468</v>
      </c>
      <c r="I1898" s="6" t="s">
        <v>469</v>
      </c>
      <c r="J1898" s="6">
        <v>15.776497809896</v>
      </c>
      <c r="K1898" s="6">
        <v>-96.136399348587005</v>
      </c>
      <c r="L1898" s="6" t="str">
        <f>HYPERLINK("https://maps.google.com/?q=15.776497809896055,-96.136399348586778", "🔗 Ver Mapa")</f>
        <v>🔗 Ver Mapa</v>
      </c>
    </row>
    <row r="1899" spans="1:12" ht="43.5" x14ac:dyDescent="0.35">
      <c r="A1899" s="5" t="s">
        <v>288</v>
      </c>
      <c r="B1899" s="5" t="s">
        <v>289</v>
      </c>
      <c r="C1899" s="5" t="s">
        <v>470</v>
      </c>
      <c r="D1899" s="5" t="s">
        <v>414</v>
      </c>
      <c r="E1899" s="5" t="s">
        <v>17</v>
      </c>
      <c r="F1899" s="5" t="s">
        <v>20</v>
      </c>
      <c r="G1899" s="5" t="s">
        <v>208</v>
      </c>
      <c r="H1899" s="5" t="s">
        <v>468</v>
      </c>
      <c r="I1899" s="5" t="s">
        <v>469</v>
      </c>
      <c r="J1899" s="5">
        <v>15.776498301086001</v>
      </c>
      <c r="K1899" s="5">
        <v>-96.136436646576996</v>
      </c>
      <c r="L1899" s="5" t="str">
        <f>HYPERLINK("https://maps.google.com/?q=15.776498301086013,-96.136436646576598", "🔗 Ver Mapa")</f>
        <v>🔗 Ver Mapa</v>
      </c>
    </row>
    <row r="1900" spans="1:12" ht="43.5" x14ac:dyDescent="0.35">
      <c r="A1900" s="6" t="s">
        <v>288</v>
      </c>
      <c r="B1900" s="6" t="s">
        <v>289</v>
      </c>
      <c r="C1900" s="6" t="s">
        <v>470</v>
      </c>
      <c r="D1900" s="6" t="s">
        <v>414</v>
      </c>
      <c r="E1900" s="6" t="s">
        <v>17</v>
      </c>
      <c r="F1900" s="6" t="s">
        <v>20</v>
      </c>
      <c r="G1900" s="6" t="s">
        <v>208</v>
      </c>
      <c r="H1900" s="6" t="s">
        <v>468</v>
      </c>
      <c r="I1900" s="6" t="s">
        <v>469</v>
      </c>
      <c r="J1900" s="6">
        <v>15.776517341938</v>
      </c>
      <c r="K1900" s="6">
        <v>-96.136510988940998</v>
      </c>
      <c r="L1900" s="6" t="str">
        <f>HYPERLINK("https://maps.google.com/?q=15.776517341937673,-96.136510988940586", "🔗 Ver Mapa")</f>
        <v>🔗 Ver Mapa</v>
      </c>
    </row>
    <row r="1901" spans="1:12" ht="43.5" x14ac:dyDescent="0.35">
      <c r="A1901" s="5" t="s">
        <v>288</v>
      </c>
      <c r="B1901" s="5" t="s">
        <v>289</v>
      </c>
      <c r="C1901" s="5" t="s">
        <v>470</v>
      </c>
      <c r="D1901" s="5" t="s">
        <v>414</v>
      </c>
      <c r="E1901" s="5" t="s">
        <v>17</v>
      </c>
      <c r="F1901" s="5" t="s">
        <v>20</v>
      </c>
      <c r="G1901" s="5" t="s">
        <v>208</v>
      </c>
      <c r="H1901" s="5" t="s">
        <v>468</v>
      </c>
      <c r="I1901" s="5" t="s">
        <v>469</v>
      </c>
      <c r="J1901" s="5">
        <v>15.776534540862</v>
      </c>
      <c r="K1901" s="5">
        <v>-96.136445463822994</v>
      </c>
      <c r="L1901" s="5" t="str">
        <f>HYPERLINK("https://maps.google.com/?q=15.776534540862151,-96.13644546382325", "🔗 Ver Mapa")</f>
        <v>🔗 Ver Mapa</v>
      </c>
    </row>
    <row r="1902" spans="1:12" ht="43.5" x14ac:dyDescent="0.35">
      <c r="A1902" s="6" t="s">
        <v>288</v>
      </c>
      <c r="B1902" s="6" t="s">
        <v>289</v>
      </c>
      <c r="C1902" s="6" t="s">
        <v>470</v>
      </c>
      <c r="D1902" s="6" t="s">
        <v>414</v>
      </c>
      <c r="E1902" s="6" t="s">
        <v>17</v>
      </c>
      <c r="F1902" s="6" t="s">
        <v>20</v>
      </c>
      <c r="G1902" s="6" t="s">
        <v>208</v>
      </c>
      <c r="H1902" s="6" t="s">
        <v>468</v>
      </c>
      <c r="I1902" s="6" t="s">
        <v>469</v>
      </c>
      <c r="J1902" s="6">
        <v>15.776544675261</v>
      </c>
      <c r="K1902" s="6">
        <v>-96.136529257511</v>
      </c>
      <c r="L1902" s="6" t="str">
        <f>HYPERLINK("https://maps.google.com/?q=15.776544675260858,-96.136529257511427", "🔗 Ver Mapa")</f>
        <v>🔗 Ver Mapa</v>
      </c>
    </row>
    <row r="1903" spans="1:12" ht="43.5" x14ac:dyDescent="0.35">
      <c r="A1903" s="5" t="s">
        <v>288</v>
      </c>
      <c r="B1903" s="5" t="s">
        <v>289</v>
      </c>
      <c r="C1903" s="5" t="s">
        <v>470</v>
      </c>
      <c r="D1903" s="5" t="s">
        <v>414</v>
      </c>
      <c r="E1903" s="5" t="s">
        <v>17</v>
      </c>
      <c r="F1903" s="5" t="s">
        <v>20</v>
      </c>
      <c r="G1903" s="5" t="s">
        <v>208</v>
      </c>
      <c r="H1903" s="5" t="s">
        <v>468</v>
      </c>
      <c r="I1903" s="5" t="s">
        <v>469</v>
      </c>
      <c r="J1903" s="5">
        <v>15.776554072884</v>
      </c>
      <c r="K1903" s="5">
        <v>-96.136557104204996</v>
      </c>
      <c r="L1903" s="5" t="str">
        <f>HYPERLINK("https://maps.google.com/?q=15.776554072884066,-96.136557104205181", "🔗 Ver Mapa")</f>
        <v>🔗 Ver Mapa</v>
      </c>
    </row>
    <row r="1904" spans="1:12" ht="43.5" x14ac:dyDescent="0.35">
      <c r="A1904" s="6" t="s">
        <v>288</v>
      </c>
      <c r="B1904" s="6" t="s">
        <v>289</v>
      </c>
      <c r="C1904" s="6" t="s">
        <v>470</v>
      </c>
      <c r="D1904" s="6" t="s">
        <v>414</v>
      </c>
      <c r="E1904" s="6" t="s">
        <v>17</v>
      </c>
      <c r="F1904" s="6" t="s">
        <v>20</v>
      </c>
      <c r="G1904" s="6" t="s">
        <v>208</v>
      </c>
      <c r="H1904" s="6" t="s">
        <v>468</v>
      </c>
      <c r="I1904" s="6" t="s">
        <v>469</v>
      </c>
      <c r="J1904" s="6">
        <v>15.776554809628999</v>
      </c>
      <c r="K1904" s="6">
        <v>-96.136613051213999</v>
      </c>
      <c r="L1904" s="6" t="str">
        <f>HYPERLINK("https://maps.google.com/?q=15.77655480962861,-96.136613051213573", "🔗 Ver Mapa")</f>
        <v>🔗 Ver Mapa</v>
      </c>
    </row>
    <row r="1905" spans="1:12" ht="43.5" x14ac:dyDescent="0.35">
      <c r="A1905" s="5" t="s">
        <v>288</v>
      </c>
      <c r="B1905" s="5" t="s">
        <v>289</v>
      </c>
      <c r="C1905" s="5" t="s">
        <v>470</v>
      </c>
      <c r="D1905" s="5" t="s">
        <v>414</v>
      </c>
      <c r="E1905" s="5" t="s">
        <v>17</v>
      </c>
      <c r="F1905" s="5" t="s">
        <v>20</v>
      </c>
      <c r="G1905" s="5" t="s">
        <v>208</v>
      </c>
      <c r="H1905" s="5" t="s">
        <v>468</v>
      </c>
      <c r="I1905" s="5" t="s">
        <v>469</v>
      </c>
      <c r="J1905" s="5">
        <v>15.776573604852</v>
      </c>
      <c r="K1905" s="5">
        <v>-96.136668744618007</v>
      </c>
      <c r="L1905" s="5" t="str">
        <f>HYPERLINK("https://maps.google.com/?q=15.77657360485209,-96.136668744618348", "🔗 Ver Mapa")</f>
        <v>🔗 Ver Mapa</v>
      </c>
    </row>
    <row r="1906" spans="1:12" ht="43.5" x14ac:dyDescent="0.35">
      <c r="A1906" s="6" t="s">
        <v>288</v>
      </c>
      <c r="B1906" s="6" t="s">
        <v>289</v>
      </c>
      <c r="C1906" s="6" t="s">
        <v>470</v>
      </c>
      <c r="D1906" s="6" t="s">
        <v>414</v>
      </c>
      <c r="E1906" s="6" t="s">
        <v>17</v>
      </c>
      <c r="F1906" s="6" t="s">
        <v>20</v>
      </c>
      <c r="G1906" s="6" t="s">
        <v>208</v>
      </c>
      <c r="H1906" s="6" t="s">
        <v>468</v>
      </c>
      <c r="I1906" s="6" t="s">
        <v>469</v>
      </c>
      <c r="J1906" s="6">
        <v>15.776580055476</v>
      </c>
      <c r="K1906" s="6">
        <v>-96.136472803261995</v>
      </c>
      <c r="L1906" s="6" t="str">
        <f>HYPERLINK("https://maps.google.com/?q=15.776580055475598,-96.136472803262237", "🔗 Ver Mapa")</f>
        <v>🔗 Ver Mapa</v>
      </c>
    </row>
    <row r="1907" spans="1:12" ht="43.5" x14ac:dyDescent="0.35">
      <c r="A1907" s="5" t="s">
        <v>288</v>
      </c>
      <c r="B1907" s="5" t="s">
        <v>289</v>
      </c>
      <c r="C1907" s="5" t="s">
        <v>470</v>
      </c>
      <c r="D1907" s="5" t="s">
        <v>414</v>
      </c>
      <c r="E1907" s="5" t="s">
        <v>17</v>
      </c>
      <c r="F1907" s="5" t="s">
        <v>20</v>
      </c>
      <c r="G1907" s="5" t="s">
        <v>208</v>
      </c>
      <c r="H1907" s="5" t="s">
        <v>468</v>
      </c>
      <c r="I1907" s="5" t="s">
        <v>469</v>
      </c>
      <c r="J1907" s="5">
        <v>15.776592400063</v>
      </c>
      <c r="K1907" s="5">
        <v>-96.136724438035998</v>
      </c>
      <c r="L1907" s="5" t="str">
        <f>HYPERLINK("https://maps.google.com/?q=15.77659240006296,-96.136724438035614", "🔗 Ver Mapa")</f>
        <v>🔗 Ver Mapa</v>
      </c>
    </row>
    <row r="1908" spans="1:12" ht="43.5" x14ac:dyDescent="0.35">
      <c r="A1908" s="6" t="s">
        <v>288</v>
      </c>
      <c r="B1908" s="6" t="s">
        <v>289</v>
      </c>
      <c r="C1908" s="6" t="s">
        <v>470</v>
      </c>
      <c r="D1908" s="6" t="s">
        <v>414</v>
      </c>
      <c r="E1908" s="6" t="s">
        <v>17</v>
      </c>
      <c r="F1908" s="6" t="s">
        <v>20</v>
      </c>
      <c r="G1908" s="6" t="s">
        <v>208</v>
      </c>
      <c r="H1908" s="6" t="s">
        <v>468</v>
      </c>
      <c r="I1908" s="6" t="s">
        <v>469</v>
      </c>
      <c r="J1908" s="6">
        <v>15.776607511597</v>
      </c>
      <c r="K1908" s="6">
        <v>-96.136500396334995</v>
      </c>
      <c r="L1908" s="6" t="str">
        <f>HYPERLINK("https://maps.google.com/?q=15.776607511596938,-96.136500396334625", "🔗 Ver Mapa")</f>
        <v>🔗 Ver Mapa</v>
      </c>
    </row>
    <row r="1909" spans="1:12" ht="43.5" x14ac:dyDescent="0.35">
      <c r="A1909" s="5" t="s">
        <v>288</v>
      </c>
      <c r="B1909" s="5" t="s">
        <v>289</v>
      </c>
      <c r="C1909" s="5" t="s">
        <v>470</v>
      </c>
      <c r="D1909" s="5" t="s">
        <v>414</v>
      </c>
      <c r="E1909" s="5" t="s">
        <v>17</v>
      </c>
      <c r="F1909" s="5" t="s">
        <v>20</v>
      </c>
      <c r="G1909" s="5" t="s">
        <v>208</v>
      </c>
      <c r="H1909" s="5" t="s">
        <v>468</v>
      </c>
      <c r="I1909" s="5" t="s">
        <v>469</v>
      </c>
      <c r="J1909" s="5">
        <v>15.776617032018001</v>
      </c>
      <c r="K1909" s="5">
        <v>-96.136537567537999</v>
      </c>
      <c r="L1909" s="5" t="str">
        <f>HYPERLINK("https://maps.google.com/?q=15.776617032018464,-96.136537567538298", "🔗 Ver Mapa")</f>
        <v>🔗 Ver Mapa</v>
      </c>
    </row>
    <row r="1910" spans="1:12" ht="43.5" x14ac:dyDescent="0.35">
      <c r="A1910" s="6" t="s">
        <v>288</v>
      </c>
      <c r="B1910" s="6" t="s">
        <v>289</v>
      </c>
      <c r="C1910" s="6" t="s">
        <v>470</v>
      </c>
      <c r="D1910" s="6" t="s">
        <v>414</v>
      </c>
      <c r="E1910" s="6" t="s">
        <v>17</v>
      </c>
      <c r="F1910" s="6" t="s">
        <v>20</v>
      </c>
      <c r="G1910" s="6" t="s">
        <v>208</v>
      </c>
      <c r="H1910" s="6" t="s">
        <v>468</v>
      </c>
      <c r="I1910" s="6" t="s">
        <v>469</v>
      </c>
      <c r="J1910" s="6">
        <v>15.77661764598</v>
      </c>
      <c r="K1910" s="6">
        <v>-96.136584190058997</v>
      </c>
      <c r="L1910" s="6" t="str">
        <f>HYPERLINK("https://maps.google.com/?q=15.776617645979819,-96.13658419005867", "🔗 Ver Mapa")</f>
        <v>🔗 Ver Mapa</v>
      </c>
    </row>
    <row r="1911" spans="1:12" ht="43.5" x14ac:dyDescent="0.35">
      <c r="A1911" s="5" t="s">
        <v>288</v>
      </c>
      <c r="B1911" s="5" t="s">
        <v>289</v>
      </c>
      <c r="C1911" s="5" t="s">
        <v>470</v>
      </c>
      <c r="D1911" s="5" t="s">
        <v>414</v>
      </c>
      <c r="E1911" s="5" t="s">
        <v>17</v>
      </c>
      <c r="F1911" s="5" t="s">
        <v>20</v>
      </c>
      <c r="G1911" s="5" t="s">
        <v>208</v>
      </c>
      <c r="H1911" s="5" t="s">
        <v>468</v>
      </c>
      <c r="I1911" s="5" t="s">
        <v>469</v>
      </c>
      <c r="J1911" s="5">
        <v>15.776620470074</v>
      </c>
      <c r="K1911" s="5">
        <v>-96.136798653678994</v>
      </c>
      <c r="L1911" s="5" t="str">
        <f>HYPERLINK("https://maps.google.com/?q=15.776620470073704,-96.136798653678753", "🔗 Ver Mapa")</f>
        <v>🔗 Ver Mapa</v>
      </c>
    </row>
    <row r="1912" spans="1:12" ht="43.5" x14ac:dyDescent="0.35">
      <c r="A1912" s="6" t="s">
        <v>288</v>
      </c>
      <c r="B1912" s="6" t="s">
        <v>289</v>
      </c>
      <c r="C1912" s="6" t="s">
        <v>470</v>
      </c>
      <c r="D1912" s="6" t="s">
        <v>414</v>
      </c>
      <c r="E1912" s="6" t="s">
        <v>17</v>
      </c>
      <c r="F1912" s="6" t="s">
        <v>20</v>
      </c>
      <c r="G1912" s="6" t="s">
        <v>208</v>
      </c>
      <c r="H1912" s="6" t="s">
        <v>468</v>
      </c>
      <c r="I1912" s="6" t="s">
        <v>469</v>
      </c>
      <c r="J1912" s="6">
        <v>15.776627411967</v>
      </c>
      <c r="K1912" s="6">
        <v>-96.136640010280999</v>
      </c>
      <c r="L1912" s="6" t="str">
        <f>HYPERLINK("https://maps.google.com/?q=15.776627411966654,-96.136640010280772", "🔗 Ver Mapa")</f>
        <v>🔗 Ver Mapa</v>
      </c>
    </row>
    <row r="1913" spans="1:12" ht="43.5" x14ac:dyDescent="0.35">
      <c r="A1913" s="5" t="s">
        <v>288</v>
      </c>
      <c r="B1913" s="5" t="s">
        <v>289</v>
      </c>
      <c r="C1913" s="5" t="s">
        <v>470</v>
      </c>
      <c r="D1913" s="5" t="s">
        <v>414</v>
      </c>
      <c r="E1913" s="5" t="s">
        <v>17</v>
      </c>
      <c r="F1913" s="5" t="s">
        <v>20</v>
      </c>
      <c r="G1913" s="5" t="s">
        <v>208</v>
      </c>
      <c r="H1913" s="5" t="s">
        <v>468</v>
      </c>
      <c r="I1913" s="5" t="s">
        <v>469</v>
      </c>
      <c r="J1913" s="5">
        <v>15.776646329973</v>
      </c>
      <c r="K1913" s="5">
        <v>-96.136705028213996</v>
      </c>
      <c r="L1913" s="5" t="str">
        <f>HYPERLINK("https://maps.google.com/?q=15.776646329973321,-96.136705028214465", "🔗 Ver Mapa")</f>
        <v>🔗 Ver Mapa</v>
      </c>
    </row>
    <row r="1914" spans="1:12" ht="43.5" x14ac:dyDescent="0.35">
      <c r="A1914" s="6" t="s">
        <v>288</v>
      </c>
      <c r="B1914" s="6" t="s">
        <v>289</v>
      </c>
      <c r="C1914" s="6" t="s">
        <v>470</v>
      </c>
      <c r="D1914" s="6" t="s">
        <v>414</v>
      </c>
      <c r="E1914" s="6" t="s">
        <v>17</v>
      </c>
      <c r="F1914" s="6" t="s">
        <v>20</v>
      </c>
      <c r="G1914" s="6" t="s">
        <v>208</v>
      </c>
      <c r="H1914" s="6" t="s">
        <v>468</v>
      </c>
      <c r="I1914" s="6" t="s">
        <v>469</v>
      </c>
      <c r="J1914" s="6">
        <v>15.776666352998999</v>
      </c>
      <c r="K1914" s="6">
        <v>-96.136853966738002</v>
      </c>
      <c r="L1914" s="6" t="str">
        <f>HYPERLINK("https://maps.google.com/?q=15.776666352999394,-96.136853966738471", "🔗 Ver Mapa")</f>
        <v>🔗 Ver Mapa</v>
      </c>
    </row>
    <row r="1915" spans="1:12" ht="43.5" x14ac:dyDescent="0.35">
      <c r="A1915" s="5" t="s">
        <v>288</v>
      </c>
      <c r="B1915" s="5" t="s">
        <v>289</v>
      </c>
      <c r="C1915" s="5" t="s">
        <v>470</v>
      </c>
      <c r="D1915" s="5" t="s">
        <v>414</v>
      </c>
      <c r="E1915" s="5" t="s">
        <v>17</v>
      </c>
      <c r="F1915" s="5" t="s">
        <v>20</v>
      </c>
      <c r="G1915" s="5" t="s">
        <v>208</v>
      </c>
      <c r="H1915" s="5" t="s">
        <v>468</v>
      </c>
      <c r="I1915" s="5" t="s">
        <v>469</v>
      </c>
      <c r="J1915" s="5">
        <v>15.776692581272</v>
      </c>
      <c r="K1915" s="5">
        <v>-96.136788314783004</v>
      </c>
      <c r="L1915" s="5" t="str">
        <f>HYPERLINK("https://maps.google.com/?q=15.776692581271526,-96.136788314782621", "🔗 Ver Mapa")</f>
        <v>🔗 Ver Mapa</v>
      </c>
    </row>
    <row r="1916" spans="1:12" ht="43.5" x14ac:dyDescent="0.35">
      <c r="A1916" s="6" t="s">
        <v>288</v>
      </c>
      <c r="B1916" s="6" t="s">
        <v>289</v>
      </c>
      <c r="C1916" s="6" t="s">
        <v>470</v>
      </c>
      <c r="D1916" s="6" t="s">
        <v>414</v>
      </c>
      <c r="E1916" s="6" t="s">
        <v>17</v>
      </c>
      <c r="F1916" s="6" t="s">
        <v>20</v>
      </c>
      <c r="G1916" s="6" t="s">
        <v>208</v>
      </c>
      <c r="H1916" s="6" t="s">
        <v>468</v>
      </c>
      <c r="I1916" s="6" t="s">
        <v>469</v>
      </c>
      <c r="J1916" s="6">
        <v>15.776711990358001</v>
      </c>
      <c r="K1916" s="6">
        <v>-96.136890630801005</v>
      </c>
      <c r="L1916" s="6" t="str">
        <f>HYPERLINK("https://maps.google.com/?q=15.77671199035803,-96.136890630801432", "🔗 Ver Mapa")</f>
        <v>🔗 Ver Mapa</v>
      </c>
    </row>
    <row r="1917" spans="1:12" ht="43.5" x14ac:dyDescent="0.35">
      <c r="A1917" s="5" t="s">
        <v>288</v>
      </c>
      <c r="B1917" s="5" t="s">
        <v>289</v>
      </c>
      <c r="C1917" s="5" t="s">
        <v>470</v>
      </c>
      <c r="D1917" s="5" t="s">
        <v>414</v>
      </c>
      <c r="E1917" s="5" t="s">
        <v>17</v>
      </c>
      <c r="F1917" s="5" t="s">
        <v>20</v>
      </c>
      <c r="G1917" s="5" t="s">
        <v>208</v>
      </c>
      <c r="H1917" s="5" t="s">
        <v>468</v>
      </c>
      <c r="I1917" s="5" t="s">
        <v>469</v>
      </c>
      <c r="J1917" s="5">
        <v>15.776752158846</v>
      </c>
      <c r="K1917" s="5">
        <v>-96.137197832587006</v>
      </c>
      <c r="L1917" s="5" t="str">
        <f>HYPERLINK("https://maps.google.com/?q=15.776752158846119,-96.137197832587105", "🔗 Ver Mapa")</f>
        <v>🔗 Ver Mapa</v>
      </c>
    </row>
    <row r="1918" spans="1:12" ht="43.5" x14ac:dyDescent="0.35">
      <c r="A1918" s="6" t="s">
        <v>288</v>
      </c>
      <c r="B1918" s="6" t="s">
        <v>289</v>
      </c>
      <c r="C1918" s="6" t="s">
        <v>470</v>
      </c>
      <c r="D1918" s="6" t="s">
        <v>414</v>
      </c>
      <c r="E1918" s="6" t="s">
        <v>17</v>
      </c>
      <c r="F1918" s="6" t="s">
        <v>20</v>
      </c>
      <c r="G1918" s="6" t="s">
        <v>208</v>
      </c>
      <c r="H1918" s="6" t="s">
        <v>468</v>
      </c>
      <c r="I1918" s="6" t="s">
        <v>469</v>
      </c>
      <c r="J1918" s="6">
        <v>15.776756522697999</v>
      </c>
      <c r="K1918" s="6">
        <v>-96.136843374262</v>
      </c>
      <c r="L1918" s="6" t="str">
        <f>HYPERLINK("https://maps.google.com/?q=15.776756522698193,-96.136843374262071", "🔗 Ver Mapa")</f>
        <v>🔗 Ver Mapa</v>
      </c>
    </row>
    <row r="1919" spans="1:12" ht="43.5" x14ac:dyDescent="0.35">
      <c r="A1919" s="5" t="s">
        <v>288</v>
      </c>
      <c r="B1919" s="5" t="s">
        <v>289</v>
      </c>
      <c r="C1919" s="5" t="s">
        <v>470</v>
      </c>
      <c r="D1919" s="5" t="s">
        <v>414</v>
      </c>
      <c r="E1919" s="5" t="s">
        <v>17</v>
      </c>
      <c r="F1919" s="5" t="s">
        <v>20</v>
      </c>
      <c r="G1919" s="5" t="s">
        <v>208</v>
      </c>
      <c r="H1919" s="5" t="s">
        <v>468</v>
      </c>
      <c r="I1919" s="5" t="s">
        <v>469</v>
      </c>
      <c r="J1919" s="5">
        <v>15.776766534184</v>
      </c>
      <c r="K1919" s="5">
        <v>-96.136917843573002</v>
      </c>
      <c r="L1919" s="5" t="str">
        <f>HYPERLINK("https://maps.google.com/?q=15.776766534183649,-96.136917843572732", "🔗 Ver Mapa")</f>
        <v>🔗 Ver Mapa</v>
      </c>
    </row>
    <row r="1920" spans="1:12" ht="43.5" x14ac:dyDescent="0.35">
      <c r="A1920" s="6" t="s">
        <v>288</v>
      </c>
      <c r="B1920" s="6" t="s">
        <v>289</v>
      </c>
      <c r="C1920" s="6" t="s">
        <v>470</v>
      </c>
      <c r="D1920" s="6" t="s">
        <v>414</v>
      </c>
      <c r="E1920" s="6" t="s">
        <v>17</v>
      </c>
      <c r="F1920" s="6" t="s">
        <v>20</v>
      </c>
      <c r="G1920" s="6" t="s">
        <v>208</v>
      </c>
      <c r="H1920" s="6" t="s">
        <v>468</v>
      </c>
      <c r="I1920" s="6" t="s">
        <v>469</v>
      </c>
      <c r="J1920" s="6">
        <v>15.776778141686</v>
      </c>
      <c r="K1920" s="6">
        <v>-96.137113531596</v>
      </c>
      <c r="L1920" s="6" t="str">
        <f>HYPERLINK("https://maps.google.com/?q=15.776778141685979,-96.137113531595531", "🔗 Ver Mapa")</f>
        <v>🔗 Ver Mapa</v>
      </c>
    </row>
    <row r="1921" spans="1:12" ht="43.5" x14ac:dyDescent="0.35">
      <c r="A1921" s="5" t="s">
        <v>288</v>
      </c>
      <c r="B1921" s="5" t="s">
        <v>289</v>
      </c>
      <c r="C1921" s="5" t="s">
        <v>470</v>
      </c>
      <c r="D1921" s="5" t="s">
        <v>414</v>
      </c>
      <c r="E1921" s="5" t="s">
        <v>17</v>
      </c>
      <c r="F1921" s="5" t="s">
        <v>20</v>
      </c>
      <c r="G1921" s="5" t="s">
        <v>208</v>
      </c>
      <c r="H1921" s="5" t="s">
        <v>468</v>
      </c>
      <c r="I1921" s="5" t="s">
        <v>469</v>
      </c>
      <c r="J1921" s="5">
        <v>15.776829125023999</v>
      </c>
      <c r="K1921" s="5">
        <v>-96.136870333429997</v>
      </c>
      <c r="L1921" s="5" t="str">
        <f>HYPERLINK("https://maps.google.com/?q=15.776829125024479,-96.136870333430466", "🔗 Ver Mapa")</f>
        <v>🔗 Ver Mapa</v>
      </c>
    </row>
    <row r="1922" spans="1:12" ht="43.5" x14ac:dyDescent="0.35">
      <c r="A1922" s="6" t="s">
        <v>288</v>
      </c>
      <c r="B1922" s="6" t="s">
        <v>289</v>
      </c>
      <c r="C1922" s="6" t="s">
        <v>470</v>
      </c>
      <c r="D1922" s="6" t="s">
        <v>414</v>
      </c>
      <c r="E1922" s="6" t="s">
        <v>17</v>
      </c>
      <c r="F1922" s="6" t="s">
        <v>20</v>
      </c>
      <c r="G1922" s="6" t="s">
        <v>208</v>
      </c>
      <c r="H1922" s="6" t="s">
        <v>468</v>
      </c>
      <c r="I1922" s="6" t="s">
        <v>469</v>
      </c>
      <c r="J1922" s="6">
        <v>15.776905165034</v>
      </c>
      <c r="K1922" s="6">
        <v>-96.137158379200997</v>
      </c>
      <c r="L1922" s="6" t="str">
        <f>HYPERLINK("https://maps.google.com/?q=15.776905165034224,-96.137158379201296", "🔗 Ver Mapa")</f>
        <v>🔗 Ver Mapa</v>
      </c>
    </row>
    <row r="1923" spans="1:12" ht="43.5" x14ac:dyDescent="0.35">
      <c r="A1923" s="5" t="s">
        <v>288</v>
      </c>
      <c r="B1923" s="5" t="s">
        <v>289</v>
      </c>
      <c r="C1923" s="5" t="s">
        <v>470</v>
      </c>
      <c r="D1923" s="5" t="s">
        <v>414</v>
      </c>
      <c r="E1923" s="5" t="s">
        <v>17</v>
      </c>
      <c r="F1923" s="5" t="s">
        <v>20</v>
      </c>
      <c r="G1923" s="5" t="s">
        <v>208</v>
      </c>
      <c r="H1923" s="5" t="s">
        <v>468</v>
      </c>
      <c r="I1923" s="5" t="s">
        <v>469</v>
      </c>
      <c r="J1923" s="5">
        <v>15.776913948746</v>
      </c>
      <c r="K1923" s="5">
        <v>-96.137139603372006</v>
      </c>
      <c r="L1923" s="5" t="str">
        <f>HYPERLINK("https://maps.google.com/?q=15.776913948745813,-96.13713960337185", "🔗 Ver Mapa")</f>
        <v>🔗 Ver Mapa</v>
      </c>
    </row>
    <row r="1924" spans="1:12" ht="43.5" x14ac:dyDescent="0.35">
      <c r="A1924" s="6" t="s">
        <v>288</v>
      </c>
      <c r="B1924" s="6" t="s">
        <v>289</v>
      </c>
      <c r="C1924" s="6" t="s">
        <v>470</v>
      </c>
      <c r="D1924" s="6" t="s">
        <v>414</v>
      </c>
      <c r="E1924" s="6" t="s">
        <v>17</v>
      </c>
      <c r="F1924" s="6" t="s">
        <v>20</v>
      </c>
      <c r="G1924" s="6" t="s">
        <v>208</v>
      </c>
      <c r="H1924" s="6" t="s">
        <v>468</v>
      </c>
      <c r="I1924" s="6" t="s">
        <v>469</v>
      </c>
      <c r="J1924" s="6">
        <v>15.776920645298</v>
      </c>
      <c r="K1924" s="6">
        <v>-96.136962310667997</v>
      </c>
      <c r="L1924" s="6" t="str">
        <f>HYPERLINK("https://maps.google.com/?q=15.776920645297855,-96.136962310668437", "🔗 Ver Mapa")</f>
        <v>🔗 Ver Mapa</v>
      </c>
    </row>
    <row r="1925" spans="1:12" ht="43.5" x14ac:dyDescent="0.35">
      <c r="A1925" s="5" t="s">
        <v>288</v>
      </c>
      <c r="B1925" s="5" t="s">
        <v>289</v>
      </c>
      <c r="C1925" s="5" t="s">
        <v>470</v>
      </c>
      <c r="D1925" s="5" t="s">
        <v>414</v>
      </c>
      <c r="E1925" s="5" t="s">
        <v>17</v>
      </c>
      <c r="F1925" s="5" t="s">
        <v>20</v>
      </c>
      <c r="G1925" s="5" t="s">
        <v>208</v>
      </c>
      <c r="H1925" s="5" t="s">
        <v>468</v>
      </c>
      <c r="I1925" s="5" t="s">
        <v>469</v>
      </c>
      <c r="J1925" s="5">
        <v>15.776940668184</v>
      </c>
      <c r="K1925" s="5">
        <v>-96.137111249444999</v>
      </c>
      <c r="L1925" s="5" t="str">
        <f>HYPERLINK("https://maps.google.com/?q=15.77694066818441,-96.137111249444828", "🔗 Ver Mapa")</f>
        <v>🔗 Ver Mapa</v>
      </c>
    </row>
    <row r="1926" spans="1:12" ht="43.5" x14ac:dyDescent="0.35">
      <c r="A1926" s="6" t="s">
        <v>288</v>
      </c>
      <c r="B1926" s="6" t="s">
        <v>289</v>
      </c>
      <c r="C1926" s="6" t="s">
        <v>470</v>
      </c>
      <c r="D1926" s="6" t="s">
        <v>414</v>
      </c>
      <c r="E1926" s="6" t="s">
        <v>17</v>
      </c>
      <c r="F1926" s="6" t="s">
        <v>20</v>
      </c>
      <c r="G1926" s="6" t="s">
        <v>208</v>
      </c>
      <c r="H1926" s="6" t="s">
        <v>468</v>
      </c>
      <c r="I1926" s="6" t="s">
        <v>469</v>
      </c>
      <c r="J1926" s="6">
        <v>15.776974084116</v>
      </c>
      <c r="K1926" s="6">
        <v>-96.136905602766006</v>
      </c>
      <c r="L1926" s="6" t="str">
        <f>HYPERLINK("https://maps.google.com/?q=15.7769740841157,-96.136905602766447", "🔗 Ver Mapa")</f>
        <v>🔗 Ver Mapa</v>
      </c>
    </row>
    <row r="1927" spans="1:12" ht="43.5" x14ac:dyDescent="0.35">
      <c r="A1927" s="5" t="s">
        <v>288</v>
      </c>
      <c r="B1927" s="5" t="s">
        <v>289</v>
      </c>
      <c r="C1927" s="5" t="s">
        <v>470</v>
      </c>
      <c r="D1927" s="5" t="s">
        <v>414</v>
      </c>
      <c r="E1927" s="5" t="s">
        <v>17</v>
      </c>
      <c r="F1927" s="5" t="s">
        <v>20</v>
      </c>
      <c r="G1927" s="5" t="s">
        <v>208</v>
      </c>
      <c r="H1927" s="5" t="s">
        <v>468</v>
      </c>
      <c r="I1927" s="5" t="s">
        <v>469</v>
      </c>
      <c r="J1927" s="5">
        <v>15.776976416867999</v>
      </c>
      <c r="K1927" s="5">
        <v>-96.137082768721996</v>
      </c>
      <c r="L1927" s="5" t="str">
        <f>HYPERLINK("https://maps.google.com/?q=15.776976416867589,-96.137082768721996", "🔗 Ver Mapa")</f>
        <v>🔗 Ver Mapa</v>
      </c>
    </row>
    <row r="1928" spans="1:12" ht="43.5" x14ac:dyDescent="0.35">
      <c r="A1928" s="6" t="s">
        <v>288</v>
      </c>
      <c r="B1928" s="6" t="s">
        <v>289</v>
      </c>
      <c r="C1928" s="6" t="s">
        <v>470</v>
      </c>
      <c r="D1928" s="6" t="s">
        <v>414</v>
      </c>
      <c r="E1928" s="6" t="s">
        <v>17</v>
      </c>
      <c r="F1928" s="6" t="s">
        <v>20</v>
      </c>
      <c r="G1928" s="6" t="s">
        <v>208</v>
      </c>
      <c r="H1928" s="6" t="s">
        <v>468</v>
      </c>
      <c r="I1928" s="6" t="s">
        <v>469</v>
      </c>
      <c r="J1928" s="6">
        <v>15.777020335365</v>
      </c>
      <c r="K1928" s="6">
        <v>-96.136988889514996</v>
      </c>
      <c r="L1928" s="6" t="str">
        <f>HYPERLINK("https://maps.google.com/?q=15.777020335365483,-96.136988889514697", "🔗 Ver Mapa")</f>
        <v>🔗 Ver Mapa</v>
      </c>
    </row>
    <row r="1929" spans="1:12" ht="43.5" x14ac:dyDescent="0.35">
      <c r="A1929" s="5" t="s">
        <v>288</v>
      </c>
      <c r="B1929" s="5" t="s">
        <v>289</v>
      </c>
      <c r="C1929" s="5" t="s">
        <v>470</v>
      </c>
      <c r="D1929" s="5" t="s">
        <v>414</v>
      </c>
      <c r="E1929" s="5" t="s">
        <v>17</v>
      </c>
      <c r="F1929" s="5" t="s">
        <v>20</v>
      </c>
      <c r="G1929" s="5" t="s">
        <v>208</v>
      </c>
      <c r="H1929" s="5" t="s">
        <v>468</v>
      </c>
      <c r="I1929" s="5" t="s">
        <v>469</v>
      </c>
      <c r="J1929" s="5">
        <v>15.777028505164999</v>
      </c>
      <c r="K1929" s="5">
        <v>-96.136923491038999</v>
      </c>
      <c r="L1929" s="5" t="str">
        <f>HYPERLINK("https://maps.google.com/?q=15.777028505165115,-96.136923491038857", "🔗 Ver Mapa")</f>
        <v>🔗 Ver Mapa</v>
      </c>
    </row>
    <row r="1930" spans="1:12" ht="43.5" x14ac:dyDescent="0.35">
      <c r="A1930" s="6" t="s">
        <v>288</v>
      </c>
      <c r="B1930" s="6" t="s">
        <v>289</v>
      </c>
      <c r="C1930" s="6" t="s">
        <v>470</v>
      </c>
      <c r="D1930" s="6" t="s">
        <v>414</v>
      </c>
      <c r="E1930" s="6" t="s">
        <v>17</v>
      </c>
      <c r="F1930" s="6" t="s">
        <v>20</v>
      </c>
      <c r="G1930" s="6" t="s">
        <v>208</v>
      </c>
      <c r="H1930" s="6" t="s">
        <v>468</v>
      </c>
      <c r="I1930" s="6" t="s">
        <v>469</v>
      </c>
      <c r="J1930" s="6">
        <v>15.777030469592001</v>
      </c>
      <c r="K1930" s="6">
        <v>-96.137072683463003</v>
      </c>
      <c r="L1930" s="6" t="str">
        <f>HYPERLINK("https://maps.google.com/?q=15.777030469591661,-96.137072683462648", "🔗 Ver Mapa")</f>
        <v>🔗 Ver Mapa</v>
      </c>
    </row>
    <row r="1931" spans="1:12" ht="43.5" x14ac:dyDescent="0.35">
      <c r="A1931" s="5" t="s">
        <v>288</v>
      </c>
      <c r="B1931" s="5" t="s">
        <v>289</v>
      </c>
      <c r="C1931" s="5" t="s">
        <v>470</v>
      </c>
      <c r="D1931" s="5" t="s">
        <v>414</v>
      </c>
      <c r="E1931" s="5" t="s">
        <v>17</v>
      </c>
      <c r="F1931" s="5" t="s">
        <v>20</v>
      </c>
      <c r="G1931" s="5" t="s">
        <v>208</v>
      </c>
      <c r="H1931" s="5" t="s">
        <v>468</v>
      </c>
      <c r="I1931" s="5" t="s">
        <v>469</v>
      </c>
      <c r="J1931" s="5">
        <v>15.777066586588999</v>
      </c>
      <c r="K1931" s="5">
        <v>-96.137072176304997</v>
      </c>
      <c r="L1931" s="5" t="str">
        <f>HYPERLINK("https://maps.google.com/?q=15.777066586589411,-96.137072176304585", "🔗 Ver Mapa")</f>
        <v>🔗 Ver Mapa</v>
      </c>
    </row>
    <row r="1932" spans="1:12" ht="43.5" x14ac:dyDescent="0.35">
      <c r="A1932" s="6" t="s">
        <v>288</v>
      </c>
      <c r="B1932" s="6" t="s">
        <v>289</v>
      </c>
      <c r="C1932" s="6" t="s">
        <v>470</v>
      </c>
      <c r="D1932" s="6" t="s">
        <v>414</v>
      </c>
      <c r="E1932" s="6" t="s">
        <v>17</v>
      </c>
      <c r="F1932" s="6" t="s">
        <v>20</v>
      </c>
      <c r="G1932" s="6" t="s">
        <v>208</v>
      </c>
      <c r="H1932" s="6" t="s">
        <v>468</v>
      </c>
      <c r="I1932" s="6" t="s">
        <v>469</v>
      </c>
      <c r="J1932" s="6">
        <v>15.777102703587</v>
      </c>
      <c r="K1932" s="6">
        <v>-96.137071669145001</v>
      </c>
      <c r="L1932" s="6" t="str">
        <f>HYPERLINK("https://maps.google.com/?q=15.777102703587039,-96.137071669145215", "🔗 Ver Mapa")</f>
        <v>🔗 Ver Mapa</v>
      </c>
    </row>
    <row r="1933" spans="1:12" ht="43.5" x14ac:dyDescent="0.35">
      <c r="A1933" s="5" t="s">
        <v>288</v>
      </c>
      <c r="B1933" s="5" t="s">
        <v>289</v>
      </c>
      <c r="C1933" s="5" t="s">
        <v>470</v>
      </c>
      <c r="D1933" s="5" t="s">
        <v>414</v>
      </c>
      <c r="E1933" s="5" t="s">
        <v>17</v>
      </c>
      <c r="F1933" s="5" t="s">
        <v>20</v>
      </c>
      <c r="G1933" s="5" t="s">
        <v>208</v>
      </c>
      <c r="H1933" s="5" t="s">
        <v>468</v>
      </c>
      <c r="I1933" s="5" t="s">
        <v>469</v>
      </c>
      <c r="J1933" s="5">
        <v>15.77710989118</v>
      </c>
      <c r="K1933" s="5">
        <v>-96.136931674402007</v>
      </c>
      <c r="L1933" s="5" t="str">
        <f>HYPERLINK("https://maps.google.com/?q=15.777109891179562,-96.13693167440168", "🔗 Ver Mapa")</f>
        <v>🔗 Ver Mapa</v>
      </c>
    </row>
    <row r="1934" spans="1:12" ht="43.5" x14ac:dyDescent="0.35">
      <c r="A1934" s="6" t="s">
        <v>288</v>
      </c>
      <c r="B1934" s="6" t="s">
        <v>289</v>
      </c>
      <c r="C1934" s="6" t="s">
        <v>470</v>
      </c>
      <c r="D1934" s="6" t="s">
        <v>414</v>
      </c>
      <c r="E1934" s="6" t="s">
        <v>17</v>
      </c>
      <c r="F1934" s="6" t="s">
        <v>20</v>
      </c>
      <c r="G1934" s="6" t="s">
        <v>208</v>
      </c>
      <c r="H1934" s="6" t="s">
        <v>468</v>
      </c>
      <c r="I1934" s="6" t="s">
        <v>469</v>
      </c>
      <c r="J1934" s="6">
        <v>15.777183352952999</v>
      </c>
      <c r="K1934" s="6">
        <v>-96.137023905362</v>
      </c>
      <c r="L1934" s="6" t="str">
        <f>HYPERLINK("https://maps.google.com/?q=15.777183352952584,-96.137023905362142", "🔗 Ver Mapa")</f>
        <v>🔗 Ver Mapa</v>
      </c>
    </row>
    <row r="1935" spans="1:12" ht="43.5" x14ac:dyDescent="0.35">
      <c r="A1935" s="5" t="s">
        <v>288</v>
      </c>
      <c r="B1935" s="5" t="s">
        <v>289</v>
      </c>
      <c r="C1935" s="5" t="s">
        <v>470</v>
      </c>
      <c r="D1935" s="5" t="s">
        <v>414</v>
      </c>
      <c r="E1935" s="5" t="s">
        <v>17</v>
      </c>
      <c r="F1935" s="5" t="s">
        <v>20</v>
      </c>
      <c r="G1935" s="5" t="s">
        <v>208</v>
      </c>
      <c r="H1935" s="5" t="s">
        <v>468</v>
      </c>
      <c r="I1935" s="5" t="s">
        <v>469</v>
      </c>
      <c r="J1935" s="5">
        <v>15.777200552003</v>
      </c>
      <c r="K1935" s="5">
        <v>-96.136958380037001</v>
      </c>
      <c r="L1935" s="5" t="str">
        <f>HYPERLINK("https://maps.google.com/?q=15.777200552002629,-96.136958380036518", "🔗 Ver Mapa")</f>
        <v>🔗 Ver Mapa</v>
      </c>
    </row>
    <row r="1936" spans="1:12" ht="43.5" x14ac:dyDescent="0.35">
      <c r="A1936" s="6" t="s">
        <v>288</v>
      </c>
      <c r="B1936" s="6" t="s">
        <v>289</v>
      </c>
      <c r="C1936" s="6" t="s">
        <v>470</v>
      </c>
      <c r="D1936" s="6" t="s">
        <v>414</v>
      </c>
      <c r="E1936" s="6" t="s">
        <v>17</v>
      </c>
      <c r="F1936" s="6" t="s">
        <v>20</v>
      </c>
      <c r="G1936" s="6" t="s">
        <v>208</v>
      </c>
      <c r="H1936" s="6" t="s">
        <v>468</v>
      </c>
      <c r="I1936" s="6" t="s">
        <v>469</v>
      </c>
      <c r="J1936" s="6">
        <v>15.777219592725</v>
      </c>
      <c r="K1936" s="6">
        <v>-96.137032722726005</v>
      </c>
      <c r="L1936" s="6" t="str">
        <f>HYPERLINK("https://maps.google.com/?q=15.777219592725107,-96.137032722725692", "🔗 Ver Mapa")</f>
        <v>🔗 Ver Mapa</v>
      </c>
    </row>
    <row r="1937" spans="1:12" ht="43.5" x14ac:dyDescent="0.35">
      <c r="A1937" s="5" t="s">
        <v>288</v>
      </c>
      <c r="B1937" s="5" t="s">
        <v>289</v>
      </c>
      <c r="C1937" s="5" t="s">
        <v>470</v>
      </c>
      <c r="D1937" s="5" t="s">
        <v>414</v>
      </c>
      <c r="E1937" s="5" t="s">
        <v>17</v>
      </c>
      <c r="F1937" s="5" t="s">
        <v>20</v>
      </c>
      <c r="G1937" s="5" t="s">
        <v>208</v>
      </c>
      <c r="H1937" s="5" t="s">
        <v>468</v>
      </c>
      <c r="I1937" s="5" t="s">
        <v>469</v>
      </c>
      <c r="J1937" s="5">
        <v>15.777300487632001</v>
      </c>
      <c r="K1937" s="5">
        <v>-96.137003607970996</v>
      </c>
      <c r="L1937" s="5" t="str">
        <f>HYPERLINK("https://maps.google.com/?q=15.777300487631983,-96.137003607970797", "🔗 Ver Mapa")</f>
        <v>🔗 Ver Mapa</v>
      </c>
    </row>
    <row r="1938" spans="1:12" ht="43.5" x14ac:dyDescent="0.35">
      <c r="A1938" s="6" t="s">
        <v>288</v>
      </c>
      <c r="B1938" s="6" t="s">
        <v>289</v>
      </c>
      <c r="C1938" s="6" t="s">
        <v>470</v>
      </c>
      <c r="D1938" s="6" t="s">
        <v>414</v>
      </c>
      <c r="E1938" s="6" t="s">
        <v>17</v>
      </c>
      <c r="F1938" s="6" t="s">
        <v>20</v>
      </c>
      <c r="G1938" s="6" t="s">
        <v>208</v>
      </c>
      <c r="H1938" s="6" t="s">
        <v>468</v>
      </c>
      <c r="I1938" s="6" t="s">
        <v>469</v>
      </c>
      <c r="J1938" s="6">
        <v>15.777374317714999</v>
      </c>
      <c r="K1938" s="6">
        <v>-96.137123812666005</v>
      </c>
      <c r="L1938" s="6" t="str">
        <f>HYPERLINK("https://maps.google.com/?q=15.777374317715358,-96.137123812666275", "🔗 Ver Mapa")</f>
        <v>🔗 Ver Mapa</v>
      </c>
    </row>
    <row r="1939" spans="1:12" ht="43.5" x14ac:dyDescent="0.35">
      <c r="A1939" s="5" t="s">
        <v>288</v>
      </c>
      <c r="B1939" s="5" t="s">
        <v>289</v>
      </c>
      <c r="C1939" s="5" t="s">
        <v>470</v>
      </c>
      <c r="D1939" s="5" t="s">
        <v>414</v>
      </c>
      <c r="E1939" s="5" t="s">
        <v>17</v>
      </c>
      <c r="F1939" s="5" t="s">
        <v>20</v>
      </c>
      <c r="G1939" s="5" t="s">
        <v>208</v>
      </c>
      <c r="H1939" s="5" t="s">
        <v>468</v>
      </c>
      <c r="I1939" s="5" t="s">
        <v>469</v>
      </c>
      <c r="J1939" s="5">
        <v>15.777382364760999</v>
      </c>
      <c r="K1939" s="5">
        <v>-96.137049089529</v>
      </c>
      <c r="L1939" s="5" t="str">
        <f>HYPERLINK("https://maps.google.com/?q=15.777382364760527,-96.13704908952937", "🔗 Ver Mapa")</f>
        <v>🔗 Ver Mapa</v>
      </c>
    </row>
    <row r="1940" spans="1:12" ht="43.5" x14ac:dyDescent="0.35">
      <c r="A1940" s="6" t="s">
        <v>288</v>
      </c>
      <c r="B1940" s="6" t="s">
        <v>289</v>
      </c>
      <c r="C1940" s="6" t="s">
        <v>470</v>
      </c>
      <c r="D1940" s="6" t="s">
        <v>414</v>
      </c>
      <c r="E1940" s="6" t="s">
        <v>17</v>
      </c>
      <c r="F1940" s="6" t="s">
        <v>20</v>
      </c>
      <c r="G1940" s="6" t="s">
        <v>208</v>
      </c>
      <c r="H1940" s="6" t="s">
        <v>468</v>
      </c>
      <c r="I1940" s="6" t="s">
        <v>469</v>
      </c>
      <c r="J1940" s="6">
        <v>15.777410803034</v>
      </c>
      <c r="K1940" s="6">
        <v>-96.137151279140994</v>
      </c>
      <c r="L1940" s="6" t="str">
        <f>HYPERLINK("https://maps.google.com/?q=15.777410803034341,-96.137151279140767", "🔗 Ver Mapa")</f>
        <v>🔗 Ver Mapa</v>
      </c>
    </row>
    <row r="1941" spans="1:12" ht="43.5" x14ac:dyDescent="0.35">
      <c r="A1941" s="5" t="s">
        <v>288</v>
      </c>
      <c r="B1941" s="5" t="s">
        <v>289</v>
      </c>
      <c r="C1941" s="5" t="s">
        <v>470</v>
      </c>
      <c r="D1941" s="5" t="s">
        <v>414</v>
      </c>
      <c r="E1941" s="5" t="s">
        <v>17</v>
      </c>
      <c r="F1941" s="5" t="s">
        <v>20</v>
      </c>
      <c r="G1941" s="5" t="s">
        <v>208</v>
      </c>
      <c r="H1941" s="5" t="s">
        <v>468</v>
      </c>
      <c r="I1941" s="5" t="s">
        <v>469</v>
      </c>
      <c r="J1941" s="5">
        <v>15.777420323373001</v>
      </c>
      <c r="K1941" s="5">
        <v>-96.137188450535007</v>
      </c>
      <c r="L1941" s="5" t="str">
        <f>HYPERLINK("https://maps.google.com/?q=15.777420323373146,-96.137188450534595", "🔗 Ver Mapa")</f>
        <v>🔗 Ver Mapa</v>
      </c>
    </row>
    <row r="1942" spans="1:12" ht="43.5" x14ac:dyDescent="0.35">
      <c r="A1942" s="6" t="s">
        <v>288</v>
      </c>
      <c r="B1942" s="6" t="s">
        <v>289</v>
      </c>
      <c r="C1942" s="6" t="s">
        <v>470</v>
      </c>
      <c r="D1942" s="6" t="s">
        <v>414</v>
      </c>
      <c r="E1942" s="6" t="s">
        <v>17</v>
      </c>
      <c r="F1942" s="6" t="s">
        <v>20</v>
      </c>
      <c r="G1942" s="6" t="s">
        <v>208</v>
      </c>
      <c r="H1942" s="6" t="s">
        <v>468</v>
      </c>
      <c r="I1942" s="6" t="s">
        <v>469</v>
      </c>
      <c r="J1942" s="6">
        <v>15.777420568915</v>
      </c>
      <c r="K1942" s="6">
        <v>-96.137207099627005</v>
      </c>
      <c r="L1942" s="6" t="str">
        <f>HYPERLINK("https://maps.google.com/?q=15.77742056891527,-96.137207099626565", "🔗 Ver Mapa")</f>
        <v>🔗 Ver Mapa</v>
      </c>
    </row>
    <row r="1943" spans="1:12" ht="43.5" x14ac:dyDescent="0.35">
      <c r="A1943" s="5" t="s">
        <v>288</v>
      </c>
      <c r="B1943" s="5" t="s">
        <v>289</v>
      </c>
      <c r="C1943" s="5" t="s">
        <v>470</v>
      </c>
      <c r="D1943" s="5" t="s">
        <v>414</v>
      </c>
      <c r="E1943" s="5" t="s">
        <v>17</v>
      </c>
      <c r="F1943" s="5" t="s">
        <v>20</v>
      </c>
      <c r="G1943" s="5" t="s">
        <v>208</v>
      </c>
      <c r="H1943" s="5" t="s">
        <v>468</v>
      </c>
      <c r="I1943" s="5" t="s">
        <v>469</v>
      </c>
      <c r="J1943" s="5">
        <v>15.777437031361</v>
      </c>
      <c r="K1943" s="5">
        <v>-96.137085626949997</v>
      </c>
      <c r="L1943" s="5" t="str">
        <f>HYPERLINK("https://maps.google.com/?q=15.777437031361409,-96.137085626950324", "🔗 Ver Mapa")</f>
        <v>🔗 Ver Mapa</v>
      </c>
    </row>
    <row r="1944" spans="1:12" ht="43.5" x14ac:dyDescent="0.35">
      <c r="A1944" s="6" t="s">
        <v>288</v>
      </c>
      <c r="B1944" s="6" t="s">
        <v>289</v>
      </c>
      <c r="C1944" s="6" t="s">
        <v>470</v>
      </c>
      <c r="D1944" s="6" t="s">
        <v>414</v>
      </c>
      <c r="E1944" s="6" t="s">
        <v>17</v>
      </c>
      <c r="F1944" s="6" t="s">
        <v>20</v>
      </c>
      <c r="G1944" s="6" t="s">
        <v>208</v>
      </c>
      <c r="H1944" s="6" t="s">
        <v>468</v>
      </c>
      <c r="I1944" s="6" t="s">
        <v>469</v>
      </c>
      <c r="J1944" s="6">
        <v>15.777473762234999</v>
      </c>
      <c r="K1944" s="6">
        <v>-96.137131742519003</v>
      </c>
      <c r="L1944" s="6" t="str">
        <f>HYPERLINK("https://maps.google.com/?q=15.777473762234697,-96.137131742519202", "🔗 Ver Mapa")</f>
        <v>🔗 Ver Mapa</v>
      </c>
    </row>
    <row r="1945" spans="1:12" ht="43.5" x14ac:dyDescent="0.35">
      <c r="A1945" s="5" t="s">
        <v>288</v>
      </c>
      <c r="B1945" s="5" t="s">
        <v>289</v>
      </c>
      <c r="C1945" s="5" t="s">
        <v>470</v>
      </c>
      <c r="D1945" s="5" t="s">
        <v>414</v>
      </c>
      <c r="E1945" s="5" t="s">
        <v>17</v>
      </c>
      <c r="F1945" s="5" t="s">
        <v>20</v>
      </c>
      <c r="G1945" s="5" t="s">
        <v>208</v>
      </c>
      <c r="H1945" s="5" t="s">
        <v>468</v>
      </c>
      <c r="I1945" s="5" t="s">
        <v>469</v>
      </c>
      <c r="J1945" s="5">
        <v>15.777483405350999</v>
      </c>
      <c r="K1945" s="5">
        <v>-96.137178238470995</v>
      </c>
      <c r="L1945" s="5" t="str">
        <f>HYPERLINK("https://maps.google.com/?q=15.777483405351116,-96.137178238471165", "🔗 Ver Mapa")</f>
        <v>🔗 Ver Mapa</v>
      </c>
    </row>
    <row r="1946" spans="1:12" ht="43.5" x14ac:dyDescent="0.35">
      <c r="A1946" s="6" t="s">
        <v>288</v>
      </c>
      <c r="B1946" s="6" t="s">
        <v>289</v>
      </c>
      <c r="C1946" s="6" t="s">
        <v>470</v>
      </c>
      <c r="D1946" s="6" t="s">
        <v>414</v>
      </c>
      <c r="E1946" s="6" t="s">
        <v>17</v>
      </c>
      <c r="F1946" s="6" t="s">
        <v>20</v>
      </c>
      <c r="G1946" s="6" t="s">
        <v>208</v>
      </c>
      <c r="H1946" s="6" t="s">
        <v>468</v>
      </c>
      <c r="I1946" s="6" t="s">
        <v>469</v>
      </c>
      <c r="J1946" s="6">
        <v>15.777484141978</v>
      </c>
      <c r="K1946" s="6">
        <v>-96.137234185764996</v>
      </c>
      <c r="L1946" s="6" t="str">
        <f>HYPERLINK("https://maps.google.com/?q=15.777484141978206,-96.137234185764868", "🔗 Ver Mapa")</f>
        <v>🔗 Ver Mapa</v>
      </c>
    </row>
    <row r="1947" spans="1:12" ht="43.5" x14ac:dyDescent="0.35">
      <c r="A1947" s="5" t="s">
        <v>288</v>
      </c>
      <c r="B1947" s="5" t="s">
        <v>289</v>
      </c>
      <c r="C1947" s="5" t="s">
        <v>470</v>
      </c>
      <c r="D1947" s="5" t="s">
        <v>414</v>
      </c>
      <c r="E1947" s="5" t="s">
        <v>17</v>
      </c>
      <c r="F1947" s="5" t="s">
        <v>20</v>
      </c>
      <c r="G1947" s="5" t="s">
        <v>208</v>
      </c>
      <c r="H1947" s="5" t="s">
        <v>468</v>
      </c>
      <c r="I1947" s="5" t="s">
        <v>469</v>
      </c>
      <c r="J1947" s="5">
        <v>15.777974545180999</v>
      </c>
      <c r="K1947" s="5">
        <v>-96.137441804364002</v>
      </c>
      <c r="L1947" s="5" t="str">
        <f>HYPERLINK("https://maps.google.com/?q=15.777974545181257,-96.137441804363618", "🔗 Ver Mapa")</f>
        <v>🔗 Ver Mapa</v>
      </c>
    </row>
    <row r="1948" spans="1:12" ht="43.5" x14ac:dyDescent="0.35">
      <c r="A1948" s="6" t="s">
        <v>288</v>
      </c>
      <c r="B1948" s="6" t="s">
        <v>289</v>
      </c>
      <c r="C1948" s="6" t="s">
        <v>470</v>
      </c>
      <c r="D1948" s="6" t="s">
        <v>414</v>
      </c>
      <c r="E1948" s="6" t="s">
        <v>17</v>
      </c>
      <c r="F1948" s="6" t="s">
        <v>20</v>
      </c>
      <c r="G1948" s="6" t="s">
        <v>208</v>
      </c>
      <c r="H1948" s="6" t="s">
        <v>468</v>
      </c>
      <c r="I1948" s="6" t="s">
        <v>469</v>
      </c>
      <c r="J1948" s="6">
        <v>15.778002246755999</v>
      </c>
      <c r="K1948" s="6">
        <v>-96.137488046894006</v>
      </c>
      <c r="L1948" s="6" t="str">
        <f>HYPERLINK("https://maps.google.com/?q=15.778002246756156,-96.137488046893978", "🔗 Ver Mapa")</f>
        <v>🔗 Ver Mapa</v>
      </c>
    </row>
    <row r="1949" spans="1:12" ht="43.5" x14ac:dyDescent="0.35">
      <c r="A1949" s="5" t="s">
        <v>288</v>
      </c>
      <c r="B1949" s="5" t="s">
        <v>289</v>
      </c>
      <c r="C1949" s="5" t="s">
        <v>470</v>
      </c>
      <c r="D1949" s="5" t="s">
        <v>414</v>
      </c>
      <c r="E1949" s="5" t="s">
        <v>17</v>
      </c>
      <c r="F1949" s="5" t="s">
        <v>20</v>
      </c>
      <c r="G1949" s="5" t="s">
        <v>208</v>
      </c>
      <c r="H1949" s="5" t="s">
        <v>468</v>
      </c>
      <c r="I1949" s="5" t="s">
        <v>469</v>
      </c>
      <c r="J1949" s="5">
        <v>15.778011398771</v>
      </c>
      <c r="K1949" s="5">
        <v>-96.137497244689996</v>
      </c>
      <c r="L1949" s="5" t="str">
        <f>HYPERLINK("https://maps.google.com/?q=15.778011398771005,-96.137497244690152", "🔗 Ver Mapa")</f>
        <v>🔗 Ver Mapa</v>
      </c>
    </row>
    <row r="1950" spans="1:12" ht="43.5" x14ac:dyDescent="0.35">
      <c r="A1950" s="6" t="s">
        <v>288</v>
      </c>
      <c r="B1950" s="6" t="s">
        <v>289</v>
      </c>
      <c r="C1950" s="6" t="s">
        <v>470</v>
      </c>
      <c r="D1950" s="6" t="s">
        <v>414</v>
      </c>
      <c r="E1950" s="6" t="s">
        <v>17</v>
      </c>
      <c r="F1950" s="6" t="s">
        <v>20</v>
      </c>
      <c r="G1950" s="6" t="s">
        <v>208</v>
      </c>
      <c r="H1950" s="6" t="s">
        <v>468</v>
      </c>
      <c r="I1950" s="6" t="s">
        <v>469</v>
      </c>
      <c r="J1950" s="6">
        <v>15.77801201258</v>
      </c>
      <c r="K1950" s="6">
        <v>-96.137543867567999</v>
      </c>
      <c r="L1950" s="6" t="str">
        <f>HYPERLINK("https://maps.google.com/?q=15.778012012579548,-96.137543867568411", "🔗 Ver Mapa")</f>
        <v>🔗 Ver Mapa</v>
      </c>
    </row>
    <row r="1951" spans="1:12" ht="43.5" x14ac:dyDescent="0.35">
      <c r="A1951" s="5" t="s">
        <v>288</v>
      </c>
      <c r="B1951" s="5" t="s">
        <v>289</v>
      </c>
      <c r="C1951" s="5" t="s">
        <v>470</v>
      </c>
      <c r="D1951" s="5" t="s">
        <v>414</v>
      </c>
      <c r="E1951" s="5" t="s">
        <v>17</v>
      </c>
      <c r="F1951" s="5" t="s">
        <v>20</v>
      </c>
      <c r="G1951" s="5" t="s">
        <v>208</v>
      </c>
      <c r="H1951" s="5" t="s">
        <v>468</v>
      </c>
      <c r="I1951" s="5" t="s">
        <v>469</v>
      </c>
      <c r="J1951" s="5">
        <v>15.778338907065001</v>
      </c>
      <c r="K1951" s="5">
        <v>-96.137679172419993</v>
      </c>
      <c r="L1951" s="5" t="str">
        <f>HYPERLINK("https://maps.google.com/?q=15.778338907065399,-96.13767917241988", "🔗 Ver Mapa")</f>
        <v>🔗 Ver Mapa</v>
      </c>
    </row>
    <row r="1952" spans="1:12" ht="43.5" x14ac:dyDescent="0.35">
      <c r="A1952" s="6" t="s">
        <v>288</v>
      </c>
      <c r="B1952" s="6" t="s">
        <v>289</v>
      </c>
      <c r="C1952" s="6" t="s">
        <v>470</v>
      </c>
      <c r="D1952" s="6" t="s">
        <v>414</v>
      </c>
      <c r="E1952" s="6" t="s">
        <v>17</v>
      </c>
      <c r="F1952" s="6" t="s">
        <v>20</v>
      </c>
      <c r="G1952" s="6" t="s">
        <v>208</v>
      </c>
      <c r="H1952" s="6" t="s">
        <v>468</v>
      </c>
      <c r="I1952" s="6" t="s">
        <v>469</v>
      </c>
      <c r="J1952" s="6">
        <v>15.778474836893</v>
      </c>
      <c r="K1952" s="6">
        <v>-96.1377145692</v>
      </c>
      <c r="L1952" s="6" t="str">
        <f>HYPERLINK("https://maps.google.com/?q=15.778474836892956,-96.137714569200028", "🔗 Ver Mapa")</f>
        <v>🔗 Ver Mapa</v>
      </c>
    </row>
    <row r="1953" spans="1:12" ht="43.5" x14ac:dyDescent="0.35">
      <c r="A1953" s="5" t="s">
        <v>288</v>
      </c>
      <c r="B1953" s="5" t="s">
        <v>289</v>
      </c>
      <c r="C1953" s="5" t="s">
        <v>470</v>
      </c>
      <c r="D1953" s="5" t="s">
        <v>414</v>
      </c>
      <c r="E1953" s="5" t="s">
        <v>17</v>
      </c>
      <c r="F1953" s="5" t="s">
        <v>20</v>
      </c>
      <c r="G1953" s="5" t="s">
        <v>208</v>
      </c>
      <c r="H1953" s="5" t="s">
        <v>468</v>
      </c>
      <c r="I1953" s="5" t="s">
        <v>469</v>
      </c>
      <c r="J1953" s="5">
        <v>15.778492036091</v>
      </c>
      <c r="K1953" s="5">
        <v>-96.137649043460996</v>
      </c>
      <c r="L1953" s="5" t="str">
        <f>HYPERLINK("https://maps.google.com/?q=15.778492036090526,-96.137649043460968", "🔗 Ver Mapa")</f>
        <v>🔗 Ver Mapa</v>
      </c>
    </row>
    <row r="1954" spans="1:12" ht="43.5" x14ac:dyDescent="0.35">
      <c r="A1954" s="6" t="s">
        <v>288</v>
      </c>
      <c r="B1954" s="6" t="s">
        <v>289</v>
      </c>
      <c r="C1954" s="6" t="s">
        <v>470</v>
      </c>
      <c r="D1954" s="6" t="s">
        <v>414</v>
      </c>
      <c r="E1954" s="6" t="s">
        <v>17</v>
      </c>
      <c r="F1954" s="6" t="s">
        <v>20</v>
      </c>
      <c r="G1954" s="6" t="s">
        <v>208</v>
      </c>
      <c r="H1954" s="6" t="s">
        <v>468</v>
      </c>
      <c r="I1954" s="6" t="s">
        <v>469</v>
      </c>
      <c r="J1954" s="6">
        <v>15.77858367896</v>
      </c>
      <c r="K1954" s="6">
        <v>-96.137750346329994</v>
      </c>
      <c r="L1954" s="6" t="str">
        <f>HYPERLINK("https://maps.google.com/?q=15.778583678960496,-96.137750346330279", "🔗 Ver Mapa")</f>
        <v>🔗 Ver Mapa</v>
      </c>
    </row>
    <row r="1955" spans="1:12" ht="43.5" x14ac:dyDescent="0.35">
      <c r="A1955" s="5" t="s">
        <v>288</v>
      </c>
      <c r="B1955" s="5" t="s">
        <v>289</v>
      </c>
      <c r="C1955" s="5" t="s">
        <v>470</v>
      </c>
      <c r="D1955" s="5" t="s">
        <v>414</v>
      </c>
      <c r="E1955" s="5" t="s">
        <v>17</v>
      </c>
      <c r="F1955" s="5" t="s">
        <v>20</v>
      </c>
      <c r="G1955" s="5" t="s">
        <v>208</v>
      </c>
      <c r="H1955" s="5" t="s">
        <v>468</v>
      </c>
      <c r="I1955" s="5" t="s">
        <v>469</v>
      </c>
      <c r="J1955" s="5">
        <v>15.778600755404</v>
      </c>
      <c r="K1955" s="5">
        <v>-96.137675495951996</v>
      </c>
      <c r="L1955" s="5" t="str">
        <f>HYPERLINK("https://maps.google.com/?q=15.778600755404083,-96.137675495951797", "🔗 Ver Mapa")</f>
        <v>🔗 Ver Mapa</v>
      </c>
    </row>
    <row r="1956" spans="1:12" ht="43.5" x14ac:dyDescent="0.35">
      <c r="A1956" s="6" t="s">
        <v>288</v>
      </c>
      <c r="B1956" s="6" t="s">
        <v>289</v>
      </c>
      <c r="C1956" s="6" t="s">
        <v>470</v>
      </c>
      <c r="D1956" s="6" t="s">
        <v>414</v>
      </c>
      <c r="E1956" s="6" t="s">
        <v>17</v>
      </c>
      <c r="F1956" s="6" t="s">
        <v>20</v>
      </c>
      <c r="G1956" s="6" t="s">
        <v>208</v>
      </c>
      <c r="H1956" s="6" t="s">
        <v>468</v>
      </c>
      <c r="I1956" s="6" t="s">
        <v>469</v>
      </c>
      <c r="J1956" s="6">
        <v>15.778855661372001</v>
      </c>
      <c r="K1956" s="6">
        <v>-96.137830464665996</v>
      </c>
      <c r="L1956" s="6" t="str">
        <f>HYPERLINK("https://maps.google.com/?q=15.77885566137247,-96.137830464666138", "🔗 Ver Mapa")</f>
        <v>🔗 Ver Mapa</v>
      </c>
    </row>
    <row r="1957" spans="1:12" ht="43.5" x14ac:dyDescent="0.35">
      <c r="A1957" s="5" t="s">
        <v>288</v>
      </c>
      <c r="B1957" s="5" t="s">
        <v>289</v>
      </c>
      <c r="C1957" s="5" t="s">
        <v>470</v>
      </c>
      <c r="D1957" s="5" t="s">
        <v>414</v>
      </c>
      <c r="E1957" s="5" t="s">
        <v>17</v>
      </c>
      <c r="F1957" s="5" t="s">
        <v>20</v>
      </c>
      <c r="G1957" s="5" t="s">
        <v>208</v>
      </c>
      <c r="H1957" s="5" t="s">
        <v>468</v>
      </c>
      <c r="I1957" s="5" t="s">
        <v>469</v>
      </c>
      <c r="J1957" s="5">
        <v>15.778863708575001</v>
      </c>
      <c r="K1957" s="5">
        <v>-96.137755740960003</v>
      </c>
      <c r="L1957" s="5" t="str">
        <f>HYPERLINK("https://maps.google.com/?q=15.778863708574523,-96.137755740960131", "🔗 Ver Mapa")</f>
        <v>🔗 Ver Mapa</v>
      </c>
    </row>
    <row r="1958" spans="1:12" ht="43.5" x14ac:dyDescent="0.35">
      <c r="A1958" s="6" t="s">
        <v>288</v>
      </c>
      <c r="B1958" s="6" t="s">
        <v>289</v>
      </c>
      <c r="C1958" s="6" t="s">
        <v>470</v>
      </c>
      <c r="D1958" s="6" t="s">
        <v>414</v>
      </c>
      <c r="E1958" s="6" t="s">
        <v>17</v>
      </c>
      <c r="F1958" s="6" t="s">
        <v>20</v>
      </c>
      <c r="G1958" s="6" t="s">
        <v>208</v>
      </c>
      <c r="H1958" s="6" t="s">
        <v>468</v>
      </c>
      <c r="I1958" s="6" t="s">
        <v>469</v>
      </c>
      <c r="J1958" s="6">
        <v>15.778964380685</v>
      </c>
      <c r="K1958" s="6">
        <v>-96.137856917270994</v>
      </c>
      <c r="L1958" s="6" t="str">
        <f>HYPERLINK("https://maps.google.com/?q=15.77896438068461,-96.137856917270753", "🔗 Ver Mapa")</f>
        <v>🔗 Ver Mapa</v>
      </c>
    </row>
    <row r="1959" spans="1:12" ht="43.5" x14ac:dyDescent="0.35">
      <c r="A1959" s="5" t="s">
        <v>288</v>
      </c>
      <c r="B1959" s="5" t="s">
        <v>289</v>
      </c>
      <c r="C1959" s="5" t="s">
        <v>470</v>
      </c>
      <c r="D1959" s="5" t="s">
        <v>414</v>
      </c>
      <c r="E1959" s="5" t="s">
        <v>17</v>
      </c>
      <c r="F1959" s="5" t="s">
        <v>20</v>
      </c>
      <c r="G1959" s="5" t="s">
        <v>208</v>
      </c>
      <c r="H1959" s="5" t="s">
        <v>468</v>
      </c>
      <c r="I1959" s="5" t="s">
        <v>469</v>
      </c>
      <c r="J1959" s="5">
        <v>15.7789815799</v>
      </c>
      <c r="K1959" s="5">
        <v>-96.137791391370996</v>
      </c>
      <c r="L1959" s="5" t="str">
        <f>HYPERLINK("https://maps.google.com/?q=15.778981579900377,-96.137791391371252", "🔗 Ver Mapa")</f>
        <v>🔗 Ver Mapa</v>
      </c>
    </row>
    <row r="1960" spans="1:12" ht="43.5" x14ac:dyDescent="0.35">
      <c r="A1960" s="6" t="s">
        <v>288</v>
      </c>
      <c r="B1960" s="6" t="s">
        <v>289</v>
      </c>
      <c r="C1960" s="6" t="s">
        <v>470</v>
      </c>
      <c r="D1960" s="6" t="s">
        <v>414</v>
      </c>
      <c r="E1960" s="6" t="s">
        <v>17</v>
      </c>
      <c r="F1960" s="6" t="s">
        <v>20</v>
      </c>
      <c r="G1960" s="6" t="s">
        <v>208</v>
      </c>
      <c r="H1960" s="6" t="s">
        <v>468</v>
      </c>
      <c r="I1960" s="6" t="s">
        <v>469</v>
      </c>
      <c r="J1960" s="6">
        <v>15.779013700389999</v>
      </c>
      <c r="K1960" s="6">
        <v>-96.138173320678007</v>
      </c>
      <c r="L1960" s="6" t="str">
        <f>HYPERLINK("https://maps.google.com/?q=15.779013700390266,-96.138173320678121", "🔗 Ver Mapa")</f>
        <v>🔗 Ver Mapa</v>
      </c>
    </row>
    <row r="1961" spans="1:12" ht="43.5" x14ac:dyDescent="0.35">
      <c r="A1961" s="5" t="s">
        <v>288</v>
      </c>
      <c r="B1961" s="5" t="s">
        <v>289</v>
      </c>
      <c r="C1961" s="5" t="s">
        <v>470</v>
      </c>
      <c r="D1961" s="5" t="s">
        <v>414</v>
      </c>
      <c r="E1961" s="5" t="s">
        <v>17</v>
      </c>
      <c r="F1961" s="5" t="s">
        <v>20</v>
      </c>
      <c r="G1961" s="5" t="s">
        <v>208</v>
      </c>
      <c r="H1961" s="5" t="s">
        <v>468</v>
      </c>
      <c r="I1961" s="5" t="s">
        <v>469</v>
      </c>
      <c r="J1961" s="5">
        <v>15.779100433268001</v>
      </c>
      <c r="K1961" s="5">
        <v>-96.137901638838002</v>
      </c>
      <c r="L1961" s="5" t="str">
        <f>HYPERLINK("https://maps.google.com/?q=15.779100433267832,-96.13790163883823", "🔗 Ver Mapa")</f>
        <v>🔗 Ver Mapa</v>
      </c>
    </row>
    <row r="1962" spans="1:12" ht="43.5" x14ac:dyDescent="0.35">
      <c r="A1962" s="6" t="s">
        <v>288</v>
      </c>
      <c r="B1962" s="6" t="s">
        <v>289</v>
      </c>
      <c r="C1962" s="6" t="s">
        <v>470</v>
      </c>
      <c r="D1962" s="6" t="s">
        <v>414</v>
      </c>
      <c r="E1962" s="6" t="s">
        <v>17</v>
      </c>
      <c r="F1962" s="6" t="s">
        <v>20</v>
      </c>
      <c r="G1962" s="6" t="s">
        <v>208</v>
      </c>
      <c r="H1962" s="6" t="s">
        <v>468</v>
      </c>
      <c r="I1962" s="6" t="s">
        <v>469</v>
      </c>
      <c r="J1962" s="6">
        <v>15.779777681143999</v>
      </c>
      <c r="K1962" s="6">
        <v>-96.138582282610997</v>
      </c>
      <c r="L1962" s="6" t="str">
        <f>HYPERLINK("https://maps.google.com/?q=15.779777681144346,-96.138582282611196", "🔗 Ver Mapa")</f>
        <v>🔗 Ver Mapa</v>
      </c>
    </row>
    <row r="1963" spans="1:12" ht="43.5" x14ac:dyDescent="0.35">
      <c r="A1963" s="5" t="s">
        <v>288</v>
      </c>
      <c r="B1963" s="5" t="s">
        <v>289</v>
      </c>
      <c r="C1963" s="5" t="s">
        <v>470</v>
      </c>
      <c r="D1963" s="5" t="s">
        <v>414</v>
      </c>
      <c r="E1963" s="5" t="s">
        <v>17</v>
      </c>
      <c r="F1963" s="5" t="s">
        <v>20</v>
      </c>
      <c r="G1963" s="5" t="s">
        <v>208</v>
      </c>
      <c r="H1963" s="5" t="s">
        <v>468</v>
      </c>
      <c r="I1963" s="5" t="s">
        <v>469</v>
      </c>
      <c r="J1963" s="5">
        <v>15.779820618236</v>
      </c>
      <c r="K1963" s="5">
        <v>-96.138413804886994</v>
      </c>
      <c r="L1963" s="5" t="str">
        <f>HYPERLINK("https://maps.google.com/?q=15.779820618236311,-96.138413804886682", "🔗 Ver Mapa")</f>
        <v>🔗 Ver Mapa</v>
      </c>
    </row>
    <row r="1964" spans="1:12" ht="43.5" x14ac:dyDescent="0.35">
      <c r="A1964" s="6" t="s">
        <v>288</v>
      </c>
      <c r="B1964" s="6" t="s">
        <v>289</v>
      </c>
      <c r="C1964" s="6" t="s">
        <v>470</v>
      </c>
      <c r="D1964" s="6" t="s">
        <v>414</v>
      </c>
      <c r="E1964" s="6" t="s">
        <v>17</v>
      </c>
      <c r="F1964" s="6" t="s">
        <v>20</v>
      </c>
      <c r="G1964" s="6" t="s">
        <v>208</v>
      </c>
      <c r="H1964" s="6" t="s">
        <v>468</v>
      </c>
      <c r="I1964" s="6" t="s">
        <v>469</v>
      </c>
      <c r="J1964" s="6">
        <v>15.780003832493</v>
      </c>
      <c r="K1964" s="6">
        <v>-96.139297240901996</v>
      </c>
      <c r="L1964" s="6" t="str">
        <f>HYPERLINK("https://maps.google.com/?q=15.780003832493458,-96.139297240901627", "🔗 Ver Mapa")</f>
        <v>🔗 Ver Mapa</v>
      </c>
    </row>
    <row r="1965" spans="1:12" ht="43.5" x14ac:dyDescent="0.35">
      <c r="A1965" s="5" t="s">
        <v>288</v>
      </c>
      <c r="B1965" s="5" t="s">
        <v>289</v>
      </c>
      <c r="C1965" s="5" t="s">
        <v>470</v>
      </c>
      <c r="D1965" s="5" t="s">
        <v>414</v>
      </c>
      <c r="E1965" s="5" t="s">
        <v>17</v>
      </c>
      <c r="F1965" s="5" t="s">
        <v>20</v>
      </c>
      <c r="G1965" s="5" t="s">
        <v>208</v>
      </c>
      <c r="H1965" s="5" t="s">
        <v>468</v>
      </c>
      <c r="I1965" s="5" t="s">
        <v>469</v>
      </c>
      <c r="J1965" s="5">
        <v>15.780167534772</v>
      </c>
      <c r="K1965" s="5">
        <v>-96.138698053349998</v>
      </c>
      <c r="L1965" s="5" t="str">
        <f>HYPERLINK("https://maps.google.com/?q=15.780167534771891,-96.138698053350339", "🔗 Ver Mapa")</f>
        <v>🔗 Ver Mapa</v>
      </c>
    </row>
    <row r="1966" spans="1:12" ht="43.5" x14ac:dyDescent="0.35">
      <c r="A1966" s="6" t="s">
        <v>288</v>
      </c>
      <c r="B1966" s="6" t="s">
        <v>289</v>
      </c>
      <c r="C1966" s="6" t="s">
        <v>470</v>
      </c>
      <c r="D1966" s="6" t="s">
        <v>414</v>
      </c>
      <c r="E1966" s="6" t="s">
        <v>17</v>
      </c>
      <c r="F1966" s="6" t="s">
        <v>20</v>
      </c>
      <c r="G1966" s="6" t="s">
        <v>208</v>
      </c>
      <c r="H1966" s="6" t="s">
        <v>468</v>
      </c>
      <c r="I1966" s="6" t="s">
        <v>469</v>
      </c>
      <c r="J1966" s="6">
        <v>15.780711673426</v>
      </c>
      <c r="K1966" s="6">
        <v>-96.139557773524004</v>
      </c>
      <c r="L1966" s="6" t="str">
        <f>HYPERLINK("https://maps.google.com/?q=15.7807116734263,-96.139557773523606", "🔗 Ver Mapa")</f>
        <v>🔗 Ver Mapa</v>
      </c>
    </row>
    <row r="1967" spans="1:12" ht="43.5" x14ac:dyDescent="0.35">
      <c r="A1967" s="5" t="s">
        <v>288</v>
      </c>
      <c r="B1967" s="5" t="s">
        <v>289</v>
      </c>
      <c r="C1967" s="5" t="s">
        <v>470</v>
      </c>
      <c r="D1967" s="5" t="s">
        <v>414</v>
      </c>
      <c r="E1967" s="5" t="s">
        <v>17</v>
      </c>
      <c r="F1967" s="5" t="s">
        <v>20</v>
      </c>
      <c r="G1967" s="5" t="s">
        <v>208</v>
      </c>
      <c r="H1967" s="5" t="s">
        <v>468</v>
      </c>
      <c r="I1967" s="5" t="s">
        <v>469</v>
      </c>
      <c r="J1967" s="5">
        <v>15.780816343568</v>
      </c>
      <c r="K1967" s="5">
        <v>-96.139276511408994</v>
      </c>
      <c r="L1967" s="5" t="str">
        <f>HYPERLINK("https://maps.google.com/?q=15.780816343567707,-96.139276511408994", "🔗 Ver Mapa")</f>
        <v>🔗 Ver Mapa</v>
      </c>
    </row>
    <row r="1968" spans="1:12" ht="43.5" x14ac:dyDescent="0.35">
      <c r="A1968" s="6" t="s">
        <v>288</v>
      </c>
      <c r="B1968" s="6" t="s">
        <v>289</v>
      </c>
      <c r="C1968" s="6" t="s">
        <v>470</v>
      </c>
      <c r="D1968" s="6" t="s">
        <v>414</v>
      </c>
      <c r="E1968" s="6" t="s">
        <v>17</v>
      </c>
      <c r="F1968" s="6" t="s">
        <v>20</v>
      </c>
      <c r="G1968" s="6" t="s">
        <v>208</v>
      </c>
      <c r="H1968" s="6" t="s">
        <v>468</v>
      </c>
      <c r="I1968" s="6" t="s">
        <v>469</v>
      </c>
      <c r="J1968" s="6">
        <v>15.781333833858</v>
      </c>
      <c r="K1968" s="6">
        <v>-96.139483757099001</v>
      </c>
      <c r="L1968" s="6" t="str">
        <f>HYPERLINK("https://maps.google.com/?q=15.78133383385781,-96.139483757098787", "🔗 Ver Mapa")</f>
        <v>🔗 Ver Mapa</v>
      </c>
    </row>
    <row r="1969" spans="1:12" ht="43.5" x14ac:dyDescent="0.35">
      <c r="A1969" s="5" t="s">
        <v>288</v>
      </c>
      <c r="B1969" s="5" t="s">
        <v>289</v>
      </c>
      <c r="C1969" s="5" t="s">
        <v>470</v>
      </c>
      <c r="D1969" s="5" t="s">
        <v>414</v>
      </c>
      <c r="E1969" s="5" t="s">
        <v>17</v>
      </c>
      <c r="F1969" s="5" t="s">
        <v>20</v>
      </c>
      <c r="G1969" s="5" t="s">
        <v>208</v>
      </c>
      <c r="H1969" s="5" t="s">
        <v>468</v>
      </c>
      <c r="I1969" s="5" t="s">
        <v>469</v>
      </c>
      <c r="J1969" s="5">
        <v>15.781661728995999</v>
      </c>
      <c r="K1969" s="5">
        <v>-96.134209704116003</v>
      </c>
      <c r="L1969" s="5" t="str">
        <f>HYPERLINK("https://maps.google.com/?q=15.78166172899591,-96.134209704116415", "🔗 Ver Mapa")</f>
        <v>🔗 Ver Mapa</v>
      </c>
    </row>
    <row r="1970" spans="1:12" ht="43.5" x14ac:dyDescent="0.35">
      <c r="A1970" s="6" t="s">
        <v>288</v>
      </c>
      <c r="B1970" s="6" t="s">
        <v>289</v>
      </c>
      <c r="C1970" s="6" t="s">
        <v>470</v>
      </c>
      <c r="D1970" s="6" t="s">
        <v>414</v>
      </c>
      <c r="E1970" s="6" t="s">
        <v>17</v>
      </c>
      <c r="F1970" s="6" t="s">
        <v>20</v>
      </c>
      <c r="G1970" s="6" t="s">
        <v>208</v>
      </c>
      <c r="H1970" s="6" t="s">
        <v>468</v>
      </c>
      <c r="I1970" s="6" t="s">
        <v>469</v>
      </c>
      <c r="J1970" s="6">
        <v>15.783732562407</v>
      </c>
      <c r="K1970" s="6">
        <v>-96.137845919803993</v>
      </c>
      <c r="L1970" s="6" t="str">
        <f>HYPERLINK("https://maps.google.com/?q=15.783732562406893,-96.13784591980415", "🔗 Ver Mapa")</f>
        <v>🔗 Ver Mapa</v>
      </c>
    </row>
    <row r="1971" spans="1:12" ht="43.5" x14ac:dyDescent="0.35">
      <c r="A1971" s="5" t="s">
        <v>288</v>
      </c>
      <c r="B1971" s="5" t="s">
        <v>289</v>
      </c>
      <c r="C1971" s="5" t="s">
        <v>470</v>
      </c>
      <c r="D1971" s="5" t="s">
        <v>414</v>
      </c>
      <c r="E1971" s="5" t="s">
        <v>17</v>
      </c>
      <c r="F1971" s="5" t="s">
        <v>20</v>
      </c>
      <c r="G1971" s="5" t="s">
        <v>208</v>
      </c>
      <c r="H1971" s="5" t="s">
        <v>468</v>
      </c>
      <c r="I1971" s="5" t="s">
        <v>469</v>
      </c>
      <c r="J1971" s="5">
        <v>15.784613316409001</v>
      </c>
      <c r="K1971" s="5">
        <v>-96.136835603283004</v>
      </c>
      <c r="L1971" s="5" t="str">
        <f>HYPERLINK("https://maps.google.com/?q=15.784613316409274,-96.136835603283473", "🔗 Ver Mapa")</f>
        <v>🔗 Ver Mapa</v>
      </c>
    </row>
    <row r="1972" spans="1:12" ht="43.5" x14ac:dyDescent="0.35">
      <c r="A1972" s="6" t="s">
        <v>288</v>
      </c>
      <c r="B1972" s="6" t="s">
        <v>289</v>
      </c>
      <c r="C1972" s="6" t="s">
        <v>470</v>
      </c>
      <c r="D1972" s="6" t="s">
        <v>414</v>
      </c>
      <c r="E1972" s="6" t="s">
        <v>17</v>
      </c>
      <c r="F1972" s="6" t="s">
        <v>20</v>
      </c>
      <c r="G1972" s="6" t="s">
        <v>208</v>
      </c>
      <c r="H1972" s="6" t="s">
        <v>468</v>
      </c>
      <c r="I1972" s="6" t="s">
        <v>469</v>
      </c>
      <c r="J1972" s="6">
        <v>15.784713248958001</v>
      </c>
      <c r="K1972" s="6">
        <v>-96.135509822314006</v>
      </c>
      <c r="L1972" s="6" t="str">
        <f>HYPERLINK("https://maps.google.com/?q=15.784713248958457,-96.135509822313992", "🔗 Ver Mapa")</f>
        <v>🔗 Ver Mapa</v>
      </c>
    </row>
    <row r="1973" spans="1:12" ht="43.5" x14ac:dyDescent="0.35">
      <c r="A1973" s="5" t="s">
        <v>288</v>
      </c>
      <c r="B1973" s="5" t="s">
        <v>289</v>
      </c>
      <c r="C1973" s="5" t="s">
        <v>470</v>
      </c>
      <c r="D1973" s="5" t="s">
        <v>414</v>
      </c>
      <c r="E1973" s="5" t="s">
        <v>17</v>
      </c>
      <c r="F1973" s="5" t="s">
        <v>20</v>
      </c>
      <c r="G1973" s="5" t="s">
        <v>208</v>
      </c>
      <c r="H1973" s="5" t="s">
        <v>468</v>
      </c>
      <c r="I1973" s="5" t="s">
        <v>469</v>
      </c>
      <c r="J1973" s="5">
        <v>15.784899978079</v>
      </c>
      <c r="K1973" s="5">
        <v>-96.135973527618006</v>
      </c>
      <c r="L1973" s="5" t="str">
        <f>HYPERLINK("https://maps.google.com/?q=15.784899978078608,-96.13597352761829", "🔗 Ver Mapa")</f>
        <v>🔗 Ver Mapa</v>
      </c>
    </row>
    <row r="1974" spans="1:12" ht="43.5" x14ac:dyDescent="0.35">
      <c r="A1974" s="6" t="s">
        <v>288</v>
      </c>
      <c r="B1974" s="6" t="s">
        <v>289</v>
      </c>
      <c r="C1974" s="6" t="s">
        <v>471</v>
      </c>
      <c r="D1974" s="6" t="s">
        <v>414</v>
      </c>
      <c r="E1974" s="6" t="s">
        <v>17</v>
      </c>
      <c r="F1974" s="6" t="s">
        <v>20</v>
      </c>
      <c r="G1974" s="6" t="s">
        <v>208</v>
      </c>
      <c r="H1974" s="6" t="s">
        <v>468</v>
      </c>
      <c r="I1974" s="6" t="s">
        <v>469</v>
      </c>
      <c r="J1974" s="6">
        <v>15.773401</v>
      </c>
      <c r="K1974" s="6">
        <v>-96.144667999999996</v>
      </c>
      <c r="L1974" s="6" t="str">
        <f>HYPERLINK("https://maps.google.com/?q=15.773401,-96.144668", "🔗 Ver Mapa")</f>
        <v>🔗 Ver Mapa</v>
      </c>
    </row>
    <row r="1975" spans="1:12" ht="43.5" x14ac:dyDescent="0.35">
      <c r="A1975" s="5" t="s">
        <v>288</v>
      </c>
      <c r="B1975" s="5" t="s">
        <v>289</v>
      </c>
      <c r="C1975" s="5" t="s">
        <v>471</v>
      </c>
      <c r="D1975" s="5" t="s">
        <v>414</v>
      </c>
      <c r="E1975" s="5" t="s">
        <v>17</v>
      </c>
      <c r="F1975" s="5" t="s">
        <v>20</v>
      </c>
      <c r="G1975" s="5" t="s">
        <v>208</v>
      </c>
      <c r="H1975" s="5" t="s">
        <v>468</v>
      </c>
      <c r="I1975" s="5" t="s">
        <v>469</v>
      </c>
      <c r="J1975" s="5">
        <v>15.773417</v>
      </c>
      <c r="K1975" s="5">
        <v>-96.144547000000003</v>
      </c>
      <c r="L1975" s="5" t="str">
        <f>HYPERLINK("https://maps.google.com/?q=15.773417,-96.144547", "🔗 Ver Mapa")</f>
        <v>🔗 Ver Mapa</v>
      </c>
    </row>
    <row r="1976" spans="1:12" ht="43.5" x14ac:dyDescent="0.35">
      <c r="A1976" s="6" t="s">
        <v>288</v>
      </c>
      <c r="B1976" s="6" t="s">
        <v>289</v>
      </c>
      <c r="C1976" s="6" t="s">
        <v>471</v>
      </c>
      <c r="D1976" s="6" t="s">
        <v>414</v>
      </c>
      <c r="E1976" s="6" t="s">
        <v>17</v>
      </c>
      <c r="F1976" s="6" t="s">
        <v>20</v>
      </c>
      <c r="G1976" s="6" t="s">
        <v>208</v>
      </c>
      <c r="H1976" s="6" t="s">
        <v>468</v>
      </c>
      <c r="I1976" s="6" t="s">
        <v>469</v>
      </c>
      <c r="J1976" s="6">
        <v>15.773631</v>
      </c>
      <c r="K1976" s="6">
        <v>-96.144311000000002</v>
      </c>
      <c r="L1976" s="6" t="str">
        <f>HYPERLINK("https://maps.google.com/?q=15.773631,-96.144311", "🔗 Ver Mapa")</f>
        <v>🔗 Ver Mapa</v>
      </c>
    </row>
    <row r="1977" spans="1:12" ht="43.5" x14ac:dyDescent="0.35">
      <c r="A1977" s="5" t="s">
        <v>288</v>
      </c>
      <c r="B1977" s="5" t="s">
        <v>289</v>
      </c>
      <c r="C1977" s="5" t="s">
        <v>471</v>
      </c>
      <c r="D1977" s="5" t="s">
        <v>414</v>
      </c>
      <c r="E1977" s="5" t="s">
        <v>17</v>
      </c>
      <c r="F1977" s="5" t="s">
        <v>20</v>
      </c>
      <c r="G1977" s="5" t="s">
        <v>208</v>
      </c>
      <c r="H1977" s="5" t="s">
        <v>468</v>
      </c>
      <c r="I1977" s="5" t="s">
        <v>469</v>
      </c>
      <c r="J1977" s="5">
        <v>15.773809999999999</v>
      </c>
      <c r="K1977" s="5">
        <v>-96.144195999999994</v>
      </c>
      <c r="L1977" s="5" t="str">
        <f>HYPERLINK("https://maps.google.com/?q=15.77381,-96.144196", "🔗 Ver Mapa")</f>
        <v>🔗 Ver Mapa</v>
      </c>
    </row>
    <row r="1978" spans="1:12" ht="43.5" x14ac:dyDescent="0.35">
      <c r="A1978" s="6" t="s">
        <v>288</v>
      </c>
      <c r="B1978" s="6" t="s">
        <v>289</v>
      </c>
      <c r="C1978" s="6" t="s">
        <v>471</v>
      </c>
      <c r="D1978" s="6" t="s">
        <v>414</v>
      </c>
      <c r="E1978" s="6" t="s">
        <v>17</v>
      </c>
      <c r="F1978" s="6" t="s">
        <v>20</v>
      </c>
      <c r="G1978" s="6" t="s">
        <v>208</v>
      </c>
      <c r="H1978" s="6" t="s">
        <v>468</v>
      </c>
      <c r="I1978" s="6" t="s">
        <v>469</v>
      </c>
      <c r="J1978" s="6">
        <v>15.773860000000001</v>
      </c>
      <c r="K1978" s="6">
        <v>-96.145306000000005</v>
      </c>
      <c r="L1978" s="6" t="str">
        <f>HYPERLINK("https://maps.google.com/?q=15.77386,-96.145306", "🔗 Ver Mapa")</f>
        <v>🔗 Ver Mapa</v>
      </c>
    </row>
    <row r="1979" spans="1:12" ht="43.5" x14ac:dyDescent="0.35">
      <c r="A1979" s="5" t="s">
        <v>288</v>
      </c>
      <c r="B1979" s="5" t="s">
        <v>289</v>
      </c>
      <c r="C1979" s="5" t="s">
        <v>471</v>
      </c>
      <c r="D1979" s="5" t="s">
        <v>414</v>
      </c>
      <c r="E1979" s="5" t="s">
        <v>17</v>
      </c>
      <c r="F1979" s="5" t="s">
        <v>20</v>
      </c>
      <c r="G1979" s="5" t="s">
        <v>208</v>
      </c>
      <c r="H1979" s="5" t="s">
        <v>468</v>
      </c>
      <c r="I1979" s="5" t="s">
        <v>469</v>
      </c>
      <c r="J1979" s="5">
        <v>15.774462</v>
      </c>
      <c r="K1979" s="5">
        <v>-96.145036000000005</v>
      </c>
      <c r="L1979" s="5" t="str">
        <f>HYPERLINK("https://maps.google.com/?q=15.774462,-96.145036", "🔗 Ver Mapa")</f>
        <v>🔗 Ver Mapa</v>
      </c>
    </row>
    <row r="1980" spans="1:12" ht="43.5" x14ac:dyDescent="0.35">
      <c r="A1980" s="6" t="s">
        <v>288</v>
      </c>
      <c r="B1980" s="6" t="s">
        <v>289</v>
      </c>
      <c r="C1980" s="6" t="s">
        <v>471</v>
      </c>
      <c r="D1980" s="6" t="s">
        <v>414</v>
      </c>
      <c r="E1980" s="6" t="s">
        <v>17</v>
      </c>
      <c r="F1980" s="6" t="s">
        <v>20</v>
      </c>
      <c r="G1980" s="6" t="s">
        <v>208</v>
      </c>
      <c r="H1980" s="6" t="s">
        <v>468</v>
      </c>
      <c r="I1980" s="6" t="s">
        <v>469</v>
      </c>
      <c r="J1980" s="6">
        <v>15.774686000000001</v>
      </c>
      <c r="K1980" s="6">
        <v>-96.146300999999994</v>
      </c>
      <c r="L1980" s="6" t="str">
        <f>HYPERLINK("https://maps.google.com/?q=15.774686,-96.146301", "🔗 Ver Mapa")</f>
        <v>🔗 Ver Mapa</v>
      </c>
    </row>
    <row r="1981" spans="1:12" ht="43.5" x14ac:dyDescent="0.35">
      <c r="A1981" s="5" t="s">
        <v>288</v>
      </c>
      <c r="B1981" s="5" t="s">
        <v>289</v>
      </c>
      <c r="C1981" s="5" t="s">
        <v>471</v>
      </c>
      <c r="D1981" s="5" t="s">
        <v>414</v>
      </c>
      <c r="E1981" s="5" t="s">
        <v>17</v>
      </c>
      <c r="F1981" s="5" t="s">
        <v>20</v>
      </c>
      <c r="G1981" s="5" t="s">
        <v>208</v>
      </c>
      <c r="H1981" s="5" t="s">
        <v>468</v>
      </c>
      <c r="I1981" s="5" t="s">
        <v>469</v>
      </c>
      <c r="J1981" s="5">
        <v>15.774699</v>
      </c>
      <c r="K1981" s="5">
        <v>-96.144537999999997</v>
      </c>
      <c r="L1981" s="5" t="str">
        <f>HYPERLINK("https://maps.google.com/?q=15.774699,-96.144537999999997", "🔗 Ver Mapa")</f>
        <v>🔗 Ver Mapa</v>
      </c>
    </row>
    <row r="1982" spans="1:12" ht="43.5" x14ac:dyDescent="0.35">
      <c r="A1982" s="6" t="s">
        <v>288</v>
      </c>
      <c r="B1982" s="6" t="s">
        <v>289</v>
      </c>
      <c r="C1982" s="6" t="s">
        <v>471</v>
      </c>
      <c r="D1982" s="6" t="s">
        <v>414</v>
      </c>
      <c r="E1982" s="6" t="s">
        <v>17</v>
      </c>
      <c r="F1982" s="6" t="s">
        <v>20</v>
      </c>
      <c r="G1982" s="6" t="s">
        <v>208</v>
      </c>
      <c r="H1982" s="6" t="s">
        <v>468</v>
      </c>
      <c r="I1982" s="6" t="s">
        <v>469</v>
      </c>
      <c r="J1982" s="6">
        <v>15.774842</v>
      </c>
      <c r="K1982" s="6">
        <v>-96.146448000000007</v>
      </c>
      <c r="L1982" s="6" t="str">
        <f>HYPERLINK("https://maps.google.com/?q=15.774842,-96.146448", "🔗 Ver Mapa")</f>
        <v>🔗 Ver Mapa</v>
      </c>
    </row>
    <row r="1983" spans="1:12" ht="43.5" x14ac:dyDescent="0.35">
      <c r="A1983" s="5" t="s">
        <v>288</v>
      </c>
      <c r="B1983" s="5" t="s">
        <v>289</v>
      </c>
      <c r="C1983" s="5" t="s">
        <v>471</v>
      </c>
      <c r="D1983" s="5" t="s">
        <v>414</v>
      </c>
      <c r="E1983" s="5" t="s">
        <v>17</v>
      </c>
      <c r="F1983" s="5" t="s">
        <v>20</v>
      </c>
      <c r="G1983" s="5" t="s">
        <v>208</v>
      </c>
      <c r="H1983" s="5" t="s">
        <v>468</v>
      </c>
      <c r="I1983" s="5" t="s">
        <v>469</v>
      </c>
      <c r="J1983" s="5">
        <v>15.774889999999999</v>
      </c>
      <c r="K1983" s="5">
        <v>-96.145328000000006</v>
      </c>
      <c r="L1983" s="5" t="str">
        <f>HYPERLINK("https://maps.google.com/?q=15.77489,-96.145328", "🔗 Ver Mapa")</f>
        <v>🔗 Ver Mapa</v>
      </c>
    </row>
    <row r="1984" spans="1:12" ht="43.5" x14ac:dyDescent="0.35">
      <c r="A1984" s="6" t="s">
        <v>288</v>
      </c>
      <c r="B1984" s="6" t="s">
        <v>289</v>
      </c>
      <c r="C1984" s="6" t="s">
        <v>471</v>
      </c>
      <c r="D1984" s="6" t="s">
        <v>414</v>
      </c>
      <c r="E1984" s="6" t="s">
        <v>17</v>
      </c>
      <c r="F1984" s="6" t="s">
        <v>20</v>
      </c>
      <c r="G1984" s="6" t="s">
        <v>208</v>
      </c>
      <c r="H1984" s="6" t="s">
        <v>468</v>
      </c>
      <c r="I1984" s="6" t="s">
        <v>469</v>
      </c>
      <c r="J1984" s="6">
        <v>15.775134</v>
      </c>
      <c r="K1984" s="6">
        <v>-96.141920999999996</v>
      </c>
      <c r="L1984" s="6" t="str">
        <f>HYPERLINK("https://maps.google.com/?q=15.775134,-96.141921", "🔗 Ver Mapa")</f>
        <v>🔗 Ver Mapa</v>
      </c>
    </row>
    <row r="1985" spans="1:12" ht="43.5" x14ac:dyDescent="0.35">
      <c r="A1985" s="5" t="s">
        <v>288</v>
      </c>
      <c r="B1985" s="5" t="s">
        <v>289</v>
      </c>
      <c r="C1985" s="5" t="s">
        <v>471</v>
      </c>
      <c r="D1985" s="5" t="s">
        <v>414</v>
      </c>
      <c r="E1985" s="5" t="s">
        <v>17</v>
      </c>
      <c r="F1985" s="5" t="s">
        <v>20</v>
      </c>
      <c r="G1985" s="5" t="s">
        <v>208</v>
      </c>
      <c r="H1985" s="5" t="s">
        <v>468</v>
      </c>
      <c r="I1985" s="5" t="s">
        <v>469</v>
      </c>
      <c r="J1985" s="5">
        <v>15.775145</v>
      </c>
      <c r="K1985" s="5">
        <v>-96.144084000000007</v>
      </c>
      <c r="L1985" s="5" t="str">
        <f>HYPERLINK("https://maps.google.com/?q=15.775145,-96.144084", "🔗 Ver Mapa")</f>
        <v>🔗 Ver Mapa</v>
      </c>
    </row>
    <row r="1986" spans="1:12" ht="43.5" x14ac:dyDescent="0.35">
      <c r="A1986" s="6" t="s">
        <v>288</v>
      </c>
      <c r="B1986" s="6" t="s">
        <v>289</v>
      </c>
      <c r="C1986" s="6" t="s">
        <v>471</v>
      </c>
      <c r="D1986" s="6" t="s">
        <v>414</v>
      </c>
      <c r="E1986" s="6" t="s">
        <v>17</v>
      </c>
      <c r="F1986" s="6" t="s">
        <v>20</v>
      </c>
      <c r="G1986" s="6" t="s">
        <v>208</v>
      </c>
      <c r="H1986" s="6" t="s">
        <v>468</v>
      </c>
      <c r="I1986" s="6" t="s">
        <v>469</v>
      </c>
      <c r="J1986" s="6">
        <v>15.775304</v>
      </c>
      <c r="K1986" s="6">
        <v>-96.145900999999995</v>
      </c>
      <c r="L1986" s="6" t="str">
        <f>HYPERLINK("https://maps.google.com/?q=15.775304,-96.145901", "🔗 Ver Mapa")</f>
        <v>🔗 Ver Mapa</v>
      </c>
    </row>
    <row r="1987" spans="1:12" ht="43.5" x14ac:dyDescent="0.35">
      <c r="A1987" s="5" t="s">
        <v>288</v>
      </c>
      <c r="B1987" s="5" t="s">
        <v>289</v>
      </c>
      <c r="C1987" s="5" t="s">
        <v>471</v>
      </c>
      <c r="D1987" s="5" t="s">
        <v>414</v>
      </c>
      <c r="E1987" s="5" t="s">
        <v>17</v>
      </c>
      <c r="F1987" s="5" t="s">
        <v>20</v>
      </c>
      <c r="G1987" s="5" t="s">
        <v>208</v>
      </c>
      <c r="H1987" s="5" t="s">
        <v>468</v>
      </c>
      <c r="I1987" s="5" t="s">
        <v>469</v>
      </c>
      <c r="J1987" s="5">
        <v>15.775418999999999</v>
      </c>
      <c r="K1987" s="5">
        <v>-96.144332000000006</v>
      </c>
      <c r="L1987" s="5" t="str">
        <f>HYPERLINK("https://maps.google.com/?q=15.775419,-96.144332", "🔗 Ver Mapa")</f>
        <v>🔗 Ver Mapa</v>
      </c>
    </row>
    <row r="1988" spans="1:12" ht="43.5" x14ac:dyDescent="0.35">
      <c r="A1988" s="6" t="s">
        <v>288</v>
      </c>
      <c r="B1988" s="6" t="s">
        <v>289</v>
      </c>
      <c r="C1988" s="6" t="s">
        <v>471</v>
      </c>
      <c r="D1988" s="6" t="s">
        <v>414</v>
      </c>
      <c r="E1988" s="6" t="s">
        <v>17</v>
      </c>
      <c r="F1988" s="6" t="s">
        <v>20</v>
      </c>
      <c r="G1988" s="6" t="s">
        <v>208</v>
      </c>
      <c r="H1988" s="6" t="s">
        <v>468</v>
      </c>
      <c r="I1988" s="6" t="s">
        <v>469</v>
      </c>
      <c r="J1988" s="6">
        <v>15.775532999999999</v>
      </c>
      <c r="K1988" s="6">
        <v>-96.146867999999998</v>
      </c>
      <c r="L1988" s="6" t="str">
        <f>HYPERLINK("https://maps.google.com/?q=15.775533,-96.146868", "🔗 Ver Mapa")</f>
        <v>🔗 Ver Mapa</v>
      </c>
    </row>
    <row r="1989" spans="1:12" ht="43.5" x14ac:dyDescent="0.35">
      <c r="A1989" s="5" t="s">
        <v>288</v>
      </c>
      <c r="B1989" s="5" t="s">
        <v>289</v>
      </c>
      <c r="C1989" s="5" t="s">
        <v>471</v>
      </c>
      <c r="D1989" s="5" t="s">
        <v>414</v>
      </c>
      <c r="E1989" s="5" t="s">
        <v>17</v>
      </c>
      <c r="F1989" s="5" t="s">
        <v>20</v>
      </c>
      <c r="G1989" s="5" t="s">
        <v>208</v>
      </c>
      <c r="H1989" s="5" t="s">
        <v>468</v>
      </c>
      <c r="I1989" s="5" t="s">
        <v>469</v>
      </c>
      <c r="J1989" s="5">
        <v>15.775669000000001</v>
      </c>
      <c r="K1989" s="5">
        <v>-96.142742999999996</v>
      </c>
      <c r="L1989" s="5" t="str">
        <f>HYPERLINK("https://maps.google.com/?q=15.775669,-96.142743", "🔗 Ver Mapa")</f>
        <v>🔗 Ver Mapa</v>
      </c>
    </row>
    <row r="1990" spans="1:12" ht="43.5" x14ac:dyDescent="0.35">
      <c r="A1990" s="6" t="s">
        <v>288</v>
      </c>
      <c r="B1990" s="6" t="s">
        <v>289</v>
      </c>
      <c r="C1990" s="6" t="s">
        <v>471</v>
      </c>
      <c r="D1990" s="6" t="s">
        <v>414</v>
      </c>
      <c r="E1990" s="6" t="s">
        <v>17</v>
      </c>
      <c r="F1990" s="6" t="s">
        <v>20</v>
      </c>
      <c r="G1990" s="6" t="s">
        <v>208</v>
      </c>
      <c r="H1990" s="6" t="s">
        <v>468</v>
      </c>
      <c r="I1990" s="6" t="s">
        <v>469</v>
      </c>
      <c r="J1990" s="6">
        <v>15.775696999999999</v>
      </c>
      <c r="K1990" s="6">
        <v>-96.142128</v>
      </c>
      <c r="L1990" s="6" t="str">
        <f>HYPERLINK("https://maps.google.com/?q=15.775697,-96.142128", "🔗 Ver Mapa")</f>
        <v>🔗 Ver Mapa</v>
      </c>
    </row>
    <row r="1991" spans="1:12" ht="43.5" x14ac:dyDescent="0.35">
      <c r="A1991" s="5" t="s">
        <v>288</v>
      </c>
      <c r="B1991" s="5" t="s">
        <v>289</v>
      </c>
      <c r="C1991" s="5" t="s">
        <v>471</v>
      </c>
      <c r="D1991" s="5" t="s">
        <v>414</v>
      </c>
      <c r="E1991" s="5" t="s">
        <v>17</v>
      </c>
      <c r="F1991" s="5" t="s">
        <v>20</v>
      </c>
      <c r="G1991" s="5" t="s">
        <v>208</v>
      </c>
      <c r="H1991" s="5" t="s">
        <v>468</v>
      </c>
      <c r="I1991" s="5" t="s">
        <v>469</v>
      </c>
      <c r="J1991" s="5">
        <v>15.775762</v>
      </c>
      <c r="K1991" s="5">
        <v>-96.147107000000005</v>
      </c>
      <c r="L1991" s="5" t="str">
        <f>HYPERLINK("https://maps.google.com/?q=15.775762,-96.147107", "🔗 Ver Mapa")</f>
        <v>🔗 Ver Mapa</v>
      </c>
    </row>
    <row r="1992" spans="1:12" ht="43.5" x14ac:dyDescent="0.35">
      <c r="A1992" s="6" t="s">
        <v>288</v>
      </c>
      <c r="B1992" s="6" t="s">
        <v>289</v>
      </c>
      <c r="C1992" s="6" t="s">
        <v>471</v>
      </c>
      <c r="D1992" s="6" t="s">
        <v>414</v>
      </c>
      <c r="E1992" s="6" t="s">
        <v>17</v>
      </c>
      <c r="F1992" s="6" t="s">
        <v>20</v>
      </c>
      <c r="G1992" s="6" t="s">
        <v>208</v>
      </c>
      <c r="H1992" s="6" t="s">
        <v>468</v>
      </c>
      <c r="I1992" s="6" t="s">
        <v>469</v>
      </c>
      <c r="J1992" s="6">
        <v>15.775864</v>
      </c>
      <c r="K1992" s="6">
        <v>-96.143822999999998</v>
      </c>
      <c r="L1992" s="6" t="str">
        <f>HYPERLINK("https://maps.google.com/?q=15.775864,-96.143823", "🔗 Ver Mapa")</f>
        <v>🔗 Ver Mapa</v>
      </c>
    </row>
    <row r="1993" spans="1:12" ht="43.5" x14ac:dyDescent="0.35">
      <c r="A1993" s="5" t="s">
        <v>288</v>
      </c>
      <c r="B1993" s="5" t="s">
        <v>289</v>
      </c>
      <c r="C1993" s="5" t="s">
        <v>471</v>
      </c>
      <c r="D1993" s="5" t="s">
        <v>414</v>
      </c>
      <c r="E1993" s="5" t="s">
        <v>17</v>
      </c>
      <c r="F1993" s="5" t="s">
        <v>20</v>
      </c>
      <c r="G1993" s="5" t="s">
        <v>208</v>
      </c>
      <c r="H1993" s="5" t="s">
        <v>468</v>
      </c>
      <c r="I1993" s="5" t="s">
        <v>469</v>
      </c>
      <c r="J1993" s="5">
        <v>15.776154999999999</v>
      </c>
      <c r="K1993" s="5">
        <v>-96.146737999999999</v>
      </c>
      <c r="L1993" s="5" t="str">
        <f>HYPERLINK("https://maps.google.com/?q=15.776155,-96.146738", "🔗 Ver Mapa")</f>
        <v>🔗 Ver Mapa</v>
      </c>
    </row>
    <row r="1994" spans="1:12" ht="43.5" x14ac:dyDescent="0.35">
      <c r="A1994" s="6" t="s">
        <v>288</v>
      </c>
      <c r="B1994" s="6" t="s">
        <v>289</v>
      </c>
      <c r="C1994" s="6" t="s">
        <v>471</v>
      </c>
      <c r="D1994" s="6" t="s">
        <v>414</v>
      </c>
      <c r="E1994" s="6" t="s">
        <v>17</v>
      </c>
      <c r="F1994" s="6" t="s">
        <v>20</v>
      </c>
      <c r="G1994" s="6" t="s">
        <v>208</v>
      </c>
      <c r="H1994" s="6" t="s">
        <v>468</v>
      </c>
      <c r="I1994" s="6" t="s">
        <v>469</v>
      </c>
      <c r="J1994" s="6">
        <v>15.776348</v>
      </c>
      <c r="K1994" s="6">
        <v>-96.143563999999998</v>
      </c>
      <c r="L1994" s="6" t="str">
        <f>HYPERLINK("https://maps.google.com/?q=15.776348,-96.143564", "🔗 Ver Mapa")</f>
        <v>🔗 Ver Mapa</v>
      </c>
    </row>
    <row r="1995" spans="1:12" ht="43.5" x14ac:dyDescent="0.35">
      <c r="A1995" s="5" t="s">
        <v>288</v>
      </c>
      <c r="B1995" s="5" t="s">
        <v>289</v>
      </c>
      <c r="C1995" s="5" t="s">
        <v>471</v>
      </c>
      <c r="D1995" s="5" t="s">
        <v>414</v>
      </c>
      <c r="E1995" s="5" t="s">
        <v>17</v>
      </c>
      <c r="F1995" s="5" t="s">
        <v>20</v>
      </c>
      <c r="G1995" s="5" t="s">
        <v>208</v>
      </c>
      <c r="H1995" s="5" t="s">
        <v>468</v>
      </c>
      <c r="I1995" s="5" t="s">
        <v>469</v>
      </c>
      <c r="J1995" s="5">
        <v>15.776498</v>
      </c>
      <c r="K1995" s="5">
        <v>-96.143272999999994</v>
      </c>
      <c r="L1995" s="5" t="str">
        <f>HYPERLINK("https://maps.google.com/?q=15.776498,-96.143273", "🔗 Ver Mapa")</f>
        <v>🔗 Ver Mapa</v>
      </c>
    </row>
    <row r="1996" spans="1:12" ht="43.5" x14ac:dyDescent="0.35">
      <c r="A1996" s="6" t="s">
        <v>288</v>
      </c>
      <c r="B1996" s="6" t="s">
        <v>289</v>
      </c>
      <c r="C1996" s="6" t="s">
        <v>472</v>
      </c>
      <c r="D1996" s="6" t="s">
        <v>414</v>
      </c>
      <c r="E1996" s="6" t="s">
        <v>17</v>
      </c>
      <c r="F1996" s="6" t="s">
        <v>20</v>
      </c>
      <c r="G1996" s="6" t="s">
        <v>208</v>
      </c>
      <c r="H1996" s="6" t="s">
        <v>468</v>
      </c>
      <c r="I1996" s="6" t="s">
        <v>469</v>
      </c>
      <c r="J1996" s="6">
        <v>15.756305915024001</v>
      </c>
      <c r="K1996" s="6">
        <v>-96.147500124931</v>
      </c>
      <c r="L1996" s="6" t="str">
        <f>HYPERLINK("https://maps.google.com/?q=15.756305915024228,-96.14750012493063", "🔗 Ver Mapa")</f>
        <v>🔗 Ver Mapa</v>
      </c>
    </row>
    <row r="1997" spans="1:12" ht="43.5" x14ac:dyDescent="0.35">
      <c r="A1997" s="5" t="s">
        <v>288</v>
      </c>
      <c r="B1997" s="5" t="s">
        <v>289</v>
      </c>
      <c r="C1997" s="5" t="s">
        <v>472</v>
      </c>
      <c r="D1997" s="5" t="s">
        <v>414</v>
      </c>
      <c r="E1997" s="5" t="s">
        <v>17</v>
      </c>
      <c r="F1997" s="5" t="s">
        <v>20</v>
      </c>
      <c r="G1997" s="5" t="s">
        <v>208</v>
      </c>
      <c r="H1997" s="5" t="s">
        <v>468</v>
      </c>
      <c r="I1997" s="5" t="s">
        <v>469</v>
      </c>
      <c r="J1997" s="5">
        <v>15.756364708612001</v>
      </c>
      <c r="K1997" s="5">
        <v>-96.146473512575</v>
      </c>
      <c r="L1997" s="5" t="str">
        <f>HYPERLINK("https://maps.google.com/?q=15.756364708611724,-96.146473512575383", "🔗 Ver Mapa")</f>
        <v>🔗 Ver Mapa</v>
      </c>
    </row>
    <row r="1998" spans="1:12" ht="43.5" x14ac:dyDescent="0.35">
      <c r="A1998" s="6" t="s">
        <v>288</v>
      </c>
      <c r="B1998" s="6" t="s">
        <v>289</v>
      </c>
      <c r="C1998" s="6" t="s">
        <v>472</v>
      </c>
      <c r="D1998" s="6" t="s">
        <v>414</v>
      </c>
      <c r="E1998" s="6" t="s">
        <v>17</v>
      </c>
      <c r="F1998" s="6" t="s">
        <v>20</v>
      </c>
      <c r="G1998" s="6" t="s">
        <v>208</v>
      </c>
      <c r="H1998" s="6" t="s">
        <v>468</v>
      </c>
      <c r="I1998" s="6" t="s">
        <v>469</v>
      </c>
      <c r="J1998" s="6">
        <v>15.756518363586</v>
      </c>
      <c r="K1998" s="6">
        <v>-96.148550925335002</v>
      </c>
      <c r="L1998" s="6" t="str">
        <f>HYPERLINK("https://maps.google.com/?q=15.756518363586299,-96.148550925334533", "🔗 Ver Mapa")</f>
        <v>🔗 Ver Mapa</v>
      </c>
    </row>
    <row r="1999" spans="1:12" ht="43.5" x14ac:dyDescent="0.35">
      <c r="A1999" s="5" t="s">
        <v>288</v>
      </c>
      <c r="B1999" s="5" t="s">
        <v>289</v>
      </c>
      <c r="C1999" s="5" t="s">
        <v>472</v>
      </c>
      <c r="D1999" s="5" t="s">
        <v>414</v>
      </c>
      <c r="E1999" s="5" t="s">
        <v>17</v>
      </c>
      <c r="F1999" s="5" t="s">
        <v>20</v>
      </c>
      <c r="G1999" s="5" t="s">
        <v>208</v>
      </c>
      <c r="H1999" s="5" t="s">
        <v>468</v>
      </c>
      <c r="I1999" s="5" t="s">
        <v>469</v>
      </c>
      <c r="J1999" s="5">
        <v>15.756774191361</v>
      </c>
      <c r="K1999" s="5">
        <v>-96.146020170816001</v>
      </c>
      <c r="L1999" s="5" t="str">
        <f>HYPERLINK("https://maps.google.com/?q=15.756774191360815,-96.146020170816172", "🔗 Ver Mapa")</f>
        <v>🔗 Ver Mapa</v>
      </c>
    </row>
    <row r="2000" spans="1:12" ht="43.5" x14ac:dyDescent="0.35">
      <c r="A2000" s="6" t="s">
        <v>288</v>
      </c>
      <c r="B2000" s="6" t="s">
        <v>289</v>
      </c>
      <c r="C2000" s="6" t="s">
        <v>472</v>
      </c>
      <c r="D2000" s="6" t="s">
        <v>414</v>
      </c>
      <c r="E2000" s="6" t="s">
        <v>17</v>
      </c>
      <c r="F2000" s="6" t="s">
        <v>20</v>
      </c>
      <c r="G2000" s="6" t="s">
        <v>208</v>
      </c>
      <c r="H2000" s="6" t="s">
        <v>468</v>
      </c>
      <c r="I2000" s="6" t="s">
        <v>469</v>
      </c>
      <c r="J2000" s="6">
        <v>15.757462054964</v>
      </c>
      <c r="K2000" s="6">
        <v>-96.140629800865995</v>
      </c>
      <c r="L2000" s="6" t="str">
        <f>HYPERLINK("https://maps.google.com/?q=15.757462054964257,-96.140629800865852", "🔗 Ver Mapa")</f>
        <v>🔗 Ver Mapa</v>
      </c>
    </row>
    <row r="2001" spans="1:12" ht="43.5" x14ac:dyDescent="0.35">
      <c r="A2001" s="5" t="s">
        <v>288</v>
      </c>
      <c r="B2001" s="5" t="s">
        <v>289</v>
      </c>
      <c r="C2001" s="5" t="s">
        <v>472</v>
      </c>
      <c r="D2001" s="5" t="s">
        <v>414</v>
      </c>
      <c r="E2001" s="5" t="s">
        <v>17</v>
      </c>
      <c r="F2001" s="5" t="s">
        <v>20</v>
      </c>
      <c r="G2001" s="5" t="s">
        <v>208</v>
      </c>
      <c r="H2001" s="5" t="s">
        <v>468</v>
      </c>
      <c r="I2001" s="5" t="s">
        <v>469</v>
      </c>
      <c r="J2001" s="5">
        <v>15.757586013138001</v>
      </c>
      <c r="K2001" s="5">
        <v>-96.143192547642997</v>
      </c>
      <c r="L2001" s="5" t="str">
        <f>HYPERLINK("https://maps.google.com/?q=15.757586013138095,-96.143192547642755", "🔗 Ver Mapa")</f>
        <v>🔗 Ver Mapa</v>
      </c>
    </row>
    <row r="2002" spans="1:12" ht="43.5" x14ac:dyDescent="0.35">
      <c r="A2002" s="6" t="s">
        <v>288</v>
      </c>
      <c r="B2002" s="6" t="s">
        <v>289</v>
      </c>
      <c r="C2002" s="6" t="s">
        <v>472</v>
      </c>
      <c r="D2002" s="6" t="s">
        <v>414</v>
      </c>
      <c r="E2002" s="6" t="s">
        <v>17</v>
      </c>
      <c r="F2002" s="6" t="s">
        <v>20</v>
      </c>
      <c r="G2002" s="6" t="s">
        <v>208</v>
      </c>
      <c r="H2002" s="6" t="s">
        <v>468</v>
      </c>
      <c r="I2002" s="6" t="s">
        <v>469</v>
      </c>
      <c r="J2002" s="6">
        <v>15.757638265287</v>
      </c>
      <c r="K2002" s="6">
        <v>-96.140981697518995</v>
      </c>
      <c r="L2002" s="6" t="str">
        <f>HYPERLINK("https://maps.google.com/?q=15.757638265286566,-96.140981697518981", "🔗 Ver Mapa")</f>
        <v>🔗 Ver Mapa</v>
      </c>
    </row>
    <row r="2003" spans="1:12" ht="43.5" x14ac:dyDescent="0.35">
      <c r="A2003" s="5" t="s">
        <v>288</v>
      </c>
      <c r="B2003" s="5" t="s">
        <v>289</v>
      </c>
      <c r="C2003" s="5" t="s">
        <v>472</v>
      </c>
      <c r="D2003" s="5" t="s">
        <v>414</v>
      </c>
      <c r="E2003" s="5" t="s">
        <v>17</v>
      </c>
      <c r="F2003" s="5" t="s">
        <v>20</v>
      </c>
      <c r="G2003" s="5" t="s">
        <v>208</v>
      </c>
      <c r="H2003" s="5" t="s">
        <v>468</v>
      </c>
      <c r="I2003" s="5" t="s">
        <v>469</v>
      </c>
      <c r="J2003" s="5">
        <v>15.757675206076</v>
      </c>
      <c r="K2003" s="5">
        <v>-96.140356379172005</v>
      </c>
      <c r="L2003" s="5" t="str">
        <f>HYPERLINK("https://maps.google.com/?q=15.757675206076426,-96.140356379172161", "🔗 Ver Mapa")</f>
        <v>🔗 Ver Mapa</v>
      </c>
    </row>
    <row r="2004" spans="1:12" ht="43.5" x14ac:dyDescent="0.35">
      <c r="A2004" s="6" t="s">
        <v>288</v>
      </c>
      <c r="B2004" s="6" t="s">
        <v>289</v>
      </c>
      <c r="C2004" s="6" t="s">
        <v>472</v>
      </c>
      <c r="D2004" s="6" t="s">
        <v>414</v>
      </c>
      <c r="E2004" s="6" t="s">
        <v>17</v>
      </c>
      <c r="F2004" s="6" t="s">
        <v>20</v>
      </c>
      <c r="G2004" s="6" t="s">
        <v>208</v>
      </c>
      <c r="H2004" s="6" t="s">
        <v>468</v>
      </c>
      <c r="I2004" s="6" t="s">
        <v>469</v>
      </c>
      <c r="J2004" s="6">
        <v>15.757703077947999</v>
      </c>
      <c r="K2004" s="6">
        <v>-96.139041109803003</v>
      </c>
      <c r="L2004" s="6" t="str">
        <f>HYPERLINK("https://maps.google.com/?q=15.75770307794821,-96.13904110980323", "🔗 Ver Mapa")</f>
        <v>🔗 Ver Mapa</v>
      </c>
    </row>
    <row r="2005" spans="1:12" ht="43.5" x14ac:dyDescent="0.35">
      <c r="A2005" s="5" t="s">
        <v>288</v>
      </c>
      <c r="B2005" s="5" t="s">
        <v>289</v>
      </c>
      <c r="C2005" s="5" t="s">
        <v>472</v>
      </c>
      <c r="D2005" s="5" t="s">
        <v>414</v>
      </c>
      <c r="E2005" s="5" t="s">
        <v>17</v>
      </c>
      <c r="F2005" s="5" t="s">
        <v>20</v>
      </c>
      <c r="G2005" s="5" t="s">
        <v>208</v>
      </c>
      <c r="H2005" s="5" t="s">
        <v>468</v>
      </c>
      <c r="I2005" s="5" t="s">
        <v>469</v>
      </c>
      <c r="J2005" s="5">
        <v>15.757703568116</v>
      </c>
      <c r="K2005" s="5">
        <v>-96.139078404445996</v>
      </c>
      <c r="L2005" s="5" t="str">
        <f>HYPERLINK("https://maps.google.com/?q=15.757703568116451,-96.139078404446465", "🔗 Ver Mapa")</f>
        <v>🔗 Ver Mapa</v>
      </c>
    </row>
    <row r="2006" spans="1:12" ht="43.5" x14ac:dyDescent="0.35">
      <c r="A2006" s="6" t="s">
        <v>288</v>
      </c>
      <c r="B2006" s="6" t="s">
        <v>289</v>
      </c>
      <c r="C2006" s="6" t="s">
        <v>472</v>
      </c>
      <c r="D2006" s="6" t="s">
        <v>414</v>
      </c>
      <c r="E2006" s="6" t="s">
        <v>17</v>
      </c>
      <c r="F2006" s="6" t="s">
        <v>20</v>
      </c>
      <c r="G2006" s="6" t="s">
        <v>208</v>
      </c>
      <c r="H2006" s="6" t="s">
        <v>468</v>
      </c>
      <c r="I2006" s="6" t="s">
        <v>469</v>
      </c>
      <c r="J2006" s="6">
        <v>15.757704058278</v>
      </c>
      <c r="K2006" s="6">
        <v>-96.139115699090993</v>
      </c>
      <c r="L2006" s="6" t="str">
        <f>HYPERLINK("https://maps.google.com/?q=15.757704058278325,-96.139115699091022", "🔗 Ver Mapa")</f>
        <v>🔗 Ver Mapa</v>
      </c>
    </row>
    <row r="2007" spans="1:12" ht="43.5" x14ac:dyDescent="0.35">
      <c r="A2007" s="5" t="s">
        <v>288</v>
      </c>
      <c r="B2007" s="5" t="s">
        <v>289</v>
      </c>
      <c r="C2007" s="5" t="s">
        <v>472</v>
      </c>
      <c r="D2007" s="5" t="s">
        <v>414</v>
      </c>
      <c r="E2007" s="5" t="s">
        <v>17</v>
      </c>
      <c r="F2007" s="5" t="s">
        <v>20</v>
      </c>
      <c r="G2007" s="5" t="s">
        <v>208</v>
      </c>
      <c r="H2007" s="5" t="s">
        <v>468</v>
      </c>
      <c r="I2007" s="5" t="s">
        <v>469</v>
      </c>
      <c r="J2007" s="5">
        <v>15.757711617053999</v>
      </c>
      <c r="K2007" s="5">
        <v>-96.139003688621003</v>
      </c>
      <c r="L2007" s="5" t="str">
        <f>HYPERLINK("https://maps.google.com/?q=15.757711617054328,-96.139003688620619", "🔗 Ver Mapa")</f>
        <v>🔗 Ver Mapa</v>
      </c>
    </row>
    <row r="2008" spans="1:12" ht="43.5" x14ac:dyDescent="0.35">
      <c r="A2008" s="6" t="s">
        <v>288</v>
      </c>
      <c r="B2008" s="6" t="s">
        <v>289</v>
      </c>
      <c r="C2008" s="6" t="s">
        <v>472</v>
      </c>
      <c r="D2008" s="6" t="s">
        <v>414</v>
      </c>
      <c r="E2008" s="6" t="s">
        <v>17</v>
      </c>
      <c r="F2008" s="6" t="s">
        <v>20</v>
      </c>
      <c r="G2008" s="6" t="s">
        <v>208</v>
      </c>
      <c r="H2008" s="6" t="s">
        <v>468</v>
      </c>
      <c r="I2008" s="6" t="s">
        <v>469</v>
      </c>
      <c r="J2008" s="6">
        <v>15.757713577716</v>
      </c>
      <c r="K2008" s="6">
        <v>-96.139152867202995</v>
      </c>
      <c r="L2008" s="6" t="str">
        <f>HYPERLINK("https://maps.google.com/?q=15.757713577715739,-96.139152867202782", "🔗 Ver Mapa")</f>
        <v>🔗 Ver Mapa</v>
      </c>
    </row>
    <row r="2009" spans="1:12" ht="43.5" x14ac:dyDescent="0.35">
      <c r="A2009" s="5" t="s">
        <v>288</v>
      </c>
      <c r="B2009" s="5" t="s">
        <v>289</v>
      </c>
      <c r="C2009" s="5" t="s">
        <v>472</v>
      </c>
      <c r="D2009" s="5" t="s">
        <v>414</v>
      </c>
      <c r="E2009" s="5" t="s">
        <v>17</v>
      </c>
      <c r="F2009" s="5" t="s">
        <v>20</v>
      </c>
      <c r="G2009" s="5" t="s">
        <v>208</v>
      </c>
      <c r="H2009" s="5" t="s">
        <v>468</v>
      </c>
      <c r="I2009" s="5" t="s">
        <v>469</v>
      </c>
      <c r="J2009" s="5">
        <v>15.757720156153001</v>
      </c>
      <c r="K2009" s="5">
        <v>-96.138966267436004</v>
      </c>
      <c r="L2009" s="5" t="str">
        <f>HYPERLINK("https://maps.google.com/?q=15.757720156153484,-96.138966267435947", "🔗 Ver Mapa")</f>
        <v>🔗 Ver Mapa</v>
      </c>
    </row>
    <row r="2010" spans="1:12" ht="43.5" x14ac:dyDescent="0.35">
      <c r="A2010" s="6" t="s">
        <v>288</v>
      </c>
      <c r="B2010" s="6" t="s">
        <v>289</v>
      </c>
      <c r="C2010" s="6" t="s">
        <v>472</v>
      </c>
      <c r="D2010" s="6" t="s">
        <v>414</v>
      </c>
      <c r="E2010" s="6" t="s">
        <v>17</v>
      </c>
      <c r="F2010" s="6" t="s">
        <v>20</v>
      </c>
      <c r="G2010" s="6" t="s">
        <v>208</v>
      </c>
      <c r="H2010" s="6" t="s">
        <v>468</v>
      </c>
      <c r="I2010" s="6" t="s">
        <v>469</v>
      </c>
      <c r="J2010" s="6">
        <v>15.757720719991999</v>
      </c>
      <c r="K2010" s="6">
        <v>-96.140383717784999</v>
      </c>
      <c r="L2010" s="6" t="str">
        <f>HYPERLINK("https://maps.google.com/?q=15.757720719992061,-96.140383717784914", "🔗 Ver Mapa")</f>
        <v>🔗 Ver Mapa</v>
      </c>
    </row>
    <row r="2011" spans="1:12" ht="43.5" x14ac:dyDescent="0.35">
      <c r="A2011" s="5" t="s">
        <v>288</v>
      </c>
      <c r="B2011" s="5" t="s">
        <v>289</v>
      </c>
      <c r="C2011" s="5" t="s">
        <v>472</v>
      </c>
      <c r="D2011" s="5" t="s">
        <v>414</v>
      </c>
      <c r="E2011" s="5" t="s">
        <v>17</v>
      </c>
      <c r="F2011" s="5" t="s">
        <v>20</v>
      </c>
      <c r="G2011" s="5" t="s">
        <v>208</v>
      </c>
      <c r="H2011" s="5" t="s">
        <v>468</v>
      </c>
      <c r="I2011" s="5" t="s">
        <v>469</v>
      </c>
      <c r="J2011" s="5">
        <v>15.75773212643</v>
      </c>
      <c r="K2011" s="5">
        <v>-96.139189908785994</v>
      </c>
      <c r="L2011" s="5" t="str">
        <f>HYPERLINK("https://maps.google.com/?q=15.757732126429561,-96.139189908786435", "🔗 Ver Mapa")</f>
        <v>🔗 Ver Mapa</v>
      </c>
    </row>
    <row r="2012" spans="1:12" ht="43.5" x14ac:dyDescent="0.35">
      <c r="A2012" s="6" t="s">
        <v>288</v>
      </c>
      <c r="B2012" s="6" t="s">
        <v>289</v>
      </c>
      <c r="C2012" s="6" t="s">
        <v>472</v>
      </c>
      <c r="D2012" s="6" t="s">
        <v>414</v>
      </c>
      <c r="E2012" s="6" t="s">
        <v>17</v>
      </c>
      <c r="F2012" s="6" t="s">
        <v>20</v>
      </c>
      <c r="G2012" s="6" t="s">
        <v>208</v>
      </c>
      <c r="H2012" s="6" t="s">
        <v>468</v>
      </c>
      <c r="I2012" s="6" t="s">
        <v>469</v>
      </c>
      <c r="J2012" s="6">
        <v>15.757802351073</v>
      </c>
      <c r="K2012" s="6">
        <v>-96.140410550492007</v>
      </c>
      <c r="L2012" s="6" t="str">
        <f>HYPERLINK("https://maps.google.com/?q=15.757802351073364,-96.140410550492106", "🔗 Ver Mapa")</f>
        <v>🔗 Ver Mapa</v>
      </c>
    </row>
    <row r="2013" spans="1:12" ht="43.5" x14ac:dyDescent="0.35">
      <c r="A2013" s="5" t="s">
        <v>288</v>
      </c>
      <c r="B2013" s="5" t="s">
        <v>289</v>
      </c>
      <c r="C2013" s="5" t="s">
        <v>472</v>
      </c>
      <c r="D2013" s="5" t="s">
        <v>414</v>
      </c>
      <c r="E2013" s="5" t="s">
        <v>17</v>
      </c>
      <c r="F2013" s="5" t="s">
        <v>20</v>
      </c>
      <c r="G2013" s="5" t="s">
        <v>208</v>
      </c>
      <c r="H2013" s="5" t="s">
        <v>468</v>
      </c>
      <c r="I2013" s="5" t="s">
        <v>469</v>
      </c>
      <c r="J2013" s="5">
        <v>15.757826056497001</v>
      </c>
      <c r="K2013" s="5">
        <v>-96.138778275622002</v>
      </c>
      <c r="L2013" s="5" t="str">
        <f>HYPERLINK("https://maps.google.com/?q=15.757826056496896,-96.138778275622172", "🔗 Ver Mapa")</f>
        <v>🔗 Ver Mapa</v>
      </c>
    </row>
    <row r="2014" spans="1:12" ht="43.5" x14ac:dyDescent="0.35">
      <c r="A2014" s="6" t="s">
        <v>288</v>
      </c>
      <c r="B2014" s="6" t="s">
        <v>289</v>
      </c>
      <c r="C2014" s="6" t="s">
        <v>472</v>
      </c>
      <c r="D2014" s="6" t="s">
        <v>414</v>
      </c>
      <c r="E2014" s="6" t="s">
        <v>17</v>
      </c>
      <c r="F2014" s="6" t="s">
        <v>20</v>
      </c>
      <c r="G2014" s="6" t="s">
        <v>208</v>
      </c>
      <c r="H2014" s="6" t="s">
        <v>468</v>
      </c>
      <c r="I2014" s="6" t="s">
        <v>469</v>
      </c>
      <c r="J2014" s="6">
        <v>15.757835129701</v>
      </c>
      <c r="K2014" s="6">
        <v>-96.145660298240998</v>
      </c>
      <c r="L2014" s="6" t="str">
        <f>HYPERLINK("https://maps.google.com/?q=15.757835129701183,-96.14566029824114", "🔗 Ver Mapa")</f>
        <v>🔗 Ver Mapa</v>
      </c>
    </row>
    <row r="2015" spans="1:12" ht="43.5" x14ac:dyDescent="0.35">
      <c r="A2015" s="5" t="s">
        <v>288</v>
      </c>
      <c r="B2015" s="5" t="s">
        <v>289</v>
      </c>
      <c r="C2015" s="5" t="s">
        <v>472</v>
      </c>
      <c r="D2015" s="5" t="s">
        <v>414</v>
      </c>
      <c r="E2015" s="5" t="s">
        <v>17</v>
      </c>
      <c r="F2015" s="5" t="s">
        <v>20</v>
      </c>
      <c r="G2015" s="5" t="s">
        <v>208</v>
      </c>
      <c r="H2015" s="5" t="s">
        <v>468</v>
      </c>
      <c r="I2015" s="5" t="s">
        <v>469</v>
      </c>
      <c r="J2015" s="5">
        <v>15.757874340435</v>
      </c>
      <c r="K2015" s="5">
        <v>-96.140390891295993</v>
      </c>
      <c r="L2015" s="5" t="str">
        <f>HYPERLINK("https://maps.google.com/?q=15.757874340435496,-96.140390891295851", "🔗 Ver Mapa")</f>
        <v>🔗 Ver Mapa</v>
      </c>
    </row>
    <row r="2016" spans="1:12" ht="43.5" x14ac:dyDescent="0.35">
      <c r="A2016" s="6" t="s">
        <v>288</v>
      </c>
      <c r="B2016" s="6" t="s">
        <v>289</v>
      </c>
      <c r="C2016" s="6" t="s">
        <v>472</v>
      </c>
      <c r="D2016" s="6" t="s">
        <v>414</v>
      </c>
      <c r="E2016" s="6" t="s">
        <v>17</v>
      </c>
      <c r="F2016" s="6" t="s">
        <v>20</v>
      </c>
      <c r="G2016" s="6" t="s">
        <v>208</v>
      </c>
      <c r="H2016" s="6" t="s">
        <v>468</v>
      </c>
      <c r="I2016" s="6" t="s">
        <v>469</v>
      </c>
      <c r="J2016" s="6">
        <v>15.757907848855</v>
      </c>
      <c r="K2016" s="6">
        <v>-96.139504509511994</v>
      </c>
      <c r="L2016" s="6" t="str">
        <f>HYPERLINK("https://maps.google.com/?q=15.757907848855227,-96.139504509512363", "🔗 Ver Mapa")</f>
        <v>🔗 Ver Mapa</v>
      </c>
    </row>
    <row r="2017" spans="1:12" ht="43.5" x14ac:dyDescent="0.35">
      <c r="A2017" s="5" t="s">
        <v>288</v>
      </c>
      <c r="B2017" s="5" t="s">
        <v>289</v>
      </c>
      <c r="C2017" s="5" t="s">
        <v>472</v>
      </c>
      <c r="D2017" s="5" t="s">
        <v>414</v>
      </c>
      <c r="E2017" s="5" t="s">
        <v>17</v>
      </c>
      <c r="F2017" s="5" t="s">
        <v>20</v>
      </c>
      <c r="G2017" s="5" t="s">
        <v>208</v>
      </c>
      <c r="H2017" s="5" t="s">
        <v>468</v>
      </c>
      <c r="I2017" s="5" t="s">
        <v>469</v>
      </c>
      <c r="J2017" s="5">
        <v>15.757941130216</v>
      </c>
      <c r="K2017" s="5">
        <v>-96.141350472086003</v>
      </c>
      <c r="L2017" s="5" t="str">
        <f>HYPERLINK("https://maps.google.com/?q=15.75794113021631,-96.141350472086131", "🔗 Ver Mapa")</f>
        <v>🔗 Ver Mapa</v>
      </c>
    </row>
    <row r="2018" spans="1:12" ht="43.5" x14ac:dyDescent="0.35">
      <c r="A2018" s="6" t="s">
        <v>288</v>
      </c>
      <c r="B2018" s="6" t="s">
        <v>289</v>
      </c>
      <c r="C2018" s="6" t="s">
        <v>472</v>
      </c>
      <c r="D2018" s="6" t="s">
        <v>414</v>
      </c>
      <c r="E2018" s="6" t="s">
        <v>17</v>
      </c>
      <c r="F2018" s="6" t="s">
        <v>20</v>
      </c>
      <c r="G2018" s="6" t="s">
        <v>208</v>
      </c>
      <c r="H2018" s="6" t="s">
        <v>468</v>
      </c>
      <c r="I2018" s="6" t="s">
        <v>469</v>
      </c>
      <c r="J2018" s="6">
        <v>15.757945436263</v>
      </c>
      <c r="K2018" s="6">
        <v>-96.139615887542007</v>
      </c>
      <c r="L2018" s="6" t="str">
        <f>HYPERLINK("https://maps.google.com/?q=15.75794543626305,-96.139615887541751", "🔗 Ver Mapa")</f>
        <v>🔗 Ver Mapa</v>
      </c>
    </row>
    <row r="2019" spans="1:12" ht="43.5" x14ac:dyDescent="0.35">
      <c r="A2019" s="5" t="s">
        <v>288</v>
      </c>
      <c r="B2019" s="5" t="s">
        <v>289</v>
      </c>
      <c r="C2019" s="5" t="s">
        <v>472</v>
      </c>
      <c r="D2019" s="5" t="s">
        <v>414</v>
      </c>
      <c r="E2019" s="5" t="s">
        <v>17</v>
      </c>
      <c r="F2019" s="5" t="s">
        <v>20</v>
      </c>
      <c r="G2019" s="5" t="s">
        <v>208</v>
      </c>
      <c r="H2019" s="5" t="s">
        <v>468</v>
      </c>
      <c r="I2019" s="5" t="s">
        <v>469</v>
      </c>
      <c r="J2019" s="5">
        <v>15.757946207305</v>
      </c>
      <c r="K2019" s="5">
        <v>-96.140361908399001</v>
      </c>
      <c r="L2019" s="5" t="str">
        <f>HYPERLINK("https://maps.google.com/?q=15.757946207305155,-96.14036190839893", "🔗 Ver Mapa")</f>
        <v>🔗 Ver Mapa</v>
      </c>
    </row>
    <row r="2020" spans="1:12" ht="43.5" x14ac:dyDescent="0.35">
      <c r="A2020" s="6" t="s">
        <v>288</v>
      </c>
      <c r="B2020" s="6" t="s">
        <v>289</v>
      </c>
      <c r="C2020" s="6" t="s">
        <v>472</v>
      </c>
      <c r="D2020" s="6" t="s">
        <v>414</v>
      </c>
      <c r="E2020" s="6" t="s">
        <v>17</v>
      </c>
      <c r="F2020" s="6" t="s">
        <v>20</v>
      </c>
      <c r="G2020" s="6" t="s">
        <v>208</v>
      </c>
      <c r="H2020" s="6" t="s">
        <v>468</v>
      </c>
      <c r="I2020" s="6" t="s">
        <v>469</v>
      </c>
      <c r="J2020" s="6">
        <v>15.757994013107</v>
      </c>
      <c r="K2020" s="6">
        <v>-96.139876317992005</v>
      </c>
      <c r="L2020" s="6" t="str">
        <f>HYPERLINK("https://maps.google.com/?q=15.757994013106705,-96.139876317991579", "🔗 Ver Mapa")</f>
        <v>🔗 Ver Mapa</v>
      </c>
    </row>
    <row r="2021" spans="1:12" ht="43.5" x14ac:dyDescent="0.35">
      <c r="A2021" s="5" t="s">
        <v>288</v>
      </c>
      <c r="B2021" s="5" t="s">
        <v>289</v>
      </c>
      <c r="C2021" s="5" t="s">
        <v>472</v>
      </c>
      <c r="D2021" s="5" t="s">
        <v>414</v>
      </c>
      <c r="E2021" s="5" t="s">
        <v>17</v>
      </c>
      <c r="F2021" s="5" t="s">
        <v>20</v>
      </c>
      <c r="G2021" s="5" t="s">
        <v>208</v>
      </c>
      <c r="H2021" s="5" t="s">
        <v>468</v>
      </c>
      <c r="I2021" s="5" t="s">
        <v>469</v>
      </c>
      <c r="J2021" s="5">
        <v>15.757999648114</v>
      </c>
      <c r="K2021" s="5">
        <v>-96.140305207392998</v>
      </c>
      <c r="L2021" s="5" t="str">
        <f>HYPERLINK("https://maps.google.com/?q=15.757999648113918,-96.140305207392842", "🔗 Ver Mapa")</f>
        <v>🔗 Ver Mapa</v>
      </c>
    </row>
    <row r="2022" spans="1:12" ht="43.5" x14ac:dyDescent="0.35">
      <c r="A2022" s="6" t="s">
        <v>288</v>
      </c>
      <c r="B2022" s="6" t="s">
        <v>289</v>
      </c>
      <c r="C2022" s="6" t="s">
        <v>472</v>
      </c>
      <c r="D2022" s="6" t="s">
        <v>414</v>
      </c>
      <c r="E2022" s="6" t="s">
        <v>17</v>
      </c>
      <c r="F2022" s="6" t="s">
        <v>20</v>
      </c>
      <c r="G2022" s="6" t="s">
        <v>208</v>
      </c>
      <c r="H2022" s="6" t="s">
        <v>468</v>
      </c>
      <c r="I2022" s="6" t="s">
        <v>469</v>
      </c>
      <c r="J2022" s="6">
        <v>15.758034785334001</v>
      </c>
      <c r="K2022" s="6">
        <v>-96.140230111963007</v>
      </c>
      <c r="L2022" s="6" t="str">
        <f>HYPERLINK("https://maps.google.com/?q=15.758034785333948,-96.140230111962993", "🔗 Ver Mapa")</f>
        <v>🔗 Ver Mapa</v>
      </c>
    </row>
    <row r="2023" spans="1:12" ht="43.5" x14ac:dyDescent="0.35">
      <c r="A2023" s="5" t="s">
        <v>288</v>
      </c>
      <c r="B2023" s="5" t="s">
        <v>289</v>
      </c>
      <c r="C2023" s="5" t="s">
        <v>472</v>
      </c>
      <c r="D2023" s="5" t="s">
        <v>414</v>
      </c>
      <c r="E2023" s="5" t="s">
        <v>17</v>
      </c>
      <c r="F2023" s="5" t="s">
        <v>20</v>
      </c>
      <c r="G2023" s="5" t="s">
        <v>208</v>
      </c>
      <c r="H2023" s="5" t="s">
        <v>468</v>
      </c>
      <c r="I2023" s="5" t="s">
        <v>469</v>
      </c>
      <c r="J2023" s="5">
        <v>15.758042834655001</v>
      </c>
      <c r="K2023" s="5">
        <v>-96.140155395988998</v>
      </c>
      <c r="L2023" s="5" t="str">
        <f>HYPERLINK("https://maps.google.com/?q=15.758042834654955,-96.14015539598897", "🔗 Ver Mapa")</f>
        <v>🔗 Ver Mapa</v>
      </c>
    </row>
    <row r="2024" spans="1:12" ht="43.5" x14ac:dyDescent="0.35">
      <c r="A2024" s="6" t="s">
        <v>288</v>
      </c>
      <c r="B2024" s="6" t="s">
        <v>289</v>
      </c>
      <c r="C2024" s="6" t="s">
        <v>472</v>
      </c>
      <c r="D2024" s="6" t="s">
        <v>414</v>
      </c>
      <c r="E2024" s="6" t="s">
        <v>17</v>
      </c>
      <c r="F2024" s="6" t="s">
        <v>20</v>
      </c>
      <c r="G2024" s="6" t="s">
        <v>208</v>
      </c>
      <c r="H2024" s="6" t="s">
        <v>468</v>
      </c>
      <c r="I2024" s="6" t="s">
        <v>469</v>
      </c>
      <c r="J2024" s="6">
        <v>15.758061062856999</v>
      </c>
      <c r="K2024" s="6">
        <v>-96.138793632600994</v>
      </c>
      <c r="L2024" s="6" t="str">
        <f>HYPERLINK("https://maps.google.com/?q=15.758061062857239,-96.138793632601462", "🔗 Ver Mapa")</f>
        <v>🔗 Ver Mapa</v>
      </c>
    </row>
    <row r="2025" spans="1:12" ht="43.5" x14ac:dyDescent="0.35">
      <c r="A2025" s="5" t="s">
        <v>288</v>
      </c>
      <c r="B2025" s="5" t="s">
        <v>289</v>
      </c>
      <c r="C2025" s="5" t="s">
        <v>472</v>
      </c>
      <c r="D2025" s="5" t="s">
        <v>414</v>
      </c>
      <c r="E2025" s="5" t="s">
        <v>17</v>
      </c>
      <c r="F2025" s="5" t="s">
        <v>20</v>
      </c>
      <c r="G2025" s="5" t="s">
        <v>208</v>
      </c>
      <c r="H2025" s="5" t="s">
        <v>468</v>
      </c>
      <c r="I2025" s="5" t="s">
        <v>469</v>
      </c>
      <c r="J2025" s="5">
        <v>15.758087320367</v>
      </c>
      <c r="K2025" s="5">
        <v>-96.144920062400999</v>
      </c>
      <c r="L2025" s="5" t="str">
        <f>HYPERLINK("https://maps.google.com/?q=15.758087320367228,-96.144920062400843", "🔗 Ver Mapa")</f>
        <v>🔗 Ver Mapa</v>
      </c>
    </row>
    <row r="2026" spans="1:12" ht="43.5" x14ac:dyDescent="0.35">
      <c r="A2026" s="6" t="s">
        <v>288</v>
      </c>
      <c r="B2026" s="6" t="s">
        <v>289</v>
      </c>
      <c r="C2026" s="6" t="s">
        <v>472</v>
      </c>
      <c r="D2026" s="6" t="s">
        <v>414</v>
      </c>
      <c r="E2026" s="6" t="s">
        <v>17</v>
      </c>
      <c r="F2026" s="6" t="s">
        <v>20</v>
      </c>
      <c r="G2026" s="6" t="s">
        <v>208</v>
      </c>
      <c r="H2026" s="6" t="s">
        <v>468</v>
      </c>
      <c r="I2026" s="6" t="s">
        <v>469</v>
      </c>
      <c r="J2026" s="6">
        <v>15.758149322369</v>
      </c>
      <c r="K2026" s="6">
        <v>-96.145516023507994</v>
      </c>
      <c r="L2026" s="6" t="str">
        <f>HYPERLINK("https://maps.google.com/?q=15.75814932236936,-96.14551602350798", "🔗 Ver Mapa")</f>
        <v>🔗 Ver Mapa</v>
      </c>
    </row>
    <row r="2027" spans="1:12" ht="43.5" x14ac:dyDescent="0.35">
      <c r="A2027" s="5" t="s">
        <v>288</v>
      </c>
      <c r="B2027" s="5" t="s">
        <v>289</v>
      </c>
      <c r="C2027" s="5" t="s">
        <v>472</v>
      </c>
      <c r="D2027" s="5" t="s">
        <v>414</v>
      </c>
      <c r="E2027" s="5" t="s">
        <v>17</v>
      </c>
      <c r="F2027" s="5" t="s">
        <v>20</v>
      </c>
      <c r="G2027" s="5" t="s">
        <v>208</v>
      </c>
      <c r="H2027" s="5" t="s">
        <v>468</v>
      </c>
      <c r="I2027" s="5" t="s">
        <v>469</v>
      </c>
      <c r="J2027" s="5">
        <v>15.758159999047001</v>
      </c>
      <c r="K2027" s="5">
        <v>-96.143576183251994</v>
      </c>
      <c r="L2027" s="5" t="str">
        <f>HYPERLINK("https://maps.google.com/?q=15.758159999047098,-96.143576183252236", "🔗 Ver Mapa")</f>
        <v>🔗 Ver Mapa</v>
      </c>
    </row>
    <row r="2028" spans="1:12" ht="43.5" x14ac:dyDescent="0.35">
      <c r="A2028" s="6" t="s">
        <v>288</v>
      </c>
      <c r="B2028" s="6" t="s">
        <v>289</v>
      </c>
      <c r="C2028" s="6" t="s">
        <v>472</v>
      </c>
      <c r="D2028" s="6" t="s">
        <v>414</v>
      </c>
      <c r="E2028" s="6" t="s">
        <v>17</v>
      </c>
      <c r="F2028" s="6" t="s">
        <v>20</v>
      </c>
      <c r="G2028" s="6" t="s">
        <v>208</v>
      </c>
      <c r="H2028" s="6" t="s">
        <v>468</v>
      </c>
      <c r="I2028" s="6" t="s">
        <v>469</v>
      </c>
      <c r="J2028" s="6">
        <v>15.758202916816</v>
      </c>
      <c r="K2028" s="6">
        <v>-96.142717643207007</v>
      </c>
      <c r="L2028" s="6" t="str">
        <f>HYPERLINK("https://maps.google.com/?q=15.758202916816476,-96.142717643207391", "🔗 Ver Mapa")</f>
        <v>🔗 Ver Mapa</v>
      </c>
    </row>
    <row r="2029" spans="1:12" ht="43.5" x14ac:dyDescent="0.35">
      <c r="A2029" s="5" t="s">
        <v>288</v>
      </c>
      <c r="B2029" s="5" t="s">
        <v>289</v>
      </c>
      <c r="C2029" s="5" t="s">
        <v>472</v>
      </c>
      <c r="D2029" s="5" t="s">
        <v>414</v>
      </c>
      <c r="E2029" s="5" t="s">
        <v>17</v>
      </c>
      <c r="F2029" s="5" t="s">
        <v>20</v>
      </c>
      <c r="G2029" s="5" t="s">
        <v>208</v>
      </c>
      <c r="H2029" s="5" t="s">
        <v>468</v>
      </c>
      <c r="I2029" s="5" t="s">
        <v>469</v>
      </c>
      <c r="J2029" s="5">
        <v>15.758462638388</v>
      </c>
      <c r="K2029" s="5">
        <v>-96.144616398718</v>
      </c>
      <c r="L2029" s="5" t="str">
        <f>HYPERLINK("https://maps.google.com/?q=15.758462638387938,-96.144616398717588", "🔗 Ver Mapa")</f>
        <v>🔗 Ver Mapa</v>
      </c>
    </row>
    <row r="2030" spans="1:12" ht="43.5" x14ac:dyDescent="0.35">
      <c r="A2030" s="6" t="s">
        <v>288</v>
      </c>
      <c r="B2030" s="6" t="s">
        <v>289</v>
      </c>
      <c r="C2030" s="6" t="s">
        <v>472</v>
      </c>
      <c r="D2030" s="6" t="s">
        <v>414</v>
      </c>
      <c r="E2030" s="6" t="s">
        <v>17</v>
      </c>
      <c r="F2030" s="6" t="s">
        <v>20</v>
      </c>
      <c r="G2030" s="6" t="s">
        <v>208</v>
      </c>
      <c r="H2030" s="6" t="s">
        <v>468</v>
      </c>
      <c r="I2030" s="6" t="s">
        <v>469</v>
      </c>
      <c r="J2030" s="6">
        <v>15.758481968663</v>
      </c>
      <c r="K2030" s="6">
        <v>-96.142648459284004</v>
      </c>
      <c r="L2030" s="6" t="str">
        <f>HYPERLINK("https://maps.google.com/?q=15.758481968663094,-96.142648459283748", "🔗 Ver Mapa")</f>
        <v>🔗 Ver Mapa</v>
      </c>
    </row>
    <row r="2031" spans="1:12" ht="43.5" x14ac:dyDescent="0.35">
      <c r="A2031" s="5" t="s">
        <v>288</v>
      </c>
      <c r="B2031" s="5" t="s">
        <v>289</v>
      </c>
      <c r="C2031" s="5" t="s">
        <v>472</v>
      </c>
      <c r="D2031" s="5" t="s">
        <v>414</v>
      </c>
      <c r="E2031" s="5" t="s">
        <v>17</v>
      </c>
      <c r="F2031" s="5" t="s">
        <v>20</v>
      </c>
      <c r="G2031" s="5" t="s">
        <v>208</v>
      </c>
      <c r="H2031" s="5" t="s">
        <v>468</v>
      </c>
      <c r="I2031" s="5" t="s">
        <v>469</v>
      </c>
      <c r="J2031" s="5">
        <v>15.75849413968</v>
      </c>
      <c r="K2031" s="5">
        <v>-96.139449667022006</v>
      </c>
      <c r="L2031" s="5" t="str">
        <f>HYPERLINK("https://maps.google.com/?q=15.758494139680273,-96.139449667022291", "🔗 Ver Mapa")</f>
        <v>🔗 Ver Mapa</v>
      </c>
    </row>
    <row r="2032" spans="1:12" ht="43.5" x14ac:dyDescent="0.35">
      <c r="A2032" s="6" t="s">
        <v>288</v>
      </c>
      <c r="B2032" s="6" t="s">
        <v>289</v>
      </c>
      <c r="C2032" s="6" t="s">
        <v>472</v>
      </c>
      <c r="D2032" s="6" t="s">
        <v>414</v>
      </c>
      <c r="E2032" s="6" t="s">
        <v>17</v>
      </c>
      <c r="F2032" s="6" t="s">
        <v>20</v>
      </c>
      <c r="G2032" s="6" t="s">
        <v>208</v>
      </c>
      <c r="H2032" s="6" t="s">
        <v>468</v>
      </c>
      <c r="I2032" s="6" t="s">
        <v>469</v>
      </c>
      <c r="J2032" s="6">
        <v>15.758558918322001</v>
      </c>
      <c r="K2032" s="6">
        <v>-96.141630909357005</v>
      </c>
      <c r="L2032" s="6" t="str">
        <f>HYPERLINK("https://maps.google.com/?q=15.758558918321594,-96.141630909356863", "🔗 Ver Mapa")</f>
        <v>🔗 Ver Mapa</v>
      </c>
    </row>
    <row r="2033" spans="1:12" ht="43.5" x14ac:dyDescent="0.35">
      <c r="A2033" s="5" t="s">
        <v>288</v>
      </c>
      <c r="B2033" s="5" t="s">
        <v>289</v>
      </c>
      <c r="C2033" s="5" t="s">
        <v>472</v>
      </c>
      <c r="D2033" s="5" t="s">
        <v>414</v>
      </c>
      <c r="E2033" s="5" t="s">
        <v>17</v>
      </c>
      <c r="F2033" s="5" t="s">
        <v>20</v>
      </c>
      <c r="G2033" s="5" t="s">
        <v>208</v>
      </c>
      <c r="H2033" s="5" t="s">
        <v>468</v>
      </c>
      <c r="I2033" s="5" t="s">
        <v>469</v>
      </c>
      <c r="J2033" s="5">
        <v>15.758630159060001</v>
      </c>
      <c r="K2033" s="5">
        <v>-96.144306315359998</v>
      </c>
      <c r="L2033" s="5" t="str">
        <f>HYPERLINK("https://maps.google.com/?q=15.758630159059898,-96.144306315359898", "🔗 Ver Mapa")</f>
        <v>🔗 Ver Mapa</v>
      </c>
    </row>
    <row r="2034" spans="1:12" ht="43.5" x14ac:dyDescent="0.35">
      <c r="A2034" s="6" t="s">
        <v>288</v>
      </c>
      <c r="B2034" s="6" t="s">
        <v>289</v>
      </c>
      <c r="C2034" s="6" t="s">
        <v>472</v>
      </c>
      <c r="D2034" s="6" t="s">
        <v>414</v>
      </c>
      <c r="E2034" s="6" t="s">
        <v>17</v>
      </c>
      <c r="F2034" s="6" t="s">
        <v>20</v>
      </c>
      <c r="G2034" s="6" t="s">
        <v>208</v>
      </c>
      <c r="H2034" s="6" t="s">
        <v>468</v>
      </c>
      <c r="I2034" s="6" t="s">
        <v>469</v>
      </c>
      <c r="J2034" s="6">
        <v>15.758813595395999</v>
      </c>
      <c r="K2034" s="6">
        <v>-96.139706302543004</v>
      </c>
      <c r="L2034" s="6" t="str">
        <f>HYPERLINK("https://maps.google.com/?q=15.758813595395859,-96.139706302542962", "🔗 Ver Mapa")</f>
        <v>🔗 Ver Mapa</v>
      </c>
    </row>
    <row r="2035" spans="1:12" ht="43.5" x14ac:dyDescent="0.35">
      <c r="A2035" s="5" t="s">
        <v>288</v>
      </c>
      <c r="B2035" s="5" t="s">
        <v>289</v>
      </c>
      <c r="C2035" s="5" t="s">
        <v>472</v>
      </c>
      <c r="D2035" s="5" t="s">
        <v>414</v>
      </c>
      <c r="E2035" s="5" t="s">
        <v>17</v>
      </c>
      <c r="F2035" s="5" t="s">
        <v>20</v>
      </c>
      <c r="G2035" s="5" t="s">
        <v>208</v>
      </c>
      <c r="H2035" s="5" t="s">
        <v>468</v>
      </c>
      <c r="I2035" s="5" t="s">
        <v>469</v>
      </c>
      <c r="J2035" s="5">
        <v>15.758856058587</v>
      </c>
      <c r="K2035" s="5">
        <v>-96.142251553861996</v>
      </c>
      <c r="L2035" s="5" t="str">
        <f>HYPERLINK("https://maps.google.com/?q=15.758856058587176,-96.142251553862224", "🔗 Ver Mapa")</f>
        <v>🔗 Ver Mapa</v>
      </c>
    </row>
    <row r="2036" spans="1:12" ht="43.5" x14ac:dyDescent="0.35">
      <c r="A2036" s="6" t="s">
        <v>288</v>
      </c>
      <c r="B2036" s="6" t="s">
        <v>289</v>
      </c>
      <c r="C2036" s="6" t="s">
        <v>472</v>
      </c>
      <c r="D2036" s="6" t="s">
        <v>414</v>
      </c>
      <c r="E2036" s="6" t="s">
        <v>17</v>
      </c>
      <c r="F2036" s="6" t="s">
        <v>20</v>
      </c>
      <c r="G2036" s="6" t="s">
        <v>208</v>
      </c>
      <c r="H2036" s="6" t="s">
        <v>468</v>
      </c>
      <c r="I2036" s="6" t="s">
        <v>469</v>
      </c>
      <c r="J2036" s="6">
        <v>15.758960269328</v>
      </c>
      <c r="K2036" s="6">
        <v>-96.139872105262</v>
      </c>
      <c r="L2036" s="6" t="str">
        <f>HYPERLINK("https://maps.google.com/?q=15.7589602693279,-96.139872105262356", "🔗 Ver Mapa")</f>
        <v>🔗 Ver Mapa</v>
      </c>
    </row>
    <row r="2037" spans="1:12" ht="43.5" x14ac:dyDescent="0.35">
      <c r="A2037" s="5" t="s">
        <v>288</v>
      </c>
      <c r="B2037" s="5" t="s">
        <v>289</v>
      </c>
      <c r="C2037" s="5" t="s">
        <v>472</v>
      </c>
      <c r="D2037" s="5" t="s">
        <v>414</v>
      </c>
      <c r="E2037" s="5" t="s">
        <v>17</v>
      </c>
      <c r="F2037" s="5" t="s">
        <v>20</v>
      </c>
      <c r="G2037" s="5" t="s">
        <v>208</v>
      </c>
      <c r="H2037" s="5" t="s">
        <v>468</v>
      </c>
      <c r="I2037" s="5" t="s">
        <v>469</v>
      </c>
      <c r="J2037" s="5">
        <v>15.759178967969</v>
      </c>
      <c r="K2037" s="5">
        <v>-96.140708331859997</v>
      </c>
      <c r="L2037" s="5" t="str">
        <f>HYPERLINK("https://maps.google.com/?q=15.759178967969467,-96.140708331860182", "🔗 Ver Mapa")</f>
        <v>🔗 Ver Mapa</v>
      </c>
    </row>
    <row r="2038" spans="1:12" ht="43.5" x14ac:dyDescent="0.35">
      <c r="A2038" s="6" t="s">
        <v>288</v>
      </c>
      <c r="B2038" s="6" t="s">
        <v>289</v>
      </c>
      <c r="C2038" s="6" t="s">
        <v>472</v>
      </c>
      <c r="D2038" s="6" t="s">
        <v>414</v>
      </c>
      <c r="E2038" s="6" t="s">
        <v>17</v>
      </c>
      <c r="F2038" s="6" t="s">
        <v>20</v>
      </c>
      <c r="G2038" s="6" t="s">
        <v>208</v>
      </c>
      <c r="H2038" s="6" t="s">
        <v>468</v>
      </c>
      <c r="I2038" s="6" t="s">
        <v>469</v>
      </c>
      <c r="J2038" s="6">
        <v>15.759335738055</v>
      </c>
      <c r="K2038" s="6">
        <v>-96.140267839133003</v>
      </c>
      <c r="L2038" s="6" t="str">
        <f>HYPERLINK("https://maps.google.com/?q=15.759335738054896,-96.140267839132846", "🔗 Ver Mapa")</f>
        <v>🔗 Ver Mapa</v>
      </c>
    </row>
    <row r="2039" spans="1:12" ht="43.5" x14ac:dyDescent="0.35">
      <c r="A2039" s="5" t="s">
        <v>288</v>
      </c>
      <c r="B2039" s="5" t="s">
        <v>289</v>
      </c>
      <c r="C2039" s="5" t="s">
        <v>472</v>
      </c>
      <c r="D2039" s="5" t="s">
        <v>414</v>
      </c>
      <c r="E2039" s="5" t="s">
        <v>17</v>
      </c>
      <c r="F2039" s="5" t="s">
        <v>20</v>
      </c>
      <c r="G2039" s="5" t="s">
        <v>208</v>
      </c>
      <c r="H2039" s="5" t="s">
        <v>468</v>
      </c>
      <c r="I2039" s="5" t="s">
        <v>469</v>
      </c>
      <c r="J2039" s="5">
        <v>15.759344679691999</v>
      </c>
      <c r="K2039" s="5">
        <v>-96.140948472749997</v>
      </c>
      <c r="L2039" s="5" t="str">
        <f>HYPERLINK("https://maps.google.com/?q=15.759344679691674,-96.140948472749599", "🔗 Ver Mapa")</f>
        <v>🔗 Ver Mapa</v>
      </c>
    </row>
    <row r="2040" spans="1:12" ht="43.5" x14ac:dyDescent="0.35">
      <c r="A2040" s="6" t="s">
        <v>288</v>
      </c>
      <c r="B2040" s="6" t="s">
        <v>289</v>
      </c>
      <c r="C2040" s="6" t="s">
        <v>472</v>
      </c>
      <c r="D2040" s="6" t="s">
        <v>414</v>
      </c>
      <c r="E2040" s="6" t="s">
        <v>17</v>
      </c>
      <c r="F2040" s="6" t="s">
        <v>20</v>
      </c>
      <c r="G2040" s="6" t="s">
        <v>208</v>
      </c>
      <c r="H2040" s="6" t="s">
        <v>468</v>
      </c>
      <c r="I2040" s="6" t="s">
        <v>469</v>
      </c>
      <c r="J2040" s="6">
        <v>15.759447396979001</v>
      </c>
      <c r="K2040" s="6">
        <v>-96.140518062427006</v>
      </c>
      <c r="L2040" s="6" t="str">
        <f>HYPERLINK("https://maps.google.com/?q=15.759447396978933,-96.140518062427304", "🔗 Ver Mapa")</f>
        <v>🔗 Ver Mapa</v>
      </c>
    </row>
    <row r="2041" spans="1:12" ht="43.5" x14ac:dyDescent="0.35">
      <c r="A2041" s="5" t="s">
        <v>288</v>
      </c>
      <c r="B2041" s="5" t="s">
        <v>289</v>
      </c>
      <c r="C2041" s="5" t="s">
        <v>472</v>
      </c>
      <c r="D2041" s="5" t="s">
        <v>414</v>
      </c>
      <c r="E2041" s="5" t="s">
        <v>17</v>
      </c>
      <c r="F2041" s="5" t="s">
        <v>20</v>
      </c>
      <c r="G2041" s="5" t="s">
        <v>208</v>
      </c>
      <c r="H2041" s="5" t="s">
        <v>468</v>
      </c>
      <c r="I2041" s="5" t="s">
        <v>469</v>
      </c>
      <c r="J2041" s="5">
        <v>15.759648524808</v>
      </c>
      <c r="K2041" s="5">
        <v>-96.141391840043994</v>
      </c>
      <c r="L2041" s="5" t="str">
        <f>HYPERLINK("https://maps.google.com/?q=15.75964852480774,-96.141391840043809", "🔗 Ver Mapa")</f>
        <v>🔗 Ver Mapa</v>
      </c>
    </row>
    <row r="2042" spans="1:12" ht="43.5" x14ac:dyDescent="0.35">
      <c r="A2042" s="6" t="s">
        <v>288</v>
      </c>
      <c r="B2042" s="6" t="s">
        <v>289</v>
      </c>
      <c r="C2042" s="6" t="s">
        <v>472</v>
      </c>
      <c r="D2042" s="6" t="s">
        <v>414</v>
      </c>
      <c r="E2042" s="6" t="s">
        <v>17</v>
      </c>
      <c r="F2042" s="6" t="s">
        <v>20</v>
      </c>
      <c r="G2042" s="6" t="s">
        <v>208</v>
      </c>
      <c r="H2042" s="6" t="s">
        <v>468</v>
      </c>
      <c r="I2042" s="6" t="s">
        <v>469</v>
      </c>
      <c r="J2042" s="6">
        <v>15.759927514818999</v>
      </c>
      <c r="K2042" s="6">
        <v>-96.142693502997005</v>
      </c>
      <c r="L2042" s="6" t="str">
        <f>HYPERLINK("https://maps.google.com/?q=15.759927514819415,-96.14269350299692", "🔗 Ver Mapa")</f>
        <v>🔗 Ver Mapa</v>
      </c>
    </row>
    <row r="2043" spans="1:12" ht="43.5" x14ac:dyDescent="0.35">
      <c r="A2043" s="5" t="s">
        <v>288</v>
      </c>
      <c r="B2043" s="5" t="s">
        <v>289</v>
      </c>
      <c r="C2043" s="5" t="s">
        <v>472</v>
      </c>
      <c r="D2043" s="5" t="s">
        <v>414</v>
      </c>
      <c r="E2043" s="5" t="s">
        <v>17</v>
      </c>
      <c r="F2043" s="5" t="s">
        <v>20</v>
      </c>
      <c r="G2043" s="5" t="s">
        <v>208</v>
      </c>
      <c r="H2043" s="5" t="s">
        <v>468</v>
      </c>
      <c r="I2043" s="5" t="s">
        <v>469</v>
      </c>
      <c r="J2043" s="5">
        <v>15.75997814079</v>
      </c>
      <c r="K2043" s="5">
        <v>-96.142422354611995</v>
      </c>
      <c r="L2043" s="5" t="str">
        <f>HYPERLINK("https://maps.google.com/?q=15.759978140790283,-96.142422354611625", "🔗 Ver Mapa")</f>
        <v>🔗 Ver Mapa</v>
      </c>
    </row>
    <row r="2044" spans="1:12" ht="43.5" x14ac:dyDescent="0.35">
      <c r="A2044" s="6" t="s">
        <v>288</v>
      </c>
      <c r="B2044" s="6" t="s">
        <v>289</v>
      </c>
      <c r="C2044" s="6" t="s">
        <v>472</v>
      </c>
      <c r="D2044" s="6" t="s">
        <v>414</v>
      </c>
      <c r="E2044" s="6" t="s">
        <v>17</v>
      </c>
      <c r="F2044" s="6" t="s">
        <v>20</v>
      </c>
      <c r="G2044" s="6" t="s">
        <v>208</v>
      </c>
      <c r="H2044" s="6" t="s">
        <v>468</v>
      </c>
      <c r="I2044" s="6" t="s">
        <v>469</v>
      </c>
      <c r="J2044" s="6">
        <v>15.760014349912</v>
      </c>
      <c r="K2044" s="6">
        <v>-96.141741085809997</v>
      </c>
      <c r="L2044" s="6" t="str">
        <f>HYPERLINK("https://maps.google.com/?q=15.760014349911666,-96.141741085810125", "🔗 Ver Mapa")</f>
        <v>🔗 Ver Mapa</v>
      </c>
    </row>
    <row r="2045" spans="1:12" ht="43.5" x14ac:dyDescent="0.35">
      <c r="A2045" s="5" t="s">
        <v>288</v>
      </c>
      <c r="B2045" s="5" t="s">
        <v>289</v>
      </c>
      <c r="C2045" s="5" t="s">
        <v>472</v>
      </c>
      <c r="D2045" s="5" t="s">
        <v>414</v>
      </c>
      <c r="E2045" s="5" t="s">
        <v>17</v>
      </c>
      <c r="F2045" s="5" t="s">
        <v>20</v>
      </c>
      <c r="G2045" s="5" t="s">
        <v>208</v>
      </c>
      <c r="H2045" s="5" t="s">
        <v>468</v>
      </c>
      <c r="I2045" s="5" t="s">
        <v>469</v>
      </c>
      <c r="J2045" s="5">
        <v>15.760318529731</v>
      </c>
      <c r="K2045" s="5">
        <v>-96.141522339402002</v>
      </c>
      <c r="L2045" s="5" t="str">
        <f>HYPERLINK("https://maps.google.com/?q=15.76031852973088,-96.141522339402442", "🔗 Ver Mapa")</f>
        <v>🔗 Ver Mapa</v>
      </c>
    </row>
    <row r="2046" spans="1:12" ht="43.5" x14ac:dyDescent="0.35">
      <c r="A2046" s="6" t="s">
        <v>288</v>
      </c>
      <c r="B2046" s="6" t="s">
        <v>289</v>
      </c>
      <c r="C2046" s="6" t="s">
        <v>472</v>
      </c>
      <c r="D2046" s="6" t="s">
        <v>414</v>
      </c>
      <c r="E2046" s="6" t="s">
        <v>17</v>
      </c>
      <c r="F2046" s="6" t="s">
        <v>20</v>
      </c>
      <c r="G2046" s="6" t="s">
        <v>208</v>
      </c>
      <c r="H2046" s="6" t="s">
        <v>468</v>
      </c>
      <c r="I2046" s="6" t="s">
        <v>469</v>
      </c>
      <c r="J2046" s="6">
        <v>15.760562320788001</v>
      </c>
      <c r="K2046" s="6">
        <v>-96.141518925184997</v>
      </c>
      <c r="L2046" s="6" t="str">
        <f>HYPERLINK("https://maps.google.com/?q=15.760562320787766,-96.141518925184585", "🔗 Ver Mapa")</f>
        <v>🔗 Ver Mapa</v>
      </c>
    </row>
    <row r="2047" spans="1:12" ht="43.5" x14ac:dyDescent="0.35">
      <c r="A2047" s="5" t="s">
        <v>288</v>
      </c>
      <c r="B2047" s="5" t="s">
        <v>289</v>
      </c>
      <c r="C2047" s="5" t="s">
        <v>472</v>
      </c>
      <c r="D2047" s="5" t="s">
        <v>414</v>
      </c>
      <c r="E2047" s="5" t="s">
        <v>17</v>
      </c>
      <c r="F2047" s="5" t="s">
        <v>20</v>
      </c>
      <c r="G2047" s="5" t="s">
        <v>208</v>
      </c>
      <c r="H2047" s="5" t="s">
        <v>468</v>
      </c>
      <c r="I2047" s="5" t="s">
        <v>469</v>
      </c>
      <c r="J2047" s="5">
        <v>15.760653470975001</v>
      </c>
      <c r="K2047" s="5">
        <v>-96.141582927355003</v>
      </c>
      <c r="L2047" s="5" t="str">
        <f>HYPERLINK("https://maps.google.com/?q=15.760653470974681,-96.141582927354875", "🔗 Ver Mapa")</f>
        <v>🔗 Ver Mapa</v>
      </c>
    </row>
    <row r="2048" spans="1:12" ht="43.5" x14ac:dyDescent="0.35">
      <c r="A2048" s="6" t="s">
        <v>288</v>
      </c>
      <c r="B2048" s="6" t="s">
        <v>289</v>
      </c>
      <c r="C2048" s="6" t="s">
        <v>472</v>
      </c>
      <c r="D2048" s="6" t="s">
        <v>414</v>
      </c>
      <c r="E2048" s="6" t="s">
        <v>17</v>
      </c>
      <c r="F2048" s="6" t="s">
        <v>20</v>
      </c>
      <c r="G2048" s="6" t="s">
        <v>208</v>
      </c>
      <c r="H2048" s="6" t="s">
        <v>468</v>
      </c>
      <c r="I2048" s="6" t="s">
        <v>469</v>
      </c>
      <c r="J2048" s="6">
        <v>15.760753885530001</v>
      </c>
      <c r="K2048" s="6">
        <v>-96.150617995600996</v>
      </c>
      <c r="L2048" s="6" t="str">
        <f>HYPERLINK("https://maps.google.com/?q=15.760753885529866,-96.150617995601024", "🔗 Ver Mapa")</f>
        <v>🔗 Ver Mapa</v>
      </c>
    </row>
    <row r="2049" spans="1:12" ht="43.5" x14ac:dyDescent="0.35">
      <c r="A2049" s="5" t="s">
        <v>288</v>
      </c>
      <c r="B2049" s="5" t="s">
        <v>289</v>
      </c>
      <c r="C2049" s="5" t="s">
        <v>472</v>
      </c>
      <c r="D2049" s="5" t="s">
        <v>414</v>
      </c>
      <c r="E2049" s="5" t="s">
        <v>17</v>
      </c>
      <c r="F2049" s="5" t="s">
        <v>20</v>
      </c>
      <c r="G2049" s="5" t="s">
        <v>208</v>
      </c>
      <c r="H2049" s="5" t="s">
        <v>468</v>
      </c>
      <c r="I2049" s="5" t="s">
        <v>469</v>
      </c>
      <c r="J2049" s="5">
        <v>15.761038302199999</v>
      </c>
      <c r="K2049" s="5">
        <v>-96.149578882526001</v>
      </c>
      <c r="L2049" s="5" t="str">
        <f>HYPERLINK("https://maps.google.com/?q=15.76103830220048,-96.149578882526228", "🔗 Ver Mapa")</f>
        <v>🔗 Ver Mapa</v>
      </c>
    </row>
    <row r="2050" spans="1:12" ht="43.5" x14ac:dyDescent="0.35">
      <c r="A2050" s="6" t="s">
        <v>288</v>
      </c>
      <c r="B2050" s="6" t="s">
        <v>289</v>
      </c>
      <c r="C2050" s="6" t="s">
        <v>472</v>
      </c>
      <c r="D2050" s="6" t="s">
        <v>414</v>
      </c>
      <c r="E2050" s="6" t="s">
        <v>17</v>
      </c>
      <c r="F2050" s="6" t="s">
        <v>20</v>
      </c>
      <c r="G2050" s="6" t="s">
        <v>208</v>
      </c>
      <c r="H2050" s="6" t="s">
        <v>468</v>
      </c>
      <c r="I2050" s="6" t="s">
        <v>469</v>
      </c>
      <c r="J2050" s="6">
        <v>15.761477524286001</v>
      </c>
      <c r="K2050" s="6">
        <v>-96.143128757379003</v>
      </c>
      <c r="L2050" s="6" t="str">
        <f>HYPERLINK("https://maps.google.com/?q=15.76147752428582,-96.143128757378634", "🔗 Ver Mapa")</f>
        <v>🔗 Ver Mapa</v>
      </c>
    </row>
    <row r="2051" spans="1:12" ht="43.5" x14ac:dyDescent="0.35">
      <c r="A2051" s="5" t="s">
        <v>288</v>
      </c>
      <c r="B2051" s="5" t="s">
        <v>289</v>
      </c>
      <c r="C2051" s="5" t="s">
        <v>472</v>
      </c>
      <c r="D2051" s="5" t="s">
        <v>414</v>
      </c>
      <c r="E2051" s="5" t="s">
        <v>17</v>
      </c>
      <c r="F2051" s="5" t="s">
        <v>20</v>
      </c>
      <c r="G2051" s="5" t="s">
        <v>208</v>
      </c>
      <c r="H2051" s="5" t="s">
        <v>468</v>
      </c>
      <c r="I2051" s="5" t="s">
        <v>469</v>
      </c>
      <c r="J2051" s="5">
        <v>15.761573080099</v>
      </c>
      <c r="K2051" s="5">
        <v>-96.143528419977002</v>
      </c>
      <c r="L2051" s="5" t="str">
        <f>HYPERLINK("https://maps.google.com/?q=15.761573080098627,-96.143528419977102", "🔗 Ver Mapa")</f>
        <v>🔗 Ver Mapa</v>
      </c>
    </row>
    <row r="2052" spans="1:12" ht="43.5" x14ac:dyDescent="0.35">
      <c r="A2052" s="6" t="s">
        <v>288</v>
      </c>
      <c r="B2052" s="6" t="s">
        <v>289</v>
      </c>
      <c r="C2052" s="6" t="s">
        <v>472</v>
      </c>
      <c r="D2052" s="6" t="s">
        <v>414</v>
      </c>
      <c r="E2052" s="6" t="s">
        <v>17</v>
      </c>
      <c r="F2052" s="6" t="s">
        <v>20</v>
      </c>
      <c r="G2052" s="6" t="s">
        <v>208</v>
      </c>
      <c r="H2052" s="6" t="s">
        <v>468</v>
      </c>
      <c r="I2052" s="6" t="s">
        <v>469</v>
      </c>
      <c r="J2052" s="6">
        <v>15.761848732101001</v>
      </c>
      <c r="K2052" s="6">
        <v>-96.143888260368001</v>
      </c>
      <c r="L2052" s="6" t="str">
        <f>HYPERLINK("https://maps.google.com/?q=15.761848732100853,-96.143888260368087", "🔗 Ver Mapa")</f>
        <v>🔗 Ver Mapa</v>
      </c>
    </row>
    <row r="2053" spans="1:12" ht="43.5" x14ac:dyDescent="0.35">
      <c r="A2053" s="5" t="s">
        <v>288</v>
      </c>
      <c r="B2053" s="5" t="s">
        <v>289</v>
      </c>
      <c r="C2053" s="5" t="s">
        <v>472</v>
      </c>
      <c r="D2053" s="5" t="s">
        <v>414</v>
      </c>
      <c r="E2053" s="5" t="s">
        <v>17</v>
      </c>
      <c r="F2053" s="5" t="s">
        <v>20</v>
      </c>
      <c r="G2053" s="5" t="s">
        <v>208</v>
      </c>
      <c r="H2053" s="5" t="s">
        <v>468</v>
      </c>
      <c r="I2053" s="5" t="s">
        <v>469</v>
      </c>
      <c r="J2053" s="5">
        <v>15.761869384466999</v>
      </c>
      <c r="K2053" s="5">
        <v>-96.144773903916004</v>
      </c>
      <c r="L2053" s="5" t="str">
        <f>HYPERLINK("https://maps.google.com/?q=15.761869384466616,-96.144773903916047", "🔗 Ver Mapa")</f>
        <v>🔗 Ver Mapa</v>
      </c>
    </row>
    <row r="2054" spans="1:12" ht="43.5" x14ac:dyDescent="0.35">
      <c r="A2054" s="6" t="s">
        <v>288</v>
      </c>
      <c r="B2054" s="6" t="s">
        <v>289</v>
      </c>
      <c r="C2054" s="6" t="s">
        <v>472</v>
      </c>
      <c r="D2054" s="6" t="s">
        <v>414</v>
      </c>
      <c r="E2054" s="6" t="s">
        <v>17</v>
      </c>
      <c r="F2054" s="6" t="s">
        <v>20</v>
      </c>
      <c r="G2054" s="6" t="s">
        <v>208</v>
      </c>
      <c r="H2054" s="6" t="s">
        <v>468</v>
      </c>
      <c r="I2054" s="6" t="s">
        <v>469</v>
      </c>
      <c r="J2054" s="6">
        <v>15.761976433129</v>
      </c>
      <c r="K2054" s="6">
        <v>-96.146050016011998</v>
      </c>
      <c r="L2054" s="6" t="str">
        <f>HYPERLINK("https://maps.google.com/?q=15.761976433129382,-96.146050016011785", "🔗 Ver Mapa")</f>
        <v>🔗 Ver Mapa</v>
      </c>
    </row>
    <row r="2055" spans="1:12" ht="43.5" x14ac:dyDescent="0.35">
      <c r="A2055" s="5" t="s">
        <v>288</v>
      </c>
      <c r="B2055" s="5" t="s">
        <v>289</v>
      </c>
      <c r="C2055" s="5" t="s">
        <v>472</v>
      </c>
      <c r="D2055" s="5" t="s">
        <v>414</v>
      </c>
      <c r="E2055" s="5" t="s">
        <v>17</v>
      </c>
      <c r="F2055" s="5" t="s">
        <v>20</v>
      </c>
      <c r="G2055" s="5" t="s">
        <v>208</v>
      </c>
      <c r="H2055" s="5" t="s">
        <v>468</v>
      </c>
      <c r="I2055" s="5" t="s">
        <v>469</v>
      </c>
      <c r="J2055" s="5">
        <v>15.761989375065999</v>
      </c>
      <c r="K2055" s="5">
        <v>-96.146348255015994</v>
      </c>
      <c r="L2055" s="5" t="str">
        <f>HYPERLINK("https://maps.google.com/?q=15.761989375065818,-96.146348255015781", "🔗 Ver Mapa")</f>
        <v>🔗 Ver Mapa</v>
      </c>
    </row>
    <row r="2056" spans="1:12" ht="43.5" x14ac:dyDescent="0.35">
      <c r="A2056" s="6" t="s">
        <v>288</v>
      </c>
      <c r="B2056" s="6" t="s">
        <v>289</v>
      </c>
      <c r="C2056" s="6" t="s">
        <v>472</v>
      </c>
      <c r="D2056" s="6" t="s">
        <v>414</v>
      </c>
      <c r="E2056" s="6" t="s">
        <v>17</v>
      </c>
      <c r="F2056" s="6" t="s">
        <v>20</v>
      </c>
      <c r="G2056" s="6" t="s">
        <v>208</v>
      </c>
      <c r="H2056" s="6" t="s">
        <v>468</v>
      </c>
      <c r="I2056" s="6" t="s">
        <v>469</v>
      </c>
      <c r="J2056" s="6">
        <v>15.761995836800001</v>
      </c>
      <c r="K2056" s="6">
        <v>-96.146152326538001</v>
      </c>
      <c r="L2056" s="6" t="str">
        <f>HYPERLINK("https://maps.google.com/?q=15.761995836799521,-96.146152326537532", "🔗 Ver Mapa")</f>
        <v>🔗 Ver Mapa</v>
      </c>
    </row>
    <row r="2057" spans="1:12" ht="43.5" x14ac:dyDescent="0.35">
      <c r="A2057" s="5" t="s">
        <v>288</v>
      </c>
      <c r="B2057" s="5" t="s">
        <v>289</v>
      </c>
      <c r="C2057" s="5" t="s">
        <v>472</v>
      </c>
      <c r="D2057" s="5" t="s">
        <v>414</v>
      </c>
      <c r="E2057" s="5" t="s">
        <v>17</v>
      </c>
      <c r="F2057" s="5" t="s">
        <v>20</v>
      </c>
      <c r="G2057" s="5" t="s">
        <v>208</v>
      </c>
      <c r="H2057" s="5" t="s">
        <v>468</v>
      </c>
      <c r="I2057" s="5" t="s">
        <v>469</v>
      </c>
      <c r="J2057" s="5">
        <v>15.762472636371999</v>
      </c>
      <c r="K2057" s="5">
        <v>-96.144634905296996</v>
      </c>
      <c r="L2057" s="5" t="str">
        <f>HYPERLINK("https://maps.google.com/?q=15.76247263637186,-96.144634905297139", "🔗 Ver Mapa")</f>
        <v>🔗 Ver Mapa</v>
      </c>
    </row>
    <row r="2058" spans="1:12" ht="43.5" x14ac:dyDescent="0.35">
      <c r="A2058" s="6" t="s">
        <v>288</v>
      </c>
      <c r="B2058" s="6" t="s">
        <v>289</v>
      </c>
      <c r="C2058" s="6" t="s">
        <v>472</v>
      </c>
      <c r="D2058" s="6" t="s">
        <v>414</v>
      </c>
      <c r="E2058" s="6" t="s">
        <v>17</v>
      </c>
      <c r="F2058" s="6" t="s">
        <v>20</v>
      </c>
      <c r="G2058" s="6" t="s">
        <v>208</v>
      </c>
      <c r="H2058" s="6" t="s">
        <v>468</v>
      </c>
      <c r="I2058" s="6" t="s">
        <v>469</v>
      </c>
      <c r="J2058" s="6">
        <v>15.762541689966</v>
      </c>
      <c r="K2058" s="6">
        <v>-96.144391472555</v>
      </c>
      <c r="L2058" s="6" t="str">
        <f>HYPERLINK("https://maps.google.com/?q=15.762541689965937,-96.144391472555412", "🔗 Ver Mapa")</f>
        <v>🔗 Ver Mapa</v>
      </c>
    </row>
    <row r="2059" spans="1:12" ht="43.5" x14ac:dyDescent="0.35">
      <c r="A2059" s="5" t="s">
        <v>288</v>
      </c>
      <c r="B2059" s="5" t="s">
        <v>289</v>
      </c>
      <c r="C2059" s="5" t="s">
        <v>473</v>
      </c>
      <c r="D2059" s="5" t="s">
        <v>414</v>
      </c>
      <c r="E2059" s="5" t="s">
        <v>17</v>
      </c>
      <c r="F2059" s="5" t="s">
        <v>20</v>
      </c>
      <c r="G2059" s="5" t="s">
        <v>208</v>
      </c>
      <c r="H2059" s="5" t="s">
        <v>468</v>
      </c>
      <c r="I2059" s="5" t="s">
        <v>469</v>
      </c>
      <c r="J2059" s="5">
        <v>15.763383029703</v>
      </c>
      <c r="K2059" s="5">
        <v>-96.253970142309001</v>
      </c>
      <c r="L2059" s="5" t="str">
        <f>HYPERLINK("https://maps.google.com/?q=15.763383029702696,-96.253970142308873", "🔗 Ver Mapa")</f>
        <v>🔗 Ver Mapa</v>
      </c>
    </row>
    <row r="2060" spans="1:12" ht="43.5" x14ac:dyDescent="0.35">
      <c r="A2060" s="6" t="s">
        <v>288</v>
      </c>
      <c r="B2060" s="6" t="s">
        <v>289</v>
      </c>
      <c r="C2060" s="6" t="s">
        <v>473</v>
      </c>
      <c r="D2060" s="6" t="s">
        <v>414</v>
      </c>
      <c r="E2060" s="6" t="s">
        <v>17</v>
      </c>
      <c r="F2060" s="6" t="s">
        <v>20</v>
      </c>
      <c r="G2060" s="6" t="s">
        <v>208</v>
      </c>
      <c r="H2060" s="6" t="s">
        <v>468</v>
      </c>
      <c r="I2060" s="6" t="s">
        <v>469</v>
      </c>
      <c r="J2060" s="6">
        <v>15.768468537683001</v>
      </c>
      <c r="K2060" s="6">
        <v>-96.256886235124</v>
      </c>
      <c r="L2060" s="6" t="str">
        <f>HYPERLINK("https://maps.google.com/?q=15.768468537682882,-96.256886235124", "🔗 Ver Mapa")</f>
        <v>🔗 Ver Mapa</v>
      </c>
    </row>
    <row r="2061" spans="1:12" ht="43.5" x14ac:dyDescent="0.35">
      <c r="A2061" s="5" t="s">
        <v>288</v>
      </c>
      <c r="B2061" s="5" t="s">
        <v>289</v>
      </c>
      <c r="C2061" s="5" t="s">
        <v>473</v>
      </c>
      <c r="D2061" s="5" t="s">
        <v>414</v>
      </c>
      <c r="E2061" s="5" t="s">
        <v>17</v>
      </c>
      <c r="F2061" s="5" t="s">
        <v>20</v>
      </c>
      <c r="G2061" s="5" t="s">
        <v>208</v>
      </c>
      <c r="H2061" s="5" t="s">
        <v>468</v>
      </c>
      <c r="I2061" s="5" t="s">
        <v>469</v>
      </c>
      <c r="J2061" s="5">
        <v>15.768890945555</v>
      </c>
      <c r="K2061" s="5">
        <v>-96.235317400357005</v>
      </c>
      <c r="L2061" s="5" t="str">
        <f>HYPERLINK("https://maps.google.com/?q=15.768890945555327,-96.235317400357431", "🔗 Ver Mapa")</f>
        <v>🔗 Ver Mapa</v>
      </c>
    </row>
    <row r="2062" spans="1:12" ht="43.5" x14ac:dyDescent="0.35">
      <c r="A2062" s="6" t="s">
        <v>288</v>
      </c>
      <c r="B2062" s="6" t="s">
        <v>289</v>
      </c>
      <c r="C2062" s="6" t="s">
        <v>473</v>
      </c>
      <c r="D2062" s="6" t="s">
        <v>414</v>
      </c>
      <c r="E2062" s="6" t="s">
        <v>17</v>
      </c>
      <c r="F2062" s="6" t="s">
        <v>20</v>
      </c>
      <c r="G2062" s="6" t="s">
        <v>208</v>
      </c>
      <c r="H2062" s="6" t="s">
        <v>468</v>
      </c>
      <c r="I2062" s="6" t="s">
        <v>469</v>
      </c>
      <c r="J2062" s="6">
        <v>15.769293029995</v>
      </c>
      <c r="K2062" s="6">
        <v>-96.234976194726002</v>
      </c>
      <c r="L2062" s="6" t="str">
        <f>HYPERLINK("https://maps.google.com/?q=15.769293029994568,-96.234976194726144", "🔗 Ver Mapa")</f>
        <v>🔗 Ver Mapa</v>
      </c>
    </row>
    <row r="2063" spans="1:12" ht="43.5" x14ac:dyDescent="0.35">
      <c r="A2063" s="5" t="s">
        <v>288</v>
      </c>
      <c r="B2063" s="5" t="s">
        <v>289</v>
      </c>
      <c r="C2063" s="5" t="s">
        <v>473</v>
      </c>
      <c r="D2063" s="5" t="s">
        <v>414</v>
      </c>
      <c r="E2063" s="5" t="s">
        <v>17</v>
      </c>
      <c r="F2063" s="5" t="s">
        <v>20</v>
      </c>
      <c r="G2063" s="5" t="s">
        <v>208</v>
      </c>
      <c r="H2063" s="5" t="s">
        <v>468</v>
      </c>
      <c r="I2063" s="5" t="s">
        <v>469</v>
      </c>
      <c r="J2063" s="5">
        <v>15.769443695645</v>
      </c>
      <c r="K2063" s="5">
        <v>-96.234750314804003</v>
      </c>
      <c r="L2063" s="5" t="str">
        <f>HYPERLINK("https://maps.google.com/?q=15.76944369564522,-96.234750314803648", "🔗 Ver Mapa")</f>
        <v>🔗 Ver Mapa</v>
      </c>
    </row>
    <row r="2064" spans="1:12" ht="43.5" x14ac:dyDescent="0.35">
      <c r="A2064" s="6" t="s">
        <v>288</v>
      </c>
      <c r="B2064" s="6" t="s">
        <v>289</v>
      </c>
      <c r="C2064" s="6" t="s">
        <v>473</v>
      </c>
      <c r="D2064" s="6" t="s">
        <v>414</v>
      </c>
      <c r="E2064" s="6" t="s">
        <v>17</v>
      </c>
      <c r="F2064" s="6" t="s">
        <v>20</v>
      </c>
      <c r="G2064" s="6" t="s">
        <v>208</v>
      </c>
      <c r="H2064" s="6" t="s">
        <v>468</v>
      </c>
      <c r="I2064" s="6" t="s">
        <v>469</v>
      </c>
      <c r="J2064" s="6">
        <v>15.76984814977</v>
      </c>
      <c r="K2064" s="6">
        <v>-96.234595606751</v>
      </c>
      <c r="L2064" s="6" t="str">
        <f>HYPERLINK("https://maps.google.com/?q=15.76984814976972,-96.234595606751242", "🔗 Ver Mapa")</f>
        <v>🔗 Ver Mapa</v>
      </c>
    </row>
    <row r="2065" spans="1:12" ht="43.5" x14ac:dyDescent="0.35">
      <c r="A2065" s="5" t="s">
        <v>288</v>
      </c>
      <c r="B2065" s="5" t="s">
        <v>289</v>
      </c>
      <c r="C2065" s="5" t="s">
        <v>473</v>
      </c>
      <c r="D2065" s="5" t="s">
        <v>414</v>
      </c>
      <c r="E2065" s="5" t="s">
        <v>17</v>
      </c>
      <c r="F2065" s="5" t="s">
        <v>20</v>
      </c>
      <c r="G2065" s="5" t="s">
        <v>208</v>
      </c>
      <c r="H2065" s="5" t="s">
        <v>468</v>
      </c>
      <c r="I2065" s="5" t="s">
        <v>469</v>
      </c>
      <c r="J2065" s="5">
        <v>15.770199317986</v>
      </c>
      <c r="K2065" s="5">
        <v>-96.252330165744993</v>
      </c>
      <c r="L2065" s="5" t="str">
        <f>HYPERLINK("https://maps.google.com/?q=15.770199317985966,-96.252330165745121", "🔗 Ver Mapa")</f>
        <v>🔗 Ver Mapa</v>
      </c>
    </row>
    <row r="2066" spans="1:12" ht="43.5" x14ac:dyDescent="0.35">
      <c r="A2066" s="6" t="s">
        <v>288</v>
      </c>
      <c r="B2066" s="6" t="s">
        <v>289</v>
      </c>
      <c r="C2066" s="6" t="s">
        <v>473</v>
      </c>
      <c r="D2066" s="6" t="s">
        <v>414</v>
      </c>
      <c r="E2066" s="6" t="s">
        <v>17</v>
      </c>
      <c r="F2066" s="6" t="s">
        <v>20</v>
      </c>
      <c r="G2066" s="6" t="s">
        <v>208</v>
      </c>
      <c r="H2066" s="6" t="s">
        <v>468</v>
      </c>
      <c r="I2066" s="6" t="s">
        <v>469</v>
      </c>
      <c r="J2066" s="6">
        <v>15.770604655647</v>
      </c>
      <c r="K2066" s="6">
        <v>-96.234426798304995</v>
      </c>
      <c r="L2066" s="6" t="str">
        <f>HYPERLINK("https://maps.google.com/?q=15.770604655647452,-96.23442679830454", "🔗 Ver Mapa")</f>
        <v>🔗 Ver Mapa</v>
      </c>
    </row>
    <row r="2067" spans="1:12" ht="43.5" x14ac:dyDescent="0.35">
      <c r="A2067" s="5" t="s">
        <v>288</v>
      </c>
      <c r="B2067" s="5" t="s">
        <v>289</v>
      </c>
      <c r="C2067" s="5" t="s">
        <v>473</v>
      </c>
      <c r="D2067" s="5" t="s">
        <v>414</v>
      </c>
      <c r="E2067" s="5" t="s">
        <v>17</v>
      </c>
      <c r="F2067" s="5" t="s">
        <v>20</v>
      </c>
      <c r="G2067" s="5" t="s">
        <v>208</v>
      </c>
      <c r="H2067" s="5" t="s">
        <v>468</v>
      </c>
      <c r="I2067" s="5" t="s">
        <v>469</v>
      </c>
      <c r="J2067" s="5">
        <v>15.770856428989999</v>
      </c>
      <c r="K2067" s="5">
        <v>-96.234339445016005</v>
      </c>
      <c r="L2067" s="5" t="str">
        <f>HYPERLINK("https://maps.google.com/?q=15.770856428990134,-96.234339445015877", "🔗 Ver Mapa")</f>
        <v>🔗 Ver Mapa</v>
      </c>
    </row>
    <row r="2068" spans="1:12" ht="43.5" x14ac:dyDescent="0.35">
      <c r="A2068" s="6" t="s">
        <v>288</v>
      </c>
      <c r="B2068" s="6" t="s">
        <v>289</v>
      </c>
      <c r="C2068" s="6" t="s">
        <v>473</v>
      </c>
      <c r="D2068" s="6" t="s">
        <v>414</v>
      </c>
      <c r="E2068" s="6" t="s">
        <v>17</v>
      </c>
      <c r="F2068" s="6" t="s">
        <v>20</v>
      </c>
      <c r="G2068" s="6" t="s">
        <v>208</v>
      </c>
      <c r="H2068" s="6" t="s">
        <v>468</v>
      </c>
      <c r="I2068" s="6" t="s">
        <v>469</v>
      </c>
      <c r="J2068" s="6">
        <v>15.771128396407001</v>
      </c>
      <c r="K2068" s="6">
        <v>-96.234419697304006</v>
      </c>
      <c r="L2068" s="6" t="str">
        <f>HYPERLINK("https://maps.google.com/?q=15.771128396407276,-96.234419697304276", "🔗 Ver Mapa")</f>
        <v>🔗 Ver Mapa</v>
      </c>
    </row>
    <row r="2069" spans="1:12" ht="43.5" x14ac:dyDescent="0.35">
      <c r="A2069" s="5" t="s">
        <v>288</v>
      </c>
      <c r="B2069" s="5" t="s">
        <v>289</v>
      </c>
      <c r="C2069" s="5" t="s">
        <v>473</v>
      </c>
      <c r="D2069" s="5" t="s">
        <v>414</v>
      </c>
      <c r="E2069" s="5" t="s">
        <v>17</v>
      </c>
      <c r="F2069" s="5" t="s">
        <v>20</v>
      </c>
      <c r="G2069" s="5" t="s">
        <v>208</v>
      </c>
      <c r="H2069" s="5" t="s">
        <v>468</v>
      </c>
      <c r="I2069" s="5" t="s">
        <v>469</v>
      </c>
      <c r="J2069" s="5">
        <v>15.771258965941</v>
      </c>
      <c r="K2069" s="5">
        <v>-96.234744359908007</v>
      </c>
      <c r="L2069" s="5" t="str">
        <f>HYPERLINK("https://maps.google.com/?q=15.771258965941318,-96.23474435990768", "🔗 Ver Mapa")</f>
        <v>🔗 Ver Mapa</v>
      </c>
    </row>
    <row r="2070" spans="1:12" ht="43.5" x14ac:dyDescent="0.35">
      <c r="A2070" s="6" t="s">
        <v>288</v>
      </c>
      <c r="B2070" s="6" t="s">
        <v>289</v>
      </c>
      <c r="C2070" s="6" t="s">
        <v>473</v>
      </c>
      <c r="D2070" s="6" t="s">
        <v>414</v>
      </c>
      <c r="E2070" s="6" t="s">
        <v>17</v>
      </c>
      <c r="F2070" s="6" t="s">
        <v>20</v>
      </c>
      <c r="G2070" s="6" t="s">
        <v>208</v>
      </c>
      <c r="H2070" s="6" t="s">
        <v>468</v>
      </c>
      <c r="I2070" s="6" t="s">
        <v>469</v>
      </c>
      <c r="J2070" s="6">
        <v>15.771685641284</v>
      </c>
      <c r="K2070" s="6">
        <v>-96.248448856932001</v>
      </c>
      <c r="L2070" s="6" t="str">
        <f>HYPERLINK("https://maps.google.com/?q=15.771685641283556,-96.248448856931574", "🔗 Ver Mapa")</f>
        <v>🔗 Ver Mapa</v>
      </c>
    </row>
    <row r="2071" spans="1:12" ht="43.5" x14ac:dyDescent="0.35">
      <c r="A2071" s="5" t="s">
        <v>288</v>
      </c>
      <c r="B2071" s="5" t="s">
        <v>289</v>
      </c>
      <c r="C2071" s="5" t="s">
        <v>473</v>
      </c>
      <c r="D2071" s="5" t="s">
        <v>414</v>
      </c>
      <c r="E2071" s="5" t="s">
        <v>17</v>
      </c>
      <c r="F2071" s="5" t="s">
        <v>20</v>
      </c>
      <c r="G2071" s="5" t="s">
        <v>208</v>
      </c>
      <c r="H2071" s="5" t="s">
        <v>468</v>
      </c>
      <c r="I2071" s="5" t="s">
        <v>469</v>
      </c>
      <c r="J2071" s="5">
        <v>15.771723290092</v>
      </c>
      <c r="K2071" s="5">
        <v>-96.235036518672999</v>
      </c>
      <c r="L2071" s="5" t="str">
        <f>HYPERLINK("https://maps.google.com/?q=15.771723290092305,-96.235036518673311", "🔗 Ver Mapa")</f>
        <v>🔗 Ver Mapa</v>
      </c>
    </row>
    <row r="2072" spans="1:12" ht="43.5" x14ac:dyDescent="0.35">
      <c r="A2072" s="6" t="s">
        <v>288</v>
      </c>
      <c r="B2072" s="6" t="s">
        <v>289</v>
      </c>
      <c r="C2072" s="6" t="s">
        <v>473</v>
      </c>
      <c r="D2072" s="6" t="s">
        <v>414</v>
      </c>
      <c r="E2072" s="6" t="s">
        <v>17</v>
      </c>
      <c r="F2072" s="6" t="s">
        <v>20</v>
      </c>
      <c r="G2072" s="6" t="s">
        <v>208</v>
      </c>
      <c r="H2072" s="6" t="s">
        <v>468</v>
      </c>
      <c r="I2072" s="6" t="s">
        <v>469</v>
      </c>
      <c r="J2072" s="6">
        <v>15.772017284023001</v>
      </c>
      <c r="K2072" s="6">
        <v>-96.246821523617001</v>
      </c>
      <c r="L2072" s="6" t="str">
        <f>HYPERLINK("https://maps.google.com/?q=15.772017284023473,-96.246821523617157", "🔗 Ver Mapa")</f>
        <v>🔗 Ver Mapa</v>
      </c>
    </row>
    <row r="2073" spans="1:12" ht="43.5" x14ac:dyDescent="0.35">
      <c r="A2073" s="5" t="s">
        <v>288</v>
      </c>
      <c r="B2073" s="5" t="s">
        <v>289</v>
      </c>
      <c r="C2073" s="5" t="s">
        <v>473</v>
      </c>
      <c r="D2073" s="5" t="s">
        <v>414</v>
      </c>
      <c r="E2073" s="5" t="s">
        <v>17</v>
      </c>
      <c r="F2073" s="5" t="s">
        <v>20</v>
      </c>
      <c r="G2073" s="5" t="s">
        <v>208</v>
      </c>
      <c r="H2073" s="5" t="s">
        <v>468</v>
      </c>
      <c r="I2073" s="5" t="s">
        <v>469</v>
      </c>
      <c r="J2073" s="5">
        <v>15.772018285376999</v>
      </c>
      <c r="K2073" s="5">
        <v>-96.247614285994999</v>
      </c>
      <c r="L2073" s="5" t="str">
        <f>HYPERLINK("https://maps.google.com/?q=15.772018285377353,-96.247614285994672", "🔗 Ver Mapa")</f>
        <v>🔗 Ver Mapa</v>
      </c>
    </row>
    <row r="2074" spans="1:12" ht="43.5" x14ac:dyDescent="0.35">
      <c r="A2074" s="6" t="s">
        <v>288</v>
      </c>
      <c r="B2074" s="6" t="s">
        <v>289</v>
      </c>
      <c r="C2074" s="6" t="s">
        <v>473</v>
      </c>
      <c r="D2074" s="6" t="s">
        <v>414</v>
      </c>
      <c r="E2074" s="6" t="s">
        <v>17</v>
      </c>
      <c r="F2074" s="6" t="s">
        <v>20</v>
      </c>
      <c r="G2074" s="6" t="s">
        <v>208</v>
      </c>
      <c r="H2074" s="6" t="s">
        <v>468</v>
      </c>
      <c r="I2074" s="6" t="s">
        <v>469</v>
      </c>
      <c r="J2074" s="6">
        <v>15.772034930316</v>
      </c>
      <c r="K2074" s="6">
        <v>-96.246075143754993</v>
      </c>
      <c r="L2074" s="6" t="str">
        <f>HYPERLINK("https://maps.google.com/?q=15.7720349303156,-96.246075143754652", "🔗 Ver Mapa")</f>
        <v>🔗 Ver Mapa</v>
      </c>
    </row>
    <row r="2075" spans="1:12" ht="43.5" x14ac:dyDescent="0.35">
      <c r="A2075" s="5" t="s">
        <v>288</v>
      </c>
      <c r="B2075" s="5" t="s">
        <v>289</v>
      </c>
      <c r="C2075" s="5" t="s">
        <v>473</v>
      </c>
      <c r="D2075" s="5" t="s">
        <v>414</v>
      </c>
      <c r="E2075" s="5" t="s">
        <v>17</v>
      </c>
      <c r="F2075" s="5" t="s">
        <v>20</v>
      </c>
      <c r="G2075" s="5" t="s">
        <v>208</v>
      </c>
      <c r="H2075" s="5" t="s">
        <v>468</v>
      </c>
      <c r="I2075" s="5" t="s">
        <v>469</v>
      </c>
      <c r="J2075" s="5">
        <v>15.772122981557001</v>
      </c>
      <c r="K2075" s="5">
        <v>-96.235217634351997</v>
      </c>
      <c r="L2075" s="5" t="str">
        <f>HYPERLINK("https://maps.google.com/?q=15.772122981557064,-96.235217634351784", "🔗 Ver Mapa")</f>
        <v>🔗 Ver Mapa</v>
      </c>
    </row>
    <row r="2076" spans="1:12" ht="43.5" x14ac:dyDescent="0.35">
      <c r="A2076" s="6" t="s">
        <v>288</v>
      </c>
      <c r="B2076" s="6" t="s">
        <v>289</v>
      </c>
      <c r="C2076" s="6" t="s">
        <v>473</v>
      </c>
      <c r="D2076" s="6" t="s">
        <v>414</v>
      </c>
      <c r="E2076" s="6" t="s">
        <v>17</v>
      </c>
      <c r="F2076" s="6" t="s">
        <v>20</v>
      </c>
      <c r="G2076" s="6" t="s">
        <v>208</v>
      </c>
      <c r="H2076" s="6" t="s">
        <v>468</v>
      </c>
      <c r="I2076" s="6" t="s">
        <v>469</v>
      </c>
      <c r="J2076" s="6">
        <v>15.77218235622</v>
      </c>
      <c r="K2076" s="6">
        <v>-96.244879326493006</v>
      </c>
      <c r="L2076" s="6" t="str">
        <f>HYPERLINK("https://maps.google.com/?q=15.772182356219648,-96.244879326492892", "🔗 Ver Mapa")</f>
        <v>🔗 Ver Mapa</v>
      </c>
    </row>
    <row r="2077" spans="1:12" ht="43.5" x14ac:dyDescent="0.35">
      <c r="A2077" s="5" t="s">
        <v>288</v>
      </c>
      <c r="B2077" s="5" t="s">
        <v>289</v>
      </c>
      <c r="C2077" s="5" t="s">
        <v>473</v>
      </c>
      <c r="D2077" s="5" t="s">
        <v>414</v>
      </c>
      <c r="E2077" s="5" t="s">
        <v>17</v>
      </c>
      <c r="F2077" s="5" t="s">
        <v>20</v>
      </c>
      <c r="G2077" s="5" t="s">
        <v>208</v>
      </c>
      <c r="H2077" s="5" t="s">
        <v>468</v>
      </c>
      <c r="I2077" s="5" t="s">
        <v>469</v>
      </c>
      <c r="J2077" s="5">
        <v>15.772436661416</v>
      </c>
      <c r="K2077" s="5">
        <v>-96.235026847965003</v>
      </c>
      <c r="L2077" s="5" t="str">
        <f>HYPERLINK("https://maps.google.com/?q=15.772436661415954,-96.235026847964846", "🔗 Ver Mapa")</f>
        <v>🔗 Ver Mapa</v>
      </c>
    </row>
    <row r="2078" spans="1:12" ht="43.5" x14ac:dyDescent="0.35">
      <c r="A2078" s="6" t="s">
        <v>288</v>
      </c>
      <c r="B2078" s="6" t="s">
        <v>289</v>
      </c>
      <c r="C2078" s="6" t="s">
        <v>473</v>
      </c>
      <c r="D2078" s="6" t="s">
        <v>414</v>
      </c>
      <c r="E2078" s="6" t="s">
        <v>17</v>
      </c>
      <c r="F2078" s="6" t="s">
        <v>20</v>
      </c>
      <c r="G2078" s="6" t="s">
        <v>208</v>
      </c>
      <c r="H2078" s="6" t="s">
        <v>468</v>
      </c>
      <c r="I2078" s="6" t="s">
        <v>469</v>
      </c>
      <c r="J2078" s="6">
        <v>15.772587563635</v>
      </c>
      <c r="K2078" s="6">
        <v>-96.234819614409005</v>
      </c>
      <c r="L2078" s="6" t="str">
        <f>HYPERLINK("https://maps.google.com/?q=15.772587563635048,-96.234819614409062", "🔗 Ver Mapa")</f>
        <v>🔗 Ver Mapa</v>
      </c>
    </row>
    <row r="2079" spans="1:12" ht="43.5" x14ac:dyDescent="0.35">
      <c r="A2079" s="5" t="s">
        <v>288</v>
      </c>
      <c r="B2079" s="5" t="s">
        <v>289</v>
      </c>
      <c r="C2079" s="5" t="s">
        <v>473</v>
      </c>
      <c r="D2079" s="5" t="s">
        <v>414</v>
      </c>
      <c r="E2079" s="5" t="s">
        <v>17</v>
      </c>
      <c r="F2079" s="5" t="s">
        <v>20</v>
      </c>
      <c r="G2079" s="5" t="s">
        <v>208</v>
      </c>
      <c r="H2079" s="5" t="s">
        <v>468</v>
      </c>
      <c r="I2079" s="5" t="s">
        <v>469</v>
      </c>
      <c r="J2079" s="5">
        <v>15.772809520059001</v>
      </c>
      <c r="K2079" s="5">
        <v>-96.234518149867</v>
      </c>
      <c r="L2079" s="5" t="str">
        <f>HYPERLINK("https://maps.google.com/?q=15.772809520058567,-96.234518149866986", "🔗 Ver Mapa")</f>
        <v>🔗 Ver Mapa</v>
      </c>
    </row>
    <row r="2080" spans="1:12" ht="43.5" x14ac:dyDescent="0.35">
      <c r="A2080" s="6" t="s">
        <v>288</v>
      </c>
      <c r="B2080" s="6" t="s">
        <v>289</v>
      </c>
      <c r="C2080" s="6" t="s">
        <v>473</v>
      </c>
      <c r="D2080" s="6" t="s">
        <v>414</v>
      </c>
      <c r="E2080" s="6" t="s">
        <v>17</v>
      </c>
      <c r="F2080" s="6" t="s">
        <v>20</v>
      </c>
      <c r="G2080" s="6" t="s">
        <v>208</v>
      </c>
      <c r="H2080" s="6" t="s">
        <v>468</v>
      </c>
      <c r="I2080" s="6" t="s">
        <v>469</v>
      </c>
      <c r="J2080" s="6">
        <v>15.772990128162</v>
      </c>
      <c r="K2080" s="6">
        <v>-96.242340853133996</v>
      </c>
      <c r="L2080" s="6" t="str">
        <f>HYPERLINK("https://maps.google.com/?q=15.77299012816232,-96.242340853133868", "🔗 Ver Mapa")</f>
        <v>🔗 Ver Mapa</v>
      </c>
    </row>
    <row r="2081" spans="1:12" ht="43.5" x14ac:dyDescent="0.35">
      <c r="A2081" s="5" t="s">
        <v>288</v>
      </c>
      <c r="B2081" s="5" t="s">
        <v>289</v>
      </c>
      <c r="C2081" s="5" t="s">
        <v>473</v>
      </c>
      <c r="D2081" s="5" t="s">
        <v>414</v>
      </c>
      <c r="E2081" s="5" t="s">
        <v>17</v>
      </c>
      <c r="F2081" s="5" t="s">
        <v>20</v>
      </c>
      <c r="G2081" s="5" t="s">
        <v>208</v>
      </c>
      <c r="H2081" s="5" t="s">
        <v>468</v>
      </c>
      <c r="I2081" s="5" t="s">
        <v>469</v>
      </c>
      <c r="J2081" s="5">
        <v>15.773167756168</v>
      </c>
      <c r="K2081" s="5">
        <v>-96.234280123749002</v>
      </c>
      <c r="L2081" s="5" t="str">
        <f>HYPERLINK("https://maps.google.com/?q=15.773167756168396,-96.234280123749244", "🔗 Ver Mapa")</f>
        <v>🔗 Ver Mapa</v>
      </c>
    </row>
    <row r="2082" spans="1:12" ht="43.5" x14ac:dyDescent="0.35">
      <c r="A2082" s="6" t="s">
        <v>288</v>
      </c>
      <c r="B2082" s="6" t="s">
        <v>289</v>
      </c>
      <c r="C2082" s="6" t="s">
        <v>473</v>
      </c>
      <c r="D2082" s="6" t="s">
        <v>414</v>
      </c>
      <c r="E2082" s="6" t="s">
        <v>17</v>
      </c>
      <c r="F2082" s="6" t="s">
        <v>20</v>
      </c>
      <c r="G2082" s="6" t="s">
        <v>208</v>
      </c>
      <c r="H2082" s="6" t="s">
        <v>468</v>
      </c>
      <c r="I2082" s="6" t="s">
        <v>469</v>
      </c>
      <c r="J2082" s="6">
        <v>15.773399403982999</v>
      </c>
      <c r="K2082" s="6">
        <v>-96.241141488493</v>
      </c>
      <c r="L2082" s="6" t="str">
        <f>HYPERLINK("https://maps.google.com/?q=15.773399403983168,-96.241141488492843", "🔗 Ver Mapa")</f>
        <v>🔗 Ver Mapa</v>
      </c>
    </row>
    <row r="2083" spans="1:12" ht="43.5" x14ac:dyDescent="0.35">
      <c r="A2083" s="5" t="s">
        <v>288</v>
      </c>
      <c r="B2083" s="5" t="s">
        <v>289</v>
      </c>
      <c r="C2083" s="5" t="s">
        <v>473</v>
      </c>
      <c r="D2083" s="5" t="s">
        <v>414</v>
      </c>
      <c r="E2083" s="5" t="s">
        <v>17</v>
      </c>
      <c r="F2083" s="5" t="s">
        <v>20</v>
      </c>
      <c r="G2083" s="5" t="s">
        <v>208</v>
      </c>
      <c r="H2083" s="5" t="s">
        <v>468</v>
      </c>
      <c r="I2083" s="5" t="s">
        <v>469</v>
      </c>
      <c r="J2083" s="5">
        <v>15.773412870813999</v>
      </c>
      <c r="K2083" s="5">
        <v>-96.234379393992</v>
      </c>
      <c r="L2083" s="5" t="str">
        <f>HYPERLINK("https://maps.google.com/?q=15.77341287081371,-96.234379393992441", "🔗 Ver Mapa")</f>
        <v>🔗 Ver Mapa</v>
      </c>
    </row>
    <row r="2084" spans="1:12" ht="43.5" x14ac:dyDescent="0.35">
      <c r="A2084" s="6" t="s">
        <v>288</v>
      </c>
      <c r="B2084" s="6" t="s">
        <v>289</v>
      </c>
      <c r="C2084" s="6" t="s">
        <v>473</v>
      </c>
      <c r="D2084" s="6" t="s">
        <v>414</v>
      </c>
      <c r="E2084" s="6" t="s">
        <v>17</v>
      </c>
      <c r="F2084" s="6" t="s">
        <v>20</v>
      </c>
      <c r="G2084" s="6" t="s">
        <v>208</v>
      </c>
      <c r="H2084" s="6" t="s">
        <v>468</v>
      </c>
      <c r="I2084" s="6" t="s">
        <v>469</v>
      </c>
      <c r="J2084" s="6">
        <v>15.773617465888</v>
      </c>
      <c r="K2084" s="6">
        <v>-96.240532296257996</v>
      </c>
      <c r="L2084" s="6" t="str">
        <f>HYPERLINK("https://maps.google.com/?q=15.773617465887744,-96.240532296257911", "🔗 Ver Mapa")</f>
        <v>🔗 Ver Mapa</v>
      </c>
    </row>
    <row r="2085" spans="1:12" ht="43.5" x14ac:dyDescent="0.35">
      <c r="A2085" s="5" t="s">
        <v>288</v>
      </c>
      <c r="B2085" s="5" t="s">
        <v>289</v>
      </c>
      <c r="C2085" s="5" t="s">
        <v>473</v>
      </c>
      <c r="D2085" s="5" t="s">
        <v>414</v>
      </c>
      <c r="E2085" s="5" t="s">
        <v>17</v>
      </c>
      <c r="F2085" s="5" t="s">
        <v>20</v>
      </c>
      <c r="G2085" s="5" t="s">
        <v>208</v>
      </c>
      <c r="H2085" s="5" t="s">
        <v>468</v>
      </c>
      <c r="I2085" s="5" t="s">
        <v>469</v>
      </c>
      <c r="J2085" s="5">
        <v>15.773677705481999</v>
      </c>
      <c r="K2085" s="5">
        <v>-96.234608971743995</v>
      </c>
      <c r="L2085" s="5" t="str">
        <f>HYPERLINK("https://maps.google.com/?q=15.773677705481708,-96.234608971743924", "🔗 Ver Mapa")</f>
        <v>🔗 Ver Mapa</v>
      </c>
    </row>
    <row r="2086" spans="1:12" ht="43.5" x14ac:dyDescent="0.35">
      <c r="A2086" s="6" t="s">
        <v>288</v>
      </c>
      <c r="B2086" s="6" t="s">
        <v>289</v>
      </c>
      <c r="C2086" s="6" t="s">
        <v>473</v>
      </c>
      <c r="D2086" s="6" t="s">
        <v>414</v>
      </c>
      <c r="E2086" s="6" t="s">
        <v>17</v>
      </c>
      <c r="F2086" s="6" t="s">
        <v>20</v>
      </c>
      <c r="G2086" s="6" t="s">
        <v>208</v>
      </c>
      <c r="H2086" s="6" t="s">
        <v>468</v>
      </c>
      <c r="I2086" s="6" t="s">
        <v>469</v>
      </c>
      <c r="J2086" s="6">
        <v>15.773890019732001</v>
      </c>
      <c r="K2086" s="6">
        <v>-96.234969837091</v>
      </c>
      <c r="L2086" s="6" t="str">
        <f>HYPERLINK("https://maps.google.com/?q=15.773890019731871,-96.234969837091015", "🔗 Ver Mapa")</f>
        <v>🔗 Ver Mapa</v>
      </c>
    </row>
    <row r="2087" spans="1:12" ht="43.5" x14ac:dyDescent="0.35">
      <c r="A2087" s="5" t="s">
        <v>288</v>
      </c>
      <c r="B2087" s="5" t="s">
        <v>289</v>
      </c>
      <c r="C2087" s="5" t="s">
        <v>473</v>
      </c>
      <c r="D2087" s="5" t="s">
        <v>414</v>
      </c>
      <c r="E2087" s="5" t="s">
        <v>17</v>
      </c>
      <c r="F2087" s="5" t="s">
        <v>20</v>
      </c>
      <c r="G2087" s="5" t="s">
        <v>208</v>
      </c>
      <c r="H2087" s="5" t="s">
        <v>468</v>
      </c>
      <c r="I2087" s="5" t="s">
        <v>469</v>
      </c>
      <c r="J2087" s="5">
        <v>15.773979923081001</v>
      </c>
      <c r="K2087" s="5">
        <v>-96.239202984038997</v>
      </c>
      <c r="L2087" s="5" t="str">
        <f>HYPERLINK("https://maps.google.com/?q=15.773979923080974,-96.239202984038627", "🔗 Ver Mapa")</f>
        <v>🔗 Ver Mapa</v>
      </c>
    </row>
    <row r="2088" spans="1:12" ht="43.5" x14ac:dyDescent="0.35">
      <c r="A2088" s="6" t="s">
        <v>288</v>
      </c>
      <c r="B2088" s="6" t="s">
        <v>289</v>
      </c>
      <c r="C2088" s="6" t="s">
        <v>473</v>
      </c>
      <c r="D2088" s="6" t="s">
        <v>414</v>
      </c>
      <c r="E2088" s="6" t="s">
        <v>17</v>
      </c>
      <c r="F2088" s="6" t="s">
        <v>20</v>
      </c>
      <c r="G2088" s="6" t="s">
        <v>208</v>
      </c>
      <c r="H2088" s="6" t="s">
        <v>468</v>
      </c>
      <c r="I2088" s="6" t="s">
        <v>469</v>
      </c>
      <c r="J2088" s="6">
        <v>15.774078988271</v>
      </c>
      <c r="K2088" s="6">
        <v>-96.237047150132</v>
      </c>
      <c r="L2088" s="6" t="str">
        <f>HYPERLINK("https://maps.google.com/?q=15.77407898827064,-96.237047150132184", "🔗 Ver Mapa")</f>
        <v>🔗 Ver Mapa</v>
      </c>
    </row>
    <row r="2089" spans="1:12" ht="43.5" x14ac:dyDescent="0.35">
      <c r="A2089" s="5" t="s">
        <v>288</v>
      </c>
      <c r="B2089" s="5" t="s">
        <v>289</v>
      </c>
      <c r="C2089" s="5" t="s">
        <v>473</v>
      </c>
      <c r="D2089" s="5" t="s">
        <v>414</v>
      </c>
      <c r="E2089" s="5" t="s">
        <v>17</v>
      </c>
      <c r="F2089" s="5" t="s">
        <v>20</v>
      </c>
      <c r="G2089" s="5" t="s">
        <v>208</v>
      </c>
      <c r="H2089" s="5" t="s">
        <v>468</v>
      </c>
      <c r="I2089" s="5" t="s">
        <v>469</v>
      </c>
      <c r="J2089" s="5">
        <v>15.774101994757</v>
      </c>
      <c r="K2089" s="5">
        <v>-96.238147401560994</v>
      </c>
      <c r="L2089" s="5" t="str">
        <f>HYPERLINK("https://maps.google.com/?q=15.774101994756728,-96.23814740156071", "🔗 Ver Mapa")</f>
        <v>🔗 Ver Mapa</v>
      </c>
    </row>
    <row r="2090" spans="1:12" ht="43.5" x14ac:dyDescent="0.35">
      <c r="A2090" s="6" t="s">
        <v>288</v>
      </c>
      <c r="B2090" s="6" t="s">
        <v>289</v>
      </c>
      <c r="C2090" s="6" t="s">
        <v>473</v>
      </c>
      <c r="D2090" s="6" t="s">
        <v>414</v>
      </c>
      <c r="E2090" s="6" t="s">
        <v>17</v>
      </c>
      <c r="F2090" s="6" t="s">
        <v>20</v>
      </c>
      <c r="G2090" s="6" t="s">
        <v>208</v>
      </c>
      <c r="H2090" s="6" t="s">
        <v>468</v>
      </c>
      <c r="I2090" s="6" t="s">
        <v>469</v>
      </c>
      <c r="J2090" s="6">
        <v>15.774136438297001</v>
      </c>
      <c r="K2090" s="6">
        <v>-96.235171685443007</v>
      </c>
      <c r="L2090" s="6" t="str">
        <f>HYPERLINK("https://maps.google.com/?q=15.774136438297203,-96.23517168544295", "🔗 Ver Mapa")</f>
        <v>🔗 Ver Mapa</v>
      </c>
    </row>
    <row r="2091" spans="1:12" ht="43.5" x14ac:dyDescent="0.35">
      <c r="A2091" s="5" t="s">
        <v>288</v>
      </c>
      <c r="B2091" s="5" t="s">
        <v>289</v>
      </c>
      <c r="C2091" s="5" t="s">
        <v>473</v>
      </c>
      <c r="D2091" s="5" t="s">
        <v>414</v>
      </c>
      <c r="E2091" s="5" t="s">
        <v>17</v>
      </c>
      <c r="F2091" s="5" t="s">
        <v>20</v>
      </c>
      <c r="G2091" s="5" t="s">
        <v>208</v>
      </c>
      <c r="H2091" s="5" t="s">
        <v>468</v>
      </c>
      <c r="I2091" s="5" t="s">
        <v>469</v>
      </c>
      <c r="J2091" s="5">
        <v>15.774179077955999</v>
      </c>
      <c r="K2091" s="5">
        <v>-96.235684081082994</v>
      </c>
      <c r="L2091" s="5" t="str">
        <f>HYPERLINK("https://maps.google.com/?q=15.774179077956218,-96.235684081083136", "🔗 Ver Mapa")</f>
        <v>🔗 Ver Mapa</v>
      </c>
    </row>
    <row r="2092" spans="1:12" ht="43.5" x14ac:dyDescent="0.35">
      <c r="A2092" s="6" t="s">
        <v>288</v>
      </c>
      <c r="B2092" s="6" t="s">
        <v>289</v>
      </c>
      <c r="C2092" s="6" t="s">
        <v>474</v>
      </c>
      <c r="D2092" s="6" t="s">
        <v>414</v>
      </c>
      <c r="E2092" s="6" t="s">
        <v>17</v>
      </c>
      <c r="F2092" s="6" t="s">
        <v>20</v>
      </c>
      <c r="G2092" s="6" t="s">
        <v>208</v>
      </c>
      <c r="H2092" s="6" t="s">
        <v>468</v>
      </c>
      <c r="I2092" s="6" t="s">
        <v>469</v>
      </c>
      <c r="J2092" s="6">
        <v>15.760835999999999</v>
      </c>
      <c r="K2092" s="6">
        <v>-96.150662999999994</v>
      </c>
      <c r="L2092" s="6" t="str">
        <f>HYPERLINK("https://maps.google.com/?q=15.760836,-96.150663", "🔗 Ver Mapa")</f>
        <v>🔗 Ver Mapa</v>
      </c>
    </row>
    <row r="2093" spans="1:12" ht="43.5" x14ac:dyDescent="0.35">
      <c r="A2093" s="5" t="s">
        <v>288</v>
      </c>
      <c r="B2093" s="5" t="s">
        <v>289</v>
      </c>
      <c r="C2093" s="5" t="s">
        <v>474</v>
      </c>
      <c r="D2093" s="5" t="s">
        <v>414</v>
      </c>
      <c r="E2093" s="5" t="s">
        <v>17</v>
      </c>
      <c r="F2093" s="5" t="s">
        <v>20</v>
      </c>
      <c r="G2093" s="5" t="s">
        <v>208</v>
      </c>
      <c r="H2093" s="5" t="s">
        <v>468</v>
      </c>
      <c r="I2093" s="5" t="s">
        <v>469</v>
      </c>
      <c r="J2093" s="5">
        <v>15.761112000000001</v>
      </c>
      <c r="K2093" s="5">
        <v>-96.149670999999998</v>
      </c>
      <c r="L2093" s="5" t="str">
        <f>HYPERLINK("https://maps.google.com/?q=15.761112,-96.149671", "🔗 Ver Mapa")</f>
        <v>🔗 Ver Mapa</v>
      </c>
    </row>
    <row r="2094" spans="1:12" ht="43.5" x14ac:dyDescent="0.35">
      <c r="A2094" s="6" t="s">
        <v>288</v>
      </c>
      <c r="B2094" s="6" t="s">
        <v>289</v>
      </c>
      <c r="C2094" s="6" t="s">
        <v>474</v>
      </c>
      <c r="D2094" s="6" t="s">
        <v>414</v>
      </c>
      <c r="E2094" s="6" t="s">
        <v>17</v>
      </c>
      <c r="F2094" s="6" t="s">
        <v>20</v>
      </c>
      <c r="G2094" s="6" t="s">
        <v>208</v>
      </c>
      <c r="H2094" s="6" t="s">
        <v>468</v>
      </c>
      <c r="I2094" s="6" t="s">
        <v>469</v>
      </c>
      <c r="J2094" s="6">
        <v>15.762282000000001</v>
      </c>
      <c r="K2094" s="6">
        <v>-96.150056000000006</v>
      </c>
      <c r="L2094" s="6" t="str">
        <f>HYPERLINK("https://maps.google.com/?q=15.762282,-96.150056", "🔗 Ver Mapa")</f>
        <v>🔗 Ver Mapa</v>
      </c>
    </row>
    <row r="2095" spans="1:12" ht="43.5" x14ac:dyDescent="0.35">
      <c r="A2095" s="5" t="s">
        <v>288</v>
      </c>
      <c r="B2095" s="5" t="s">
        <v>289</v>
      </c>
      <c r="C2095" s="5" t="s">
        <v>474</v>
      </c>
      <c r="D2095" s="5" t="s">
        <v>414</v>
      </c>
      <c r="E2095" s="5" t="s">
        <v>17</v>
      </c>
      <c r="F2095" s="5" t="s">
        <v>20</v>
      </c>
      <c r="G2095" s="5" t="s">
        <v>208</v>
      </c>
      <c r="H2095" s="5" t="s">
        <v>468</v>
      </c>
      <c r="I2095" s="5" t="s">
        <v>469</v>
      </c>
      <c r="J2095" s="5">
        <v>15.762328</v>
      </c>
      <c r="K2095" s="5">
        <v>-96.150166999999996</v>
      </c>
      <c r="L2095" s="5" t="str">
        <f>HYPERLINK("https://maps.google.com/?q=15.762328,-96.150167", "🔗 Ver Mapa")</f>
        <v>🔗 Ver Mapa</v>
      </c>
    </row>
    <row r="2096" spans="1:12" ht="43.5" x14ac:dyDescent="0.35">
      <c r="A2096" s="6" t="s">
        <v>288</v>
      </c>
      <c r="B2096" s="6" t="s">
        <v>289</v>
      </c>
      <c r="C2096" s="6" t="s">
        <v>474</v>
      </c>
      <c r="D2096" s="6" t="s">
        <v>414</v>
      </c>
      <c r="E2096" s="6" t="s">
        <v>17</v>
      </c>
      <c r="F2096" s="6" t="s">
        <v>20</v>
      </c>
      <c r="G2096" s="6" t="s">
        <v>208</v>
      </c>
      <c r="H2096" s="6" t="s">
        <v>468</v>
      </c>
      <c r="I2096" s="6" t="s">
        <v>469</v>
      </c>
      <c r="J2096" s="6">
        <v>15.762971</v>
      </c>
      <c r="K2096" s="6">
        <v>-96.150289000000001</v>
      </c>
      <c r="L2096" s="6" t="str">
        <f>HYPERLINK("https://maps.google.com/?q=15.762971,-96.150289", "🔗 Ver Mapa")</f>
        <v>🔗 Ver Mapa</v>
      </c>
    </row>
    <row r="2097" spans="1:12" ht="43.5" x14ac:dyDescent="0.35">
      <c r="A2097" s="5" t="s">
        <v>288</v>
      </c>
      <c r="B2097" s="5" t="s">
        <v>289</v>
      </c>
      <c r="C2097" s="5" t="s">
        <v>474</v>
      </c>
      <c r="D2097" s="5" t="s">
        <v>414</v>
      </c>
      <c r="E2097" s="5" t="s">
        <v>17</v>
      </c>
      <c r="F2097" s="5" t="s">
        <v>20</v>
      </c>
      <c r="G2097" s="5" t="s">
        <v>208</v>
      </c>
      <c r="H2097" s="5" t="s">
        <v>468</v>
      </c>
      <c r="I2097" s="5" t="s">
        <v>469</v>
      </c>
      <c r="J2097" s="5">
        <v>15.762972</v>
      </c>
      <c r="K2097" s="5">
        <v>-96.150345000000002</v>
      </c>
      <c r="L2097" s="5" t="str">
        <f>HYPERLINK("https://maps.google.com/?q=15.762972,-96.150345", "🔗 Ver Mapa")</f>
        <v>🔗 Ver Mapa</v>
      </c>
    </row>
    <row r="2098" spans="1:12" ht="43.5" x14ac:dyDescent="0.35">
      <c r="A2098" s="6" t="s">
        <v>288</v>
      </c>
      <c r="B2098" s="6" t="s">
        <v>289</v>
      </c>
      <c r="C2098" s="6" t="s">
        <v>474</v>
      </c>
      <c r="D2098" s="6" t="s">
        <v>414</v>
      </c>
      <c r="E2098" s="6" t="s">
        <v>17</v>
      </c>
      <c r="F2098" s="6" t="s">
        <v>20</v>
      </c>
      <c r="G2098" s="6" t="s">
        <v>208</v>
      </c>
      <c r="H2098" s="6" t="s">
        <v>468</v>
      </c>
      <c r="I2098" s="6" t="s">
        <v>469</v>
      </c>
      <c r="J2098" s="6">
        <v>15.763861</v>
      </c>
      <c r="K2098" s="6">
        <v>-96.150631000000004</v>
      </c>
      <c r="L2098" s="6" t="str">
        <f>HYPERLINK("https://maps.google.com/?q=15.763861,-96.150631", "🔗 Ver Mapa")</f>
        <v>🔗 Ver Mapa</v>
      </c>
    </row>
    <row r="2099" spans="1:12" ht="43.5" x14ac:dyDescent="0.35">
      <c r="A2099" s="5" t="s">
        <v>288</v>
      </c>
      <c r="B2099" s="5" t="s">
        <v>289</v>
      </c>
      <c r="C2099" s="5" t="s">
        <v>474</v>
      </c>
      <c r="D2099" s="5" t="s">
        <v>414</v>
      </c>
      <c r="E2099" s="5" t="s">
        <v>17</v>
      </c>
      <c r="F2099" s="5" t="s">
        <v>20</v>
      </c>
      <c r="G2099" s="5" t="s">
        <v>208</v>
      </c>
      <c r="H2099" s="5" t="s">
        <v>468</v>
      </c>
      <c r="I2099" s="5" t="s">
        <v>469</v>
      </c>
      <c r="J2099" s="5">
        <v>15.763866</v>
      </c>
      <c r="K2099" s="5">
        <v>-96.151722000000007</v>
      </c>
      <c r="L2099" s="5" t="str">
        <f>HYPERLINK("https://maps.google.com/?q=15.763866,-96.151722", "🔗 Ver Mapa")</f>
        <v>🔗 Ver Mapa</v>
      </c>
    </row>
    <row r="2100" spans="1:12" ht="43.5" x14ac:dyDescent="0.35">
      <c r="A2100" s="6" t="s">
        <v>288</v>
      </c>
      <c r="B2100" s="6" t="s">
        <v>289</v>
      </c>
      <c r="C2100" s="6" t="s">
        <v>474</v>
      </c>
      <c r="D2100" s="6" t="s">
        <v>414</v>
      </c>
      <c r="E2100" s="6" t="s">
        <v>17</v>
      </c>
      <c r="F2100" s="6" t="s">
        <v>20</v>
      </c>
      <c r="G2100" s="6" t="s">
        <v>208</v>
      </c>
      <c r="H2100" s="6" t="s">
        <v>468</v>
      </c>
      <c r="I2100" s="6" t="s">
        <v>469</v>
      </c>
      <c r="J2100" s="6">
        <v>15.763878</v>
      </c>
      <c r="K2100" s="6">
        <v>-96.150574000000006</v>
      </c>
      <c r="L2100" s="6" t="str">
        <f>HYPERLINK("https://maps.google.com/?q=15.763878,-96.150574", "🔗 Ver Mapa")</f>
        <v>🔗 Ver Mapa</v>
      </c>
    </row>
    <row r="2101" spans="1:12" ht="43.5" x14ac:dyDescent="0.35">
      <c r="A2101" s="5" t="s">
        <v>288</v>
      </c>
      <c r="B2101" s="5" t="s">
        <v>289</v>
      </c>
      <c r="C2101" s="5" t="s">
        <v>474</v>
      </c>
      <c r="D2101" s="5" t="s">
        <v>414</v>
      </c>
      <c r="E2101" s="5" t="s">
        <v>17</v>
      </c>
      <c r="F2101" s="5" t="s">
        <v>20</v>
      </c>
      <c r="G2101" s="5" t="s">
        <v>208</v>
      </c>
      <c r="H2101" s="5" t="s">
        <v>468</v>
      </c>
      <c r="I2101" s="5" t="s">
        <v>469</v>
      </c>
      <c r="J2101" s="5">
        <v>15.763923999999999</v>
      </c>
      <c r="K2101" s="5">
        <v>-96.150648000000004</v>
      </c>
      <c r="L2101" s="5" t="str">
        <f>HYPERLINK("https://maps.google.com/?q=15.763924,-96.150648", "🔗 Ver Mapa")</f>
        <v>🔗 Ver Mapa</v>
      </c>
    </row>
    <row r="2102" spans="1:12" ht="43.5" x14ac:dyDescent="0.35">
      <c r="A2102" s="6" t="s">
        <v>288</v>
      </c>
      <c r="B2102" s="6" t="s">
        <v>289</v>
      </c>
      <c r="C2102" s="6" t="s">
        <v>474</v>
      </c>
      <c r="D2102" s="6" t="s">
        <v>414</v>
      </c>
      <c r="E2102" s="6" t="s">
        <v>17</v>
      </c>
      <c r="F2102" s="6" t="s">
        <v>20</v>
      </c>
      <c r="G2102" s="6" t="s">
        <v>208</v>
      </c>
      <c r="H2102" s="6" t="s">
        <v>468</v>
      </c>
      <c r="I2102" s="6" t="s">
        <v>469</v>
      </c>
      <c r="J2102" s="6">
        <v>15.763933</v>
      </c>
      <c r="K2102" s="6">
        <v>-96.150610999999998</v>
      </c>
      <c r="L2102" s="6" t="str">
        <f>HYPERLINK("https://maps.google.com/?q=15.763933,-96.150611", "🔗 Ver Mapa")</f>
        <v>🔗 Ver Mapa</v>
      </c>
    </row>
    <row r="2103" spans="1:12" ht="43.5" x14ac:dyDescent="0.35">
      <c r="A2103" s="5" t="s">
        <v>288</v>
      </c>
      <c r="B2103" s="5" t="s">
        <v>289</v>
      </c>
      <c r="C2103" s="5" t="s">
        <v>474</v>
      </c>
      <c r="D2103" s="5" t="s">
        <v>414</v>
      </c>
      <c r="E2103" s="5" t="s">
        <v>17</v>
      </c>
      <c r="F2103" s="5" t="s">
        <v>20</v>
      </c>
      <c r="G2103" s="5" t="s">
        <v>208</v>
      </c>
      <c r="H2103" s="5" t="s">
        <v>468</v>
      </c>
      <c r="I2103" s="5" t="s">
        <v>469</v>
      </c>
      <c r="J2103" s="5">
        <v>15.764177</v>
      </c>
      <c r="K2103" s="5">
        <v>-96.150690999999995</v>
      </c>
      <c r="L2103" s="5" t="str">
        <f>HYPERLINK("https://maps.google.com/?q=15.764177,-96.150691", "🔗 Ver Mapa")</f>
        <v>🔗 Ver Mapa</v>
      </c>
    </row>
    <row r="2104" spans="1:12" ht="43.5" x14ac:dyDescent="0.35">
      <c r="A2104" s="6" t="s">
        <v>288</v>
      </c>
      <c r="B2104" s="6" t="s">
        <v>289</v>
      </c>
      <c r="C2104" s="6" t="s">
        <v>474</v>
      </c>
      <c r="D2104" s="6" t="s">
        <v>414</v>
      </c>
      <c r="E2104" s="6" t="s">
        <v>17</v>
      </c>
      <c r="F2104" s="6" t="s">
        <v>20</v>
      </c>
      <c r="G2104" s="6" t="s">
        <v>208</v>
      </c>
      <c r="H2104" s="6" t="s">
        <v>468</v>
      </c>
      <c r="I2104" s="6" t="s">
        <v>469</v>
      </c>
      <c r="J2104" s="6">
        <v>15.764201999999999</v>
      </c>
      <c r="K2104" s="6">
        <v>-96.150495000000006</v>
      </c>
      <c r="L2104" s="6" t="str">
        <f>HYPERLINK("https://maps.google.com/?q=15.764202,-96.150495", "🔗 Ver Mapa")</f>
        <v>🔗 Ver Mapa</v>
      </c>
    </row>
    <row r="2105" spans="1:12" ht="43.5" x14ac:dyDescent="0.35">
      <c r="A2105" s="5" t="s">
        <v>288</v>
      </c>
      <c r="B2105" s="5" t="s">
        <v>289</v>
      </c>
      <c r="C2105" s="5" t="s">
        <v>474</v>
      </c>
      <c r="D2105" s="5" t="s">
        <v>414</v>
      </c>
      <c r="E2105" s="5" t="s">
        <v>17</v>
      </c>
      <c r="F2105" s="5" t="s">
        <v>20</v>
      </c>
      <c r="G2105" s="5" t="s">
        <v>208</v>
      </c>
      <c r="H2105" s="5" t="s">
        <v>468</v>
      </c>
      <c r="I2105" s="5" t="s">
        <v>469</v>
      </c>
      <c r="J2105" s="5">
        <v>15.765045000000001</v>
      </c>
      <c r="K2105" s="5">
        <v>-96.150734999999997</v>
      </c>
      <c r="L2105" s="5" t="str">
        <f>HYPERLINK("https://maps.google.com/?q=15.765045,-96.150735", "🔗 Ver Mapa")</f>
        <v>🔗 Ver Mapa</v>
      </c>
    </row>
    <row r="2106" spans="1:12" ht="43.5" x14ac:dyDescent="0.35">
      <c r="A2106" s="6" t="s">
        <v>288</v>
      </c>
      <c r="B2106" s="6" t="s">
        <v>289</v>
      </c>
      <c r="C2106" s="6" t="s">
        <v>474</v>
      </c>
      <c r="D2106" s="6" t="s">
        <v>414</v>
      </c>
      <c r="E2106" s="6" t="s">
        <v>17</v>
      </c>
      <c r="F2106" s="6" t="s">
        <v>20</v>
      </c>
      <c r="G2106" s="6" t="s">
        <v>208</v>
      </c>
      <c r="H2106" s="6" t="s">
        <v>468</v>
      </c>
      <c r="I2106" s="6" t="s">
        <v>469</v>
      </c>
      <c r="J2106" s="6">
        <v>15.765326999999999</v>
      </c>
      <c r="K2106" s="6">
        <v>-96.149490999999998</v>
      </c>
      <c r="L2106" s="6" t="str">
        <f>HYPERLINK("https://maps.google.com/?q=15.765327,-96.149491", "🔗 Ver Mapa")</f>
        <v>🔗 Ver Mapa</v>
      </c>
    </row>
    <row r="2107" spans="1:12" ht="43.5" x14ac:dyDescent="0.35">
      <c r="A2107" s="5" t="s">
        <v>288</v>
      </c>
      <c r="B2107" s="5" t="s">
        <v>289</v>
      </c>
      <c r="C2107" s="5" t="s">
        <v>474</v>
      </c>
      <c r="D2107" s="5" t="s">
        <v>414</v>
      </c>
      <c r="E2107" s="5" t="s">
        <v>17</v>
      </c>
      <c r="F2107" s="5" t="s">
        <v>20</v>
      </c>
      <c r="G2107" s="5" t="s">
        <v>208</v>
      </c>
      <c r="H2107" s="5" t="s">
        <v>468</v>
      </c>
      <c r="I2107" s="5" t="s">
        <v>469</v>
      </c>
      <c r="J2107" s="5">
        <v>15.766636999999999</v>
      </c>
      <c r="K2107" s="5">
        <v>-96.150274999999993</v>
      </c>
      <c r="L2107" s="5" t="str">
        <f>HYPERLINK("https://maps.google.com/?q=15.766637,-96.150275", "🔗 Ver Mapa")</f>
        <v>🔗 Ver Mapa</v>
      </c>
    </row>
    <row r="2108" spans="1:12" ht="43.5" x14ac:dyDescent="0.35">
      <c r="A2108" s="6" t="s">
        <v>288</v>
      </c>
      <c r="B2108" s="6" t="s">
        <v>289</v>
      </c>
      <c r="C2108" s="6" t="s">
        <v>474</v>
      </c>
      <c r="D2108" s="6" t="s">
        <v>414</v>
      </c>
      <c r="E2108" s="6" t="s">
        <v>17</v>
      </c>
      <c r="F2108" s="6" t="s">
        <v>20</v>
      </c>
      <c r="G2108" s="6" t="s">
        <v>208</v>
      </c>
      <c r="H2108" s="6" t="s">
        <v>468</v>
      </c>
      <c r="I2108" s="6" t="s">
        <v>469</v>
      </c>
      <c r="J2108" s="6">
        <v>15.766651</v>
      </c>
      <c r="K2108" s="6">
        <v>-96.152028000000001</v>
      </c>
      <c r="L2108" s="6" t="str">
        <f>HYPERLINK("https://maps.google.com/?q=15.766651,-96.152028", "🔗 Ver Mapa")</f>
        <v>🔗 Ver Mapa</v>
      </c>
    </row>
    <row r="2109" spans="1:12" ht="43.5" x14ac:dyDescent="0.35">
      <c r="A2109" s="5" t="s">
        <v>288</v>
      </c>
      <c r="B2109" s="5" t="s">
        <v>289</v>
      </c>
      <c r="C2109" s="5" t="s">
        <v>474</v>
      </c>
      <c r="D2109" s="5" t="s">
        <v>414</v>
      </c>
      <c r="E2109" s="5" t="s">
        <v>17</v>
      </c>
      <c r="F2109" s="5" t="s">
        <v>20</v>
      </c>
      <c r="G2109" s="5" t="s">
        <v>208</v>
      </c>
      <c r="H2109" s="5" t="s">
        <v>468</v>
      </c>
      <c r="I2109" s="5" t="s">
        <v>469</v>
      </c>
      <c r="J2109" s="5">
        <v>15.766916</v>
      </c>
      <c r="K2109" s="5">
        <v>-96.150159000000002</v>
      </c>
      <c r="L2109" s="5" t="str">
        <f>HYPERLINK("https://maps.google.com/?q=15.766916,-96.150159", "🔗 Ver Mapa")</f>
        <v>🔗 Ver Mapa</v>
      </c>
    </row>
    <row r="2110" spans="1:12" ht="43.5" x14ac:dyDescent="0.35">
      <c r="A2110" s="6" t="s">
        <v>288</v>
      </c>
      <c r="B2110" s="6" t="s">
        <v>289</v>
      </c>
      <c r="C2110" s="6" t="s">
        <v>474</v>
      </c>
      <c r="D2110" s="6" t="s">
        <v>414</v>
      </c>
      <c r="E2110" s="6" t="s">
        <v>17</v>
      </c>
      <c r="F2110" s="6" t="s">
        <v>20</v>
      </c>
      <c r="G2110" s="6" t="s">
        <v>208</v>
      </c>
      <c r="H2110" s="6" t="s">
        <v>468</v>
      </c>
      <c r="I2110" s="6" t="s">
        <v>469</v>
      </c>
      <c r="J2110" s="6">
        <v>15.767049999999999</v>
      </c>
      <c r="K2110" s="6">
        <v>-96.152106000000003</v>
      </c>
      <c r="L2110" s="6" t="str">
        <f>HYPERLINK("https://maps.google.com/?q=15.76705,-96.152106", "🔗 Ver Mapa")</f>
        <v>🔗 Ver Mapa</v>
      </c>
    </row>
    <row r="2111" spans="1:12" ht="43.5" x14ac:dyDescent="0.35">
      <c r="A2111" s="5" t="s">
        <v>288</v>
      </c>
      <c r="B2111" s="5" t="s">
        <v>289</v>
      </c>
      <c r="C2111" s="5" t="s">
        <v>474</v>
      </c>
      <c r="D2111" s="5" t="s">
        <v>414</v>
      </c>
      <c r="E2111" s="5" t="s">
        <v>17</v>
      </c>
      <c r="F2111" s="5" t="s">
        <v>20</v>
      </c>
      <c r="G2111" s="5" t="s">
        <v>208</v>
      </c>
      <c r="H2111" s="5" t="s">
        <v>468</v>
      </c>
      <c r="I2111" s="5" t="s">
        <v>469</v>
      </c>
      <c r="J2111" s="5">
        <v>15.768921000000001</v>
      </c>
      <c r="K2111" s="5">
        <v>-96.151567</v>
      </c>
      <c r="L2111" s="5" t="str">
        <f>HYPERLINK("https://maps.google.com/?q=15.768921,-96.151567", "🔗 Ver Mapa")</f>
        <v>🔗 Ver Mapa</v>
      </c>
    </row>
    <row r="2112" spans="1:12" ht="43.5" x14ac:dyDescent="0.35">
      <c r="A2112" s="6" t="s">
        <v>288</v>
      </c>
      <c r="B2112" s="6" t="s">
        <v>289</v>
      </c>
      <c r="C2112" s="6" t="s">
        <v>474</v>
      </c>
      <c r="D2112" s="6" t="s">
        <v>414</v>
      </c>
      <c r="E2112" s="6" t="s">
        <v>17</v>
      </c>
      <c r="F2112" s="6" t="s">
        <v>20</v>
      </c>
      <c r="G2112" s="6" t="s">
        <v>208</v>
      </c>
      <c r="H2112" s="6" t="s">
        <v>468</v>
      </c>
      <c r="I2112" s="6" t="s">
        <v>469</v>
      </c>
      <c r="J2112" s="6">
        <v>15.769558</v>
      </c>
      <c r="K2112" s="6">
        <v>-96.151931000000005</v>
      </c>
      <c r="L2112" s="6" t="str">
        <f>HYPERLINK("https://maps.google.com/?q=15.769558,-96.151931", "🔗 Ver Mapa")</f>
        <v>🔗 Ver Mapa</v>
      </c>
    </row>
    <row r="2113" spans="1:12" ht="43.5" x14ac:dyDescent="0.35">
      <c r="A2113" s="5" t="s">
        <v>288</v>
      </c>
      <c r="B2113" s="5" t="s">
        <v>289</v>
      </c>
      <c r="C2113" s="5" t="s">
        <v>474</v>
      </c>
      <c r="D2113" s="5" t="s">
        <v>414</v>
      </c>
      <c r="E2113" s="5" t="s">
        <v>17</v>
      </c>
      <c r="F2113" s="5" t="s">
        <v>20</v>
      </c>
      <c r="G2113" s="5" t="s">
        <v>208</v>
      </c>
      <c r="H2113" s="5" t="s">
        <v>468</v>
      </c>
      <c r="I2113" s="5" t="s">
        <v>469</v>
      </c>
      <c r="J2113" s="5">
        <v>15.770066</v>
      </c>
      <c r="K2113" s="5">
        <v>-96.151392999999999</v>
      </c>
      <c r="L2113" s="5" t="str">
        <f>HYPERLINK("https://maps.google.com/?q=15.770066,-96.151393", "🔗 Ver Mapa")</f>
        <v>🔗 Ver Mapa</v>
      </c>
    </row>
    <row r="2114" spans="1:12" ht="43.5" x14ac:dyDescent="0.35">
      <c r="A2114" s="6" t="s">
        <v>288</v>
      </c>
      <c r="B2114" s="6" t="s">
        <v>289</v>
      </c>
      <c r="C2114" s="6" t="s">
        <v>474</v>
      </c>
      <c r="D2114" s="6" t="s">
        <v>414</v>
      </c>
      <c r="E2114" s="6" t="s">
        <v>17</v>
      </c>
      <c r="F2114" s="6" t="s">
        <v>20</v>
      </c>
      <c r="G2114" s="6" t="s">
        <v>208</v>
      </c>
      <c r="H2114" s="6" t="s">
        <v>468</v>
      </c>
      <c r="I2114" s="6" t="s">
        <v>469</v>
      </c>
      <c r="J2114" s="6">
        <v>15.770187999999999</v>
      </c>
      <c r="K2114" s="6">
        <v>-96.151036000000005</v>
      </c>
      <c r="L2114" s="6" t="str">
        <f>HYPERLINK("https://maps.google.com/?q=15.770188,-96.151036", "🔗 Ver Mapa")</f>
        <v>🔗 Ver Mapa</v>
      </c>
    </row>
    <row r="2115" spans="1:12" ht="43.5" x14ac:dyDescent="0.35">
      <c r="A2115" s="5" t="s">
        <v>288</v>
      </c>
      <c r="B2115" s="5" t="s">
        <v>289</v>
      </c>
      <c r="C2115" s="5" t="s">
        <v>474</v>
      </c>
      <c r="D2115" s="5" t="s">
        <v>414</v>
      </c>
      <c r="E2115" s="5" t="s">
        <v>17</v>
      </c>
      <c r="F2115" s="5" t="s">
        <v>20</v>
      </c>
      <c r="G2115" s="5" t="s">
        <v>208</v>
      </c>
      <c r="H2115" s="5" t="s">
        <v>468</v>
      </c>
      <c r="I2115" s="5" t="s">
        <v>469</v>
      </c>
      <c r="J2115" s="5">
        <v>15.770274000000001</v>
      </c>
      <c r="K2115" s="5">
        <v>-96.151426999999998</v>
      </c>
      <c r="L2115" s="5" t="str">
        <f>HYPERLINK("https://maps.google.com/?q=15.770274,-96.151427", "🔗 Ver Mapa")</f>
        <v>🔗 Ver Mapa</v>
      </c>
    </row>
    <row r="2116" spans="1:12" ht="43.5" x14ac:dyDescent="0.35">
      <c r="A2116" s="6" t="s">
        <v>288</v>
      </c>
      <c r="B2116" s="6" t="s">
        <v>289</v>
      </c>
      <c r="C2116" s="6" t="s">
        <v>474</v>
      </c>
      <c r="D2116" s="6" t="s">
        <v>414</v>
      </c>
      <c r="E2116" s="6" t="s">
        <v>17</v>
      </c>
      <c r="F2116" s="6" t="s">
        <v>20</v>
      </c>
      <c r="G2116" s="6" t="s">
        <v>208</v>
      </c>
      <c r="H2116" s="6" t="s">
        <v>468</v>
      </c>
      <c r="I2116" s="6" t="s">
        <v>469</v>
      </c>
      <c r="J2116" s="6">
        <v>15.770322</v>
      </c>
      <c r="K2116" s="6">
        <v>-96.151658999999995</v>
      </c>
      <c r="L2116" s="6" t="str">
        <f>HYPERLINK("https://maps.google.com/?q=15.770322,-96.151659", "🔗 Ver Mapa")</f>
        <v>🔗 Ver Mapa</v>
      </c>
    </row>
    <row r="2117" spans="1:12" ht="43.5" x14ac:dyDescent="0.35">
      <c r="A2117" s="5" t="s">
        <v>288</v>
      </c>
      <c r="B2117" s="5" t="s">
        <v>289</v>
      </c>
      <c r="C2117" s="5" t="s">
        <v>474</v>
      </c>
      <c r="D2117" s="5" t="s">
        <v>414</v>
      </c>
      <c r="E2117" s="5" t="s">
        <v>17</v>
      </c>
      <c r="F2117" s="5" t="s">
        <v>20</v>
      </c>
      <c r="G2117" s="5" t="s">
        <v>208</v>
      </c>
      <c r="H2117" s="5" t="s">
        <v>468</v>
      </c>
      <c r="I2117" s="5" t="s">
        <v>469</v>
      </c>
      <c r="J2117" s="5">
        <v>15.770486</v>
      </c>
      <c r="K2117" s="5">
        <v>-96.150369999999995</v>
      </c>
      <c r="L2117" s="5" t="str">
        <f>HYPERLINK("https://maps.google.com/?q=15.770486,-96.150370", "🔗 Ver Mapa")</f>
        <v>🔗 Ver Mapa</v>
      </c>
    </row>
    <row r="2118" spans="1:12" ht="43.5" x14ac:dyDescent="0.35">
      <c r="A2118" s="6" t="s">
        <v>288</v>
      </c>
      <c r="B2118" s="6" t="s">
        <v>289</v>
      </c>
      <c r="C2118" s="6" t="s">
        <v>475</v>
      </c>
      <c r="D2118" s="6" t="s">
        <v>414</v>
      </c>
      <c r="E2118" s="6" t="s">
        <v>17</v>
      </c>
      <c r="F2118" s="6" t="s">
        <v>20</v>
      </c>
      <c r="G2118" s="6" t="s">
        <v>208</v>
      </c>
      <c r="H2118" s="6" t="s">
        <v>468</v>
      </c>
      <c r="I2118" s="6" t="s">
        <v>469</v>
      </c>
      <c r="J2118" s="6">
        <v>15.761714</v>
      </c>
      <c r="K2118" s="6">
        <v>-96.143293</v>
      </c>
      <c r="L2118" s="6" t="str">
        <f>HYPERLINK("https://maps.google.com/?q=15.761714,-96.143293", "🔗 Ver Mapa")</f>
        <v>🔗 Ver Mapa</v>
      </c>
    </row>
    <row r="2119" spans="1:12" ht="43.5" x14ac:dyDescent="0.35">
      <c r="A2119" s="5" t="s">
        <v>288</v>
      </c>
      <c r="B2119" s="5" t="s">
        <v>289</v>
      </c>
      <c r="C2119" s="5" t="s">
        <v>475</v>
      </c>
      <c r="D2119" s="5" t="s">
        <v>414</v>
      </c>
      <c r="E2119" s="5" t="s">
        <v>17</v>
      </c>
      <c r="F2119" s="5" t="s">
        <v>20</v>
      </c>
      <c r="G2119" s="5" t="s">
        <v>208</v>
      </c>
      <c r="H2119" s="5" t="s">
        <v>468</v>
      </c>
      <c r="I2119" s="5" t="s">
        <v>469</v>
      </c>
      <c r="J2119" s="5">
        <v>15.76174</v>
      </c>
      <c r="K2119" s="5">
        <v>-96.143851999999995</v>
      </c>
      <c r="L2119" s="5" t="str">
        <f>HYPERLINK("https://maps.google.com/?q=15.76174,-96.143851999999995", "🔗 Ver Mapa")</f>
        <v>🔗 Ver Mapa</v>
      </c>
    </row>
    <row r="2120" spans="1:12" ht="43.5" x14ac:dyDescent="0.35">
      <c r="A2120" s="6" t="s">
        <v>288</v>
      </c>
      <c r="B2120" s="6" t="s">
        <v>289</v>
      </c>
      <c r="C2120" s="6" t="s">
        <v>475</v>
      </c>
      <c r="D2120" s="6" t="s">
        <v>414</v>
      </c>
      <c r="E2120" s="6" t="s">
        <v>17</v>
      </c>
      <c r="F2120" s="6" t="s">
        <v>20</v>
      </c>
      <c r="G2120" s="6" t="s">
        <v>208</v>
      </c>
      <c r="H2120" s="6" t="s">
        <v>468</v>
      </c>
      <c r="I2120" s="6" t="s">
        <v>469</v>
      </c>
      <c r="J2120" s="6">
        <v>15.76177</v>
      </c>
      <c r="K2120" s="6">
        <v>-96.142741999999998</v>
      </c>
      <c r="L2120" s="6" t="str">
        <f>HYPERLINK("https://maps.google.com/?q=15.76177,-96.142741999999998", "🔗 Ver Mapa")</f>
        <v>🔗 Ver Mapa</v>
      </c>
    </row>
    <row r="2121" spans="1:12" ht="43.5" x14ac:dyDescent="0.35">
      <c r="A2121" s="5" t="s">
        <v>288</v>
      </c>
      <c r="B2121" s="5" t="s">
        <v>289</v>
      </c>
      <c r="C2121" s="5" t="s">
        <v>475</v>
      </c>
      <c r="D2121" s="5" t="s">
        <v>414</v>
      </c>
      <c r="E2121" s="5" t="s">
        <v>17</v>
      </c>
      <c r="F2121" s="5" t="s">
        <v>20</v>
      </c>
      <c r="G2121" s="5" t="s">
        <v>208</v>
      </c>
      <c r="H2121" s="5" t="s">
        <v>468</v>
      </c>
      <c r="I2121" s="5" t="s">
        <v>469</v>
      </c>
      <c r="J2121" s="5">
        <v>15.761799</v>
      </c>
      <c r="K2121" s="5">
        <v>-96.142854</v>
      </c>
      <c r="L2121" s="5" t="str">
        <f>HYPERLINK("https://maps.google.com/?q=15.761799,-96.142854", "🔗 Ver Mapa")</f>
        <v>🔗 Ver Mapa</v>
      </c>
    </row>
    <row r="2122" spans="1:12" ht="43.5" x14ac:dyDescent="0.35">
      <c r="A2122" s="6" t="s">
        <v>288</v>
      </c>
      <c r="B2122" s="6" t="s">
        <v>289</v>
      </c>
      <c r="C2122" s="6" t="s">
        <v>475</v>
      </c>
      <c r="D2122" s="6" t="s">
        <v>414</v>
      </c>
      <c r="E2122" s="6" t="s">
        <v>17</v>
      </c>
      <c r="F2122" s="6" t="s">
        <v>20</v>
      </c>
      <c r="G2122" s="6" t="s">
        <v>208</v>
      </c>
      <c r="H2122" s="6" t="s">
        <v>468</v>
      </c>
      <c r="I2122" s="6" t="s">
        <v>469</v>
      </c>
      <c r="J2122" s="6">
        <v>15.761863999999999</v>
      </c>
      <c r="K2122" s="6">
        <v>-96.142312000000004</v>
      </c>
      <c r="L2122" s="6" t="str">
        <f>HYPERLINK("https://maps.google.com/?q=15.761864,-96.142312000000004", "🔗 Ver Mapa")</f>
        <v>🔗 Ver Mapa</v>
      </c>
    </row>
    <row r="2123" spans="1:12" ht="43.5" x14ac:dyDescent="0.35">
      <c r="A2123" s="5" t="s">
        <v>288</v>
      </c>
      <c r="B2123" s="5" t="s">
        <v>289</v>
      </c>
      <c r="C2123" s="5" t="s">
        <v>475</v>
      </c>
      <c r="D2123" s="5" t="s">
        <v>414</v>
      </c>
      <c r="E2123" s="5" t="s">
        <v>17</v>
      </c>
      <c r="F2123" s="5" t="s">
        <v>20</v>
      </c>
      <c r="G2123" s="5" t="s">
        <v>208</v>
      </c>
      <c r="H2123" s="5" t="s">
        <v>468</v>
      </c>
      <c r="I2123" s="5" t="s">
        <v>469</v>
      </c>
      <c r="J2123" s="5">
        <v>15.762002000000001</v>
      </c>
      <c r="K2123" s="5">
        <v>-96.143905000000004</v>
      </c>
      <c r="L2123" s="5" t="str">
        <f>HYPERLINK("https://maps.google.com/?q=15.762002,-96.143905000000004", "🔗 Ver Mapa")</f>
        <v>🔗 Ver Mapa</v>
      </c>
    </row>
    <row r="2124" spans="1:12" ht="43.5" x14ac:dyDescent="0.35">
      <c r="A2124" s="6" t="s">
        <v>288</v>
      </c>
      <c r="B2124" s="6" t="s">
        <v>289</v>
      </c>
      <c r="C2124" s="6" t="s">
        <v>475</v>
      </c>
      <c r="D2124" s="6" t="s">
        <v>414</v>
      </c>
      <c r="E2124" s="6" t="s">
        <v>17</v>
      </c>
      <c r="F2124" s="6" t="s">
        <v>20</v>
      </c>
      <c r="G2124" s="6" t="s">
        <v>208</v>
      </c>
      <c r="H2124" s="6" t="s">
        <v>468</v>
      </c>
      <c r="I2124" s="6" t="s">
        <v>469</v>
      </c>
      <c r="J2124" s="6">
        <v>15.762059000000001</v>
      </c>
      <c r="K2124" s="6">
        <v>-96.144071999999994</v>
      </c>
      <c r="L2124" s="6" t="str">
        <f>HYPERLINK("https://maps.google.com/?q=15.762059,-96.144071999999994", "🔗 Ver Mapa")</f>
        <v>🔗 Ver Mapa</v>
      </c>
    </row>
    <row r="2125" spans="1:12" ht="43.5" x14ac:dyDescent="0.35">
      <c r="A2125" s="5" t="s">
        <v>288</v>
      </c>
      <c r="B2125" s="5" t="s">
        <v>289</v>
      </c>
      <c r="C2125" s="5" t="s">
        <v>475</v>
      </c>
      <c r="D2125" s="5" t="s">
        <v>414</v>
      </c>
      <c r="E2125" s="5" t="s">
        <v>17</v>
      </c>
      <c r="F2125" s="5" t="s">
        <v>20</v>
      </c>
      <c r="G2125" s="5" t="s">
        <v>208</v>
      </c>
      <c r="H2125" s="5" t="s">
        <v>468</v>
      </c>
      <c r="I2125" s="5" t="s">
        <v>469</v>
      </c>
      <c r="J2125" s="5">
        <v>15.762127</v>
      </c>
      <c r="K2125" s="5">
        <v>-96.142364000000001</v>
      </c>
      <c r="L2125" s="5" t="str">
        <f>HYPERLINK("https://maps.google.com/?q=15.762127,-96.142364000000001", "🔗 Ver Mapa")</f>
        <v>🔗 Ver Mapa</v>
      </c>
    </row>
    <row r="2126" spans="1:12" ht="43.5" x14ac:dyDescent="0.35">
      <c r="A2126" s="6" t="s">
        <v>288</v>
      </c>
      <c r="B2126" s="6" t="s">
        <v>289</v>
      </c>
      <c r="C2126" s="6" t="s">
        <v>475</v>
      </c>
      <c r="D2126" s="6" t="s">
        <v>414</v>
      </c>
      <c r="E2126" s="6" t="s">
        <v>17</v>
      </c>
      <c r="F2126" s="6" t="s">
        <v>20</v>
      </c>
      <c r="G2126" s="6" t="s">
        <v>208</v>
      </c>
      <c r="H2126" s="6" t="s">
        <v>468</v>
      </c>
      <c r="I2126" s="6" t="s">
        <v>469</v>
      </c>
      <c r="J2126" s="6">
        <v>15.762169999999999</v>
      </c>
      <c r="K2126" s="6">
        <v>-96.142904999999999</v>
      </c>
      <c r="L2126" s="6" t="str">
        <f>HYPERLINK("https://maps.google.com/?q=15.76217,-96.142904999999999", "🔗 Ver Mapa")</f>
        <v>🔗 Ver Mapa</v>
      </c>
    </row>
    <row r="2127" spans="1:12" ht="43.5" x14ac:dyDescent="0.35">
      <c r="A2127" s="5" t="s">
        <v>288</v>
      </c>
      <c r="B2127" s="5" t="s">
        <v>289</v>
      </c>
      <c r="C2127" s="5" t="s">
        <v>475</v>
      </c>
      <c r="D2127" s="5" t="s">
        <v>414</v>
      </c>
      <c r="E2127" s="5" t="s">
        <v>17</v>
      </c>
      <c r="F2127" s="5" t="s">
        <v>20</v>
      </c>
      <c r="G2127" s="5" t="s">
        <v>208</v>
      </c>
      <c r="H2127" s="5" t="s">
        <v>468</v>
      </c>
      <c r="I2127" s="5" t="s">
        <v>469</v>
      </c>
      <c r="J2127" s="5">
        <v>15.762218000000001</v>
      </c>
      <c r="K2127" s="5">
        <v>-96.143128000000004</v>
      </c>
      <c r="L2127" s="5" t="str">
        <f>HYPERLINK("https://maps.google.com/?q=15.762218,-96.143128000000004", "🔗 Ver Mapa")</f>
        <v>🔗 Ver Mapa</v>
      </c>
    </row>
    <row r="2128" spans="1:12" ht="43.5" x14ac:dyDescent="0.35">
      <c r="A2128" s="6" t="s">
        <v>288</v>
      </c>
      <c r="B2128" s="6" t="s">
        <v>289</v>
      </c>
      <c r="C2128" s="6" t="s">
        <v>475</v>
      </c>
      <c r="D2128" s="6" t="s">
        <v>414</v>
      </c>
      <c r="E2128" s="6" t="s">
        <v>17</v>
      </c>
      <c r="F2128" s="6" t="s">
        <v>20</v>
      </c>
      <c r="G2128" s="6" t="s">
        <v>208</v>
      </c>
      <c r="H2128" s="6" t="s">
        <v>468</v>
      </c>
      <c r="I2128" s="6" t="s">
        <v>469</v>
      </c>
      <c r="J2128" s="6">
        <v>15.762321</v>
      </c>
      <c r="K2128" s="6">
        <v>-96.144124000000005</v>
      </c>
      <c r="L2128" s="6" t="str">
        <f>HYPERLINK("https://maps.google.com/?q=15.762321,-96.144124000000005", "🔗 Ver Mapa")</f>
        <v>🔗 Ver Mapa</v>
      </c>
    </row>
    <row r="2129" spans="1:12" ht="43.5" x14ac:dyDescent="0.35">
      <c r="A2129" s="5" t="s">
        <v>288</v>
      </c>
      <c r="B2129" s="5" t="s">
        <v>289</v>
      </c>
      <c r="C2129" s="5" t="s">
        <v>475</v>
      </c>
      <c r="D2129" s="5" t="s">
        <v>414</v>
      </c>
      <c r="E2129" s="5" t="s">
        <v>17</v>
      </c>
      <c r="F2129" s="5" t="s">
        <v>20</v>
      </c>
      <c r="G2129" s="5" t="s">
        <v>208</v>
      </c>
      <c r="H2129" s="5" t="s">
        <v>468</v>
      </c>
      <c r="I2129" s="5" t="s">
        <v>469</v>
      </c>
      <c r="J2129" s="5">
        <v>15.762395</v>
      </c>
      <c r="K2129" s="5">
        <v>-96.144244</v>
      </c>
      <c r="L2129" s="5" t="str">
        <f>HYPERLINK("https://maps.google.com/?q=15.762395,-96.144244", "🔗 Ver Mapa")</f>
        <v>🔗 Ver Mapa</v>
      </c>
    </row>
    <row r="2130" spans="1:12" ht="43.5" x14ac:dyDescent="0.35">
      <c r="A2130" s="6" t="s">
        <v>288</v>
      </c>
      <c r="B2130" s="6" t="s">
        <v>289</v>
      </c>
      <c r="C2130" s="6" t="s">
        <v>475</v>
      </c>
      <c r="D2130" s="6" t="s">
        <v>414</v>
      </c>
      <c r="E2130" s="6" t="s">
        <v>17</v>
      </c>
      <c r="F2130" s="6" t="s">
        <v>20</v>
      </c>
      <c r="G2130" s="6" t="s">
        <v>208</v>
      </c>
      <c r="H2130" s="6" t="s">
        <v>468</v>
      </c>
      <c r="I2130" s="6" t="s">
        <v>469</v>
      </c>
      <c r="J2130" s="6">
        <v>15.762483</v>
      </c>
      <c r="K2130" s="6">
        <v>-96.143384999999995</v>
      </c>
      <c r="L2130" s="6" t="str">
        <f>HYPERLINK("https://maps.google.com/?q=15.762483,-96.143384999999995", "🔗 Ver Mapa")</f>
        <v>🔗 Ver Mapa</v>
      </c>
    </row>
    <row r="2131" spans="1:12" ht="43.5" x14ac:dyDescent="0.35">
      <c r="A2131" s="5" t="s">
        <v>288</v>
      </c>
      <c r="B2131" s="5" t="s">
        <v>289</v>
      </c>
      <c r="C2131" s="5" t="s">
        <v>475</v>
      </c>
      <c r="D2131" s="5" t="s">
        <v>414</v>
      </c>
      <c r="E2131" s="5" t="s">
        <v>17</v>
      </c>
      <c r="F2131" s="5" t="s">
        <v>20</v>
      </c>
      <c r="G2131" s="5" t="s">
        <v>208</v>
      </c>
      <c r="H2131" s="5" t="s">
        <v>468</v>
      </c>
      <c r="I2131" s="5" t="s">
        <v>469</v>
      </c>
      <c r="J2131" s="5">
        <v>15.762817</v>
      </c>
      <c r="K2131" s="5">
        <v>-96.142662000000001</v>
      </c>
      <c r="L2131" s="5" t="str">
        <f>HYPERLINK("https://maps.google.com/?q=15.762817,-96.142662000000001", "🔗 Ver Mapa")</f>
        <v>🔗 Ver Mapa</v>
      </c>
    </row>
    <row r="2132" spans="1:12" ht="43.5" x14ac:dyDescent="0.35">
      <c r="A2132" s="6" t="s">
        <v>288</v>
      </c>
      <c r="B2132" s="6" t="s">
        <v>289</v>
      </c>
      <c r="C2132" s="6" t="s">
        <v>475</v>
      </c>
      <c r="D2132" s="6" t="s">
        <v>414</v>
      </c>
      <c r="E2132" s="6" t="s">
        <v>17</v>
      </c>
      <c r="F2132" s="6" t="s">
        <v>20</v>
      </c>
      <c r="G2132" s="6" t="s">
        <v>208</v>
      </c>
      <c r="H2132" s="6" t="s">
        <v>468</v>
      </c>
      <c r="I2132" s="6" t="s">
        <v>469</v>
      </c>
      <c r="J2132" s="6">
        <v>15.762867</v>
      </c>
      <c r="K2132" s="6">
        <v>-96.142363000000003</v>
      </c>
      <c r="L2132" s="6" t="str">
        <f>HYPERLINK("https://maps.google.com/?q=15.762867,-96.142363000000003", "🔗 Ver Mapa")</f>
        <v>🔗 Ver Mapa</v>
      </c>
    </row>
    <row r="2133" spans="1:12" ht="43.5" x14ac:dyDescent="0.35">
      <c r="A2133" s="5" t="s">
        <v>288</v>
      </c>
      <c r="B2133" s="5" t="s">
        <v>289</v>
      </c>
      <c r="C2133" s="5" t="s">
        <v>475</v>
      </c>
      <c r="D2133" s="5" t="s">
        <v>414</v>
      </c>
      <c r="E2133" s="5" t="s">
        <v>17</v>
      </c>
      <c r="F2133" s="5" t="s">
        <v>20</v>
      </c>
      <c r="G2133" s="5" t="s">
        <v>208</v>
      </c>
      <c r="H2133" s="5" t="s">
        <v>468</v>
      </c>
      <c r="I2133" s="5" t="s">
        <v>469</v>
      </c>
      <c r="J2133" s="5">
        <v>15.762884</v>
      </c>
      <c r="K2133" s="5">
        <v>-96.143677999999994</v>
      </c>
      <c r="L2133" s="5" t="str">
        <f>HYPERLINK("https://maps.google.com/?q=15.762884,-96.143677999999994", "🔗 Ver Mapa")</f>
        <v>🔗 Ver Mapa</v>
      </c>
    </row>
    <row r="2134" spans="1:12" ht="43.5" x14ac:dyDescent="0.35">
      <c r="A2134" s="6" t="s">
        <v>288</v>
      </c>
      <c r="B2134" s="6" t="s">
        <v>289</v>
      </c>
      <c r="C2134" s="6" t="s">
        <v>475</v>
      </c>
      <c r="D2134" s="6" t="s">
        <v>414</v>
      </c>
      <c r="E2134" s="6" t="s">
        <v>17</v>
      </c>
      <c r="F2134" s="6" t="s">
        <v>20</v>
      </c>
      <c r="G2134" s="6" t="s">
        <v>208</v>
      </c>
      <c r="H2134" s="6" t="s">
        <v>468</v>
      </c>
      <c r="I2134" s="6" t="s">
        <v>469</v>
      </c>
      <c r="J2134" s="6">
        <v>15.763036</v>
      </c>
      <c r="K2134" s="6">
        <v>-96.142818000000005</v>
      </c>
      <c r="L2134" s="6" t="str">
        <f>HYPERLINK("https://maps.google.com/?q=15.763036,-96.142818000000005", "🔗 Ver Mapa")</f>
        <v>🔗 Ver Mapa</v>
      </c>
    </row>
    <row r="2135" spans="1:12" ht="43.5" x14ac:dyDescent="0.35">
      <c r="A2135" s="5" t="s">
        <v>288</v>
      </c>
      <c r="B2135" s="5" t="s">
        <v>289</v>
      </c>
      <c r="C2135" s="5" t="s">
        <v>475</v>
      </c>
      <c r="D2135" s="5" t="s">
        <v>414</v>
      </c>
      <c r="E2135" s="5" t="s">
        <v>17</v>
      </c>
      <c r="F2135" s="5" t="s">
        <v>20</v>
      </c>
      <c r="G2135" s="5" t="s">
        <v>208</v>
      </c>
      <c r="H2135" s="5" t="s">
        <v>468</v>
      </c>
      <c r="I2135" s="5" t="s">
        <v>469</v>
      </c>
      <c r="J2135" s="5">
        <v>15.763123999999999</v>
      </c>
      <c r="K2135" s="5">
        <v>-96.142685999999998</v>
      </c>
      <c r="L2135" s="5" t="str">
        <f>HYPERLINK("https://maps.google.com/?q=15.763124,-96.142685999999998", "🔗 Ver Mapa")</f>
        <v>🔗 Ver Mapa</v>
      </c>
    </row>
    <row r="2136" spans="1:12" ht="43.5" x14ac:dyDescent="0.35">
      <c r="A2136" s="6" t="s">
        <v>288</v>
      </c>
      <c r="B2136" s="6" t="s">
        <v>289</v>
      </c>
      <c r="C2136" s="6" t="s">
        <v>475</v>
      </c>
      <c r="D2136" s="6" t="s">
        <v>414</v>
      </c>
      <c r="E2136" s="6" t="s">
        <v>17</v>
      </c>
      <c r="F2136" s="6" t="s">
        <v>20</v>
      </c>
      <c r="G2136" s="6" t="s">
        <v>208</v>
      </c>
      <c r="H2136" s="6" t="s">
        <v>468</v>
      </c>
      <c r="I2136" s="6" t="s">
        <v>469</v>
      </c>
      <c r="J2136" s="6">
        <v>15.763132000000001</v>
      </c>
      <c r="K2136" s="6">
        <v>-96.141874999999999</v>
      </c>
      <c r="L2136" s="6" t="str">
        <f>HYPERLINK("https://maps.google.com/?q=15.763132,-96.141874999999999", "🔗 Ver Mapa")</f>
        <v>🔗 Ver Mapa</v>
      </c>
    </row>
    <row r="2137" spans="1:12" ht="43.5" x14ac:dyDescent="0.35">
      <c r="A2137" s="5" t="s">
        <v>288</v>
      </c>
      <c r="B2137" s="5" t="s">
        <v>289</v>
      </c>
      <c r="C2137" s="5" t="s">
        <v>475</v>
      </c>
      <c r="D2137" s="5" t="s">
        <v>414</v>
      </c>
      <c r="E2137" s="5" t="s">
        <v>17</v>
      </c>
      <c r="F2137" s="5" t="s">
        <v>20</v>
      </c>
      <c r="G2137" s="5" t="s">
        <v>208</v>
      </c>
      <c r="H2137" s="5" t="s">
        <v>468</v>
      </c>
      <c r="I2137" s="5" t="s">
        <v>469</v>
      </c>
      <c r="J2137" s="5">
        <v>15.763237999999999</v>
      </c>
      <c r="K2137" s="5">
        <v>-96.143756999999994</v>
      </c>
      <c r="L2137" s="5" t="str">
        <f>HYPERLINK("https://maps.google.com/?q=15.763238,-96.143756999999994", "🔗 Ver Mapa")</f>
        <v>🔗 Ver Mapa</v>
      </c>
    </row>
    <row r="2138" spans="1:12" ht="43.5" x14ac:dyDescent="0.35">
      <c r="A2138" s="6" t="s">
        <v>288</v>
      </c>
      <c r="B2138" s="6" t="s">
        <v>289</v>
      </c>
      <c r="C2138" s="6" t="s">
        <v>475</v>
      </c>
      <c r="D2138" s="6" t="s">
        <v>414</v>
      </c>
      <c r="E2138" s="6" t="s">
        <v>17</v>
      </c>
      <c r="F2138" s="6" t="s">
        <v>20</v>
      </c>
      <c r="G2138" s="6" t="s">
        <v>208</v>
      </c>
      <c r="H2138" s="6" t="s">
        <v>468</v>
      </c>
      <c r="I2138" s="6" t="s">
        <v>469</v>
      </c>
      <c r="J2138" s="6">
        <v>15.763313999999999</v>
      </c>
      <c r="K2138" s="6">
        <v>-96.143383</v>
      </c>
      <c r="L2138" s="6" t="str">
        <f>HYPERLINK("https://maps.google.com/?q=15.763314,-96.143383", "🔗 Ver Mapa")</f>
        <v>🔗 Ver Mapa</v>
      </c>
    </row>
    <row r="2139" spans="1:12" ht="43.5" x14ac:dyDescent="0.35">
      <c r="A2139" s="5" t="s">
        <v>288</v>
      </c>
      <c r="B2139" s="5" t="s">
        <v>289</v>
      </c>
      <c r="C2139" s="5" t="s">
        <v>475</v>
      </c>
      <c r="D2139" s="5" t="s">
        <v>414</v>
      </c>
      <c r="E2139" s="5" t="s">
        <v>17</v>
      </c>
      <c r="F2139" s="5" t="s">
        <v>20</v>
      </c>
      <c r="G2139" s="5" t="s">
        <v>208</v>
      </c>
      <c r="H2139" s="5" t="s">
        <v>468</v>
      </c>
      <c r="I2139" s="5" t="s">
        <v>469</v>
      </c>
      <c r="J2139" s="5">
        <v>15.763464000000001</v>
      </c>
      <c r="K2139" s="5">
        <v>-96.144508999999999</v>
      </c>
      <c r="L2139" s="5" t="str">
        <f>HYPERLINK("https://maps.google.com/?q=15.763464,-96.144508999999999", "🔗 Ver Mapa")</f>
        <v>🔗 Ver Mapa</v>
      </c>
    </row>
    <row r="2140" spans="1:12" ht="43.5" x14ac:dyDescent="0.35">
      <c r="A2140" s="6" t="s">
        <v>288</v>
      </c>
      <c r="B2140" s="6" t="s">
        <v>289</v>
      </c>
      <c r="C2140" s="6" t="s">
        <v>475</v>
      </c>
      <c r="D2140" s="6" t="s">
        <v>414</v>
      </c>
      <c r="E2140" s="6" t="s">
        <v>17</v>
      </c>
      <c r="F2140" s="6" t="s">
        <v>20</v>
      </c>
      <c r="G2140" s="6" t="s">
        <v>208</v>
      </c>
      <c r="H2140" s="6" t="s">
        <v>468</v>
      </c>
      <c r="I2140" s="6" t="s">
        <v>469</v>
      </c>
      <c r="J2140" s="6">
        <v>15.763500000000001</v>
      </c>
      <c r="K2140" s="6">
        <v>-96.143072000000004</v>
      </c>
      <c r="L2140" s="6" t="str">
        <f>HYPERLINK("https://maps.google.com/?q=15.7635,-96.143072000000004", "🔗 Ver Mapa")</f>
        <v>🔗 Ver Mapa</v>
      </c>
    </row>
    <row r="2141" spans="1:12" ht="43.5" x14ac:dyDescent="0.35">
      <c r="A2141" s="5" t="s">
        <v>288</v>
      </c>
      <c r="B2141" s="5" t="s">
        <v>289</v>
      </c>
      <c r="C2141" s="5" t="s">
        <v>475</v>
      </c>
      <c r="D2141" s="5" t="s">
        <v>414</v>
      </c>
      <c r="E2141" s="5" t="s">
        <v>17</v>
      </c>
      <c r="F2141" s="5" t="s">
        <v>20</v>
      </c>
      <c r="G2141" s="5" t="s">
        <v>208</v>
      </c>
      <c r="H2141" s="5" t="s">
        <v>468</v>
      </c>
      <c r="I2141" s="5" t="s">
        <v>469</v>
      </c>
      <c r="J2141" s="5">
        <v>15.763525</v>
      </c>
      <c r="K2141" s="5">
        <v>-96.142960000000002</v>
      </c>
      <c r="L2141" s="5" t="str">
        <f>HYPERLINK("https://maps.google.com/?q=15.763525,-96.142960000000002", "🔗 Ver Mapa")</f>
        <v>🔗 Ver Mapa</v>
      </c>
    </row>
    <row r="2142" spans="1:12" ht="43.5" x14ac:dyDescent="0.35">
      <c r="A2142" s="6" t="s">
        <v>288</v>
      </c>
      <c r="B2142" s="6" t="s">
        <v>289</v>
      </c>
      <c r="C2142" s="6" t="s">
        <v>475</v>
      </c>
      <c r="D2142" s="6" t="s">
        <v>414</v>
      </c>
      <c r="E2142" s="6" t="s">
        <v>17</v>
      </c>
      <c r="F2142" s="6" t="s">
        <v>20</v>
      </c>
      <c r="G2142" s="6" t="s">
        <v>208</v>
      </c>
      <c r="H2142" s="6" t="s">
        <v>468</v>
      </c>
      <c r="I2142" s="6" t="s">
        <v>469</v>
      </c>
      <c r="J2142" s="6">
        <v>15.763621000000001</v>
      </c>
      <c r="K2142" s="6">
        <v>-96.141327000000004</v>
      </c>
      <c r="L2142" s="6" t="str">
        <f>HYPERLINK("https://maps.google.com/?q=15.763621,-96.141327000000004", "🔗 Ver Mapa")</f>
        <v>🔗 Ver Mapa</v>
      </c>
    </row>
    <row r="2143" spans="1:12" ht="43.5" x14ac:dyDescent="0.35">
      <c r="A2143" s="5" t="s">
        <v>288</v>
      </c>
      <c r="B2143" s="5" t="s">
        <v>289</v>
      </c>
      <c r="C2143" s="5" t="s">
        <v>475</v>
      </c>
      <c r="D2143" s="5" t="s">
        <v>414</v>
      </c>
      <c r="E2143" s="5" t="s">
        <v>17</v>
      </c>
      <c r="F2143" s="5" t="s">
        <v>20</v>
      </c>
      <c r="G2143" s="5" t="s">
        <v>208</v>
      </c>
      <c r="H2143" s="5" t="s">
        <v>468</v>
      </c>
      <c r="I2143" s="5" t="s">
        <v>469</v>
      </c>
      <c r="J2143" s="5">
        <v>15.763684</v>
      </c>
      <c r="K2143" s="5">
        <v>-96.141969000000003</v>
      </c>
      <c r="L2143" s="5" t="str">
        <f>HYPERLINK("https://maps.google.com/?q=15.763684,-96.141969000000003", "🔗 Ver Mapa")</f>
        <v>🔗 Ver Mapa</v>
      </c>
    </row>
    <row r="2144" spans="1:12" ht="43.5" x14ac:dyDescent="0.35">
      <c r="A2144" s="6" t="s">
        <v>288</v>
      </c>
      <c r="B2144" s="6" t="s">
        <v>289</v>
      </c>
      <c r="C2144" s="6" t="s">
        <v>475</v>
      </c>
      <c r="D2144" s="6" t="s">
        <v>414</v>
      </c>
      <c r="E2144" s="6" t="s">
        <v>17</v>
      </c>
      <c r="F2144" s="6" t="s">
        <v>20</v>
      </c>
      <c r="G2144" s="6" t="s">
        <v>208</v>
      </c>
      <c r="H2144" s="6" t="s">
        <v>468</v>
      </c>
      <c r="I2144" s="6" t="s">
        <v>469</v>
      </c>
      <c r="J2144" s="6">
        <v>15.763819</v>
      </c>
      <c r="K2144" s="6">
        <v>-96.141249000000002</v>
      </c>
      <c r="L2144" s="6" t="str">
        <f>HYPERLINK("https://maps.google.com/?q=15.763819,-96.141249000000002", "🔗 Ver Mapa")</f>
        <v>🔗 Ver Mapa</v>
      </c>
    </row>
    <row r="2145" spans="1:12" ht="43.5" x14ac:dyDescent="0.35">
      <c r="A2145" s="5" t="s">
        <v>288</v>
      </c>
      <c r="B2145" s="5" t="s">
        <v>289</v>
      </c>
      <c r="C2145" s="5" t="s">
        <v>475</v>
      </c>
      <c r="D2145" s="5" t="s">
        <v>414</v>
      </c>
      <c r="E2145" s="5" t="s">
        <v>17</v>
      </c>
      <c r="F2145" s="5" t="s">
        <v>20</v>
      </c>
      <c r="G2145" s="5" t="s">
        <v>208</v>
      </c>
      <c r="H2145" s="5" t="s">
        <v>468</v>
      </c>
      <c r="I2145" s="5" t="s">
        <v>469</v>
      </c>
      <c r="J2145" s="5">
        <v>15.764041000000001</v>
      </c>
      <c r="K2145" s="5">
        <v>-96.141628999999995</v>
      </c>
      <c r="L2145" s="5" t="str">
        <f>HYPERLINK("https://maps.google.com/?q=15.764041,-96.141628999999995", "🔗 Ver Mapa")</f>
        <v>🔗 Ver Mapa</v>
      </c>
    </row>
    <row r="2146" spans="1:12" ht="43.5" x14ac:dyDescent="0.35">
      <c r="A2146" s="6" t="s">
        <v>288</v>
      </c>
      <c r="B2146" s="6" t="s">
        <v>289</v>
      </c>
      <c r="C2146" s="6" t="s">
        <v>475</v>
      </c>
      <c r="D2146" s="6" t="s">
        <v>414</v>
      </c>
      <c r="E2146" s="6" t="s">
        <v>17</v>
      </c>
      <c r="F2146" s="6" t="s">
        <v>20</v>
      </c>
      <c r="G2146" s="6" t="s">
        <v>208</v>
      </c>
      <c r="H2146" s="6" t="s">
        <v>468</v>
      </c>
      <c r="I2146" s="6" t="s">
        <v>469</v>
      </c>
      <c r="J2146" s="6">
        <v>15.764239</v>
      </c>
      <c r="K2146" s="6">
        <v>-96.14434</v>
      </c>
      <c r="L2146" s="6" t="str">
        <f>HYPERLINK("https://maps.google.com/?q=15.764239,-96.144340", "🔗 Ver Mapa")</f>
        <v>🔗 Ver Mapa</v>
      </c>
    </row>
    <row r="2147" spans="1:12" ht="43.5" x14ac:dyDescent="0.35">
      <c r="A2147" s="5" t="s">
        <v>288</v>
      </c>
      <c r="B2147" s="5" t="s">
        <v>289</v>
      </c>
      <c r="C2147" s="5" t="s">
        <v>475</v>
      </c>
      <c r="D2147" s="5" t="s">
        <v>414</v>
      </c>
      <c r="E2147" s="5" t="s">
        <v>17</v>
      </c>
      <c r="F2147" s="5" t="s">
        <v>20</v>
      </c>
      <c r="G2147" s="5" t="s">
        <v>208</v>
      </c>
      <c r="H2147" s="5" t="s">
        <v>468</v>
      </c>
      <c r="I2147" s="5" t="s">
        <v>469</v>
      </c>
      <c r="J2147" s="5">
        <v>15.764282</v>
      </c>
      <c r="K2147" s="5">
        <v>-96.144171</v>
      </c>
      <c r="L2147" s="5" t="str">
        <f>HYPERLINK("https://maps.google.com/?q=15.764282,-96.144171", "🔗 Ver Mapa")</f>
        <v>🔗 Ver Mapa</v>
      </c>
    </row>
    <row r="2148" spans="1:12" ht="43.5" x14ac:dyDescent="0.35">
      <c r="A2148" s="6" t="s">
        <v>288</v>
      </c>
      <c r="B2148" s="6" t="s">
        <v>289</v>
      </c>
      <c r="C2148" s="6" t="s">
        <v>475</v>
      </c>
      <c r="D2148" s="6" t="s">
        <v>414</v>
      </c>
      <c r="E2148" s="6" t="s">
        <v>17</v>
      </c>
      <c r="F2148" s="6" t="s">
        <v>20</v>
      </c>
      <c r="G2148" s="6" t="s">
        <v>208</v>
      </c>
      <c r="H2148" s="6" t="s">
        <v>468</v>
      </c>
      <c r="I2148" s="6" t="s">
        <v>469</v>
      </c>
      <c r="J2148" s="6">
        <v>15.764316000000001</v>
      </c>
      <c r="K2148" s="6">
        <v>-96.141251999999994</v>
      </c>
      <c r="L2148" s="6" t="str">
        <f>HYPERLINK("https://maps.google.com/?q=15.764316,-96.141251999999994", "🔗 Ver Mapa")</f>
        <v>🔗 Ver Mapa</v>
      </c>
    </row>
    <row r="2149" spans="1:12" ht="43.5" x14ac:dyDescent="0.35">
      <c r="A2149" s="5" t="s">
        <v>288</v>
      </c>
      <c r="B2149" s="5" t="s">
        <v>289</v>
      </c>
      <c r="C2149" s="5" t="s">
        <v>475</v>
      </c>
      <c r="D2149" s="5" t="s">
        <v>414</v>
      </c>
      <c r="E2149" s="5" t="s">
        <v>17</v>
      </c>
      <c r="F2149" s="5" t="s">
        <v>20</v>
      </c>
      <c r="G2149" s="5" t="s">
        <v>208</v>
      </c>
      <c r="H2149" s="5" t="s">
        <v>468</v>
      </c>
      <c r="I2149" s="5" t="s">
        <v>469</v>
      </c>
      <c r="J2149" s="5">
        <v>15.76455</v>
      </c>
      <c r="K2149" s="5">
        <v>-96.144008999999997</v>
      </c>
      <c r="L2149" s="5" t="str">
        <f>HYPERLINK("https://maps.google.com/?q=15.76455,-96.144008999999997", "🔗 Ver Mapa")</f>
        <v>🔗 Ver Mapa</v>
      </c>
    </row>
    <row r="2150" spans="1:12" ht="43.5" x14ac:dyDescent="0.35">
      <c r="A2150" s="6" t="s">
        <v>288</v>
      </c>
      <c r="B2150" s="6" t="s">
        <v>289</v>
      </c>
      <c r="C2150" s="6" t="s">
        <v>475</v>
      </c>
      <c r="D2150" s="6" t="s">
        <v>414</v>
      </c>
      <c r="E2150" s="6" t="s">
        <v>17</v>
      </c>
      <c r="F2150" s="6" t="s">
        <v>20</v>
      </c>
      <c r="G2150" s="6" t="s">
        <v>208</v>
      </c>
      <c r="H2150" s="6" t="s">
        <v>468</v>
      </c>
      <c r="I2150" s="6" t="s">
        <v>469</v>
      </c>
      <c r="J2150" s="6">
        <v>15.764718999999999</v>
      </c>
      <c r="K2150" s="6">
        <v>-96.143772999999996</v>
      </c>
      <c r="L2150" s="6" t="str">
        <f>HYPERLINK("https://maps.google.com/?q=15.764719,-96.143772999999996", "🔗 Ver Mapa")</f>
        <v>🔗 Ver Mapa</v>
      </c>
    </row>
    <row r="2151" spans="1:12" ht="43.5" x14ac:dyDescent="0.35">
      <c r="A2151" s="5" t="s">
        <v>288</v>
      </c>
      <c r="B2151" s="5" t="s">
        <v>289</v>
      </c>
      <c r="C2151" s="5" t="s">
        <v>475</v>
      </c>
      <c r="D2151" s="5" t="s">
        <v>414</v>
      </c>
      <c r="E2151" s="5" t="s">
        <v>17</v>
      </c>
      <c r="F2151" s="5" t="s">
        <v>20</v>
      </c>
      <c r="G2151" s="5" t="s">
        <v>208</v>
      </c>
      <c r="H2151" s="5" t="s">
        <v>468</v>
      </c>
      <c r="I2151" s="5" t="s">
        <v>469</v>
      </c>
      <c r="J2151" s="5">
        <v>15.764767000000001</v>
      </c>
      <c r="K2151" s="5">
        <v>-96.143306999999993</v>
      </c>
      <c r="L2151" s="5" t="str">
        <f>HYPERLINK("https://maps.google.com/?q=15.764767,-96.143306999999993", "🔗 Ver Mapa")</f>
        <v>🔗 Ver Mapa</v>
      </c>
    </row>
    <row r="2152" spans="1:12" ht="43.5" x14ac:dyDescent="0.35">
      <c r="A2152" s="6" t="s">
        <v>288</v>
      </c>
      <c r="B2152" s="6" t="s">
        <v>289</v>
      </c>
      <c r="C2152" s="6" t="s">
        <v>475</v>
      </c>
      <c r="D2152" s="6" t="s">
        <v>414</v>
      </c>
      <c r="E2152" s="6" t="s">
        <v>17</v>
      </c>
      <c r="F2152" s="6" t="s">
        <v>20</v>
      </c>
      <c r="G2152" s="6" t="s">
        <v>208</v>
      </c>
      <c r="H2152" s="6" t="s">
        <v>468</v>
      </c>
      <c r="I2152" s="6" t="s">
        <v>469</v>
      </c>
      <c r="J2152" s="6">
        <v>15.764842</v>
      </c>
      <c r="K2152" s="6">
        <v>-96.142866999999995</v>
      </c>
      <c r="L2152" s="6" t="str">
        <f>HYPERLINK("https://maps.google.com/?q=15.764842,-96.142866999999995", "🔗 Ver Mapa")</f>
        <v>🔗 Ver Mapa</v>
      </c>
    </row>
    <row r="2153" spans="1:12" ht="43.5" x14ac:dyDescent="0.35">
      <c r="A2153" s="5" t="s">
        <v>288</v>
      </c>
      <c r="B2153" s="5" t="s">
        <v>289</v>
      </c>
      <c r="C2153" s="5" t="s">
        <v>475</v>
      </c>
      <c r="D2153" s="5" t="s">
        <v>414</v>
      </c>
      <c r="E2153" s="5" t="s">
        <v>17</v>
      </c>
      <c r="F2153" s="5" t="s">
        <v>20</v>
      </c>
      <c r="G2153" s="5" t="s">
        <v>208</v>
      </c>
      <c r="H2153" s="5" t="s">
        <v>468</v>
      </c>
      <c r="I2153" s="5" t="s">
        <v>469</v>
      </c>
      <c r="J2153" s="5">
        <v>15.764939999999999</v>
      </c>
      <c r="K2153" s="5">
        <v>-96.142735000000002</v>
      </c>
      <c r="L2153" s="5" t="str">
        <f>HYPERLINK("https://maps.google.com/?q=15.76494,-96.142735000000002", "🔗 Ver Mapa")</f>
        <v>🔗 Ver Mapa</v>
      </c>
    </row>
    <row r="2154" spans="1:12" ht="43.5" x14ac:dyDescent="0.35">
      <c r="A2154" s="6" t="s">
        <v>288</v>
      </c>
      <c r="B2154" s="6" t="s">
        <v>289</v>
      </c>
      <c r="C2154" s="6" t="s">
        <v>475</v>
      </c>
      <c r="D2154" s="6" t="s">
        <v>414</v>
      </c>
      <c r="E2154" s="6" t="s">
        <v>17</v>
      </c>
      <c r="F2154" s="6" t="s">
        <v>20</v>
      </c>
      <c r="G2154" s="6" t="s">
        <v>208</v>
      </c>
      <c r="H2154" s="6" t="s">
        <v>468</v>
      </c>
      <c r="I2154" s="6" t="s">
        <v>469</v>
      </c>
      <c r="J2154" s="6">
        <v>15.765022999999999</v>
      </c>
      <c r="K2154" s="6">
        <v>-96.141503</v>
      </c>
      <c r="L2154" s="6" t="str">
        <f>HYPERLINK("https://maps.google.com/?q=15.765023,-96.141503", "🔗 Ver Mapa")</f>
        <v>🔗 Ver Mapa</v>
      </c>
    </row>
    <row r="2155" spans="1:12" ht="43.5" x14ac:dyDescent="0.35">
      <c r="A2155" s="5" t="s">
        <v>288</v>
      </c>
      <c r="B2155" s="5" t="s">
        <v>289</v>
      </c>
      <c r="C2155" s="5" t="s">
        <v>475</v>
      </c>
      <c r="D2155" s="5" t="s">
        <v>414</v>
      </c>
      <c r="E2155" s="5" t="s">
        <v>17</v>
      </c>
      <c r="F2155" s="5" t="s">
        <v>20</v>
      </c>
      <c r="G2155" s="5" t="s">
        <v>208</v>
      </c>
      <c r="H2155" s="5" t="s">
        <v>468</v>
      </c>
      <c r="I2155" s="5" t="s">
        <v>469</v>
      </c>
      <c r="J2155" s="5">
        <v>15.7652</v>
      </c>
      <c r="K2155" s="5">
        <v>-96.141930000000002</v>
      </c>
      <c r="L2155" s="5" t="str">
        <f>HYPERLINK("https://maps.google.com/?q=15.7652,-96.141930000000002", "🔗 Ver Mapa")</f>
        <v>🔗 Ver Mapa</v>
      </c>
    </row>
    <row r="2156" spans="1:12" ht="43.5" x14ac:dyDescent="0.35">
      <c r="A2156" s="6" t="s">
        <v>288</v>
      </c>
      <c r="B2156" s="6" t="s">
        <v>289</v>
      </c>
      <c r="C2156" s="6" t="s">
        <v>476</v>
      </c>
      <c r="D2156" s="6" t="s">
        <v>414</v>
      </c>
      <c r="E2156" s="6" t="s">
        <v>17</v>
      </c>
      <c r="F2156" s="6" t="s">
        <v>20</v>
      </c>
      <c r="G2156" s="6" t="s">
        <v>208</v>
      </c>
      <c r="H2156" s="6" t="s">
        <v>468</v>
      </c>
      <c r="I2156" s="6" t="s">
        <v>469</v>
      </c>
      <c r="J2156" s="6">
        <v>15.757354296879999</v>
      </c>
      <c r="K2156" s="6">
        <v>-96.147560080299996</v>
      </c>
      <c r="L2156" s="6" t="str">
        <f>HYPERLINK("https://maps.google.com/?q=15.757354296880038,-96.147560080299925", "🔗 Ver Mapa")</f>
        <v>🔗 Ver Mapa</v>
      </c>
    </row>
    <row r="2157" spans="1:12" ht="43.5" x14ac:dyDescent="0.35">
      <c r="A2157" s="5" t="s">
        <v>288</v>
      </c>
      <c r="B2157" s="5" t="s">
        <v>289</v>
      </c>
      <c r="C2157" s="5" t="s">
        <v>476</v>
      </c>
      <c r="D2157" s="5" t="s">
        <v>414</v>
      </c>
      <c r="E2157" s="5" t="s">
        <v>17</v>
      </c>
      <c r="F2157" s="5" t="s">
        <v>20</v>
      </c>
      <c r="G2157" s="5" t="s">
        <v>208</v>
      </c>
      <c r="H2157" s="5" t="s">
        <v>468</v>
      </c>
      <c r="I2157" s="5" t="s">
        <v>469</v>
      </c>
      <c r="J2157" s="5">
        <v>15.757528882396</v>
      </c>
      <c r="K2157" s="5">
        <v>-96.146410613626998</v>
      </c>
      <c r="L2157" s="5" t="str">
        <f>HYPERLINK("https://maps.google.com/?q=15.757528882396326,-96.146410613626955", "🔗 Ver Mapa")</f>
        <v>🔗 Ver Mapa</v>
      </c>
    </row>
    <row r="2158" spans="1:12" ht="43.5" x14ac:dyDescent="0.35">
      <c r="A2158" s="6" t="s">
        <v>288</v>
      </c>
      <c r="B2158" s="6" t="s">
        <v>289</v>
      </c>
      <c r="C2158" s="6" t="s">
        <v>476</v>
      </c>
      <c r="D2158" s="6" t="s">
        <v>414</v>
      </c>
      <c r="E2158" s="6" t="s">
        <v>17</v>
      </c>
      <c r="F2158" s="6" t="s">
        <v>20</v>
      </c>
      <c r="G2158" s="6" t="s">
        <v>208</v>
      </c>
      <c r="H2158" s="6" t="s">
        <v>468</v>
      </c>
      <c r="I2158" s="6" t="s">
        <v>469</v>
      </c>
      <c r="J2158" s="6">
        <v>15.757868736303999</v>
      </c>
      <c r="K2158" s="6">
        <v>-96.148224324534993</v>
      </c>
      <c r="L2158" s="6" t="str">
        <f>HYPERLINK("https://maps.google.com/?q=15.757868736304358,-96.148224324534851", "🔗 Ver Mapa")</f>
        <v>🔗 Ver Mapa</v>
      </c>
    </row>
    <row r="2159" spans="1:12" ht="43.5" x14ac:dyDescent="0.35">
      <c r="A2159" s="5" t="s">
        <v>288</v>
      </c>
      <c r="B2159" s="5" t="s">
        <v>289</v>
      </c>
      <c r="C2159" s="5" t="s">
        <v>476</v>
      </c>
      <c r="D2159" s="5" t="s">
        <v>414</v>
      </c>
      <c r="E2159" s="5" t="s">
        <v>17</v>
      </c>
      <c r="F2159" s="5" t="s">
        <v>20</v>
      </c>
      <c r="G2159" s="5" t="s">
        <v>208</v>
      </c>
      <c r="H2159" s="5" t="s">
        <v>468</v>
      </c>
      <c r="I2159" s="5" t="s">
        <v>469</v>
      </c>
      <c r="J2159" s="5">
        <v>15.757935718242001</v>
      </c>
      <c r="K2159" s="5">
        <v>-96.147822394431998</v>
      </c>
      <c r="L2159" s="5" t="str">
        <f>HYPERLINK("https://maps.google.com/?q=15.757935718242084,-96.147822394432325", "🔗 Ver Mapa")</f>
        <v>🔗 Ver Mapa</v>
      </c>
    </row>
    <row r="2160" spans="1:12" ht="43.5" x14ac:dyDescent="0.35">
      <c r="A2160" s="6" t="s">
        <v>288</v>
      </c>
      <c r="B2160" s="6" t="s">
        <v>289</v>
      </c>
      <c r="C2160" s="6" t="s">
        <v>476</v>
      </c>
      <c r="D2160" s="6" t="s">
        <v>414</v>
      </c>
      <c r="E2160" s="6" t="s">
        <v>17</v>
      </c>
      <c r="F2160" s="6" t="s">
        <v>20</v>
      </c>
      <c r="G2160" s="6" t="s">
        <v>208</v>
      </c>
      <c r="H2160" s="6" t="s">
        <v>468</v>
      </c>
      <c r="I2160" s="6" t="s">
        <v>469</v>
      </c>
      <c r="J2160" s="6">
        <v>15.758039332738999</v>
      </c>
      <c r="K2160" s="6">
        <v>-96.149527506061006</v>
      </c>
      <c r="L2160" s="6" t="str">
        <f>HYPERLINK("https://maps.google.com/?q=15.758039332738857,-96.149527506061418", "🔗 Ver Mapa")</f>
        <v>🔗 Ver Mapa</v>
      </c>
    </row>
    <row r="2161" spans="1:12" ht="43.5" x14ac:dyDescent="0.35">
      <c r="A2161" s="5" t="s">
        <v>288</v>
      </c>
      <c r="B2161" s="5" t="s">
        <v>289</v>
      </c>
      <c r="C2161" s="5" t="s">
        <v>476</v>
      </c>
      <c r="D2161" s="5" t="s">
        <v>414</v>
      </c>
      <c r="E2161" s="5" t="s">
        <v>17</v>
      </c>
      <c r="F2161" s="5" t="s">
        <v>20</v>
      </c>
      <c r="G2161" s="5" t="s">
        <v>208</v>
      </c>
      <c r="H2161" s="5" t="s">
        <v>468</v>
      </c>
      <c r="I2161" s="5" t="s">
        <v>469</v>
      </c>
      <c r="J2161" s="5">
        <v>15.758177688726001</v>
      </c>
      <c r="K2161" s="5">
        <v>-96.148369216038006</v>
      </c>
      <c r="L2161" s="5" t="str">
        <f>HYPERLINK("https://maps.google.com/?q=15.758177688725652,-96.148369216038333", "🔗 Ver Mapa")</f>
        <v>🔗 Ver Mapa</v>
      </c>
    </row>
    <row r="2162" spans="1:12" ht="43.5" x14ac:dyDescent="0.35">
      <c r="A2162" s="6" t="s">
        <v>288</v>
      </c>
      <c r="B2162" s="6" t="s">
        <v>289</v>
      </c>
      <c r="C2162" s="6" t="s">
        <v>476</v>
      </c>
      <c r="D2162" s="6" t="s">
        <v>414</v>
      </c>
      <c r="E2162" s="6" t="s">
        <v>17</v>
      </c>
      <c r="F2162" s="6" t="s">
        <v>20</v>
      </c>
      <c r="G2162" s="6" t="s">
        <v>208</v>
      </c>
      <c r="H2162" s="6" t="s">
        <v>468</v>
      </c>
      <c r="I2162" s="6" t="s">
        <v>469</v>
      </c>
      <c r="J2162" s="6">
        <v>15.758384157905001</v>
      </c>
      <c r="K2162" s="6">
        <v>-96.149653247912994</v>
      </c>
      <c r="L2162" s="6" t="str">
        <f>HYPERLINK("https://maps.google.com/?q=15.758384157904617,-96.149653247912909", "🔗 Ver Mapa")</f>
        <v>🔗 Ver Mapa</v>
      </c>
    </row>
    <row r="2163" spans="1:12" ht="43.5" x14ac:dyDescent="0.35">
      <c r="A2163" s="5" t="s">
        <v>288</v>
      </c>
      <c r="B2163" s="5" t="s">
        <v>289</v>
      </c>
      <c r="C2163" s="5" t="s">
        <v>476</v>
      </c>
      <c r="D2163" s="5" t="s">
        <v>414</v>
      </c>
      <c r="E2163" s="5" t="s">
        <v>17</v>
      </c>
      <c r="F2163" s="5" t="s">
        <v>20</v>
      </c>
      <c r="G2163" s="5" t="s">
        <v>208</v>
      </c>
      <c r="H2163" s="5" t="s">
        <v>468</v>
      </c>
      <c r="I2163" s="5" t="s">
        <v>469</v>
      </c>
      <c r="J2163" s="5">
        <v>15.758656366647999</v>
      </c>
      <c r="K2163" s="5">
        <v>-96.148371854774993</v>
      </c>
      <c r="L2163" s="5" t="str">
        <f>HYPERLINK("https://maps.google.com/?q=15.758656366648419,-96.148371854774567", "🔗 Ver Mapa")</f>
        <v>🔗 Ver Mapa</v>
      </c>
    </row>
    <row r="2164" spans="1:12" ht="43.5" x14ac:dyDescent="0.35">
      <c r="A2164" s="6" t="s">
        <v>288</v>
      </c>
      <c r="B2164" s="6" t="s">
        <v>289</v>
      </c>
      <c r="C2164" s="6" t="s">
        <v>476</v>
      </c>
      <c r="D2164" s="6" t="s">
        <v>414</v>
      </c>
      <c r="E2164" s="6" t="s">
        <v>17</v>
      </c>
      <c r="F2164" s="6" t="s">
        <v>20</v>
      </c>
      <c r="G2164" s="6" t="s">
        <v>208</v>
      </c>
      <c r="H2164" s="6" t="s">
        <v>468</v>
      </c>
      <c r="I2164" s="6" t="s">
        <v>469</v>
      </c>
      <c r="J2164" s="6">
        <v>15.759485314938001</v>
      </c>
      <c r="K2164" s="6">
        <v>-96.146159452508996</v>
      </c>
      <c r="L2164" s="6" t="str">
        <f>HYPERLINK("https://maps.google.com/?q=15.759485314938383,-96.146159452508698", "🔗 Ver Mapa")</f>
        <v>🔗 Ver Mapa</v>
      </c>
    </row>
    <row r="2165" spans="1:12" ht="43.5" x14ac:dyDescent="0.35">
      <c r="A2165" s="5" t="s">
        <v>288</v>
      </c>
      <c r="B2165" s="5" t="s">
        <v>289</v>
      </c>
      <c r="C2165" s="5" t="s">
        <v>476</v>
      </c>
      <c r="D2165" s="5" t="s">
        <v>414</v>
      </c>
      <c r="E2165" s="5" t="s">
        <v>17</v>
      </c>
      <c r="F2165" s="5" t="s">
        <v>20</v>
      </c>
      <c r="G2165" s="5" t="s">
        <v>208</v>
      </c>
      <c r="H2165" s="5" t="s">
        <v>468</v>
      </c>
      <c r="I2165" s="5" t="s">
        <v>469</v>
      </c>
      <c r="J2165" s="5">
        <v>15.760058603892</v>
      </c>
      <c r="K2165" s="5">
        <v>-96.148557427512003</v>
      </c>
      <c r="L2165" s="5" t="str">
        <f>HYPERLINK("https://maps.google.com/?q=15.76005860389238,-96.148557427511619", "🔗 Ver Mapa")</f>
        <v>🔗 Ver Mapa</v>
      </c>
    </row>
    <row r="2166" spans="1:12" ht="43.5" x14ac:dyDescent="0.35">
      <c r="A2166" s="6" t="s">
        <v>288</v>
      </c>
      <c r="B2166" s="6" t="s">
        <v>289</v>
      </c>
      <c r="C2166" s="6" t="s">
        <v>476</v>
      </c>
      <c r="D2166" s="6" t="s">
        <v>414</v>
      </c>
      <c r="E2166" s="6" t="s">
        <v>17</v>
      </c>
      <c r="F2166" s="6" t="s">
        <v>20</v>
      </c>
      <c r="G2166" s="6" t="s">
        <v>208</v>
      </c>
      <c r="H2166" s="6" t="s">
        <v>468</v>
      </c>
      <c r="I2166" s="6" t="s">
        <v>469</v>
      </c>
      <c r="J2166" s="6">
        <v>15.760125680971999</v>
      </c>
      <c r="K2166" s="6">
        <v>-96.146784636104002</v>
      </c>
      <c r="L2166" s="6" t="str">
        <f>HYPERLINK("https://maps.google.com/?q=15.76012568097185,-96.146784636103774", "🔗 Ver Mapa")</f>
        <v>🔗 Ver Mapa</v>
      </c>
    </row>
    <row r="2167" spans="1:12" ht="43.5" x14ac:dyDescent="0.35">
      <c r="A2167" s="5" t="s">
        <v>288</v>
      </c>
      <c r="B2167" s="5" t="s">
        <v>289</v>
      </c>
      <c r="C2167" s="5" t="s">
        <v>476</v>
      </c>
      <c r="D2167" s="5" t="s">
        <v>414</v>
      </c>
      <c r="E2167" s="5" t="s">
        <v>17</v>
      </c>
      <c r="F2167" s="5" t="s">
        <v>20</v>
      </c>
      <c r="G2167" s="5" t="s">
        <v>208</v>
      </c>
      <c r="H2167" s="5" t="s">
        <v>468</v>
      </c>
      <c r="I2167" s="5" t="s">
        <v>469</v>
      </c>
      <c r="J2167" s="5">
        <v>15.760192343398</v>
      </c>
      <c r="K2167" s="5">
        <v>-96.149115092811996</v>
      </c>
      <c r="L2167" s="5" t="str">
        <f>HYPERLINK("https://maps.google.com/?q=15.760192343398451,-96.149115092811627", "🔗 Ver Mapa")</f>
        <v>🔗 Ver Mapa</v>
      </c>
    </row>
    <row r="2168" spans="1:12" ht="43.5" x14ac:dyDescent="0.35">
      <c r="A2168" s="6" t="s">
        <v>288</v>
      </c>
      <c r="B2168" s="6" t="s">
        <v>289</v>
      </c>
      <c r="C2168" s="6" t="s">
        <v>476</v>
      </c>
      <c r="D2168" s="6" t="s">
        <v>414</v>
      </c>
      <c r="E2168" s="6" t="s">
        <v>17</v>
      </c>
      <c r="F2168" s="6" t="s">
        <v>20</v>
      </c>
      <c r="G2168" s="6" t="s">
        <v>208</v>
      </c>
      <c r="H2168" s="6" t="s">
        <v>468</v>
      </c>
      <c r="I2168" s="6" t="s">
        <v>469</v>
      </c>
      <c r="J2168" s="6">
        <v>15.760368703407</v>
      </c>
      <c r="K2168" s="6">
        <v>-96.145345104396</v>
      </c>
      <c r="L2168" s="6" t="str">
        <f>HYPERLINK("https://maps.google.com/?q=15.760368703406533,-96.145345104396114", "🔗 Ver Mapa")</f>
        <v>🔗 Ver Mapa</v>
      </c>
    </row>
    <row r="2169" spans="1:12" ht="43.5" x14ac:dyDescent="0.35">
      <c r="A2169" s="5" t="s">
        <v>288</v>
      </c>
      <c r="B2169" s="5" t="s">
        <v>289</v>
      </c>
      <c r="C2169" s="5" t="s">
        <v>476</v>
      </c>
      <c r="D2169" s="5" t="s">
        <v>414</v>
      </c>
      <c r="E2169" s="5" t="s">
        <v>17</v>
      </c>
      <c r="F2169" s="5" t="s">
        <v>20</v>
      </c>
      <c r="G2169" s="5" t="s">
        <v>208</v>
      </c>
      <c r="H2169" s="5" t="s">
        <v>468</v>
      </c>
      <c r="I2169" s="5" t="s">
        <v>469</v>
      </c>
      <c r="J2169" s="5">
        <v>15.76080621763</v>
      </c>
      <c r="K2169" s="5">
        <v>-96.149097192937006</v>
      </c>
      <c r="L2169" s="5" t="str">
        <f>HYPERLINK("https://maps.google.com/?q=15.760806217630273,-96.149097192936509", "🔗 Ver Mapa")</f>
        <v>🔗 Ver Mapa</v>
      </c>
    </row>
    <row r="2170" spans="1:12" ht="43.5" x14ac:dyDescent="0.35">
      <c r="A2170" s="6" t="s">
        <v>288</v>
      </c>
      <c r="B2170" s="6" t="s">
        <v>289</v>
      </c>
      <c r="C2170" s="6" t="s">
        <v>476</v>
      </c>
      <c r="D2170" s="6" t="s">
        <v>414</v>
      </c>
      <c r="E2170" s="6" t="s">
        <v>17</v>
      </c>
      <c r="F2170" s="6" t="s">
        <v>20</v>
      </c>
      <c r="G2170" s="6" t="s">
        <v>208</v>
      </c>
      <c r="H2170" s="6" t="s">
        <v>468</v>
      </c>
      <c r="I2170" s="6" t="s">
        <v>469</v>
      </c>
      <c r="J2170" s="6">
        <v>15.760985328855</v>
      </c>
      <c r="K2170" s="6">
        <v>-96.148292689886006</v>
      </c>
      <c r="L2170" s="6" t="str">
        <f>HYPERLINK("https://maps.google.com/?q=15.76098532885463,-96.148292689886304", "🔗 Ver Mapa")</f>
        <v>🔗 Ver Mapa</v>
      </c>
    </row>
    <row r="2171" spans="1:12" ht="43.5" x14ac:dyDescent="0.35">
      <c r="A2171" s="5" t="s">
        <v>288</v>
      </c>
      <c r="B2171" s="5" t="s">
        <v>289</v>
      </c>
      <c r="C2171" s="5" t="s">
        <v>476</v>
      </c>
      <c r="D2171" s="5" t="s">
        <v>414</v>
      </c>
      <c r="E2171" s="5" t="s">
        <v>17</v>
      </c>
      <c r="F2171" s="5" t="s">
        <v>20</v>
      </c>
      <c r="G2171" s="5" t="s">
        <v>208</v>
      </c>
      <c r="H2171" s="5" t="s">
        <v>468</v>
      </c>
      <c r="I2171" s="5" t="s">
        <v>469</v>
      </c>
      <c r="J2171" s="5">
        <v>15.761431554310001</v>
      </c>
      <c r="K2171" s="5">
        <v>-96.148575549187996</v>
      </c>
      <c r="L2171" s="5" t="str">
        <f>HYPERLINK("https://maps.google.com/?q=15.761431554309501,-96.148575549187569", "🔗 Ver Mapa")</f>
        <v>🔗 Ver Mapa</v>
      </c>
    </row>
    <row r="2172" spans="1:12" ht="43.5" x14ac:dyDescent="0.35">
      <c r="A2172" s="6" t="s">
        <v>288</v>
      </c>
      <c r="B2172" s="6" t="s">
        <v>289</v>
      </c>
      <c r="C2172" s="6" t="s">
        <v>476</v>
      </c>
      <c r="D2172" s="6" t="s">
        <v>414</v>
      </c>
      <c r="E2172" s="6" t="s">
        <v>17</v>
      </c>
      <c r="F2172" s="6" t="s">
        <v>20</v>
      </c>
      <c r="G2172" s="6" t="s">
        <v>208</v>
      </c>
      <c r="H2172" s="6" t="s">
        <v>468</v>
      </c>
      <c r="I2172" s="6" t="s">
        <v>469</v>
      </c>
      <c r="J2172" s="6">
        <v>15.761508864094999</v>
      </c>
      <c r="K2172" s="6">
        <v>-96.146205763970002</v>
      </c>
      <c r="L2172" s="6" t="str">
        <f>HYPERLINK("https://maps.google.com/?q=15.761508864094752,-96.146205763969874", "🔗 Ver Mapa")</f>
        <v>🔗 Ver Mapa</v>
      </c>
    </row>
    <row r="2173" spans="1:12" ht="43.5" x14ac:dyDescent="0.35">
      <c r="A2173" s="5" t="s">
        <v>288</v>
      </c>
      <c r="B2173" s="5" t="s">
        <v>289</v>
      </c>
      <c r="C2173" s="5" t="s">
        <v>476</v>
      </c>
      <c r="D2173" s="5" t="s">
        <v>414</v>
      </c>
      <c r="E2173" s="5" t="s">
        <v>17</v>
      </c>
      <c r="F2173" s="5" t="s">
        <v>20</v>
      </c>
      <c r="G2173" s="5" t="s">
        <v>208</v>
      </c>
      <c r="H2173" s="5" t="s">
        <v>468</v>
      </c>
      <c r="I2173" s="5" t="s">
        <v>469</v>
      </c>
      <c r="J2173" s="5">
        <v>15.761599627195</v>
      </c>
      <c r="K2173" s="5">
        <v>-96.145551702548005</v>
      </c>
      <c r="L2173" s="5" t="str">
        <f>HYPERLINK("https://maps.google.com/?q=15.761599627195036,-96.145551702548488", "🔗 Ver Mapa")</f>
        <v>🔗 Ver Mapa</v>
      </c>
    </row>
    <row r="2174" spans="1:12" ht="43.5" x14ac:dyDescent="0.35">
      <c r="A2174" s="6" t="s">
        <v>288</v>
      </c>
      <c r="B2174" s="6" t="s">
        <v>289</v>
      </c>
      <c r="C2174" s="6" t="s">
        <v>476</v>
      </c>
      <c r="D2174" s="6" t="s">
        <v>414</v>
      </c>
      <c r="E2174" s="6" t="s">
        <v>17</v>
      </c>
      <c r="F2174" s="6" t="s">
        <v>20</v>
      </c>
      <c r="G2174" s="6" t="s">
        <v>208</v>
      </c>
      <c r="H2174" s="6" t="s">
        <v>468</v>
      </c>
      <c r="I2174" s="6" t="s">
        <v>469</v>
      </c>
      <c r="J2174" s="6">
        <v>15.762097115767</v>
      </c>
      <c r="K2174" s="6">
        <v>-96.146300120380005</v>
      </c>
      <c r="L2174" s="6" t="str">
        <f>HYPERLINK("https://maps.google.com/?q=15.762097115766958,-96.146300120380317", "🔗 Ver Mapa")</f>
        <v>🔗 Ver Mapa</v>
      </c>
    </row>
    <row r="2175" spans="1:12" ht="29" x14ac:dyDescent="0.35">
      <c r="A2175" s="5" t="s">
        <v>396</v>
      </c>
      <c r="B2175" s="5" t="s">
        <v>397</v>
      </c>
      <c r="C2175" s="5" t="s">
        <v>477</v>
      </c>
      <c r="D2175" s="5" t="s">
        <v>399</v>
      </c>
      <c r="E2175" s="5" t="s">
        <v>158</v>
      </c>
      <c r="F2175" s="5" t="s">
        <v>159</v>
      </c>
      <c r="G2175" s="5" t="s">
        <v>278</v>
      </c>
      <c r="H2175" s="5" t="s">
        <v>279</v>
      </c>
      <c r="I2175" s="5" t="s">
        <v>31</v>
      </c>
      <c r="J2175" s="5">
        <v>16.433263</v>
      </c>
      <c r="K2175" s="5">
        <v>-95.02167</v>
      </c>
      <c r="L2175" s="5" t="str">
        <f>HYPERLINK("https://maps.google.com/?q=16.433263,-95.021670", "🔗 Ver Mapa")</f>
        <v>🔗 Ver Mapa</v>
      </c>
    </row>
    <row r="2176" spans="1:12" ht="43.5" x14ac:dyDescent="0.35">
      <c r="A2176" s="6" t="s">
        <v>98</v>
      </c>
      <c r="B2176" s="6" t="s">
        <v>99</v>
      </c>
      <c r="C2176" s="6" t="s">
        <v>478</v>
      </c>
      <c r="D2176" s="6" t="s">
        <v>14</v>
      </c>
      <c r="E2176" s="6" t="s">
        <v>16</v>
      </c>
      <c r="F2176" s="6" t="s">
        <v>19</v>
      </c>
      <c r="G2176" s="6" t="s">
        <v>479</v>
      </c>
      <c r="H2176" s="6" t="s">
        <v>480</v>
      </c>
      <c r="I2176" s="6" t="s">
        <v>31</v>
      </c>
      <c r="J2176" s="6">
        <v>16.994560050848001</v>
      </c>
      <c r="K2176" s="6">
        <v>-97.232702784349001</v>
      </c>
      <c r="L2176" s="6" t="str">
        <f>HYPERLINK("https://maps.google.com/?q=16.9945600508476,-97.232702784349101", "🔗 Ver Mapa")</f>
        <v>🔗 Ver Mapa</v>
      </c>
    </row>
    <row r="2177" spans="1:12" ht="43.5" x14ac:dyDescent="0.35">
      <c r="A2177" s="5" t="s">
        <v>98</v>
      </c>
      <c r="B2177" s="5" t="s">
        <v>99</v>
      </c>
      <c r="C2177" s="5" t="s">
        <v>478</v>
      </c>
      <c r="D2177" s="5" t="s">
        <v>14</v>
      </c>
      <c r="E2177" s="5" t="s">
        <v>16</v>
      </c>
      <c r="F2177" s="5" t="s">
        <v>19</v>
      </c>
      <c r="G2177" s="5" t="s">
        <v>479</v>
      </c>
      <c r="H2177" s="5" t="s">
        <v>480</v>
      </c>
      <c r="I2177" s="5" t="s">
        <v>31</v>
      </c>
      <c r="J2177" s="5">
        <v>16.995010863762001</v>
      </c>
      <c r="K2177" s="5">
        <v>-97.233293540885995</v>
      </c>
      <c r="L2177" s="5" t="str">
        <f>HYPERLINK("https://maps.google.com/?q=16.9950108637625,-97.233293540886294", "🔗 Ver Mapa")</f>
        <v>🔗 Ver Mapa</v>
      </c>
    </row>
    <row r="2178" spans="1:12" ht="43.5" x14ac:dyDescent="0.35">
      <c r="A2178" s="6" t="s">
        <v>98</v>
      </c>
      <c r="B2178" s="6" t="s">
        <v>99</v>
      </c>
      <c r="C2178" s="6" t="s">
        <v>478</v>
      </c>
      <c r="D2178" s="6" t="s">
        <v>14</v>
      </c>
      <c r="E2178" s="6" t="s">
        <v>16</v>
      </c>
      <c r="F2178" s="6" t="s">
        <v>19</v>
      </c>
      <c r="G2178" s="6" t="s">
        <v>479</v>
      </c>
      <c r="H2178" s="6" t="s">
        <v>480</v>
      </c>
      <c r="I2178" s="6" t="s">
        <v>31</v>
      </c>
      <c r="J2178" s="6">
        <v>16.995826556636999</v>
      </c>
      <c r="K2178" s="6">
        <v>-97.232712842634001</v>
      </c>
      <c r="L2178" s="6" t="str">
        <f>HYPERLINK("https://maps.google.com/?q=16.9958265566372,-97.232712842633603", "🔗 Ver Mapa")</f>
        <v>🔗 Ver Mapa</v>
      </c>
    </row>
    <row r="2179" spans="1:12" ht="43.5" x14ac:dyDescent="0.35">
      <c r="A2179" s="5" t="s">
        <v>98</v>
      </c>
      <c r="B2179" s="5" t="s">
        <v>99</v>
      </c>
      <c r="C2179" s="5" t="s">
        <v>478</v>
      </c>
      <c r="D2179" s="5" t="s">
        <v>14</v>
      </c>
      <c r="E2179" s="5" t="s">
        <v>16</v>
      </c>
      <c r="F2179" s="5" t="s">
        <v>19</v>
      </c>
      <c r="G2179" s="5" t="s">
        <v>479</v>
      </c>
      <c r="H2179" s="5" t="s">
        <v>480</v>
      </c>
      <c r="I2179" s="5" t="s">
        <v>31</v>
      </c>
      <c r="J2179" s="5">
        <v>16.996034326896002</v>
      </c>
      <c r="K2179" s="5">
        <v>-97.233437039066999</v>
      </c>
      <c r="L2179" s="5" t="str">
        <f>HYPERLINK("https://maps.google.com/?q=16.9960343268965,-97.233437039067397", "🔗 Ver Mapa")</f>
        <v>🔗 Ver Mapa</v>
      </c>
    </row>
    <row r="2180" spans="1:12" ht="43.5" x14ac:dyDescent="0.35">
      <c r="A2180" s="6" t="s">
        <v>98</v>
      </c>
      <c r="B2180" s="6" t="s">
        <v>99</v>
      </c>
      <c r="C2180" s="6" t="s">
        <v>478</v>
      </c>
      <c r="D2180" s="6" t="s">
        <v>14</v>
      </c>
      <c r="E2180" s="6" t="s">
        <v>16</v>
      </c>
      <c r="F2180" s="6" t="s">
        <v>19</v>
      </c>
      <c r="G2180" s="6" t="s">
        <v>479</v>
      </c>
      <c r="H2180" s="6" t="s">
        <v>480</v>
      </c>
      <c r="I2180" s="6" t="s">
        <v>31</v>
      </c>
      <c r="J2180" s="6">
        <v>16.996119615238001</v>
      </c>
      <c r="K2180" s="6">
        <v>-97.231632582950994</v>
      </c>
      <c r="L2180" s="6" t="str">
        <f>HYPERLINK("https://maps.google.com/?q=16.996119615238,-97.231632582951093", "🔗 Ver Mapa")</f>
        <v>🔗 Ver Mapa</v>
      </c>
    </row>
    <row r="2181" spans="1:12" ht="43.5" x14ac:dyDescent="0.35">
      <c r="A2181" s="5" t="s">
        <v>98</v>
      </c>
      <c r="B2181" s="5" t="s">
        <v>99</v>
      </c>
      <c r="C2181" s="5" t="s">
        <v>478</v>
      </c>
      <c r="D2181" s="5" t="s">
        <v>14</v>
      </c>
      <c r="E2181" s="5" t="s">
        <v>16</v>
      </c>
      <c r="F2181" s="5" t="s">
        <v>19</v>
      </c>
      <c r="G2181" s="5" t="s">
        <v>479</v>
      </c>
      <c r="H2181" s="5" t="s">
        <v>480</v>
      </c>
      <c r="I2181" s="5" t="s">
        <v>31</v>
      </c>
      <c r="J2181" s="5">
        <v>16.996401130620001</v>
      </c>
      <c r="K2181" s="5">
        <v>-97.232177741935999</v>
      </c>
      <c r="L2181" s="5" t="str">
        <f>HYPERLINK("https://maps.google.com/?q=16.9964011306197,-97.232177741935899", "🔗 Ver Mapa")</f>
        <v>🔗 Ver Mapa</v>
      </c>
    </row>
    <row r="2182" spans="1:12" ht="43.5" x14ac:dyDescent="0.35">
      <c r="A2182" s="6" t="s">
        <v>98</v>
      </c>
      <c r="B2182" s="6" t="s">
        <v>99</v>
      </c>
      <c r="C2182" s="6" t="s">
        <v>478</v>
      </c>
      <c r="D2182" s="6" t="s">
        <v>14</v>
      </c>
      <c r="E2182" s="6" t="s">
        <v>16</v>
      </c>
      <c r="F2182" s="6" t="s">
        <v>19</v>
      </c>
      <c r="G2182" s="6" t="s">
        <v>479</v>
      </c>
      <c r="H2182" s="6" t="s">
        <v>480</v>
      </c>
      <c r="I2182" s="6" t="s">
        <v>31</v>
      </c>
      <c r="J2182" s="6">
        <v>16.997209122301999</v>
      </c>
      <c r="K2182" s="6">
        <v>-97.233501412083996</v>
      </c>
      <c r="L2182" s="6" t="str">
        <f>HYPERLINK("https://maps.google.com/?q=16.9972091223024,-97.233501412084195", "🔗 Ver Mapa")</f>
        <v>🔗 Ver Mapa</v>
      </c>
    </row>
    <row r="2183" spans="1:12" ht="43.5" x14ac:dyDescent="0.35">
      <c r="A2183" s="5" t="s">
        <v>98</v>
      </c>
      <c r="B2183" s="5" t="s">
        <v>99</v>
      </c>
      <c r="C2183" s="5" t="s">
        <v>478</v>
      </c>
      <c r="D2183" s="5" t="s">
        <v>14</v>
      </c>
      <c r="E2183" s="5" t="s">
        <v>16</v>
      </c>
      <c r="F2183" s="5" t="s">
        <v>19</v>
      </c>
      <c r="G2183" s="5" t="s">
        <v>479</v>
      </c>
      <c r="H2183" s="5" t="s">
        <v>480</v>
      </c>
      <c r="I2183" s="5" t="s">
        <v>31</v>
      </c>
      <c r="J2183" s="5">
        <v>16.997519492784999</v>
      </c>
      <c r="K2183" s="5">
        <v>-97.233505435398001</v>
      </c>
      <c r="L2183" s="5" t="str">
        <f>HYPERLINK("https://maps.google.com/?q=16.997519492785,-97.233505435397802", "🔗 Ver Mapa")</f>
        <v>🔗 Ver Mapa</v>
      </c>
    </row>
    <row r="2184" spans="1:12" ht="43.5" x14ac:dyDescent="0.35">
      <c r="A2184" s="6" t="s">
        <v>98</v>
      </c>
      <c r="B2184" s="6" t="s">
        <v>99</v>
      </c>
      <c r="C2184" s="6" t="s">
        <v>478</v>
      </c>
      <c r="D2184" s="6" t="s">
        <v>14</v>
      </c>
      <c r="E2184" s="6" t="s">
        <v>16</v>
      </c>
      <c r="F2184" s="6" t="s">
        <v>19</v>
      </c>
      <c r="G2184" s="6" t="s">
        <v>479</v>
      </c>
      <c r="H2184" s="6" t="s">
        <v>480</v>
      </c>
      <c r="I2184" s="6" t="s">
        <v>31</v>
      </c>
      <c r="J2184" s="6">
        <v>16.997642614817</v>
      </c>
      <c r="K2184" s="6">
        <v>-97.233905084540993</v>
      </c>
      <c r="L2184" s="6" t="str">
        <f>HYPERLINK("https://maps.google.com/?q=16.9976426148174,-97.233905084540893", "🔗 Ver Mapa")</f>
        <v>🔗 Ver Mapa</v>
      </c>
    </row>
    <row r="2185" spans="1:12" ht="43.5" x14ac:dyDescent="0.35">
      <c r="A2185" s="5" t="s">
        <v>98</v>
      </c>
      <c r="B2185" s="5" t="s">
        <v>99</v>
      </c>
      <c r="C2185" s="5" t="s">
        <v>478</v>
      </c>
      <c r="D2185" s="5" t="s">
        <v>14</v>
      </c>
      <c r="E2185" s="5" t="s">
        <v>16</v>
      </c>
      <c r="F2185" s="5" t="s">
        <v>19</v>
      </c>
      <c r="G2185" s="5" t="s">
        <v>479</v>
      </c>
      <c r="H2185" s="5" t="s">
        <v>480</v>
      </c>
      <c r="I2185" s="5" t="s">
        <v>31</v>
      </c>
      <c r="J2185" s="5">
        <v>16.997863849516001</v>
      </c>
      <c r="K2185" s="5">
        <v>-97.234186045933996</v>
      </c>
      <c r="L2185" s="5" t="str">
        <f>HYPERLINK("https://maps.google.com/?q=16.9978638495155,-97.234186045933598", "🔗 Ver Mapa")</f>
        <v>🔗 Ver Mapa</v>
      </c>
    </row>
    <row r="2186" spans="1:12" ht="43.5" x14ac:dyDescent="0.35">
      <c r="A2186" s="6" t="s">
        <v>98</v>
      </c>
      <c r="B2186" s="6" t="s">
        <v>99</v>
      </c>
      <c r="C2186" s="6" t="s">
        <v>478</v>
      </c>
      <c r="D2186" s="6" t="s">
        <v>14</v>
      </c>
      <c r="E2186" s="6" t="s">
        <v>16</v>
      </c>
      <c r="F2186" s="6" t="s">
        <v>19</v>
      </c>
      <c r="G2186" s="6" t="s">
        <v>479</v>
      </c>
      <c r="H2186" s="6" t="s">
        <v>480</v>
      </c>
      <c r="I2186" s="6" t="s">
        <v>31</v>
      </c>
      <c r="J2186" s="6">
        <v>16.998331327195</v>
      </c>
      <c r="K2186" s="6">
        <v>-97.231901474406996</v>
      </c>
      <c r="L2186" s="6" t="str">
        <f>HYPERLINK("https://maps.google.com/?q=16.9983313271952,-97.231901474407394", "🔗 Ver Mapa")</f>
        <v>🔗 Ver Mapa</v>
      </c>
    </row>
    <row r="2187" spans="1:12" ht="43.5" x14ac:dyDescent="0.35">
      <c r="A2187" s="5" t="s">
        <v>98</v>
      </c>
      <c r="B2187" s="5" t="s">
        <v>99</v>
      </c>
      <c r="C2187" s="5" t="s">
        <v>478</v>
      </c>
      <c r="D2187" s="5" t="s">
        <v>14</v>
      </c>
      <c r="E2187" s="5" t="s">
        <v>16</v>
      </c>
      <c r="F2187" s="5" t="s">
        <v>19</v>
      </c>
      <c r="G2187" s="5" t="s">
        <v>479</v>
      </c>
      <c r="H2187" s="5" t="s">
        <v>480</v>
      </c>
      <c r="I2187" s="5" t="s">
        <v>31</v>
      </c>
      <c r="J2187" s="5">
        <v>16.999382346139999</v>
      </c>
      <c r="K2187" s="5">
        <v>-97.236000560334006</v>
      </c>
      <c r="L2187" s="5" t="str">
        <f>HYPERLINK("https://maps.google.com/?q=16.9993823461402,-97.236000560333594", "🔗 Ver Mapa")</f>
        <v>🔗 Ver Mapa</v>
      </c>
    </row>
    <row r="2188" spans="1:12" ht="43.5" x14ac:dyDescent="0.35">
      <c r="A2188" s="6" t="s">
        <v>98</v>
      </c>
      <c r="B2188" s="6" t="s">
        <v>99</v>
      </c>
      <c r="C2188" s="6" t="s">
        <v>478</v>
      </c>
      <c r="D2188" s="6" t="s">
        <v>14</v>
      </c>
      <c r="E2188" s="6" t="s">
        <v>16</v>
      </c>
      <c r="F2188" s="6" t="s">
        <v>19</v>
      </c>
      <c r="G2188" s="6" t="s">
        <v>479</v>
      </c>
      <c r="H2188" s="6" t="s">
        <v>480</v>
      </c>
      <c r="I2188" s="6" t="s">
        <v>31</v>
      </c>
      <c r="J2188" s="6">
        <v>16.999477251771001</v>
      </c>
      <c r="K2188" s="6">
        <v>-97.235791348028997</v>
      </c>
      <c r="L2188" s="6" t="str">
        <f>HYPERLINK("https://maps.google.com/?q=16.9994772517709,-97.235791348029394", "🔗 Ver Mapa")</f>
        <v>🔗 Ver Mapa</v>
      </c>
    </row>
    <row r="2189" spans="1:12" ht="43.5" x14ac:dyDescent="0.35">
      <c r="A2189" s="5" t="s">
        <v>98</v>
      </c>
      <c r="B2189" s="5" t="s">
        <v>99</v>
      </c>
      <c r="C2189" s="5" t="s">
        <v>478</v>
      </c>
      <c r="D2189" s="5" t="s">
        <v>14</v>
      </c>
      <c r="E2189" s="5" t="s">
        <v>16</v>
      </c>
      <c r="F2189" s="5" t="s">
        <v>19</v>
      </c>
      <c r="G2189" s="5" t="s">
        <v>479</v>
      </c>
      <c r="H2189" s="5" t="s">
        <v>480</v>
      </c>
      <c r="I2189" s="5" t="s">
        <v>31</v>
      </c>
      <c r="J2189" s="5">
        <v>16.999671551662999</v>
      </c>
      <c r="K2189" s="5">
        <v>-97.235962338856993</v>
      </c>
      <c r="L2189" s="5" t="str">
        <f>HYPERLINK("https://maps.google.com/?q=16.9996715516625,-97.235962338856794", "🔗 Ver Mapa")</f>
        <v>🔗 Ver Mapa</v>
      </c>
    </row>
    <row r="2190" spans="1:12" ht="43.5" x14ac:dyDescent="0.35">
      <c r="A2190" s="6" t="s">
        <v>98</v>
      </c>
      <c r="B2190" s="6" t="s">
        <v>99</v>
      </c>
      <c r="C2190" s="6" t="s">
        <v>478</v>
      </c>
      <c r="D2190" s="6" t="s">
        <v>14</v>
      </c>
      <c r="E2190" s="6" t="s">
        <v>16</v>
      </c>
      <c r="F2190" s="6" t="s">
        <v>19</v>
      </c>
      <c r="G2190" s="6" t="s">
        <v>479</v>
      </c>
      <c r="H2190" s="6" t="s">
        <v>480</v>
      </c>
      <c r="I2190" s="6" t="s">
        <v>31</v>
      </c>
      <c r="J2190" s="6">
        <v>16.999875058116999</v>
      </c>
      <c r="K2190" s="6">
        <v>-97.231563332589005</v>
      </c>
      <c r="L2190" s="6" t="str">
        <f>HYPERLINK("https://maps.google.com/?q=16.9998750581167,-97.231563332588706", "🔗 Ver Mapa")</f>
        <v>🔗 Ver Mapa</v>
      </c>
    </row>
    <row r="2191" spans="1:12" ht="43.5" x14ac:dyDescent="0.35">
      <c r="A2191" s="5" t="s">
        <v>98</v>
      </c>
      <c r="B2191" s="5" t="s">
        <v>99</v>
      </c>
      <c r="C2191" s="5" t="s">
        <v>478</v>
      </c>
      <c r="D2191" s="5" t="s">
        <v>14</v>
      </c>
      <c r="E2191" s="5" t="s">
        <v>16</v>
      </c>
      <c r="F2191" s="5" t="s">
        <v>19</v>
      </c>
      <c r="G2191" s="5" t="s">
        <v>479</v>
      </c>
      <c r="H2191" s="5" t="s">
        <v>480</v>
      </c>
      <c r="I2191" s="5" t="s">
        <v>31</v>
      </c>
      <c r="J2191" s="5">
        <v>17.000034500754001</v>
      </c>
      <c r="K2191" s="5">
        <v>-97.233396805932003</v>
      </c>
      <c r="L2191" s="5" t="str">
        <f>HYPERLINK("https://maps.google.com/?q=17.0000345007535,-97.233396805932301", "🔗 Ver Mapa")</f>
        <v>🔗 Ver Mapa</v>
      </c>
    </row>
    <row r="2192" spans="1:12" ht="43.5" x14ac:dyDescent="0.35">
      <c r="A2192" s="6" t="s">
        <v>98</v>
      </c>
      <c r="B2192" s="6" t="s">
        <v>99</v>
      </c>
      <c r="C2192" s="6" t="s">
        <v>478</v>
      </c>
      <c r="D2192" s="6" t="s">
        <v>14</v>
      </c>
      <c r="E2192" s="6" t="s">
        <v>16</v>
      </c>
      <c r="F2192" s="6" t="s">
        <v>19</v>
      </c>
      <c r="G2192" s="6" t="s">
        <v>479</v>
      </c>
      <c r="H2192" s="6" t="s">
        <v>480</v>
      </c>
      <c r="I2192" s="6" t="s">
        <v>31</v>
      </c>
      <c r="J2192" s="6">
        <v>17.000155056128001</v>
      </c>
      <c r="K2192" s="6">
        <v>-97.235101349762999</v>
      </c>
      <c r="L2192" s="6" t="str">
        <f>HYPERLINK("https://maps.google.com/?q=17.0001550561275,-97.2351013497629", "🔗 Ver Mapa")</f>
        <v>🔗 Ver Mapa</v>
      </c>
    </row>
    <row r="2193" spans="1:12" ht="43.5" x14ac:dyDescent="0.35">
      <c r="A2193" s="5" t="s">
        <v>98</v>
      </c>
      <c r="B2193" s="5" t="s">
        <v>99</v>
      </c>
      <c r="C2193" s="5" t="s">
        <v>478</v>
      </c>
      <c r="D2193" s="5" t="s">
        <v>14</v>
      </c>
      <c r="E2193" s="5" t="s">
        <v>16</v>
      </c>
      <c r="F2193" s="5" t="s">
        <v>19</v>
      </c>
      <c r="G2193" s="5" t="s">
        <v>479</v>
      </c>
      <c r="H2193" s="5" t="s">
        <v>480</v>
      </c>
      <c r="I2193" s="5" t="s">
        <v>31</v>
      </c>
      <c r="J2193" s="5">
        <v>17.000624451842</v>
      </c>
      <c r="K2193" s="5">
        <v>-97.233812548331002</v>
      </c>
      <c r="L2193" s="5" t="str">
        <f>HYPERLINK("https://maps.google.com/?q=17.0006244518417,-97.233812548331201", "🔗 Ver Mapa")</f>
        <v>🔗 Ver Mapa</v>
      </c>
    </row>
    <row r="2194" spans="1:12" ht="43.5" x14ac:dyDescent="0.35">
      <c r="A2194" s="6" t="s">
        <v>98</v>
      </c>
      <c r="B2194" s="6" t="s">
        <v>99</v>
      </c>
      <c r="C2194" s="6" t="s">
        <v>478</v>
      </c>
      <c r="D2194" s="6" t="s">
        <v>14</v>
      </c>
      <c r="E2194" s="6" t="s">
        <v>16</v>
      </c>
      <c r="F2194" s="6" t="s">
        <v>19</v>
      </c>
      <c r="G2194" s="6" t="s">
        <v>479</v>
      </c>
      <c r="H2194" s="6" t="s">
        <v>480</v>
      </c>
      <c r="I2194" s="6" t="s">
        <v>31</v>
      </c>
      <c r="J2194" s="6">
        <v>17.001023309023999</v>
      </c>
      <c r="K2194" s="6">
        <v>-97.236144729068002</v>
      </c>
      <c r="L2194" s="6" t="str">
        <f>HYPERLINK("https://maps.google.com/?q=17.0010233090242,-97.2361447290683", "🔗 Ver Mapa")</f>
        <v>🔗 Ver Mapa</v>
      </c>
    </row>
    <row r="2195" spans="1:12" ht="43.5" x14ac:dyDescent="0.35">
      <c r="A2195" s="5" t="s">
        <v>98</v>
      </c>
      <c r="B2195" s="5" t="s">
        <v>99</v>
      </c>
      <c r="C2195" s="5" t="s">
        <v>478</v>
      </c>
      <c r="D2195" s="5" t="s">
        <v>14</v>
      </c>
      <c r="E2195" s="5" t="s">
        <v>16</v>
      </c>
      <c r="F2195" s="5" t="s">
        <v>19</v>
      </c>
      <c r="G2195" s="5" t="s">
        <v>479</v>
      </c>
      <c r="H2195" s="5" t="s">
        <v>480</v>
      </c>
      <c r="I2195" s="5" t="s">
        <v>31</v>
      </c>
      <c r="J2195" s="5">
        <v>17.001164382963999</v>
      </c>
      <c r="K2195" s="5">
        <v>-97.236171547696998</v>
      </c>
      <c r="L2195" s="5" t="str">
        <f>HYPERLINK("https://maps.google.com/?q=17.0011643829642,-97.236171547696799", "🔗 Ver Mapa")</f>
        <v>🔗 Ver Mapa</v>
      </c>
    </row>
    <row r="2196" spans="1:12" ht="43.5" x14ac:dyDescent="0.35">
      <c r="A2196" s="6" t="s">
        <v>98</v>
      </c>
      <c r="B2196" s="6" t="s">
        <v>99</v>
      </c>
      <c r="C2196" s="6" t="s">
        <v>481</v>
      </c>
      <c r="D2196" s="6" t="s">
        <v>14</v>
      </c>
      <c r="E2196" s="6" t="s">
        <v>16</v>
      </c>
      <c r="F2196" s="6" t="s">
        <v>19</v>
      </c>
      <c r="G2196" s="6" t="s">
        <v>479</v>
      </c>
      <c r="H2196" s="6" t="s">
        <v>482</v>
      </c>
      <c r="I2196" s="6" t="s">
        <v>31</v>
      </c>
      <c r="J2196" s="6">
        <v>16.966317471777</v>
      </c>
      <c r="K2196" s="6">
        <v>-97.224246321346001</v>
      </c>
      <c r="L2196" s="6" t="str">
        <f>HYPERLINK("https://maps.google.com/?q=16.9663174717772,-97.224246321346101", "🔗 Ver Mapa")</f>
        <v>🔗 Ver Mapa</v>
      </c>
    </row>
    <row r="2197" spans="1:12" ht="43.5" x14ac:dyDescent="0.35">
      <c r="A2197" s="5" t="s">
        <v>98</v>
      </c>
      <c r="B2197" s="5" t="s">
        <v>99</v>
      </c>
      <c r="C2197" s="5" t="s">
        <v>481</v>
      </c>
      <c r="D2197" s="5" t="s">
        <v>14</v>
      </c>
      <c r="E2197" s="5" t="s">
        <v>16</v>
      </c>
      <c r="F2197" s="5" t="s">
        <v>19</v>
      </c>
      <c r="G2197" s="5" t="s">
        <v>479</v>
      </c>
      <c r="H2197" s="5" t="s">
        <v>482</v>
      </c>
      <c r="I2197" s="5" t="s">
        <v>31</v>
      </c>
      <c r="J2197" s="5">
        <v>16.966941437201001</v>
      </c>
      <c r="K2197" s="5">
        <v>-97.225515294478001</v>
      </c>
      <c r="L2197" s="5" t="str">
        <f>HYPERLINK("https://maps.google.com/?q=16.9669414372013,-97.225515294477503", "🔗 Ver Mapa")</f>
        <v>🔗 Ver Mapa</v>
      </c>
    </row>
    <row r="2198" spans="1:12" ht="43.5" x14ac:dyDescent="0.35">
      <c r="A2198" s="6" t="s">
        <v>98</v>
      </c>
      <c r="B2198" s="6" t="s">
        <v>99</v>
      </c>
      <c r="C2198" s="6" t="s">
        <v>481</v>
      </c>
      <c r="D2198" s="6" t="s">
        <v>14</v>
      </c>
      <c r="E2198" s="6" t="s">
        <v>16</v>
      </c>
      <c r="F2198" s="6" t="s">
        <v>19</v>
      </c>
      <c r="G2198" s="6" t="s">
        <v>479</v>
      </c>
      <c r="H2198" s="6" t="s">
        <v>482</v>
      </c>
      <c r="I2198" s="6" t="s">
        <v>31</v>
      </c>
      <c r="J2198" s="6">
        <v>16.967260619886002</v>
      </c>
      <c r="K2198" s="6">
        <v>-97.226354826047</v>
      </c>
      <c r="L2198" s="6" t="str">
        <f>HYPERLINK("https://maps.google.com/?q=16.9672606198859,-97.226354826047498", "🔗 Ver Mapa")</f>
        <v>🔗 Ver Mapa</v>
      </c>
    </row>
    <row r="2199" spans="1:12" ht="43.5" x14ac:dyDescent="0.35">
      <c r="A2199" s="5" t="s">
        <v>98</v>
      </c>
      <c r="B2199" s="5" t="s">
        <v>99</v>
      </c>
      <c r="C2199" s="5" t="s">
        <v>481</v>
      </c>
      <c r="D2199" s="5" t="s">
        <v>14</v>
      </c>
      <c r="E2199" s="5" t="s">
        <v>16</v>
      </c>
      <c r="F2199" s="5" t="s">
        <v>19</v>
      </c>
      <c r="G2199" s="5" t="s">
        <v>479</v>
      </c>
      <c r="H2199" s="5" t="s">
        <v>482</v>
      </c>
      <c r="I2199" s="5" t="s">
        <v>31</v>
      </c>
      <c r="J2199" s="5">
        <v>16.967431738331999</v>
      </c>
      <c r="K2199" s="5">
        <v>-97.223815216730998</v>
      </c>
      <c r="L2199" s="5" t="str">
        <f>HYPERLINK("https://maps.google.com/?q=16.9674317383319,-97.223815216731296", "🔗 Ver Mapa")</f>
        <v>🔗 Ver Mapa</v>
      </c>
    </row>
    <row r="2200" spans="1:12" ht="43.5" x14ac:dyDescent="0.35">
      <c r="A2200" s="6" t="s">
        <v>98</v>
      </c>
      <c r="B2200" s="6" t="s">
        <v>99</v>
      </c>
      <c r="C2200" s="6" t="s">
        <v>481</v>
      </c>
      <c r="D2200" s="6" t="s">
        <v>14</v>
      </c>
      <c r="E2200" s="6" t="s">
        <v>16</v>
      </c>
      <c r="F2200" s="6" t="s">
        <v>19</v>
      </c>
      <c r="G2200" s="6" t="s">
        <v>479</v>
      </c>
      <c r="H2200" s="6" t="s">
        <v>482</v>
      </c>
      <c r="I2200" s="6" t="s">
        <v>31</v>
      </c>
      <c r="J2200" s="6">
        <v>16.967782012811</v>
      </c>
      <c r="K2200" s="6">
        <v>-97.226243183045995</v>
      </c>
      <c r="L2200" s="6" t="str">
        <f>HYPERLINK("https://maps.google.com/?q=16.9677820128108,-97.226243183045895", "🔗 Ver Mapa")</f>
        <v>🔗 Ver Mapa</v>
      </c>
    </row>
    <row r="2201" spans="1:12" ht="43.5" x14ac:dyDescent="0.35">
      <c r="A2201" s="5" t="s">
        <v>98</v>
      </c>
      <c r="B2201" s="5" t="s">
        <v>99</v>
      </c>
      <c r="C2201" s="5" t="s">
        <v>481</v>
      </c>
      <c r="D2201" s="5" t="s">
        <v>14</v>
      </c>
      <c r="E2201" s="5" t="s">
        <v>16</v>
      </c>
      <c r="F2201" s="5" t="s">
        <v>19</v>
      </c>
      <c r="G2201" s="5" t="s">
        <v>479</v>
      </c>
      <c r="H2201" s="5" t="s">
        <v>482</v>
      </c>
      <c r="I2201" s="5" t="s">
        <v>31</v>
      </c>
      <c r="J2201" s="5">
        <v>16.968246188169999</v>
      </c>
      <c r="K2201" s="5">
        <v>-97.226763088355</v>
      </c>
      <c r="L2201" s="5" t="str">
        <f>HYPERLINK("https://maps.google.com/?q=16.9682461881699,-97.226763088355", "🔗 Ver Mapa")</f>
        <v>🔗 Ver Mapa</v>
      </c>
    </row>
    <row r="2202" spans="1:12" ht="43.5" x14ac:dyDescent="0.35">
      <c r="A2202" s="6" t="s">
        <v>98</v>
      </c>
      <c r="B2202" s="6" t="s">
        <v>99</v>
      </c>
      <c r="C2202" s="6" t="s">
        <v>481</v>
      </c>
      <c r="D2202" s="6" t="s">
        <v>14</v>
      </c>
      <c r="E2202" s="6" t="s">
        <v>16</v>
      </c>
      <c r="F2202" s="6" t="s">
        <v>19</v>
      </c>
      <c r="G2202" s="6" t="s">
        <v>479</v>
      </c>
      <c r="H2202" s="6" t="s">
        <v>482</v>
      </c>
      <c r="I2202" s="6" t="s">
        <v>31</v>
      </c>
      <c r="J2202" s="6">
        <v>16.968265383868999</v>
      </c>
      <c r="K2202" s="6">
        <v>-97.225785683886002</v>
      </c>
      <c r="L2202" s="6" t="str">
        <f>HYPERLINK("https://maps.google.com/?q=16.9682653838693,-97.225785683886301", "🔗 Ver Mapa")</f>
        <v>🔗 Ver Mapa</v>
      </c>
    </row>
    <row r="2203" spans="1:12" ht="43.5" x14ac:dyDescent="0.35">
      <c r="A2203" s="5" t="s">
        <v>98</v>
      </c>
      <c r="B2203" s="5" t="s">
        <v>99</v>
      </c>
      <c r="C2203" s="5" t="s">
        <v>481</v>
      </c>
      <c r="D2203" s="5" t="s">
        <v>14</v>
      </c>
      <c r="E2203" s="5" t="s">
        <v>16</v>
      </c>
      <c r="F2203" s="5" t="s">
        <v>19</v>
      </c>
      <c r="G2203" s="5" t="s">
        <v>479</v>
      </c>
      <c r="H2203" s="5" t="s">
        <v>482</v>
      </c>
      <c r="I2203" s="5" t="s">
        <v>31</v>
      </c>
      <c r="J2203" s="5">
        <v>16.968370749409001</v>
      </c>
      <c r="K2203" s="5">
        <v>-97.225077423276005</v>
      </c>
      <c r="L2203" s="5" t="str">
        <f>HYPERLINK("https://maps.google.com/?q=16.9683707494088,-97.225077423276005", "🔗 Ver Mapa")</f>
        <v>🔗 Ver Mapa</v>
      </c>
    </row>
    <row r="2204" spans="1:12" ht="43.5" x14ac:dyDescent="0.35">
      <c r="A2204" s="6" t="s">
        <v>98</v>
      </c>
      <c r="B2204" s="6" t="s">
        <v>99</v>
      </c>
      <c r="C2204" s="6" t="s">
        <v>481</v>
      </c>
      <c r="D2204" s="6" t="s">
        <v>14</v>
      </c>
      <c r="E2204" s="6" t="s">
        <v>16</v>
      </c>
      <c r="F2204" s="6" t="s">
        <v>19</v>
      </c>
      <c r="G2204" s="6" t="s">
        <v>479</v>
      </c>
      <c r="H2204" s="6" t="s">
        <v>482</v>
      </c>
      <c r="I2204" s="6" t="s">
        <v>31</v>
      </c>
      <c r="J2204" s="6">
        <v>16.968629524933</v>
      </c>
      <c r="K2204" s="6">
        <v>-97.224266210992994</v>
      </c>
      <c r="L2204" s="6" t="str">
        <f>HYPERLINK("https://maps.google.com/?q=16.9686295249329,-97.224266210993306", "🔗 Ver Mapa")</f>
        <v>🔗 Ver Mapa</v>
      </c>
    </row>
    <row r="2205" spans="1:12" ht="43.5" x14ac:dyDescent="0.35">
      <c r="A2205" s="5" t="s">
        <v>98</v>
      </c>
      <c r="B2205" s="5" t="s">
        <v>99</v>
      </c>
      <c r="C2205" s="5" t="s">
        <v>481</v>
      </c>
      <c r="D2205" s="5" t="s">
        <v>14</v>
      </c>
      <c r="E2205" s="5" t="s">
        <v>16</v>
      </c>
      <c r="F2205" s="5" t="s">
        <v>19</v>
      </c>
      <c r="G2205" s="5" t="s">
        <v>479</v>
      </c>
      <c r="H2205" s="5" t="s">
        <v>482</v>
      </c>
      <c r="I2205" s="5" t="s">
        <v>31</v>
      </c>
      <c r="J2205" s="5">
        <v>16.970022539447001</v>
      </c>
      <c r="K2205" s="5">
        <v>-97.224474763103998</v>
      </c>
      <c r="L2205" s="5" t="str">
        <f>HYPERLINK("https://maps.google.com/?q=16.9700225394466,-97.224474763103601", "🔗 Ver Mapa")</f>
        <v>🔗 Ver Mapa</v>
      </c>
    </row>
    <row r="2206" spans="1:12" ht="43.5" x14ac:dyDescent="0.35">
      <c r="A2206" s="6" t="s">
        <v>98</v>
      </c>
      <c r="B2206" s="6" t="s">
        <v>99</v>
      </c>
      <c r="C2206" s="6" t="s">
        <v>483</v>
      </c>
      <c r="D2206" s="6" t="s">
        <v>14</v>
      </c>
      <c r="E2206" s="6" t="s">
        <v>16</v>
      </c>
      <c r="F2206" s="6" t="s">
        <v>19</v>
      </c>
      <c r="G2206" s="6" t="s">
        <v>479</v>
      </c>
      <c r="H2206" s="6" t="s">
        <v>484</v>
      </c>
      <c r="I2206" s="6" t="s">
        <v>31</v>
      </c>
      <c r="J2206" s="6">
        <v>16.981904165770999</v>
      </c>
      <c r="K2206" s="6">
        <v>-97.231697262788998</v>
      </c>
      <c r="L2206" s="6" t="str">
        <f>HYPERLINK("https://maps.google.com/?q=16.9819041657709,-97.2316972627887", "🔗 Ver Mapa")</f>
        <v>🔗 Ver Mapa</v>
      </c>
    </row>
    <row r="2207" spans="1:12" ht="43.5" x14ac:dyDescent="0.35">
      <c r="A2207" s="5" t="s">
        <v>98</v>
      </c>
      <c r="B2207" s="5" t="s">
        <v>99</v>
      </c>
      <c r="C2207" s="5" t="s">
        <v>483</v>
      </c>
      <c r="D2207" s="5" t="s">
        <v>14</v>
      </c>
      <c r="E2207" s="5" t="s">
        <v>16</v>
      </c>
      <c r="F2207" s="5" t="s">
        <v>19</v>
      </c>
      <c r="G2207" s="5" t="s">
        <v>479</v>
      </c>
      <c r="H2207" s="5" t="s">
        <v>484</v>
      </c>
      <c r="I2207" s="5" t="s">
        <v>31</v>
      </c>
      <c r="J2207" s="5">
        <v>16.983759589135001</v>
      </c>
      <c r="K2207" s="5">
        <v>-97.232361811166996</v>
      </c>
      <c r="L2207" s="5" t="str">
        <f>HYPERLINK("https://maps.google.com/?q=16.983759589135,-97.232361811166797", "🔗 Ver Mapa")</f>
        <v>🔗 Ver Mapa</v>
      </c>
    </row>
    <row r="2208" spans="1:12" ht="43.5" x14ac:dyDescent="0.35">
      <c r="A2208" s="6" t="s">
        <v>98</v>
      </c>
      <c r="B2208" s="6" t="s">
        <v>99</v>
      </c>
      <c r="C2208" s="6" t="s">
        <v>483</v>
      </c>
      <c r="D2208" s="6" t="s">
        <v>14</v>
      </c>
      <c r="E2208" s="6" t="s">
        <v>16</v>
      </c>
      <c r="F2208" s="6" t="s">
        <v>19</v>
      </c>
      <c r="G2208" s="6" t="s">
        <v>479</v>
      </c>
      <c r="H2208" s="6" t="s">
        <v>484</v>
      </c>
      <c r="I2208" s="6" t="s">
        <v>31</v>
      </c>
      <c r="J2208" s="6">
        <v>16.985409601379001</v>
      </c>
      <c r="K2208" s="6">
        <v>-97.231430667362005</v>
      </c>
      <c r="L2208" s="6" t="str">
        <f>HYPERLINK("https://maps.google.com/?q=16.9854096013786,-97.231430667361806", "🔗 Ver Mapa")</f>
        <v>🔗 Ver Mapa</v>
      </c>
    </row>
    <row r="2209" spans="1:12" ht="43.5" x14ac:dyDescent="0.35">
      <c r="A2209" s="5" t="s">
        <v>98</v>
      </c>
      <c r="B2209" s="5" t="s">
        <v>99</v>
      </c>
      <c r="C2209" s="5" t="s">
        <v>483</v>
      </c>
      <c r="D2209" s="5" t="s">
        <v>14</v>
      </c>
      <c r="E2209" s="5" t="s">
        <v>16</v>
      </c>
      <c r="F2209" s="5" t="s">
        <v>19</v>
      </c>
      <c r="G2209" s="5" t="s">
        <v>479</v>
      </c>
      <c r="H2209" s="5" t="s">
        <v>484</v>
      </c>
      <c r="I2209" s="5" t="s">
        <v>31</v>
      </c>
      <c r="J2209" s="5">
        <v>16.985773074512</v>
      </c>
      <c r="K2209" s="5">
        <v>-97.231959456902004</v>
      </c>
      <c r="L2209" s="5" t="str">
        <f>HYPERLINK("https://maps.google.com/?q=16.9857730745118,-97.231959456902203", "🔗 Ver Mapa")</f>
        <v>🔗 Ver Mapa</v>
      </c>
    </row>
    <row r="2210" spans="1:12" ht="43.5" x14ac:dyDescent="0.35">
      <c r="A2210" s="6" t="s">
        <v>98</v>
      </c>
      <c r="B2210" s="6" t="s">
        <v>99</v>
      </c>
      <c r="C2210" s="6" t="s">
        <v>483</v>
      </c>
      <c r="D2210" s="6" t="s">
        <v>14</v>
      </c>
      <c r="E2210" s="6" t="s">
        <v>16</v>
      </c>
      <c r="F2210" s="6" t="s">
        <v>19</v>
      </c>
      <c r="G2210" s="6" t="s">
        <v>479</v>
      </c>
      <c r="H2210" s="6" t="s">
        <v>484</v>
      </c>
      <c r="I2210" s="6" t="s">
        <v>31</v>
      </c>
      <c r="J2210" s="6">
        <v>16.985982118188002</v>
      </c>
      <c r="K2210" s="6">
        <v>-97.232913162406007</v>
      </c>
      <c r="L2210" s="6" t="str">
        <f>HYPERLINK("https://maps.google.com/?q=16.9859821181885,-97.232913162406405", "🔗 Ver Mapa")</f>
        <v>🔗 Ver Mapa</v>
      </c>
    </row>
    <row r="2211" spans="1:12" ht="43.5" x14ac:dyDescent="0.35">
      <c r="A2211" s="5" t="s">
        <v>98</v>
      </c>
      <c r="B2211" s="5" t="s">
        <v>99</v>
      </c>
      <c r="C2211" s="5" t="s">
        <v>483</v>
      </c>
      <c r="D2211" s="5" t="s">
        <v>14</v>
      </c>
      <c r="E2211" s="5" t="s">
        <v>16</v>
      </c>
      <c r="F2211" s="5" t="s">
        <v>19</v>
      </c>
      <c r="G2211" s="5" t="s">
        <v>479</v>
      </c>
      <c r="H2211" s="5" t="s">
        <v>484</v>
      </c>
      <c r="I2211" s="5" t="s">
        <v>31</v>
      </c>
      <c r="J2211" s="5">
        <v>16.986172228661001</v>
      </c>
      <c r="K2211" s="5">
        <v>-97.231866417473</v>
      </c>
      <c r="L2211" s="5" t="str">
        <f>HYPERLINK("https://maps.google.com/?q=16.9861722286614,-97.231866417473398", "🔗 Ver Mapa")</f>
        <v>🔗 Ver Mapa</v>
      </c>
    </row>
    <row r="2212" spans="1:12" ht="43.5" x14ac:dyDescent="0.35">
      <c r="A2212" s="6" t="s">
        <v>98</v>
      </c>
      <c r="B2212" s="6" t="s">
        <v>99</v>
      </c>
      <c r="C2212" s="6" t="s">
        <v>483</v>
      </c>
      <c r="D2212" s="6" t="s">
        <v>14</v>
      </c>
      <c r="E2212" s="6" t="s">
        <v>16</v>
      </c>
      <c r="F2212" s="6" t="s">
        <v>19</v>
      </c>
      <c r="G2212" s="6" t="s">
        <v>479</v>
      </c>
      <c r="H2212" s="6" t="s">
        <v>484</v>
      </c>
      <c r="I2212" s="6" t="s">
        <v>31</v>
      </c>
      <c r="J2212" s="6">
        <v>16.986253897638999</v>
      </c>
      <c r="K2212" s="6">
        <v>-97.231752872544007</v>
      </c>
      <c r="L2212" s="6" t="str">
        <f>HYPERLINK("https://maps.google.com/?q=16.9862538976393,-97.231752872544206", "🔗 Ver Mapa")</f>
        <v>🔗 Ver Mapa</v>
      </c>
    </row>
    <row r="2213" spans="1:12" ht="43.5" x14ac:dyDescent="0.35">
      <c r="A2213" s="5" t="s">
        <v>98</v>
      </c>
      <c r="B2213" s="5" t="s">
        <v>99</v>
      </c>
      <c r="C2213" s="5" t="s">
        <v>483</v>
      </c>
      <c r="D2213" s="5" t="s">
        <v>14</v>
      </c>
      <c r="E2213" s="5" t="s">
        <v>16</v>
      </c>
      <c r="F2213" s="5" t="s">
        <v>19</v>
      </c>
      <c r="G2213" s="5" t="s">
        <v>479</v>
      </c>
      <c r="H2213" s="5" t="s">
        <v>484</v>
      </c>
      <c r="I2213" s="5" t="s">
        <v>31</v>
      </c>
      <c r="J2213" s="5">
        <v>16.987008965756001</v>
      </c>
      <c r="K2213" s="5">
        <v>-97.233580444308998</v>
      </c>
      <c r="L2213" s="5" t="str">
        <f>HYPERLINK("https://maps.google.com/?q=16.9870089657561,-97.233580444309396", "🔗 Ver Mapa")</f>
        <v>🔗 Ver Mapa</v>
      </c>
    </row>
    <row r="2214" spans="1:12" ht="43.5" x14ac:dyDescent="0.35">
      <c r="A2214" s="6" t="s">
        <v>98</v>
      </c>
      <c r="B2214" s="6" t="s">
        <v>99</v>
      </c>
      <c r="C2214" s="6" t="s">
        <v>483</v>
      </c>
      <c r="D2214" s="6" t="s">
        <v>14</v>
      </c>
      <c r="E2214" s="6" t="s">
        <v>16</v>
      </c>
      <c r="F2214" s="6" t="s">
        <v>19</v>
      </c>
      <c r="G2214" s="6" t="s">
        <v>479</v>
      </c>
      <c r="H2214" s="6" t="s">
        <v>484</v>
      </c>
      <c r="I2214" s="6" t="s">
        <v>31</v>
      </c>
      <c r="J2214" s="6">
        <v>16.987149528433001</v>
      </c>
      <c r="K2214" s="6">
        <v>-97.233486947882994</v>
      </c>
      <c r="L2214" s="6" t="str">
        <f>HYPERLINK("https://maps.google.com/?q=16.9871495284328,-97.233486947883407", "🔗 Ver Mapa")</f>
        <v>🔗 Ver Mapa</v>
      </c>
    </row>
    <row r="2215" spans="1:12" ht="43.5" x14ac:dyDescent="0.35">
      <c r="A2215" s="5" t="s">
        <v>98</v>
      </c>
      <c r="B2215" s="5" t="s">
        <v>99</v>
      </c>
      <c r="C2215" s="5" t="s">
        <v>483</v>
      </c>
      <c r="D2215" s="5" t="s">
        <v>14</v>
      </c>
      <c r="E2215" s="5" t="s">
        <v>16</v>
      </c>
      <c r="F2215" s="5" t="s">
        <v>19</v>
      </c>
      <c r="G2215" s="5" t="s">
        <v>479</v>
      </c>
      <c r="H2215" s="5" t="s">
        <v>484</v>
      </c>
      <c r="I2215" s="5" t="s">
        <v>31</v>
      </c>
      <c r="J2215" s="5">
        <v>16.987748270605</v>
      </c>
      <c r="K2215" s="5">
        <v>-97.231793328091996</v>
      </c>
      <c r="L2215" s="5" t="str">
        <f>HYPERLINK("https://maps.google.com/?q=16.9877482706052,-97.231793328092394", "🔗 Ver Mapa")</f>
        <v>🔗 Ver Mapa</v>
      </c>
    </row>
    <row r="2216" spans="1:12" ht="43.5" x14ac:dyDescent="0.35">
      <c r="A2216" s="6" t="s">
        <v>98</v>
      </c>
      <c r="B2216" s="6" t="s">
        <v>99</v>
      </c>
      <c r="C2216" s="6" t="s">
        <v>485</v>
      </c>
      <c r="D2216" s="6" t="s">
        <v>14</v>
      </c>
      <c r="E2216" s="6" t="s">
        <v>16</v>
      </c>
      <c r="F2216" s="6" t="s">
        <v>19</v>
      </c>
      <c r="G2216" s="6" t="s">
        <v>479</v>
      </c>
      <c r="H2216" s="6" t="s">
        <v>486</v>
      </c>
      <c r="I2216" s="6" t="s">
        <v>31</v>
      </c>
      <c r="J2216" s="6">
        <v>16.991994016883002</v>
      </c>
      <c r="K2216" s="6">
        <v>-97.25107020531</v>
      </c>
      <c r="L2216" s="6" t="str">
        <f>HYPERLINK("https://maps.google.com/?q=16.9919940168828,-97.251070205310299", "🔗 Ver Mapa")</f>
        <v>🔗 Ver Mapa</v>
      </c>
    </row>
    <row r="2217" spans="1:12" ht="43.5" x14ac:dyDescent="0.35">
      <c r="A2217" s="5" t="s">
        <v>98</v>
      </c>
      <c r="B2217" s="5" t="s">
        <v>99</v>
      </c>
      <c r="C2217" s="5" t="s">
        <v>485</v>
      </c>
      <c r="D2217" s="5" t="s">
        <v>14</v>
      </c>
      <c r="E2217" s="5" t="s">
        <v>16</v>
      </c>
      <c r="F2217" s="5" t="s">
        <v>19</v>
      </c>
      <c r="G2217" s="5" t="s">
        <v>479</v>
      </c>
      <c r="H2217" s="5" t="s">
        <v>486</v>
      </c>
      <c r="I2217" s="5" t="s">
        <v>31</v>
      </c>
      <c r="J2217" s="5">
        <v>16.993016879064001</v>
      </c>
      <c r="K2217" s="5">
        <v>-97.251109571539004</v>
      </c>
      <c r="L2217" s="5" t="str">
        <f>HYPERLINK("https://maps.google.com/?q=16.9930168790639,-97.251109571539104", "🔗 Ver Mapa")</f>
        <v>🔗 Ver Mapa</v>
      </c>
    </row>
    <row r="2218" spans="1:12" ht="43.5" x14ac:dyDescent="0.35">
      <c r="A2218" s="6" t="s">
        <v>98</v>
      </c>
      <c r="B2218" s="6" t="s">
        <v>99</v>
      </c>
      <c r="C2218" s="6" t="s">
        <v>485</v>
      </c>
      <c r="D2218" s="6" t="s">
        <v>14</v>
      </c>
      <c r="E2218" s="6" t="s">
        <v>16</v>
      </c>
      <c r="F2218" s="6" t="s">
        <v>19</v>
      </c>
      <c r="G2218" s="6" t="s">
        <v>479</v>
      </c>
      <c r="H2218" s="6" t="s">
        <v>486</v>
      </c>
      <c r="I2218" s="6" t="s">
        <v>31</v>
      </c>
      <c r="J2218" s="6">
        <v>16.993645005748</v>
      </c>
      <c r="K2218" s="6">
        <v>-97.249266255139005</v>
      </c>
      <c r="L2218" s="6" t="str">
        <f>HYPERLINK("https://maps.google.com/?q=16.9936450057484,-97.249266255139005", "🔗 Ver Mapa")</f>
        <v>🔗 Ver Mapa</v>
      </c>
    </row>
    <row r="2219" spans="1:12" ht="43.5" x14ac:dyDescent="0.35">
      <c r="A2219" s="5" t="s">
        <v>98</v>
      </c>
      <c r="B2219" s="5" t="s">
        <v>99</v>
      </c>
      <c r="C2219" s="5" t="s">
        <v>485</v>
      </c>
      <c r="D2219" s="5" t="s">
        <v>14</v>
      </c>
      <c r="E2219" s="5" t="s">
        <v>16</v>
      </c>
      <c r="F2219" s="5" t="s">
        <v>19</v>
      </c>
      <c r="G2219" s="5" t="s">
        <v>479</v>
      </c>
      <c r="H2219" s="5" t="s">
        <v>486</v>
      </c>
      <c r="I2219" s="5" t="s">
        <v>31</v>
      </c>
      <c r="J2219" s="5">
        <v>16.993701835406998</v>
      </c>
      <c r="K2219" s="5">
        <v>-97.251714827230003</v>
      </c>
      <c r="L2219" s="5" t="str">
        <f>HYPERLINK("https://maps.google.com/?q=16.9937018354065,-97.251714827230401", "🔗 Ver Mapa")</f>
        <v>🔗 Ver Mapa</v>
      </c>
    </row>
    <row r="2220" spans="1:12" ht="43.5" x14ac:dyDescent="0.35">
      <c r="A2220" s="6" t="s">
        <v>98</v>
      </c>
      <c r="B2220" s="6" t="s">
        <v>99</v>
      </c>
      <c r="C2220" s="6" t="s">
        <v>485</v>
      </c>
      <c r="D2220" s="6" t="s">
        <v>14</v>
      </c>
      <c r="E2220" s="6" t="s">
        <v>16</v>
      </c>
      <c r="F2220" s="6" t="s">
        <v>19</v>
      </c>
      <c r="G2220" s="6" t="s">
        <v>479</v>
      </c>
      <c r="H2220" s="6" t="s">
        <v>486</v>
      </c>
      <c r="I2220" s="6" t="s">
        <v>31</v>
      </c>
      <c r="J2220" s="6">
        <v>16.994062276226</v>
      </c>
      <c r="K2220" s="6">
        <v>-97.249736637642002</v>
      </c>
      <c r="L2220" s="6" t="str">
        <f>HYPERLINK("https://maps.google.com/?q=16.9940622762264,-97.249736637641902", "🔗 Ver Mapa")</f>
        <v>🔗 Ver Mapa</v>
      </c>
    </row>
    <row r="2221" spans="1:12" ht="43.5" x14ac:dyDescent="0.35">
      <c r="A2221" s="5" t="s">
        <v>98</v>
      </c>
      <c r="B2221" s="5" t="s">
        <v>99</v>
      </c>
      <c r="C2221" s="5" t="s">
        <v>485</v>
      </c>
      <c r="D2221" s="5" t="s">
        <v>14</v>
      </c>
      <c r="E2221" s="5" t="s">
        <v>16</v>
      </c>
      <c r="F2221" s="5" t="s">
        <v>19</v>
      </c>
      <c r="G2221" s="5" t="s">
        <v>479</v>
      </c>
      <c r="H2221" s="5" t="s">
        <v>486</v>
      </c>
      <c r="I2221" s="5" t="s">
        <v>31</v>
      </c>
      <c r="J2221" s="5">
        <v>16.994227571700002</v>
      </c>
      <c r="K2221" s="5">
        <v>-97.249141864701997</v>
      </c>
      <c r="L2221" s="5" t="str">
        <f>HYPERLINK("https://maps.google.com/?q=16.9942275717004,-97.249141864702196", "🔗 Ver Mapa")</f>
        <v>🔗 Ver Mapa</v>
      </c>
    </row>
    <row r="2222" spans="1:12" ht="43.5" x14ac:dyDescent="0.35">
      <c r="A2222" s="6" t="s">
        <v>98</v>
      </c>
      <c r="B2222" s="6" t="s">
        <v>99</v>
      </c>
      <c r="C2222" s="6" t="s">
        <v>485</v>
      </c>
      <c r="D2222" s="6" t="s">
        <v>14</v>
      </c>
      <c r="E2222" s="6" t="s">
        <v>16</v>
      </c>
      <c r="F2222" s="6" t="s">
        <v>19</v>
      </c>
      <c r="G2222" s="6" t="s">
        <v>479</v>
      </c>
      <c r="H2222" s="6" t="s">
        <v>486</v>
      </c>
      <c r="I2222" s="6" t="s">
        <v>31</v>
      </c>
      <c r="J2222" s="6">
        <v>16.995473706788001</v>
      </c>
      <c r="K2222" s="6">
        <v>-97.251348590790997</v>
      </c>
      <c r="L2222" s="6" t="str">
        <f>HYPERLINK("https://maps.google.com/?q=16.9954737067878,-97.251348590791295", "🔗 Ver Mapa")</f>
        <v>🔗 Ver Mapa</v>
      </c>
    </row>
    <row r="2223" spans="1:12" ht="43.5" x14ac:dyDescent="0.35">
      <c r="A2223" s="5" t="s">
        <v>98</v>
      </c>
      <c r="B2223" s="5" t="s">
        <v>99</v>
      </c>
      <c r="C2223" s="5" t="s">
        <v>485</v>
      </c>
      <c r="D2223" s="5" t="s">
        <v>14</v>
      </c>
      <c r="E2223" s="5" t="s">
        <v>16</v>
      </c>
      <c r="F2223" s="5" t="s">
        <v>19</v>
      </c>
      <c r="G2223" s="5" t="s">
        <v>479</v>
      </c>
      <c r="H2223" s="5" t="s">
        <v>486</v>
      </c>
      <c r="I2223" s="5" t="s">
        <v>31</v>
      </c>
      <c r="J2223" s="5">
        <v>16.996500829498999</v>
      </c>
      <c r="K2223" s="5">
        <v>-97.248085623327</v>
      </c>
      <c r="L2223" s="5" t="str">
        <f>HYPERLINK("https://maps.google.com/?q=16.9965008294985,-97.248085623327199", "🔗 Ver Mapa")</f>
        <v>🔗 Ver Mapa</v>
      </c>
    </row>
    <row r="2224" spans="1:12" ht="43.5" x14ac:dyDescent="0.35">
      <c r="A2224" s="6" t="s">
        <v>98</v>
      </c>
      <c r="B2224" s="6" t="s">
        <v>99</v>
      </c>
      <c r="C2224" s="6" t="s">
        <v>485</v>
      </c>
      <c r="D2224" s="6" t="s">
        <v>14</v>
      </c>
      <c r="E2224" s="6" t="s">
        <v>16</v>
      </c>
      <c r="F2224" s="6" t="s">
        <v>19</v>
      </c>
      <c r="G2224" s="6" t="s">
        <v>479</v>
      </c>
      <c r="H2224" s="6" t="s">
        <v>486</v>
      </c>
      <c r="I2224" s="6" t="s">
        <v>31</v>
      </c>
      <c r="J2224" s="6">
        <v>16.996817121919001</v>
      </c>
      <c r="K2224" s="6">
        <v>-97.248812817838996</v>
      </c>
      <c r="L2224" s="6" t="str">
        <f>HYPERLINK("https://maps.google.com/?q=16.9968171219186,-97.248812817839195", "🔗 Ver Mapa")</f>
        <v>🔗 Ver Mapa</v>
      </c>
    </row>
    <row r="2225" spans="1:12" ht="43.5" x14ac:dyDescent="0.35">
      <c r="A2225" s="5" t="s">
        <v>98</v>
      </c>
      <c r="B2225" s="5" t="s">
        <v>99</v>
      </c>
      <c r="C2225" s="5" t="s">
        <v>485</v>
      </c>
      <c r="D2225" s="5" t="s">
        <v>14</v>
      </c>
      <c r="E2225" s="5" t="s">
        <v>16</v>
      </c>
      <c r="F2225" s="5" t="s">
        <v>19</v>
      </c>
      <c r="G2225" s="5" t="s">
        <v>479</v>
      </c>
      <c r="H2225" s="5" t="s">
        <v>486</v>
      </c>
      <c r="I2225" s="5" t="s">
        <v>31</v>
      </c>
      <c r="J2225" s="5">
        <v>16.998929472250001</v>
      </c>
      <c r="K2225" s="5">
        <v>-97.247378975917002</v>
      </c>
      <c r="L2225" s="5" t="str">
        <f>HYPERLINK("https://maps.google.com/?q=16.9989294722496,-97.2473789759174", "🔗 Ver Mapa")</f>
        <v>🔗 Ver Mapa</v>
      </c>
    </row>
    <row r="2226" spans="1:12" ht="43.5" x14ac:dyDescent="0.35">
      <c r="A2226" s="6" t="s">
        <v>98</v>
      </c>
      <c r="B2226" s="6" t="s">
        <v>99</v>
      </c>
      <c r="C2226" s="6" t="s">
        <v>487</v>
      </c>
      <c r="D2226" s="6" t="s">
        <v>14</v>
      </c>
      <c r="E2226" s="6" t="s">
        <v>52</v>
      </c>
      <c r="F2226" s="6" t="s">
        <v>83</v>
      </c>
      <c r="G2226" s="6" t="s">
        <v>488</v>
      </c>
      <c r="H2226" s="6" t="s">
        <v>489</v>
      </c>
      <c r="I2226" s="6" t="s">
        <v>31</v>
      </c>
      <c r="J2226" s="6">
        <v>17.406626474442</v>
      </c>
      <c r="K2226" s="6">
        <v>-97.089924786542994</v>
      </c>
      <c r="L2226" s="6" t="str">
        <f>HYPERLINK("https://maps.google.com/?q=17.4066264744417,-97.089924786542795", "🔗 Ver Mapa")</f>
        <v>🔗 Ver Mapa</v>
      </c>
    </row>
    <row r="2227" spans="1:12" ht="43.5" x14ac:dyDescent="0.35">
      <c r="A2227" s="5" t="s">
        <v>98</v>
      </c>
      <c r="B2227" s="5" t="s">
        <v>99</v>
      </c>
      <c r="C2227" s="5" t="s">
        <v>487</v>
      </c>
      <c r="D2227" s="5" t="s">
        <v>14</v>
      </c>
      <c r="E2227" s="5" t="s">
        <v>52</v>
      </c>
      <c r="F2227" s="5" t="s">
        <v>83</v>
      </c>
      <c r="G2227" s="5" t="s">
        <v>488</v>
      </c>
      <c r="H2227" s="5" t="s">
        <v>489</v>
      </c>
      <c r="I2227" s="5" t="s">
        <v>31</v>
      </c>
      <c r="J2227" s="5">
        <v>17.4076681638</v>
      </c>
      <c r="K2227" s="5">
        <v>-97.089604152000007</v>
      </c>
      <c r="L2227" s="5" t="str">
        <f>HYPERLINK("https://maps.google.com/?q=17.4076681638,-97.089604152000007", "🔗 Ver Mapa")</f>
        <v>🔗 Ver Mapa</v>
      </c>
    </row>
    <row r="2228" spans="1:12" ht="43.5" x14ac:dyDescent="0.35">
      <c r="A2228" s="6" t="s">
        <v>98</v>
      </c>
      <c r="B2228" s="6" t="s">
        <v>99</v>
      </c>
      <c r="C2228" s="6" t="s">
        <v>487</v>
      </c>
      <c r="D2228" s="6" t="s">
        <v>14</v>
      </c>
      <c r="E2228" s="6" t="s">
        <v>52</v>
      </c>
      <c r="F2228" s="6" t="s">
        <v>83</v>
      </c>
      <c r="G2228" s="6" t="s">
        <v>488</v>
      </c>
      <c r="H2228" s="6" t="s">
        <v>489</v>
      </c>
      <c r="I2228" s="6" t="s">
        <v>31</v>
      </c>
      <c r="J2228" s="6">
        <v>17.408536990489999</v>
      </c>
      <c r="K2228" s="6">
        <v>-97.091763239797004</v>
      </c>
      <c r="L2228" s="6" t="str">
        <f>HYPERLINK("https://maps.google.com/?q=17.4085369904901,-97.091763239796805", "🔗 Ver Mapa")</f>
        <v>🔗 Ver Mapa</v>
      </c>
    </row>
    <row r="2229" spans="1:12" ht="43.5" x14ac:dyDescent="0.35">
      <c r="A2229" s="5" t="s">
        <v>98</v>
      </c>
      <c r="B2229" s="5" t="s">
        <v>99</v>
      </c>
      <c r="C2229" s="5" t="s">
        <v>487</v>
      </c>
      <c r="D2229" s="5" t="s">
        <v>14</v>
      </c>
      <c r="E2229" s="5" t="s">
        <v>52</v>
      </c>
      <c r="F2229" s="5" t="s">
        <v>83</v>
      </c>
      <c r="G2229" s="5" t="s">
        <v>488</v>
      </c>
      <c r="H2229" s="5" t="s">
        <v>489</v>
      </c>
      <c r="I2229" s="5" t="s">
        <v>31</v>
      </c>
      <c r="J2229" s="5">
        <v>17.409180660217999</v>
      </c>
      <c r="K2229" s="5">
        <v>-97.091147680058995</v>
      </c>
      <c r="L2229" s="5" t="str">
        <f>HYPERLINK("https://maps.google.com/?q=17.4091806602175,-97.091147680059393", "🔗 Ver Mapa")</f>
        <v>🔗 Ver Mapa</v>
      </c>
    </row>
    <row r="2230" spans="1:12" ht="43.5" x14ac:dyDescent="0.35">
      <c r="A2230" s="6" t="s">
        <v>98</v>
      </c>
      <c r="B2230" s="6" t="s">
        <v>99</v>
      </c>
      <c r="C2230" s="6" t="s">
        <v>487</v>
      </c>
      <c r="D2230" s="6" t="s">
        <v>14</v>
      </c>
      <c r="E2230" s="6" t="s">
        <v>52</v>
      </c>
      <c r="F2230" s="6" t="s">
        <v>83</v>
      </c>
      <c r="G2230" s="6" t="s">
        <v>488</v>
      </c>
      <c r="H2230" s="6" t="s">
        <v>489</v>
      </c>
      <c r="I2230" s="6" t="s">
        <v>31</v>
      </c>
      <c r="J2230" s="6">
        <v>17.409316298878998</v>
      </c>
      <c r="K2230" s="6">
        <v>-97.091450765570997</v>
      </c>
      <c r="L2230" s="6" t="str">
        <f>HYPERLINK("https://maps.google.com/?q=17.4093162988788,-97.091450765570897", "🔗 Ver Mapa")</f>
        <v>🔗 Ver Mapa</v>
      </c>
    </row>
    <row r="2231" spans="1:12" ht="43.5" x14ac:dyDescent="0.35">
      <c r="A2231" s="5" t="s">
        <v>98</v>
      </c>
      <c r="B2231" s="5" t="s">
        <v>99</v>
      </c>
      <c r="C2231" s="5" t="s">
        <v>487</v>
      </c>
      <c r="D2231" s="5" t="s">
        <v>14</v>
      </c>
      <c r="E2231" s="5" t="s">
        <v>52</v>
      </c>
      <c r="F2231" s="5" t="s">
        <v>83</v>
      </c>
      <c r="G2231" s="5" t="s">
        <v>488</v>
      </c>
      <c r="H2231" s="5" t="s">
        <v>489</v>
      </c>
      <c r="I2231" s="5" t="s">
        <v>31</v>
      </c>
      <c r="J2231" s="5">
        <v>17.409322321089999</v>
      </c>
      <c r="K2231" s="5">
        <v>-97.091158679531006</v>
      </c>
      <c r="L2231" s="5" t="str">
        <f>HYPERLINK("https://maps.google.com/?q=17.4093223210901,-97.091158679530906", "🔗 Ver Mapa")</f>
        <v>🔗 Ver Mapa</v>
      </c>
    </row>
    <row r="2232" spans="1:12" ht="43.5" x14ac:dyDescent="0.35">
      <c r="A2232" s="6" t="s">
        <v>98</v>
      </c>
      <c r="B2232" s="6" t="s">
        <v>99</v>
      </c>
      <c r="C2232" s="6" t="s">
        <v>487</v>
      </c>
      <c r="D2232" s="6" t="s">
        <v>14</v>
      </c>
      <c r="E2232" s="6" t="s">
        <v>52</v>
      </c>
      <c r="F2232" s="6" t="s">
        <v>83</v>
      </c>
      <c r="G2232" s="6" t="s">
        <v>488</v>
      </c>
      <c r="H2232" s="6" t="s">
        <v>489</v>
      </c>
      <c r="I2232" s="6" t="s">
        <v>31</v>
      </c>
      <c r="J2232" s="6">
        <v>17.409329572931</v>
      </c>
      <c r="K2232" s="6">
        <v>-97.089320152642003</v>
      </c>
      <c r="L2232" s="6" t="str">
        <f>HYPERLINK("https://maps.google.com/?q=17.4093295729309,-97.089320152642401", "🔗 Ver Mapa")</f>
        <v>🔗 Ver Mapa</v>
      </c>
    </row>
    <row r="2233" spans="1:12" ht="43.5" x14ac:dyDescent="0.35">
      <c r="A2233" s="5" t="s">
        <v>98</v>
      </c>
      <c r="B2233" s="5" t="s">
        <v>99</v>
      </c>
      <c r="C2233" s="5" t="s">
        <v>487</v>
      </c>
      <c r="D2233" s="5" t="s">
        <v>14</v>
      </c>
      <c r="E2233" s="5" t="s">
        <v>52</v>
      </c>
      <c r="F2233" s="5" t="s">
        <v>83</v>
      </c>
      <c r="G2233" s="5" t="s">
        <v>488</v>
      </c>
      <c r="H2233" s="5" t="s">
        <v>489</v>
      </c>
      <c r="I2233" s="5" t="s">
        <v>31</v>
      </c>
      <c r="J2233" s="5">
        <v>17.409470103894002</v>
      </c>
      <c r="K2233" s="5">
        <v>-97.089873122683997</v>
      </c>
      <c r="L2233" s="5" t="str">
        <f>HYPERLINK("https://maps.google.com/?q=17.4094701038938,-97.089873122684494", "🔗 Ver Mapa")</f>
        <v>🔗 Ver Mapa</v>
      </c>
    </row>
    <row r="2234" spans="1:12" ht="43.5" x14ac:dyDescent="0.35">
      <c r="A2234" s="6" t="s">
        <v>98</v>
      </c>
      <c r="B2234" s="6" t="s">
        <v>99</v>
      </c>
      <c r="C2234" s="6" t="s">
        <v>487</v>
      </c>
      <c r="D2234" s="6" t="s">
        <v>14</v>
      </c>
      <c r="E2234" s="6" t="s">
        <v>52</v>
      </c>
      <c r="F2234" s="6" t="s">
        <v>83</v>
      </c>
      <c r="G2234" s="6" t="s">
        <v>488</v>
      </c>
      <c r="H2234" s="6" t="s">
        <v>489</v>
      </c>
      <c r="I2234" s="6" t="s">
        <v>31</v>
      </c>
      <c r="J2234" s="6">
        <v>17.409750562071999</v>
      </c>
      <c r="K2234" s="6">
        <v>-97.089936303076001</v>
      </c>
      <c r="L2234" s="6" t="str">
        <f>HYPERLINK("https://maps.google.com/?q=17.4097505620718,-97.089936303075703", "🔗 Ver Mapa")</f>
        <v>🔗 Ver Mapa</v>
      </c>
    </row>
    <row r="2235" spans="1:12" ht="43.5" x14ac:dyDescent="0.35">
      <c r="A2235" s="5" t="s">
        <v>98</v>
      </c>
      <c r="B2235" s="5" t="s">
        <v>99</v>
      </c>
      <c r="C2235" s="5" t="s">
        <v>487</v>
      </c>
      <c r="D2235" s="5" t="s">
        <v>14</v>
      </c>
      <c r="E2235" s="5" t="s">
        <v>52</v>
      </c>
      <c r="F2235" s="5" t="s">
        <v>83</v>
      </c>
      <c r="G2235" s="5" t="s">
        <v>488</v>
      </c>
      <c r="H2235" s="5" t="s">
        <v>489</v>
      </c>
      <c r="I2235" s="5" t="s">
        <v>31</v>
      </c>
      <c r="J2235" s="5">
        <v>17.409832999999999</v>
      </c>
      <c r="K2235" s="5">
        <v>-97.093063000000001</v>
      </c>
      <c r="L2235" s="5" t="str">
        <f>HYPERLINK("https://maps.google.com/?q=17.409833,-97.093063000000001", "🔗 Ver Mapa")</f>
        <v>🔗 Ver Mapa</v>
      </c>
    </row>
    <row r="2236" spans="1:12" ht="43.5" x14ac:dyDescent="0.35">
      <c r="A2236" s="6" t="s">
        <v>98</v>
      </c>
      <c r="B2236" s="6" t="s">
        <v>99</v>
      </c>
      <c r="C2236" s="6" t="s">
        <v>487</v>
      </c>
      <c r="D2236" s="6" t="s">
        <v>14</v>
      </c>
      <c r="E2236" s="6" t="s">
        <v>52</v>
      </c>
      <c r="F2236" s="6" t="s">
        <v>83</v>
      </c>
      <c r="G2236" s="6" t="s">
        <v>488</v>
      </c>
      <c r="H2236" s="6" t="s">
        <v>489</v>
      </c>
      <c r="I2236" s="6" t="s">
        <v>31</v>
      </c>
      <c r="J2236" s="6">
        <v>17.411303654971999</v>
      </c>
      <c r="K2236" s="6">
        <v>-97.091531667493996</v>
      </c>
      <c r="L2236" s="6" t="str">
        <f>HYPERLINK("https://maps.google.com/?q=17.4113036549716,-97.091531667493797", "🔗 Ver Mapa")</f>
        <v>🔗 Ver Mapa</v>
      </c>
    </row>
    <row r="2237" spans="1:12" ht="43.5" x14ac:dyDescent="0.35">
      <c r="A2237" s="5" t="s">
        <v>98</v>
      </c>
      <c r="B2237" s="5" t="s">
        <v>99</v>
      </c>
      <c r="C2237" s="5" t="s">
        <v>490</v>
      </c>
      <c r="D2237" s="5" t="s">
        <v>14</v>
      </c>
      <c r="E2237" s="5" t="s">
        <v>52</v>
      </c>
      <c r="F2237" s="5" t="s">
        <v>53</v>
      </c>
      <c r="G2237" s="5" t="s">
        <v>491</v>
      </c>
      <c r="H2237" s="5" t="s">
        <v>492</v>
      </c>
      <c r="I2237" s="5" t="s">
        <v>31</v>
      </c>
      <c r="J2237" s="5">
        <v>16.801518255192001</v>
      </c>
      <c r="K2237" s="5">
        <v>-96.438214612845002</v>
      </c>
      <c r="L2237" s="5" t="str">
        <f>HYPERLINK("https://maps.google.com/?q=16.8015182551921,-96.438214612845499", "🔗 Ver Mapa")</f>
        <v>🔗 Ver Mapa</v>
      </c>
    </row>
    <row r="2238" spans="1:12" ht="43.5" x14ac:dyDescent="0.35">
      <c r="A2238" s="6" t="s">
        <v>98</v>
      </c>
      <c r="B2238" s="6" t="s">
        <v>99</v>
      </c>
      <c r="C2238" s="6" t="s">
        <v>490</v>
      </c>
      <c r="D2238" s="6" t="s">
        <v>14</v>
      </c>
      <c r="E2238" s="6" t="s">
        <v>52</v>
      </c>
      <c r="F2238" s="6" t="s">
        <v>53</v>
      </c>
      <c r="G2238" s="6" t="s">
        <v>491</v>
      </c>
      <c r="H2238" s="6" t="s">
        <v>492</v>
      </c>
      <c r="I2238" s="6" t="s">
        <v>31</v>
      </c>
      <c r="J2238" s="6">
        <v>16.803536365138001</v>
      </c>
      <c r="K2238" s="6">
        <v>-96.443146985284997</v>
      </c>
      <c r="L2238" s="6" t="str">
        <f>HYPERLINK("https://maps.google.com/?q=16.8035363651384,-96.443146985284798", "🔗 Ver Mapa")</f>
        <v>🔗 Ver Mapa</v>
      </c>
    </row>
    <row r="2239" spans="1:12" ht="43.5" x14ac:dyDescent="0.35">
      <c r="A2239" s="5" t="s">
        <v>98</v>
      </c>
      <c r="B2239" s="5" t="s">
        <v>99</v>
      </c>
      <c r="C2239" s="5" t="s">
        <v>490</v>
      </c>
      <c r="D2239" s="5" t="s">
        <v>14</v>
      </c>
      <c r="E2239" s="5" t="s">
        <v>52</v>
      </c>
      <c r="F2239" s="5" t="s">
        <v>53</v>
      </c>
      <c r="G2239" s="5" t="s">
        <v>491</v>
      </c>
      <c r="H2239" s="5" t="s">
        <v>492</v>
      </c>
      <c r="I2239" s="5" t="s">
        <v>31</v>
      </c>
      <c r="J2239" s="5">
        <v>16.804196820049999</v>
      </c>
      <c r="K2239" s="5">
        <v>-96.442885271164002</v>
      </c>
      <c r="L2239" s="5" t="str">
        <f>HYPERLINK("https://maps.google.com/?q=16.8041968200503,-96.442885271164002", "🔗 Ver Mapa")</f>
        <v>🔗 Ver Mapa</v>
      </c>
    </row>
    <row r="2240" spans="1:12" ht="43.5" x14ac:dyDescent="0.35">
      <c r="A2240" s="6" t="s">
        <v>98</v>
      </c>
      <c r="B2240" s="6" t="s">
        <v>99</v>
      </c>
      <c r="C2240" s="6" t="s">
        <v>490</v>
      </c>
      <c r="D2240" s="6" t="s">
        <v>14</v>
      </c>
      <c r="E2240" s="6" t="s">
        <v>52</v>
      </c>
      <c r="F2240" s="6" t="s">
        <v>53</v>
      </c>
      <c r="G2240" s="6" t="s">
        <v>491</v>
      </c>
      <c r="H2240" s="6" t="s">
        <v>492</v>
      </c>
      <c r="I2240" s="6" t="s">
        <v>31</v>
      </c>
      <c r="J2240" s="6">
        <v>16.804358504572999</v>
      </c>
      <c r="K2240" s="6">
        <v>-96.442695000000001</v>
      </c>
      <c r="L2240" s="6" t="str">
        <f>HYPERLINK("https://maps.google.com/?q=16.8043585045735,-96.442694999999901", "🔗 Ver Mapa")</f>
        <v>🔗 Ver Mapa</v>
      </c>
    </row>
    <row r="2241" spans="1:12" ht="43.5" x14ac:dyDescent="0.35">
      <c r="A2241" s="5" t="s">
        <v>98</v>
      </c>
      <c r="B2241" s="5" t="s">
        <v>99</v>
      </c>
      <c r="C2241" s="5" t="s">
        <v>490</v>
      </c>
      <c r="D2241" s="5" t="s">
        <v>14</v>
      </c>
      <c r="E2241" s="5" t="s">
        <v>52</v>
      </c>
      <c r="F2241" s="5" t="s">
        <v>53</v>
      </c>
      <c r="G2241" s="5" t="s">
        <v>491</v>
      </c>
      <c r="H2241" s="5" t="s">
        <v>492</v>
      </c>
      <c r="I2241" s="5" t="s">
        <v>31</v>
      </c>
      <c r="J2241" s="5">
        <v>16.810539028783001</v>
      </c>
      <c r="K2241" s="5">
        <v>-96.433938699405999</v>
      </c>
      <c r="L2241" s="5" t="str">
        <f>HYPERLINK("https://maps.google.com/?q=16.8105390287831,-96.433938699405502", "🔗 Ver Mapa")</f>
        <v>🔗 Ver Mapa</v>
      </c>
    </row>
    <row r="2242" spans="1:12" ht="43.5" x14ac:dyDescent="0.35">
      <c r="A2242" s="6" t="s">
        <v>98</v>
      </c>
      <c r="B2242" s="6" t="s">
        <v>99</v>
      </c>
      <c r="C2242" s="6" t="s">
        <v>493</v>
      </c>
      <c r="D2242" s="6" t="s">
        <v>14</v>
      </c>
      <c r="E2242" s="6" t="s">
        <v>39</v>
      </c>
      <c r="F2242" s="6" t="s">
        <v>494</v>
      </c>
      <c r="G2242" s="6" t="s">
        <v>495</v>
      </c>
      <c r="H2242" s="6" t="s">
        <v>496</v>
      </c>
      <c r="I2242" s="6" t="s">
        <v>31</v>
      </c>
      <c r="J2242" s="6">
        <v>16.512308000000001</v>
      </c>
      <c r="K2242" s="6">
        <v>-96.973887000000005</v>
      </c>
      <c r="L2242" s="6" t="str">
        <f>HYPERLINK("https://maps.google.com/?q=16.512308,-96.973887000000005", "🔗 Ver Mapa")</f>
        <v>🔗 Ver Mapa</v>
      </c>
    </row>
    <row r="2243" spans="1:12" ht="43.5" x14ac:dyDescent="0.35">
      <c r="A2243" s="5" t="s">
        <v>98</v>
      </c>
      <c r="B2243" s="5" t="s">
        <v>99</v>
      </c>
      <c r="C2243" s="5" t="s">
        <v>493</v>
      </c>
      <c r="D2243" s="5" t="s">
        <v>14</v>
      </c>
      <c r="E2243" s="5" t="s">
        <v>39</v>
      </c>
      <c r="F2243" s="5" t="s">
        <v>494</v>
      </c>
      <c r="G2243" s="5" t="s">
        <v>495</v>
      </c>
      <c r="H2243" s="5" t="s">
        <v>496</v>
      </c>
      <c r="I2243" s="5" t="s">
        <v>31</v>
      </c>
      <c r="J2243" s="5">
        <v>16.512972000000001</v>
      </c>
      <c r="K2243" s="5">
        <v>-96.973343</v>
      </c>
      <c r="L2243" s="5" t="str">
        <f>HYPERLINK("https://maps.google.com/?q=16.512972,-96.973343", "🔗 Ver Mapa")</f>
        <v>🔗 Ver Mapa</v>
      </c>
    </row>
    <row r="2244" spans="1:12" ht="43.5" x14ac:dyDescent="0.35">
      <c r="A2244" s="6" t="s">
        <v>98</v>
      </c>
      <c r="B2244" s="6" t="s">
        <v>99</v>
      </c>
      <c r="C2244" s="6" t="s">
        <v>493</v>
      </c>
      <c r="D2244" s="6" t="s">
        <v>14</v>
      </c>
      <c r="E2244" s="6" t="s">
        <v>39</v>
      </c>
      <c r="F2244" s="6" t="s">
        <v>494</v>
      </c>
      <c r="G2244" s="6" t="s">
        <v>495</v>
      </c>
      <c r="H2244" s="6" t="s">
        <v>496</v>
      </c>
      <c r="I2244" s="6" t="s">
        <v>31</v>
      </c>
      <c r="J2244" s="6">
        <v>16.513294999999999</v>
      </c>
      <c r="K2244" s="6">
        <v>-96.974756999999997</v>
      </c>
      <c r="L2244" s="6" t="str">
        <f>HYPERLINK("https://maps.google.com/?q=16.513295,-96.974756999999997", "🔗 Ver Mapa")</f>
        <v>🔗 Ver Mapa</v>
      </c>
    </row>
    <row r="2245" spans="1:12" ht="43.5" x14ac:dyDescent="0.35">
      <c r="A2245" s="5" t="s">
        <v>98</v>
      </c>
      <c r="B2245" s="5" t="s">
        <v>99</v>
      </c>
      <c r="C2245" s="5" t="s">
        <v>493</v>
      </c>
      <c r="D2245" s="5" t="s">
        <v>14</v>
      </c>
      <c r="E2245" s="5" t="s">
        <v>39</v>
      </c>
      <c r="F2245" s="5" t="s">
        <v>494</v>
      </c>
      <c r="G2245" s="5" t="s">
        <v>495</v>
      </c>
      <c r="H2245" s="5" t="s">
        <v>496</v>
      </c>
      <c r="I2245" s="5" t="s">
        <v>31</v>
      </c>
      <c r="J2245" s="5">
        <v>16.513822999999999</v>
      </c>
      <c r="K2245" s="5">
        <v>-96.974317999999997</v>
      </c>
      <c r="L2245" s="5" t="str">
        <f>HYPERLINK("https://maps.google.com/?q=16.513823,-96.974317999999997", "🔗 Ver Mapa")</f>
        <v>🔗 Ver Mapa</v>
      </c>
    </row>
    <row r="2246" spans="1:12" ht="43.5" x14ac:dyDescent="0.35">
      <c r="A2246" s="6" t="s">
        <v>98</v>
      </c>
      <c r="B2246" s="6" t="s">
        <v>99</v>
      </c>
      <c r="C2246" s="6" t="s">
        <v>493</v>
      </c>
      <c r="D2246" s="6" t="s">
        <v>14</v>
      </c>
      <c r="E2246" s="6" t="s">
        <v>39</v>
      </c>
      <c r="F2246" s="6" t="s">
        <v>494</v>
      </c>
      <c r="G2246" s="6" t="s">
        <v>495</v>
      </c>
      <c r="H2246" s="6" t="s">
        <v>496</v>
      </c>
      <c r="I2246" s="6" t="s">
        <v>31</v>
      </c>
      <c r="J2246" s="6">
        <v>16.518622000000001</v>
      </c>
      <c r="K2246" s="6">
        <v>-96.975441000000004</v>
      </c>
      <c r="L2246" s="6" t="str">
        <f>HYPERLINK("https://maps.google.com/?q=16.518622,-96.975441000000004", "🔗 Ver Mapa")</f>
        <v>🔗 Ver Mapa</v>
      </c>
    </row>
    <row r="2247" spans="1:12" ht="43.5" x14ac:dyDescent="0.35">
      <c r="A2247" s="5" t="s">
        <v>98</v>
      </c>
      <c r="B2247" s="5" t="s">
        <v>99</v>
      </c>
      <c r="C2247" s="5" t="s">
        <v>493</v>
      </c>
      <c r="D2247" s="5" t="s">
        <v>14</v>
      </c>
      <c r="E2247" s="5" t="s">
        <v>39</v>
      </c>
      <c r="F2247" s="5" t="s">
        <v>494</v>
      </c>
      <c r="G2247" s="5" t="s">
        <v>495</v>
      </c>
      <c r="H2247" s="5" t="s">
        <v>496</v>
      </c>
      <c r="I2247" s="5" t="s">
        <v>31</v>
      </c>
      <c r="J2247" s="5">
        <v>16.519378</v>
      </c>
      <c r="K2247" s="5">
        <v>-96.973356999999993</v>
      </c>
      <c r="L2247" s="5" t="str">
        <f>HYPERLINK("https://maps.google.com/?q=16.519378,-96.973356999999993", "🔗 Ver Mapa")</f>
        <v>🔗 Ver Mapa</v>
      </c>
    </row>
    <row r="2248" spans="1:12" ht="43.5" x14ac:dyDescent="0.35">
      <c r="A2248" s="6" t="s">
        <v>98</v>
      </c>
      <c r="B2248" s="6" t="s">
        <v>99</v>
      </c>
      <c r="C2248" s="6" t="s">
        <v>493</v>
      </c>
      <c r="D2248" s="6" t="s">
        <v>14</v>
      </c>
      <c r="E2248" s="6" t="s">
        <v>39</v>
      </c>
      <c r="F2248" s="6" t="s">
        <v>494</v>
      </c>
      <c r="G2248" s="6" t="s">
        <v>495</v>
      </c>
      <c r="H2248" s="6" t="s">
        <v>496</v>
      </c>
      <c r="I2248" s="6" t="s">
        <v>31</v>
      </c>
      <c r="J2248" s="6">
        <v>16.519382</v>
      </c>
      <c r="K2248" s="6">
        <v>-96.972487000000001</v>
      </c>
      <c r="L2248" s="6" t="str">
        <f>HYPERLINK("https://maps.google.com/?q=16.519382,-96.972487000000001", "🔗 Ver Mapa")</f>
        <v>🔗 Ver Mapa</v>
      </c>
    </row>
    <row r="2249" spans="1:12" ht="43.5" x14ac:dyDescent="0.35">
      <c r="A2249" s="5" t="s">
        <v>98</v>
      </c>
      <c r="B2249" s="5" t="s">
        <v>99</v>
      </c>
      <c r="C2249" s="5" t="s">
        <v>493</v>
      </c>
      <c r="D2249" s="5" t="s">
        <v>14</v>
      </c>
      <c r="E2249" s="5" t="s">
        <v>39</v>
      </c>
      <c r="F2249" s="5" t="s">
        <v>494</v>
      </c>
      <c r="G2249" s="5" t="s">
        <v>495</v>
      </c>
      <c r="H2249" s="5" t="s">
        <v>496</v>
      </c>
      <c r="I2249" s="5" t="s">
        <v>31</v>
      </c>
      <c r="J2249" s="5">
        <v>16.519881999999999</v>
      </c>
      <c r="K2249" s="5">
        <v>-96.971661999999995</v>
      </c>
      <c r="L2249" s="5" t="str">
        <f>HYPERLINK("https://maps.google.com/?q=16.519882,-96.971661999999995", "🔗 Ver Mapa")</f>
        <v>🔗 Ver Mapa</v>
      </c>
    </row>
    <row r="2250" spans="1:12" ht="43.5" x14ac:dyDescent="0.35">
      <c r="A2250" s="6" t="s">
        <v>98</v>
      </c>
      <c r="B2250" s="6" t="s">
        <v>99</v>
      </c>
      <c r="C2250" s="6" t="s">
        <v>493</v>
      </c>
      <c r="D2250" s="6" t="s">
        <v>14</v>
      </c>
      <c r="E2250" s="6" t="s">
        <v>39</v>
      </c>
      <c r="F2250" s="6" t="s">
        <v>494</v>
      </c>
      <c r="G2250" s="6" t="s">
        <v>495</v>
      </c>
      <c r="H2250" s="6" t="s">
        <v>496</v>
      </c>
      <c r="I2250" s="6" t="s">
        <v>31</v>
      </c>
      <c r="J2250" s="6">
        <v>16.520130000000002</v>
      </c>
      <c r="K2250" s="6">
        <v>-96.968489000000005</v>
      </c>
      <c r="L2250" s="6" t="str">
        <f>HYPERLINK("https://maps.google.com/?q=16.52013,-96.968489", "🔗 Ver Mapa")</f>
        <v>🔗 Ver Mapa</v>
      </c>
    </row>
    <row r="2251" spans="1:12" ht="43.5" x14ac:dyDescent="0.35">
      <c r="A2251" s="5" t="s">
        <v>98</v>
      </c>
      <c r="B2251" s="5" t="s">
        <v>99</v>
      </c>
      <c r="C2251" s="5" t="s">
        <v>493</v>
      </c>
      <c r="D2251" s="5" t="s">
        <v>14</v>
      </c>
      <c r="E2251" s="5" t="s">
        <v>39</v>
      </c>
      <c r="F2251" s="5" t="s">
        <v>494</v>
      </c>
      <c r="G2251" s="5" t="s">
        <v>495</v>
      </c>
      <c r="H2251" s="5" t="s">
        <v>496</v>
      </c>
      <c r="I2251" s="5" t="s">
        <v>31</v>
      </c>
      <c r="J2251" s="5">
        <v>16.520209999999999</v>
      </c>
      <c r="K2251" s="5">
        <v>-96.967777999999996</v>
      </c>
      <c r="L2251" s="5" t="str">
        <f>HYPERLINK("https://maps.google.com/?q=16.52021,-96.967778", "🔗 Ver Mapa")</f>
        <v>🔗 Ver Mapa</v>
      </c>
    </row>
    <row r="2252" spans="1:12" ht="43.5" x14ac:dyDescent="0.35">
      <c r="A2252" s="6" t="s">
        <v>98</v>
      </c>
      <c r="B2252" s="6" t="s">
        <v>99</v>
      </c>
      <c r="C2252" s="6" t="s">
        <v>497</v>
      </c>
      <c r="D2252" s="6" t="s">
        <v>14</v>
      </c>
      <c r="E2252" s="6" t="s">
        <v>90</v>
      </c>
      <c r="F2252" s="6" t="s">
        <v>119</v>
      </c>
      <c r="G2252" s="6" t="s">
        <v>498</v>
      </c>
      <c r="H2252" s="6" t="s">
        <v>499</v>
      </c>
      <c r="I2252" s="6" t="s">
        <v>31</v>
      </c>
      <c r="J2252" s="6">
        <v>17.502752999999998</v>
      </c>
      <c r="K2252" s="6">
        <v>-96.548051659999999</v>
      </c>
      <c r="L2252" s="6" t="str">
        <f>HYPERLINK("https://maps.google.com/?q=17.502753,-96.548051659999999", "🔗 Ver Mapa")</f>
        <v>🔗 Ver Mapa</v>
      </c>
    </row>
    <row r="2253" spans="1:12" ht="43.5" x14ac:dyDescent="0.35">
      <c r="A2253" s="5" t="s">
        <v>98</v>
      </c>
      <c r="B2253" s="5" t="s">
        <v>99</v>
      </c>
      <c r="C2253" s="5" t="s">
        <v>497</v>
      </c>
      <c r="D2253" s="5" t="s">
        <v>14</v>
      </c>
      <c r="E2253" s="5" t="s">
        <v>90</v>
      </c>
      <c r="F2253" s="5" t="s">
        <v>119</v>
      </c>
      <c r="G2253" s="5" t="s">
        <v>498</v>
      </c>
      <c r="H2253" s="5" t="s">
        <v>499</v>
      </c>
      <c r="I2253" s="5" t="s">
        <v>31</v>
      </c>
      <c r="J2253" s="5">
        <v>17.504435999999998</v>
      </c>
      <c r="K2253" s="5">
        <v>-96.549969000000004</v>
      </c>
      <c r="L2253" s="5" t="str">
        <f>HYPERLINK("https://maps.google.com/?q=17.504436,-96.549969000000004", "🔗 Ver Mapa")</f>
        <v>🔗 Ver Mapa</v>
      </c>
    </row>
    <row r="2254" spans="1:12" ht="43.5" x14ac:dyDescent="0.35">
      <c r="A2254" s="6" t="s">
        <v>98</v>
      </c>
      <c r="B2254" s="6" t="s">
        <v>99</v>
      </c>
      <c r="C2254" s="6" t="s">
        <v>497</v>
      </c>
      <c r="D2254" s="6" t="s">
        <v>14</v>
      </c>
      <c r="E2254" s="6" t="s">
        <v>90</v>
      </c>
      <c r="F2254" s="6" t="s">
        <v>119</v>
      </c>
      <c r="G2254" s="6" t="s">
        <v>498</v>
      </c>
      <c r="H2254" s="6" t="s">
        <v>499</v>
      </c>
      <c r="I2254" s="6" t="s">
        <v>31</v>
      </c>
      <c r="J2254" s="6">
        <v>17.504796403755002</v>
      </c>
      <c r="K2254" s="6">
        <v>-96.551282635581998</v>
      </c>
      <c r="L2254" s="6" t="str">
        <f>HYPERLINK("https://maps.google.com/?q=17.5047964037545,-96.551282635581899", "🔗 Ver Mapa")</f>
        <v>🔗 Ver Mapa</v>
      </c>
    </row>
    <row r="2255" spans="1:12" ht="43.5" x14ac:dyDescent="0.35">
      <c r="A2255" s="5" t="s">
        <v>98</v>
      </c>
      <c r="B2255" s="5" t="s">
        <v>99</v>
      </c>
      <c r="C2255" s="5" t="s">
        <v>497</v>
      </c>
      <c r="D2255" s="5" t="s">
        <v>14</v>
      </c>
      <c r="E2255" s="5" t="s">
        <v>90</v>
      </c>
      <c r="F2255" s="5" t="s">
        <v>119</v>
      </c>
      <c r="G2255" s="5" t="s">
        <v>498</v>
      </c>
      <c r="H2255" s="5" t="s">
        <v>499</v>
      </c>
      <c r="I2255" s="5" t="s">
        <v>31</v>
      </c>
      <c r="J2255" s="5">
        <v>17.504914905739</v>
      </c>
      <c r="K2255" s="5">
        <v>-96.548771588955006</v>
      </c>
      <c r="L2255" s="5" t="str">
        <f>HYPERLINK("https://maps.google.com/?q=17.5049149057386,-96.548771588954907", "🔗 Ver Mapa")</f>
        <v>🔗 Ver Mapa</v>
      </c>
    </row>
    <row r="2256" spans="1:12" ht="43.5" x14ac:dyDescent="0.35">
      <c r="A2256" s="6" t="s">
        <v>98</v>
      </c>
      <c r="B2256" s="6" t="s">
        <v>99</v>
      </c>
      <c r="C2256" s="6" t="s">
        <v>497</v>
      </c>
      <c r="D2256" s="6" t="s">
        <v>14</v>
      </c>
      <c r="E2256" s="6" t="s">
        <v>90</v>
      </c>
      <c r="F2256" s="6" t="s">
        <v>119</v>
      </c>
      <c r="G2256" s="6" t="s">
        <v>498</v>
      </c>
      <c r="H2256" s="6" t="s">
        <v>499</v>
      </c>
      <c r="I2256" s="6" t="s">
        <v>31</v>
      </c>
      <c r="J2256" s="6">
        <v>17.5052749</v>
      </c>
      <c r="K2256" s="6">
        <v>-96.547709999999995</v>
      </c>
      <c r="L2256" s="6" t="str">
        <f>HYPERLINK("https://maps.google.com/?q=17.5052749,-96.547709999999995", "🔗 Ver Mapa")</f>
        <v>🔗 Ver Mapa</v>
      </c>
    </row>
    <row r="2257" spans="1:12" ht="43.5" x14ac:dyDescent="0.35">
      <c r="A2257" s="5" t="s">
        <v>98</v>
      </c>
      <c r="B2257" s="5" t="s">
        <v>99</v>
      </c>
      <c r="C2257" s="5" t="s">
        <v>500</v>
      </c>
      <c r="D2257" s="5" t="s">
        <v>14</v>
      </c>
      <c r="E2257" s="5" t="s">
        <v>110</v>
      </c>
      <c r="F2257" s="5" t="s">
        <v>111</v>
      </c>
      <c r="G2257" s="5" t="s">
        <v>501</v>
      </c>
      <c r="H2257" s="5" t="s">
        <v>502</v>
      </c>
      <c r="I2257" s="5" t="s">
        <v>31</v>
      </c>
      <c r="J2257" s="5">
        <v>18.092941718989</v>
      </c>
      <c r="K2257" s="5">
        <v>-96.931380874628999</v>
      </c>
      <c r="L2257" s="5" t="str">
        <f>HYPERLINK("https://maps.google.com/?q=18.0929417189886,-96.931380874629397", "🔗 Ver Mapa")</f>
        <v>🔗 Ver Mapa</v>
      </c>
    </row>
    <row r="2258" spans="1:12" ht="43.5" x14ac:dyDescent="0.35">
      <c r="A2258" s="6" t="s">
        <v>98</v>
      </c>
      <c r="B2258" s="6" t="s">
        <v>99</v>
      </c>
      <c r="C2258" s="6" t="s">
        <v>500</v>
      </c>
      <c r="D2258" s="6" t="s">
        <v>14</v>
      </c>
      <c r="E2258" s="6" t="s">
        <v>110</v>
      </c>
      <c r="F2258" s="6" t="s">
        <v>111</v>
      </c>
      <c r="G2258" s="6" t="s">
        <v>501</v>
      </c>
      <c r="H2258" s="6" t="s">
        <v>502</v>
      </c>
      <c r="I2258" s="6" t="s">
        <v>31</v>
      </c>
      <c r="J2258" s="6">
        <v>18.093080134790998</v>
      </c>
      <c r="K2258" s="6">
        <v>-96.931394417402004</v>
      </c>
      <c r="L2258" s="6" t="str">
        <f>HYPERLINK("https://maps.google.com/?q=18.0930801347905,-96.931394417401606", "🔗 Ver Mapa")</f>
        <v>🔗 Ver Mapa</v>
      </c>
    </row>
    <row r="2259" spans="1:12" ht="43.5" x14ac:dyDescent="0.35">
      <c r="A2259" s="5" t="s">
        <v>98</v>
      </c>
      <c r="B2259" s="5" t="s">
        <v>99</v>
      </c>
      <c r="C2259" s="5" t="s">
        <v>500</v>
      </c>
      <c r="D2259" s="5" t="s">
        <v>14</v>
      </c>
      <c r="E2259" s="5" t="s">
        <v>110</v>
      </c>
      <c r="F2259" s="5" t="s">
        <v>111</v>
      </c>
      <c r="G2259" s="5" t="s">
        <v>501</v>
      </c>
      <c r="H2259" s="5" t="s">
        <v>502</v>
      </c>
      <c r="I2259" s="5" t="s">
        <v>31</v>
      </c>
      <c r="J2259" s="5">
        <v>18.0931349162</v>
      </c>
      <c r="K2259" s="5">
        <v>-96.931104005487995</v>
      </c>
      <c r="L2259" s="5" t="str">
        <f>HYPERLINK("https://maps.google.com/?q=18.0931349161997,-96.931104005487796", "🔗 Ver Mapa")</f>
        <v>🔗 Ver Mapa</v>
      </c>
    </row>
    <row r="2260" spans="1:12" ht="43.5" x14ac:dyDescent="0.35">
      <c r="A2260" s="6" t="s">
        <v>98</v>
      </c>
      <c r="B2260" s="6" t="s">
        <v>99</v>
      </c>
      <c r="C2260" s="6" t="s">
        <v>500</v>
      </c>
      <c r="D2260" s="6" t="s">
        <v>14</v>
      </c>
      <c r="E2260" s="6" t="s">
        <v>110</v>
      </c>
      <c r="F2260" s="6" t="s">
        <v>111</v>
      </c>
      <c r="G2260" s="6" t="s">
        <v>501</v>
      </c>
      <c r="H2260" s="6" t="s">
        <v>502</v>
      </c>
      <c r="I2260" s="6" t="s">
        <v>31</v>
      </c>
      <c r="J2260" s="6">
        <v>18.093651216361</v>
      </c>
      <c r="K2260" s="6">
        <v>-96.931278351638994</v>
      </c>
      <c r="L2260" s="6" t="str">
        <f>HYPERLINK("https://maps.google.com/?q=18.0936512163611,-96.931278351639307", "🔗 Ver Mapa")</f>
        <v>🔗 Ver Mapa</v>
      </c>
    </row>
    <row r="2261" spans="1:12" ht="43.5" x14ac:dyDescent="0.35">
      <c r="A2261" s="5" t="s">
        <v>98</v>
      </c>
      <c r="B2261" s="5" t="s">
        <v>99</v>
      </c>
      <c r="C2261" s="5" t="s">
        <v>500</v>
      </c>
      <c r="D2261" s="5" t="s">
        <v>14</v>
      </c>
      <c r="E2261" s="5" t="s">
        <v>110</v>
      </c>
      <c r="F2261" s="5" t="s">
        <v>111</v>
      </c>
      <c r="G2261" s="5" t="s">
        <v>501</v>
      </c>
      <c r="H2261" s="5" t="s">
        <v>502</v>
      </c>
      <c r="I2261" s="5" t="s">
        <v>31</v>
      </c>
      <c r="J2261" s="5">
        <v>18.093882477021001</v>
      </c>
      <c r="K2261" s="5">
        <v>-96.931309442680003</v>
      </c>
      <c r="L2261" s="5" t="str">
        <f>HYPERLINK("https://maps.google.com/?q=18.0938824770209,-96.931309442680401", "🔗 Ver Mapa")</f>
        <v>🔗 Ver Mapa</v>
      </c>
    </row>
    <row r="2262" spans="1:12" ht="43.5" x14ac:dyDescent="0.35">
      <c r="A2262" s="6" t="s">
        <v>98</v>
      </c>
      <c r="B2262" s="6" t="s">
        <v>99</v>
      </c>
      <c r="C2262" s="6" t="s">
        <v>500</v>
      </c>
      <c r="D2262" s="6" t="s">
        <v>14</v>
      </c>
      <c r="E2262" s="6" t="s">
        <v>110</v>
      </c>
      <c r="F2262" s="6" t="s">
        <v>111</v>
      </c>
      <c r="G2262" s="6" t="s">
        <v>501</v>
      </c>
      <c r="H2262" s="6" t="s">
        <v>502</v>
      </c>
      <c r="I2262" s="6" t="s">
        <v>31</v>
      </c>
      <c r="J2262" s="6">
        <v>18.094382681809002</v>
      </c>
      <c r="K2262" s="6">
        <v>-96.931239389927001</v>
      </c>
      <c r="L2262" s="6" t="str">
        <f>HYPERLINK("https://maps.google.com/?q=18.0943826818095,-96.931239389926503", "🔗 Ver Mapa")</f>
        <v>🔗 Ver Mapa</v>
      </c>
    </row>
    <row r="2263" spans="1:12" ht="43.5" x14ac:dyDescent="0.35">
      <c r="A2263" s="5" t="s">
        <v>98</v>
      </c>
      <c r="B2263" s="5" t="s">
        <v>99</v>
      </c>
      <c r="C2263" s="5" t="s">
        <v>500</v>
      </c>
      <c r="D2263" s="5" t="s">
        <v>14</v>
      </c>
      <c r="E2263" s="5" t="s">
        <v>110</v>
      </c>
      <c r="F2263" s="5" t="s">
        <v>111</v>
      </c>
      <c r="G2263" s="5" t="s">
        <v>501</v>
      </c>
      <c r="H2263" s="5" t="s">
        <v>502</v>
      </c>
      <c r="I2263" s="5" t="s">
        <v>31</v>
      </c>
      <c r="J2263" s="5">
        <v>18.094607678308002</v>
      </c>
      <c r="K2263" s="5">
        <v>-96.930316186482997</v>
      </c>
      <c r="L2263" s="5" t="str">
        <f>HYPERLINK("https://maps.google.com/?q=18.0946076783078,-96.930316186483395", "🔗 Ver Mapa")</f>
        <v>🔗 Ver Mapa</v>
      </c>
    </row>
    <row r="2264" spans="1:12" ht="43.5" x14ac:dyDescent="0.35">
      <c r="A2264" s="6" t="s">
        <v>98</v>
      </c>
      <c r="B2264" s="6" t="s">
        <v>99</v>
      </c>
      <c r="C2264" s="6" t="s">
        <v>500</v>
      </c>
      <c r="D2264" s="6" t="s">
        <v>14</v>
      </c>
      <c r="E2264" s="6" t="s">
        <v>110</v>
      </c>
      <c r="F2264" s="6" t="s">
        <v>111</v>
      </c>
      <c r="G2264" s="6" t="s">
        <v>501</v>
      </c>
      <c r="H2264" s="6" t="s">
        <v>502</v>
      </c>
      <c r="I2264" s="6" t="s">
        <v>31</v>
      </c>
      <c r="J2264" s="6">
        <v>18.094718891494999</v>
      </c>
      <c r="K2264" s="6">
        <v>-96.930702952090002</v>
      </c>
      <c r="L2264" s="6" t="str">
        <f>HYPERLINK("https://maps.google.com/?q=18.0947188914947,-96.930702952090101", "🔗 Ver Mapa")</f>
        <v>🔗 Ver Mapa</v>
      </c>
    </row>
    <row r="2265" spans="1:12" ht="43.5" x14ac:dyDescent="0.35">
      <c r="A2265" s="5" t="s">
        <v>98</v>
      </c>
      <c r="B2265" s="5" t="s">
        <v>99</v>
      </c>
      <c r="C2265" s="5" t="s">
        <v>500</v>
      </c>
      <c r="D2265" s="5" t="s">
        <v>14</v>
      </c>
      <c r="E2265" s="5" t="s">
        <v>110</v>
      </c>
      <c r="F2265" s="5" t="s">
        <v>111</v>
      </c>
      <c r="G2265" s="5" t="s">
        <v>501</v>
      </c>
      <c r="H2265" s="5" t="s">
        <v>502</v>
      </c>
      <c r="I2265" s="5" t="s">
        <v>31</v>
      </c>
      <c r="J2265" s="5">
        <v>18.094828904412999</v>
      </c>
      <c r="K2265" s="5">
        <v>-96.928689052845002</v>
      </c>
      <c r="L2265" s="5" t="str">
        <f>HYPERLINK("https://maps.google.com/?q=18.0948289044134,-96.928689052844504", "🔗 Ver Mapa")</f>
        <v>🔗 Ver Mapa</v>
      </c>
    </row>
    <row r="2266" spans="1:12" ht="43.5" x14ac:dyDescent="0.35">
      <c r="A2266" s="6" t="s">
        <v>98</v>
      </c>
      <c r="B2266" s="6" t="s">
        <v>99</v>
      </c>
      <c r="C2266" s="6" t="s">
        <v>500</v>
      </c>
      <c r="D2266" s="6" t="s">
        <v>14</v>
      </c>
      <c r="E2266" s="6" t="s">
        <v>110</v>
      </c>
      <c r="F2266" s="6" t="s">
        <v>111</v>
      </c>
      <c r="G2266" s="6" t="s">
        <v>501</v>
      </c>
      <c r="H2266" s="6" t="s">
        <v>502</v>
      </c>
      <c r="I2266" s="6" t="s">
        <v>31</v>
      </c>
      <c r="J2266" s="6">
        <v>18.094890987176001</v>
      </c>
      <c r="K2266" s="6">
        <v>-96.930552751069001</v>
      </c>
      <c r="L2266" s="6" t="str">
        <f>HYPERLINK("https://maps.google.com/?q=18.094890987176,-96.930552751069399", "🔗 Ver Mapa")</f>
        <v>🔗 Ver Mapa</v>
      </c>
    </row>
    <row r="2267" spans="1:12" ht="43.5" x14ac:dyDescent="0.35">
      <c r="A2267" s="5" t="s">
        <v>98</v>
      </c>
      <c r="B2267" s="5" t="s">
        <v>99</v>
      </c>
      <c r="C2267" s="5" t="s">
        <v>500</v>
      </c>
      <c r="D2267" s="5" t="s">
        <v>14</v>
      </c>
      <c r="E2267" s="5" t="s">
        <v>110</v>
      </c>
      <c r="F2267" s="5" t="s">
        <v>111</v>
      </c>
      <c r="G2267" s="5" t="s">
        <v>501</v>
      </c>
      <c r="H2267" s="5" t="s">
        <v>502</v>
      </c>
      <c r="I2267" s="5" t="s">
        <v>31</v>
      </c>
      <c r="J2267" s="5">
        <v>18.095226585313998</v>
      </c>
      <c r="K2267" s="5">
        <v>-96.930185281782997</v>
      </c>
      <c r="L2267" s="5" t="str">
        <f>HYPERLINK("https://maps.google.com/?q=18.0952265853137,-96.930185281783196", "🔗 Ver Mapa")</f>
        <v>🔗 Ver Mapa</v>
      </c>
    </row>
    <row r="2268" spans="1:12" ht="43.5" x14ac:dyDescent="0.35">
      <c r="A2268" s="6" t="s">
        <v>98</v>
      </c>
      <c r="B2268" s="6" t="s">
        <v>99</v>
      </c>
      <c r="C2268" s="6" t="s">
        <v>500</v>
      </c>
      <c r="D2268" s="6" t="s">
        <v>14</v>
      </c>
      <c r="E2268" s="6" t="s">
        <v>110</v>
      </c>
      <c r="F2268" s="6" t="s">
        <v>111</v>
      </c>
      <c r="G2268" s="6" t="s">
        <v>501</v>
      </c>
      <c r="H2268" s="6" t="s">
        <v>502</v>
      </c>
      <c r="I2268" s="6" t="s">
        <v>31</v>
      </c>
      <c r="J2268" s="6">
        <v>18.095419972335002</v>
      </c>
      <c r="K2268" s="6">
        <v>-96.927819084752002</v>
      </c>
      <c r="L2268" s="6" t="str">
        <f>HYPERLINK("https://maps.google.com/?q=18.0954199723345,-96.927819084751903", "🔗 Ver Mapa")</f>
        <v>🔗 Ver Mapa</v>
      </c>
    </row>
    <row r="2269" spans="1:12" ht="43.5" x14ac:dyDescent="0.35">
      <c r="A2269" s="5" t="s">
        <v>98</v>
      </c>
      <c r="B2269" s="5" t="s">
        <v>99</v>
      </c>
      <c r="C2269" s="5" t="s">
        <v>500</v>
      </c>
      <c r="D2269" s="5" t="s">
        <v>14</v>
      </c>
      <c r="E2269" s="5" t="s">
        <v>110</v>
      </c>
      <c r="F2269" s="5" t="s">
        <v>111</v>
      </c>
      <c r="G2269" s="5" t="s">
        <v>501</v>
      </c>
      <c r="H2269" s="5" t="s">
        <v>502</v>
      </c>
      <c r="I2269" s="5" t="s">
        <v>31</v>
      </c>
      <c r="J2269" s="5">
        <v>18.095421864245001</v>
      </c>
      <c r="K2269" s="5">
        <v>-96.928430757791006</v>
      </c>
      <c r="L2269" s="5" t="str">
        <f>HYPERLINK("https://maps.google.com/?q=18.0954218642452,-96.928430757790693", "🔗 Ver Mapa")</f>
        <v>🔗 Ver Mapa</v>
      </c>
    </row>
    <row r="2270" spans="1:12" ht="43.5" x14ac:dyDescent="0.35">
      <c r="A2270" s="6" t="s">
        <v>98</v>
      </c>
      <c r="B2270" s="6" t="s">
        <v>99</v>
      </c>
      <c r="C2270" s="6" t="s">
        <v>500</v>
      </c>
      <c r="D2270" s="6" t="s">
        <v>14</v>
      </c>
      <c r="E2270" s="6" t="s">
        <v>110</v>
      </c>
      <c r="F2270" s="6" t="s">
        <v>111</v>
      </c>
      <c r="G2270" s="6" t="s">
        <v>501</v>
      </c>
      <c r="H2270" s="6" t="s">
        <v>502</v>
      </c>
      <c r="I2270" s="6" t="s">
        <v>31</v>
      </c>
      <c r="J2270" s="6">
        <v>18.095448445685001</v>
      </c>
      <c r="K2270" s="6">
        <v>-96.930158903385006</v>
      </c>
      <c r="L2270" s="6" t="str">
        <f>HYPERLINK("https://maps.google.com/?q=18.0954484456849,-96.930158903384793", "🔗 Ver Mapa")</f>
        <v>🔗 Ver Mapa</v>
      </c>
    </row>
    <row r="2271" spans="1:12" ht="43.5" x14ac:dyDescent="0.35">
      <c r="A2271" s="5" t="s">
        <v>98</v>
      </c>
      <c r="B2271" s="5" t="s">
        <v>99</v>
      </c>
      <c r="C2271" s="5" t="s">
        <v>500</v>
      </c>
      <c r="D2271" s="5" t="s">
        <v>14</v>
      </c>
      <c r="E2271" s="5" t="s">
        <v>110</v>
      </c>
      <c r="F2271" s="5" t="s">
        <v>111</v>
      </c>
      <c r="G2271" s="5" t="s">
        <v>501</v>
      </c>
      <c r="H2271" s="5" t="s">
        <v>502</v>
      </c>
      <c r="I2271" s="5" t="s">
        <v>31</v>
      </c>
      <c r="J2271" s="5">
        <v>18.096310970125</v>
      </c>
      <c r="K2271" s="5">
        <v>-96.924604781954997</v>
      </c>
      <c r="L2271" s="5" t="str">
        <f>HYPERLINK("https://maps.google.com/?q=18.0963109701254,-96.924604781955097", "🔗 Ver Mapa")</f>
        <v>🔗 Ver Mapa</v>
      </c>
    </row>
    <row r="2272" spans="1:12" ht="43.5" x14ac:dyDescent="0.35">
      <c r="A2272" s="6" t="s">
        <v>98</v>
      </c>
      <c r="B2272" s="6" t="s">
        <v>99</v>
      </c>
      <c r="C2272" s="6" t="s">
        <v>500</v>
      </c>
      <c r="D2272" s="6" t="s">
        <v>14</v>
      </c>
      <c r="E2272" s="6" t="s">
        <v>110</v>
      </c>
      <c r="F2272" s="6" t="s">
        <v>111</v>
      </c>
      <c r="G2272" s="6" t="s">
        <v>501</v>
      </c>
      <c r="H2272" s="6" t="s">
        <v>502</v>
      </c>
      <c r="I2272" s="6" t="s">
        <v>31</v>
      </c>
      <c r="J2272" s="6">
        <v>18.096582010079999</v>
      </c>
      <c r="K2272" s="6">
        <v>-96.930439949881006</v>
      </c>
      <c r="L2272" s="6" t="str">
        <f>HYPERLINK("https://maps.google.com/?q=18.0965820100805,-96.930439949881105", "🔗 Ver Mapa")</f>
        <v>🔗 Ver Mapa</v>
      </c>
    </row>
    <row r="2273" spans="1:12" ht="43.5" x14ac:dyDescent="0.35">
      <c r="A2273" s="5" t="s">
        <v>98</v>
      </c>
      <c r="B2273" s="5" t="s">
        <v>99</v>
      </c>
      <c r="C2273" s="5" t="s">
        <v>500</v>
      </c>
      <c r="D2273" s="5" t="s">
        <v>14</v>
      </c>
      <c r="E2273" s="5" t="s">
        <v>110</v>
      </c>
      <c r="F2273" s="5" t="s">
        <v>111</v>
      </c>
      <c r="G2273" s="5" t="s">
        <v>501</v>
      </c>
      <c r="H2273" s="5" t="s">
        <v>502</v>
      </c>
      <c r="I2273" s="5" t="s">
        <v>31</v>
      </c>
      <c r="J2273" s="5">
        <v>18.097137580988001</v>
      </c>
      <c r="K2273" s="5">
        <v>-96.92609358</v>
      </c>
      <c r="L2273" s="5" t="str">
        <f>HYPERLINK("https://maps.google.com/?q=18.0971375809882,-96.9260935799999", "🔗 Ver Mapa")</f>
        <v>🔗 Ver Mapa</v>
      </c>
    </row>
    <row r="2274" spans="1:12" ht="43.5" x14ac:dyDescent="0.35">
      <c r="A2274" s="6" t="s">
        <v>98</v>
      </c>
      <c r="B2274" s="6" t="s">
        <v>99</v>
      </c>
      <c r="C2274" s="6" t="s">
        <v>500</v>
      </c>
      <c r="D2274" s="6" t="s">
        <v>14</v>
      </c>
      <c r="E2274" s="6" t="s">
        <v>110</v>
      </c>
      <c r="F2274" s="6" t="s">
        <v>111</v>
      </c>
      <c r="G2274" s="6" t="s">
        <v>501</v>
      </c>
      <c r="H2274" s="6" t="s">
        <v>502</v>
      </c>
      <c r="I2274" s="6" t="s">
        <v>31</v>
      </c>
      <c r="J2274" s="6">
        <v>18.097256065937</v>
      </c>
      <c r="K2274" s="6">
        <v>-96.927490105415004</v>
      </c>
      <c r="L2274" s="6" t="str">
        <f>HYPERLINK("https://maps.google.com/?q=18.0972560659371,-96.927490105414805", "🔗 Ver Mapa")</f>
        <v>🔗 Ver Mapa</v>
      </c>
    </row>
    <row r="2275" spans="1:12" ht="43.5" x14ac:dyDescent="0.35">
      <c r="A2275" s="5" t="s">
        <v>98</v>
      </c>
      <c r="B2275" s="5" t="s">
        <v>99</v>
      </c>
      <c r="C2275" s="5" t="s">
        <v>500</v>
      </c>
      <c r="D2275" s="5" t="s">
        <v>14</v>
      </c>
      <c r="E2275" s="5" t="s">
        <v>110</v>
      </c>
      <c r="F2275" s="5" t="s">
        <v>111</v>
      </c>
      <c r="G2275" s="5" t="s">
        <v>501</v>
      </c>
      <c r="H2275" s="5" t="s">
        <v>502</v>
      </c>
      <c r="I2275" s="5" t="s">
        <v>31</v>
      </c>
      <c r="J2275" s="5">
        <v>18.098067661279</v>
      </c>
      <c r="K2275" s="5">
        <v>-96.929944508326003</v>
      </c>
      <c r="L2275" s="5" t="str">
        <f>HYPERLINK("https://maps.google.com/?q=18.0980676612788,-96.929944508326003", "🔗 Ver Mapa")</f>
        <v>🔗 Ver Mapa</v>
      </c>
    </row>
    <row r="2276" spans="1:12" ht="43.5" x14ac:dyDescent="0.35">
      <c r="A2276" s="6" t="s">
        <v>98</v>
      </c>
      <c r="B2276" s="6" t="s">
        <v>99</v>
      </c>
      <c r="C2276" s="6" t="s">
        <v>500</v>
      </c>
      <c r="D2276" s="6" t="s">
        <v>14</v>
      </c>
      <c r="E2276" s="6" t="s">
        <v>110</v>
      </c>
      <c r="F2276" s="6" t="s">
        <v>111</v>
      </c>
      <c r="G2276" s="6" t="s">
        <v>501</v>
      </c>
      <c r="H2276" s="6" t="s">
        <v>502</v>
      </c>
      <c r="I2276" s="6" t="s">
        <v>31</v>
      </c>
      <c r="J2276" s="6">
        <v>18.098146985936001</v>
      </c>
      <c r="K2276" s="6">
        <v>-96.929280261841001</v>
      </c>
      <c r="L2276" s="6" t="str">
        <f>HYPERLINK("https://maps.google.com/?q=18.0981469859362,-96.929280261840802", "🔗 Ver Mapa")</f>
        <v>🔗 Ver Mapa</v>
      </c>
    </row>
    <row r="2277" spans="1:12" ht="43.5" x14ac:dyDescent="0.35">
      <c r="A2277" s="5" t="s">
        <v>98</v>
      </c>
      <c r="B2277" s="5" t="s">
        <v>99</v>
      </c>
      <c r="C2277" s="5" t="s">
        <v>500</v>
      </c>
      <c r="D2277" s="5" t="s">
        <v>14</v>
      </c>
      <c r="E2277" s="5" t="s">
        <v>110</v>
      </c>
      <c r="F2277" s="5" t="s">
        <v>111</v>
      </c>
      <c r="G2277" s="5" t="s">
        <v>501</v>
      </c>
      <c r="H2277" s="5" t="s">
        <v>502</v>
      </c>
      <c r="I2277" s="5" t="s">
        <v>31</v>
      </c>
      <c r="J2277" s="5">
        <v>18.098151472085</v>
      </c>
      <c r="K2277" s="5">
        <v>-96.929442434595003</v>
      </c>
      <c r="L2277" s="5" t="str">
        <f>HYPERLINK("https://maps.google.com/?q=18.0981514720854,-96.929442434595003", "🔗 Ver Mapa")</f>
        <v>🔗 Ver Mapa</v>
      </c>
    </row>
    <row r="2278" spans="1:12" ht="43.5" x14ac:dyDescent="0.35">
      <c r="A2278" s="6" t="s">
        <v>98</v>
      </c>
      <c r="B2278" s="6" t="s">
        <v>99</v>
      </c>
      <c r="C2278" s="6" t="s">
        <v>500</v>
      </c>
      <c r="D2278" s="6" t="s">
        <v>14</v>
      </c>
      <c r="E2278" s="6" t="s">
        <v>110</v>
      </c>
      <c r="F2278" s="6" t="s">
        <v>111</v>
      </c>
      <c r="G2278" s="6" t="s">
        <v>501</v>
      </c>
      <c r="H2278" s="6" t="s">
        <v>502</v>
      </c>
      <c r="I2278" s="6" t="s">
        <v>31</v>
      </c>
      <c r="J2278" s="6">
        <v>18.098180362284001</v>
      </c>
      <c r="K2278" s="6">
        <v>-96.929963098613996</v>
      </c>
      <c r="L2278" s="6" t="str">
        <f>HYPERLINK("https://maps.google.com/?q=18.0981803622841,-96.929963098614195", "🔗 Ver Mapa")</f>
        <v>🔗 Ver Mapa</v>
      </c>
    </row>
    <row r="2279" spans="1:12" ht="43.5" x14ac:dyDescent="0.35">
      <c r="A2279" s="5" t="s">
        <v>98</v>
      </c>
      <c r="B2279" s="5" t="s">
        <v>99</v>
      </c>
      <c r="C2279" s="5" t="s">
        <v>500</v>
      </c>
      <c r="D2279" s="5" t="s">
        <v>14</v>
      </c>
      <c r="E2279" s="5" t="s">
        <v>110</v>
      </c>
      <c r="F2279" s="5" t="s">
        <v>111</v>
      </c>
      <c r="G2279" s="5" t="s">
        <v>501</v>
      </c>
      <c r="H2279" s="5" t="s">
        <v>502</v>
      </c>
      <c r="I2279" s="5" t="s">
        <v>31</v>
      </c>
      <c r="J2279" s="5">
        <v>18.09818073912</v>
      </c>
      <c r="K2279" s="5">
        <v>-96.928949748283998</v>
      </c>
      <c r="L2279" s="5" t="str">
        <f>HYPERLINK("https://maps.google.com/?q=18.0981807391201,-96.928949748283799", "🔗 Ver Mapa")</f>
        <v>🔗 Ver Mapa</v>
      </c>
    </row>
    <row r="2280" spans="1:12" ht="43.5" x14ac:dyDescent="0.35">
      <c r="A2280" s="6" t="s">
        <v>98</v>
      </c>
      <c r="B2280" s="6" t="s">
        <v>99</v>
      </c>
      <c r="C2280" s="6" t="s">
        <v>500</v>
      </c>
      <c r="D2280" s="6" t="s">
        <v>14</v>
      </c>
      <c r="E2280" s="6" t="s">
        <v>110</v>
      </c>
      <c r="F2280" s="6" t="s">
        <v>111</v>
      </c>
      <c r="G2280" s="6" t="s">
        <v>501</v>
      </c>
      <c r="H2280" s="6" t="s">
        <v>502</v>
      </c>
      <c r="I2280" s="6" t="s">
        <v>31</v>
      </c>
      <c r="J2280" s="6">
        <v>18.098309631578999</v>
      </c>
      <c r="K2280" s="6">
        <v>-96.928087796984002</v>
      </c>
      <c r="L2280" s="6" t="str">
        <f>HYPERLINK("https://maps.google.com/?q=18.0983096315792,-96.928087796983604", "🔗 Ver Mapa")</f>
        <v>🔗 Ver Mapa</v>
      </c>
    </row>
    <row r="2281" spans="1:12" ht="43.5" x14ac:dyDescent="0.35">
      <c r="A2281" s="5" t="s">
        <v>98</v>
      </c>
      <c r="B2281" s="5" t="s">
        <v>99</v>
      </c>
      <c r="C2281" s="5" t="s">
        <v>500</v>
      </c>
      <c r="D2281" s="5" t="s">
        <v>14</v>
      </c>
      <c r="E2281" s="5" t="s">
        <v>110</v>
      </c>
      <c r="F2281" s="5" t="s">
        <v>111</v>
      </c>
      <c r="G2281" s="5" t="s">
        <v>501</v>
      </c>
      <c r="H2281" s="5" t="s">
        <v>502</v>
      </c>
      <c r="I2281" s="5" t="s">
        <v>31</v>
      </c>
      <c r="J2281" s="5">
        <v>18.09833996894</v>
      </c>
      <c r="K2281" s="5">
        <v>-96.927515855463</v>
      </c>
      <c r="L2281" s="5" t="str">
        <f>HYPERLINK("https://maps.google.com/?q=18.09833996894,-96.9275158554629", "🔗 Ver Mapa")</f>
        <v>🔗 Ver Mapa</v>
      </c>
    </row>
    <row r="2282" spans="1:12" ht="43.5" x14ac:dyDescent="0.35">
      <c r="A2282" s="6" t="s">
        <v>98</v>
      </c>
      <c r="B2282" s="6" t="s">
        <v>99</v>
      </c>
      <c r="C2282" s="6" t="s">
        <v>500</v>
      </c>
      <c r="D2282" s="6" t="s">
        <v>14</v>
      </c>
      <c r="E2282" s="6" t="s">
        <v>110</v>
      </c>
      <c r="F2282" s="6" t="s">
        <v>111</v>
      </c>
      <c r="G2282" s="6" t="s">
        <v>501</v>
      </c>
      <c r="H2282" s="6" t="s">
        <v>502</v>
      </c>
      <c r="I2282" s="6" t="s">
        <v>31</v>
      </c>
      <c r="J2282" s="6">
        <v>18.098423914599</v>
      </c>
      <c r="K2282" s="6">
        <v>-96.927213399954994</v>
      </c>
      <c r="L2282" s="6" t="str">
        <f>HYPERLINK("https://maps.google.com/?q=18.0984239145992,-96.927213399955306", "🔗 Ver Mapa")</f>
        <v>🔗 Ver Mapa</v>
      </c>
    </row>
    <row r="2283" spans="1:12" ht="43.5" x14ac:dyDescent="0.35">
      <c r="A2283" s="5" t="s">
        <v>98</v>
      </c>
      <c r="B2283" s="5" t="s">
        <v>99</v>
      </c>
      <c r="C2283" s="5" t="s">
        <v>500</v>
      </c>
      <c r="D2283" s="5" t="s">
        <v>14</v>
      </c>
      <c r="E2283" s="5" t="s">
        <v>110</v>
      </c>
      <c r="F2283" s="5" t="s">
        <v>111</v>
      </c>
      <c r="G2283" s="5" t="s">
        <v>501</v>
      </c>
      <c r="H2283" s="5" t="s">
        <v>502</v>
      </c>
      <c r="I2283" s="5" t="s">
        <v>31</v>
      </c>
      <c r="J2283" s="5">
        <v>18.098461077643002</v>
      </c>
      <c r="K2283" s="5">
        <v>-96.928148824418003</v>
      </c>
      <c r="L2283" s="5" t="str">
        <f>HYPERLINK("https://maps.google.com/?q=18.098461077643,-96.928148824418102", "🔗 Ver Mapa")</f>
        <v>🔗 Ver Mapa</v>
      </c>
    </row>
    <row r="2284" spans="1:12" ht="43.5" x14ac:dyDescent="0.35">
      <c r="A2284" s="6" t="s">
        <v>98</v>
      </c>
      <c r="B2284" s="6" t="s">
        <v>99</v>
      </c>
      <c r="C2284" s="6" t="s">
        <v>500</v>
      </c>
      <c r="D2284" s="6" t="s">
        <v>14</v>
      </c>
      <c r="E2284" s="6" t="s">
        <v>110</v>
      </c>
      <c r="F2284" s="6" t="s">
        <v>111</v>
      </c>
      <c r="G2284" s="6" t="s">
        <v>501</v>
      </c>
      <c r="H2284" s="6" t="s">
        <v>502</v>
      </c>
      <c r="I2284" s="6" t="s">
        <v>31</v>
      </c>
      <c r="J2284" s="6">
        <v>18.098463315166999</v>
      </c>
      <c r="K2284" s="6">
        <v>-96.929020107512997</v>
      </c>
      <c r="L2284" s="6" t="str">
        <f>HYPERLINK("https://maps.google.com/?q=18.0984633151667,-96.929020107512798", "🔗 Ver Mapa")</f>
        <v>🔗 Ver Mapa</v>
      </c>
    </row>
    <row r="2285" spans="1:12" ht="43.5" x14ac:dyDescent="0.35">
      <c r="A2285" s="5" t="s">
        <v>98</v>
      </c>
      <c r="B2285" s="5" t="s">
        <v>99</v>
      </c>
      <c r="C2285" s="5" t="s">
        <v>500</v>
      </c>
      <c r="D2285" s="5" t="s">
        <v>14</v>
      </c>
      <c r="E2285" s="5" t="s">
        <v>110</v>
      </c>
      <c r="F2285" s="5" t="s">
        <v>111</v>
      </c>
      <c r="G2285" s="5" t="s">
        <v>501</v>
      </c>
      <c r="H2285" s="5" t="s">
        <v>502</v>
      </c>
      <c r="I2285" s="5" t="s">
        <v>31</v>
      </c>
      <c r="J2285" s="5">
        <v>18.098497520595998</v>
      </c>
      <c r="K2285" s="5">
        <v>-96.927489308930006</v>
      </c>
      <c r="L2285" s="5" t="str">
        <f>HYPERLINK("https://maps.google.com/?q=18.0984975205955,-96.927489308930205", "🔗 Ver Mapa")</f>
        <v>🔗 Ver Mapa</v>
      </c>
    </row>
    <row r="2286" spans="1:12" ht="43.5" x14ac:dyDescent="0.35">
      <c r="A2286" s="6" t="s">
        <v>98</v>
      </c>
      <c r="B2286" s="6" t="s">
        <v>99</v>
      </c>
      <c r="C2286" s="6" t="s">
        <v>500</v>
      </c>
      <c r="D2286" s="6" t="s">
        <v>14</v>
      </c>
      <c r="E2286" s="6" t="s">
        <v>110</v>
      </c>
      <c r="F2286" s="6" t="s">
        <v>111</v>
      </c>
      <c r="G2286" s="6" t="s">
        <v>501</v>
      </c>
      <c r="H2286" s="6" t="s">
        <v>502</v>
      </c>
      <c r="I2286" s="6" t="s">
        <v>31</v>
      </c>
      <c r="J2286" s="6">
        <v>18.098537315687999</v>
      </c>
      <c r="K2286" s="6">
        <v>-96.929151592099998</v>
      </c>
      <c r="L2286" s="6" t="str">
        <f>HYPERLINK("https://maps.google.com/?q=18.0985373156883,-96.929151592099899", "🔗 Ver Mapa")</f>
        <v>🔗 Ver Mapa</v>
      </c>
    </row>
    <row r="2287" spans="1:12" ht="43.5" x14ac:dyDescent="0.35">
      <c r="A2287" s="5" t="s">
        <v>98</v>
      </c>
      <c r="B2287" s="5" t="s">
        <v>99</v>
      </c>
      <c r="C2287" s="5" t="s">
        <v>500</v>
      </c>
      <c r="D2287" s="5" t="s">
        <v>14</v>
      </c>
      <c r="E2287" s="5" t="s">
        <v>110</v>
      </c>
      <c r="F2287" s="5" t="s">
        <v>111</v>
      </c>
      <c r="G2287" s="5" t="s">
        <v>501</v>
      </c>
      <c r="H2287" s="5" t="s">
        <v>502</v>
      </c>
      <c r="I2287" s="5" t="s">
        <v>31</v>
      </c>
      <c r="J2287" s="5">
        <v>18.098679630894999</v>
      </c>
      <c r="K2287" s="5">
        <v>-96.927559111164001</v>
      </c>
      <c r="L2287" s="5" t="str">
        <f>HYPERLINK("https://maps.google.com/?q=18.0986796308954,-96.927559111163703", "🔗 Ver Mapa")</f>
        <v>🔗 Ver Mapa</v>
      </c>
    </row>
    <row r="2288" spans="1:12" ht="43.5" x14ac:dyDescent="0.35">
      <c r="A2288" s="6" t="s">
        <v>98</v>
      </c>
      <c r="B2288" s="6" t="s">
        <v>99</v>
      </c>
      <c r="C2288" s="6" t="s">
        <v>500</v>
      </c>
      <c r="D2288" s="6" t="s">
        <v>14</v>
      </c>
      <c r="E2288" s="6" t="s">
        <v>110</v>
      </c>
      <c r="F2288" s="6" t="s">
        <v>111</v>
      </c>
      <c r="G2288" s="6" t="s">
        <v>501</v>
      </c>
      <c r="H2288" s="6" t="s">
        <v>502</v>
      </c>
      <c r="I2288" s="6" t="s">
        <v>31</v>
      </c>
      <c r="J2288" s="6">
        <v>18.098683788140001</v>
      </c>
      <c r="K2288" s="6">
        <v>-96.928164692208995</v>
      </c>
      <c r="L2288" s="6" t="str">
        <f>HYPERLINK("https://maps.google.com/?q=18.0986837881404,-96.928164692208995", "🔗 Ver Mapa")</f>
        <v>🔗 Ver Mapa</v>
      </c>
    </row>
    <row r="2289" spans="1:12" ht="43.5" x14ac:dyDescent="0.35">
      <c r="A2289" s="5" t="s">
        <v>98</v>
      </c>
      <c r="B2289" s="5" t="s">
        <v>99</v>
      </c>
      <c r="C2289" s="5" t="s">
        <v>500</v>
      </c>
      <c r="D2289" s="5" t="s">
        <v>14</v>
      </c>
      <c r="E2289" s="5" t="s">
        <v>110</v>
      </c>
      <c r="F2289" s="5" t="s">
        <v>111</v>
      </c>
      <c r="G2289" s="5" t="s">
        <v>501</v>
      </c>
      <c r="H2289" s="5" t="s">
        <v>502</v>
      </c>
      <c r="I2289" s="5" t="s">
        <v>31</v>
      </c>
      <c r="J2289" s="5">
        <v>18.098987640878001</v>
      </c>
      <c r="K2289" s="5">
        <v>-96.927340633373007</v>
      </c>
      <c r="L2289" s="5" t="str">
        <f>HYPERLINK("https://maps.google.com/?q=18.0989876408776,-96.927340633372907", "🔗 Ver Mapa")</f>
        <v>🔗 Ver Mapa</v>
      </c>
    </row>
    <row r="2290" spans="1:12" ht="43.5" x14ac:dyDescent="0.35">
      <c r="A2290" s="6" t="s">
        <v>98</v>
      </c>
      <c r="B2290" s="6" t="s">
        <v>99</v>
      </c>
      <c r="C2290" s="6" t="s">
        <v>500</v>
      </c>
      <c r="D2290" s="6" t="s">
        <v>14</v>
      </c>
      <c r="E2290" s="6" t="s">
        <v>110</v>
      </c>
      <c r="F2290" s="6" t="s">
        <v>111</v>
      </c>
      <c r="G2290" s="6" t="s">
        <v>501</v>
      </c>
      <c r="H2290" s="6" t="s">
        <v>502</v>
      </c>
      <c r="I2290" s="6" t="s">
        <v>31</v>
      </c>
      <c r="J2290" s="6">
        <v>18.099005808451</v>
      </c>
      <c r="K2290" s="6">
        <v>-96.92614436993</v>
      </c>
      <c r="L2290" s="6" t="str">
        <f>HYPERLINK("https://maps.google.com/?q=18.0990058084508,-96.9261443699301", "🔗 Ver Mapa")</f>
        <v>🔗 Ver Mapa</v>
      </c>
    </row>
    <row r="2291" spans="1:12" ht="43.5" x14ac:dyDescent="0.35">
      <c r="A2291" s="5" t="s">
        <v>98</v>
      </c>
      <c r="B2291" s="5" t="s">
        <v>99</v>
      </c>
      <c r="C2291" s="5" t="s">
        <v>500</v>
      </c>
      <c r="D2291" s="5" t="s">
        <v>14</v>
      </c>
      <c r="E2291" s="5" t="s">
        <v>110</v>
      </c>
      <c r="F2291" s="5" t="s">
        <v>111</v>
      </c>
      <c r="G2291" s="5" t="s">
        <v>501</v>
      </c>
      <c r="H2291" s="5" t="s">
        <v>502</v>
      </c>
      <c r="I2291" s="5" t="s">
        <v>31</v>
      </c>
      <c r="J2291" s="5">
        <v>18.099031157523999</v>
      </c>
      <c r="K2291" s="5">
        <v>-96.928151314605998</v>
      </c>
      <c r="L2291" s="5" t="str">
        <f>HYPERLINK("https://maps.google.com/?q=18.0990311575239,-96.928151314605998", "🔗 Ver Mapa")</f>
        <v>🔗 Ver Mapa</v>
      </c>
    </row>
    <row r="2292" spans="1:12" ht="43.5" x14ac:dyDescent="0.35">
      <c r="A2292" s="6" t="s">
        <v>98</v>
      </c>
      <c r="B2292" s="6" t="s">
        <v>99</v>
      </c>
      <c r="C2292" s="6" t="s">
        <v>500</v>
      </c>
      <c r="D2292" s="6" t="s">
        <v>14</v>
      </c>
      <c r="E2292" s="6" t="s">
        <v>110</v>
      </c>
      <c r="F2292" s="6" t="s">
        <v>111</v>
      </c>
      <c r="G2292" s="6" t="s">
        <v>501</v>
      </c>
      <c r="H2292" s="6" t="s">
        <v>502</v>
      </c>
      <c r="I2292" s="6" t="s">
        <v>31</v>
      </c>
      <c r="J2292" s="6">
        <v>18.099103666466998</v>
      </c>
      <c r="K2292" s="6">
        <v>-96.927712844775002</v>
      </c>
      <c r="L2292" s="6" t="str">
        <f>HYPERLINK("https://maps.google.com/?q=18.0991036664668,-96.927712844774604", "🔗 Ver Mapa")</f>
        <v>🔗 Ver Mapa</v>
      </c>
    </row>
    <row r="2293" spans="1:12" ht="43.5" x14ac:dyDescent="0.35">
      <c r="A2293" s="5" t="s">
        <v>98</v>
      </c>
      <c r="B2293" s="5" t="s">
        <v>99</v>
      </c>
      <c r="C2293" s="5" t="s">
        <v>500</v>
      </c>
      <c r="D2293" s="5" t="s">
        <v>14</v>
      </c>
      <c r="E2293" s="5" t="s">
        <v>110</v>
      </c>
      <c r="F2293" s="5" t="s">
        <v>111</v>
      </c>
      <c r="G2293" s="5" t="s">
        <v>501</v>
      </c>
      <c r="H2293" s="5" t="s">
        <v>502</v>
      </c>
      <c r="I2293" s="5" t="s">
        <v>31</v>
      </c>
      <c r="J2293" s="5">
        <v>18.099251537109001</v>
      </c>
      <c r="K2293" s="5">
        <v>-96.926272498532995</v>
      </c>
      <c r="L2293" s="5" t="str">
        <f>HYPERLINK("https://maps.google.com/?q=18.0992515371085,-96.926272498533393", "🔗 Ver Mapa")</f>
        <v>🔗 Ver Mapa</v>
      </c>
    </row>
    <row r="2294" spans="1:12" ht="43.5" x14ac:dyDescent="0.35">
      <c r="A2294" s="6" t="s">
        <v>98</v>
      </c>
      <c r="B2294" s="6" t="s">
        <v>99</v>
      </c>
      <c r="C2294" s="6" t="s">
        <v>500</v>
      </c>
      <c r="D2294" s="6" t="s">
        <v>14</v>
      </c>
      <c r="E2294" s="6" t="s">
        <v>110</v>
      </c>
      <c r="F2294" s="6" t="s">
        <v>111</v>
      </c>
      <c r="G2294" s="6" t="s">
        <v>501</v>
      </c>
      <c r="H2294" s="6" t="s">
        <v>502</v>
      </c>
      <c r="I2294" s="6" t="s">
        <v>31</v>
      </c>
      <c r="J2294" s="6">
        <v>18.099275447130001</v>
      </c>
      <c r="K2294" s="6">
        <v>-96.927883952209001</v>
      </c>
      <c r="L2294" s="6" t="str">
        <f>HYPERLINK("https://maps.google.com/?q=18.0992754471296,-96.927883952208902", "🔗 Ver Mapa")</f>
        <v>🔗 Ver Mapa</v>
      </c>
    </row>
    <row r="2295" spans="1:12" ht="43.5" x14ac:dyDescent="0.35">
      <c r="A2295" s="5" t="s">
        <v>98</v>
      </c>
      <c r="B2295" s="5" t="s">
        <v>99</v>
      </c>
      <c r="C2295" s="5" t="s">
        <v>500</v>
      </c>
      <c r="D2295" s="5" t="s">
        <v>14</v>
      </c>
      <c r="E2295" s="5" t="s">
        <v>110</v>
      </c>
      <c r="F2295" s="5" t="s">
        <v>111</v>
      </c>
      <c r="G2295" s="5" t="s">
        <v>501</v>
      </c>
      <c r="H2295" s="5" t="s">
        <v>502</v>
      </c>
      <c r="I2295" s="5" t="s">
        <v>31</v>
      </c>
      <c r="J2295" s="5">
        <v>18.099509150077999</v>
      </c>
      <c r="K2295" s="5">
        <v>-96.926354418860996</v>
      </c>
      <c r="L2295" s="5" t="str">
        <f>HYPERLINK("https://maps.google.com/?q=18.0995091500777,-96.926354418860697", "🔗 Ver Mapa")</f>
        <v>🔗 Ver Mapa</v>
      </c>
    </row>
    <row r="2296" spans="1:12" ht="43.5" x14ac:dyDescent="0.35">
      <c r="A2296" s="6" t="s">
        <v>98</v>
      </c>
      <c r="B2296" s="6" t="s">
        <v>99</v>
      </c>
      <c r="C2296" s="6" t="s">
        <v>500</v>
      </c>
      <c r="D2296" s="6" t="s">
        <v>14</v>
      </c>
      <c r="E2296" s="6" t="s">
        <v>110</v>
      </c>
      <c r="F2296" s="6" t="s">
        <v>111</v>
      </c>
      <c r="G2296" s="6" t="s">
        <v>501</v>
      </c>
      <c r="H2296" s="6" t="s">
        <v>502</v>
      </c>
      <c r="I2296" s="6" t="s">
        <v>31</v>
      </c>
      <c r="J2296" s="6">
        <v>18.099537006919</v>
      </c>
      <c r="K2296" s="6">
        <v>-96.927639174974004</v>
      </c>
      <c r="L2296" s="6" t="str">
        <f>HYPERLINK("https://maps.google.com/?q=18.0995370069188,-96.927639174974004", "🔗 Ver Mapa")</f>
        <v>🔗 Ver Mapa</v>
      </c>
    </row>
    <row r="2297" spans="1:12" ht="43.5" x14ac:dyDescent="0.35">
      <c r="A2297" s="5" t="s">
        <v>98</v>
      </c>
      <c r="B2297" s="5" t="s">
        <v>99</v>
      </c>
      <c r="C2297" s="5" t="s">
        <v>503</v>
      </c>
      <c r="D2297" s="5" t="s">
        <v>14</v>
      </c>
      <c r="E2297" s="5" t="s">
        <v>110</v>
      </c>
      <c r="F2297" s="5" t="s">
        <v>111</v>
      </c>
      <c r="G2297" s="5" t="s">
        <v>501</v>
      </c>
      <c r="H2297" s="5" t="s">
        <v>504</v>
      </c>
      <c r="I2297" s="5" t="s">
        <v>31</v>
      </c>
      <c r="J2297" s="5">
        <v>18.100186952891001</v>
      </c>
      <c r="K2297" s="5">
        <v>-96.875909912208996</v>
      </c>
      <c r="L2297" s="5" t="str">
        <f>HYPERLINK("https://maps.google.com/?q=18.1001869528912,-96.875909912209096", "🔗 Ver Mapa")</f>
        <v>🔗 Ver Mapa</v>
      </c>
    </row>
    <row r="2298" spans="1:12" ht="43.5" x14ac:dyDescent="0.35">
      <c r="A2298" s="6" t="s">
        <v>98</v>
      </c>
      <c r="B2298" s="6" t="s">
        <v>99</v>
      </c>
      <c r="C2298" s="6" t="s">
        <v>503</v>
      </c>
      <c r="D2298" s="6" t="s">
        <v>14</v>
      </c>
      <c r="E2298" s="6" t="s">
        <v>110</v>
      </c>
      <c r="F2298" s="6" t="s">
        <v>111</v>
      </c>
      <c r="G2298" s="6" t="s">
        <v>501</v>
      </c>
      <c r="H2298" s="6" t="s">
        <v>504</v>
      </c>
      <c r="I2298" s="6" t="s">
        <v>31</v>
      </c>
      <c r="J2298" s="6">
        <v>18.100354426165001</v>
      </c>
      <c r="K2298" s="6">
        <v>-96.875932592897001</v>
      </c>
      <c r="L2298" s="6" t="str">
        <f>HYPERLINK("https://maps.google.com/?q=18.1003544261647,-96.875932592897399", "🔗 Ver Mapa")</f>
        <v>🔗 Ver Mapa</v>
      </c>
    </row>
    <row r="2299" spans="1:12" ht="43.5" x14ac:dyDescent="0.35">
      <c r="A2299" s="5" t="s">
        <v>98</v>
      </c>
      <c r="B2299" s="5" t="s">
        <v>99</v>
      </c>
      <c r="C2299" s="5" t="s">
        <v>503</v>
      </c>
      <c r="D2299" s="5" t="s">
        <v>14</v>
      </c>
      <c r="E2299" s="5" t="s">
        <v>110</v>
      </c>
      <c r="F2299" s="5" t="s">
        <v>111</v>
      </c>
      <c r="G2299" s="5" t="s">
        <v>501</v>
      </c>
      <c r="H2299" s="5" t="s">
        <v>504</v>
      </c>
      <c r="I2299" s="5" t="s">
        <v>31</v>
      </c>
      <c r="J2299" s="5">
        <v>18.101456041167999</v>
      </c>
      <c r="K2299" s="5">
        <v>-96.878144602554002</v>
      </c>
      <c r="L2299" s="5" t="str">
        <f>HYPERLINK("https://maps.google.com/?q=18.1014560411684,-96.8781446025544", "🔗 Ver Mapa")</f>
        <v>🔗 Ver Mapa</v>
      </c>
    </row>
    <row r="2300" spans="1:12" ht="43.5" x14ac:dyDescent="0.35">
      <c r="A2300" s="6" t="s">
        <v>98</v>
      </c>
      <c r="B2300" s="6" t="s">
        <v>99</v>
      </c>
      <c r="C2300" s="6" t="s">
        <v>503</v>
      </c>
      <c r="D2300" s="6" t="s">
        <v>14</v>
      </c>
      <c r="E2300" s="6" t="s">
        <v>110</v>
      </c>
      <c r="F2300" s="6" t="s">
        <v>111</v>
      </c>
      <c r="G2300" s="6" t="s">
        <v>501</v>
      </c>
      <c r="H2300" s="6" t="s">
        <v>504</v>
      </c>
      <c r="I2300" s="6" t="s">
        <v>31</v>
      </c>
      <c r="J2300" s="6">
        <v>18.102307201670001</v>
      </c>
      <c r="K2300" s="6">
        <v>-96.872770649643996</v>
      </c>
      <c r="L2300" s="6" t="str">
        <f>HYPERLINK("https://maps.google.com/?q=18.1023072016705,-96.872770649643599", "🔗 Ver Mapa")</f>
        <v>🔗 Ver Mapa</v>
      </c>
    </row>
    <row r="2301" spans="1:12" ht="43.5" x14ac:dyDescent="0.35">
      <c r="A2301" s="5" t="s">
        <v>98</v>
      </c>
      <c r="B2301" s="5" t="s">
        <v>99</v>
      </c>
      <c r="C2301" s="5" t="s">
        <v>503</v>
      </c>
      <c r="D2301" s="5" t="s">
        <v>14</v>
      </c>
      <c r="E2301" s="5" t="s">
        <v>110</v>
      </c>
      <c r="F2301" s="5" t="s">
        <v>111</v>
      </c>
      <c r="G2301" s="5" t="s">
        <v>501</v>
      </c>
      <c r="H2301" s="5" t="s">
        <v>504</v>
      </c>
      <c r="I2301" s="5" t="s">
        <v>31</v>
      </c>
      <c r="J2301" s="5">
        <v>18.102865922764</v>
      </c>
      <c r="K2301" s="5">
        <v>-96.876306503576998</v>
      </c>
      <c r="L2301" s="5" t="str">
        <f>HYPERLINK("https://maps.google.com/?q=18.1028659227639,-96.876306503577098", "🔗 Ver Mapa")</f>
        <v>🔗 Ver Mapa</v>
      </c>
    </row>
    <row r="2302" spans="1:12" ht="43.5" x14ac:dyDescent="0.35">
      <c r="A2302" s="6" t="s">
        <v>98</v>
      </c>
      <c r="B2302" s="6" t="s">
        <v>99</v>
      </c>
      <c r="C2302" s="6" t="s">
        <v>503</v>
      </c>
      <c r="D2302" s="6" t="s">
        <v>14</v>
      </c>
      <c r="E2302" s="6" t="s">
        <v>110</v>
      </c>
      <c r="F2302" s="6" t="s">
        <v>111</v>
      </c>
      <c r="G2302" s="6" t="s">
        <v>501</v>
      </c>
      <c r="H2302" s="6" t="s">
        <v>504</v>
      </c>
      <c r="I2302" s="6" t="s">
        <v>31</v>
      </c>
      <c r="J2302" s="6">
        <v>18.103912080960999</v>
      </c>
      <c r="K2302" s="6">
        <v>-96.876430540059999</v>
      </c>
      <c r="L2302" s="6" t="str">
        <f>HYPERLINK("https://maps.google.com/?q=18.1039120809605,-96.876430540059502", "🔗 Ver Mapa")</f>
        <v>🔗 Ver Mapa</v>
      </c>
    </row>
    <row r="2303" spans="1:12" ht="43.5" x14ac:dyDescent="0.35">
      <c r="A2303" s="5" t="s">
        <v>98</v>
      </c>
      <c r="B2303" s="5" t="s">
        <v>99</v>
      </c>
      <c r="C2303" s="5" t="s">
        <v>503</v>
      </c>
      <c r="D2303" s="5" t="s">
        <v>14</v>
      </c>
      <c r="E2303" s="5" t="s">
        <v>110</v>
      </c>
      <c r="F2303" s="5" t="s">
        <v>111</v>
      </c>
      <c r="G2303" s="5" t="s">
        <v>501</v>
      </c>
      <c r="H2303" s="5" t="s">
        <v>504</v>
      </c>
      <c r="I2303" s="5" t="s">
        <v>31</v>
      </c>
      <c r="J2303" s="5">
        <v>18.104091511974001</v>
      </c>
      <c r="K2303" s="5">
        <v>-96.877765871045</v>
      </c>
      <c r="L2303" s="5" t="str">
        <f>HYPERLINK("https://maps.google.com/?q=18.1040915119745,-96.877765871045099", "🔗 Ver Mapa")</f>
        <v>🔗 Ver Mapa</v>
      </c>
    </row>
    <row r="2304" spans="1:12" ht="43.5" x14ac:dyDescent="0.35">
      <c r="A2304" s="6" t="s">
        <v>98</v>
      </c>
      <c r="B2304" s="6" t="s">
        <v>99</v>
      </c>
      <c r="C2304" s="6" t="s">
        <v>503</v>
      </c>
      <c r="D2304" s="6" t="s">
        <v>14</v>
      </c>
      <c r="E2304" s="6" t="s">
        <v>110</v>
      </c>
      <c r="F2304" s="6" t="s">
        <v>111</v>
      </c>
      <c r="G2304" s="6" t="s">
        <v>501</v>
      </c>
      <c r="H2304" s="6" t="s">
        <v>504</v>
      </c>
      <c r="I2304" s="6" t="s">
        <v>31</v>
      </c>
      <c r="J2304" s="6">
        <v>18.104352209736</v>
      </c>
      <c r="K2304" s="6">
        <v>-96.876526037123</v>
      </c>
      <c r="L2304" s="6" t="str">
        <f>HYPERLINK("https://maps.google.com/?q=18.104352209736,-96.876526037123099", "🔗 Ver Mapa")</f>
        <v>🔗 Ver Mapa</v>
      </c>
    </row>
    <row r="2305" spans="1:12" ht="43.5" x14ac:dyDescent="0.35">
      <c r="A2305" s="5" t="s">
        <v>98</v>
      </c>
      <c r="B2305" s="5" t="s">
        <v>99</v>
      </c>
      <c r="C2305" s="5" t="s">
        <v>503</v>
      </c>
      <c r="D2305" s="5" t="s">
        <v>14</v>
      </c>
      <c r="E2305" s="5" t="s">
        <v>110</v>
      </c>
      <c r="F2305" s="5" t="s">
        <v>111</v>
      </c>
      <c r="G2305" s="5" t="s">
        <v>501</v>
      </c>
      <c r="H2305" s="5" t="s">
        <v>504</v>
      </c>
      <c r="I2305" s="5" t="s">
        <v>31</v>
      </c>
      <c r="J2305" s="5">
        <v>18.104561663902999</v>
      </c>
      <c r="K2305" s="5">
        <v>-96.877328457811004</v>
      </c>
      <c r="L2305" s="5" t="str">
        <f>HYPERLINK("https://maps.google.com/?q=18.1045616639029,-96.877328457810705", "🔗 Ver Mapa")</f>
        <v>🔗 Ver Mapa</v>
      </c>
    </row>
    <row r="2306" spans="1:12" ht="43.5" x14ac:dyDescent="0.35">
      <c r="A2306" s="6" t="s">
        <v>98</v>
      </c>
      <c r="B2306" s="6" t="s">
        <v>99</v>
      </c>
      <c r="C2306" s="6" t="s">
        <v>503</v>
      </c>
      <c r="D2306" s="6" t="s">
        <v>14</v>
      </c>
      <c r="E2306" s="6" t="s">
        <v>110</v>
      </c>
      <c r="F2306" s="6" t="s">
        <v>111</v>
      </c>
      <c r="G2306" s="6" t="s">
        <v>501</v>
      </c>
      <c r="H2306" s="6" t="s">
        <v>504</v>
      </c>
      <c r="I2306" s="6" t="s">
        <v>31</v>
      </c>
      <c r="J2306" s="6">
        <v>18.105174237507999</v>
      </c>
      <c r="K2306" s="6">
        <v>-96.873080416839997</v>
      </c>
      <c r="L2306" s="6" t="str">
        <f>HYPERLINK("https://maps.google.com/?q=18.1051742375085,-96.873080416839997", "🔗 Ver Mapa")</f>
        <v>🔗 Ver Mapa</v>
      </c>
    </row>
    <row r="2307" spans="1:12" ht="43.5" x14ac:dyDescent="0.35">
      <c r="A2307" s="5" t="s">
        <v>98</v>
      </c>
      <c r="B2307" s="5" t="s">
        <v>99</v>
      </c>
      <c r="C2307" s="5" t="s">
        <v>503</v>
      </c>
      <c r="D2307" s="5" t="s">
        <v>14</v>
      </c>
      <c r="E2307" s="5" t="s">
        <v>110</v>
      </c>
      <c r="F2307" s="5" t="s">
        <v>111</v>
      </c>
      <c r="G2307" s="5" t="s">
        <v>501</v>
      </c>
      <c r="H2307" s="5" t="s">
        <v>504</v>
      </c>
      <c r="I2307" s="5" t="s">
        <v>31</v>
      </c>
      <c r="J2307" s="5">
        <v>18.105302485172</v>
      </c>
      <c r="K2307" s="5">
        <v>-96.879774851202001</v>
      </c>
      <c r="L2307" s="5" t="str">
        <f>HYPERLINK("https://maps.google.com/?q=18.1053024851724,-96.879774851201503", "🔗 Ver Mapa")</f>
        <v>🔗 Ver Mapa</v>
      </c>
    </row>
    <row r="2308" spans="1:12" ht="43.5" x14ac:dyDescent="0.35">
      <c r="A2308" s="6" t="s">
        <v>98</v>
      </c>
      <c r="B2308" s="6" t="s">
        <v>99</v>
      </c>
      <c r="C2308" s="6" t="s">
        <v>503</v>
      </c>
      <c r="D2308" s="6" t="s">
        <v>14</v>
      </c>
      <c r="E2308" s="6" t="s">
        <v>110</v>
      </c>
      <c r="F2308" s="6" t="s">
        <v>111</v>
      </c>
      <c r="G2308" s="6" t="s">
        <v>501</v>
      </c>
      <c r="H2308" s="6" t="s">
        <v>504</v>
      </c>
      <c r="I2308" s="6" t="s">
        <v>31</v>
      </c>
      <c r="J2308" s="6">
        <v>18.105364511699999</v>
      </c>
      <c r="K2308" s="6">
        <v>-96.873265552209006</v>
      </c>
      <c r="L2308" s="6" t="str">
        <f>HYPERLINK("https://maps.google.com/?q=18.1053645116998,-96.873265552209006", "🔗 Ver Mapa")</f>
        <v>🔗 Ver Mapa</v>
      </c>
    </row>
    <row r="2309" spans="1:12" ht="43.5" x14ac:dyDescent="0.35">
      <c r="A2309" s="5" t="s">
        <v>98</v>
      </c>
      <c r="B2309" s="5" t="s">
        <v>99</v>
      </c>
      <c r="C2309" s="5" t="s">
        <v>503</v>
      </c>
      <c r="D2309" s="5" t="s">
        <v>14</v>
      </c>
      <c r="E2309" s="5" t="s">
        <v>110</v>
      </c>
      <c r="F2309" s="5" t="s">
        <v>111</v>
      </c>
      <c r="G2309" s="5" t="s">
        <v>501</v>
      </c>
      <c r="H2309" s="5" t="s">
        <v>504</v>
      </c>
      <c r="I2309" s="5" t="s">
        <v>31</v>
      </c>
      <c r="J2309" s="5">
        <v>18.105612654508001</v>
      </c>
      <c r="K2309" s="5">
        <v>-96.879676662090006</v>
      </c>
      <c r="L2309" s="5" t="str">
        <f>HYPERLINK("https://maps.google.com/?q=18.1056126545082,-96.879676662090205", "🔗 Ver Mapa")</f>
        <v>🔗 Ver Mapa</v>
      </c>
    </row>
    <row r="2310" spans="1:12" ht="43.5" x14ac:dyDescent="0.35">
      <c r="A2310" s="6" t="s">
        <v>98</v>
      </c>
      <c r="B2310" s="6" t="s">
        <v>99</v>
      </c>
      <c r="C2310" s="6" t="s">
        <v>503</v>
      </c>
      <c r="D2310" s="6" t="s">
        <v>14</v>
      </c>
      <c r="E2310" s="6" t="s">
        <v>110</v>
      </c>
      <c r="F2310" s="6" t="s">
        <v>111</v>
      </c>
      <c r="G2310" s="6" t="s">
        <v>501</v>
      </c>
      <c r="H2310" s="6" t="s">
        <v>504</v>
      </c>
      <c r="I2310" s="6" t="s">
        <v>31</v>
      </c>
      <c r="J2310" s="6">
        <v>18.105635834091999</v>
      </c>
      <c r="K2310" s="6">
        <v>-96.872809164418001</v>
      </c>
      <c r="L2310" s="6" t="str">
        <f>HYPERLINK("https://maps.google.com/?q=18.1056358340924,-96.872809164418001", "🔗 Ver Mapa")</f>
        <v>🔗 Ver Mapa</v>
      </c>
    </row>
    <row r="2311" spans="1:12" ht="43.5" x14ac:dyDescent="0.35">
      <c r="A2311" s="5" t="s">
        <v>98</v>
      </c>
      <c r="B2311" s="5" t="s">
        <v>99</v>
      </c>
      <c r="C2311" s="5" t="s">
        <v>503</v>
      </c>
      <c r="D2311" s="5" t="s">
        <v>14</v>
      </c>
      <c r="E2311" s="5" t="s">
        <v>110</v>
      </c>
      <c r="F2311" s="5" t="s">
        <v>111</v>
      </c>
      <c r="G2311" s="5" t="s">
        <v>501</v>
      </c>
      <c r="H2311" s="5" t="s">
        <v>504</v>
      </c>
      <c r="I2311" s="5" t="s">
        <v>31</v>
      </c>
      <c r="J2311" s="5">
        <v>18.105710248114001</v>
      </c>
      <c r="K2311" s="5">
        <v>-96.879697640589995</v>
      </c>
      <c r="L2311" s="5" t="str">
        <f>HYPERLINK("https://maps.google.com/?q=18.1057102481142,-96.879697640590294", "🔗 Ver Mapa")</f>
        <v>🔗 Ver Mapa</v>
      </c>
    </row>
    <row r="2312" spans="1:12" ht="43.5" x14ac:dyDescent="0.35">
      <c r="A2312" s="6" t="s">
        <v>98</v>
      </c>
      <c r="B2312" s="6" t="s">
        <v>99</v>
      </c>
      <c r="C2312" s="6" t="s">
        <v>503</v>
      </c>
      <c r="D2312" s="6" t="s">
        <v>14</v>
      </c>
      <c r="E2312" s="6" t="s">
        <v>110</v>
      </c>
      <c r="F2312" s="6" t="s">
        <v>111</v>
      </c>
      <c r="G2312" s="6" t="s">
        <v>501</v>
      </c>
      <c r="H2312" s="6" t="s">
        <v>504</v>
      </c>
      <c r="I2312" s="6" t="s">
        <v>31</v>
      </c>
      <c r="J2312" s="6">
        <v>18.105862976453999</v>
      </c>
      <c r="K2312" s="6">
        <v>-96.879771858954996</v>
      </c>
      <c r="L2312" s="6" t="str">
        <f>HYPERLINK("https://maps.google.com/?q=18.1058629764538,-96.879771858954896", "🔗 Ver Mapa")</f>
        <v>🔗 Ver Mapa</v>
      </c>
    </row>
    <row r="2313" spans="1:12" ht="43.5" x14ac:dyDescent="0.35">
      <c r="A2313" s="5" t="s">
        <v>98</v>
      </c>
      <c r="B2313" s="5" t="s">
        <v>99</v>
      </c>
      <c r="C2313" s="5" t="s">
        <v>503</v>
      </c>
      <c r="D2313" s="5" t="s">
        <v>14</v>
      </c>
      <c r="E2313" s="5" t="s">
        <v>110</v>
      </c>
      <c r="F2313" s="5" t="s">
        <v>111</v>
      </c>
      <c r="G2313" s="5" t="s">
        <v>501</v>
      </c>
      <c r="H2313" s="5" t="s">
        <v>504</v>
      </c>
      <c r="I2313" s="5" t="s">
        <v>31</v>
      </c>
      <c r="J2313" s="5">
        <v>18.105996572582999</v>
      </c>
      <c r="K2313" s="5">
        <v>-96.869919154363004</v>
      </c>
      <c r="L2313" s="5" t="str">
        <f>HYPERLINK("https://maps.google.com/?q=18.1059965725827,-96.869919154363203", "🔗 Ver Mapa")</f>
        <v>🔗 Ver Mapa</v>
      </c>
    </row>
    <row r="2314" spans="1:12" ht="43.5" x14ac:dyDescent="0.35">
      <c r="A2314" s="6" t="s">
        <v>98</v>
      </c>
      <c r="B2314" s="6" t="s">
        <v>99</v>
      </c>
      <c r="C2314" s="6" t="s">
        <v>503</v>
      </c>
      <c r="D2314" s="6" t="s">
        <v>14</v>
      </c>
      <c r="E2314" s="6" t="s">
        <v>110</v>
      </c>
      <c r="F2314" s="6" t="s">
        <v>111</v>
      </c>
      <c r="G2314" s="6" t="s">
        <v>501</v>
      </c>
      <c r="H2314" s="6" t="s">
        <v>504</v>
      </c>
      <c r="I2314" s="6" t="s">
        <v>31</v>
      </c>
      <c r="J2314" s="6">
        <v>18.106039797562001</v>
      </c>
      <c r="K2314" s="6">
        <v>-96.868328358792994</v>
      </c>
      <c r="L2314" s="6" t="str">
        <f>HYPERLINK("https://maps.google.com/?q=18.1060397975619,-96.868328358793093", "🔗 Ver Mapa")</f>
        <v>🔗 Ver Mapa</v>
      </c>
    </row>
    <row r="2315" spans="1:12" ht="43.5" x14ac:dyDescent="0.35">
      <c r="A2315" s="5" t="s">
        <v>98</v>
      </c>
      <c r="B2315" s="5" t="s">
        <v>99</v>
      </c>
      <c r="C2315" s="5" t="s">
        <v>503</v>
      </c>
      <c r="D2315" s="5" t="s">
        <v>14</v>
      </c>
      <c r="E2315" s="5" t="s">
        <v>110</v>
      </c>
      <c r="F2315" s="5" t="s">
        <v>111</v>
      </c>
      <c r="G2315" s="5" t="s">
        <v>501</v>
      </c>
      <c r="H2315" s="5" t="s">
        <v>504</v>
      </c>
      <c r="I2315" s="5" t="s">
        <v>31</v>
      </c>
      <c r="J2315" s="5">
        <v>18.106057324201</v>
      </c>
      <c r="K2315" s="5">
        <v>-96.868571559969993</v>
      </c>
      <c r="L2315" s="5" t="str">
        <f>HYPERLINK("https://maps.google.com/?q=18.1060573242013,-96.868571559970405", "🔗 Ver Mapa")</f>
        <v>🔗 Ver Mapa</v>
      </c>
    </row>
    <row r="2316" spans="1:12" ht="43.5" x14ac:dyDescent="0.35">
      <c r="A2316" s="6" t="s">
        <v>98</v>
      </c>
      <c r="B2316" s="6" t="s">
        <v>99</v>
      </c>
      <c r="C2316" s="6" t="s">
        <v>503</v>
      </c>
      <c r="D2316" s="6" t="s">
        <v>14</v>
      </c>
      <c r="E2316" s="6" t="s">
        <v>110</v>
      </c>
      <c r="F2316" s="6" t="s">
        <v>111</v>
      </c>
      <c r="G2316" s="6" t="s">
        <v>501</v>
      </c>
      <c r="H2316" s="6" t="s">
        <v>504</v>
      </c>
      <c r="I2316" s="6" t="s">
        <v>31</v>
      </c>
      <c r="J2316" s="6">
        <v>18.106196166783999</v>
      </c>
      <c r="K2316" s="6">
        <v>-96.868928010396999</v>
      </c>
      <c r="L2316" s="6" t="str">
        <f>HYPERLINK("https://maps.google.com/?q=18.1061961667835,-96.8689280103969", "🔗 Ver Mapa")</f>
        <v>🔗 Ver Mapa</v>
      </c>
    </row>
    <row r="2317" spans="1:12" ht="43.5" x14ac:dyDescent="0.35">
      <c r="A2317" s="5" t="s">
        <v>98</v>
      </c>
      <c r="B2317" s="5" t="s">
        <v>99</v>
      </c>
      <c r="C2317" s="5" t="s">
        <v>503</v>
      </c>
      <c r="D2317" s="5" t="s">
        <v>14</v>
      </c>
      <c r="E2317" s="5" t="s">
        <v>110</v>
      </c>
      <c r="F2317" s="5" t="s">
        <v>111</v>
      </c>
      <c r="G2317" s="5" t="s">
        <v>501</v>
      </c>
      <c r="H2317" s="5" t="s">
        <v>504</v>
      </c>
      <c r="I2317" s="5" t="s">
        <v>31</v>
      </c>
      <c r="J2317" s="5">
        <v>18.106196885325001</v>
      </c>
      <c r="K2317" s="5">
        <v>-96.879535758955001</v>
      </c>
      <c r="L2317" s="5" t="str">
        <f>HYPERLINK("https://maps.google.com/?q=18.1061968853255,-96.879535758954603", "🔗 Ver Mapa")</f>
        <v>🔗 Ver Mapa</v>
      </c>
    </row>
    <row r="2318" spans="1:12" ht="43.5" x14ac:dyDescent="0.35">
      <c r="A2318" s="6" t="s">
        <v>98</v>
      </c>
      <c r="B2318" s="6" t="s">
        <v>99</v>
      </c>
      <c r="C2318" s="6" t="s">
        <v>503</v>
      </c>
      <c r="D2318" s="6" t="s">
        <v>14</v>
      </c>
      <c r="E2318" s="6" t="s">
        <v>110</v>
      </c>
      <c r="F2318" s="6" t="s">
        <v>111</v>
      </c>
      <c r="G2318" s="6" t="s">
        <v>501</v>
      </c>
      <c r="H2318" s="6" t="s">
        <v>504</v>
      </c>
      <c r="I2318" s="6" t="s">
        <v>31</v>
      </c>
      <c r="J2318" s="6">
        <v>18.106212620299001</v>
      </c>
      <c r="K2318" s="6">
        <v>-96.869185490009002</v>
      </c>
      <c r="L2318" s="6" t="str">
        <f>HYPERLINK("https://maps.google.com/?q=18.1062126202993,-96.869185490009102", "🔗 Ver Mapa")</f>
        <v>🔗 Ver Mapa</v>
      </c>
    </row>
    <row r="2319" spans="1:12" ht="43.5" x14ac:dyDescent="0.35">
      <c r="A2319" s="5" t="s">
        <v>98</v>
      </c>
      <c r="B2319" s="5" t="s">
        <v>99</v>
      </c>
      <c r="C2319" s="5" t="s">
        <v>503</v>
      </c>
      <c r="D2319" s="5" t="s">
        <v>14</v>
      </c>
      <c r="E2319" s="5" t="s">
        <v>110</v>
      </c>
      <c r="F2319" s="5" t="s">
        <v>111</v>
      </c>
      <c r="G2319" s="5" t="s">
        <v>501</v>
      </c>
      <c r="H2319" s="5" t="s">
        <v>504</v>
      </c>
      <c r="I2319" s="5" t="s">
        <v>31</v>
      </c>
      <c r="J2319" s="5">
        <v>18.106981147936001</v>
      </c>
      <c r="K2319" s="5">
        <v>-96.871448318836002</v>
      </c>
      <c r="L2319" s="5" t="str">
        <f>HYPERLINK("https://maps.google.com/?q=18.106981147936,-96.871448318836102", "🔗 Ver Mapa")</f>
        <v>🔗 Ver Mapa</v>
      </c>
    </row>
    <row r="2320" spans="1:12" ht="43.5" x14ac:dyDescent="0.35">
      <c r="A2320" s="6" t="s">
        <v>98</v>
      </c>
      <c r="B2320" s="6" t="s">
        <v>99</v>
      </c>
      <c r="C2320" s="6" t="s">
        <v>503</v>
      </c>
      <c r="D2320" s="6" t="s">
        <v>14</v>
      </c>
      <c r="E2320" s="6" t="s">
        <v>110</v>
      </c>
      <c r="F2320" s="6" t="s">
        <v>111</v>
      </c>
      <c r="G2320" s="6" t="s">
        <v>501</v>
      </c>
      <c r="H2320" s="6" t="s">
        <v>504</v>
      </c>
      <c r="I2320" s="6" t="s">
        <v>31</v>
      </c>
      <c r="J2320" s="6">
        <v>18.106982534838998</v>
      </c>
      <c r="K2320" s="6">
        <v>-96.871977669594003</v>
      </c>
      <c r="L2320" s="6" t="str">
        <f>HYPERLINK("https://maps.google.com/?q=18.1069825348392,-96.871977669593804", "🔗 Ver Mapa")</f>
        <v>🔗 Ver Mapa</v>
      </c>
    </row>
    <row r="2321" spans="1:12" ht="43.5" x14ac:dyDescent="0.35">
      <c r="A2321" s="5" t="s">
        <v>98</v>
      </c>
      <c r="B2321" s="5" t="s">
        <v>99</v>
      </c>
      <c r="C2321" s="5" t="s">
        <v>503</v>
      </c>
      <c r="D2321" s="5" t="s">
        <v>14</v>
      </c>
      <c r="E2321" s="5" t="s">
        <v>110</v>
      </c>
      <c r="F2321" s="5" t="s">
        <v>111</v>
      </c>
      <c r="G2321" s="5" t="s">
        <v>501</v>
      </c>
      <c r="H2321" s="5" t="s">
        <v>504</v>
      </c>
      <c r="I2321" s="5" t="s">
        <v>31</v>
      </c>
      <c r="J2321" s="5">
        <v>18.107335368569</v>
      </c>
      <c r="K2321" s="5">
        <v>-96.869711481614999</v>
      </c>
      <c r="L2321" s="5" t="str">
        <f>HYPERLINK("https://maps.google.com/?q=18.1073353685687,-96.869711481614601", "🔗 Ver Mapa")</f>
        <v>🔗 Ver Mapa</v>
      </c>
    </row>
    <row r="2322" spans="1:12" ht="43.5" x14ac:dyDescent="0.35">
      <c r="A2322" s="6" t="s">
        <v>98</v>
      </c>
      <c r="B2322" s="6" t="s">
        <v>99</v>
      </c>
      <c r="C2322" s="6" t="s">
        <v>503</v>
      </c>
      <c r="D2322" s="6" t="s">
        <v>14</v>
      </c>
      <c r="E2322" s="6" t="s">
        <v>110</v>
      </c>
      <c r="F2322" s="6" t="s">
        <v>111</v>
      </c>
      <c r="G2322" s="6" t="s">
        <v>501</v>
      </c>
      <c r="H2322" s="6" t="s">
        <v>504</v>
      </c>
      <c r="I2322" s="6" t="s">
        <v>31</v>
      </c>
      <c r="J2322" s="6">
        <v>18.107382612266999</v>
      </c>
      <c r="K2322" s="6">
        <v>-96.869592722209006</v>
      </c>
      <c r="L2322" s="6" t="str">
        <f>HYPERLINK("https://maps.google.com/?q=18.1073826122668,-96.869592722208907", "🔗 Ver Mapa")</f>
        <v>🔗 Ver Mapa</v>
      </c>
    </row>
    <row r="2323" spans="1:12" ht="43.5" x14ac:dyDescent="0.35">
      <c r="A2323" s="5" t="s">
        <v>98</v>
      </c>
      <c r="B2323" s="5" t="s">
        <v>99</v>
      </c>
      <c r="C2323" s="5" t="s">
        <v>503</v>
      </c>
      <c r="D2323" s="5" t="s">
        <v>14</v>
      </c>
      <c r="E2323" s="5" t="s">
        <v>110</v>
      </c>
      <c r="F2323" s="5" t="s">
        <v>111</v>
      </c>
      <c r="G2323" s="5" t="s">
        <v>501</v>
      </c>
      <c r="H2323" s="5" t="s">
        <v>504</v>
      </c>
      <c r="I2323" s="5" t="s">
        <v>31</v>
      </c>
      <c r="J2323" s="5">
        <v>18.107486421011</v>
      </c>
      <c r="K2323" s="5">
        <v>-96.872114290238002</v>
      </c>
      <c r="L2323" s="5" t="str">
        <f>HYPERLINK("https://maps.google.com/?q=18.1074864210114,-96.872114290237704", "🔗 Ver Mapa")</f>
        <v>🔗 Ver Mapa</v>
      </c>
    </row>
    <row r="2324" spans="1:12" ht="43.5" x14ac:dyDescent="0.35">
      <c r="A2324" s="6" t="s">
        <v>98</v>
      </c>
      <c r="B2324" s="6" t="s">
        <v>99</v>
      </c>
      <c r="C2324" s="6" t="s">
        <v>503</v>
      </c>
      <c r="D2324" s="6" t="s">
        <v>14</v>
      </c>
      <c r="E2324" s="6" t="s">
        <v>110</v>
      </c>
      <c r="F2324" s="6" t="s">
        <v>111</v>
      </c>
      <c r="G2324" s="6" t="s">
        <v>501</v>
      </c>
      <c r="H2324" s="6" t="s">
        <v>504</v>
      </c>
      <c r="I2324" s="6" t="s">
        <v>31</v>
      </c>
      <c r="J2324" s="6">
        <v>18.107492370384001</v>
      </c>
      <c r="K2324" s="6">
        <v>-96.869699728360999</v>
      </c>
      <c r="L2324" s="6" t="str">
        <f>HYPERLINK("https://maps.google.com/?q=18.1074923703841,-96.869699728360601", "🔗 Ver Mapa")</f>
        <v>🔗 Ver Mapa</v>
      </c>
    </row>
    <row r="2325" spans="1:12" ht="43.5" x14ac:dyDescent="0.35">
      <c r="A2325" s="5" t="s">
        <v>98</v>
      </c>
      <c r="B2325" s="5" t="s">
        <v>99</v>
      </c>
      <c r="C2325" s="5" t="s">
        <v>503</v>
      </c>
      <c r="D2325" s="5" t="s">
        <v>14</v>
      </c>
      <c r="E2325" s="5" t="s">
        <v>110</v>
      </c>
      <c r="F2325" s="5" t="s">
        <v>111</v>
      </c>
      <c r="G2325" s="5" t="s">
        <v>501</v>
      </c>
      <c r="H2325" s="5" t="s">
        <v>504</v>
      </c>
      <c r="I2325" s="5" t="s">
        <v>31</v>
      </c>
      <c r="J2325" s="5">
        <v>18.107836356256001</v>
      </c>
      <c r="K2325" s="5">
        <v>-96.869695717439001</v>
      </c>
      <c r="L2325" s="5" t="str">
        <f>HYPERLINK("https://maps.google.com/?q=18.1078363562556,-96.869695717439399", "🔗 Ver Mapa")</f>
        <v>🔗 Ver Mapa</v>
      </c>
    </row>
    <row r="2326" spans="1:12" ht="43.5" x14ac:dyDescent="0.35">
      <c r="A2326" s="6" t="s">
        <v>98</v>
      </c>
      <c r="B2326" s="6" t="s">
        <v>99</v>
      </c>
      <c r="C2326" s="6" t="s">
        <v>503</v>
      </c>
      <c r="D2326" s="6" t="s">
        <v>14</v>
      </c>
      <c r="E2326" s="6" t="s">
        <v>110</v>
      </c>
      <c r="F2326" s="6" t="s">
        <v>111</v>
      </c>
      <c r="G2326" s="6" t="s">
        <v>501</v>
      </c>
      <c r="H2326" s="6" t="s">
        <v>504</v>
      </c>
      <c r="I2326" s="6" t="s">
        <v>31</v>
      </c>
      <c r="J2326" s="6">
        <v>18.109297014237999</v>
      </c>
      <c r="K2326" s="6">
        <v>-96.872354965260001</v>
      </c>
      <c r="L2326" s="6" t="str">
        <f>HYPERLINK("https://maps.google.com/?q=18.1092970142382,-96.872354965259703", "🔗 Ver Mapa")</f>
        <v>🔗 Ver Mapa</v>
      </c>
    </row>
    <row r="2327" spans="1:12" ht="58" x14ac:dyDescent="0.35">
      <c r="A2327" s="5" t="s">
        <v>98</v>
      </c>
      <c r="B2327" s="5" t="s">
        <v>99</v>
      </c>
      <c r="C2327" s="5" t="s">
        <v>505</v>
      </c>
      <c r="D2327" s="5" t="s">
        <v>14</v>
      </c>
      <c r="E2327" s="5" t="s">
        <v>16</v>
      </c>
      <c r="F2327" s="5" t="s">
        <v>21</v>
      </c>
      <c r="G2327" s="5" t="s">
        <v>506</v>
      </c>
      <c r="H2327" s="5" t="s">
        <v>507</v>
      </c>
      <c r="I2327" s="5" t="s">
        <v>31</v>
      </c>
      <c r="J2327" s="5">
        <v>17.054176999999999</v>
      </c>
      <c r="K2327" s="5">
        <v>-97.668458999999999</v>
      </c>
      <c r="L2327" s="5" t="str">
        <f>HYPERLINK("https://maps.google.com/?q=17.054177,-97.668458999999999", "🔗 Ver Mapa")</f>
        <v>🔗 Ver Mapa</v>
      </c>
    </row>
    <row r="2328" spans="1:12" ht="58" x14ac:dyDescent="0.35">
      <c r="A2328" s="6" t="s">
        <v>98</v>
      </c>
      <c r="B2328" s="6" t="s">
        <v>99</v>
      </c>
      <c r="C2328" s="6" t="s">
        <v>505</v>
      </c>
      <c r="D2328" s="6" t="s">
        <v>14</v>
      </c>
      <c r="E2328" s="6" t="s">
        <v>16</v>
      </c>
      <c r="F2328" s="6" t="s">
        <v>21</v>
      </c>
      <c r="G2328" s="6" t="s">
        <v>506</v>
      </c>
      <c r="H2328" s="6" t="s">
        <v>507</v>
      </c>
      <c r="I2328" s="6" t="s">
        <v>31</v>
      </c>
      <c r="J2328" s="6">
        <v>17.054382</v>
      </c>
      <c r="K2328" s="6">
        <v>-97.670100000000005</v>
      </c>
      <c r="L2328" s="6" t="str">
        <f>HYPERLINK("https://maps.google.com/?q=17.054382,-97.670100000000005", "🔗 Ver Mapa")</f>
        <v>🔗 Ver Mapa</v>
      </c>
    </row>
    <row r="2329" spans="1:12" ht="58" x14ac:dyDescent="0.35">
      <c r="A2329" s="5" t="s">
        <v>98</v>
      </c>
      <c r="B2329" s="5" t="s">
        <v>99</v>
      </c>
      <c r="C2329" s="5" t="s">
        <v>505</v>
      </c>
      <c r="D2329" s="5" t="s">
        <v>14</v>
      </c>
      <c r="E2329" s="5" t="s">
        <v>16</v>
      </c>
      <c r="F2329" s="5" t="s">
        <v>21</v>
      </c>
      <c r="G2329" s="5" t="s">
        <v>506</v>
      </c>
      <c r="H2329" s="5" t="s">
        <v>507</v>
      </c>
      <c r="I2329" s="5" t="s">
        <v>31</v>
      </c>
      <c r="J2329" s="5">
        <v>17.055752999999999</v>
      </c>
      <c r="K2329" s="5">
        <v>-97.671665000000004</v>
      </c>
      <c r="L2329" s="5" t="str">
        <f>HYPERLINK("https://maps.google.com/?q=17.055753,-97.671665000000004", "🔗 Ver Mapa")</f>
        <v>🔗 Ver Mapa</v>
      </c>
    </row>
    <row r="2330" spans="1:12" ht="58" x14ac:dyDescent="0.35">
      <c r="A2330" s="6" t="s">
        <v>98</v>
      </c>
      <c r="B2330" s="6" t="s">
        <v>99</v>
      </c>
      <c r="C2330" s="6" t="s">
        <v>505</v>
      </c>
      <c r="D2330" s="6" t="s">
        <v>14</v>
      </c>
      <c r="E2330" s="6" t="s">
        <v>16</v>
      </c>
      <c r="F2330" s="6" t="s">
        <v>21</v>
      </c>
      <c r="G2330" s="6" t="s">
        <v>506</v>
      </c>
      <c r="H2330" s="6" t="s">
        <v>507</v>
      </c>
      <c r="I2330" s="6" t="s">
        <v>31</v>
      </c>
      <c r="J2330" s="6">
        <v>17.056175</v>
      </c>
      <c r="K2330" s="6">
        <v>-97.668718999999996</v>
      </c>
      <c r="L2330" s="6" t="str">
        <f>HYPERLINK("https://maps.google.com/?q=17.056175,-97.668718999999996", "🔗 Ver Mapa")</f>
        <v>🔗 Ver Mapa</v>
      </c>
    </row>
    <row r="2331" spans="1:12" ht="58" x14ac:dyDescent="0.35">
      <c r="A2331" s="5" t="s">
        <v>98</v>
      </c>
      <c r="B2331" s="5" t="s">
        <v>99</v>
      </c>
      <c r="C2331" s="5" t="s">
        <v>505</v>
      </c>
      <c r="D2331" s="5" t="s">
        <v>14</v>
      </c>
      <c r="E2331" s="5" t="s">
        <v>16</v>
      </c>
      <c r="F2331" s="5" t="s">
        <v>21</v>
      </c>
      <c r="G2331" s="5" t="s">
        <v>506</v>
      </c>
      <c r="H2331" s="5" t="s">
        <v>507</v>
      </c>
      <c r="I2331" s="5" t="s">
        <v>31</v>
      </c>
      <c r="J2331" s="5">
        <v>17.056388999999999</v>
      </c>
      <c r="K2331" s="5">
        <v>-97.669613999999996</v>
      </c>
      <c r="L2331" s="5" t="str">
        <f>HYPERLINK("https://maps.google.com/?q=17.056389,-97.669613999999996", "🔗 Ver Mapa")</f>
        <v>🔗 Ver Mapa</v>
      </c>
    </row>
    <row r="2332" spans="1:12" ht="58" x14ac:dyDescent="0.35">
      <c r="A2332" s="6" t="s">
        <v>98</v>
      </c>
      <c r="B2332" s="6" t="s">
        <v>99</v>
      </c>
      <c r="C2332" s="6" t="s">
        <v>505</v>
      </c>
      <c r="D2332" s="6" t="s">
        <v>14</v>
      </c>
      <c r="E2332" s="6" t="s">
        <v>16</v>
      </c>
      <c r="F2332" s="6" t="s">
        <v>21</v>
      </c>
      <c r="G2332" s="6" t="s">
        <v>506</v>
      </c>
      <c r="H2332" s="6" t="s">
        <v>507</v>
      </c>
      <c r="I2332" s="6" t="s">
        <v>31</v>
      </c>
      <c r="J2332" s="6">
        <v>17.058333000000001</v>
      </c>
      <c r="K2332" s="6">
        <v>-97.668130000000005</v>
      </c>
      <c r="L2332" s="6" t="str">
        <f>HYPERLINK("https://maps.google.com/?q=17.058333,-97.668130000000005", "🔗 Ver Mapa")</f>
        <v>🔗 Ver Mapa</v>
      </c>
    </row>
    <row r="2333" spans="1:12" ht="58" x14ac:dyDescent="0.35">
      <c r="A2333" s="5" t="s">
        <v>98</v>
      </c>
      <c r="B2333" s="5" t="s">
        <v>99</v>
      </c>
      <c r="C2333" s="5" t="s">
        <v>505</v>
      </c>
      <c r="D2333" s="5" t="s">
        <v>14</v>
      </c>
      <c r="E2333" s="5" t="s">
        <v>16</v>
      </c>
      <c r="F2333" s="5" t="s">
        <v>21</v>
      </c>
      <c r="G2333" s="5" t="s">
        <v>506</v>
      </c>
      <c r="H2333" s="5" t="s">
        <v>507</v>
      </c>
      <c r="I2333" s="5" t="s">
        <v>31</v>
      </c>
      <c r="J2333" s="5">
        <v>17.060307000000002</v>
      </c>
      <c r="K2333" s="5">
        <v>-97.665953000000002</v>
      </c>
      <c r="L2333" s="5" t="str">
        <f>HYPERLINK("https://maps.google.com/?q=17.060307,-97.665953000000002", "🔗 Ver Mapa")</f>
        <v>🔗 Ver Mapa</v>
      </c>
    </row>
    <row r="2334" spans="1:12" ht="58" x14ac:dyDescent="0.35">
      <c r="A2334" s="6" t="s">
        <v>98</v>
      </c>
      <c r="B2334" s="6" t="s">
        <v>99</v>
      </c>
      <c r="C2334" s="6" t="s">
        <v>505</v>
      </c>
      <c r="D2334" s="6" t="s">
        <v>14</v>
      </c>
      <c r="E2334" s="6" t="s">
        <v>16</v>
      </c>
      <c r="F2334" s="6" t="s">
        <v>21</v>
      </c>
      <c r="G2334" s="6" t="s">
        <v>506</v>
      </c>
      <c r="H2334" s="6" t="s">
        <v>507</v>
      </c>
      <c r="I2334" s="6" t="s">
        <v>31</v>
      </c>
      <c r="J2334" s="6">
        <v>17.062011999999999</v>
      </c>
      <c r="K2334" s="6">
        <v>-97.675686999999996</v>
      </c>
      <c r="L2334" s="6" t="str">
        <f>HYPERLINK("https://maps.google.com/?q=17.062012,-97.675686999999996", "🔗 Ver Mapa")</f>
        <v>🔗 Ver Mapa</v>
      </c>
    </row>
    <row r="2335" spans="1:12" ht="58" x14ac:dyDescent="0.35">
      <c r="A2335" s="5" t="s">
        <v>98</v>
      </c>
      <c r="B2335" s="5" t="s">
        <v>99</v>
      </c>
      <c r="C2335" s="5" t="s">
        <v>505</v>
      </c>
      <c r="D2335" s="5" t="s">
        <v>14</v>
      </c>
      <c r="E2335" s="5" t="s">
        <v>16</v>
      </c>
      <c r="F2335" s="5" t="s">
        <v>21</v>
      </c>
      <c r="G2335" s="5" t="s">
        <v>506</v>
      </c>
      <c r="H2335" s="5" t="s">
        <v>507</v>
      </c>
      <c r="I2335" s="5" t="s">
        <v>31</v>
      </c>
      <c r="J2335" s="5">
        <v>17.062298999999999</v>
      </c>
      <c r="K2335" s="5">
        <v>-97.670958999999996</v>
      </c>
      <c r="L2335" s="5" t="str">
        <f>HYPERLINK("https://maps.google.com/?q=17.062299,-97.670958999999996", "🔗 Ver Mapa")</f>
        <v>🔗 Ver Mapa</v>
      </c>
    </row>
    <row r="2336" spans="1:12" ht="58" x14ac:dyDescent="0.35">
      <c r="A2336" s="6" t="s">
        <v>98</v>
      </c>
      <c r="B2336" s="6" t="s">
        <v>99</v>
      </c>
      <c r="C2336" s="6" t="s">
        <v>505</v>
      </c>
      <c r="D2336" s="6" t="s">
        <v>14</v>
      </c>
      <c r="E2336" s="6" t="s">
        <v>16</v>
      </c>
      <c r="F2336" s="6" t="s">
        <v>21</v>
      </c>
      <c r="G2336" s="6" t="s">
        <v>506</v>
      </c>
      <c r="H2336" s="6" t="s">
        <v>507</v>
      </c>
      <c r="I2336" s="6" t="s">
        <v>31</v>
      </c>
      <c r="J2336" s="6">
        <v>17.063624999999998</v>
      </c>
      <c r="K2336" s="6">
        <v>-97.672938000000002</v>
      </c>
      <c r="L2336" s="6" t="str">
        <f>HYPERLINK("https://maps.google.com/?q=17.063625,-97.672938000000002", "🔗 Ver Mapa")</f>
        <v>🔗 Ver Mapa</v>
      </c>
    </row>
    <row r="2337" spans="1:12" ht="58" x14ac:dyDescent="0.35">
      <c r="A2337" s="5" t="s">
        <v>98</v>
      </c>
      <c r="B2337" s="5" t="s">
        <v>99</v>
      </c>
      <c r="C2337" s="5" t="s">
        <v>505</v>
      </c>
      <c r="D2337" s="5" t="s">
        <v>14</v>
      </c>
      <c r="E2337" s="5" t="s">
        <v>16</v>
      </c>
      <c r="F2337" s="5" t="s">
        <v>21</v>
      </c>
      <c r="G2337" s="5" t="s">
        <v>506</v>
      </c>
      <c r="H2337" s="5" t="s">
        <v>507</v>
      </c>
      <c r="I2337" s="5" t="s">
        <v>31</v>
      </c>
      <c r="J2337" s="5">
        <v>17.064758999999999</v>
      </c>
      <c r="K2337" s="5">
        <v>-97.673681999999999</v>
      </c>
      <c r="L2337" s="5" t="str">
        <f>HYPERLINK("https://maps.google.com/?q=17.064759,-97.673681999999999", "🔗 Ver Mapa")</f>
        <v>🔗 Ver Mapa</v>
      </c>
    </row>
    <row r="2338" spans="1:12" ht="58" x14ac:dyDescent="0.35">
      <c r="A2338" s="6" t="s">
        <v>98</v>
      </c>
      <c r="B2338" s="6" t="s">
        <v>99</v>
      </c>
      <c r="C2338" s="6" t="s">
        <v>505</v>
      </c>
      <c r="D2338" s="6" t="s">
        <v>14</v>
      </c>
      <c r="E2338" s="6" t="s">
        <v>16</v>
      </c>
      <c r="F2338" s="6" t="s">
        <v>21</v>
      </c>
      <c r="G2338" s="6" t="s">
        <v>506</v>
      </c>
      <c r="H2338" s="6" t="s">
        <v>507</v>
      </c>
      <c r="I2338" s="6" t="s">
        <v>31</v>
      </c>
      <c r="J2338" s="6">
        <v>17.067157999999999</v>
      </c>
      <c r="K2338" s="6">
        <v>-97.679584000000006</v>
      </c>
      <c r="L2338" s="6" t="str">
        <f>HYPERLINK("https://maps.google.com/?q=17.067158,-97.679584000000006", "🔗 Ver Mapa")</f>
        <v>🔗 Ver Mapa</v>
      </c>
    </row>
    <row r="2339" spans="1:12" ht="58" x14ac:dyDescent="0.35">
      <c r="A2339" s="5" t="s">
        <v>98</v>
      </c>
      <c r="B2339" s="5" t="s">
        <v>99</v>
      </c>
      <c r="C2339" s="5" t="s">
        <v>505</v>
      </c>
      <c r="D2339" s="5" t="s">
        <v>14</v>
      </c>
      <c r="E2339" s="5" t="s">
        <v>16</v>
      </c>
      <c r="F2339" s="5" t="s">
        <v>21</v>
      </c>
      <c r="G2339" s="5" t="s">
        <v>506</v>
      </c>
      <c r="H2339" s="5" t="s">
        <v>507</v>
      </c>
      <c r="I2339" s="5" t="s">
        <v>31</v>
      </c>
      <c r="J2339" s="5">
        <v>17.067494</v>
      </c>
      <c r="K2339" s="5">
        <v>-97.680957000000006</v>
      </c>
      <c r="L2339" s="5" t="str">
        <f>HYPERLINK("https://maps.google.com/?q=17.067494,-97.680957000000006", "🔗 Ver Mapa")</f>
        <v>🔗 Ver Mapa</v>
      </c>
    </row>
    <row r="2340" spans="1:12" ht="58" x14ac:dyDescent="0.35">
      <c r="A2340" s="6" t="s">
        <v>98</v>
      </c>
      <c r="B2340" s="6" t="s">
        <v>99</v>
      </c>
      <c r="C2340" s="6" t="s">
        <v>505</v>
      </c>
      <c r="D2340" s="6" t="s">
        <v>14</v>
      </c>
      <c r="E2340" s="6" t="s">
        <v>16</v>
      </c>
      <c r="F2340" s="6" t="s">
        <v>21</v>
      </c>
      <c r="G2340" s="6" t="s">
        <v>506</v>
      </c>
      <c r="H2340" s="6" t="s">
        <v>507</v>
      </c>
      <c r="I2340" s="6" t="s">
        <v>31</v>
      </c>
      <c r="J2340" s="6">
        <v>17.069168000000001</v>
      </c>
      <c r="K2340" s="6">
        <v>-97.676575</v>
      </c>
      <c r="L2340" s="6" t="str">
        <f>HYPERLINK("https://maps.google.com/?q=17.069168,-97.676575", "🔗 Ver Mapa")</f>
        <v>🔗 Ver Mapa</v>
      </c>
    </row>
    <row r="2341" spans="1:12" ht="43.5" x14ac:dyDescent="0.35">
      <c r="A2341" s="5" t="s">
        <v>98</v>
      </c>
      <c r="B2341" s="5" t="s">
        <v>99</v>
      </c>
      <c r="C2341" s="5" t="s">
        <v>508</v>
      </c>
      <c r="D2341" s="5" t="s">
        <v>14</v>
      </c>
      <c r="E2341" s="5" t="s">
        <v>16</v>
      </c>
      <c r="F2341" s="5" t="s">
        <v>21</v>
      </c>
      <c r="G2341" s="5" t="s">
        <v>506</v>
      </c>
      <c r="H2341" s="5" t="s">
        <v>509</v>
      </c>
      <c r="I2341" s="5" t="s">
        <v>31</v>
      </c>
      <c r="J2341" s="5">
        <v>17.089696</v>
      </c>
      <c r="K2341" s="5">
        <v>-97.666116000000002</v>
      </c>
      <c r="L2341" s="5" t="str">
        <f>HYPERLINK("https://maps.google.com/?q=17.089696,-97.666116000000002", "🔗 Ver Mapa")</f>
        <v>🔗 Ver Mapa</v>
      </c>
    </row>
    <row r="2342" spans="1:12" ht="43.5" x14ac:dyDescent="0.35">
      <c r="A2342" s="6" t="s">
        <v>98</v>
      </c>
      <c r="B2342" s="6" t="s">
        <v>99</v>
      </c>
      <c r="C2342" s="6" t="s">
        <v>508</v>
      </c>
      <c r="D2342" s="6" t="s">
        <v>14</v>
      </c>
      <c r="E2342" s="6" t="s">
        <v>16</v>
      </c>
      <c r="F2342" s="6" t="s">
        <v>21</v>
      </c>
      <c r="G2342" s="6" t="s">
        <v>506</v>
      </c>
      <c r="H2342" s="6" t="s">
        <v>509</v>
      </c>
      <c r="I2342" s="6" t="s">
        <v>31</v>
      </c>
      <c r="J2342" s="6">
        <v>17.090221</v>
      </c>
      <c r="K2342" s="6">
        <v>-97.665160999999998</v>
      </c>
      <c r="L2342" s="6" t="str">
        <f>HYPERLINK("https://maps.google.com/?q=17.090221,-97.665160999999998", "🔗 Ver Mapa")</f>
        <v>🔗 Ver Mapa</v>
      </c>
    </row>
    <row r="2343" spans="1:12" ht="43.5" x14ac:dyDescent="0.35">
      <c r="A2343" s="5" t="s">
        <v>98</v>
      </c>
      <c r="B2343" s="5" t="s">
        <v>99</v>
      </c>
      <c r="C2343" s="5" t="s">
        <v>508</v>
      </c>
      <c r="D2343" s="5" t="s">
        <v>14</v>
      </c>
      <c r="E2343" s="5" t="s">
        <v>16</v>
      </c>
      <c r="F2343" s="5" t="s">
        <v>21</v>
      </c>
      <c r="G2343" s="5" t="s">
        <v>506</v>
      </c>
      <c r="H2343" s="5" t="s">
        <v>509</v>
      </c>
      <c r="I2343" s="5" t="s">
        <v>31</v>
      </c>
      <c r="J2343" s="5">
        <v>17.090596000000001</v>
      </c>
      <c r="K2343" s="5">
        <v>-97.668757999999997</v>
      </c>
      <c r="L2343" s="5" t="str">
        <f>HYPERLINK("https://maps.google.com/?q=17.090596,-97.668757999999997", "🔗 Ver Mapa")</f>
        <v>🔗 Ver Mapa</v>
      </c>
    </row>
    <row r="2344" spans="1:12" ht="43.5" x14ac:dyDescent="0.35">
      <c r="A2344" s="6" t="s">
        <v>98</v>
      </c>
      <c r="B2344" s="6" t="s">
        <v>99</v>
      </c>
      <c r="C2344" s="6" t="s">
        <v>508</v>
      </c>
      <c r="D2344" s="6" t="s">
        <v>14</v>
      </c>
      <c r="E2344" s="6" t="s">
        <v>16</v>
      </c>
      <c r="F2344" s="6" t="s">
        <v>21</v>
      </c>
      <c r="G2344" s="6" t="s">
        <v>506</v>
      </c>
      <c r="H2344" s="6" t="s">
        <v>509</v>
      </c>
      <c r="I2344" s="6" t="s">
        <v>31</v>
      </c>
      <c r="J2344" s="6">
        <v>17.091750999999999</v>
      </c>
      <c r="K2344" s="6">
        <v>-97.658902999999995</v>
      </c>
      <c r="L2344" s="6" t="str">
        <f>HYPERLINK("https://maps.google.com/?q=17.091751,-97.658902999999995", "🔗 Ver Mapa")</f>
        <v>🔗 Ver Mapa</v>
      </c>
    </row>
    <row r="2345" spans="1:12" ht="43.5" x14ac:dyDescent="0.35">
      <c r="A2345" s="5" t="s">
        <v>98</v>
      </c>
      <c r="B2345" s="5" t="s">
        <v>99</v>
      </c>
      <c r="C2345" s="5" t="s">
        <v>508</v>
      </c>
      <c r="D2345" s="5" t="s">
        <v>14</v>
      </c>
      <c r="E2345" s="5" t="s">
        <v>16</v>
      </c>
      <c r="F2345" s="5" t="s">
        <v>21</v>
      </c>
      <c r="G2345" s="5" t="s">
        <v>506</v>
      </c>
      <c r="H2345" s="5" t="s">
        <v>509</v>
      </c>
      <c r="I2345" s="5" t="s">
        <v>31</v>
      </c>
      <c r="J2345" s="5">
        <v>17.092314999999999</v>
      </c>
      <c r="K2345" s="5">
        <v>-97.666910000000001</v>
      </c>
      <c r="L2345" s="5" t="str">
        <f>HYPERLINK("https://maps.google.com/?q=17.092315,-97.666910000000001", "🔗 Ver Mapa")</f>
        <v>🔗 Ver Mapa</v>
      </c>
    </row>
    <row r="2346" spans="1:12" ht="43.5" x14ac:dyDescent="0.35">
      <c r="A2346" s="6" t="s">
        <v>98</v>
      </c>
      <c r="B2346" s="6" t="s">
        <v>99</v>
      </c>
      <c r="C2346" s="6" t="s">
        <v>508</v>
      </c>
      <c r="D2346" s="6" t="s">
        <v>14</v>
      </c>
      <c r="E2346" s="6" t="s">
        <v>16</v>
      </c>
      <c r="F2346" s="6" t="s">
        <v>21</v>
      </c>
      <c r="G2346" s="6" t="s">
        <v>506</v>
      </c>
      <c r="H2346" s="6" t="s">
        <v>509</v>
      </c>
      <c r="I2346" s="6" t="s">
        <v>31</v>
      </c>
      <c r="J2346" s="6">
        <v>17.095219</v>
      </c>
      <c r="K2346" s="6">
        <v>-97.665497999999999</v>
      </c>
      <c r="L2346" s="6" t="str">
        <f>HYPERLINK("https://maps.google.com/?q=17.095219,-97.665497999999999", "🔗 Ver Mapa")</f>
        <v>🔗 Ver Mapa</v>
      </c>
    </row>
    <row r="2347" spans="1:12" ht="43.5" x14ac:dyDescent="0.35">
      <c r="A2347" s="5" t="s">
        <v>98</v>
      </c>
      <c r="B2347" s="5" t="s">
        <v>99</v>
      </c>
      <c r="C2347" s="5" t="s">
        <v>508</v>
      </c>
      <c r="D2347" s="5" t="s">
        <v>14</v>
      </c>
      <c r="E2347" s="5" t="s">
        <v>16</v>
      </c>
      <c r="F2347" s="5" t="s">
        <v>21</v>
      </c>
      <c r="G2347" s="5" t="s">
        <v>506</v>
      </c>
      <c r="H2347" s="5" t="s">
        <v>509</v>
      </c>
      <c r="I2347" s="5" t="s">
        <v>31</v>
      </c>
      <c r="J2347" s="5">
        <v>17.098018</v>
      </c>
      <c r="K2347" s="5">
        <v>-97.661062000000001</v>
      </c>
      <c r="L2347" s="5" t="str">
        <f>HYPERLINK("https://maps.google.com/?q=17.098018,-97.661062000000001", "🔗 Ver Mapa")</f>
        <v>🔗 Ver Mapa</v>
      </c>
    </row>
    <row r="2348" spans="1:12" ht="43.5" x14ac:dyDescent="0.35">
      <c r="A2348" s="6" t="s">
        <v>98</v>
      </c>
      <c r="B2348" s="6" t="s">
        <v>99</v>
      </c>
      <c r="C2348" s="6" t="s">
        <v>508</v>
      </c>
      <c r="D2348" s="6" t="s">
        <v>14</v>
      </c>
      <c r="E2348" s="6" t="s">
        <v>16</v>
      </c>
      <c r="F2348" s="6" t="s">
        <v>21</v>
      </c>
      <c r="G2348" s="6" t="s">
        <v>506</v>
      </c>
      <c r="H2348" s="6" t="s">
        <v>509</v>
      </c>
      <c r="I2348" s="6" t="s">
        <v>31</v>
      </c>
      <c r="J2348" s="6">
        <v>17.100300000000001</v>
      </c>
      <c r="K2348" s="6">
        <v>-97.666540999999995</v>
      </c>
      <c r="L2348" s="6" t="str">
        <f>HYPERLINK("https://maps.google.com/?q=17.1003,-97.666540999999995", "🔗 Ver Mapa")</f>
        <v>🔗 Ver Mapa</v>
      </c>
    </row>
    <row r="2349" spans="1:12" ht="43.5" x14ac:dyDescent="0.35">
      <c r="A2349" s="5" t="s">
        <v>98</v>
      </c>
      <c r="B2349" s="5" t="s">
        <v>99</v>
      </c>
      <c r="C2349" s="5" t="s">
        <v>508</v>
      </c>
      <c r="D2349" s="5" t="s">
        <v>14</v>
      </c>
      <c r="E2349" s="5" t="s">
        <v>16</v>
      </c>
      <c r="F2349" s="5" t="s">
        <v>21</v>
      </c>
      <c r="G2349" s="5" t="s">
        <v>506</v>
      </c>
      <c r="H2349" s="5" t="s">
        <v>509</v>
      </c>
      <c r="I2349" s="5" t="s">
        <v>31</v>
      </c>
      <c r="J2349" s="5">
        <v>17.101239</v>
      </c>
      <c r="K2349" s="5">
        <v>-97.659513000000004</v>
      </c>
      <c r="L2349" s="5" t="str">
        <f>HYPERLINK("https://maps.google.com/?q=17.101239,-97.659513000000004", "🔗 Ver Mapa")</f>
        <v>🔗 Ver Mapa</v>
      </c>
    </row>
    <row r="2350" spans="1:12" ht="43.5" x14ac:dyDescent="0.35">
      <c r="A2350" s="6" t="s">
        <v>98</v>
      </c>
      <c r="B2350" s="6" t="s">
        <v>99</v>
      </c>
      <c r="C2350" s="6" t="s">
        <v>508</v>
      </c>
      <c r="D2350" s="6" t="s">
        <v>14</v>
      </c>
      <c r="E2350" s="6" t="s">
        <v>16</v>
      </c>
      <c r="F2350" s="6" t="s">
        <v>21</v>
      </c>
      <c r="G2350" s="6" t="s">
        <v>506</v>
      </c>
      <c r="H2350" s="6" t="s">
        <v>509</v>
      </c>
      <c r="I2350" s="6" t="s">
        <v>31</v>
      </c>
      <c r="J2350" s="6">
        <v>17.102035999999998</v>
      </c>
      <c r="K2350" s="6">
        <v>-97.662305000000003</v>
      </c>
      <c r="L2350" s="6" t="str">
        <f>HYPERLINK("https://maps.google.com/?q=17.102036,-97.662305000000003", "🔗 Ver Mapa")</f>
        <v>🔗 Ver Mapa</v>
      </c>
    </row>
    <row r="2351" spans="1:12" ht="43.5" x14ac:dyDescent="0.35">
      <c r="A2351" s="5" t="s">
        <v>98</v>
      </c>
      <c r="B2351" s="5" t="s">
        <v>99</v>
      </c>
      <c r="C2351" s="5" t="s">
        <v>508</v>
      </c>
      <c r="D2351" s="5" t="s">
        <v>14</v>
      </c>
      <c r="E2351" s="5" t="s">
        <v>16</v>
      </c>
      <c r="F2351" s="5" t="s">
        <v>21</v>
      </c>
      <c r="G2351" s="5" t="s">
        <v>506</v>
      </c>
      <c r="H2351" s="5" t="s">
        <v>509</v>
      </c>
      <c r="I2351" s="5" t="s">
        <v>31</v>
      </c>
      <c r="J2351" s="5">
        <v>17.102367999999998</v>
      </c>
      <c r="K2351" s="5">
        <v>-97.667550000000006</v>
      </c>
      <c r="L2351" s="5" t="str">
        <f>HYPERLINK("https://maps.google.com/?q=17.102368,-97.667550000000006", "🔗 Ver Mapa")</f>
        <v>🔗 Ver Mapa</v>
      </c>
    </row>
    <row r="2352" spans="1:12" ht="43.5" x14ac:dyDescent="0.35">
      <c r="A2352" s="6" t="s">
        <v>98</v>
      </c>
      <c r="B2352" s="6" t="s">
        <v>99</v>
      </c>
      <c r="C2352" s="6" t="s">
        <v>508</v>
      </c>
      <c r="D2352" s="6" t="s">
        <v>14</v>
      </c>
      <c r="E2352" s="6" t="s">
        <v>16</v>
      </c>
      <c r="F2352" s="6" t="s">
        <v>21</v>
      </c>
      <c r="G2352" s="6" t="s">
        <v>506</v>
      </c>
      <c r="H2352" s="6" t="s">
        <v>509</v>
      </c>
      <c r="I2352" s="6" t="s">
        <v>31</v>
      </c>
      <c r="J2352" s="6">
        <v>17.102475999999999</v>
      </c>
      <c r="K2352" s="6">
        <v>-97.659805000000006</v>
      </c>
      <c r="L2352" s="6" t="str">
        <f>HYPERLINK("https://maps.google.com/?q=17.102476,-97.659805000000006", "🔗 Ver Mapa")</f>
        <v>🔗 Ver Mapa</v>
      </c>
    </row>
    <row r="2353" spans="1:12" ht="43.5" x14ac:dyDescent="0.35">
      <c r="A2353" s="5" t="s">
        <v>98</v>
      </c>
      <c r="B2353" s="5" t="s">
        <v>99</v>
      </c>
      <c r="C2353" s="5" t="s">
        <v>510</v>
      </c>
      <c r="D2353" s="5" t="s">
        <v>14</v>
      </c>
      <c r="E2353" s="5" t="s">
        <v>16</v>
      </c>
      <c r="F2353" s="5" t="s">
        <v>21</v>
      </c>
      <c r="G2353" s="5" t="s">
        <v>506</v>
      </c>
      <c r="H2353" s="5" t="s">
        <v>511</v>
      </c>
      <c r="I2353" s="5" t="s">
        <v>31</v>
      </c>
      <c r="J2353" s="5">
        <v>17.059380000000001</v>
      </c>
      <c r="K2353" s="5">
        <v>-97.699914000000007</v>
      </c>
      <c r="L2353" s="5" t="str">
        <f>HYPERLINK("https://maps.google.com/?q=17.05938,-97.699914000000007", "🔗 Ver Mapa")</f>
        <v>🔗 Ver Mapa</v>
      </c>
    </row>
    <row r="2354" spans="1:12" ht="43.5" x14ac:dyDescent="0.35">
      <c r="A2354" s="6" t="s">
        <v>98</v>
      </c>
      <c r="B2354" s="6" t="s">
        <v>99</v>
      </c>
      <c r="C2354" s="6" t="s">
        <v>510</v>
      </c>
      <c r="D2354" s="6" t="s">
        <v>14</v>
      </c>
      <c r="E2354" s="6" t="s">
        <v>16</v>
      </c>
      <c r="F2354" s="6" t="s">
        <v>21</v>
      </c>
      <c r="G2354" s="6" t="s">
        <v>506</v>
      </c>
      <c r="H2354" s="6" t="s">
        <v>511</v>
      </c>
      <c r="I2354" s="6" t="s">
        <v>31</v>
      </c>
      <c r="J2354" s="6">
        <v>17.059687</v>
      </c>
      <c r="K2354" s="6">
        <v>-97.698572999999996</v>
      </c>
      <c r="L2354" s="6" t="str">
        <f>HYPERLINK("https://maps.google.com/?q=17.059687,-97.698572999999996", "🔗 Ver Mapa")</f>
        <v>🔗 Ver Mapa</v>
      </c>
    </row>
    <row r="2355" spans="1:12" ht="43.5" x14ac:dyDescent="0.35">
      <c r="A2355" s="5" t="s">
        <v>98</v>
      </c>
      <c r="B2355" s="5" t="s">
        <v>99</v>
      </c>
      <c r="C2355" s="5" t="s">
        <v>510</v>
      </c>
      <c r="D2355" s="5" t="s">
        <v>14</v>
      </c>
      <c r="E2355" s="5" t="s">
        <v>16</v>
      </c>
      <c r="F2355" s="5" t="s">
        <v>21</v>
      </c>
      <c r="G2355" s="5" t="s">
        <v>506</v>
      </c>
      <c r="H2355" s="5" t="s">
        <v>511</v>
      </c>
      <c r="I2355" s="5" t="s">
        <v>31</v>
      </c>
      <c r="J2355" s="5">
        <v>17.060573000000002</v>
      </c>
      <c r="K2355" s="5">
        <v>-97.696802000000005</v>
      </c>
      <c r="L2355" s="5" t="str">
        <f>HYPERLINK("https://maps.google.com/?q=17.060573,-97.696802000000005", "🔗 Ver Mapa")</f>
        <v>🔗 Ver Mapa</v>
      </c>
    </row>
    <row r="2356" spans="1:12" ht="43.5" x14ac:dyDescent="0.35">
      <c r="A2356" s="6" t="s">
        <v>98</v>
      </c>
      <c r="B2356" s="6" t="s">
        <v>99</v>
      </c>
      <c r="C2356" s="6" t="s">
        <v>510</v>
      </c>
      <c r="D2356" s="6" t="s">
        <v>14</v>
      </c>
      <c r="E2356" s="6" t="s">
        <v>16</v>
      </c>
      <c r="F2356" s="6" t="s">
        <v>21</v>
      </c>
      <c r="G2356" s="6" t="s">
        <v>506</v>
      </c>
      <c r="H2356" s="6" t="s">
        <v>511</v>
      </c>
      <c r="I2356" s="6" t="s">
        <v>31</v>
      </c>
      <c r="J2356" s="6">
        <v>17.061011000000001</v>
      </c>
      <c r="K2356" s="6">
        <v>-97.700502</v>
      </c>
      <c r="L2356" s="6" t="str">
        <f>HYPERLINK("https://maps.google.com/?q=17.061011,-97.700502", "🔗 Ver Mapa")</f>
        <v>🔗 Ver Mapa</v>
      </c>
    </row>
    <row r="2357" spans="1:12" ht="43.5" x14ac:dyDescent="0.35">
      <c r="A2357" s="5" t="s">
        <v>98</v>
      </c>
      <c r="B2357" s="5" t="s">
        <v>99</v>
      </c>
      <c r="C2357" s="5" t="s">
        <v>510</v>
      </c>
      <c r="D2357" s="5" t="s">
        <v>14</v>
      </c>
      <c r="E2357" s="5" t="s">
        <v>16</v>
      </c>
      <c r="F2357" s="5" t="s">
        <v>21</v>
      </c>
      <c r="G2357" s="5" t="s">
        <v>506</v>
      </c>
      <c r="H2357" s="5" t="s">
        <v>511</v>
      </c>
      <c r="I2357" s="5" t="s">
        <v>31</v>
      </c>
      <c r="J2357" s="5">
        <v>17.062117000000001</v>
      </c>
      <c r="K2357" s="5">
        <v>-97.695582000000002</v>
      </c>
      <c r="L2357" s="5" t="str">
        <f>HYPERLINK("https://maps.google.com/?q=17.062117,-97.695582000000002", "🔗 Ver Mapa")</f>
        <v>🔗 Ver Mapa</v>
      </c>
    </row>
    <row r="2358" spans="1:12" ht="43.5" x14ac:dyDescent="0.35">
      <c r="A2358" s="6" t="s">
        <v>98</v>
      </c>
      <c r="B2358" s="6" t="s">
        <v>99</v>
      </c>
      <c r="C2358" s="6" t="s">
        <v>510</v>
      </c>
      <c r="D2358" s="6" t="s">
        <v>14</v>
      </c>
      <c r="E2358" s="6" t="s">
        <v>16</v>
      </c>
      <c r="F2358" s="6" t="s">
        <v>21</v>
      </c>
      <c r="G2358" s="6" t="s">
        <v>506</v>
      </c>
      <c r="H2358" s="6" t="s">
        <v>511</v>
      </c>
      <c r="I2358" s="6" t="s">
        <v>31</v>
      </c>
      <c r="J2358" s="6">
        <v>17.062296</v>
      </c>
      <c r="K2358" s="6">
        <v>-97.694945000000004</v>
      </c>
      <c r="L2358" s="6" t="str">
        <f>HYPERLINK("https://maps.google.com/?q=17.062296,-97.694945000000004", "🔗 Ver Mapa")</f>
        <v>🔗 Ver Mapa</v>
      </c>
    </row>
    <row r="2359" spans="1:12" ht="43.5" x14ac:dyDescent="0.35">
      <c r="A2359" s="5" t="s">
        <v>98</v>
      </c>
      <c r="B2359" s="5" t="s">
        <v>99</v>
      </c>
      <c r="C2359" s="5" t="s">
        <v>510</v>
      </c>
      <c r="D2359" s="5" t="s">
        <v>14</v>
      </c>
      <c r="E2359" s="5" t="s">
        <v>16</v>
      </c>
      <c r="F2359" s="5" t="s">
        <v>21</v>
      </c>
      <c r="G2359" s="5" t="s">
        <v>506</v>
      </c>
      <c r="H2359" s="5" t="s">
        <v>511</v>
      </c>
      <c r="I2359" s="5" t="s">
        <v>31</v>
      </c>
      <c r="J2359" s="5">
        <v>17.062297000000001</v>
      </c>
      <c r="K2359" s="5">
        <v>-97.695082999999997</v>
      </c>
      <c r="L2359" s="5" t="str">
        <f>HYPERLINK("https://maps.google.com/?q=17.062297,-97.695082999999997", "🔗 Ver Mapa")</f>
        <v>🔗 Ver Mapa</v>
      </c>
    </row>
    <row r="2360" spans="1:12" ht="43.5" x14ac:dyDescent="0.35">
      <c r="A2360" s="6" t="s">
        <v>98</v>
      </c>
      <c r="B2360" s="6" t="s">
        <v>99</v>
      </c>
      <c r="C2360" s="6" t="s">
        <v>510</v>
      </c>
      <c r="D2360" s="6" t="s">
        <v>14</v>
      </c>
      <c r="E2360" s="6" t="s">
        <v>16</v>
      </c>
      <c r="F2360" s="6" t="s">
        <v>21</v>
      </c>
      <c r="G2360" s="6" t="s">
        <v>506</v>
      </c>
      <c r="H2360" s="6" t="s">
        <v>511</v>
      </c>
      <c r="I2360" s="6" t="s">
        <v>31</v>
      </c>
      <c r="J2360" s="6">
        <v>17.062379</v>
      </c>
      <c r="K2360" s="6">
        <v>-97.694586999999999</v>
      </c>
      <c r="L2360" s="6" t="str">
        <f>HYPERLINK("https://maps.google.com/?q=17.062379,-97.694586999999999", "🔗 Ver Mapa")</f>
        <v>🔗 Ver Mapa</v>
      </c>
    </row>
    <row r="2361" spans="1:12" ht="43.5" x14ac:dyDescent="0.35">
      <c r="A2361" s="5" t="s">
        <v>98</v>
      </c>
      <c r="B2361" s="5" t="s">
        <v>99</v>
      </c>
      <c r="C2361" s="5" t="s">
        <v>510</v>
      </c>
      <c r="D2361" s="5" t="s">
        <v>14</v>
      </c>
      <c r="E2361" s="5" t="s">
        <v>16</v>
      </c>
      <c r="F2361" s="5" t="s">
        <v>21</v>
      </c>
      <c r="G2361" s="5" t="s">
        <v>506</v>
      </c>
      <c r="H2361" s="5" t="s">
        <v>511</v>
      </c>
      <c r="I2361" s="5" t="s">
        <v>31</v>
      </c>
      <c r="J2361" s="5">
        <v>17.062785999999999</v>
      </c>
      <c r="K2361" s="5">
        <v>-97.693787999999998</v>
      </c>
      <c r="L2361" s="5" t="str">
        <f>HYPERLINK("https://maps.google.com/?q=17.062786,-97.693787999999998", "🔗 Ver Mapa")</f>
        <v>🔗 Ver Mapa</v>
      </c>
    </row>
    <row r="2362" spans="1:12" ht="43.5" x14ac:dyDescent="0.35">
      <c r="A2362" s="6" t="s">
        <v>98</v>
      </c>
      <c r="B2362" s="6" t="s">
        <v>99</v>
      </c>
      <c r="C2362" s="6" t="s">
        <v>512</v>
      </c>
      <c r="D2362" s="6" t="s">
        <v>14</v>
      </c>
      <c r="E2362" s="6" t="s">
        <v>39</v>
      </c>
      <c r="F2362" s="6" t="s">
        <v>40</v>
      </c>
      <c r="G2362" s="6" t="s">
        <v>184</v>
      </c>
      <c r="H2362" s="6" t="s">
        <v>513</v>
      </c>
      <c r="I2362" s="6" t="s">
        <v>31</v>
      </c>
      <c r="J2362" s="6">
        <v>17.097874231872002</v>
      </c>
      <c r="K2362" s="6">
        <v>-97.851867644180004</v>
      </c>
      <c r="L2362" s="6" t="str">
        <f>HYPERLINK("https://maps.google.com/?q=17.0978742318716,-97.851867644180203", "🔗 Ver Mapa")</f>
        <v>🔗 Ver Mapa</v>
      </c>
    </row>
    <row r="2363" spans="1:12" ht="43.5" x14ac:dyDescent="0.35">
      <c r="A2363" s="5" t="s">
        <v>98</v>
      </c>
      <c r="B2363" s="5" t="s">
        <v>99</v>
      </c>
      <c r="C2363" s="5" t="s">
        <v>512</v>
      </c>
      <c r="D2363" s="5" t="s">
        <v>14</v>
      </c>
      <c r="E2363" s="5" t="s">
        <v>39</v>
      </c>
      <c r="F2363" s="5" t="s">
        <v>40</v>
      </c>
      <c r="G2363" s="5" t="s">
        <v>184</v>
      </c>
      <c r="H2363" s="5" t="s">
        <v>513</v>
      </c>
      <c r="I2363" s="5" t="s">
        <v>31</v>
      </c>
      <c r="J2363" s="5">
        <v>17.097999069368001</v>
      </c>
      <c r="K2363" s="5">
        <v>-97.852065452708999</v>
      </c>
      <c r="L2363" s="5" t="str">
        <f>HYPERLINK("https://maps.google.com/?q=17.0979990693683,-97.852065452709098", "🔗 Ver Mapa")</f>
        <v>🔗 Ver Mapa</v>
      </c>
    </row>
    <row r="2364" spans="1:12" ht="43.5" x14ac:dyDescent="0.35">
      <c r="A2364" s="6" t="s">
        <v>98</v>
      </c>
      <c r="B2364" s="6" t="s">
        <v>99</v>
      </c>
      <c r="C2364" s="6" t="s">
        <v>512</v>
      </c>
      <c r="D2364" s="6" t="s">
        <v>14</v>
      </c>
      <c r="E2364" s="6" t="s">
        <v>39</v>
      </c>
      <c r="F2364" s="6" t="s">
        <v>40</v>
      </c>
      <c r="G2364" s="6" t="s">
        <v>184</v>
      </c>
      <c r="H2364" s="6" t="s">
        <v>513</v>
      </c>
      <c r="I2364" s="6" t="s">
        <v>31</v>
      </c>
      <c r="J2364" s="6">
        <v>17.098070983934001</v>
      </c>
      <c r="K2364" s="6">
        <v>-97.853289244042003</v>
      </c>
      <c r="L2364" s="6" t="str">
        <f>HYPERLINK("https://maps.google.com/?q=17.0980709839342,-97.853289244041903", "🔗 Ver Mapa")</f>
        <v>🔗 Ver Mapa</v>
      </c>
    </row>
    <row r="2365" spans="1:12" ht="43.5" x14ac:dyDescent="0.35">
      <c r="A2365" s="5" t="s">
        <v>98</v>
      </c>
      <c r="B2365" s="5" t="s">
        <v>99</v>
      </c>
      <c r="C2365" s="5" t="s">
        <v>512</v>
      </c>
      <c r="D2365" s="5" t="s">
        <v>14</v>
      </c>
      <c r="E2365" s="5" t="s">
        <v>39</v>
      </c>
      <c r="F2365" s="5" t="s">
        <v>40</v>
      </c>
      <c r="G2365" s="5" t="s">
        <v>184</v>
      </c>
      <c r="H2365" s="5" t="s">
        <v>513</v>
      </c>
      <c r="I2365" s="5" t="s">
        <v>31</v>
      </c>
      <c r="J2365" s="5">
        <v>17.098142593222001</v>
      </c>
      <c r="K2365" s="5">
        <v>-97.853493051507002</v>
      </c>
      <c r="L2365" s="5" t="str">
        <f>HYPERLINK("https://maps.google.com/?q=17.0981425932222,-97.853493051507201", "🔗 Ver Mapa")</f>
        <v>🔗 Ver Mapa</v>
      </c>
    </row>
    <row r="2366" spans="1:12" ht="43.5" x14ac:dyDescent="0.35">
      <c r="A2366" s="6" t="s">
        <v>98</v>
      </c>
      <c r="B2366" s="6" t="s">
        <v>99</v>
      </c>
      <c r="C2366" s="6" t="s">
        <v>512</v>
      </c>
      <c r="D2366" s="6" t="s">
        <v>14</v>
      </c>
      <c r="E2366" s="6" t="s">
        <v>39</v>
      </c>
      <c r="F2366" s="6" t="s">
        <v>40</v>
      </c>
      <c r="G2366" s="6" t="s">
        <v>184</v>
      </c>
      <c r="H2366" s="6" t="s">
        <v>513</v>
      </c>
      <c r="I2366" s="6" t="s">
        <v>31</v>
      </c>
      <c r="J2366" s="6">
        <v>17.098288632096999</v>
      </c>
      <c r="K2366" s="6">
        <v>-97.851906766865</v>
      </c>
      <c r="L2366" s="6" t="str">
        <f>HYPERLINK("https://maps.google.com/?q=17.0982886320968,-97.8519067668649", "🔗 Ver Mapa")</f>
        <v>🔗 Ver Mapa</v>
      </c>
    </row>
    <row r="2367" spans="1:12" ht="43.5" x14ac:dyDescent="0.35">
      <c r="A2367" s="5" t="s">
        <v>98</v>
      </c>
      <c r="B2367" s="5" t="s">
        <v>99</v>
      </c>
      <c r="C2367" s="5" t="s">
        <v>512</v>
      </c>
      <c r="D2367" s="5" t="s">
        <v>14</v>
      </c>
      <c r="E2367" s="5" t="s">
        <v>39</v>
      </c>
      <c r="F2367" s="5" t="s">
        <v>40</v>
      </c>
      <c r="G2367" s="5" t="s">
        <v>184</v>
      </c>
      <c r="H2367" s="5" t="s">
        <v>513</v>
      </c>
      <c r="I2367" s="5" t="s">
        <v>31</v>
      </c>
      <c r="J2367" s="5">
        <v>17.098525031064</v>
      </c>
      <c r="K2367" s="5">
        <v>-97.851609169311004</v>
      </c>
      <c r="L2367" s="5" t="str">
        <f>HYPERLINK("https://maps.google.com/?q=17.0985250310636,-97.851609169311402", "🔗 Ver Mapa")</f>
        <v>🔗 Ver Mapa</v>
      </c>
    </row>
    <row r="2368" spans="1:12" ht="43.5" x14ac:dyDescent="0.35">
      <c r="A2368" s="6" t="s">
        <v>98</v>
      </c>
      <c r="B2368" s="6" t="s">
        <v>99</v>
      </c>
      <c r="C2368" s="6" t="s">
        <v>512</v>
      </c>
      <c r="D2368" s="6" t="s">
        <v>14</v>
      </c>
      <c r="E2368" s="6" t="s">
        <v>39</v>
      </c>
      <c r="F2368" s="6" t="s">
        <v>40</v>
      </c>
      <c r="G2368" s="6" t="s">
        <v>184</v>
      </c>
      <c r="H2368" s="6" t="s">
        <v>513</v>
      </c>
      <c r="I2368" s="6" t="s">
        <v>31</v>
      </c>
      <c r="J2368" s="6">
        <v>17.099060011732998</v>
      </c>
      <c r="K2368" s="6">
        <v>-97.851243961874005</v>
      </c>
      <c r="L2368" s="6" t="str">
        <f>HYPERLINK("https://maps.google.com/?q=17.0990600117332,-97.851243961873607", "🔗 Ver Mapa")</f>
        <v>🔗 Ver Mapa</v>
      </c>
    </row>
    <row r="2369" spans="1:12" ht="43.5" x14ac:dyDescent="0.35">
      <c r="A2369" s="5" t="s">
        <v>98</v>
      </c>
      <c r="B2369" s="5" t="s">
        <v>99</v>
      </c>
      <c r="C2369" s="5" t="s">
        <v>512</v>
      </c>
      <c r="D2369" s="5" t="s">
        <v>14</v>
      </c>
      <c r="E2369" s="5" t="s">
        <v>39</v>
      </c>
      <c r="F2369" s="5" t="s">
        <v>40</v>
      </c>
      <c r="G2369" s="5" t="s">
        <v>184</v>
      </c>
      <c r="H2369" s="5" t="s">
        <v>513</v>
      </c>
      <c r="I2369" s="5" t="s">
        <v>31</v>
      </c>
      <c r="J2369" s="5">
        <v>17.099191611933001</v>
      </c>
      <c r="K2369" s="5">
        <v>-97.851482771828003</v>
      </c>
      <c r="L2369" s="5" t="str">
        <f>HYPERLINK("https://maps.google.com/?q=17.0991916119325,-97.851482771827705", "🔗 Ver Mapa")</f>
        <v>🔗 Ver Mapa</v>
      </c>
    </row>
    <row r="2370" spans="1:12" ht="43.5" x14ac:dyDescent="0.35">
      <c r="A2370" s="6" t="s">
        <v>98</v>
      </c>
      <c r="B2370" s="6" t="s">
        <v>99</v>
      </c>
      <c r="C2370" s="6" t="s">
        <v>512</v>
      </c>
      <c r="D2370" s="6" t="s">
        <v>14</v>
      </c>
      <c r="E2370" s="6" t="s">
        <v>39</v>
      </c>
      <c r="F2370" s="6" t="s">
        <v>40</v>
      </c>
      <c r="G2370" s="6" t="s">
        <v>184</v>
      </c>
      <c r="H2370" s="6" t="s">
        <v>513</v>
      </c>
      <c r="I2370" s="6" t="s">
        <v>31</v>
      </c>
      <c r="J2370" s="6">
        <v>17.099223173708001</v>
      </c>
      <c r="K2370" s="6">
        <v>-97.853357528767006</v>
      </c>
      <c r="L2370" s="6" t="str">
        <f>HYPERLINK("https://maps.google.com/?q=17.0992231737075,-97.853357528767404", "🔗 Ver Mapa")</f>
        <v>🔗 Ver Mapa</v>
      </c>
    </row>
    <row r="2371" spans="1:12" ht="43.5" x14ac:dyDescent="0.35">
      <c r="A2371" s="5" t="s">
        <v>98</v>
      </c>
      <c r="B2371" s="5" t="s">
        <v>99</v>
      </c>
      <c r="C2371" s="5" t="s">
        <v>512</v>
      </c>
      <c r="D2371" s="5" t="s">
        <v>14</v>
      </c>
      <c r="E2371" s="5" t="s">
        <v>39</v>
      </c>
      <c r="F2371" s="5" t="s">
        <v>40</v>
      </c>
      <c r="G2371" s="5" t="s">
        <v>184</v>
      </c>
      <c r="H2371" s="5" t="s">
        <v>513</v>
      </c>
      <c r="I2371" s="5" t="s">
        <v>31</v>
      </c>
      <c r="J2371" s="5">
        <v>17.099568230005001</v>
      </c>
      <c r="K2371" s="5">
        <v>-97.851646851520997</v>
      </c>
      <c r="L2371" s="5" t="str">
        <f>HYPERLINK("https://maps.google.com/?q=17.0995682300048,-97.851646851520698", "🔗 Ver Mapa")</f>
        <v>🔗 Ver Mapa</v>
      </c>
    </row>
    <row r="2372" spans="1:12" ht="43.5" x14ac:dyDescent="0.35">
      <c r="A2372" s="6" t="s">
        <v>98</v>
      </c>
      <c r="B2372" s="6" t="s">
        <v>99</v>
      </c>
      <c r="C2372" s="6" t="s">
        <v>512</v>
      </c>
      <c r="D2372" s="6" t="s">
        <v>14</v>
      </c>
      <c r="E2372" s="6" t="s">
        <v>39</v>
      </c>
      <c r="F2372" s="6" t="s">
        <v>40</v>
      </c>
      <c r="G2372" s="6" t="s">
        <v>184</v>
      </c>
      <c r="H2372" s="6" t="s">
        <v>513</v>
      </c>
      <c r="I2372" s="6" t="s">
        <v>31</v>
      </c>
      <c r="J2372" s="6">
        <v>17.099663011972002</v>
      </c>
      <c r="K2372" s="6">
        <v>-97.853216824398004</v>
      </c>
      <c r="L2372" s="6" t="str">
        <f>HYPERLINK("https://maps.google.com/?q=17.0996630119722,-97.853216824398302", "🔗 Ver Mapa")</f>
        <v>🔗 Ver Mapa</v>
      </c>
    </row>
    <row r="2373" spans="1:12" ht="43.5" x14ac:dyDescent="0.35">
      <c r="A2373" s="5" t="s">
        <v>98</v>
      </c>
      <c r="B2373" s="5" t="s">
        <v>99</v>
      </c>
      <c r="C2373" s="5" t="s">
        <v>512</v>
      </c>
      <c r="D2373" s="5" t="s">
        <v>14</v>
      </c>
      <c r="E2373" s="5" t="s">
        <v>39</v>
      </c>
      <c r="F2373" s="5" t="s">
        <v>40</v>
      </c>
      <c r="G2373" s="5" t="s">
        <v>184</v>
      </c>
      <c r="H2373" s="5" t="s">
        <v>513</v>
      </c>
      <c r="I2373" s="5" t="s">
        <v>31</v>
      </c>
      <c r="J2373" s="5">
        <v>17.099778375793999</v>
      </c>
      <c r="K2373" s="5">
        <v>-97.852626738414997</v>
      </c>
      <c r="L2373" s="5" t="str">
        <f>HYPERLINK("https://maps.google.com/?q=17.099778375794,-97.852626738415296", "🔗 Ver Mapa")</f>
        <v>🔗 Ver Mapa</v>
      </c>
    </row>
    <row r="2374" spans="1:12" ht="43.5" x14ac:dyDescent="0.35">
      <c r="A2374" s="6" t="s">
        <v>98</v>
      </c>
      <c r="B2374" s="6" t="s">
        <v>99</v>
      </c>
      <c r="C2374" s="6" t="s">
        <v>512</v>
      </c>
      <c r="D2374" s="6" t="s">
        <v>14</v>
      </c>
      <c r="E2374" s="6" t="s">
        <v>39</v>
      </c>
      <c r="F2374" s="6" t="s">
        <v>40</v>
      </c>
      <c r="G2374" s="6" t="s">
        <v>184</v>
      </c>
      <c r="H2374" s="6" t="s">
        <v>513</v>
      </c>
      <c r="I2374" s="6" t="s">
        <v>31</v>
      </c>
      <c r="J2374" s="6">
        <v>17.099939753043</v>
      </c>
      <c r="K2374" s="6">
        <v>-97.853390463962</v>
      </c>
      <c r="L2374" s="6" t="str">
        <f>HYPERLINK("https://maps.google.com/?q=17.099939753043,-97.853390463962398", "🔗 Ver Mapa")</f>
        <v>🔗 Ver Mapa</v>
      </c>
    </row>
    <row r="2375" spans="1:12" ht="43.5" x14ac:dyDescent="0.35">
      <c r="A2375" s="5" t="s">
        <v>98</v>
      </c>
      <c r="B2375" s="5" t="s">
        <v>99</v>
      </c>
      <c r="C2375" s="5" t="s">
        <v>514</v>
      </c>
      <c r="D2375" s="5" t="s">
        <v>14</v>
      </c>
      <c r="E2375" s="5" t="s">
        <v>39</v>
      </c>
      <c r="F2375" s="5" t="s">
        <v>40</v>
      </c>
      <c r="G2375" s="5" t="s">
        <v>184</v>
      </c>
      <c r="H2375" s="5" t="s">
        <v>515</v>
      </c>
      <c r="I2375" s="5" t="s">
        <v>31</v>
      </c>
      <c r="J2375" s="5">
        <v>17.170174324291001</v>
      </c>
      <c r="K2375" s="5">
        <v>-97.824895718481997</v>
      </c>
      <c r="L2375" s="5" t="str">
        <f>HYPERLINK("https://maps.google.com/?q=17.1701743242906,-97.824895718481798", "🔗 Ver Mapa")</f>
        <v>🔗 Ver Mapa</v>
      </c>
    </row>
    <row r="2376" spans="1:12" ht="43.5" x14ac:dyDescent="0.35">
      <c r="A2376" s="6" t="s">
        <v>98</v>
      </c>
      <c r="B2376" s="6" t="s">
        <v>99</v>
      </c>
      <c r="C2376" s="6" t="s">
        <v>514</v>
      </c>
      <c r="D2376" s="6" t="s">
        <v>14</v>
      </c>
      <c r="E2376" s="6" t="s">
        <v>39</v>
      </c>
      <c r="F2376" s="6" t="s">
        <v>40</v>
      </c>
      <c r="G2376" s="6" t="s">
        <v>184</v>
      </c>
      <c r="H2376" s="6" t="s">
        <v>515</v>
      </c>
      <c r="I2376" s="6" t="s">
        <v>31</v>
      </c>
      <c r="J2376" s="6">
        <v>17.170208973358001</v>
      </c>
      <c r="K2376" s="6">
        <v>-97.829494226627006</v>
      </c>
      <c r="L2376" s="6" t="str">
        <f>HYPERLINK("https://maps.google.com/?q=17.1702089733575,-97.829494226627304", "🔗 Ver Mapa")</f>
        <v>🔗 Ver Mapa</v>
      </c>
    </row>
    <row r="2377" spans="1:12" ht="43.5" x14ac:dyDescent="0.35">
      <c r="A2377" s="5" t="s">
        <v>98</v>
      </c>
      <c r="B2377" s="5" t="s">
        <v>99</v>
      </c>
      <c r="C2377" s="5" t="s">
        <v>514</v>
      </c>
      <c r="D2377" s="5" t="s">
        <v>14</v>
      </c>
      <c r="E2377" s="5" t="s">
        <v>39</v>
      </c>
      <c r="F2377" s="5" t="s">
        <v>40</v>
      </c>
      <c r="G2377" s="5" t="s">
        <v>184</v>
      </c>
      <c r="H2377" s="5" t="s">
        <v>515</v>
      </c>
      <c r="I2377" s="5" t="s">
        <v>31</v>
      </c>
      <c r="J2377" s="5">
        <v>17.170507818238999</v>
      </c>
      <c r="K2377" s="5">
        <v>-97.829974787748</v>
      </c>
      <c r="L2377" s="5" t="str">
        <f>HYPERLINK("https://maps.google.com/?q=17.1705078182395,-97.829974787748299", "🔗 Ver Mapa")</f>
        <v>🔗 Ver Mapa</v>
      </c>
    </row>
    <row r="2378" spans="1:12" ht="43.5" x14ac:dyDescent="0.35">
      <c r="A2378" s="6" t="s">
        <v>98</v>
      </c>
      <c r="B2378" s="6" t="s">
        <v>99</v>
      </c>
      <c r="C2378" s="6" t="s">
        <v>514</v>
      </c>
      <c r="D2378" s="6" t="s">
        <v>14</v>
      </c>
      <c r="E2378" s="6" t="s">
        <v>39</v>
      </c>
      <c r="F2378" s="6" t="s">
        <v>40</v>
      </c>
      <c r="G2378" s="6" t="s">
        <v>184</v>
      </c>
      <c r="H2378" s="6" t="s">
        <v>515</v>
      </c>
      <c r="I2378" s="6" t="s">
        <v>31</v>
      </c>
      <c r="J2378" s="6">
        <v>17.170644462976</v>
      </c>
      <c r="K2378" s="6">
        <v>-97.829633316463998</v>
      </c>
      <c r="L2378" s="6" t="str">
        <f>HYPERLINK("https://maps.google.com/?q=17.170644462976,-97.829633316463998", "🔗 Ver Mapa")</f>
        <v>🔗 Ver Mapa</v>
      </c>
    </row>
    <row r="2379" spans="1:12" ht="43.5" x14ac:dyDescent="0.35">
      <c r="A2379" s="5" t="s">
        <v>98</v>
      </c>
      <c r="B2379" s="5" t="s">
        <v>99</v>
      </c>
      <c r="C2379" s="5" t="s">
        <v>514</v>
      </c>
      <c r="D2379" s="5" t="s">
        <v>14</v>
      </c>
      <c r="E2379" s="5" t="s">
        <v>39</v>
      </c>
      <c r="F2379" s="5" t="s">
        <v>40</v>
      </c>
      <c r="G2379" s="5" t="s">
        <v>184</v>
      </c>
      <c r="H2379" s="5" t="s">
        <v>515</v>
      </c>
      <c r="I2379" s="5" t="s">
        <v>31</v>
      </c>
      <c r="J2379" s="5">
        <v>17.170682038571002</v>
      </c>
      <c r="K2379" s="5">
        <v>-97.829348868718</v>
      </c>
      <c r="L2379" s="5" t="str">
        <f>HYPERLINK("https://maps.google.com/?q=17.1706820385706,-97.829348868717503", "🔗 Ver Mapa")</f>
        <v>🔗 Ver Mapa</v>
      </c>
    </row>
    <row r="2380" spans="1:12" ht="43.5" x14ac:dyDescent="0.35">
      <c r="A2380" s="6" t="s">
        <v>98</v>
      </c>
      <c r="B2380" s="6" t="s">
        <v>99</v>
      </c>
      <c r="C2380" s="6" t="s">
        <v>514</v>
      </c>
      <c r="D2380" s="6" t="s">
        <v>14</v>
      </c>
      <c r="E2380" s="6" t="s">
        <v>39</v>
      </c>
      <c r="F2380" s="6" t="s">
        <v>40</v>
      </c>
      <c r="G2380" s="6" t="s">
        <v>184</v>
      </c>
      <c r="H2380" s="6" t="s">
        <v>515</v>
      </c>
      <c r="I2380" s="6" t="s">
        <v>31</v>
      </c>
      <c r="J2380" s="6">
        <v>17.170802069611</v>
      </c>
      <c r="K2380" s="6">
        <v>-97.824930823754002</v>
      </c>
      <c r="L2380" s="6" t="str">
        <f>HYPERLINK("https://maps.google.com/?q=17.1708020696114,-97.8249308237543", "🔗 Ver Mapa")</f>
        <v>🔗 Ver Mapa</v>
      </c>
    </row>
    <row r="2381" spans="1:12" ht="43.5" x14ac:dyDescent="0.35">
      <c r="A2381" s="5" t="s">
        <v>98</v>
      </c>
      <c r="B2381" s="5" t="s">
        <v>99</v>
      </c>
      <c r="C2381" s="5" t="s">
        <v>514</v>
      </c>
      <c r="D2381" s="5" t="s">
        <v>14</v>
      </c>
      <c r="E2381" s="5" t="s">
        <v>39</v>
      </c>
      <c r="F2381" s="5" t="s">
        <v>40</v>
      </c>
      <c r="G2381" s="5" t="s">
        <v>184</v>
      </c>
      <c r="H2381" s="5" t="s">
        <v>515</v>
      </c>
      <c r="I2381" s="5" t="s">
        <v>31</v>
      </c>
      <c r="J2381" s="5">
        <v>17.171267126751999</v>
      </c>
      <c r="K2381" s="5">
        <v>-97.828325000698001</v>
      </c>
      <c r="L2381" s="5" t="str">
        <f>HYPERLINK("https://maps.google.com/?q=17.1712671267516,-97.8283250006983", "🔗 Ver Mapa")</f>
        <v>🔗 Ver Mapa</v>
      </c>
    </row>
    <row r="2382" spans="1:12" ht="43.5" x14ac:dyDescent="0.35">
      <c r="A2382" s="6" t="s">
        <v>98</v>
      </c>
      <c r="B2382" s="6" t="s">
        <v>99</v>
      </c>
      <c r="C2382" s="6" t="s">
        <v>514</v>
      </c>
      <c r="D2382" s="6" t="s">
        <v>14</v>
      </c>
      <c r="E2382" s="6" t="s">
        <v>39</v>
      </c>
      <c r="F2382" s="6" t="s">
        <v>40</v>
      </c>
      <c r="G2382" s="6" t="s">
        <v>184</v>
      </c>
      <c r="H2382" s="6" t="s">
        <v>515</v>
      </c>
      <c r="I2382" s="6" t="s">
        <v>31</v>
      </c>
      <c r="J2382" s="6">
        <v>17.172723356113</v>
      </c>
      <c r="K2382" s="6">
        <v>-97.827010909940995</v>
      </c>
      <c r="L2382" s="6" t="str">
        <f>HYPERLINK("https://maps.google.com/?q=17.172723356113,-97.827010909940697", "🔗 Ver Mapa")</f>
        <v>🔗 Ver Mapa</v>
      </c>
    </row>
    <row r="2383" spans="1:12" ht="43.5" x14ac:dyDescent="0.35">
      <c r="A2383" s="5" t="s">
        <v>98</v>
      </c>
      <c r="B2383" s="5" t="s">
        <v>99</v>
      </c>
      <c r="C2383" s="5" t="s">
        <v>514</v>
      </c>
      <c r="D2383" s="5" t="s">
        <v>14</v>
      </c>
      <c r="E2383" s="5" t="s">
        <v>39</v>
      </c>
      <c r="F2383" s="5" t="s">
        <v>40</v>
      </c>
      <c r="G2383" s="5" t="s">
        <v>184</v>
      </c>
      <c r="H2383" s="5" t="s">
        <v>515</v>
      </c>
      <c r="I2383" s="5" t="s">
        <v>31</v>
      </c>
      <c r="J2383" s="5">
        <v>17.173717794687001</v>
      </c>
      <c r="K2383" s="5">
        <v>-97.822266894511998</v>
      </c>
      <c r="L2383" s="5" t="str">
        <f>HYPERLINK("https://maps.google.com/?q=17.173717794687,-97.822266894511998", "🔗 Ver Mapa")</f>
        <v>🔗 Ver Mapa</v>
      </c>
    </row>
    <row r="2384" spans="1:12" ht="43.5" x14ac:dyDescent="0.35">
      <c r="A2384" s="6" t="s">
        <v>98</v>
      </c>
      <c r="B2384" s="6" t="s">
        <v>99</v>
      </c>
      <c r="C2384" s="6" t="s">
        <v>514</v>
      </c>
      <c r="D2384" s="6" t="s">
        <v>14</v>
      </c>
      <c r="E2384" s="6" t="s">
        <v>39</v>
      </c>
      <c r="F2384" s="6" t="s">
        <v>40</v>
      </c>
      <c r="G2384" s="6" t="s">
        <v>184</v>
      </c>
      <c r="H2384" s="6" t="s">
        <v>515</v>
      </c>
      <c r="I2384" s="6" t="s">
        <v>31</v>
      </c>
      <c r="J2384" s="6">
        <v>17.174073233712001</v>
      </c>
      <c r="K2384" s="6">
        <v>-97.823670645180002</v>
      </c>
      <c r="L2384" s="6" t="str">
        <f>HYPERLINK("https://maps.google.com/?q=17.1740732337118,-97.823670645179703", "🔗 Ver Mapa")</f>
        <v>🔗 Ver Mapa</v>
      </c>
    </row>
    <row r="2385" spans="1:12" ht="43.5" x14ac:dyDescent="0.35">
      <c r="A2385" s="5" t="s">
        <v>98</v>
      </c>
      <c r="B2385" s="5" t="s">
        <v>99</v>
      </c>
      <c r="C2385" s="5" t="s">
        <v>514</v>
      </c>
      <c r="D2385" s="5" t="s">
        <v>14</v>
      </c>
      <c r="E2385" s="5" t="s">
        <v>39</v>
      </c>
      <c r="F2385" s="5" t="s">
        <v>40</v>
      </c>
      <c r="G2385" s="5" t="s">
        <v>184</v>
      </c>
      <c r="H2385" s="5" t="s">
        <v>515</v>
      </c>
      <c r="I2385" s="5" t="s">
        <v>31</v>
      </c>
      <c r="J2385" s="5">
        <v>17.174482787715</v>
      </c>
      <c r="K2385" s="5">
        <v>-97.825465508359997</v>
      </c>
      <c r="L2385" s="5" t="str">
        <f>HYPERLINK("https://maps.google.com/?q=17.174482787715,-97.825465508360494", "🔗 Ver Mapa")</f>
        <v>🔗 Ver Mapa</v>
      </c>
    </row>
    <row r="2386" spans="1:12" ht="43.5" x14ac:dyDescent="0.35">
      <c r="A2386" s="6" t="s">
        <v>98</v>
      </c>
      <c r="B2386" s="6" t="s">
        <v>99</v>
      </c>
      <c r="C2386" s="6" t="s">
        <v>514</v>
      </c>
      <c r="D2386" s="6" t="s">
        <v>14</v>
      </c>
      <c r="E2386" s="6" t="s">
        <v>39</v>
      </c>
      <c r="F2386" s="6" t="s">
        <v>40</v>
      </c>
      <c r="G2386" s="6" t="s">
        <v>184</v>
      </c>
      <c r="H2386" s="6" t="s">
        <v>515</v>
      </c>
      <c r="I2386" s="6" t="s">
        <v>31</v>
      </c>
      <c r="J2386" s="6">
        <v>17.174675840302001</v>
      </c>
      <c r="K2386" s="6">
        <v>-97.827355142174</v>
      </c>
      <c r="L2386" s="6" t="str">
        <f>HYPERLINK("https://maps.google.com/?q=17.1746758403021,-97.827355142174", "🔗 Ver Mapa")</f>
        <v>🔗 Ver Mapa</v>
      </c>
    </row>
    <row r="2387" spans="1:12" ht="43.5" x14ac:dyDescent="0.35">
      <c r="A2387" s="5" t="s">
        <v>516</v>
      </c>
      <c r="B2387" s="5" t="s">
        <v>517</v>
      </c>
      <c r="C2387" s="5" t="s">
        <v>518</v>
      </c>
      <c r="D2387" s="5" t="s">
        <v>58</v>
      </c>
      <c r="E2387" s="5" t="s">
        <v>16</v>
      </c>
      <c r="F2387" s="5" t="s">
        <v>145</v>
      </c>
      <c r="G2387" s="5" t="s">
        <v>519</v>
      </c>
      <c r="H2387" s="5" t="s">
        <v>520</v>
      </c>
      <c r="I2387" s="5" t="s">
        <v>31</v>
      </c>
      <c r="J2387" s="5">
        <v>17.71818</v>
      </c>
      <c r="K2387" s="5">
        <v>-97.857678000000007</v>
      </c>
      <c r="L2387" s="5" t="str">
        <f>HYPERLINK("https://maps.google.com/?q=17.71818,-97.857678", "🔗 Ver Mapa")</f>
        <v>🔗 Ver Mapa</v>
      </c>
    </row>
    <row r="2388" spans="1:12" ht="43.5" x14ac:dyDescent="0.35">
      <c r="A2388" s="6" t="s">
        <v>98</v>
      </c>
      <c r="B2388" s="6" t="s">
        <v>99</v>
      </c>
      <c r="C2388" s="6" t="s">
        <v>521</v>
      </c>
      <c r="D2388" s="6" t="s">
        <v>14</v>
      </c>
      <c r="E2388" s="6" t="s">
        <v>39</v>
      </c>
      <c r="F2388" s="6" t="s">
        <v>494</v>
      </c>
      <c r="G2388" s="6" t="s">
        <v>522</v>
      </c>
      <c r="H2388" s="6" t="s">
        <v>523</v>
      </c>
      <c r="I2388" s="6" t="s">
        <v>31</v>
      </c>
      <c r="J2388" s="6">
        <v>16.585405977421001</v>
      </c>
      <c r="K2388" s="6">
        <v>-97.228334077385</v>
      </c>
      <c r="L2388" s="6" t="str">
        <f>HYPERLINK("https://maps.google.com/?q=16.5854059774214,-97.228334077385", "🔗 Ver Mapa")</f>
        <v>🔗 Ver Mapa</v>
      </c>
    </row>
    <row r="2389" spans="1:12" ht="43.5" x14ac:dyDescent="0.35">
      <c r="A2389" s="5" t="s">
        <v>98</v>
      </c>
      <c r="B2389" s="5" t="s">
        <v>99</v>
      </c>
      <c r="C2389" s="5" t="s">
        <v>521</v>
      </c>
      <c r="D2389" s="5" t="s">
        <v>14</v>
      </c>
      <c r="E2389" s="5" t="s">
        <v>39</v>
      </c>
      <c r="F2389" s="5" t="s">
        <v>494</v>
      </c>
      <c r="G2389" s="5" t="s">
        <v>522</v>
      </c>
      <c r="H2389" s="5" t="s">
        <v>523</v>
      </c>
      <c r="I2389" s="5" t="s">
        <v>31</v>
      </c>
      <c r="J2389" s="5">
        <v>16.586710456213002</v>
      </c>
      <c r="K2389" s="5">
        <v>-97.228372174274995</v>
      </c>
      <c r="L2389" s="5" t="str">
        <f>HYPERLINK("https://maps.google.com/?q=16.5867104562129,-97.228372174274796", "🔗 Ver Mapa")</f>
        <v>🔗 Ver Mapa</v>
      </c>
    </row>
    <row r="2390" spans="1:12" ht="43.5" x14ac:dyDescent="0.35">
      <c r="A2390" s="6" t="s">
        <v>98</v>
      </c>
      <c r="B2390" s="6" t="s">
        <v>99</v>
      </c>
      <c r="C2390" s="6" t="s">
        <v>521</v>
      </c>
      <c r="D2390" s="6" t="s">
        <v>14</v>
      </c>
      <c r="E2390" s="6" t="s">
        <v>39</v>
      </c>
      <c r="F2390" s="6" t="s">
        <v>494</v>
      </c>
      <c r="G2390" s="6" t="s">
        <v>522</v>
      </c>
      <c r="H2390" s="6" t="s">
        <v>523</v>
      </c>
      <c r="I2390" s="6" t="s">
        <v>31</v>
      </c>
      <c r="J2390" s="6">
        <v>16.589950999999999</v>
      </c>
      <c r="K2390" s="6">
        <v>-97.226136999999994</v>
      </c>
      <c r="L2390" s="6" t="str">
        <f>HYPERLINK("https://maps.google.com/?q=16.589951,-97.226136999999994", "🔗 Ver Mapa")</f>
        <v>🔗 Ver Mapa</v>
      </c>
    </row>
    <row r="2391" spans="1:12" ht="43.5" x14ac:dyDescent="0.35">
      <c r="A2391" s="5" t="s">
        <v>98</v>
      </c>
      <c r="B2391" s="5" t="s">
        <v>99</v>
      </c>
      <c r="C2391" s="5" t="s">
        <v>521</v>
      </c>
      <c r="D2391" s="5" t="s">
        <v>14</v>
      </c>
      <c r="E2391" s="5" t="s">
        <v>39</v>
      </c>
      <c r="F2391" s="5" t="s">
        <v>494</v>
      </c>
      <c r="G2391" s="5" t="s">
        <v>522</v>
      </c>
      <c r="H2391" s="5" t="s">
        <v>523</v>
      </c>
      <c r="I2391" s="5" t="s">
        <v>31</v>
      </c>
      <c r="J2391" s="5">
        <v>16.593477</v>
      </c>
      <c r="K2391" s="5">
        <v>-97.223169999999996</v>
      </c>
      <c r="L2391" s="5" t="str">
        <f>HYPERLINK("https://maps.google.com/?q=16.593477,-97.223169999999996", "🔗 Ver Mapa")</f>
        <v>🔗 Ver Mapa</v>
      </c>
    </row>
    <row r="2392" spans="1:12" ht="43.5" x14ac:dyDescent="0.35">
      <c r="A2392" s="6" t="s">
        <v>98</v>
      </c>
      <c r="B2392" s="6" t="s">
        <v>99</v>
      </c>
      <c r="C2392" s="6" t="s">
        <v>521</v>
      </c>
      <c r="D2392" s="6" t="s">
        <v>14</v>
      </c>
      <c r="E2392" s="6" t="s">
        <v>39</v>
      </c>
      <c r="F2392" s="6" t="s">
        <v>494</v>
      </c>
      <c r="G2392" s="6" t="s">
        <v>522</v>
      </c>
      <c r="H2392" s="6" t="s">
        <v>523</v>
      </c>
      <c r="I2392" s="6" t="s">
        <v>31</v>
      </c>
      <c r="J2392" s="6">
        <v>16.593729</v>
      </c>
      <c r="K2392" s="6">
        <v>-97.222324999999998</v>
      </c>
      <c r="L2392" s="6" t="str">
        <f>HYPERLINK("https://maps.google.com/?q=16.593729,-97.222324999999998", "🔗 Ver Mapa")</f>
        <v>🔗 Ver Mapa</v>
      </c>
    </row>
    <row r="2393" spans="1:12" ht="43.5" x14ac:dyDescent="0.35">
      <c r="A2393" s="5" t="s">
        <v>98</v>
      </c>
      <c r="B2393" s="5" t="s">
        <v>99</v>
      </c>
      <c r="C2393" s="5" t="s">
        <v>521</v>
      </c>
      <c r="D2393" s="5" t="s">
        <v>14</v>
      </c>
      <c r="E2393" s="5" t="s">
        <v>39</v>
      </c>
      <c r="F2393" s="5" t="s">
        <v>494</v>
      </c>
      <c r="G2393" s="5" t="s">
        <v>522</v>
      </c>
      <c r="H2393" s="5" t="s">
        <v>523</v>
      </c>
      <c r="I2393" s="5" t="s">
        <v>31</v>
      </c>
      <c r="J2393" s="5">
        <v>16.595173625524001</v>
      </c>
      <c r="K2393" s="5">
        <v>-97.224586379133001</v>
      </c>
      <c r="L2393" s="5" t="str">
        <f>HYPERLINK("https://maps.google.com/?q=16.5951736255239,-97.2245863791332", "🔗 Ver Mapa")</f>
        <v>🔗 Ver Mapa</v>
      </c>
    </row>
    <row r="2394" spans="1:12" ht="43.5" x14ac:dyDescent="0.35">
      <c r="A2394" s="6" t="s">
        <v>98</v>
      </c>
      <c r="B2394" s="6" t="s">
        <v>99</v>
      </c>
      <c r="C2394" s="6" t="s">
        <v>521</v>
      </c>
      <c r="D2394" s="6" t="s">
        <v>14</v>
      </c>
      <c r="E2394" s="6" t="s">
        <v>39</v>
      </c>
      <c r="F2394" s="6" t="s">
        <v>494</v>
      </c>
      <c r="G2394" s="6" t="s">
        <v>522</v>
      </c>
      <c r="H2394" s="6" t="s">
        <v>523</v>
      </c>
      <c r="I2394" s="6" t="s">
        <v>31</v>
      </c>
      <c r="J2394" s="6">
        <v>16.595671848355</v>
      </c>
      <c r="K2394" s="6">
        <v>-97.223602326388999</v>
      </c>
      <c r="L2394" s="6" t="str">
        <f>HYPERLINK("https://maps.google.com/?q=16.5956718483552,-97.223602326389496", "🔗 Ver Mapa")</f>
        <v>🔗 Ver Mapa</v>
      </c>
    </row>
    <row r="2395" spans="1:12" ht="43.5" x14ac:dyDescent="0.35">
      <c r="A2395" s="5" t="s">
        <v>98</v>
      </c>
      <c r="B2395" s="5" t="s">
        <v>99</v>
      </c>
      <c r="C2395" s="5" t="s">
        <v>521</v>
      </c>
      <c r="D2395" s="5" t="s">
        <v>14</v>
      </c>
      <c r="E2395" s="5" t="s">
        <v>39</v>
      </c>
      <c r="F2395" s="5" t="s">
        <v>494</v>
      </c>
      <c r="G2395" s="5" t="s">
        <v>522</v>
      </c>
      <c r="H2395" s="5" t="s">
        <v>523</v>
      </c>
      <c r="I2395" s="5" t="s">
        <v>31</v>
      </c>
      <c r="J2395" s="5">
        <v>16.595922474171999</v>
      </c>
      <c r="K2395" s="5">
        <v>-97.223586236746002</v>
      </c>
      <c r="L2395" s="5" t="str">
        <f>HYPERLINK("https://maps.google.com/?q=16.5959224741717,-97.223586236745803", "🔗 Ver Mapa")</f>
        <v>🔗 Ver Mapa</v>
      </c>
    </row>
    <row r="2396" spans="1:12" ht="43.5" x14ac:dyDescent="0.35">
      <c r="A2396" s="6" t="s">
        <v>98</v>
      </c>
      <c r="B2396" s="6" t="s">
        <v>99</v>
      </c>
      <c r="C2396" s="6" t="s">
        <v>521</v>
      </c>
      <c r="D2396" s="6" t="s">
        <v>14</v>
      </c>
      <c r="E2396" s="6" t="s">
        <v>39</v>
      </c>
      <c r="F2396" s="6" t="s">
        <v>494</v>
      </c>
      <c r="G2396" s="6" t="s">
        <v>522</v>
      </c>
      <c r="H2396" s="6" t="s">
        <v>523</v>
      </c>
      <c r="I2396" s="6" t="s">
        <v>31</v>
      </c>
      <c r="J2396" s="6">
        <v>16.599475387992001</v>
      </c>
      <c r="K2396" s="6">
        <v>-97.219423630335996</v>
      </c>
      <c r="L2396" s="6" t="str">
        <f>HYPERLINK("https://maps.google.com/?q=16.5994753879922,-97.219423630336294", "🔗 Ver Mapa")</f>
        <v>🔗 Ver Mapa</v>
      </c>
    </row>
    <row r="2397" spans="1:12" ht="43.5" x14ac:dyDescent="0.35">
      <c r="A2397" s="5" t="s">
        <v>98</v>
      </c>
      <c r="B2397" s="5" t="s">
        <v>99</v>
      </c>
      <c r="C2397" s="5" t="s">
        <v>521</v>
      </c>
      <c r="D2397" s="5" t="s">
        <v>14</v>
      </c>
      <c r="E2397" s="5" t="s">
        <v>39</v>
      </c>
      <c r="F2397" s="5" t="s">
        <v>494</v>
      </c>
      <c r="G2397" s="5" t="s">
        <v>522</v>
      </c>
      <c r="H2397" s="5" t="s">
        <v>523</v>
      </c>
      <c r="I2397" s="5" t="s">
        <v>31</v>
      </c>
      <c r="J2397" s="5">
        <v>16.599600182046</v>
      </c>
      <c r="K2397" s="5">
        <v>-97.220665775463004</v>
      </c>
      <c r="L2397" s="5" t="str">
        <f>HYPERLINK("https://maps.google.com/?q=16.5996001820463,-97.220665775463203", "🔗 Ver Mapa")</f>
        <v>🔗 Ver Mapa</v>
      </c>
    </row>
    <row r="2398" spans="1:12" ht="43.5" x14ac:dyDescent="0.35">
      <c r="A2398" s="6" t="s">
        <v>98</v>
      </c>
      <c r="B2398" s="6" t="s">
        <v>99</v>
      </c>
      <c r="C2398" s="6" t="s">
        <v>521</v>
      </c>
      <c r="D2398" s="6" t="s">
        <v>14</v>
      </c>
      <c r="E2398" s="6" t="s">
        <v>39</v>
      </c>
      <c r="F2398" s="6" t="s">
        <v>494</v>
      </c>
      <c r="G2398" s="6" t="s">
        <v>522</v>
      </c>
      <c r="H2398" s="6" t="s">
        <v>523</v>
      </c>
      <c r="I2398" s="6" t="s">
        <v>31</v>
      </c>
      <c r="J2398" s="6">
        <v>16.600088037913</v>
      </c>
      <c r="K2398" s="6">
        <v>-97.219522069940993</v>
      </c>
      <c r="L2398" s="6" t="str">
        <f>HYPERLINK("https://maps.google.com/?q=16.6000880379132,-97.219522069940595", "🔗 Ver Mapa")</f>
        <v>🔗 Ver Mapa</v>
      </c>
    </row>
    <row r="2399" spans="1:12" ht="43.5" x14ac:dyDescent="0.35">
      <c r="A2399" s="5" t="s">
        <v>98</v>
      </c>
      <c r="B2399" s="5" t="s">
        <v>99</v>
      </c>
      <c r="C2399" s="5" t="s">
        <v>521</v>
      </c>
      <c r="D2399" s="5" t="s">
        <v>14</v>
      </c>
      <c r="E2399" s="5" t="s">
        <v>39</v>
      </c>
      <c r="F2399" s="5" t="s">
        <v>494</v>
      </c>
      <c r="G2399" s="5" t="s">
        <v>522</v>
      </c>
      <c r="H2399" s="5" t="s">
        <v>523</v>
      </c>
      <c r="I2399" s="5" t="s">
        <v>31</v>
      </c>
      <c r="J2399" s="5">
        <v>16.600243548277</v>
      </c>
      <c r="K2399" s="5">
        <v>-97.219314198741998</v>
      </c>
      <c r="L2399" s="5" t="str">
        <f>HYPERLINK("https://maps.google.com/?q=16.6002435482766,-97.219314198741898", "🔗 Ver Mapa")</f>
        <v>🔗 Ver Mapa</v>
      </c>
    </row>
    <row r="2400" spans="1:12" ht="43.5" x14ac:dyDescent="0.35">
      <c r="A2400" s="6" t="s">
        <v>98</v>
      </c>
      <c r="B2400" s="6" t="s">
        <v>99</v>
      </c>
      <c r="C2400" s="6" t="s">
        <v>521</v>
      </c>
      <c r="D2400" s="6" t="s">
        <v>14</v>
      </c>
      <c r="E2400" s="6" t="s">
        <v>39</v>
      </c>
      <c r="F2400" s="6" t="s">
        <v>494</v>
      </c>
      <c r="G2400" s="6" t="s">
        <v>522</v>
      </c>
      <c r="H2400" s="6" t="s">
        <v>523</v>
      </c>
      <c r="I2400" s="6" t="s">
        <v>31</v>
      </c>
      <c r="J2400" s="6">
        <v>16.600779861843002</v>
      </c>
      <c r="K2400" s="6">
        <v>-97.219528130241002</v>
      </c>
      <c r="L2400" s="6" t="str">
        <f>HYPERLINK("https://maps.google.com/?q=16.6007798618428,-97.219528130240505", "🔗 Ver Mapa")</f>
        <v>🔗 Ver Mapa</v>
      </c>
    </row>
    <row r="2401" spans="1:12" ht="43.5" x14ac:dyDescent="0.35">
      <c r="A2401" s="5" t="s">
        <v>98</v>
      </c>
      <c r="B2401" s="5" t="s">
        <v>99</v>
      </c>
      <c r="C2401" s="5" t="s">
        <v>521</v>
      </c>
      <c r="D2401" s="5" t="s">
        <v>14</v>
      </c>
      <c r="E2401" s="5" t="s">
        <v>39</v>
      </c>
      <c r="F2401" s="5" t="s">
        <v>494</v>
      </c>
      <c r="G2401" s="5" t="s">
        <v>522</v>
      </c>
      <c r="H2401" s="5" t="s">
        <v>523</v>
      </c>
      <c r="I2401" s="5" t="s">
        <v>31</v>
      </c>
      <c r="J2401" s="5">
        <v>16.603794969296001</v>
      </c>
      <c r="K2401" s="5">
        <v>-97.217273478505007</v>
      </c>
      <c r="L2401" s="5" t="str">
        <f>HYPERLINK("https://maps.google.com/?q=16.6037949692958,-97.217273478504595", "🔗 Ver Mapa")</f>
        <v>🔗 Ver Mapa</v>
      </c>
    </row>
    <row r="2402" spans="1:12" ht="43.5" x14ac:dyDescent="0.35">
      <c r="A2402" s="6" t="s">
        <v>98</v>
      </c>
      <c r="B2402" s="6" t="s">
        <v>99</v>
      </c>
      <c r="C2402" s="6" t="s">
        <v>521</v>
      </c>
      <c r="D2402" s="6" t="s">
        <v>14</v>
      </c>
      <c r="E2402" s="6" t="s">
        <v>39</v>
      </c>
      <c r="F2402" s="6" t="s">
        <v>494</v>
      </c>
      <c r="G2402" s="6" t="s">
        <v>522</v>
      </c>
      <c r="H2402" s="6" t="s">
        <v>523</v>
      </c>
      <c r="I2402" s="6" t="s">
        <v>31</v>
      </c>
      <c r="J2402" s="6">
        <v>16.604363394934001</v>
      </c>
      <c r="K2402" s="6">
        <v>-97.216166473938998</v>
      </c>
      <c r="L2402" s="6" t="str">
        <f>HYPERLINK("https://maps.google.com/?q=16.6043633949343,-97.2161664739385", "🔗 Ver Mapa")</f>
        <v>🔗 Ver Mapa</v>
      </c>
    </row>
    <row r="2403" spans="1:12" ht="43.5" x14ac:dyDescent="0.35">
      <c r="A2403" s="5" t="s">
        <v>516</v>
      </c>
      <c r="B2403" s="5" t="s">
        <v>517</v>
      </c>
      <c r="C2403" s="5" t="s">
        <v>524</v>
      </c>
      <c r="D2403" s="5" t="s">
        <v>58</v>
      </c>
      <c r="E2403" s="5" t="s">
        <v>52</v>
      </c>
      <c r="F2403" s="5" t="s">
        <v>70</v>
      </c>
      <c r="G2403" s="5" t="s">
        <v>178</v>
      </c>
      <c r="H2403" s="5" t="s">
        <v>179</v>
      </c>
      <c r="I2403" s="5" t="s">
        <v>32</v>
      </c>
      <c r="J2403" s="5">
        <v>17.049395438426998</v>
      </c>
      <c r="K2403" s="5">
        <v>-96.624576762378993</v>
      </c>
      <c r="L2403" s="5" t="str">
        <f>HYPERLINK("https://maps.google.com/?q=17.04939543842666,-96.624576762378936", "🔗 Ver Mapa")</f>
        <v>🔗 Ver Mapa</v>
      </c>
    </row>
    <row r="2404" spans="1:12" ht="43.5" x14ac:dyDescent="0.35">
      <c r="A2404" s="6" t="s">
        <v>516</v>
      </c>
      <c r="B2404" s="6" t="s">
        <v>517</v>
      </c>
      <c r="C2404" s="6" t="s">
        <v>524</v>
      </c>
      <c r="D2404" s="6" t="s">
        <v>58</v>
      </c>
      <c r="E2404" s="6" t="s">
        <v>52</v>
      </c>
      <c r="F2404" s="6" t="s">
        <v>70</v>
      </c>
      <c r="G2404" s="6" t="s">
        <v>178</v>
      </c>
      <c r="H2404" s="6" t="s">
        <v>179</v>
      </c>
      <c r="I2404" s="6" t="s">
        <v>32</v>
      </c>
      <c r="J2404" s="6">
        <v>17.049471698434001</v>
      </c>
      <c r="K2404" s="6">
        <v>-96.624377848194996</v>
      </c>
      <c r="L2404" s="6" t="str">
        <f>HYPERLINK("https://maps.google.com/?q=17.049471698433955,-96.624377848195465", "🔗 Ver Mapa")</f>
        <v>🔗 Ver Mapa</v>
      </c>
    </row>
    <row r="2405" spans="1:12" ht="43.5" x14ac:dyDescent="0.35">
      <c r="A2405" s="5" t="s">
        <v>516</v>
      </c>
      <c r="B2405" s="5" t="s">
        <v>517</v>
      </c>
      <c r="C2405" s="5" t="s">
        <v>524</v>
      </c>
      <c r="D2405" s="5" t="s">
        <v>58</v>
      </c>
      <c r="E2405" s="5" t="s">
        <v>52</v>
      </c>
      <c r="F2405" s="5" t="s">
        <v>70</v>
      </c>
      <c r="G2405" s="5" t="s">
        <v>178</v>
      </c>
      <c r="H2405" s="5" t="s">
        <v>179</v>
      </c>
      <c r="I2405" s="5" t="s">
        <v>32</v>
      </c>
      <c r="J2405" s="5">
        <v>17.049483240000001</v>
      </c>
      <c r="K2405" s="5">
        <v>-96.624862620000002</v>
      </c>
      <c r="L2405" s="5" t="str">
        <f>HYPERLINK("https://maps.google.com/?q=17.04948324,-96.624862620000002", "🔗 Ver Mapa")</f>
        <v>🔗 Ver Mapa</v>
      </c>
    </row>
    <row r="2406" spans="1:12" ht="43.5" x14ac:dyDescent="0.35">
      <c r="A2406" s="6" t="s">
        <v>516</v>
      </c>
      <c r="B2406" s="6" t="s">
        <v>517</v>
      </c>
      <c r="C2406" s="6" t="s">
        <v>524</v>
      </c>
      <c r="D2406" s="6" t="s">
        <v>58</v>
      </c>
      <c r="E2406" s="6" t="s">
        <v>52</v>
      </c>
      <c r="F2406" s="6" t="s">
        <v>70</v>
      </c>
      <c r="G2406" s="6" t="s">
        <v>178</v>
      </c>
      <c r="H2406" s="6" t="s">
        <v>179</v>
      </c>
      <c r="I2406" s="6" t="s">
        <v>32</v>
      </c>
      <c r="J2406" s="6">
        <v>17.049483241568002</v>
      </c>
      <c r="K2406" s="6">
        <v>-96.624862623357998</v>
      </c>
      <c r="L2406" s="6" t="str">
        <f>HYPERLINK("https://maps.google.com/?q=17.049483241568065,-96.624862623357984", "🔗 Ver Mapa")</f>
        <v>🔗 Ver Mapa</v>
      </c>
    </row>
    <row r="2407" spans="1:12" ht="43.5" x14ac:dyDescent="0.35">
      <c r="A2407" s="5" t="s">
        <v>516</v>
      </c>
      <c r="B2407" s="5" t="s">
        <v>517</v>
      </c>
      <c r="C2407" s="5" t="s">
        <v>524</v>
      </c>
      <c r="D2407" s="5" t="s">
        <v>58</v>
      </c>
      <c r="E2407" s="5" t="s">
        <v>52</v>
      </c>
      <c r="F2407" s="5" t="s">
        <v>70</v>
      </c>
      <c r="G2407" s="5" t="s">
        <v>178</v>
      </c>
      <c r="H2407" s="5" t="s">
        <v>179</v>
      </c>
      <c r="I2407" s="5" t="s">
        <v>32</v>
      </c>
      <c r="J2407" s="5">
        <v>17.049615392378001</v>
      </c>
      <c r="K2407" s="5">
        <v>-96.625302584381004</v>
      </c>
      <c r="L2407" s="5" t="str">
        <f>HYPERLINK("https://maps.google.com/?q=17.049615392378048,-96.625302584380577", "🔗 Ver Mapa")</f>
        <v>🔗 Ver Mapa</v>
      </c>
    </row>
    <row r="2408" spans="1:12" ht="43.5" x14ac:dyDescent="0.35">
      <c r="A2408" s="6" t="s">
        <v>516</v>
      </c>
      <c r="B2408" s="6" t="s">
        <v>517</v>
      </c>
      <c r="C2408" s="6" t="s">
        <v>524</v>
      </c>
      <c r="D2408" s="6" t="s">
        <v>58</v>
      </c>
      <c r="E2408" s="6" t="s">
        <v>52</v>
      </c>
      <c r="F2408" s="6" t="s">
        <v>70</v>
      </c>
      <c r="G2408" s="6" t="s">
        <v>178</v>
      </c>
      <c r="H2408" s="6" t="s">
        <v>179</v>
      </c>
      <c r="I2408" s="6" t="s">
        <v>32</v>
      </c>
      <c r="J2408" s="6">
        <v>17.049748101502999</v>
      </c>
      <c r="K2408" s="6">
        <v>-96.624292280698</v>
      </c>
      <c r="L2408" s="6" t="str">
        <f>HYPERLINK("https://maps.google.com/?q=17.049748101502576,-96.624292280697617", "🔗 Ver Mapa")</f>
        <v>🔗 Ver Mapa</v>
      </c>
    </row>
    <row r="2409" spans="1:12" ht="43.5" x14ac:dyDescent="0.35">
      <c r="A2409" s="5" t="s">
        <v>516</v>
      </c>
      <c r="B2409" s="5" t="s">
        <v>517</v>
      </c>
      <c r="C2409" s="5" t="s">
        <v>524</v>
      </c>
      <c r="D2409" s="5" t="s">
        <v>58</v>
      </c>
      <c r="E2409" s="5" t="s">
        <v>52</v>
      </c>
      <c r="F2409" s="5" t="s">
        <v>70</v>
      </c>
      <c r="G2409" s="5" t="s">
        <v>178</v>
      </c>
      <c r="H2409" s="5" t="s">
        <v>179</v>
      </c>
      <c r="I2409" s="5" t="s">
        <v>32</v>
      </c>
      <c r="J2409" s="5">
        <v>17.049912670000001</v>
      </c>
      <c r="K2409" s="5">
        <v>-96.624731550000007</v>
      </c>
      <c r="L2409" s="5" t="str">
        <f>HYPERLINK("https://maps.google.com/?q=17.04991267,-96.624731550000007", "🔗 Ver Mapa")</f>
        <v>🔗 Ver Mapa</v>
      </c>
    </row>
    <row r="2410" spans="1:12" ht="43.5" x14ac:dyDescent="0.35">
      <c r="A2410" s="6" t="s">
        <v>516</v>
      </c>
      <c r="B2410" s="6" t="s">
        <v>517</v>
      </c>
      <c r="C2410" s="6" t="s">
        <v>524</v>
      </c>
      <c r="D2410" s="6" t="s">
        <v>58</v>
      </c>
      <c r="E2410" s="6" t="s">
        <v>52</v>
      </c>
      <c r="F2410" s="6" t="s">
        <v>70</v>
      </c>
      <c r="G2410" s="6" t="s">
        <v>178</v>
      </c>
      <c r="H2410" s="6" t="s">
        <v>179</v>
      </c>
      <c r="I2410" s="6" t="s">
        <v>32</v>
      </c>
      <c r="J2410" s="6">
        <v>17.050229455760999</v>
      </c>
      <c r="K2410" s="6">
        <v>-96.624159704155005</v>
      </c>
      <c r="L2410" s="6" t="str">
        <f>HYPERLINK("https://maps.google.com/?q=17.050229455761144,-96.624159704155417", "🔗 Ver Mapa")</f>
        <v>🔗 Ver Mapa</v>
      </c>
    </row>
    <row r="2411" spans="1:12" ht="43.5" x14ac:dyDescent="0.35">
      <c r="A2411" s="5" t="s">
        <v>516</v>
      </c>
      <c r="B2411" s="5" t="s">
        <v>517</v>
      </c>
      <c r="C2411" s="5" t="s">
        <v>524</v>
      </c>
      <c r="D2411" s="5" t="s">
        <v>58</v>
      </c>
      <c r="E2411" s="5" t="s">
        <v>52</v>
      </c>
      <c r="F2411" s="5" t="s">
        <v>70</v>
      </c>
      <c r="G2411" s="5" t="s">
        <v>178</v>
      </c>
      <c r="H2411" s="5" t="s">
        <v>179</v>
      </c>
      <c r="I2411" s="5" t="s">
        <v>32</v>
      </c>
      <c r="J2411" s="5">
        <v>17.05036767</v>
      </c>
      <c r="K2411" s="5">
        <v>-96.624607850000004</v>
      </c>
      <c r="L2411" s="5" t="str">
        <f>HYPERLINK("https://maps.google.com/?q=17.05036767,-96.624607850000004", "🔗 Ver Mapa")</f>
        <v>🔗 Ver Mapa</v>
      </c>
    </row>
    <row r="2412" spans="1:12" ht="43.5" x14ac:dyDescent="0.35">
      <c r="A2412" s="6" t="s">
        <v>516</v>
      </c>
      <c r="B2412" s="6" t="s">
        <v>517</v>
      </c>
      <c r="C2412" s="6" t="s">
        <v>524</v>
      </c>
      <c r="D2412" s="6" t="s">
        <v>58</v>
      </c>
      <c r="E2412" s="6" t="s">
        <v>52</v>
      </c>
      <c r="F2412" s="6" t="s">
        <v>70</v>
      </c>
      <c r="G2412" s="6" t="s">
        <v>178</v>
      </c>
      <c r="H2412" s="6" t="s">
        <v>179</v>
      </c>
      <c r="I2412" s="6" t="s">
        <v>32</v>
      </c>
      <c r="J2412" s="6">
        <v>17.050681869537001</v>
      </c>
      <c r="K2412" s="6">
        <v>-96.624039606520995</v>
      </c>
      <c r="L2412" s="6" t="str">
        <f>HYPERLINK("https://maps.google.com/?q=17.05068186953698,-96.62403960652135", "🔗 Ver Mapa")</f>
        <v>🔗 Ver Mapa</v>
      </c>
    </row>
    <row r="2413" spans="1:12" ht="43.5" x14ac:dyDescent="0.35">
      <c r="A2413" s="5" t="s">
        <v>516</v>
      </c>
      <c r="B2413" s="5" t="s">
        <v>517</v>
      </c>
      <c r="C2413" s="5" t="s">
        <v>524</v>
      </c>
      <c r="D2413" s="5" t="s">
        <v>58</v>
      </c>
      <c r="E2413" s="5" t="s">
        <v>52</v>
      </c>
      <c r="F2413" s="5" t="s">
        <v>70</v>
      </c>
      <c r="G2413" s="5" t="s">
        <v>178</v>
      </c>
      <c r="H2413" s="5" t="s">
        <v>179</v>
      </c>
      <c r="I2413" s="5" t="s">
        <v>32</v>
      </c>
      <c r="J2413" s="5">
        <v>17.050695709999999</v>
      </c>
      <c r="K2413" s="5">
        <v>-96.624080280000001</v>
      </c>
      <c r="L2413" s="5" t="str">
        <f>HYPERLINK("https://maps.google.com/?q=17.05069571,-96.624080280000001", "🔗 Ver Mapa")</f>
        <v>🔗 Ver Mapa</v>
      </c>
    </row>
    <row r="2414" spans="1:12" ht="43.5" x14ac:dyDescent="0.35">
      <c r="A2414" s="6" t="s">
        <v>516</v>
      </c>
      <c r="B2414" s="6" t="s">
        <v>517</v>
      </c>
      <c r="C2414" s="6" t="s">
        <v>524</v>
      </c>
      <c r="D2414" s="6" t="s">
        <v>58</v>
      </c>
      <c r="E2414" s="6" t="s">
        <v>52</v>
      </c>
      <c r="F2414" s="6" t="s">
        <v>70</v>
      </c>
      <c r="G2414" s="6" t="s">
        <v>178</v>
      </c>
      <c r="H2414" s="6" t="s">
        <v>179</v>
      </c>
      <c r="I2414" s="6" t="s">
        <v>32</v>
      </c>
      <c r="J2414" s="6">
        <v>17.050819390000001</v>
      </c>
      <c r="K2414" s="6">
        <v>-96.624482510000007</v>
      </c>
      <c r="L2414" s="6" t="str">
        <f>HYPERLINK("https://maps.google.com/?q=17.05081939,-96.624482510000007", "🔗 Ver Mapa")</f>
        <v>🔗 Ver Mapa</v>
      </c>
    </row>
    <row r="2415" spans="1:12" ht="43.5" x14ac:dyDescent="0.35">
      <c r="A2415" s="5" t="s">
        <v>516</v>
      </c>
      <c r="B2415" s="5" t="s">
        <v>517</v>
      </c>
      <c r="C2415" s="5" t="s">
        <v>524</v>
      </c>
      <c r="D2415" s="5" t="s">
        <v>58</v>
      </c>
      <c r="E2415" s="5" t="s">
        <v>52</v>
      </c>
      <c r="F2415" s="5" t="s">
        <v>70</v>
      </c>
      <c r="G2415" s="5" t="s">
        <v>178</v>
      </c>
      <c r="H2415" s="5" t="s">
        <v>179</v>
      </c>
      <c r="I2415" s="5" t="s">
        <v>32</v>
      </c>
      <c r="J2415" s="5">
        <v>17.051014015608999</v>
      </c>
      <c r="K2415" s="5">
        <v>-96.623947134961995</v>
      </c>
      <c r="L2415" s="5" t="str">
        <f>HYPERLINK("https://maps.google.com/?q=17.051014015608594,-96.62394713496154", "🔗 Ver Mapa")</f>
        <v>🔗 Ver Mapa</v>
      </c>
    </row>
    <row r="2416" spans="1:12" ht="43.5" x14ac:dyDescent="0.35">
      <c r="A2416" s="6" t="s">
        <v>516</v>
      </c>
      <c r="B2416" s="6" t="s">
        <v>517</v>
      </c>
      <c r="C2416" s="6" t="s">
        <v>524</v>
      </c>
      <c r="D2416" s="6" t="s">
        <v>58</v>
      </c>
      <c r="E2416" s="6" t="s">
        <v>52</v>
      </c>
      <c r="F2416" s="6" t="s">
        <v>70</v>
      </c>
      <c r="G2416" s="6" t="s">
        <v>178</v>
      </c>
      <c r="H2416" s="6" t="s">
        <v>179</v>
      </c>
      <c r="I2416" s="6" t="s">
        <v>32</v>
      </c>
      <c r="J2416" s="6">
        <v>17.05101402</v>
      </c>
      <c r="K2416" s="6">
        <v>-96.623947130000005</v>
      </c>
      <c r="L2416" s="6" t="str">
        <f>HYPERLINK("https://maps.google.com/?q=17.05101402,-96.623947130000005", "🔗 Ver Mapa")</f>
        <v>🔗 Ver Mapa</v>
      </c>
    </row>
    <row r="2417" spans="1:12" ht="43.5" x14ac:dyDescent="0.35">
      <c r="A2417" s="5" t="s">
        <v>516</v>
      </c>
      <c r="B2417" s="5" t="s">
        <v>517</v>
      </c>
      <c r="C2417" s="5" t="s">
        <v>524</v>
      </c>
      <c r="D2417" s="5" t="s">
        <v>58</v>
      </c>
      <c r="E2417" s="5" t="s">
        <v>52</v>
      </c>
      <c r="F2417" s="5" t="s">
        <v>70</v>
      </c>
      <c r="G2417" s="5" t="s">
        <v>178</v>
      </c>
      <c r="H2417" s="5" t="s">
        <v>179</v>
      </c>
      <c r="I2417" s="5" t="s">
        <v>32</v>
      </c>
      <c r="J2417" s="5">
        <v>17.05103252</v>
      </c>
      <c r="K2417" s="5">
        <v>-96.624046629999995</v>
      </c>
      <c r="L2417" s="5" t="str">
        <f>HYPERLINK("https://maps.google.com/?q=17.05103252,-96.624046629999995", "🔗 Ver Mapa")</f>
        <v>🔗 Ver Mapa</v>
      </c>
    </row>
    <row r="2418" spans="1:12" ht="43.5" x14ac:dyDescent="0.35">
      <c r="A2418" s="6" t="s">
        <v>516</v>
      </c>
      <c r="B2418" s="6" t="s">
        <v>517</v>
      </c>
      <c r="C2418" s="6" t="s">
        <v>524</v>
      </c>
      <c r="D2418" s="6" t="s">
        <v>58</v>
      </c>
      <c r="E2418" s="6" t="s">
        <v>52</v>
      </c>
      <c r="F2418" s="6" t="s">
        <v>70</v>
      </c>
      <c r="G2418" s="6" t="s">
        <v>178</v>
      </c>
      <c r="H2418" s="6" t="s">
        <v>179</v>
      </c>
      <c r="I2418" s="6" t="s">
        <v>32</v>
      </c>
      <c r="J2418" s="6">
        <v>17.051124210000001</v>
      </c>
      <c r="K2418" s="6">
        <v>-96.624509829999994</v>
      </c>
      <c r="L2418" s="6" t="str">
        <f>HYPERLINK("https://maps.google.com/?q=17.05112421,-96.624509829999994", "🔗 Ver Mapa")</f>
        <v>🔗 Ver Mapa</v>
      </c>
    </row>
    <row r="2419" spans="1:12" ht="43.5" x14ac:dyDescent="0.35">
      <c r="A2419" s="5" t="s">
        <v>516</v>
      </c>
      <c r="B2419" s="5" t="s">
        <v>517</v>
      </c>
      <c r="C2419" s="5" t="s">
        <v>524</v>
      </c>
      <c r="D2419" s="5" t="s">
        <v>58</v>
      </c>
      <c r="E2419" s="5" t="s">
        <v>52</v>
      </c>
      <c r="F2419" s="5" t="s">
        <v>70</v>
      </c>
      <c r="G2419" s="5" t="s">
        <v>178</v>
      </c>
      <c r="H2419" s="5" t="s">
        <v>179</v>
      </c>
      <c r="I2419" s="5" t="s">
        <v>32</v>
      </c>
      <c r="J2419" s="5">
        <v>17.051128309999999</v>
      </c>
      <c r="K2419" s="5">
        <v>-96.624382069999996</v>
      </c>
      <c r="L2419" s="5" t="str">
        <f>HYPERLINK("https://maps.google.com/?q=17.05112831,-96.624382069999996", "🔗 Ver Mapa")</f>
        <v>🔗 Ver Mapa</v>
      </c>
    </row>
    <row r="2420" spans="1:12" ht="43.5" x14ac:dyDescent="0.35">
      <c r="A2420" s="6" t="s">
        <v>516</v>
      </c>
      <c r="B2420" s="6" t="s">
        <v>517</v>
      </c>
      <c r="C2420" s="6" t="s">
        <v>524</v>
      </c>
      <c r="D2420" s="6" t="s">
        <v>58</v>
      </c>
      <c r="E2420" s="6" t="s">
        <v>52</v>
      </c>
      <c r="F2420" s="6" t="s">
        <v>70</v>
      </c>
      <c r="G2420" s="6" t="s">
        <v>178</v>
      </c>
      <c r="H2420" s="6" t="s">
        <v>179</v>
      </c>
      <c r="I2420" s="6" t="s">
        <v>32</v>
      </c>
      <c r="J2420" s="6">
        <v>17.051129979999999</v>
      </c>
      <c r="K2420" s="6">
        <v>-96.624539709999993</v>
      </c>
      <c r="L2420" s="6" t="str">
        <f>HYPERLINK("https://maps.google.com/?q=17.05112998,-96.624539709999993", "🔗 Ver Mapa")</f>
        <v>🔗 Ver Mapa</v>
      </c>
    </row>
    <row r="2421" spans="1:12" ht="43.5" x14ac:dyDescent="0.35">
      <c r="A2421" s="5" t="s">
        <v>516</v>
      </c>
      <c r="B2421" s="5" t="s">
        <v>517</v>
      </c>
      <c r="C2421" s="5" t="s">
        <v>524</v>
      </c>
      <c r="D2421" s="5" t="s">
        <v>58</v>
      </c>
      <c r="E2421" s="5" t="s">
        <v>52</v>
      </c>
      <c r="F2421" s="5" t="s">
        <v>70</v>
      </c>
      <c r="G2421" s="5" t="s">
        <v>178</v>
      </c>
      <c r="H2421" s="5" t="s">
        <v>179</v>
      </c>
      <c r="I2421" s="5" t="s">
        <v>32</v>
      </c>
      <c r="J2421" s="5">
        <v>17.05113532</v>
      </c>
      <c r="K2421" s="5">
        <v>-96.624092840000003</v>
      </c>
      <c r="L2421" s="5" t="str">
        <f>HYPERLINK("https://maps.google.com/?q=17.05113532,-96.624092840000003", "🔗 Ver Mapa")</f>
        <v>🔗 Ver Mapa</v>
      </c>
    </row>
    <row r="2422" spans="1:12" ht="43.5" x14ac:dyDescent="0.35">
      <c r="A2422" s="6" t="s">
        <v>516</v>
      </c>
      <c r="B2422" s="6" t="s">
        <v>517</v>
      </c>
      <c r="C2422" s="6" t="s">
        <v>524</v>
      </c>
      <c r="D2422" s="6" t="s">
        <v>58</v>
      </c>
      <c r="E2422" s="6" t="s">
        <v>52</v>
      </c>
      <c r="F2422" s="6" t="s">
        <v>70</v>
      </c>
      <c r="G2422" s="6" t="s">
        <v>178</v>
      </c>
      <c r="H2422" s="6" t="s">
        <v>179</v>
      </c>
      <c r="I2422" s="6" t="s">
        <v>32</v>
      </c>
      <c r="J2422" s="6">
        <v>17.051148139999999</v>
      </c>
      <c r="K2422" s="6">
        <v>-96.624454869999994</v>
      </c>
      <c r="L2422" s="6" t="str">
        <f>HYPERLINK("https://maps.google.com/?q=17.05114814,-96.624454869999994", "🔗 Ver Mapa")</f>
        <v>🔗 Ver Mapa</v>
      </c>
    </row>
    <row r="2423" spans="1:12" ht="43.5" x14ac:dyDescent="0.35">
      <c r="A2423" s="5" t="s">
        <v>516</v>
      </c>
      <c r="B2423" s="5" t="s">
        <v>517</v>
      </c>
      <c r="C2423" s="5" t="s">
        <v>524</v>
      </c>
      <c r="D2423" s="5" t="s">
        <v>58</v>
      </c>
      <c r="E2423" s="5" t="s">
        <v>52</v>
      </c>
      <c r="F2423" s="5" t="s">
        <v>70</v>
      </c>
      <c r="G2423" s="5" t="s">
        <v>178</v>
      </c>
      <c r="H2423" s="5" t="s">
        <v>179</v>
      </c>
      <c r="I2423" s="5" t="s">
        <v>32</v>
      </c>
      <c r="J2423" s="5">
        <v>17.051148649999998</v>
      </c>
      <c r="K2423" s="5">
        <v>-96.62460652</v>
      </c>
      <c r="L2423" s="5" t="str">
        <f>HYPERLINK("https://maps.google.com/?q=17.05114865,-96.62460652", "🔗 Ver Mapa")</f>
        <v>🔗 Ver Mapa</v>
      </c>
    </row>
    <row r="2424" spans="1:12" ht="43.5" x14ac:dyDescent="0.35">
      <c r="A2424" s="6" t="s">
        <v>516</v>
      </c>
      <c r="B2424" s="6" t="s">
        <v>517</v>
      </c>
      <c r="C2424" s="6" t="s">
        <v>524</v>
      </c>
      <c r="D2424" s="6" t="s">
        <v>58</v>
      </c>
      <c r="E2424" s="6" t="s">
        <v>52</v>
      </c>
      <c r="F2424" s="6" t="s">
        <v>70</v>
      </c>
      <c r="G2424" s="6" t="s">
        <v>178</v>
      </c>
      <c r="H2424" s="6" t="s">
        <v>179</v>
      </c>
      <c r="I2424" s="6" t="s">
        <v>32</v>
      </c>
      <c r="J2424" s="6">
        <v>17.051158879999999</v>
      </c>
      <c r="K2424" s="6">
        <v>-96.624647429999996</v>
      </c>
      <c r="L2424" s="6" t="str">
        <f>HYPERLINK("https://maps.google.com/?q=17.05115888,-96.624647429999996", "🔗 Ver Mapa")</f>
        <v>🔗 Ver Mapa</v>
      </c>
    </row>
    <row r="2425" spans="1:12" ht="43.5" x14ac:dyDescent="0.35">
      <c r="A2425" s="5" t="s">
        <v>516</v>
      </c>
      <c r="B2425" s="5" t="s">
        <v>517</v>
      </c>
      <c r="C2425" s="5" t="s">
        <v>524</v>
      </c>
      <c r="D2425" s="5" t="s">
        <v>58</v>
      </c>
      <c r="E2425" s="5" t="s">
        <v>52</v>
      </c>
      <c r="F2425" s="5" t="s">
        <v>70</v>
      </c>
      <c r="G2425" s="5" t="s">
        <v>178</v>
      </c>
      <c r="H2425" s="5" t="s">
        <v>179</v>
      </c>
      <c r="I2425" s="5" t="s">
        <v>32</v>
      </c>
      <c r="J2425" s="5">
        <v>17.051161539999999</v>
      </c>
      <c r="K2425" s="5">
        <v>-96.624095330000003</v>
      </c>
      <c r="L2425" s="5" t="str">
        <f>HYPERLINK("https://maps.google.com/?q=17.05116154,-96.624095330000003", "🔗 Ver Mapa")</f>
        <v>🔗 Ver Mapa</v>
      </c>
    </row>
    <row r="2426" spans="1:12" ht="43.5" x14ac:dyDescent="0.35">
      <c r="A2426" s="6" t="s">
        <v>516</v>
      </c>
      <c r="B2426" s="6" t="s">
        <v>517</v>
      </c>
      <c r="C2426" s="6" t="s">
        <v>524</v>
      </c>
      <c r="D2426" s="6" t="s">
        <v>58</v>
      </c>
      <c r="E2426" s="6" t="s">
        <v>52</v>
      </c>
      <c r="F2426" s="6" t="s">
        <v>70</v>
      </c>
      <c r="G2426" s="6" t="s">
        <v>178</v>
      </c>
      <c r="H2426" s="6" t="s">
        <v>179</v>
      </c>
      <c r="I2426" s="6" t="s">
        <v>32</v>
      </c>
      <c r="J2426" s="6">
        <v>17.05116735</v>
      </c>
      <c r="K2426" s="6">
        <v>-96.624514640000001</v>
      </c>
      <c r="L2426" s="6" t="str">
        <f>HYPERLINK("https://maps.google.com/?q=17.05116735,-96.624514640000001", "🔗 Ver Mapa")</f>
        <v>🔗 Ver Mapa</v>
      </c>
    </row>
    <row r="2427" spans="1:12" ht="43.5" x14ac:dyDescent="0.35">
      <c r="A2427" s="5" t="s">
        <v>516</v>
      </c>
      <c r="B2427" s="5" t="s">
        <v>517</v>
      </c>
      <c r="C2427" s="5" t="s">
        <v>524</v>
      </c>
      <c r="D2427" s="5" t="s">
        <v>58</v>
      </c>
      <c r="E2427" s="5" t="s">
        <v>52</v>
      </c>
      <c r="F2427" s="5" t="s">
        <v>70</v>
      </c>
      <c r="G2427" s="5" t="s">
        <v>178</v>
      </c>
      <c r="H2427" s="5" t="s">
        <v>179</v>
      </c>
      <c r="I2427" s="5" t="s">
        <v>32</v>
      </c>
      <c r="J2427" s="5">
        <v>17.051172279999999</v>
      </c>
      <c r="K2427" s="5">
        <v>-96.624132470000006</v>
      </c>
      <c r="L2427" s="5" t="str">
        <f>HYPERLINK("https://maps.google.com/?q=17.05117228,-96.624132470000006", "🔗 Ver Mapa")</f>
        <v>🔗 Ver Mapa</v>
      </c>
    </row>
    <row r="2428" spans="1:12" ht="43.5" x14ac:dyDescent="0.35">
      <c r="A2428" s="6" t="s">
        <v>516</v>
      </c>
      <c r="B2428" s="6" t="s">
        <v>517</v>
      </c>
      <c r="C2428" s="6" t="s">
        <v>524</v>
      </c>
      <c r="D2428" s="6" t="s">
        <v>58</v>
      </c>
      <c r="E2428" s="6" t="s">
        <v>52</v>
      </c>
      <c r="F2428" s="6" t="s">
        <v>70</v>
      </c>
      <c r="G2428" s="6" t="s">
        <v>178</v>
      </c>
      <c r="H2428" s="6" t="s">
        <v>179</v>
      </c>
      <c r="I2428" s="6" t="s">
        <v>32</v>
      </c>
      <c r="J2428" s="6">
        <v>17.051177070000001</v>
      </c>
      <c r="K2428" s="6">
        <v>-96.624712369999997</v>
      </c>
      <c r="L2428" s="6" t="str">
        <f>HYPERLINK("https://maps.google.com/?q=17.05117707,-96.624712369999997", "🔗 Ver Mapa")</f>
        <v>🔗 Ver Mapa</v>
      </c>
    </row>
    <row r="2429" spans="1:12" ht="43.5" x14ac:dyDescent="0.35">
      <c r="A2429" s="5" t="s">
        <v>516</v>
      </c>
      <c r="B2429" s="5" t="s">
        <v>517</v>
      </c>
      <c r="C2429" s="5" t="s">
        <v>524</v>
      </c>
      <c r="D2429" s="5" t="s">
        <v>58</v>
      </c>
      <c r="E2429" s="5" t="s">
        <v>52</v>
      </c>
      <c r="F2429" s="5" t="s">
        <v>70</v>
      </c>
      <c r="G2429" s="5" t="s">
        <v>178</v>
      </c>
      <c r="H2429" s="5" t="s">
        <v>179</v>
      </c>
      <c r="I2429" s="5" t="s">
        <v>32</v>
      </c>
      <c r="J2429" s="5">
        <v>17.051178579999998</v>
      </c>
      <c r="K2429" s="5">
        <v>-96.624555529999995</v>
      </c>
      <c r="L2429" s="5" t="str">
        <f>HYPERLINK("https://maps.google.com/?q=17.05117858,-96.624555529999995", "🔗 Ver Mapa")</f>
        <v>🔗 Ver Mapa</v>
      </c>
    </row>
    <row r="2430" spans="1:12" ht="43.5" x14ac:dyDescent="0.35">
      <c r="A2430" s="6" t="s">
        <v>516</v>
      </c>
      <c r="B2430" s="6" t="s">
        <v>517</v>
      </c>
      <c r="C2430" s="6" t="s">
        <v>524</v>
      </c>
      <c r="D2430" s="6" t="s">
        <v>58</v>
      </c>
      <c r="E2430" s="6" t="s">
        <v>52</v>
      </c>
      <c r="F2430" s="6" t="s">
        <v>70</v>
      </c>
      <c r="G2430" s="6" t="s">
        <v>178</v>
      </c>
      <c r="H2430" s="6" t="s">
        <v>179</v>
      </c>
      <c r="I2430" s="6" t="s">
        <v>32</v>
      </c>
      <c r="J2430" s="6">
        <v>17.051183510000001</v>
      </c>
      <c r="K2430" s="6">
        <v>-96.624174310000001</v>
      </c>
      <c r="L2430" s="6" t="str">
        <f>HYPERLINK("https://maps.google.com/?q=17.05118351,-96.624174310000001", "🔗 Ver Mapa")</f>
        <v>🔗 Ver Mapa</v>
      </c>
    </row>
    <row r="2431" spans="1:12" ht="43.5" x14ac:dyDescent="0.35">
      <c r="A2431" s="5" t="s">
        <v>516</v>
      </c>
      <c r="B2431" s="5" t="s">
        <v>517</v>
      </c>
      <c r="C2431" s="5" t="s">
        <v>524</v>
      </c>
      <c r="D2431" s="5" t="s">
        <v>58</v>
      </c>
      <c r="E2431" s="5" t="s">
        <v>52</v>
      </c>
      <c r="F2431" s="5" t="s">
        <v>70</v>
      </c>
      <c r="G2431" s="5" t="s">
        <v>178</v>
      </c>
      <c r="H2431" s="5" t="s">
        <v>179</v>
      </c>
      <c r="I2431" s="5" t="s">
        <v>32</v>
      </c>
      <c r="J2431" s="5">
        <v>17.051196239999999</v>
      </c>
      <c r="K2431" s="5">
        <v>-96.624621320000003</v>
      </c>
      <c r="L2431" s="5" t="str">
        <f>HYPERLINK("https://maps.google.com/?q=17.05119624,-96.624621320000003", "🔗 Ver Mapa")</f>
        <v>🔗 Ver Mapa</v>
      </c>
    </row>
    <row r="2432" spans="1:12" ht="43.5" x14ac:dyDescent="0.35">
      <c r="A2432" s="6" t="s">
        <v>516</v>
      </c>
      <c r="B2432" s="6" t="s">
        <v>517</v>
      </c>
      <c r="C2432" s="6" t="s">
        <v>524</v>
      </c>
      <c r="D2432" s="6" t="s">
        <v>58</v>
      </c>
      <c r="E2432" s="6" t="s">
        <v>52</v>
      </c>
      <c r="F2432" s="6" t="s">
        <v>70</v>
      </c>
      <c r="G2432" s="6" t="s">
        <v>178</v>
      </c>
      <c r="H2432" s="6" t="s">
        <v>179</v>
      </c>
      <c r="I2432" s="6" t="s">
        <v>32</v>
      </c>
      <c r="J2432" s="6">
        <v>17.051197269999999</v>
      </c>
      <c r="K2432" s="6">
        <v>-96.624438569999995</v>
      </c>
      <c r="L2432" s="6" t="str">
        <f>HYPERLINK("https://maps.google.com/?q=17.05119727,-96.624438569999995", "🔗 Ver Mapa")</f>
        <v>🔗 Ver Mapa</v>
      </c>
    </row>
    <row r="2433" spans="1:12" ht="43.5" x14ac:dyDescent="0.35">
      <c r="A2433" s="5" t="s">
        <v>516</v>
      </c>
      <c r="B2433" s="5" t="s">
        <v>517</v>
      </c>
      <c r="C2433" s="5" t="s">
        <v>524</v>
      </c>
      <c r="D2433" s="5" t="s">
        <v>58</v>
      </c>
      <c r="E2433" s="5" t="s">
        <v>52</v>
      </c>
      <c r="F2433" s="5" t="s">
        <v>70</v>
      </c>
      <c r="G2433" s="5" t="s">
        <v>178</v>
      </c>
      <c r="H2433" s="5" t="s">
        <v>179</v>
      </c>
      <c r="I2433" s="5" t="s">
        <v>32</v>
      </c>
      <c r="J2433" s="5">
        <v>17.051200739999999</v>
      </c>
      <c r="K2433" s="5">
        <v>-96.624241789999999</v>
      </c>
      <c r="L2433" s="5" t="str">
        <f>HYPERLINK("https://maps.google.com/?q=17.05120074,-96.624241789999999", "🔗 Ver Mapa")</f>
        <v>🔗 Ver Mapa</v>
      </c>
    </row>
    <row r="2434" spans="1:12" ht="43.5" x14ac:dyDescent="0.35">
      <c r="A2434" s="6" t="s">
        <v>516</v>
      </c>
      <c r="B2434" s="6" t="s">
        <v>517</v>
      </c>
      <c r="C2434" s="6" t="s">
        <v>524</v>
      </c>
      <c r="D2434" s="6" t="s">
        <v>58</v>
      </c>
      <c r="E2434" s="6" t="s">
        <v>52</v>
      </c>
      <c r="F2434" s="6" t="s">
        <v>70</v>
      </c>
      <c r="G2434" s="6" t="s">
        <v>178</v>
      </c>
      <c r="H2434" s="6" t="s">
        <v>179</v>
      </c>
      <c r="I2434" s="6" t="s">
        <v>32</v>
      </c>
      <c r="J2434" s="6">
        <v>17.051206260000001</v>
      </c>
      <c r="K2434" s="6">
        <v>-96.624821030000007</v>
      </c>
      <c r="L2434" s="6" t="str">
        <f>HYPERLINK("https://maps.google.com/?q=17.05120626,-96.624821030000007", "🔗 Ver Mapa")</f>
        <v>🔗 Ver Mapa</v>
      </c>
    </row>
    <row r="2435" spans="1:12" ht="43.5" x14ac:dyDescent="0.35">
      <c r="A2435" s="5" t="s">
        <v>516</v>
      </c>
      <c r="B2435" s="5" t="s">
        <v>517</v>
      </c>
      <c r="C2435" s="5" t="s">
        <v>524</v>
      </c>
      <c r="D2435" s="5" t="s">
        <v>58</v>
      </c>
      <c r="E2435" s="5" t="s">
        <v>52</v>
      </c>
      <c r="F2435" s="5" t="s">
        <v>70</v>
      </c>
      <c r="G2435" s="5" t="s">
        <v>178</v>
      </c>
      <c r="H2435" s="5" t="s">
        <v>179</v>
      </c>
      <c r="I2435" s="5" t="s">
        <v>32</v>
      </c>
      <c r="J2435" s="5">
        <v>17.051206839999999</v>
      </c>
      <c r="K2435" s="5">
        <v>-96.624662509999993</v>
      </c>
      <c r="L2435" s="5" t="str">
        <f>HYPERLINK("https://maps.google.com/?q=17.05120684,-96.624662509999993", "🔗 Ver Mapa")</f>
        <v>🔗 Ver Mapa</v>
      </c>
    </row>
    <row r="2436" spans="1:12" ht="43.5" x14ac:dyDescent="0.35">
      <c r="A2436" s="6" t="s">
        <v>516</v>
      </c>
      <c r="B2436" s="6" t="s">
        <v>517</v>
      </c>
      <c r="C2436" s="6" t="s">
        <v>524</v>
      </c>
      <c r="D2436" s="6" t="s">
        <v>58</v>
      </c>
      <c r="E2436" s="6" t="s">
        <v>52</v>
      </c>
      <c r="F2436" s="6" t="s">
        <v>70</v>
      </c>
      <c r="G2436" s="6" t="s">
        <v>178</v>
      </c>
      <c r="H2436" s="6" t="s">
        <v>179</v>
      </c>
      <c r="I2436" s="6" t="s">
        <v>32</v>
      </c>
      <c r="J2436" s="6">
        <v>17.05122385</v>
      </c>
      <c r="K2436" s="6">
        <v>-96.624726800000005</v>
      </c>
      <c r="L2436" s="6" t="str">
        <f>HYPERLINK("https://maps.google.com/?q=17.05122385,-96.624726800000005", "🔗 Ver Mapa")</f>
        <v>🔗 Ver Mapa</v>
      </c>
    </row>
    <row r="2437" spans="1:12" ht="43.5" x14ac:dyDescent="0.35">
      <c r="A2437" s="5" t="s">
        <v>516</v>
      </c>
      <c r="B2437" s="5" t="s">
        <v>517</v>
      </c>
      <c r="C2437" s="5" t="s">
        <v>524</v>
      </c>
      <c r="D2437" s="5" t="s">
        <v>58</v>
      </c>
      <c r="E2437" s="5" t="s">
        <v>52</v>
      </c>
      <c r="F2437" s="5" t="s">
        <v>70</v>
      </c>
      <c r="G2437" s="5" t="s">
        <v>178</v>
      </c>
      <c r="H2437" s="5" t="s">
        <v>179</v>
      </c>
      <c r="I2437" s="5" t="s">
        <v>32</v>
      </c>
      <c r="J2437" s="5">
        <v>17.051237</v>
      </c>
      <c r="K2437" s="5">
        <v>-96.624375900000004</v>
      </c>
      <c r="L2437" s="5" t="str">
        <f>HYPERLINK("https://maps.google.com/?q=17.051237,-96.624375900000004", "🔗 Ver Mapa")</f>
        <v>🔗 Ver Mapa</v>
      </c>
    </row>
    <row r="2438" spans="1:12" ht="43.5" x14ac:dyDescent="0.35">
      <c r="A2438" s="6" t="s">
        <v>516</v>
      </c>
      <c r="B2438" s="6" t="s">
        <v>517</v>
      </c>
      <c r="C2438" s="6" t="s">
        <v>524</v>
      </c>
      <c r="D2438" s="6" t="s">
        <v>58</v>
      </c>
      <c r="E2438" s="6" t="s">
        <v>52</v>
      </c>
      <c r="F2438" s="6" t="s">
        <v>70</v>
      </c>
      <c r="G2438" s="6" t="s">
        <v>178</v>
      </c>
      <c r="H2438" s="6" t="s">
        <v>179</v>
      </c>
      <c r="I2438" s="6" t="s">
        <v>32</v>
      </c>
      <c r="J2438" s="6">
        <v>17.051248210000001</v>
      </c>
      <c r="K2438" s="6">
        <v>-96.624808569999999</v>
      </c>
      <c r="L2438" s="6" t="str">
        <f>HYPERLINK("https://maps.google.com/?q=17.05124821,-96.624808569999999", "🔗 Ver Mapa")</f>
        <v>🔗 Ver Mapa</v>
      </c>
    </row>
    <row r="2439" spans="1:12" ht="43.5" x14ac:dyDescent="0.35">
      <c r="A2439" s="5" t="s">
        <v>516</v>
      </c>
      <c r="B2439" s="5" t="s">
        <v>517</v>
      </c>
      <c r="C2439" s="5" t="s">
        <v>524</v>
      </c>
      <c r="D2439" s="5" t="s">
        <v>58</v>
      </c>
      <c r="E2439" s="5" t="s">
        <v>52</v>
      </c>
      <c r="F2439" s="5" t="s">
        <v>70</v>
      </c>
      <c r="G2439" s="5" t="s">
        <v>178</v>
      </c>
      <c r="H2439" s="5" t="s">
        <v>179</v>
      </c>
      <c r="I2439" s="5" t="s">
        <v>32</v>
      </c>
      <c r="J2439" s="5">
        <v>17.05126113</v>
      </c>
      <c r="K2439" s="5">
        <v>-96.624369209999998</v>
      </c>
      <c r="L2439" s="5" t="str">
        <f>HYPERLINK("https://maps.google.com/?q=17.05126113,-96.624369209999998", "🔗 Ver Mapa")</f>
        <v>🔗 Ver Mapa</v>
      </c>
    </row>
    <row r="2440" spans="1:12" ht="43.5" x14ac:dyDescent="0.35">
      <c r="A2440" s="6" t="s">
        <v>516</v>
      </c>
      <c r="B2440" s="6" t="s">
        <v>517</v>
      </c>
      <c r="C2440" s="6" t="s">
        <v>524</v>
      </c>
      <c r="D2440" s="6" t="s">
        <v>58</v>
      </c>
      <c r="E2440" s="6" t="s">
        <v>52</v>
      </c>
      <c r="F2440" s="6" t="s">
        <v>70</v>
      </c>
      <c r="G2440" s="6" t="s">
        <v>178</v>
      </c>
      <c r="H2440" s="6" t="s">
        <v>179</v>
      </c>
      <c r="I2440" s="6" t="s">
        <v>32</v>
      </c>
      <c r="J2440" s="6">
        <v>17.051324600000001</v>
      </c>
      <c r="K2440" s="6">
        <v>-96.624350570000004</v>
      </c>
      <c r="L2440" s="6" t="str">
        <f>HYPERLINK("https://maps.google.com/?q=17.0513246,-96.624350570000004", "🔗 Ver Mapa")</f>
        <v>🔗 Ver Mapa</v>
      </c>
    </row>
    <row r="2441" spans="1:12" ht="43.5" x14ac:dyDescent="0.35">
      <c r="A2441" s="5" t="s">
        <v>516</v>
      </c>
      <c r="B2441" s="5" t="s">
        <v>517</v>
      </c>
      <c r="C2441" s="5" t="s">
        <v>524</v>
      </c>
      <c r="D2441" s="5" t="s">
        <v>58</v>
      </c>
      <c r="E2441" s="5" t="s">
        <v>52</v>
      </c>
      <c r="F2441" s="5" t="s">
        <v>70</v>
      </c>
      <c r="G2441" s="5" t="s">
        <v>178</v>
      </c>
      <c r="H2441" s="5" t="s">
        <v>179</v>
      </c>
      <c r="I2441" s="5" t="s">
        <v>32</v>
      </c>
      <c r="J2441" s="5">
        <v>17.0513537</v>
      </c>
      <c r="K2441" s="5">
        <v>-96.62439114</v>
      </c>
      <c r="L2441" s="5" t="str">
        <f>HYPERLINK("https://maps.google.com/?q=17.0513537,-96.62439114", "🔗 Ver Mapa")</f>
        <v>🔗 Ver Mapa</v>
      </c>
    </row>
    <row r="2442" spans="1:12" ht="43.5" x14ac:dyDescent="0.35">
      <c r="A2442" s="6" t="s">
        <v>516</v>
      </c>
      <c r="B2442" s="6" t="s">
        <v>517</v>
      </c>
      <c r="C2442" s="6" t="s">
        <v>524</v>
      </c>
      <c r="D2442" s="6" t="s">
        <v>58</v>
      </c>
      <c r="E2442" s="6" t="s">
        <v>52</v>
      </c>
      <c r="F2442" s="6" t="s">
        <v>70</v>
      </c>
      <c r="G2442" s="6" t="s">
        <v>178</v>
      </c>
      <c r="H2442" s="6" t="s">
        <v>179</v>
      </c>
      <c r="I2442" s="6" t="s">
        <v>32</v>
      </c>
      <c r="J2442" s="6">
        <v>17.05136998</v>
      </c>
      <c r="K2442" s="6">
        <v>-96.624454600000007</v>
      </c>
      <c r="L2442" s="6" t="str">
        <f>HYPERLINK("https://maps.google.com/?q=17.05136998,-96.624454600000007", "🔗 Ver Mapa")</f>
        <v>🔗 Ver Mapa</v>
      </c>
    </row>
    <row r="2443" spans="1:12" ht="43.5" x14ac:dyDescent="0.35">
      <c r="A2443" s="5" t="s">
        <v>516</v>
      </c>
      <c r="B2443" s="5" t="s">
        <v>517</v>
      </c>
      <c r="C2443" s="5" t="s">
        <v>524</v>
      </c>
      <c r="D2443" s="5" t="s">
        <v>58</v>
      </c>
      <c r="E2443" s="5" t="s">
        <v>52</v>
      </c>
      <c r="F2443" s="5" t="s">
        <v>70</v>
      </c>
      <c r="G2443" s="5" t="s">
        <v>178</v>
      </c>
      <c r="H2443" s="5" t="s">
        <v>179</v>
      </c>
      <c r="I2443" s="5" t="s">
        <v>32</v>
      </c>
      <c r="J2443" s="5">
        <v>17.0513814</v>
      </c>
      <c r="K2443" s="5">
        <v>-96.624496530000002</v>
      </c>
      <c r="L2443" s="5" t="str">
        <f>HYPERLINK("https://maps.google.com/?q=17.0513814,-96.624496530000002", "🔗 Ver Mapa")</f>
        <v>🔗 Ver Mapa</v>
      </c>
    </row>
    <row r="2444" spans="1:12" ht="43.5" x14ac:dyDescent="0.35">
      <c r="A2444" s="6" t="s">
        <v>516</v>
      </c>
      <c r="B2444" s="6" t="s">
        <v>517</v>
      </c>
      <c r="C2444" s="6" t="s">
        <v>524</v>
      </c>
      <c r="D2444" s="6" t="s">
        <v>58</v>
      </c>
      <c r="E2444" s="6" t="s">
        <v>52</v>
      </c>
      <c r="F2444" s="6" t="s">
        <v>70</v>
      </c>
      <c r="G2444" s="6" t="s">
        <v>178</v>
      </c>
      <c r="H2444" s="6" t="s">
        <v>179</v>
      </c>
      <c r="I2444" s="6" t="s">
        <v>32</v>
      </c>
      <c r="J2444" s="6">
        <v>17.051385967556001</v>
      </c>
      <c r="K2444" s="6">
        <v>-96.623836693138998</v>
      </c>
      <c r="L2444" s="6" t="str">
        <f>HYPERLINK("https://maps.google.com/?q=17.051385967556218,-96.623836693138742", "🔗 Ver Mapa")</f>
        <v>🔗 Ver Mapa</v>
      </c>
    </row>
    <row r="2445" spans="1:12" ht="43.5" x14ac:dyDescent="0.35">
      <c r="A2445" s="5" t="s">
        <v>516</v>
      </c>
      <c r="B2445" s="5" t="s">
        <v>517</v>
      </c>
      <c r="C2445" s="5" t="s">
        <v>524</v>
      </c>
      <c r="D2445" s="5" t="s">
        <v>58</v>
      </c>
      <c r="E2445" s="5" t="s">
        <v>52</v>
      </c>
      <c r="F2445" s="5" t="s">
        <v>70</v>
      </c>
      <c r="G2445" s="5" t="s">
        <v>178</v>
      </c>
      <c r="H2445" s="5" t="s">
        <v>179</v>
      </c>
      <c r="I2445" s="5" t="s">
        <v>32</v>
      </c>
      <c r="J2445" s="5">
        <v>17.051385969999998</v>
      </c>
      <c r="K2445" s="5">
        <v>-96.623836690000005</v>
      </c>
      <c r="L2445" s="5" t="str">
        <f>HYPERLINK("https://maps.google.com/?q=17.05138597,-96.623836690000005", "🔗 Ver Mapa")</f>
        <v>🔗 Ver Mapa</v>
      </c>
    </row>
    <row r="2446" spans="1:12" ht="43.5" x14ac:dyDescent="0.35">
      <c r="A2446" s="6" t="s">
        <v>516</v>
      </c>
      <c r="B2446" s="6" t="s">
        <v>517</v>
      </c>
      <c r="C2446" s="6" t="s">
        <v>524</v>
      </c>
      <c r="D2446" s="6" t="s">
        <v>58</v>
      </c>
      <c r="E2446" s="6" t="s">
        <v>52</v>
      </c>
      <c r="F2446" s="6" t="s">
        <v>70</v>
      </c>
      <c r="G2446" s="6" t="s">
        <v>178</v>
      </c>
      <c r="H2446" s="6" t="s">
        <v>179</v>
      </c>
      <c r="I2446" s="6" t="s">
        <v>32</v>
      </c>
      <c r="J2446" s="6">
        <v>17.051394670000001</v>
      </c>
      <c r="K2446" s="6">
        <v>-96.624379349999998</v>
      </c>
      <c r="L2446" s="6" t="str">
        <f>HYPERLINK("https://maps.google.com/?q=17.05139467,-96.624379349999998", "🔗 Ver Mapa")</f>
        <v>🔗 Ver Mapa</v>
      </c>
    </row>
    <row r="2447" spans="1:12" ht="43.5" x14ac:dyDescent="0.35">
      <c r="A2447" s="5" t="s">
        <v>516</v>
      </c>
      <c r="B2447" s="5" t="s">
        <v>517</v>
      </c>
      <c r="C2447" s="5" t="s">
        <v>524</v>
      </c>
      <c r="D2447" s="5" t="s">
        <v>58</v>
      </c>
      <c r="E2447" s="5" t="s">
        <v>52</v>
      </c>
      <c r="F2447" s="5" t="s">
        <v>70</v>
      </c>
      <c r="G2447" s="5" t="s">
        <v>178</v>
      </c>
      <c r="H2447" s="5" t="s">
        <v>179</v>
      </c>
      <c r="I2447" s="5" t="s">
        <v>32</v>
      </c>
      <c r="J2447" s="5">
        <v>17.05139878</v>
      </c>
      <c r="K2447" s="5">
        <v>-96.624561009999994</v>
      </c>
      <c r="L2447" s="5" t="str">
        <f>HYPERLINK("https://maps.google.com/?q=17.05139878,-96.624561009999994", "🔗 Ver Mapa")</f>
        <v>🔗 Ver Mapa</v>
      </c>
    </row>
    <row r="2448" spans="1:12" ht="43.5" x14ac:dyDescent="0.35">
      <c r="A2448" s="6" t="s">
        <v>516</v>
      </c>
      <c r="B2448" s="6" t="s">
        <v>517</v>
      </c>
      <c r="C2448" s="6" t="s">
        <v>524</v>
      </c>
      <c r="D2448" s="6" t="s">
        <v>58</v>
      </c>
      <c r="E2448" s="6" t="s">
        <v>52</v>
      </c>
      <c r="F2448" s="6" t="s">
        <v>70</v>
      </c>
      <c r="G2448" s="6" t="s">
        <v>178</v>
      </c>
      <c r="H2448" s="6" t="s">
        <v>179</v>
      </c>
      <c r="I2448" s="6" t="s">
        <v>32</v>
      </c>
      <c r="J2448" s="6">
        <v>17.051409750000001</v>
      </c>
      <c r="K2448" s="6">
        <v>-96.624602659999994</v>
      </c>
      <c r="L2448" s="6" t="str">
        <f>HYPERLINK("https://maps.google.com/?q=17.05140975,-96.624602659999994", "🔗 Ver Mapa")</f>
        <v>🔗 Ver Mapa</v>
      </c>
    </row>
    <row r="2449" spans="1:12" ht="43.5" x14ac:dyDescent="0.35">
      <c r="A2449" s="5" t="s">
        <v>516</v>
      </c>
      <c r="B2449" s="5" t="s">
        <v>517</v>
      </c>
      <c r="C2449" s="5" t="s">
        <v>524</v>
      </c>
      <c r="D2449" s="5" t="s">
        <v>58</v>
      </c>
      <c r="E2449" s="5" t="s">
        <v>52</v>
      </c>
      <c r="F2449" s="5" t="s">
        <v>70</v>
      </c>
      <c r="G2449" s="5" t="s">
        <v>178</v>
      </c>
      <c r="H2449" s="5" t="s">
        <v>179</v>
      </c>
      <c r="I2449" s="5" t="s">
        <v>32</v>
      </c>
      <c r="J2449" s="5">
        <v>17.051427669999999</v>
      </c>
      <c r="K2449" s="5">
        <v>-96.624668159999999</v>
      </c>
      <c r="L2449" s="5" t="str">
        <f>HYPERLINK("https://maps.google.com/?q=17.05142767,-96.624668159999999", "🔗 Ver Mapa")</f>
        <v>🔗 Ver Mapa</v>
      </c>
    </row>
    <row r="2450" spans="1:12" ht="43.5" x14ac:dyDescent="0.35">
      <c r="A2450" s="6" t="s">
        <v>516</v>
      </c>
      <c r="B2450" s="6" t="s">
        <v>517</v>
      </c>
      <c r="C2450" s="6" t="s">
        <v>524</v>
      </c>
      <c r="D2450" s="6" t="s">
        <v>58</v>
      </c>
      <c r="E2450" s="6" t="s">
        <v>52</v>
      </c>
      <c r="F2450" s="6" t="s">
        <v>70</v>
      </c>
      <c r="G2450" s="6" t="s">
        <v>178</v>
      </c>
      <c r="H2450" s="6" t="s">
        <v>179</v>
      </c>
      <c r="I2450" s="6" t="s">
        <v>32</v>
      </c>
      <c r="J2450" s="6">
        <v>17.051433100000001</v>
      </c>
      <c r="K2450" s="6">
        <v>-96.624521889999997</v>
      </c>
      <c r="L2450" s="6" t="str">
        <f>HYPERLINK("https://maps.google.com/?q=17.0514331,-96.624521889999997", "🔗 Ver Mapa")</f>
        <v>🔗 Ver Mapa</v>
      </c>
    </row>
    <row r="2451" spans="1:12" ht="43.5" x14ac:dyDescent="0.35">
      <c r="A2451" s="5" t="s">
        <v>516</v>
      </c>
      <c r="B2451" s="5" t="s">
        <v>517</v>
      </c>
      <c r="C2451" s="5" t="s">
        <v>524</v>
      </c>
      <c r="D2451" s="5" t="s">
        <v>58</v>
      </c>
      <c r="E2451" s="5" t="s">
        <v>52</v>
      </c>
      <c r="F2451" s="5" t="s">
        <v>70</v>
      </c>
      <c r="G2451" s="5" t="s">
        <v>178</v>
      </c>
      <c r="H2451" s="5" t="s">
        <v>179</v>
      </c>
      <c r="I2451" s="5" t="s">
        <v>32</v>
      </c>
      <c r="J2451" s="5">
        <v>17.05143318</v>
      </c>
      <c r="K2451" s="5">
        <v>-96.624366570000007</v>
      </c>
      <c r="L2451" s="5" t="str">
        <f>HYPERLINK("https://maps.google.com/?q=17.05143318,-96.624366570000007", "🔗 Ver Mapa")</f>
        <v>🔗 Ver Mapa</v>
      </c>
    </row>
    <row r="2452" spans="1:12" ht="43.5" x14ac:dyDescent="0.35">
      <c r="A2452" s="6" t="s">
        <v>516</v>
      </c>
      <c r="B2452" s="6" t="s">
        <v>517</v>
      </c>
      <c r="C2452" s="6" t="s">
        <v>524</v>
      </c>
      <c r="D2452" s="6" t="s">
        <v>58</v>
      </c>
      <c r="E2452" s="6" t="s">
        <v>52</v>
      </c>
      <c r="F2452" s="6" t="s">
        <v>70</v>
      </c>
      <c r="G2452" s="6" t="s">
        <v>178</v>
      </c>
      <c r="H2452" s="6" t="s">
        <v>179</v>
      </c>
      <c r="I2452" s="6" t="s">
        <v>32</v>
      </c>
      <c r="J2452" s="6">
        <v>17.051439540000001</v>
      </c>
      <c r="K2452" s="6">
        <v>-96.624709800000005</v>
      </c>
      <c r="L2452" s="6" t="str">
        <f>HYPERLINK("https://maps.google.com/?q=17.05143954,-96.624709800000005", "🔗 Ver Mapa")</f>
        <v>🔗 Ver Mapa</v>
      </c>
    </row>
    <row r="2453" spans="1:12" ht="43.5" x14ac:dyDescent="0.35">
      <c r="A2453" s="5" t="s">
        <v>516</v>
      </c>
      <c r="B2453" s="5" t="s">
        <v>517</v>
      </c>
      <c r="C2453" s="5" t="s">
        <v>524</v>
      </c>
      <c r="D2453" s="5" t="s">
        <v>58</v>
      </c>
      <c r="E2453" s="5" t="s">
        <v>52</v>
      </c>
      <c r="F2453" s="5" t="s">
        <v>70</v>
      </c>
      <c r="G2453" s="5" t="s">
        <v>178</v>
      </c>
      <c r="H2453" s="5" t="s">
        <v>179</v>
      </c>
      <c r="I2453" s="5" t="s">
        <v>32</v>
      </c>
      <c r="J2453" s="5">
        <v>17.051445600000001</v>
      </c>
      <c r="K2453" s="5">
        <v>-96.624563890000005</v>
      </c>
      <c r="L2453" s="5" t="str">
        <f>HYPERLINK("https://maps.google.com/?q=17.0514456,-96.624563890000005", "🔗 Ver Mapa")</f>
        <v>🔗 Ver Mapa</v>
      </c>
    </row>
    <row r="2454" spans="1:12" ht="43.5" x14ac:dyDescent="0.35">
      <c r="A2454" s="6" t="s">
        <v>516</v>
      </c>
      <c r="B2454" s="6" t="s">
        <v>517</v>
      </c>
      <c r="C2454" s="6" t="s">
        <v>524</v>
      </c>
      <c r="D2454" s="6" t="s">
        <v>58</v>
      </c>
      <c r="E2454" s="6" t="s">
        <v>52</v>
      </c>
      <c r="F2454" s="6" t="s">
        <v>70</v>
      </c>
      <c r="G2454" s="6" t="s">
        <v>178</v>
      </c>
      <c r="H2454" s="6" t="s">
        <v>179</v>
      </c>
      <c r="I2454" s="6" t="s">
        <v>32</v>
      </c>
      <c r="J2454" s="6">
        <v>17.051462749999999</v>
      </c>
      <c r="K2454" s="6">
        <v>-96.624631660000006</v>
      </c>
      <c r="L2454" s="6" t="str">
        <f>HYPERLINK("https://maps.google.com/?q=17.05146275,-96.624631660000006", "🔗 Ver Mapa")</f>
        <v>🔗 Ver Mapa</v>
      </c>
    </row>
    <row r="2455" spans="1:12" ht="43.5" x14ac:dyDescent="0.35">
      <c r="A2455" s="5" t="s">
        <v>516</v>
      </c>
      <c r="B2455" s="5" t="s">
        <v>517</v>
      </c>
      <c r="C2455" s="5" t="s">
        <v>524</v>
      </c>
      <c r="D2455" s="5" t="s">
        <v>58</v>
      </c>
      <c r="E2455" s="5" t="s">
        <v>52</v>
      </c>
      <c r="F2455" s="5" t="s">
        <v>70</v>
      </c>
      <c r="G2455" s="5" t="s">
        <v>178</v>
      </c>
      <c r="H2455" s="5" t="s">
        <v>179</v>
      </c>
      <c r="I2455" s="5" t="s">
        <v>32</v>
      </c>
      <c r="J2455" s="5">
        <v>17.05147513</v>
      </c>
      <c r="K2455" s="5">
        <v>-96.624670480000006</v>
      </c>
      <c r="L2455" s="5" t="str">
        <f>HYPERLINK("https://maps.google.com/?q=17.05147513,-96.624670480000006", "🔗 Ver Mapa")</f>
        <v>🔗 Ver Mapa</v>
      </c>
    </row>
    <row r="2456" spans="1:12" ht="43.5" x14ac:dyDescent="0.35">
      <c r="A2456" s="6" t="s">
        <v>516</v>
      </c>
      <c r="B2456" s="6" t="s">
        <v>517</v>
      </c>
      <c r="C2456" s="6" t="s">
        <v>524</v>
      </c>
      <c r="D2456" s="6" t="s">
        <v>58</v>
      </c>
      <c r="E2456" s="6" t="s">
        <v>52</v>
      </c>
      <c r="F2456" s="6" t="s">
        <v>70</v>
      </c>
      <c r="G2456" s="6" t="s">
        <v>178</v>
      </c>
      <c r="H2456" s="6" t="s">
        <v>179</v>
      </c>
      <c r="I2456" s="6" t="s">
        <v>32</v>
      </c>
      <c r="J2456" s="6">
        <v>17.05149063</v>
      </c>
      <c r="K2456" s="6">
        <v>-96.624736859999999</v>
      </c>
      <c r="L2456" s="6" t="str">
        <f>HYPERLINK("https://maps.google.com/?q=17.05149063,-96.624736859999999", "🔗 Ver Mapa")</f>
        <v>🔗 Ver Mapa</v>
      </c>
    </row>
    <row r="2457" spans="1:12" ht="43.5" x14ac:dyDescent="0.35">
      <c r="A2457" s="5" t="s">
        <v>516</v>
      </c>
      <c r="B2457" s="5" t="s">
        <v>517</v>
      </c>
      <c r="C2457" s="5" t="s">
        <v>524</v>
      </c>
      <c r="D2457" s="5" t="s">
        <v>58</v>
      </c>
      <c r="E2457" s="5" t="s">
        <v>52</v>
      </c>
      <c r="F2457" s="5" t="s">
        <v>70</v>
      </c>
      <c r="G2457" s="5" t="s">
        <v>178</v>
      </c>
      <c r="H2457" s="5" t="s">
        <v>179</v>
      </c>
      <c r="I2457" s="5" t="s">
        <v>32</v>
      </c>
      <c r="J2457" s="5">
        <v>17.051510489999998</v>
      </c>
      <c r="K2457" s="5">
        <v>-96.624334599999997</v>
      </c>
      <c r="L2457" s="5" t="str">
        <f>HYPERLINK("https://maps.google.com/?q=17.05151049,-96.624334599999997", "🔗 Ver Mapa")</f>
        <v>🔗 Ver Mapa</v>
      </c>
    </row>
    <row r="2458" spans="1:12" ht="43.5" x14ac:dyDescent="0.35">
      <c r="A2458" s="6" t="s">
        <v>516</v>
      </c>
      <c r="B2458" s="6" t="s">
        <v>517</v>
      </c>
      <c r="C2458" s="6" t="s">
        <v>524</v>
      </c>
      <c r="D2458" s="6" t="s">
        <v>58</v>
      </c>
      <c r="E2458" s="6" t="s">
        <v>52</v>
      </c>
      <c r="F2458" s="6" t="s">
        <v>70</v>
      </c>
      <c r="G2458" s="6" t="s">
        <v>178</v>
      </c>
      <c r="H2458" s="6" t="s">
        <v>179</v>
      </c>
      <c r="I2458" s="6" t="s">
        <v>32</v>
      </c>
      <c r="J2458" s="6">
        <v>17.05156002</v>
      </c>
      <c r="K2458" s="6">
        <v>-96.624321949999995</v>
      </c>
      <c r="L2458" s="6" t="str">
        <f>HYPERLINK("https://maps.google.com/?q=17.05156002,-96.624321949999995", "🔗 Ver Mapa")</f>
        <v>🔗 Ver Mapa</v>
      </c>
    </row>
    <row r="2459" spans="1:12" ht="43.5" x14ac:dyDescent="0.35">
      <c r="A2459" s="5" t="s">
        <v>516</v>
      </c>
      <c r="B2459" s="5" t="s">
        <v>517</v>
      </c>
      <c r="C2459" s="5" t="s">
        <v>524</v>
      </c>
      <c r="D2459" s="5" t="s">
        <v>58</v>
      </c>
      <c r="E2459" s="5" t="s">
        <v>52</v>
      </c>
      <c r="F2459" s="5" t="s">
        <v>70</v>
      </c>
      <c r="G2459" s="5" t="s">
        <v>178</v>
      </c>
      <c r="H2459" s="5" t="s">
        <v>179</v>
      </c>
      <c r="I2459" s="5" t="s">
        <v>32</v>
      </c>
      <c r="J2459" s="5">
        <v>17.051591129999998</v>
      </c>
      <c r="K2459" s="5">
        <v>-96.624432740000003</v>
      </c>
      <c r="L2459" s="5" t="str">
        <f>HYPERLINK("https://maps.google.com/?q=17.05159113,-96.624432740000003", "🔗 Ver Mapa")</f>
        <v>🔗 Ver Mapa</v>
      </c>
    </row>
    <row r="2460" spans="1:12" ht="43.5" x14ac:dyDescent="0.35">
      <c r="A2460" s="6" t="s">
        <v>516</v>
      </c>
      <c r="B2460" s="6" t="s">
        <v>517</v>
      </c>
      <c r="C2460" s="6" t="s">
        <v>524</v>
      </c>
      <c r="D2460" s="6" t="s">
        <v>58</v>
      </c>
      <c r="E2460" s="6" t="s">
        <v>52</v>
      </c>
      <c r="F2460" s="6" t="s">
        <v>70</v>
      </c>
      <c r="G2460" s="6" t="s">
        <v>178</v>
      </c>
      <c r="H2460" s="6" t="s">
        <v>179</v>
      </c>
      <c r="I2460" s="6" t="s">
        <v>32</v>
      </c>
      <c r="J2460" s="6">
        <v>17.05160429</v>
      </c>
      <c r="K2460" s="6">
        <v>-96.624345430000005</v>
      </c>
      <c r="L2460" s="6" t="str">
        <f>HYPERLINK("https://maps.google.com/?q=17.05160429,-96.624345430000005", "🔗 Ver Mapa")</f>
        <v>🔗 Ver Mapa</v>
      </c>
    </row>
    <row r="2461" spans="1:12" ht="43.5" x14ac:dyDescent="0.35">
      <c r="A2461" s="5" t="s">
        <v>516</v>
      </c>
      <c r="B2461" s="5" t="s">
        <v>517</v>
      </c>
      <c r="C2461" s="5" t="s">
        <v>524</v>
      </c>
      <c r="D2461" s="5" t="s">
        <v>58</v>
      </c>
      <c r="E2461" s="5" t="s">
        <v>52</v>
      </c>
      <c r="F2461" s="5" t="s">
        <v>70</v>
      </c>
      <c r="G2461" s="5" t="s">
        <v>178</v>
      </c>
      <c r="H2461" s="5" t="s">
        <v>179</v>
      </c>
      <c r="I2461" s="5" t="s">
        <v>32</v>
      </c>
      <c r="J2461" s="5">
        <v>17.051626420000002</v>
      </c>
      <c r="K2461" s="5">
        <v>-96.624422629999998</v>
      </c>
      <c r="L2461" s="5" t="str">
        <f>HYPERLINK("https://maps.google.com/?q=17.05162642,-96.624422629999998", "🔗 Ver Mapa")</f>
        <v>🔗 Ver Mapa</v>
      </c>
    </row>
    <row r="2462" spans="1:12" ht="43.5" x14ac:dyDescent="0.35">
      <c r="A2462" s="6" t="s">
        <v>516</v>
      </c>
      <c r="B2462" s="6" t="s">
        <v>517</v>
      </c>
      <c r="C2462" s="6" t="s">
        <v>524</v>
      </c>
      <c r="D2462" s="6" t="s">
        <v>58</v>
      </c>
      <c r="E2462" s="6" t="s">
        <v>52</v>
      </c>
      <c r="F2462" s="6" t="s">
        <v>70</v>
      </c>
      <c r="G2462" s="6" t="s">
        <v>178</v>
      </c>
      <c r="H2462" s="6" t="s">
        <v>179</v>
      </c>
      <c r="I2462" s="6" t="s">
        <v>32</v>
      </c>
      <c r="J2462" s="6">
        <v>17.05164104</v>
      </c>
      <c r="K2462" s="6">
        <v>-96.624336420000006</v>
      </c>
      <c r="L2462" s="6" t="str">
        <f>HYPERLINK("https://maps.google.com/?q=17.05164104,-96.624336420000006", "🔗 Ver Mapa")</f>
        <v>🔗 Ver Mapa</v>
      </c>
    </row>
    <row r="2463" spans="1:12" ht="43.5" x14ac:dyDescent="0.35">
      <c r="A2463" s="5" t="s">
        <v>516</v>
      </c>
      <c r="B2463" s="5" t="s">
        <v>517</v>
      </c>
      <c r="C2463" s="5" t="s">
        <v>524</v>
      </c>
      <c r="D2463" s="5" t="s">
        <v>58</v>
      </c>
      <c r="E2463" s="5" t="s">
        <v>52</v>
      </c>
      <c r="F2463" s="5" t="s">
        <v>70</v>
      </c>
      <c r="G2463" s="5" t="s">
        <v>178</v>
      </c>
      <c r="H2463" s="5" t="s">
        <v>179</v>
      </c>
      <c r="I2463" s="5" t="s">
        <v>32</v>
      </c>
      <c r="J2463" s="5">
        <v>17.051653030000001</v>
      </c>
      <c r="K2463" s="5">
        <v>-96.624365100000006</v>
      </c>
      <c r="L2463" s="5" t="str">
        <f>HYPERLINK("https://maps.google.com/?q=17.05165303,-96.624365100000006", "🔗 Ver Mapa")</f>
        <v>🔗 Ver Mapa</v>
      </c>
    </row>
    <row r="2464" spans="1:12" ht="43.5" x14ac:dyDescent="0.35">
      <c r="A2464" s="6" t="s">
        <v>516</v>
      </c>
      <c r="B2464" s="6" t="s">
        <v>517</v>
      </c>
      <c r="C2464" s="6" t="s">
        <v>524</v>
      </c>
      <c r="D2464" s="6" t="s">
        <v>58</v>
      </c>
      <c r="E2464" s="6" t="s">
        <v>52</v>
      </c>
      <c r="F2464" s="6" t="s">
        <v>70</v>
      </c>
      <c r="G2464" s="6" t="s">
        <v>178</v>
      </c>
      <c r="H2464" s="6" t="s">
        <v>179</v>
      </c>
      <c r="I2464" s="6" t="s">
        <v>32</v>
      </c>
      <c r="J2464" s="6">
        <v>17.051665419999999</v>
      </c>
      <c r="K2464" s="6">
        <v>-96.624412649999996</v>
      </c>
      <c r="L2464" s="6" t="str">
        <f>HYPERLINK("https://maps.google.com/?q=17.05166542,-96.624412649999996", "🔗 Ver Mapa")</f>
        <v>🔗 Ver Mapa</v>
      </c>
    </row>
    <row r="2465" spans="1:12" ht="43.5" x14ac:dyDescent="0.35">
      <c r="A2465" s="5" t="s">
        <v>516</v>
      </c>
      <c r="B2465" s="5" t="s">
        <v>517</v>
      </c>
      <c r="C2465" s="5" t="s">
        <v>524</v>
      </c>
      <c r="D2465" s="5" t="s">
        <v>58</v>
      </c>
      <c r="E2465" s="5" t="s">
        <v>52</v>
      </c>
      <c r="F2465" s="5" t="s">
        <v>70</v>
      </c>
      <c r="G2465" s="5" t="s">
        <v>178</v>
      </c>
      <c r="H2465" s="5" t="s">
        <v>179</v>
      </c>
      <c r="I2465" s="5" t="s">
        <v>32</v>
      </c>
      <c r="J2465" s="5">
        <v>17.051679159999999</v>
      </c>
      <c r="K2465" s="5">
        <v>-96.624452379999994</v>
      </c>
      <c r="L2465" s="5" t="str">
        <f>HYPERLINK("https://maps.google.com/?q=17.05167916,-96.624452379999994", "🔗 Ver Mapa")</f>
        <v>🔗 Ver Mapa</v>
      </c>
    </row>
    <row r="2466" spans="1:12" ht="43.5" x14ac:dyDescent="0.35">
      <c r="A2466" s="6" t="s">
        <v>516</v>
      </c>
      <c r="B2466" s="6" t="s">
        <v>517</v>
      </c>
      <c r="C2466" s="6" t="s">
        <v>524</v>
      </c>
      <c r="D2466" s="6" t="s">
        <v>58</v>
      </c>
      <c r="E2466" s="6" t="s">
        <v>52</v>
      </c>
      <c r="F2466" s="6" t="s">
        <v>70</v>
      </c>
      <c r="G2466" s="6" t="s">
        <v>178</v>
      </c>
      <c r="H2466" s="6" t="s">
        <v>179</v>
      </c>
      <c r="I2466" s="6" t="s">
        <v>32</v>
      </c>
      <c r="J2466" s="6">
        <v>17.051687739999998</v>
      </c>
      <c r="K2466" s="6">
        <v>-96.624491250000005</v>
      </c>
      <c r="L2466" s="6" t="str">
        <f>HYPERLINK("https://maps.google.com/?q=17.05168774,-96.624491250000005", "🔗 Ver Mapa")</f>
        <v>🔗 Ver Mapa</v>
      </c>
    </row>
    <row r="2467" spans="1:12" ht="43.5" x14ac:dyDescent="0.35">
      <c r="A2467" s="5" t="s">
        <v>516</v>
      </c>
      <c r="B2467" s="5" t="s">
        <v>517</v>
      </c>
      <c r="C2467" s="5" t="s">
        <v>524</v>
      </c>
      <c r="D2467" s="5" t="s">
        <v>58</v>
      </c>
      <c r="E2467" s="5" t="s">
        <v>52</v>
      </c>
      <c r="F2467" s="5" t="s">
        <v>70</v>
      </c>
      <c r="G2467" s="5" t="s">
        <v>178</v>
      </c>
      <c r="H2467" s="5" t="s">
        <v>179</v>
      </c>
      <c r="I2467" s="5" t="s">
        <v>32</v>
      </c>
      <c r="J2467" s="5">
        <v>17.051704969999999</v>
      </c>
      <c r="K2467" s="5">
        <v>-96.624318990000006</v>
      </c>
      <c r="L2467" s="5" t="str">
        <f>HYPERLINK("https://maps.google.com/?q=17.05170497,-96.624318990000006", "🔗 Ver Mapa")</f>
        <v>🔗 Ver Mapa</v>
      </c>
    </row>
    <row r="2468" spans="1:12" ht="43.5" x14ac:dyDescent="0.35">
      <c r="A2468" s="6" t="s">
        <v>516</v>
      </c>
      <c r="B2468" s="6" t="s">
        <v>517</v>
      </c>
      <c r="C2468" s="6" t="s">
        <v>524</v>
      </c>
      <c r="D2468" s="6" t="s">
        <v>58</v>
      </c>
      <c r="E2468" s="6" t="s">
        <v>52</v>
      </c>
      <c r="F2468" s="6" t="s">
        <v>70</v>
      </c>
      <c r="G2468" s="6" t="s">
        <v>178</v>
      </c>
      <c r="H2468" s="6" t="s">
        <v>179</v>
      </c>
      <c r="I2468" s="6" t="s">
        <v>32</v>
      </c>
      <c r="J2468" s="6">
        <v>17.05170859</v>
      </c>
      <c r="K2468" s="6">
        <v>-96.624558969999995</v>
      </c>
      <c r="L2468" s="6" t="str">
        <f>HYPERLINK("https://maps.google.com/?q=17.05170859,-96.624558969999995", "🔗 Ver Mapa")</f>
        <v>🔗 Ver Mapa</v>
      </c>
    </row>
    <row r="2469" spans="1:12" ht="43.5" x14ac:dyDescent="0.35">
      <c r="A2469" s="5" t="s">
        <v>516</v>
      </c>
      <c r="B2469" s="5" t="s">
        <v>517</v>
      </c>
      <c r="C2469" s="5" t="s">
        <v>524</v>
      </c>
      <c r="D2469" s="5" t="s">
        <v>58</v>
      </c>
      <c r="E2469" s="5" t="s">
        <v>52</v>
      </c>
      <c r="F2469" s="5" t="s">
        <v>70</v>
      </c>
      <c r="G2469" s="5" t="s">
        <v>178</v>
      </c>
      <c r="H2469" s="5" t="s">
        <v>179</v>
      </c>
      <c r="I2469" s="5" t="s">
        <v>32</v>
      </c>
      <c r="J2469" s="5">
        <v>17.05171983</v>
      </c>
      <c r="K2469" s="5">
        <v>-96.624600990000005</v>
      </c>
      <c r="L2469" s="5" t="str">
        <f>HYPERLINK("https://maps.google.com/?q=17.05171983,-96.624600990000005", "🔗 Ver Mapa")</f>
        <v>🔗 Ver Mapa</v>
      </c>
    </row>
    <row r="2470" spans="1:12" ht="43.5" x14ac:dyDescent="0.35">
      <c r="A2470" s="6" t="s">
        <v>516</v>
      </c>
      <c r="B2470" s="6" t="s">
        <v>517</v>
      </c>
      <c r="C2470" s="6" t="s">
        <v>524</v>
      </c>
      <c r="D2470" s="6" t="s">
        <v>58</v>
      </c>
      <c r="E2470" s="6" t="s">
        <v>52</v>
      </c>
      <c r="F2470" s="6" t="s">
        <v>70</v>
      </c>
      <c r="G2470" s="6" t="s">
        <v>178</v>
      </c>
      <c r="H2470" s="6" t="s">
        <v>179</v>
      </c>
      <c r="I2470" s="6" t="s">
        <v>32</v>
      </c>
      <c r="J2470" s="6">
        <v>17.051739269999999</v>
      </c>
      <c r="K2470" s="6">
        <v>-96.624664789999997</v>
      </c>
      <c r="L2470" s="6" t="str">
        <f>HYPERLINK("https://maps.google.com/?q=17.05173927,-96.624664789999997", "🔗 Ver Mapa")</f>
        <v>🔗 Ver Mapa</v>
      </c>
    </row>
    <row r="2471" spans="1:12" ht="43.5" x14ac:dyDescent="0.35">
      <c r="A2471" s="5" t="s">
        <v>516</v>
      </c>
      <c r="B2471" s="5" t="s">
        <v>517</v>
      </c>
      <c r="C2471" s="5" t="s">
        <v>524</v>
      </c>
      <c r="D2471" s="5" t="s">
        <v>58</v>
      </c>
      <c r="E2471" s="5" t="s">
        <v>52</v>
      </c>
      <c r="F2471" s="5" t="s">
        <v>70</v>
      </c>
      <c r="G2471" s="5" t="s">
        <v>178</v>
      </c>
      <c r="H2471" s="5" t="s">
        <v>179</v>
      </c>
      <c r="I2471" s="5" t="s">
        <v>32</v>
      </c>
      <c r="J2471" s="5">
        <v>17.05174457</v>
      </c>
      <c r="K2471" s="5">
        <v>-96.624307040000005</v>
      </c>
      <c r="L2471" s="5" t="str">
        <f>HYPERLINK("https://maps.google.com/?q=17.05174457,-96.624307040000005", "🔗 Ver Mapa")</f>
        <v>🔗 Ver Mapa</v>
      </c>
    </row>
    <row r="2472" spans="1:12" ht="43.5" x14ac:dyDescent="0.35">
      <c r="A2472" s="6" t="s">
        <v>516</v>
      </c>
      <c r="B2472" s="6" t="s">
        <v>517</v>
      </c>
      <c r="C2472" s="6" t="s">
        <v>524</v>
      </c>
      <c r="D2472" s="6" t="s">
        <v>58</v>
      </c>
      <c r="E2472" s="6" t="s">
        <v>52</v>
      </c>
      <c r="F2472" s="6" t="s">
        <v>70</v>
      </c>
      <c r="G2472" s="6" t="s">
        <v>178</v>
      </c>
      <c r="H2472" s="6" t="s">
        <v>179</v>
      </c>
      <c r="I2472" s="6" t="s">
        <v>32</v>
      </c>
      <c r="J2472" s="6">
        <v>17.051787406633999</v>
      </c>
      <c r="K2472" s="6">
        <v>-96.623729633975003</v>
      </c>
      <c r="L2472" s="6" t="str">
        <f>HYPERLINK("https://maps.google.com/?q=17.051787406634322,-96.623729633974932", "🔗 Ver Mapa")</f>
        <v>🔗 Ver Mapa</v>
      </c>
    </row>
    <row r="2473" spans="1:12" ht="43.5" x14ac:dyDescent="0.35">
      <c r="A2473" s="5" t="s">
        <v>516</v>
      </c>
      <c r="B2473" s="5" t="s">
        <v>517</v>
      </c>
      <c r="C2473" s="5" t="s">
        <v>524</v>
      </c>
      <c r="D2473" s="5" t="s">
        <v>58</v>
      </c>
      <c r="E2473" s="5" t="s">
        <v>52</v>
      </c>
      <c r="F2473" s="5" t="s">
        <v>70</v>
      </c>
      <c r="G2473" s="5" t="s">
        <v>178</v>
      </c>
      <c r="H2473" s="5" t="s">
        <v>179</v>
      </c>
      <c r="I2473" s="5" t="s">
        <v>32</v>
      </c>
      <c r="J2473" s="5">
        <v>17.051787409999999</v>
      </c>
      <c r="K2473" s="5">
        <v>-96.62372963</v>
      </c>
      <c r="L2473" s="5" t="str">
        <f>HYPERLINK("https://maps.google.com/?q=17.05178741,-96.62372963", "🔗 Ver Mapa")</f>
        <v>🔗 Ver Mapa</v>
      </c>
    </row>
    <row r="2474" spans="1:12" ht="43.5" x14ac:dyDescent="0.35">
      <c r="A2474" s="6" t="s">
        <v>516</v>
      </c>
      <c r="B2474" s="6" t="s">
        <v>517</v>
      </c>
      <c r="C2474" s="6" t="s">
        <v>524</v>
      </c>
      <c r="D2474" s="6" t="s">
        <v>58</v>
      </c>
      <c r="E2474" s="6" t="s">
        <v>52</v>
      </c>
      <c r="F2474" s="6" t="s">
        <v>70</v>
      </c>
      <c r="G2474" s="6" t="s">
        <v>178</v>
      </c>
      <c r="H2474" s="6" t="s">
        <v>179</v>
      </c>
      <c r="I2474" s="6" t="s">
        <v>32</v>
      </c>
      <c r="J2474" s="6">
        <v>17.051808309999998</v>
      </c>
      <c r="K2474" s="6">
        <v>-96.624288759999999</v>
      </c>
      <c r="L2474" s="6" t="str">
        <f>HYPERLINK("https://maps.google.com/?q=17.05180831,-96.624288759999999", "🔗 Ver Mapa")</f>
        <v>🔗 Ver Mapa</v>
      </c>
    </row>
    <row r="2475" spans="1:12" ht="43.5" x14ac:dyDescent="0.35">
      <c r="A2475" s="5" t="s">
        <v>516</v>
      </c>
      <c r="B2475" s="5" t="s">
        <v>517</v>
      </c>
      <c r="C2475" s="5" t="s">
        <v>524</v>
      </c>
      <c r="D2475" s="5" t="s">
        <v>58</v>
      </c>
      <c r="E2475" s="5" t="s">
        <v>52</v>
      </c>
      <c r="F2475" s="5" t="s">
        <v>70</v>
      </c>
      <c r="G2475" s="5" t="s">
        <v>178</v>
      </c>
      <c r="H2475" s="5" t="s">
        <v>179</v>
      </c>
      <c r="I2475" s="5" t="s">
        <v>32</v>
      </c>
      <c r="J2475" s="5">
        <v>17.051848240000002</v>
      </c>
      <c r="K2475" s="5">
        <v>-96.624304129999999</v>
      </c>
      <c r="L2475" s="5" t="str">
        <f>HYPERLINK("https://maps.google.com/?q=17.05184824,-96.624304129999999", "🔗 Ver Mapa")</f>
        <v>🔗 Ver Mapa</v>
      </c>
    </row>
    <row r="2476" spans="1:12" ht="43.5" x14ac:dyDescent="0.35">
      <c r="A2476" s="6" t="s">
        <v>516</v>
      </c>
      <c r="B2476" s="6" t="s">
        <v>517</v>
      </c>
      <c r="C2476" s="6" t="s">
        <v>524</v>
      </c>
      <c r="D2476" s="6" t="s">
        <v>58</v>
      </c>
      <c r="E2476" s="6" t="s">
        <v>52</v>
      </c>
      <c r="F2476" s="6" t="s">
        <v>70</v>
      </c>
      <c r="G2476" s="6" t="s">
        <v>178</v>
      </c>
      <c r="H2476" s="6" t="s">
        <v>179</v>
      </c>
      <c r="I2476" s="6" t="s">
        <v>32</v>
      </c>
      <c r="J2476" s="6">
        <v>17.051853770000001</v>
      </c>
      <c r="K2476" s="6">
        <v>-96.624329040000006</v>
      </c>
      <c r="L2476" s="6" t="str">
        <f>HYPERLINK("https://maps.google.com/?q=17.05185377,-96.624329040000006", "🔗 Ver Mapa")</f>
        <v>🔗 Ver Mapa</v>
      </c>
    </row>
    <row r="2477" spans="1:12" ht="43.5" x14ac:dyDescent="0.35">
      <c r="A2477" s="5" t="s">
        <v>516</v>
      </c>
      <c r="B2477" s="5" t="s">
        <v>517</v>
      </c>
      <c r="C2477" s="5" t="s">
        <v>524</v>
      </c>
      <c r="D2477" s="5" t="s">
        <v>58</v>
      </c>
      <c r="E2477" s="5" t="s">
        <v>52</v>
      </c>
      <c r="F2477" s="5" t="s">
        <v>70</v>
      </c>
      <c r="G2477" s="5" t="s">
        <v>178</v>
      </c>
      <c r="H2477" s="5" t="s">
        <v>179</v>
      </c>
      <c r="I2477" s="5" t="s">
        <v>32</v>
      </c>
      <c r="J2477" s="5">
        <v>17.051873260000001</v>
      </c>
      <c r="K2477" s="5">
        <v>-96.624397060000007</v>
      </c>
      <c r="L2477" s="5" t="str">
        <f>HYPERLINK("https://maps.google.com/?q=17.05187326,-96.624397060000007", "🔗 Ver Mapa")</f>
        <v>🔗 Ver Mapa</v>
      </c>
    </row>
    <row r="2478" spans="1:12" ht="43.5" x14ac:dyDescent="0.35">
      <c r="A2478" s="6" t="s">
        <v>516</v>
      </c>
      <c r="B2478" s="6" t="s">
        <v>517</v>
      </c>
      <c r="C2478" s="6" t="s">
        <v>524</v>
      </c>
      <c r="D2478" s="6" t="s">
        <v>58</v>
      </c>
      <c r="E2478" s="6" t="s">
        <v>52</v>
      </c>
      <c r="F2478" s="6" t="s">
        <v>70</v>
      </c>
      <c r="G2478" s="6" t="s">
        <v>178</v>
      </c>
      <c r="H2478" s="6" t="s">
        <v>179</v>
      </c>
      <c r="I2478" s="6" t="s">
        <v>32</v>
      </c>
      <c r="J2478" s="6">
        <v>17.051873789999998</v>
      </c>
      <c r="K2478" s="6">
        <v>-96.624233939999996</v>
      </c>
      <c r="L2478" s="6" t="str">
        <f>HYPERLINK("https://maps.google.com/?q=17.05187379,-96.624233939999996", "🔗 Ver Mapa")</f>
        <v>🔗 Ver Mapa</v>
      </c>
    </row>
    <row r="2479" spans="1:12" ht="43.5" x14ac:dyDescent="0.35">
      <c r="A2479" s="5" t="s">
        <v>516</v>
      </c>
      <c r="B2479" s="5" t="s">
        <v>517</v>
      </c>
      <c r="C2479" s="5" t="s">
        <v>524</v>
      </c>
      <c r="D2479" s="5" t="s">
        <v>58</v>
      </c>
      <c r="E2479" s="5" t="s">
        <v>52</v>
      </c>
      <c r="F2479" s="5" t="s">
        <v>70</v>
      </c>
      <c r="G2479" s="5" t="s">
        <v>178</v>
      </c>
      <c r="H2479" s="5" t="s">
        <v>179</v>
      </c>
      <c r="I2479" s="5" t="s">
        <v>32</v>
      </c>
      <c r="J2479" s="5">
        <v>17.05188321</v>
      </c>
      <c r="K2479" s="5">
        <v>-96.624436560000007</v>
      </c>
      <c r="L2479" s="5" t="str">
        <f>HYPERLINK("https://maps.google.com/?q=17.05188321,-96.624436560000007", "🔗 Ver Mapa")</f>
        <v>🔗 Ver Mapa</v>
      </c>
    </row>
    <row r="2480" spans="1:12" ht="43.5" x14ac:dyDescent="0.35">
      <c r="A2480" s="6" t="s">
        <v>516</v>
      </c>
      <c r="B2480" s="6" t="s">
        <v>517</v>
      </c>
      <c r="C2480" s="6" t="s">
        <v>524</v>
      </c>
      <c r="D2480" s="6" t="s">
        <v>58</v>
      </c>
      <c r="E2480" s="6" t="s">
        <v>52</v>
      </c>
      <c r="F2480" s="6" t="s">
        <v>70</v>
      </c>
      <c r="G2480" s="6" t="s">
        <v>178</v>
      </c>
      <c r="H2480" s="6" t="s">
        <v>179</v>
      </c>
      <c r="I2480" s="6" t="s">
        <v>32</v>
      </c>
      <c r="J2480" s="6">
        <v>17.051884130000001</v>
      </c>
      <c r="K2480" s="6">
        <v>-96.624275600000004</v>
      </c>
      <c r="L2480" s="6" t="str">
        <f>HYPERLINK("https://maps.google.com/?q=17.05188413,-96.624275600000004", "🔗 Ver Mapa")</f>
        <v>🔗 Ver Mapa</v>
      </c>
    </row>
    <row r="2481" spans="1:12" ht="43.5" x14ac:dyDescent="0.35">
      <c r="A2481" s="5" t="s">
        <v>516</v>
      </c>
      <c r="B2481" s="5" t="s">
        <v>517</v>
      </c>
      <c r="C2481" s="5" t="s">
        <v>524</v>
      </c>
      <c r="D2481" s="5" t="s">
        <v>58</v>
      </c>
      <c r="E2481" s="5" t="s">
        <v>52</v>
      </c>
      <c r="F2481" s="5" t="s">
        <v>70</v>
      </c>
      <c r="G2481" s="5" t="s">
        <v>178</v>
      </c>
      <c r="H2481" s="5" t="s">
        <v>179</v>
      </c>
      <c r="I2481" s="5" t="s">
        <v>32</v>
      </c>
      <c r="J2481" s="5">
        <v>17.051891640000001</v>
      </c>
      <c r="K2481" s="5">
        <v>-96.624462280000003</v>
      </c>
      <c r="L2481" s="5" t="str">
        <f>HYPERLINK("https://maps.google.com/?q=17.05189164,-96.624462280000003", "🔗 Ver Mapa")</f>
        <v>🔗 Ver Mapa</v>
      </c>
    </row>
    <row r="2482" spans="1:12" ht="43.5" x14ac:dyDescent="0.35">
      <c r="A2482" s="6" t="s">
        <v>516</v>
      </c>
      <c r="B2482" s="6" t="s">
        <v>517</v>
      </c>
      <c r="C2482" s="6" t="s">
        <v>524</v>
      </c>
      <c r="D2482" s="6" t="s">
        <v>58</v>
      </c>
      <c r="E2482" s="6" t="s">
        <v>52</v>
      </c>
      <c r="F2482" s="6" t="s">
        <v>70</v>
      </c>
      <c r="G2482" s="6" t="s">
        <v>178</v>
      </c>
      <c r="H2482" s="6" t="s">
        <v>179</v>
      </c>
      <c r="I2482" s="6" t="s">
        <v>32</v>
      </c>
      <c r="J2482" s="6">
        <v>17.051894900000001</v>
      </c>
      <c r="K2482" s="6">
        <v>-96.624316399999998</v>
      </c>
      <c r="L2482" s="6" t="str">
        <f>HYPERLINK("https://maps.google.com/?q=17.0518949,-96.624316399999998", "🔗 Ver Mapa")</f>
        <v>🔗 Ver Mapa</v>
      </c>
    </row>
    <row r="2483" spans="1:12" ht="43.5" x14ac:dyDescent="0.35">
      <c r="A2483" s="5" t="s">
        <v>516</v>
      </c>
      <c r="B2483" s="5" t="s">
        <v>517</v>
      </c>
      <c r="C2483" s="5" t="s">
        <v>524</v>
      </c>
      <c r="D2483" s="5" t="s">
        <v>58</v>
      </c>
      <c r="E2483" s="5" t="s">
        <v>52</v>
      </c>
      <c r="F2483" s="5" t="s">
        <v>70</v>
      </c>
      <c r="G2483" s="5" t="s">
        <v>178</v>
      </c>
      <c r="H2483" s="5" t="s">
        <v>179</v>
      </c>
      <c r="I2483" s="5" t="s">
        <v>32</v>
      </c>
      <c r="J2483" s="5">
        <v>17.051905430000001</v>
      </c>
      <c r="K2483" s="5">
        <v>-96.624459849999994</v>
      </c>
      <c r="L2483" s="5" t="str">
        <f>HYPERLINK("https://maps.google.com/?q=17.05190543,-96.624459849999994", "🔗 Ver Mapa")</f>
        <v>🔗 Ver Mapa</v>
      </c>
    </row>
    <row r="2484" spans="1:12" ht="43.5" x14ac:dyDescent="0.35">
      <c r="A2484" s="6" t="s">
        <v>516</v>
      </c>
      <c r="B2484" s="6" t="s">
        <v>517</v>
      </c>
      <c r="C2484" s="6" t="s">
        <v>524</v>
      </c>
      <c r="D2484" s="6" t="s">
        <v>58</v>
      </c>
      <c r="E2484" s="6" t="s">
        <v>52</v>
      </c>
      <c r="F2484" s="6" t="s">
        <v>70</v>
      </c>
      <c r="G2484" s="6" t="s">
        <v>178</v>
      </c>
      <c r="H2484" s="6" t="s">
        <v>179</v>
      </c>
      <c r="I2484" s="6" t="s">
        <v>32</v>
      </c>
      <c r="J2484" s="6">
        <v>17.0519113</v>
      </c>
      <c r="K2484" s="6">
        <v>-96.624220320000006</v>
      </c>
      <c r="L2484" s="6" t="str">
        <f>HYPERLINK("https://maps.google.com/?q=17.0519113,-96.624220320000006", "🔗 Ver Mapa")</f>
        <v>🔗 Ver Mapa</v>
      </c>
    </row>
    <row r="2485" spans="1:12" ht="43.5" x14ac:dyDescent="0.35">
      <c r="A2485" s="5" t="s">
        <v>516</v>
      </c>
      <c r="B2485" s="5" t="s">
        <v>517</v>
      </c>
      <c r="C2485" s="5" t="s">
        <v>524</v>
      </c>
      <c r="D2485" s="5" t="s">
        <v>58</v>
      </c>
      <c r="E2485" s="5" t="s">
        <v>52</v>
      </c>
      <c r="F2485" s="5" t="s">
        <v>70</v>
      </c>
      <c r="G2485" s="5" t="s">
        <v>178</v>
      </c>
      <c r="H2485" s="5" t="s">
        <v>179</v>
      </c>
      <c r="I2485" s="5" t="s">
        <v>32</v>
      </c>
      <c r="J2485" s="5">
        <v>17.051912659999999</v>
      </c>
      <c r="K2485" s="5">
        <v>-96.624382760000003</v>
      </c>
      <c r="L2485" s="5" t="str">
        <f>HYPERLINK("https://maps.google.com/?q=17.05191266,-96.624382760000003", "🔗 Ver Mapa")</f>
        <v>🔗 Ver Mapa</v>
      </c>
    </row>
    <row r="2486" spans="1:12" ht="43.5" x14ac:dyDescent="0.35">
      <c r="A2486" s="6" t="s">
        <v>516</v>
      </c>
      <c r="B2486" s="6" t="s">
        <v>517</v>
      </c>
      <c r="C2486" s="6" t="s">
        <v>524</v>
      </c>
      <c r="D2486" s="6" t="s">
        <v>58</v>
      </c>
      <c r="E2486" s="6" t="s">
        <v>52</v>
      </c>
      <c r="F2486" s="6" t="s">
        <v>70</v>
      </c>
      <c r="G2486" s="6" t="s">
        <v>178</v>
      </c>
      <c r="H2486" s="6" t="s">
        <v>179</v>
      </c>
      <c r="I2486" s="6" t="s">
        <v>32</v>
      </c>
      <c r="J2486" s="6">
        <v>17.051916640000002</v>
      </c>
      <c r="K2486" s="6">
        <v>-96.624499060000005</v>
      </c>
      <c r="L2486" s="6" t="str">
        <f>HYPERLINK("https://maps.google.com/?q=17.05191664,-96.624499060000005", "🔗 Ver Mapa")</f>
        <v>🔗 Ver Mapa</v>
      </c>
    </row>
    <row r="2487" spans="1:12" ht="43.5" x14ac:dyDescent="0.35">
      <c r="A2487" s="5" t="s">
        <v>516</v>
      </c>
      <c r="B2487" s="5" t="s">
        <v>517</v>
      </c>
      <c r="C2487" s="5" t="s">
        <v>524</v>
      </c>
      <c r="D2487" s="5" t="s">
        <v>58</v>
      </c>
      <c r="E2487" s="5" t="s">
        <v>52</v>
      </c>
      <c r="F2487" s="5" t="s">
        <v>70</v>
      </c>
      <c r="G2487" s="5" t="s">
        <v>178</v>
      </c>
      <c r="H2487" s="5" t="s">
        <v>179</v>
      </c>
      <c r="I2487" s="5" t="s">
        <v>32</v>
      </c>
      <c r="J2487" s="5">
        <v>17.051919399999999</v>
      </c>
      <c r="K2487" s="5">
        <v>-96.624410839999996</v>
      </c>
      <c r="L2487" s="5" t="str">
        <f>HYPERLINK("https://maps.google.com/?q=17.0519194,-96.624410839999996", "🔗 Ver Mapa")</f>
        <v>🔗 Ver Mapa</v>
      </c>
    </row>
    <row r="2488" spans="1:12" ht="43.5" x14ac:dyDescent="0.35">
      <c r="A2488" s="6" t="s">
        <v>516</v>
      </c>
      <c r="B2488" s="6" t="s">
        <v>517</v>
      </c>
      <c r="C2488" s="6" t="s">
        <v>524</v>
      </c>
      <c r="D2488" s="6" t="s">
        <v>58</v>
      </c>
      <c r="E2488" s="6" t="s">
        <v>52</v>
      </c>
      <c r="F2488" s="6" t="s">
        <v>70</v>
      </c>
      <c r="G2488" s="6" t="s">
        <v>178</v>
      </c>
      <c r="H2488" s="6" t="s">
        <v>179</v>
      </c>
      <c r="I2488" s="6" t="s">
        <v>32</v>
      </c>
      <c r="J2488" s="6">
        <v>17.051928929999999</v>
      </c>
      <c r="K2488" s="6">
        <v>-96.624537869999997</v>
      </c>
      <c r="L2488" s="6" t="str">
        <f>HYPERLINK("https://maps.google.com/?q=17.05192893,-96.624537869999997", "🔗 Ver Mapa")</f>
        <v>🔗 Ver Mapa</v>
      </c>
    </row>
    <row r="2489" spans="1:12" ht="43.5" x14ac:dyDescent="0.35">
      <c r="A2489" s="5" t="s">
        <v>516</v>
      </c>
      <c r="B2489" s="5" t="s">
        <v>517</v>
      </c>
      <c r="C2489" s="5" t="s">
        <v>524</v>
      </c>
      <c r="D2489" s="5" t="s">
        <v>58</v>
      </c>
      <c r="E2489" s="5" t="s">
        <v>52</v>
      </c>
      <c r="F2489" s="5" t="s">
        <v>70</v>
      </c>
      <c r="G2489" s="5" t="s">
        <v>178</v>
      </c>
      <c r="H2489" s="5" t="s">
        <v>179</v>
      </c>
      <c r="I2489" s="5" t="s">
        <v>32</v>
      </c>
      <c r="J2489" s="5">
        <v>17.051937880000001</v>
      </c>
      <c r="K2489" s="5">
        <v>-96.624422629999998</v>
      </c>
      <c r="L2489" s="5" t="str">
        <f>HYPERLINK("https://maps.google.com/?q=17.05193788,-96.624422629999998", "🔗 Ver Mapa")</f>
        <v>🔗 Ver Mapa</v>
      </c>
    </row>
    <row r="2490" spans="1:12" ht="43.5" x14ac:dyDescent="0.35">
      <c r="A2490" s="6" t="s">
        <v>516</v>
      </c>
      <c r="B2490" s="6" t="s">
        <v>517</v>
      </c>
      <c r="C2490" s="6" t="s">
        <v>524</v>
      </c>
      <c r="D2490" s="6" t="s">
        <v>58</v>
      </c>
      <c r="E2490" s="6" t="s">
        <v>52</v>
      </c>
      <c r="F2490" s="6" t="s">
        <v>70</v>
      </c>
      <c r="G2490" s="6" t="s">
        <v>178</v>
      </c>
      <c r="H2490" s="6" t="s">
        <v>179</v>
      </c>
      <c r="I2490" s="6" t="s">
        <v>32</v>
      </c>
      <c r="J2490" s="6">
        <v>17.051946109999999</v>
      </c>
      <c r="K2490" s="6">
        <v>-96.624601420000005</v>
      </c>
      <c r="L2490" s="6" t="str">
        <f>HYPERLINK("https://maps.google.com/?q=17.05194611,-96.624601420000005", "🔗 Ver Mapa")</f>
        <v>🔗 Ver Mapa</v>
      </c>
    </row>
    <row r="2491" spans="1:12" ht="43.5" x14ac:dyDescent="0.35">
      <c r="A2491" s="5" t="s">
        <v>516</v>
      </c>
      <c r="B2491" s="5" t="s">
        <v>517</v>
      </c>
      <c r="C2491" s="5" t="s">
        <v>524</v>
      </c>
      <c r="D2491" s="5" t="s">
        <v>58</v>
      </c>
      <c r="E2491" s="5" t="s">
        <v>52</v>
      </c>
      <c r="F2491" s="5" t="s">
        <v>70</v>
      </c>
      <c r="G2491" s="5" t="s">
        <v>178</v>
      </c>
      <c r="H2491" s="5" t="s">
        <v>179</v>
      </c>
      <c r="I2491" s="5" t="s">
        <v>32</v>
      </c>
      <c r="J2491" s="5">
        <v>17.05195698</v>
      </c>
      <c r="K2491" s="5">
        <v>-96.624487930000001</v>
      </c>
      <c r="L2491" s="5" t="str">
        <f>HYPERLINK("https://maps.google.com/?q=17.05195698,-96.624487930000001", "🔗 Ver Mapa")</f>
        <v>🔗 Ver Mapa</v>
      </c>
    </row>
    <row r="2492" spans="1:12" ht="43.5" x14ac:dyDescent="0.35">
      <c r="A2492" s="6" t="s">
        <v>516</v>
      </c>
      <c r="B2492" s="6" t="s">
        <v>517</v>
      </c>
      <c r="C2492" s="6" t="s">
        <v>524</v>
      </c>
      <c r="D2492" s="6" t="s">
        <v>58</v>
      </c>
      <c r="E2492" s="6" t="s">
        <v>52</v>
      </c>
      <c r="F2492" s="6" t="s">
        <v>70</v>
      </c>
      <c r="G2492" s="6" t="s">
        <v>178</v>
      </c>
      <c r="H2492" s="6" t="s">
        <v>179</v>
      </c>
      <c r="I2492" s="6" t="s">
        <v>32</v>
      </c>
      <c r="J2492" s="6">
        <v>17.051983310000001</v>
      </c>
      <c r="K2492" s="6">
        <v>-96.624159590000005</v>
      </c>
      <c r="L2492" s="6" t="str">
        <f>HYPERLINK("https://maps.google.com/?q=17.05198331,-96.624159590000005", "🔗 Ver Mapa")</f>
        <v>🔗 Ver Mapa</v>
      </c>
    </row>
    <row r="2493" spans="1:12" ht="43.5" x14ac:dyDescent="0.35">
      <c r="A2493" s="5" t="s">
        <v>516</v>
      </c>
      <c r="B2493" s="5" t="s">
        <v>517</v>
      </c>
      <c r="C2493" s="5" t="s">
        <v>524</v>
      </c>
      <c r="D2493" s="5" t="s">
        <v>58</v>
      </c>
      <c r="E2493" s="5" t="s">
        <v>52</v>
      </c>
      <c r="F2493" s="5" t="s">
        <v>70</v>
      </c>
      <c r="G2493" s="5" t="s">
        <v>178</v>
      </c>
      <c r="H2493" s="5" t="s">
        <v>179</v>
      </c>
      <c r="I2493" s="5" t="s">
        <v>32</v>
      </c>
      <c r="J2493" s="5">
        <v>17.051985599999998</v>
      </c>
      <c r="K2493" s="5">
        <v>-96.624594999999999</v>
      </c>
      <c r="L2493" s="5" t="str">
        <f>HYPERLINK("https://maps.google.com/?q=17.0519856,-96.624594999999999", "🔗 Ver Mapa")</f>
        <v>🔗 Ver Mapa</v>
      </c>
    </row>
    <row r="2494" spans="1:12" ht="43.5" x14ac:dyDescent="0.35">
      <c r="A2494" s="6" t="s">
        <v>516</v>
      </c>
      <c r="B2494" s="6" t="s">
        <v>517</v>
      </c>
      <c r="C2494" s="6" t="s">
        <v>524</v>
      </c>
      <c r="D2494" s="6" t="s">
        <v>58</v>
      </c>
      <c r="E2494" s="6" t="s">
        <v>52</v>
      </c>
      <c r="F2494" s="6" t="s">
        <v>70</v>
      </c>
      <c r="G2494" s="6" t="s">
        <v>178</v>
      </c>
      <c r="H2494" s="6" t="s">
        <v>179</v>
      </c>
      <c r="I2494" s="6" t="s">
        <v>32</v>
      </c>
      <c r="J2494" s="6">
        <v>17.052047229999999</v>
      </c>
      <c r="K2494" s="6">
        <v>-96.624141320000007</v>
      </c>
      <c r="L2494" s="6" t="str">
        <f>HYPERLINK("https://maps.google.com/?q=17.05204723,-96.624141320000007", "🔗 Ver Mapa")</f>
        <v>🔗 Ver Mapa</v>
      </c>
    </row>
    <row r="2495" spans="1:12" ht="43.5" x14ac:dyDescent="0.35">
      <c r="A2495" s="5" t="s">
        <v>516</v>
      </c>
      <c r="B2495" s="5" t="s">
        <v>517</v>
      </c>
      <c r="C2495" s="5" t="s">
        <v>524</v>
      </c>
      <c r="D2495" s="5" t="s">
        <v>58</v>
      </c>
      <c r="E2495" s="5" t="s">
        <v>52</v>
      </c>
      <c r="F2495" s="5" t="s">
        <v>70</v>
      </c>
      <c r="G2495" s="5" t="s">
        <v>178</v>
      </c>
      <c r="H2495" s="5" t="s">
        <v>179</v>
      </c>
      <c r="I2495" s="5" t="s">
        <v>32</v>
      </c>
      <c r="J2495" s="5">
        <v>17.05204732</v>
      </c>
      <c r="K2495" s="5">
        <v>-96.624141409999993</v>
      </c>
      <c r="L2495" s="5" t="str">
        <f>HYPERLINK("https://maps.google.com/?q=17.05204732,-96.624141409999993", "🔗 Ver Mapa")</f>
        <v>🔗 Ver Mapa</v>
      </c>
    </row>
    <row r="2496" spans="1:12" ht="43.5" x14ac:dyDescent="0.35">
      <c r="A2496" s="6" t="s">
        <v>516</v>
      </c>
      <c r="B2496" s="6" t="s">
        <v>517</v>
      </c>
      <c r="C2496" s="6" t="s">
        <v>524</v>
      </c>
      <c r="D2496" s="6" t="s">
        <v>58</v>
      </c>
      <c r="E2496" s="6" t="s">
        <v>52</v>
      </c>
      <c r="F2496" s="6" t="s">
        <v>70</v>
      </c>
      <c r="G2496" s="6" t="s">
        <v>178</v>
      </c>
      <c r="H2496" s="6" t="s">
        <v>179</v>
      </c>
      <c r="I2496" s="6" t="s">
        <v>32</v>
      </c>
      <c r="J2496" s="6">
        <v>17.05205716</v>
      </c>
      <c r="K2496" s="6">
        <v>-96.624179499999997</v>
      </c>
      <c r="L2496" s="6" t="str">
        <f>HYPERLINK("https://maps.google.com/?q=17.05205716,-96.624179499999997", "🔗 Ver Mapa")</f>
        <v>🔗 Ver Mapa</v>
      </c>
    </row>
    <row r="2497" spans="1:12" ht="43.5" x14ac:dyDescent="0.35">
      <c r="A2497" s="5" t="s">
        <v>516</v>
      </c>
      <c r="B2497" s="5" t="s">
        <v>517</v>
      </c>
      <c r="C2497" s="5" t="s">
        <v>524</v>
      </c>
      <c r="D2497" s="5" t="s">
        <v>58</v>
      </c>
      <c r="E2497" s="5" t="s">
        <v>52</v>
      </c>
      <c r="F2497" s="5" t="s">
        <v>70</v>
      </c>
      <c r="G2497" s="5" t="s">
        <v>178</v>
      </c>
      <c r="H2497" s="5" t="s">
        <v>179</v>
      </c>
      <c r="I2497" s="5" t="s">
        <v>32</v>
      </c>
      <c r="J2497" s="5">
        <v>17.052082328280001</v>
      </c>
      <c r="K2497" s="5">
        <v>-96.623651905623007</v>
      </c>
      <c r="L2497" s="5" t="str">
        <f>HYPERLINK("https://maps.google.com/?q=17.052082328280168,-96.623651905623149", "🔗 Ver Mapa")</f>
        <v>🔗 Ver Mapa</v>
      </c>
    </row>
    <row r="2498" spans="1:12" ht="43.5" x14ac:dyDescent="0.35">
      <c r="A2498" s="6" t="s">
        <v>516</v>
      </c>
      <c r="B2498" s="6" t="s">
        <v>517</v>
      </c>
      <c r="C2498" s="6" t="s">
        <v>524</v>
      </c>
      <c r="D2498" s="6" t="s">
        <v>58</v>
      </c>
      <c r="E2498" s="6" t="s">
        <v>52</v>
      </c>
      <c r="F2498" s="6" t="s">
        <v>70</v>
      </c>
      <c r="G2498" s="6" t="s">
        <v>178</v>
      </c>
      <c r="H2498" s="6" t="s">
        <v>179</v>
      </c>
      <c r="I2498" s="6" t="s">
        <v>32</v>
      </c>
      <c r="J2498" s="6">
        <v>17.052082330000001</v>
      </c>
      <c r="K2498" s="6">
        <v>-96.623651910000007</v>
      </c>
      <c r="L2498" s="6" t="str">
        <f>HYPERLINK("https://maps.google.com/?q=17.05208233,-96.623651910000007", "🔗 Ver Mapa")</f>
        <v>🔗 Ver Mapa</v>
      </c>
    </row>
    <row r="2499" spans="1:12" ht="43.5" x14ac:dyDescent="0.35">
      <c r="A2499" s="5" t="s">
        <v>516</v>
      </c>
      <c r="B2499" s="5" t="s">
        <v>517</v>
      </c>
      <c r="C2499" s="5" t="s">
        <v>524</v>
      </c>
      <c r="D2499" s="5" t="s">
        <v>58</v>
      </c>
      <c r="E2499" s="5" t="s">
        <v>52</v>
      </c>
      <c r="F2499" s="5" t="s">
        <v>70</v>
      </c>
      <c r="G2499" s="5" t="s">
        <v>178</v>
      </c>
      <c r="H2499" s="5" t="s">
        <v>179</v>
      </c>
      <c r="I2499" s="5" t="s">
        <v>32</v>
      </c>
      <c r="J2499" s="5">
        <v>17.052087060000002</v>
      </c>
      <c r="K2499" s="5">
        <v>-96.624187109999994</v>
      </c>
      <c r="L2499" s="5" t="str">
        <f>HYPERLINK("https://maps.google.com/?q=17.05208706,-96.624187109999994", "🔗 Ver Mapa")</f>
        <v>🔗 Ver Mapa</v>
      </c>
    </row>
    <row r="2500" spans="1:12" ht="43.5" x14ac:dyDescent="0.35">
      <c r="A2500" s="6" t="s">
        <v>516</v>
      </c>
      <c r="B2500" s="6" t="s">
        <v>517</v>
      </c>
      <c r="C2500" s="6" t="s">
        <v>524</v>
      </c>
      <c r="D2500" s="6" t="s">
        <v>58</v>
      </c>
      <c r="E2500" s="6" t="s">
        <v>52</v>
      </c>
      <c r="F2500" s="6" t="s">
        <v>70</v>
      </c>
      <c r="G2500" s="6" t="s">
        <v>178</v>
      </c>
      <c r="H2500" s="6" t="s">
        <v>179</v>
      </c>
      <c r="I2500" s="6" t="s">
        <v>32</v>
      </c>
      <c r="J2500" s="6">
        <v>17.0520873</v>
      </c>
      <c r="K2500" s="6">
        <v>-96.62413085</v>
      </c>
      <c r="L2500" s="6" t="str">
        <f>HYPERLINK("https://maps.google.com/?q=17.0520873,-96.62413085", "🔗 Ver Mapa")</f>
        <v>🔗 Ver Mapa</v>
      </c>
    </row>
    <row r="2501" spans="1:12" ht="43.5" x14ac:dyDescent="0.35">
      <c r="A2501" s="5" t="s">
        <v>516</v>
      </c>
      <c r="B2501" s="5" t="s">
        <v>517</v>
      </c>
      <c r="C2501" s="5" t="s">
        <v>524</v>
      </c>
      <c r="D2501" s="5" t="s">
        <v>58</v>
      </c>
      <c r="E2501" s="5" t="s">
        <v>52</v>
      </c>
      <c r="F2501" s="5" t="s">
        <v>70</v>
      </c>
      <c r="G2501" s="5" t="s">
        <v>178</v>
      </c>
      <c r="H2501" s="5" t="s">
        <v>179</v>
      </c>
      <c r="I2501" s="5" t="s">
        <v>32</v>
      </c>
      <c r="J2501" s="5">
        <v>17.052087520000001</v>
      </c>
      <c r="K2501" s="5">
        <v>-96.624219310000001</v>
      </c>
      <c r="L2501" s="5" t="str">
        <f>HYPERLINK("https://maps.google.com/?q=17.05208752,-96.624219310000001", "🔗 Ver Mapa")</f>
        <v>🔗 Ver Mapa</v>
      </c>
    </row>
    <row r="2502" spans="1:12" ht="43.5" x14ac:dyDescent="0.35">
      <c r="A2502" s="6" t="s">
        <v>516</v>
      </c>
      <c r="B2502" s="6" t="s">
        <v>517</v>
      </c>
      <c r="C2502" s="6" t="s">
        <v>524</v>
      </c>
      <c r="D2502" s="6" t="s">
        <v>58</v>
      </c>
      <c r="E2502" s="6" t="s">
        <v>52</v>
      </c>
      <c r="F2502" s="6" t="s">
        <v>70</v>
      </c>
      <c r="G2502" s="6" t="s">
        <v>178</v>
      </c>
      <c r="H2502" s="6" t="s">
        <v>179</v>
      </c>
      <c r="I2502" s="6" t="s">
        <v>32</v>
      </c>
      <c r="J2502" s="6">
        <v>17.05209417</v>
      </c>
      <c r="K2502" s="6">
        <v>-96.623807360000001</v>
      </c>
      <c r="L2502" s="6" t="str">
        <f>HYPERLINK("https://maps.google.com/?q=17.05209417,-96.623807360000001", "🔗 Ver Mapa")</f>
        <v>🔗 Ver Mapa</v>
      </c>
    </row>
    <row r="2503" spans="1:12" ht="43.5" x14ac:dyDescent="0.35">
      <c r="A2503" s="5" t="s">
        <v>516</v>
      </c>
      <c r="B2503" s="5" t="s">
        <v>517</v>
      </c>
      <c r="C2503" s="5" t="s">
        <v>524</v>
      </c>
      <c r="D2503" s="5" t="s">
        <v>58</v>
      </c>
      <c r="E2503" s="5" t="s">
        <v>52</v>
      </c>
      <c r="F2503" s="5" t="s">
        <v>70</v>
      </c>
      <c r="G2503" s="5" t="s">
        <v>178</v>
      </c>
      <c r="H2503" s="5" t="s">
        <v>179</v>
      </c>
      <c r="I2503" s="5" t="s">
        <v>32</v>
      </c>
      <c r="J2503" s="5">
        <v>17.052097320000001</v>
      </c>
      <c r="K2503" s="5">
        <v>-96.624261160000003</v>
      </c>
      <c r="L2503" s="5" t="str">
        <f>HYPERLINK("https://maps.google.com/?q=17.05209732,-96.624261160000003", "🔗 Ver Mapa")</f>
        <v>🔗 Ver Mapa</v>
      </c>
    </row>
    <row r="2504" spans="1:12" ht="43.5" x14ac:dyDescent="0.35">
      <c r="A2504" s="6" t="s">
        <v>516</v>
      </c>
      <c r="B2504" s="6" t="s">
        <v>517</v>
      </c>
      <c r="C2504" s="6" t="s">
        <v>524</v>
      </c>
      <c r="D2504" s="6" t="s">
        <v>58</v>
      </c>
      <c r="E2504" s="6" t="s">
        <v>52</v>
      </c>
      <c r="F2504" s="6" t="s">
        <v>70</v>
      </c>
      <c r="G2504" s="6" t="s">
        <v>178</v>
      </c>
      <c r="H2504" s="6" t="s">
        <v>179</v>
      </c>
      <c r="I2504" s="6" t="s">
        <v>32</v>
      </c>
      <c r="J2504" s="6">
        <v>17.05210932</v>
      </c>
      <c r="K2504" s="6">
        <v>-96.623874499999999</v>
      </c>
      <c r="L2504" s="6" t="str">
        <f>HYPERLINK("https://maps.google.com/?q=17.05210932,-96.623874499999999", "🔗 Ver Mapa")</f>
        <v>🔗 Ver Mapa</v>
      </c>
    </row>
    <row r="2505" spans="1:12" ht="43.5" x14ac:dyDescent="0.35">
      <c r="A2505" s="5" t="s">
        <v>516</v>
      </c>
      <c r="B2505" s="5" t="s">
        <v>517</v>
      </c>
      <c r="C2505" s="5" t="s">
        <v>524</v>
      </c>
      <c r="D2505" s="5" t="s">
        <v>58</v>
      </c>
      <c r="E2505" s="5" t="s">
        <v>52</v>
      </c>
      <c r="F2505" s="5" t="s">
        <v>70</v>
      </c>
      <c r="G2505" s="5" t="s">
        <v>178</v>
      </c>
      <c r="H2505" s="5" t="s">
        <v>179</v>
      </c>
      <c r="I2505" s="5" t="s">
        <v>32</v>
      </c>
      <c r="J2505" s="5">
        <v>17.05211534</v>
      </c>
      <c r="K2505" s="5">
        <v>-96.624327140000005</v>
      </c>
      <c r="L2505" s="5" t="str">
        <f>HYPERLINK("https://maps.google.com/?q=17.05211534,-96.624327140000005", "🔗 Ver Mapa")</f>
        <v>🔗 Ver Mapa</v>
      </c>
    </row>
    <row r="2506" spans="1:12" ht="43.5" x14ac:dyDescent="0.35">
      <c r="A2506" s="6" t="s">
        <v>516</v>
      </c>
      <c r="B2506" s="6" t="s">
        <v>517</v>
      </c>
      <c r="C2506" s="6" t="s">
        <v>524</v>
      </c>
      <c r="D2506" s="6" t="s">
        <v>58</v>
      </c>
      <c r="E2506" s="6" t="s">
        <v>52</v>
      </c>
      <c r="F2506" s="6" t="s">
        <v>70</v>
      </c>
      <c r="G2506" s="6" t="s">
        <v>178</v>
      </c>
      <c r="H2506" s="6" t="s">
        <v>179</v>
      </c>
      <c r="I2506" s="6" t="s">
        <v>32</v>
      </c>
      <c r="J2506" s="6">
        <v>17.05211778</v>
      </c>
      <c r="K2506" s="6">
        <v>-96.623747710000004</v>
      </c>
      <c r="L2506" s="6" t="str">
        <f>HYPERLINK("https://maps.google.com/?q=17.05211778,-96.623747710000004", "🔗 Ver Mapa")</f>
        <v>🔗 Ver Mapa</v>
      </c>
    </row>
    <row r="2507" spans="1:12" ht="43.5" x14ac:dyDescent="0.35">
      <c r="A2507" s="5" t="s">
        <v>516</v>
      </c>
      <c r="B2507" s="5" t="s">
        <v>517</v>
      </c>
      <c r="C2507" s="5" t="s">
        <v>524</v>
      </c>
      <c r="D2507" s="5" t="s">
        <v>58</v>
      </c>
      <c r="E2507" s="5" t="s">
        <v>52</v>
      </c>
      <c r="F2507" s="5" t="s">
        <v>70</v>
      </c>
      <c r="G2507" s="5" t="s">
        <v>178</v>
      </c>
      <c r="H2507" s="5" t="s">
        <v>179</v>
      </c>
      <c r="I2507" s="5" t="s">
        <v>32</v>
      </c>
      <c r="J2507" s="5">
        <v>17.052118910000001</v>
      </c>
      <c r="K2507" s="5">
        <v>-96.624199759999996</v>
      </c>
      <c r="L2507" s="5" t="str">
        <f>HYPERLINK("https://maps.google.com/?q=17.05211891,-96.624199759999996", "🔗 Ver Mapa")</f>
        <v>🔗 Ver Mapa</v>
      </c>
    </row>
    <row r="2508" spans="1:12" ht="43.5" x14ac:dyDescent="0.35">
      <c r="A2508" s="6" t="s">
        <v>516</v>
      </c>
      <c r="B2508" s="6" t="s">
        <v>517</v>
      </c>
      <c r="C2508" s="6" t="s">
        <v>524</v>
      </c>
      <c r="D2508" s="6" t="s">
        <v>58</v>
      </c>
      <c r="E2508" s="6" t="s">
        <v>52</v>
      </c>
      <c r="F2508" s="6" t="s">
        <v>70</v>
      </c>
      <c r="G2508" s="6" t="s">
        <v>178</v>
      </c>
      <c r="H2508" s="6" t="s">
        <v>179</v>
      </c>
      <c r="I2508" s="6" t="s">
        <v>32</v>
      </c>
      <c r="J2508" s="6">
        <v>17.052124020000001</v>
      </c>
      <c r="K2508" s="6">
        <v>-96.623926150000003</v>
      </c>
      <c r="L2508" s="6" t="str">
        <f>HYPERLINK("https://maps.google.com/?q=17.05212402,-96.623926150000003", "🔗 Ver Mapa")</f>
        <v>🔗 Ver Mapa</v>
      </c>
    </row>
    <row r="2509" spans="1:12" ht="43.5" x14ac:dyDescent="0.35">
      <c r="A2509" s="5" t="s">
        <v>516</v>
      </c>
      <c r="B2509" s="5" t="s">
        <v>517</v>
      </c>
      <c r="C2509" s="5" t="s">
        <v>524</v>
      </c>
      <c r="D2509" s="5" t="s">
        <v>58</v>
      </c>
      <c r="E2509" s="5" t="s">
        <v>52</v>
      </c>
      <c r="F2509" s="5" t="s">
        <v>70</v>
      </c>
      <c r="G2509" s="5" t="s">
        <v>178</v>
      </c>
      <c r="H2509" s="5" t="s">
        <v>179</v>
      </c>
      <c r="I2509" s="5" t="s">
        <v>32</v>
      </c>
      <c r="J2509" s="5">
        <v>17.052136969999999</v>
      </c>
      <c r="K2509" s="5">
        <v>-96.624337949999997</v>
      </c>
      <c r="L2509" s="5" t="str">
        <f>HYPERLINK("https://maps.google.com/?q=17.05213697,-96.624337949999997", "🔗 Ver Mapa")</f>
        <v>🔗 Ver Mapa</v>
      </c>
    </row>
    <row r="2510" spans="1:12" ht="43.5" x14ac:dyDescent="0.35">
      <c r="A2510" s="6" t="s">
        <v>516</v>
      </c>
      <c r="B2510" s="6" t="s">
        <v>517</v>
      </c>
      <c r="C2510" s="6" t="s">
        <v>524</v>
      </c>
      <c r="D2510" s="6" t="s">
        <v>58</v>
      </c>
      <c r="E2510" s="6" t="s">
        <v>52</v>
      </c>
      <c r="F2510" s="6" t="s">
        <v>70</v>
      </c>
      <c r="G2510" s="6" t="s">
        <v>178</v>
      </c>
      <c r="H2510" s="6" t="s">
        <v>179</v>
      </c>
      <c r="I2510" s="6" t="s">
        <v>32</v>
      </c>
      <c r="J2510" s="6">
        <v>17.052138490000001</v>
      </c>
      <c r="K2510" s="6">
        <v>-96.623981740000005</v>
      </c>
      <c r="L2510" s="6" t="str">
        <f>HYPERLINK("https://maps.google.com/?q=17.05213849,-96.623981740000005", "🔗 Ver Mapa")</f>
        <v>🔗 Ver Mapa</v>
      </c>
    </row>
    <row r="2511" spans="1:12" ht="43.5" x14ac:dyDescent="0.35">
      <c r="A2511" s="5" t="s">
        <v>516</v>
      </c>
      <c r="B2511" s="5" t="s">
        <v>517</v>
      </c>
      <c r="C2511" s="5" t="s">
        <v>524</v>
      </c>
      <c r="D2511" s="5" t="s">
        <v>58</v>
      </c>
      <c r="E2511" s="5" t="s">
        <v>52</v>
      </c>
      <c r="F2511" s="5" t="s">
        <v>70</v>
      </c>
      <c r="G2511" s="5" t="s">
        <v>178</v>
      </c>
      <c r="H2511" s="5" t="s">
        <v>179</v>
      </c>
      <c r="I2511" s="5" t="s">
        <v>32</v>
      </c>
      <c r="J2511" s="5">
        <v>17.052142140000001</v>
      </c>
      <c r="K2511" s="5">
        <v>-96.624363329999994</v>
      </c>
      <c r="L2511" s="5" t="str">
        <f>HYPERLINK("https://maps.google.com/?q=17.05214214,-96.624363329999994", "🔗 Ver Mapa")</f>
        <v>🔗 Ver Mapa</v>
      </c>
    </row>
    <row r="2512" spans="1:12" ht="43.5" x14ac:dyDescent="0.35">
      <c r="A2512" s="6" t="s">
        <v>516</v>
      </c>
      <c r="B2512" s="6" t="s">
        <v>517</v>
      </c>
      <c r="C2512" s="6" t="s">
        <v>524</v>
      </c>
      <c r="D2512" s="6" t="s">
        <v>58</v>
      </c>
      <c r="E2512" s="6" t="s">
        <v>52</v>
      </c>
      <c r="F2512" s="6" t="s">
        <v>70</v>
      </c>
      <c r="G2512" s="6" t="s">
        <v>178</v>
      </c>
      <c r="H2512" s="6" t="s">
        <v>179</v>
      </c>
      <c r="I2512" s="6" t="s">
        <v>32</v>
      </c>
      <c r="J2512" s="6">
        <v>17.052148769999999</v>
      </c>
      <c r="K2512" s="6">
        <v>-96.624289059999995</v>
      </c>
      <c r="L2512" s="6" t="str">
        <f>HYPERLINK("https://maps.google.com/?q=17.05214877,-96.624289059999995", "🔗 Ver Mapa")</f>
        <v>🔗 Ver Mapa</v>
      </c>
    </row>
    <row r="2513" spans="1:12" ht="43.5" x14ac:dyDescent="0.35">
      <c r="A2513" s="5" t="s">
        <v>516</v>
      </c>
      <c r="B2513" s="5" t="s">
        <v>517</v>
      </c>
      <c r="C2513" s="5" t="s">
        <v>524</v>
      </c>
      <c r="D2513" s="5" t="s">
        <v>58</v>
      </c>
      <c r="E2513" s="5" t="s">
        <v>52</v>
      </c>
      <c r="F2513" s="5" t="s">
        <v>70</v>
      </c>
      <c r="G2513" s="5" t="s">
        <v>178</v>
      </c>
      <c r="H2513" s="5" t="s">
        <v>179</v>
      </c>
      <c r="I2513" s="5" t="s">
        <v>32</v>
      </c>
      <c r="J2513" s="5">
        <v>17.052152020000001</v>
      </c>
      <c r="K2513" s="5">
        <v>-96.624111540000001</v>
      </c>
      <c r="L2513" s="5" t="str">
        <f>HYPERLINK("https://maps.google.com/?q=17.05215202,-96.624111540000001", "🔗 Ver Mapa")</f>
        <v>🔗 Ver Mapa</v>
      </c>
    </row>
    <row r="2514" spans="1:12" ht="43.5" x14ac:dyDescent="0.35">
      <c r="A2514" s="6" t="s">
        <v>516</v>
      </c>
      <c r="B2514" s="6" t="s">
        <v>517</v>
      </c>
      <c r="C2514" s="6" t="s">
        <v>524</v>
      </c>
      <c r="D2514" s="6" t="s">
        <v>58</v>
      </c>
      <c r="E2514" s="6" t="s">
        <v>52</v>
      </c>
      <c r="F2514" s="6" t="s">
        <v>70</v>
      </c>
      <c r="G2514" s="6" t="s">
        <v>178</v>
      </c>
      <c r="H2514" s="6" t="s">
        <v>179</v>
      </c>
      <c r="I2514" s="6" t="s">
        <v>32</v>
      </c>
      <c r="J2514" s="6">
        <v>17.05215973</v>
      </c>
      <c r="K2514" s="6">
        <v>-96.624430529999998</v>
      </c>
      <c r="L2514" s="6" t="str">
        <f>HYPERLINK("https://maps.google.com/?q=17.05215973,-96.624430529999998", "🔗 Ver Mapa")</f>
        <v>🔗 Ver Mapa</v>
      </c>
    </row>
    <row r="2515" spans="1:12" ht="43.5" x14ac:dyDescent="0.35">
      <c r="A2515" s="5" t="s">
        <v>516</v>
      </c>
      <c r="B2515" s="5" t="s">
        <v>517</v>
      </c>
      <c r="C2515" s="5" t="s">
        <v>524</v>
      </c>
      <c r="D2515" s="5" t="s">
        <v>58</v>
      </c>
      <c r="E2515" s="5" t="s">
        <v>52</v>
      </c>
      <c r="F2515" s="5" t="s">
        <v>70</v>
      </c>
      <c r="G2515" s="5" t="s">
        <v>178</v>
      </c>
      <c r="H2515" s="5" t="s">
        <v>179</v>
      </c>
      <c r="I2515" s="5" t="s">
        <v>32</v>
      </c>
      <c r="J2515" s="5">
        <v>17.05216841</v>
      </c>
      <c r="K2515" s="5">
        <v>-96.624075930000004</v>
      </c>
      <c r="L2515" s="5" t="str">
        <f>HYPERLINK("https://maps.google.com/?q=17.05216841,-96.624075930000004", "🔗 Ver Mapa")</f>
        <v>🔗 Ver Mapa</v>
      </c>
    </row>
    <row r="2516" spans="1:12" ht="43.5" x14ac:dyDescent="0.35">
      <c r="A2516" s="6" t="s">
        <v>516</v>
      </c>
      <c r="B2516" s="6" t="s">
        <v>517</v>
      </c>
      <c r="C2516" s="6" t="s">
        <v>524</v>
      </c>
      <c r="D2516" s="6" t="s">
        <v>58</v>
      </c>
      <c r="E2516" s="6" t="s">
        <v>52</v>
      </c>
      <c r="F2516" s="6" t="s">
        <v>70</v>
      </c>
      <c r="G2516" s="6" t="s">
        <v>178</v>
      </c>
      <c r="H2516" s="6" t="s">
        <v>179</v>
      </c>
      <c r="I2516" s="6" t="s">
        <v>32</v>
      </c>
      <c r="J2516" s="6">
        <v>17.0521706</v>
      </c>
      <c r="K2516" s="6">
        <v>-96.624471990000004</v>
      </c>
      <c r="L2516" s="6" t="str">
        <f>HYPERLINK("https://maps.google.com/?q=17.0521706,-96.624471990000004", "🔗 Ver Mapa")</f>
        <v>🔗 Ver Mapa</v>
      </c>
    </row>
    <row r="2517" spans="1:12" ht="43.5" x14ac:dyDescent="0.35">
      <c r="A2517" s="5" t="s">
        <v>516</v>
      </c>
      <c r="B2517" s="5" t="s">
        <v>517</v>
      </c>
      <c r="C2517" s="5" t="s">
        <v>524</v>
      </c>
      <c r="D2517" s="5" t="s">
        <v>58</v>
      </c>
      <c r="E2517" s="5" t="s">
        <v>52</v>
      </c>
      <c r="F2517" s="5" t="s">
        <v>70</v>
      </c>
      <c r="G2517" s="5" t="s">
        <v>178</v>
      </c>
      <c r="H2517" s="5" t="s">
        <v>179</v>
      </c>
      <c r="I2517" s="5" t="s">
        <v>32</v>
      </c>
      <c r="J2517" s="5">
        <v>17.052170709999999</v>
      </c>
      <c r="K2517" s="5">
        <v>-96.624311219999996</v>
      </c>
      <c r="L2517" s="5" t="str">
        <f>HYPERLINK("https://maps.google.com/?q=17.05217071,-96.624311219999996", "🔗 Ver Mapa")</f>
        <v>🔗 Ver Mapa</v>
      </c>
    </row>
    <row r="2518" spans="1:12" ht="43.5" x14ac:dyDescent="0.35">
      <c r="A2518" s="6" t="s">
        <v>516</v>
      </c>
      <c r="B2518" s="6" t="s">
        <v>517</v>
      </c>
      <c r="C2518" s="6" t="s">
        <v>524</v>
      </c>
      <c r="D2518" s="6" t="s">
        <v>58</v>
      </c>
      <c r="E2518" s="6" t="s">
        <v>52</v>
      </c>
      <c r="F2518" s="6" t="s">
        <v>70</v>
      </c>
      <c r="G2518" s="6" t="s">
        <v>178</v>
      </c>
      <c r="H2518" s="6" t="s">
        <v>179</v>
      </c>
      <c r="I2518" s="6" t="s">
        <v>32</v>
      </c>
      <c r="J2518" s="6">
        <v>17.052182120000001</v>
      </c>
      <c r="K2518" s="6">
        <v>-96.624352299999998</v>
      </c>
      <c r="L2518" s="6" t="str">
        <f>HYPERLINK("https://maps.google.com/?q=17.05218212,-96.624352299999998", "🔗 Ver Mapa")</f>
        <v>🔗 Ver Mapa</v>
      </c>
    </row>
    <row r="2519" spans="1:12" ht="43.5" x14ac:dyDescent="0.35">
      <c r="A2519" s="5" t="s">
        <v>516</v>
      </c>
      <c r="B2519" s="5" t="s">
        <v>517</v>
      </c>
      <c r="C2519" s="5" t="s">
        <v>524</v>
      </c>
      <c r="D2519" s="5" t="s">
        <v>58</v>
      </c>
      <c r="E2519" s="5" t="s">
        <v>52</v>
      </c>
      <c r="F2519" s="5" t="s">
        <v>70</v>
      </c>
      <c r="G2519" s="5" t="s">
        <v>178</v>
      </c>
      <c r="H2519" s="5" t="s">
        <v>179</v>
      </c>
      <c r="I2519" s="5" t="s">
        <v>32</v>
      </c>
      <c r="J2519" s="5">
        <v>17.0521888</v>
      </c>
      <c r="K2519" s="5">
        <v>-96.624536930000005</v>
      </c>
      <c r="L2519" s="5" t="str">
        <f>HYPERLINK("https://maps.google.com/?q=17.0521888,-96.624536930000005", "🔗 Ver Mapa")</f>
        <v>🔗 Ver Mapa</v>
      </c>
    </row>
    <row r="2520" spans="1:12" ht="43.5" x14ac:dyDescent="0.35">
      <c r="A2520" s="6" t="s">
        <v>516</v>
      </c>
      <c r="B2520" s="6" t="s">
        <v>517</v>
      </c>
      <c r="C2520" s="6" t="s">
        <v>524</v>
      </c>
      <c r="D2520" s="6" t="s">
        <v>58</v>
      </c>
      <c r="E2520" s="6" t="s">
        <v>52</v>
      </c>
      <c r="F2520" s="6" t="s">
        <v>70</v>
      </c>
      <c r="G2520" s="6" t="s">
        <v>178</v>
      </c>
      <c r="H2520" s="6" t="s">
        <v>179</v>
      </c>
      <c r="I2520" s="6" t="s">
        <v>32</v>
      </c>
      <c r="J2520" s="6">
        <v>17.05219924</v>
      </c>
      <c r="K2520" s="6">
        <v>-96.624418480000003</v>
      </c>
      <c r="L2520" s="6" t="str">
        <f>HYPERLINK("https://maps.google.com/?q=17.05219924,-96.624418480000003", "🔗 Ver Mapa")</f>
        <v>🔗 Ver Mapa</v>
      </c>
    </row>
    <row r="2521" spans="1:12" ht="43.5" x14ac:dyDescent="0.35">
      <c r="A2521" s="5" t="s">
        <v>516</v>
      </c>
      <c r="B2521" s="5" t="s">
        <v>517</v>
      </c>
      <c r="C2521" s="5" t="s">
        <v>524</v>
      </c>
      <c r="D2521" s="5" t="s">
        <v>58</v>
      </c>
      <c r="E2521" s="5" t="s">
        <v>52</v>
      </c>
      <c r="F2521" s="5" t="s">
        <v>70</v>
      </c>
      <c r="G2521" s="5" t="s">
        <v>178</v>
      </c>
      <c r="H2521" s="5" t="s">
        <v>179</v>
      </c>
      <c r="I2521" s="5" t="s">
        <v>32</v>
      </c>
      <c r="J2521" s="5">
        <v>17.052209099999999</v>
      </c>
      <c r="K2521" s="5">
        <v>-96.624149220000007</v>
      </c>
      <c r="L2521" s="5" t="str">
        <f>HYPERLINK("https://maps.google.com/?q=17.0522091,-96.624149220000007", "🔗 Ver Mapa")</f>
        <v>🔗 Ver Mapa</v>
      </c>
    </row>
    <row r="2522" spans="1:12" ht="43.5" x14ac:dyDescent="0.35">
      <c r="A2522" s="6" t="s">
        <v>516</v>
      </c>
      <c r="B2522" s="6" t="s">
        <v>517</v>
      </c>
      <c r="C2522" s="6" t="s">
        <v>524</v>
      </c>
      <c r="D2522" s="6" t="s">
        <v>58</v>
      </c>
      <c r="E2522" s="6" t="s">
        <v>52</v>
      </c>
      <c r="F2522" s="6" t="s">
        <v>70</v>
      </c>
      <c r="G2522" s="6" t="s">
        <v>178</v>
      </c>
      <c r="H2522" s="6" t="s">
        <v>179</v>
      </c>
      <c r="I2522" s="6" t="s">
        <v>32</v>
      </c>
      <c r="J2522" s="6">
        <v>17.052211410000002</v>
      </c>
      <c r="K2522" s="6">
        <v>-96.624462559999998</v>
      </c>
      <c r="L2522" s="6" t="str">
        <f>HYPERLINK("https://maps.google.com/?q=17.05221141,-96.624462559999998", "🔗 Ver Mapa")</f>
        <v>🔗 Ver Mapa</v>
      </c>
    </row>
    <row r="2523" spans="1:12" ht="43.5" x14ac:dyDescent="0.35">
      <c r="A2523" s="5" t="s">
        <v>516</v>
      </c>
      <c r="B2523" s="5" t="s">
        <v>517</v>
      </c>
      <c r="C2523" s="5" t="s">
        <v>524</v>
      </c>
      <c r="D2523" s="5" t="s">
        <v>58</v>
      </c>
      <c r="E2523" s="5" t="s">
        <v>52</v>
      </c>
      <c r="F2523" s="5" t="s">
        <v>70</v>
      </c>
      <c r="G2523" s="5" t="s">
        <v>178</v>
      </c>
      <c r="H2523" s="5" t="s">
        <v>179</v>
      </c>
      <c r="I2523" s="5" t="s">
        <v>32</v>
      </c>
      <c r="J2523" s="5">
        <v>17.05221482</v>
      </c>
      <c r="K2523" s="5">
        <v>-96.623719629999997</v>
      </c>
      <c r="L2523" s="5" t="str">
        <f>HYPERLINK("https://maps.google.com/?q=17.05221482,-96.623719629999997", "🔗 Ver Mapa")</f>
        <v>🔗 Ver Mapa</v>
      </c>
    </row>
    <row r="2524" spans="1:12" ht="43.5" x14ac:dyDescent="0.35">
      <c r="A2524" s="6" t="s">
        <v>516</v>
      </c>
      <c r="B2524" s="6" t="s">
        <v>517</v>
      </c>
      <c r="C2524" s="6" t="s">
        <v>524</v>
      </c>
      <c r="D2524" s="6" t="s">
        <v>58</v>
      </c>
      <c r="E2524" s="6" t="s">
        <v>52</v>
      </c>
      <c r="F2524" s="6" t="s">
        <v>70</v>
      </c>
      <c r="G2524" s="6" t="s">
        <v>178</v>
      </c>
      <c r="H2524" s="6" t="s">
        <v>179</v>
      </c>
      <c r="I2524" s="6" t="s">
        <v>32</v>
      </c>
      <c r="J2524" s="6">
        <v>17.05222715</v>
      </c>
      <c r="K2524" s="6">
        <v>-96.624525840000004</v>
      </c>
      <c r="L2524" s="6" t="str">
        <f>HYPERLINK("https://maps.google.com/?q=17.05222715,-96.624525840000004", "🔗 Ver Mapa")</f>
        <v>🔗 Ver Mapa</v>
      </c>
    </row>
    <row r="2525" spans="1:12" ht="43.5" x14ac:dyDescent="0.35">
      <c r="A2525" s="5" t="s">
        <v>516</v>
      </c>
      <c r="B2525" s="5" t="s">
        <v>517</v>
      </c>
      <c r="C2525" s="5" t="s">
        <v>524</v>
      </c>
      <c r="D2525" s="5" t="s">
        <v>58</v>
      </c>
      <c r="E2525" s="5" t="s">
        <v>52</v>
      </c>
      <c r="F2525" s="5" t="s">
        <v>70</v>
      </c>
      <c r="G2525" s="5" t="s">
        <v>178</v>
      </c>
      <c r="H2525" s="5" t="s">
        <v>179</v>
      </c>
      <c r="I2525" s="5" t="s">
        <v>32</v>
      </c>
      <c r="J2525" s="5">
        <v>17.052263549999999</v>
      </c>
      <c r="K2525" s="5">
        <v>-96.624039319999994</v>
      </c>
      <c r="L2525" s="5" t="str">
        <f>HYPERLINK("https://maps.google.com/?q=17.05226355,-96.624039319999994", "🔗 Ver Mapa")</f>
        <v>🔗 Ver Mapa</v>
      </c>
    </row>
    <row r="2526" spans="1:12" ht="43.5" x14ac:dyDescent="0.35">
      <c r="A2526" s="6" t="s">
        <v>516</v>
      </c>
      <c r="B2526" s="6" t="s">
        <v>517</v>
      </c>
      <c r="C2526" s="6" t="s">
        <v>524</v>
      </c>
      <c r="D2526" s="6" t="s">
        <v>58</v>
      </c>
      <c r="E2526" s="6" t="s">
        <v>52</v>
      </c>
      <c r="F2526" s="6" t="s">
        <v>70</v>
      </c>
      <c r="G2526" s="6" t="s">
        <v>178</v>
      </c>
      <c r="H2526" s="6" t="s">
        <v>179</v>
      </c>
      <c r="I2526" s="6" t="s">
        <v>32</v>
      </c>
      <c r="J2526" s="6">
        <v>17.052285449999999</v>
      </c>
      <c r="K2526" s="6">
        <v>-96.624027400000003</v>
      </c>
      <c r="L2526" s="6" t="str">
        <f>HYPERLINK("https://maps.google.com/?q=17.05228545,-96.624027400000003", "🔗 Ver Mapa")</f>
        <v>🔗 Ver Mapa</v>
      </c>
    </row>
    <row r="2527" spans="1:12" ht="43.5" x14ac:dyDescent="0.35">
      <c r="A2527" s="5" t="s">
        <v>516</v>
      </c>
      <c r="B2527" s="5" t="s">
        <v>517</v>
      </c>
      <c r="C2527" s="5" t="s">
        <v>524</v>
      </c>
      <c r="D2527" s="5" t="s">
        <v>58</v>
      </c>
      <c r="E2527" s="5" t="s">
        <v>52</v>
      </c>
      <c r="F2527" s="5" t="s">
        <v>70</v>
      </c>
      <c r="G2527" s="5" t="s">
        <v>178</v>
      </c>
      <c r="H2527" s="5" t="s">
        <v>179</v>
      </c>
      <c r="I2527" s="5" t="s">
        <v>32</v>
      </c>
      <c r="J2527" s="5">
        <v>17.052340130000001</v>
      </c>
      <c r="K2527" s="5">
        <v>-96.624114789999993</v>
      </c>
      <c r="L2527" s="5" t="str">
        <f>HYPERLINK("https://maps.google.com/?q=17.05234013,-96.624114789999993", "🔗 Ver Mapa")</f>
        <v>🔗 Ver Mapa</v>
      </c>
    </row>
    <row r="2528" spans="1:12" ht="43.5" x14ac:dyDescent="0.35">
      <c r="A2528" s="6" t="s">
        <v>516</v>
      </c>
      <c r="B2528" s="6" t="s">
        <v>517</v>
      </c>
      <c r="C2528" s="6" t="s">
        <v>524</v>
      </c>
      <c r="D2528" s="6" t="s">
        <v>58</v>
      </c>
      <c r="E2528" s="6" t="s">
        <v>52</v>
      </c>
      <c r="F2528" s="6" t="s">
        <v>70</v>
      </c>
      <c r="G2528" s="6" t="s">
        <v>178</v>
      </c>
      <c r="H2528" s="6" t="s">
        <v>179</v>
      </c>
      <c r="I2528" s="6" t="s">
        <v>32</v>
      </c>
      <c r="J2528" s="6">
        <v>17.052395300000001</v>
      </c>
      <c r="K2528" s="6">
        <v>-96.62427495</v>
      </c>
      <c r="L2528" s="6" t="str">
        <f>HYPERLINK("https://maps.google.com/?q=17.0523953,-96.62427495", "🔗 Ver Mapa")</f>
        <v>🔗 Ver Mapa</v>
      </c>
    </row>
    <row r="2529" spans="1:12" ht="43.5" x14ac:dyDescent="0.35">
      <c r="A2529" s="5" t="s">
        <v>516</v>
      </c>
      <c r="B2529" s="5" t="s">
        <v>517</v>
      </c>
      <c r="C2529" s="5" t="s">
        <v>524</v>
      </c>
      <c r="D2529" s="5" t="s">
        <v>58</v>
      </c>
      <c r="E2529" s="5" t="s">
        <v>52</v>
      </c>
      <c r="F2529" s="5" t="s">
        <v>70</v>
      </c>
      <c r="G2529" s="5" t="s">
        <v>178</v>
      </c>
      <c r="H2529" s="5" t="s">
        <v>179</v>
      </c>
      <c r="I2529" s="5" t="s">
        <v>32</v>
      </c>
      <c r="J2529" s="5">
        <v>17.052448250000001</v>
      </c>
      <c r="K2529" s="5">
        <v>-96.624029280000002</v>
      </c>
      <c r="L2529" s="5" t="str">
        <f>HYPERLINK("https://maps.google.com/?q=17.05244825,-96.624029280000002", "🔗 Ver Mapa")</f>
        <v>🔗 Ver Mapa</v>
      </c>
    </row>
    <row r="2530" spans="1:12" ht="43.5" x14ac:dyDescent="0.35">
      <c r="A2530" s="6" t="s">
        <v>516</v>
      </c>
      <c r="B2530" s="6" t="s">
        <v>517</v>
      </c>
      <c r="C2530" s="6" t="s">
        <v>524</v>
      </c>
      <c r="D2530" s="6" t="s">
        <v>58</v>
      </c>
      <c r="E2530" s="6" t="s">
        <v>52</v>
      </c>
      <c r="F2530" s="6" t="s">
        <v>70</v>
      </c>
      <c r="G2530" s="6" t="s">
        <v>178</v>
      </c>
      <c r="H2530" s="6" t="s">
        <v>179</v>
      </c>
      <c r="I2530" s="6" t="s">
        <v>32</v>
      </c>
      <c r="J2530" s="6">
        <v>17.05244845</v>
      </c>
      <c r="K2530" s="6">
        <v>-96.624486599999997</v>
      </c>
      <c r="L2530" s="6" t="str">
        <f>HYPERLINK("https://maps.google.com/?q=17.05244845,-96.624486599999997", "🔗 Ver Mapa")</f>
        <v>🔗 Ver Mapa</v>
      </c>
    </row>
    <row r="2531" spans="1:12" ht="43.5" x14ac:dyDescent="0.35">
      <c r="A2531" s="5" t="s">
        <v>516</v>
      </c>
      <c r="B2531" s="5" t="s">
        <v>517</v>
      </c>
      <c r="C2531" s="5" t="s">
        <v>524</v>
      </c>
      <c r="D2531" s="5" t="s">
        <v>58</v>
      </c>
      <c r="E2531" s="5" t="s">
        <v>52</v>
      </c>
      <c r="F2531" s="5" t="s">
        <v>70</v>
      </c>
      <c r="G2531" s="5" t="s">
        <v>178</v>
      </c>
      <c r="H2531" s="5" t="s">
        <v>179</v>
      </c>
      <c r="I2531" s="5" t="s">
        <v>32</v>
      </c>
      <c r="J2531" s="5">
        <v>17.052456766797</v>
      </c>
      <c r="K2531" s="5">
        <v>-96.623545562703995</v>
      </c>
      <c r="L2531" s="5" t="str">
        <f>HYPERLINK("https://maps.google.com/?q=17.052456766797416,-96.623545562704393", "🔗 Ver Mapa")</f>
        <v>🔗 Ver Mapa</v>
      </c>
    </row>
    <row r="2532" spans="1:12" ht="43.5" x14ac:dyDescent="0.35">
      <c r="A2532" s="6" t="s">
        <v>516</v>
      </c>
      <c r="B2532" s="6" t="s">
        <v>517</v>
      </c>
      <c r="C2532" s="6" t="s">
        <v>524</v>
      </c>
      <c r="D2532" s="6" t="s">
        <v>58</v>
      </c>
      <c r="E2532" s="6" t="s">
        <v>52</v>
      </c>
      <c r="F2532" s="6" t="s">
        <v>70</v>
      </c>
      <c r="G2532" s="6" t="s">
        <v>178</v>
      </c>
      <c r="H2532" s="6" t="s">
        <v>179</v>
      </c>
      <c r="I2532" s="6" t="s">
        <v>32</v>
      </c>
      <c r="J2532" s="6">
        <v>17.052456769999999</v>
      </c>
      <c r="K2532" s="6">
        <v>-96.623545559999997</v>
      </c>
      <c r="L2532" s="6" t="str">
        <f>HYPERLINK("https://maps.google.com/?q=17.05245677,-96.623545559999997", "🔗 Ver Mapa")</f>
        <v>🔗 Ver Mapa</v>
      </c>
    </row>
    <row r="2533" spans="1:12" ht="43.5" x14ac:dyDescent="0.35">
      <c r="A2533" s="5" t="s">
        <v>516</v>
      </c>
      <c r="B2533" s="5" t="s">
        <v>517</v>
      </c>
      <c r="C2533" s="5" t="s">
        <v>524</v>
      </c>
      <c r="D2533" s="5" t="s">
        <v>58</v>
      </c>
      <c r="E2533" s="5" t="s">
        <v>52</v>
      </c>
      <c r="F2533" s="5" t="s">
        <v>70</v>
      </c>
      <c r="G2533" s="5" t="s">
        <v>178</v>
      </c>
      <c r="H2533" s="5" t="s">
        <v>179</v>
      </c>
      <c r="I2533" s="5" t="s">
        <v>32</v>
      </c>
      <c r="J2533" s="5">
        <v>17.052526490000002</v>
      </c>
      <c r="K2533" s="5">
        <v>-96.623760950000005</v>
      </c>
      <c r="L2533" s="5" t="str">
        <f>HYPERLINK("https://maps.google.com/?q=17.05252649,-96.623760950000005", "🔗 Ver Mapa")</f>
        <v>🔗 Ver Mapa</v>
      </c>
    </row>
    <row r="2534" spans="1:12" ht="43.5" x14ac:dyDescent="0.35">
      <c r="A2534" s="6" t="s">
        <v>516</v>
      </c>
      <c r="B2534" s="6" t="s">
        <v>517</v>
      </c>
      <c r="C2534" s="6" t="s">
        <v>524</v>
      </c>
      <c r="D2534" s="6" t="s">
        <v>58</v>
      </c>
      <c r="E2534" s="6" t="s">
        <v>52</v>
      </c>
      <c r="F2534" s="6" t="s">
        <v>70</v>
      </c>
      <c r="G2534" s="6" t="s">
        <v>178</v>
      </c>
      <c r="H2534" s="6" t="s">
        <v>179</v>
      </c>
      <c r="I2534" s="6" t="s">
        <v>32</v>
      </c>
      <c r="J2534" s="6">
        <v>17.052597330000001</v>
      </c>
      <c r="K2534" s="6">
        <v>-96.623963070000002</v>
      </c>
      <c r="L2534" s="6" t="str">
        <f>HYPERLINK("https://maps.google.com/?q=17.05259733,-96.623963070000002", "🔗 Ver Mapa")</f>
        <v>🔗 Ver Mapa</v>
      </c>
    </row>
    <row r="2535" spans="1:12" ht="43.5" x14ac:dyDescent="0.35">
      <c r="A2535" s="5" t="s">
        <v>516</v>
      </c>
      <c r="B2535" s="5" t="s">
        <v>517</v>
      </c>
      <c r="C2535" s="5" t="s">
        <v>524</v>
      </c>
      <c r="D2535" s="5" t="s">
        <v>58</v>
      </c>
      <c r="E2535" s="5" t="s">
        <v>52</v>
      </c>
      <c r="F2535" s="5" t="s">
        <v>70</v>
      </c>
      <c r="G2535" s="5" t="s">
        <v>178</v>
      </c>
      <c r="H2535" s="5" t="s">
        <v>179</v>
      </c>
      <c r="I2535" s="5" t="s">
        <v>32</v>
      </c>
      <c r="J2535" s="5">
        <v>17.052726889999999</v>
      </c>
      <c r="K2535" s="5">
        <v>-96.624382319999995</v>
      </c>
      <c r="L2535" s="5" t="str">
        <f>HYPERLINK("https://maps.google.com/?q=17.05272689,-96.624382319999995", "🔗 Ver Mapa")</f>
        <v>🔗 Ver Mapa</v>
      </c>
    </row>
    <row r="2536" spans="1:12" ht="43.5" x14ac:dyDescent="0.35">
      <c r="A2536" s="6" t="s">
        <v>516</v>
      </c>
      <c r="B2536" s="6" t="s">
        <v>517</v>
      </c>
      <c r="C2536" s="6" t="s">
        <v>524</v>
      </c>
      <c r="D2536" s="6" t="s">
        <v>58</v>
      </c>
      <c r="E2536" s="6" t="s">
        <v>52</v>
      </c>
      <c r="F2536" s="6" t="s">
        <v>70</v>
      </c>
      <c r="G2536" s="6" t="s">
        <v>178</v>
      </c>
      <c r="H2536" s="6" t="s">
        <v>179</v>
      </c>
      <c r="I2536" s="6" t="s">
        <v>32</v>
      </c>
      <c r="J2536" s="6">
        <v>17.052798850521999</v>
      </c>
      <c r="K2536" s="6">
        <v>-96.623453244976005</v>
      </c>
      <c r="L2536" s="6" t="str">
        <f>HYPERLINK("https://maps.google.com/?q=17.05279885052155,-96.623453244975863", "🔗 Ver Mapa")</f>
        <v>🔗 Ver Mapa</v>
      </c>
    </row>
    <row r="2537" spans="1:12" ht="43.5" x14ac:dyDescent="0.35">
      <c r="A2537" s="5" t="s">
        <v>516</v>
      </c>
      <c r="B2537" s="5" t="s">
        <v>517</v>
      </c>
      <c r="C2537" s="5" t="s">
        <v>524</v>
      </c>
      <c r="D2537" s="5" t="s">
        <v>58</v>
      </c>
      <c r="E2537" s="5" t="s">
        <v>52</v>
      </c>
      <c r="F2537" s="5" t="s">
        <v>70</v>
      </c>
      <c r="G2537" s="5" t="s">
        <v>178</v>
      </c>
      <c r="H2537" s="5" t="s">
        <v>179</v>
      </c>
      <c r="I2537" s="5" t="s">
        <v>32</v>
      </c>
      <c r="J2537" s="5">
        <v>17.052914082722999</v>
      </c>
      <c r="K2537" s="5">
        <v>-96.623497049593993</v>
      </c>
      <c r="L2537" s="5" t="str">
        <f>HYPERLINK("https://maps.google.com/?q=17.0529140827233,-96.623497049594192", "🔗 Ver Mapa")</f>
        <v>🔗 Ver Mapa</v>
      </c>
    </row>
    <row r="2538" spans="1:12" ht="43.5" x14ac:dyDescent="0.35">
      <c r="A2538" s="6" t="s">
        <v>516</v>
      </c>
      <c r="B2538" s="6" t="s">
        <v>517</v>
      </c>
      <c r="C2538" s="6" t="s">
        <v>524</v>
      </c>
      <c r="D2538" s="6" t="s">
        <v>58</v>
      </c>
      <c r="E2538" s="6" t="s">
        <v>52</v>
      </c>
      <c r="F2538" s="6" t="s">
        <v>70</v>
      </c>
      <c r="G2538" s="6" t="s">
        <v>178</v>
      </c>
      <c r="H2538" s="6" t="s">
        <v>179</v>
      </c>
      <c r="I2538" s="6" t="s">
        <v>32</v>
      </c>
      <c r="J2538" s="6">
        <v>17.053108035662</v>
      </c>
      <c r="K2538" s="6">
        <v>-96.624038404884004</v>
      </c>
      <c r="L2538" s="6" t="str">
        <f>HYPERLINK("https://maps.google.com/?q=17.05310803566185,-96.624038404883819", "🔗 Ver Mapa")</f>
        <v>🔗 Ver Mapa</v>
      </c>
    </row>
    <row r="2539" spans="1:12" ht="43.5" x14ac:dyDescent="0.35">
      <c r="A2539" s="5" t="s">
        <v>98</v>
      </c>
      <c r="B2539" s="5" t="s">
        <v>99</v>
      </c>
      <c r="C2539" s="5" t="s">
        <v>525</v>
      </c>
      <c r="D2539" s="5" t="s">
        <v>14</v>
      </c>
      <c r="E2539" s="5" t="s">
        <v>16</v>
      </c>
      <c r="F2539" s="5" t="s">
        <v>145</v>
      </c>
      <c r="G2539" s="5" t="s">
        <v>526</v>
      </c>
      <c r="H2539" s="5" t="s">
        <v>527</v>
      </c>
      <c r="I2539" s="5" t="s">
        <v>31</v>
      </c>
      <c r="J2539" s="5">
        <v>17.939921423929999</v>
      </c>
      <c r="K2539" s="5">
        <v>-97.973507647909997</v>
      </c>
      <c r="L2539" s="5" t="str">
        <f>HYPERLINK("https://maps.google.com/?q=17.9399214239301,-97.973507647909798", "🔗 Ver Mapa")</f>
        <v>🔗 Ver Mapa</v>
      </c>
    </row>
    <row r="2540" spans="1:12" ht="43.5" x14ac:dyDescent="0.35">
      <c r="A2540" s="6" t="s">
        <v>98</v>
      </c>
      <c r="B2540" s="6" t="s">
        <v>99</v>
      </c>
      <c r="C2540" s="6" t="s">
        <v>525</v>
      </c>
      <c r="D2540" s="6" t="s">
        <v>14</v>
      </c>
      <c r="E2540" s="6" t="s">
        <v>16</v>
      </c>
      <c r="F2540" s="6" t="s">
        <v>145</v>
      </c>
      <c r="G2540" s="6" t="s">
        <v>526</v>
      </c>
      <c r="H2540" s="6" t="s">
        <v>527</v>
      </c>
      <c r="I2540" s="6" t="s">
        <v>31</v>
      </c>
      <c r="J2540" s="6">
        <v>17.942086</v>
      </c>
      <c r="K2540" s="6">
        <v>-97.969908000000004</v>
      </c>
      <c r="L2540" s="6" t="str">
        <f>HYPERLINK("https://maps.google.com/?q=17.942086,-97.969908000000004", "🔗 Ver Mapa")</f>
        <v>🔗 Ver Mapa</v>
      </c>
    </row>
    <row r="2541" spans="1:12" ht="43.5" x14ac:dyDescent="0.35">
      <c r="A2541" s="5" t="s">
        <v>98</v>
      </c>
      <c r="B2541" s="5" t="s">
        <v>99</v>
      </c>
      <c r="C2541" s="5" t="s">
        <v>525</v>
      </c>
      <c r="D2541" s="5" t="s">
        <v>14</v>
      </c>
      <c r="E2541" s="5" t="s">
        <v>16</v>
      </c>
      <c r="F2541" s="5" t="s">
        <v>145</v>
      </c>
      <c r="G2541" s="5" t="s">
        <v>526</v>
      </c>
      <c r="H2541" s="5" t="s">
        <v>527</v>
      </c>
      <c r="I2541" s="5" t="s">
        <v>31</v>
      </c>
      <c r="J2541" s="5">
        <v>17.942170000000001</v>
      </c>
      <c r="K2541" s="5">
        <v>-97.972707999999997</v>
      </c>
      <c r="L2541" s="5" t="str">
        <f>HYPERLINK("https://maps.google.com/?q=17.94217,-97.972707999999997", "🔗 Ver Mapa")</f>
        <v>🔗 Ver Mapa</v>
      </c>
    </row>
    <row r="2542" spans="1:12" ht="43.5" x14ac:dyDescent="0.35">
      <c r="A2542" s="6" t="s">
        <v>98</v>
      </c>
      <c r="B2542" s="6" t="s">
        <v>99</v>
      </c>
      <c r="C2542" s="6" t="s">
        <v>525</v>
      </c>
      <c r="D2542" s="6" t="s">
        <v>14</v>
      </c>
      <c r="E2542" s="6" t="s">
        <v>16</v>
      </c>
      <c r="F2542" s="6" t="s">
        <v>145</v>
      </c>
      <c r="G2542" s="6" t="s">
        <v>526</v>
      </c>
      <c r="H2542" s="6" t="s">
        <v>527</v>
      </c>
      <c r="I2542" s="6" t="s">
        <v>31</v>
      </c>
      <c r="J2542" s="6">
        <v>17.943226451907002</v>
      </c>
      <c r="K2542" s="6">
        <v>-97.967155402447005</v>
      </c>
      <c r="L2542" s="6" t="str">
        <f>HYPERLINK("https://maps.google.com/?q=17.9432264519075,-97.967155402446593", "🔗 Ver Mapa")</f>
        <v>🔗 Ver Mapa</v>
      </c>
    </row>
    <row r="2543" spans="1:12" ht="43.5" x14ac:dyDescent="0.35">
      <c r="A2543" s="5" t="s">
        <v>98</v>
      </c>
      <c r="B2543" s="5" t="s">
        <v>99</v>
      </c>
      <c r="C2543" s="5" t="s">
        <v>525</v>
      </c>
      <c r="D2543" s="5" t="s">
        <v>14</v>
      </c>
      <c r="E2543" s="5" t="s">
        <v>16</v>
      </c>
      <c r="F2543" s="5" t="s">
        <v>145</v>
      </c>
      <c r="G2543" s="5" t="s">
        <v>526</v>
      </c>
      <c r="H2543" s="5" t="s">
        <v>527</v>
      </c>
      <c r="I2543" s="5" t="s">
        <v>31</v>
      </c>
      <c r="J2543" s="5">
        <v>17.945975554884001</v>
      </c>
      <c r="K2543" s="5">
        <v>-97.966456547291003</v>
      </c>
      <c r="L2543" s="5" t="str">
        <f>HYPERLINK("https://maps.google.com/?q=17.9459755548837,-97.966456547290704", "🔗 Ver Mapa")</f>
        <v>🔗 Ver Mapa</v>
      </c>
    </row>
    <row r="2544" spans="1:12" ht="58" x14ac:dyDescent="0.35">
      <c r="A2544" s="6" t="s">
        <v>73</v>
      </c>
      <c r="B2544" s="6" t="s">
        <v>74</v>
      </c>
      <c r="C2544" s="6" t="s">
        <v>528</v>
      </c>
      <c r="D2544" s="6" t="s">
        <v>76</v>
      </c>
      <c r="E2544" s="6" t="s">
        <v>16</v>
      </c>
      <c r="F2544" s="6" t="s">
        <v>195</v>
      </c>
      <c r="G2544" s="6" t="s">
        <v>196</v>
      </c>
      <c r="H2544" s="6" t="s">
        <v>197</v>
      </c>
      <c r="I2544" s="6" t="s">
        <v>31</v>
      </c>
      <c r="J2544" s="6">
        <v>17.503212898741001</v>
      </c>
      <c r="K2544" s="6">
        <v>-98.141270747931998</v>
      </c>
      <c r="L2544" s="6" t="str">
        <f>HYPERLINK("https://maps.google.com/?q=17.503212898741204,-98.14127074793232", "🔗 Ver Mapa")</f>
        <v>🔗 Ver Mapa</v>
      </c>
    </row>
    <row r="2545" spans="1:12" ht="72.5" x14ac:dyDescent="0.35">
      <c r="A2545" s="5" t="s">
        <v>73</v>
      </c>
      <c r="B2545" s="5" t="s">
        <v>74</v>
      </c>
      <c r="C2545" s="5" t="s">
        <v>529</v>
      </c>
      <c r="D2545" s="5" t="s">
        <v>76</v>
      </c>
      <c r="E2545" s="5" t="s">
        <v>110</v>
      </c>
      <c r="F2545" s="5" t="s">
        <v>126</v>
      </c>
      <c r="G2545" s="5" t="s">
        <v>137</v>
      </c>
      <c r="H2545" s="5" t="s">
        <v>530</v>
      </c>
      <c r="I2545" s="5" t="s">
        <v>31</v>
      </c>
      <c r="J2545" s="5">
        <v>17.717713733907999</v>
      </c>
      <c r="K2545" s="5">
        <v>-96.938209915973005</v>
      </c>
      <c r="L2545" s="5" t="str">
        <f>HYPERLINK("https://maps.google.com/?q=17.717713733907914,-96.93820991597292", "🔗 Ver Mapa")</f>
        <v>🔗 Ver Mapa</v>
      </c>
    </row>
    <row r="2546" spans="1:12" ht="43.5" x14ac:dyDescent="0.35">
      <c r="A2546" s="6" t="s">
        <v>98</v>
      </c>
      <c r="B2546" s="6" t="s">
        <v>99</v>
      </c>
      <c r="C2546" s="6" t="s">
        <v>531</v>
      </c>
      <c r="D2546" s="6" t="s">
        <v>14</v>
      </c>
      <c r="E2546" s="6" t="s">
        <v>140</v>
      </c>
      <c r="F2546" s="6" t="s">
        <v>141</v>
      </c>
      <c r="G2546" s="6" t="s">
        <v>142</v>
      </c>
      <c r="H2546" s="6" t="s">
        <v>532</v>
      </c>
      <c r="I2546" s="6" t="s">
        <v>31</v>
      </c>
      <c r="J2546" s="6">
        <v>17.753291999999998</v>
      </c>
      <c r="K2546" s="6">
        <v>-96.199433999999997</v>
      </c>
      <c r="L2546" s="6" t="str">
        <f>HYPERLINK("https://maps.google.com/?q=17.753292,-96.199433999999997", "🔗 Ver Mapa")</f>
        <v>🔗 Ver Mapa</v>
      </c>
    </row>
    <row r="2547" spans="1:12" ht="43.5" x14ac:dyDescent="0.35">
      <c r="A2547" s="5" t="s">
        <v>98</v>
      </c>
      <c r="B2547" s="5" t="s">
        <v>99</v>
      </c>
      <c r="C2547" s="5" t="s">
        <v>531</v>
      </c>
      <c r="D2547" s="5" t="s">
        <v>14</v>
      </c>
      <c r="E2547" s="5" t="s">
        <v>140</v>
      </c>
      <c r="F2547" s="5" t="s">
        <v>141</v>
      </c>
      <c r="G2547" s="5" t="s">
        <v>142</v>
      </c>
      <c r="H2547" s="5" t="s">
        <v>532</v>
      </c>
      <c r="I2547" s="5" t="s">
        <v>31</v>
      </c>
      <c r="J2547" s="5">
        <v>17.753295000000001</v>
      </c>
      <c r="K2547" s="5">
        <v>-96.199742999999998</v>
      </c>
      <c r="L2547" s="5" t="str">
        <f>HYPERLINK("https://maps.google.com/?q=17.753295,-96.199742999999998", "🔗 Ver Mapa")</f>
        <v>🔗 Ver Mapa</v>
      </c>
    </row>
    <row r="2548" spans="1:12" ht="43.5" x14ac:dyDescent="0.35">
      <c r="A2548" s="6" t="s">
        <v>98</v>
      </c>
      <c r="B2548" s="6" t="s">
        <v>99</v>
      </c>
      <c r="C2548" s="6" t="s">
        <v>531</v>
      </c>
      <c r="D2548" s="6" t="s">
        <v>14</v>
      </c>
      <c r="E2548" s="6" t="s">
        <v>140</v>
      </c>
      <c r="F2548" s="6" t="s">
        <v>141</v>
      </c>
      <c r="G2548" s="6" t="s">
        <v>142</v>
      </c>
      <c r="H2548" s="6" t="s">
        <v>532</v>
      </c>
      <c r="I2548" s="6" t="s">
        <v>31</v>
      </c>
      <c r="J2548" s="6">
        <v>17.755077979199001</v>
      </c>
      <c r="K2548" s="6">
        <v>-96.199212811132</v>
      </c>
      <c r="L2548" s="6" t="str">
        <f>HYPERLINK("https://maps.google.com/?q=17.7550779791995,-96.1992128111323", "🔗 Ver Mapa")</f>
        <v>🔗 Ver Mapa</v>
      </c>
    </row>
    <row r="2549" spans="1:12" ht="43.5" x14ac:dyDescent="0.35">
      <c r="A2549" s="5" t="s">
        <v>98</v>
      </c>
      <c r="B2549" s="5" t="s">
        <v>99</v>
      </c>
      <c r="C2549" s="5" t="s">
        <v>531</v>
      </c>
      <c r="D2549" s="5" t="s">
        <v>14</v>
      </c>
      <c r="E2549" s="5" t="s">
        <v>140</v>
      </c>
      <c r="F2549" s="5" t="s">
        <v>141</v>
      </c>
      <c r="G2549" s="5" t="s">
        <v>142</v>
      </c>
      <c r="H2549" s="5" t="s">
        <v>532</v>
      </c>
      <c r="I2549" s="5" t="s">
        <v>31</v>
      </c>
      <c r="J2549" s="5">
        <v>17.755365999999999</v>
      </c>
      <c r="K2549" s="5">
        <v>-96.199216000000007</v>
      </c>
      <c r="L2549" s="5" t="str">
        <f>HYPERLINK("https://maps.google.com/?q=17.755366,-96.199216000000007", "🔗 Ver Mapa")</f>
        <v>🔗 Ver Mapa</v>
      </c>
    </row>
    <row r="2550" spans="1:12" ht="43.5" x14ac:dyDescent="0.35">
      <c r="A2550" s="6" t="s">
        <v>98</v>
      </c>
      <c r="B2550" s="6" t="s">
        <v>99</v>
      </c>
      <c r="C2550" s="6" t="s">
        <v>531</v>
      </c>
      <c r="D2550" s="6" t="s">
        <v>14</v>
      </c>
      <c r="E2550" s="6" t="s">
        <v>140</v>
      </c>
      <c r="F2550" s="6" t="s">
        <v>141</v>
      </c>
      <c r="G2550" s="6" t="s">
        <v>142</v>
      </c>
      <c r="H2550" s="6" t="s">
        <v>532</v>
      </c>
      <c r="I2550" s="6" t="s">
        <v>31</v>
      </c>
      <c r="J2550" s="6">
        <v>17.755790999999999</v>
      </c>
      <c r="K2550" s="6">
        <v>-96.200468000000001</v>
      </c>
      <c r="L2550" s="6" t="str">
        <f>HYPERLINK("https://maps.google.com/?q=17.755791,-96.200468000000001", "🔗 Ver Mapa")</f>
        <v>🔗 Ver Mapa</v>
      </c>
    </row>
    <row r="2551" spans="1:12" ht="43.5" x14ac:dyDescent="0.35">
      <c r="A2551" s="5" t="s">
        <v>98</v>
      </c>
      <c r="B2551" s="5" t="s">
        <v>99</v>
      </c>
      <c r="C2551" s="5" t="s">
        <v>531</v>
      </c>
      <c r="D2551" s="5" t="s">
        <v>14</v>
      </c>
      <c r="E2551" s="5" t="s">
        <v>140</v>
      </c>
      <c r="F2551" s="5" t="s">
        <v>141</v>
      </c>
      <c r="G2551" s="5" t="s">
        <v>142</v>
      </c>
      <c r="H2551" s="5" t="s">
        <v>532</v>
      </c>
      <c r="I2551" s="5" t="s">
        <v>31</v>
      </c>
      <c r="J2551" s="5">
        <v>17.757389</v>
      </c>
      <c r="K2551" s="5">
        <v>-96.199584999999999</v>
      </c>
      <c r="L2551" s="5" t="str">
        <f>HYPERLINK("https://maps.google.com/?q=17.757389,-96.199584999999999", "🔗 Ver Mapa")</f>
        <v>🔗 Ver Mapa</v>
      </c>
    </row>
    <row r="2552" spans="1:12" ht="43.5" x14ac:dyDescent="0.35">
      <c r="A2552" s="6" t="s">
        <v>98</v>
      </c>
      <c r="B2552" s="6" t="s">
        <v>99</v>
      </c>
      <c r="C2552" s="6" t="s">
        <v>531</v>
      </c>
      <c r="D2552" s="6" t="s">
        <v>14</v>
      </c>
      <c r="E2552" s="6" t="s">
        <v>140</v>
      </c>
      <c r="F2552" s="6" t="s">
        <v>141</v>
      </c>
      <c r="G2552" s="6" t="s">
        <v>142</v>
      </c>
      <c r="H2552" s="6" t="s">
        <v>532</v>
      </c>
      <c r="I2552" s="6" t="s">
        <v>31</v>
      </c>
      <c r="J2552" s="6">
        <v>17.757591000000001</v>
      </c>
      <c r="K2552" s="6">
        <v>-96.198869000000002</v>
      </c>
      <c r="L2552" s="6" t="str">
        <f>HYPERLINK("https://maps.google.com/?q=17.757591,-96.198869000000002", "🔗 Ver Mapa")</f>
        <v>🔗 Ver Mapa</v>
      </c>
    </row>
    <row r="2553" spans="1:12" ht="43.5" x14ac:dyDescent="0.35">
      <c r="A2553" s="5" t="s">
        <v>98</v>
      </c>
      <c r="B2553" s="5" t="s">
        <v>99</v>
      </c>
      <c r="C2553" s="5" t="s">
        <v>531</v>
      </c>
      <c r="D2553" s="5" t="s">
        <v>14</v>
      </c>
      <c r="E2553" s="5" t="s">
        <v>140</v>
      </c>
      <c r="F2553" s="5" t="s">
        <v>141</v>
      </c>
      <c r="G2553" s="5" t="s">
        <v>142</v>
      </c>
      <c r="H2553" s="5" t="s">
        <v>532</v>
      </c>
      <c r="I2553" s="5" t="s">
        <v>31</v>
      </c>
      <c r="J2553" s="5">
        <v>17.758685</v>
      </c>
      <c r="K2553" s="5">
        <v>-96.198848999999996</v>
      </c>
      <c r="L2553" s="5" t="str">
        <f>HYPERLINK("https://maps.google.com/?q=17.758685,-96.198848999999996", "🔗 Ver Mapa")</f>
        <v>🔗 Ver Mapa</v>
      </c>
    </row>
    <row r="2554" spans="1:12" ht="43.5" x14ac:dyDescent="0.35">
      <c r="A2554" s="6" t="s">
        <v>98</v>
      </c>
      <c r="B2554" s="6" t="s">
        <v>99</v>
      </c>
      <c r="C2554" s="6" t="s">
        <v>531</v>
      </c>
      <c r="D2554" s="6" t="s">
        <v>14</v>
      </c>
      <c r="E2554" s="6" t="s">
        <v>140</v>
      </c>
      <c r="F2554" s="6" t="s">
        <v>141</v>
      </c>
      <c r="G2554" s="6" t="s">
        <v>142</v>
      </c>
      <c r="H2554" s="6" t="s">
        <v>532</v>
      </c>
      <c r="I2554" s="6" t="s">
        <v>31</v>
      </c>
      <c r="J2554" s="6">
        <v>17.758758</v>
      </c>
      <c r="K2554" s="6">
        <v>-96.199190999999999</v>
      </c>
      <c r="L2554" s="6" t="str">
        <f>HYPERLINK("https://maps.google.com/?q=17.758758,-96.199190999999999", "🔗 Ver Mapa")</f>
        <v>🔗 Ver Mapa</v>
      </c>
    </row>
    <row r="2555" spans="1:12" ht="58" x14ac:dyDescent="0.35">
      <c r="A2555" s="5" t="s">
        <v>73</v>
      </c>
      <c r="B2555" s="5" t="s">
        <v>74</v>
      </c>
      <c r="C2555" s="5" t="s">
        <v>533</v>
      </c>
      <c r="D2555" s="5" t="s">
        <v>76</v>
      </c>
      <c r="E2555" s="5" t="s">
        <v>39</v>
      </c>
      <c r="F2555" s="5" t="s">
        <v>353</v>
      </c>
      <c r="G2555" s="5" t="s">
        <v>534</v>
      </c>
      <c r="H2555" s="5" t="s">
        <v>535</v>
      </c>
      <c r="I2555" s="5" t="s">
        <v>31</v>
      </c>
      <c r="J2555" s="5">
        <v>16.234675749168002</v>
      </c>
      <c r="K2555" s="5">
        <v>-96.722204659114993</v>
      </c>
      <c r="L2555" s="5" t="str">
        <f>HYPERLINK("https://maps.google.com/?q=16.234675749167703,-96.72220465911485", "🔗 Ver Mapa")</f>
        <v>🔗 Ver Mapa</v>
      </c>
    </row>
    <row r="2556" spans="1:12" ht="43.5" x14ac:dyDescent="0.35">
      <c r="A2556" s="6" t="s">
        <v>98</v>
      </c>
      <c r="B2556" s="6" t="s">
        <v>99</v>
      </c>
      <c r="C2556" s="6" t="s">
        <v>536</v>
      </c>
      <c r="D2556" s="6" t="s">
        <v>14</v>
      </c>
      <c r="E2556" s="6" t="s">
        <v>16</v>
      </c>
      <c r="F2556" s="6" t="s">
        <v>145</v>
      </c>
      <c r="G2556" s="6" t="s">
        <v>537</v>
      </c>
      <c r="H2556" s="6" t="s">
        <v>538</v>
      </c>
      <c r="I2556" s="6" t="s">
        <v>31</v>
      </c>
      <c r="J2556" s="6">
        <v>17.909331124171999</v>
      </c>
      <c r="K2556" s="6">
        <v>-98.011371254316003</v>
      </c>
      <c r="L2556" s="6" t="str">
        <f>HYPERLINK("https://maps.google.com/?q=17.9093311241717,-98.011371254315904", "🔗 Ver Mapa")</f>
        <v>🔗 Ver Mapa</v>
      </c>
    </row>
    <row r="2557" spans="1:12" ht="43.5" x14ac:dyDescent="0.35">
      <c r="A2557" s="5" t="s">
        <v>98</v>
      </c>
      <c r="B2557" s="5" t="s">
        <v>99</v>
      </c>
      <c r="C2557" s="5" t="s">
        <v>536</v>
      </c>
      <c r="D2557" s="5" t="s">
        <v>14</v>
      </c>
      <c r="E2557" s="5" t="s">
        <v>16</v>
      </c>
      <c r="F2557" s="5" t="s">
        <v>145</v>
      </c>
      <c r="G2557" s="5" t="s">
        <v>537</v>
      </c>
      <c r="H2557" s="5" t="s">
        <v>538</v>
      </c>
      <c r="I2557" s="5" t="s">
        <v>31</v>
      </c>
      <c r="J2557" s="5">
        <v>17.909666000000001</v>
      </c>
      <c r="K2557" s="5">
        <v>-98.012039999999999</v>
      </c>
      <c r="L2557" s="5" t="str">
        <f>HYPERLINK("https://maps.google.com/?q=17.909666,-98.012039999999999", "🔗 Ver Mapa")</f>
        <v>🔗 Ver Mapa</v>
      </c>
    </row>
    <row r="2558" spans="1:12" ht="43.5" x14ac:dyDescent="0.35">
      <c r="A2558" s="6" t="s">
        <v>98</v>
      </c>
      <c r="B2558" s="6" t="s">
        <v>99</v>
      </c>
      <c r="C2558" s="6" t="s">
        <v>536</v>
      </c>
      <c r="D2558" s="6" t="s">
        <v>14</v>
      </c>
      <c r="E2558" s="6" t="s">
        <v>16</v>
      </c>
      <c r="F2558" s="6" t="s">
        <v>145</v>
      </c>
      <c r="G2558" s="6" t="s">
        <v>537</v>
      </c>
      <c r="H2558" s="6" t="s">
        <v>538</v>
      </c>
      <c r="I2558" s="6" t="s">
        <v>31</v>
      </c>
      <c r="J2558" s="6">
        <v>17.911005225991001</v>
      </c>
      <c r="K2558" s="6">
        <v>-98.012204504299007</v>
      </c>
      <c r="L2558" s="6" t="str">
        <f>HYPERLINK("https://maps.google.com/?q=17.9110052259911,-98.012204504298893", "🔗 Ver Mapa")</f>
        <v>🔗 Ver Mapa</v>
      </c>
    </row>
    <row r="2559" spans="1:12" ht="43.5" x14ac:dyDescent="0.35">
      <c r="A2559" s="5" t="s">
        <v>98</v>
      </c>
      <c r="B2559" s="5" t="s">
        <v>99</v>
      </c>
      <c r="C2559" s="5" t="s">
        <v>536</v>
      </c>
      <c r="D2559" s="5" t="s">
        <v>14</v>
      </c>
      <c r="E2559" s="5" t="s">
        <v>16</v>
      </c>
      <c r="F2559" s="5" t="s">
        <v>145</v>
      </c>
      <c r="G2559" s="5" t="s">
        <v>537</v>
      </c>
      <c r="H2559" s="5" t="s">
        <v>538</v>
      </c>
      <c r="I2559" s="5" t="s">
        <v>31</v>
      </c>
      <c r="J2559" s="5">
        <v>17.91173411155</v>
      </c>
      <c r="K2559" s="5">
        <v>-98.011462829360994</v>
      </c>
      <c r="L2559" s="5" t="str">
        <f>HYPERLINK("https://maps.google.com/?q=17.9117341115497,-98.011462829360894", "🔗 Ver Mapa")</f>
        <v>🔗 Ver Mapa</v>
      </c>
    </row>
    <row r="2560" spans="1:12" ht="43.5" x14ac:dyDescent="0.35">
      <c r="A2560" s="6" t="s">
        <v>98</v>
      </c>
      <c r="B2560" s="6" t="s">
        <v>99</v>
      </c>
      <c r="C2560" s="6" t="s">
        <v>536</v>
      </c>
      <c r="D2560" s="6" t="s">
        <v>14</v>
      </c>
      <c r="E2560" s="6" t="s">
        <v>16</v>
      </c>
      <c r="F2560" s="6" t="s">
        <v>145</v>
      </c>
      <c r="G2560" s="6" t="s">
        <v>537</v>
      </c>
      <c r="H2560" s="6" t="s">
        <v>538</v>
      </c>
      <c r="I2560" s="6" t="s">
        <v>31</v>
      </c>
      <c r="J2560" s="6">
        <v>17.912337638335</v>
      </c>
      <c r="K2560" s="6">
        <v>-98.011379300943005</v>
      </c>
      <c r="L2560" s="6" t="str">
        <f>HYPERLINK("https://maps.google.com/?q=17.9123376383346,-98.011379300942707", "🔗 Ver Mapa")</f>
        <v>🔗 Ver Mapa</v>
      </c>
    </row>
    <row r="2561" spans="1:12" ht="58" x14ac:dyDescent="0.35">
      <c r="A2561" s="5" t="s">
        <v>73</v>
      </c>
      <c r="B2561" s="5" t="s">
        <v>74</v>
      </c>
      <c r="C2561" s="5" t="s">
        <v>539</v>
      </c>
      <c r="D2561" s="5" t="s">
        <v>76</v>
      </c>
      <c r="E2561" s="5" t="s">
        <v>110</v>
      </c>
      <c r="F2561" s="5" t="s">
        <v>126</v>
      </c>
      <c r="G2561" s="5" t="s">
        <v>137</v>
      </c>
      <c r="H2561" s="5" t="s">
        <v>138</v>
      </c>
      <c r="I2561" s="5" t="s">
        <v>31</v>
      </c>
      <c r="J2561" s="5">
        <v>17.797597357297001</v>
      </c>
      <c r="K2561" s="5">
        <v>-96.961116025756994</v>
      </c>
      <c r="L2561" s="5" t="str">
        <f>HYPERLINK("https://maps.google.com/?q=17.797597357297015,-96.96111602575672", "🔗 Ver Mapa")</f>
        <v>🔗 Ver Mapa</v>
      </c>
    </row>
    <row r="2562" spans="1:12" ht="43.5" x14ac:dyDescent="0.35">
      <c r="A2562" s="6" t="s">
        <v>73</v>
      </c>
      <c r="B2562" s="6" t="s">
        <v>74</v>
      </c>
      <c r="C2562" s="6" t="s">
        <v>540</v>
      </c>
      <c r="D2562" s="6" t="s">
        <v>76</v>
      </c>
      <c r="E2562" s="6" t="s">
        <v>110</v>
      </c>
      <c r="F2562" s="6" t="s">
        <v>111</v>
      </c>
      <c r="G2562" s="6" t="s">
        <v>501</v>
      </c>
      <c r="H2562" s="6" t="s">
        <v>541</v>
      </c>
      <c r="I2562" s="6" t="s">
        <v>31</v>
      </c>
      <c r="J2562" s="6">
        <v>18.129645573181001</v>
      </c>
      <c r="K2562" s="6">
        <v>-96.892634372146006</v>
      </c>
      <c r="L2562" s="6" t="str">
        <f>HYPERLINK("https://maps.google.com/?q=18.1296455731815,-96.8926343721461", "🔗 Ver Mapa")</f>
        <v>🔗 Ver Mapa</v>
      </c>
    </row>
    <row r="2563" spans="1:12" ht="58" x14ac:dyDescent="0.35">
      <c r="A2563" s="5" t="s">
        <v>73</v>
      </c>
      <c r="B2563" s="5" t="s">
        <v>74</v>
      </c>
      <c r="C2563" s="5" t="s">
        <v>542</v>
      </c>
      <c r="D2563" s="5" t="s">
        <v>76</v>
      </c>
      <c r="E2563" s="5" t="s">
        <v>110</v>
      </c>
      <c r="F2563" s="5" t="s">
        <v>111</v>
      </c>
      <c r="G2563" s="5" t="s">
        <v>501</v>
      </c>
      <c r="H2563" s="5" t="s">
        <v>502</v>
      </c>
      <c r="I2563" s="5" t="s">
        <v>31</v>
      </c>
      <c r="J2563" s="5">
        <v>18.097915524609</v>
      </c>
      <c r="K2563" s="5">
        <v>-96.926025171912002</v>
      </c>
      <c r="L2563" s="5" t="str">
        <f>HYPERLINK("https://maps.google.com/?q=18.09791552460898,-96.92602517191177", "🔗 Ver Mapa")</f>
        <v>🔗 Ver Mapa</v>
      </c>
    </row>
    <row r="2564" spans="1:12" ht="58" x14ac:dyDescent="0.35">
      <c r="A2564" s="6" t="s">
        <v>73</v>
      </c>
      <c r="B2564" s="6" t="s">
        <v>74</v>
      </c>
      <c r="C2564" s="6" t="s">
        <v>543</v>
      </c>
      <c r="D2564" s="6" t="s">
        <v>76</v>
      </c>
      <c r="E2564" s="6" t="s">
        <v>110</v>
      </c>
      <c r="F2564" s="6" t="s">
        <v>111</v>
      </c>
      <c r="G2564" s="6" t="s">
        <v>501</v>
      </c>
      <c r="H2564" s="6" t="s">
        <v>544</v>
      </c>
      <c r="I2564" s="6" t="s">
        <v>31</v>
      </c>
      <c r="J2564" s="6">
        <v>18.126556403508001</v>
      </c>
      <c r="K2564" s="6">
        <v>-96.882975457691998</v>
      </c>
      <c r="L2564" s="6" t="str">
        <f>HYPERLINK("https://maps.google.com/?q=18.126556403507774,-96.88297545769232", "🔗 Ver Mapa")</f>
        <v>🔗 Ver Mapa</v>
      </c>
    </row>
    <row r="2565" spans="1:12" ht="58" x14ac:dyDescent="0.35">
      <c r="A2565" s="5" t="s">
        <v>98</v>
      </c>
      <c r="B2565" s="5" t="s">
        <v>99</v>
      </c>
      <c r="C2565" s="5" t="s">
        <v>545</v>
      </c>
      <c r="D2565" s="5" t="s">
        <v>14</v>
      </c>
      <c r="E2565" s="5" t="s">
        <v>17</v>
      </c>
      <c r="F2565" s="5" t="s">
        <v>46</v>
      </c>
      <c r="G2565" s="5" t="s">
        <v>546</v>
      </c>
      <c r="H2565" s="5" t="s">
        <v>547</v>
      </c>
      <c r="I2565" s="5" t="s">
        <v>31</v>
      </c>
      <c r="J2565" s="5">
        <v>16.009654633671001</v>
      </c>
      <c r="K2565" s="5">
        <v>-97.202344486236001</v>
      </c>
      <c r="L2565" s="5" t="str">
        <f>HYPERLINK("https://maps.google.com/?q=16.0096546336708,-97.2023444862362", "🔗 Ver Mapa")</f>
        <v>🔗 Ver Mapa</v>
      </c>
    </row>
    <row r="2566" spans="1:12" ht="58" x14ac:dyDescent="0.35">
      <c r="A2566" s="6" t="s">
        <v>98</v>
      </c>
      <c r="B2566" s="6" t="s">
        <v>99</v>
      </c>
      <c r="C2566" s="6" t="s">
        <v>545</v>
      </c>
      <c r="D2566" s="6" t="s">
        <v>14</v>
      </c>
      <c r="E2566" s="6" t="s">
        <v>17</v>
      </c>
      <c r="F2566" s="6" t="s">
        <v>46</v>
      </c>
      <c r="G2566" s="6" t="s">
        <v>546</v>
      </c>
      <c r="H2566" s="6" t="s">
        <v>547</v>
      </c>
      <c r="I2566" s="6" t="s">
        <v>31</v>
      </c>
      <c r="J2566" s="6">
        <v>16.010118363476</v>
      </c>
      <c r="K2566" s="6">
        <v>-97.202591749602007</v>
      </c>
      <c r="L2566" s="6" t="str">
        <f>HYPERLINK("https://maps.google.com/?q=16.0101183634757,-97.202591749602107", "🔗 Ver Mapa")</f>
        <v>🔗 Ver Mapa</v>
      </c>
    </row>
    <row r="2567" spans="1:12" ht="58" x14ac:dyDescent="0.35">
      <c r="A2567" s="5" t="s">
        <v>98</v>
      </c>
      <c r="B2567" s="5" t="s">
        <v>99</v>
      </c>
      <c r="C2567" s="5" t="s">
        <v>545</v>
      </c>
      <c r="D2567" s="5" t="s">
        <v>14</v>
      </c>
      <c r="E2567" s="5" t="s">
        <v>17</v>
      </c>
      <c r="F2567" s="5" t="s">
        <v>46</v>
      </c>
      <c r="G2567" s="5" t="s">
        <v>546</v>
      </c>
      <c r="H2567" s="5" t="s">
        <v>547</v>
      </c>
      <c r="I2567" s="5" t="s">
        <v>31</v>
      </c>
      <c r="J2567" s="5">
        <v>16.010487042044002</v>
      </c>
      <c r="K2567" s="5">
        <v>-97.202728542261994</v>
      </c>
      <c r="L2567" s="5" t="str">
        <f>HYPERLINK("https://maps.google.com/?q=16.0104870420435,-97.202728542261795", "🔗 Ver Mapa")</f>
        <v>🔗 Ver Mapa</v>
      </c>
    </row>
    <row r="2568" spans="1:12" ht="58" x14ac:dyDescent="0.35">
      <c r="A2568" s="6" t="s">
        <v>98</v>
      </c>
      <c r="B2568" s="6" t="s">
        <v>99</v>
      </c>
      <c r="C2568" s="6" t="s">
        <v>545</v>
      </c>
      <c r="D2568" s="6" t="s">
        <v>14</v>
      </c>
      <c r="E2568" s="6" t="s">
        <v>17</v>
      </c>
      <c r="F2568" s="6" t="s">
        <v>46</v>
      </c>
      <c r="G2568" s="6" t="s">
        <v>546</v>
      </c>
      <c r="H2568" s="6" t="s">
        <v>547</v>
      </c>
      <c r="I2568" s="6" t="s">
        <v>31</v>
      </c>
      <c r="J2568" s="6">
        <v>16.01051</v>
      </c>
      <c r="K2568" s="6">
        <v>-97.201891000000003</v>
      </c>
      <c r="L2568" s="6" t="str">
        <f>HYPERLINK("https://maps.google.com/?q=16.01051,-97.201891000000003", "🔗 Ver Mapa")</f>
        <v>🔗 Ver Mapa</v>
      </c>
    </row>
    <row r="2569" spans="1:12" ht="58" x14ac:dyDescent="0.35">
      <c r="A2569" s="5" t="s">
        <v>98</v>
      </c>
      <c r="B2569" s="5" t="s">
        <v>99</v>
      </c>
      <c r="C2569" s="5" t="s">
        <v>545</v>
      </c>
      <c r="D2569" s="5" t="s">
        <v>14</v>
      </c>
      <c r="E2569" s="5" t="s">
        <v>17</v>
      </c>
      <c r="F2569" s="5" t="s">
        <v>46</v>
      </c>
      <c r="G2569" s="5" t="s">
        <v>546</v>
      </c>
      <c r="H2569" s="5" t="s">
        <v>547</v>
      </c>
      <c r="I2569" s="5" t="s">
        <v>31</v>
      </c>
      <c r="J2569" s="5">
        <v>16.010624347053</v>
      </c>
      <c r="K2569" s="5">
        <v>-97.201759318450002</v>
      </c>
      <c r="L2569" s="5" t="str">
        <f>HYPERLINK("https://maps.google.com/?q=16.0106243470529,-97.201759318449703", "🔗 Ver Mapa")</f>
        <v>🔗 Ver Mapa</v>
      </c>
    </row>
    <row r="2570" spans="1:12" ht="43.5" x14ac:dyDescent="0.35">
      <c r="A2570" s="6" t="s">
        <v>297</v>
      </c>
      <c r="B2570" s="6" t="s">
        <v>298</v>
      </c>
      <c r="C2570" s="6" t="s">
        <v>548</v>
      </c>
      <c r="D2570" s="6" t="s">
        <v>13</v>
      </c>
      <c r="E2570" s="6" t="s">
        <v>52</v>
      </c>
      <c r="F2570" s="6" t="s">
        <v>70</v>
      </c>
      <c r="G2570" s="6" t="s">
        <v>317</v>
      </c>
      <c r="H2570" s="6" t="s">
        <v>318</v>
      </c>
      <c r="I2570" s="6" t="s">
        <v>32</v>
      </c>
      <c r="J2570" s="6">
        <v>17.050583</v>
      </c>
      <c r="K2570" s="6">
        <v>-96.704356000000004</v>
      </c>
      <c r="L2570" s="6" t="str">
        <f>HYPERLINK("https://maps.google.com/?q=17.050583,-96.704356", "🔗 Ver Mapa")</f>
        <v>🔗 Ver Mapa</v>
      </c>
    </row>
    <row r="2571" spans="1:12" ht="43.5" x14ac:dyDescent="0.35">
      <c r="A2571" s="5" t="s">
        <v>297</v>
      </c>
      <c r="B2571" s="5" t="s">
        <v>298</v>
      </c>
      <c r="C2571" s="5" t="s">
        <v>548</v>
      </c>
      <c r="D2571" s="5" t="s">
        <v>13</v>
      </c>
      <c r="E2571" s="5" t="s">
        <v>52</v>
      </c>
      <c r="F2571" s="5" t="s">
        <v>70</v>
      </c>
      <c r="G2571" s="5" t="s">
        <v>317</v>
      </c>
      <c r="H2571" s="5" t="s">
        <v>318</v>
      </c>
      <c r="I2571" s="5" t="s">
        <v>32</v>
      </c>
      <c r="J2571" s="5">
        <v>17.050830999999999</v>
      </c>
      <c r="K2571" s="5">
        <v>-96.704717000000002</v>
      </c>
      <c r="L2571" s="5" t="str">
        <f>HYPERLINK("https://maps.google.com/?q=17.050831,-96.704717", "🔗 Ver Mapa")</f>
        <v>🔗 Ver Mapa</v>
      </c>
    </row>
    <row r="2572" spans="1:12" ht="43.5" x14ac:dyDescent="0.35">
      <c r="A2572" s="6" t="s">
        <v>297</v>
      </c>
      <c r="B2572" s="6" t="s">
        <v>298</v>
      </c>
      <c r="C2572" s="6" t="s">
        <v>548</v>
      </c>
      <c r="D2572" s="6" t="s">
        <v>13</v>
      </c>
      <c r="E2572" s="6" t="s">
        <v>52</v>
      </c>
      <c r="F2572" s="6" t="s">
        <v>70</v>
      </c>
      <c r="G2572" s="6" t="s">
        <v>317</v>
      </c>
      <c r="H2572" s="6" t="s">
        <v>318</v>
      </c>
      <c r="I2572" s="6" t="s">
        <v>32</v>
      </c>
      <c r="J2572" s="6">
        <v>17.051971999999999</v>
      </c>
      <c r="K2572" s="6">
        <v>-96.703532999999993</v>
      </c>
      <c r="L2572" s="6" t="str">
        <f>HYPERLINK("https://maps.google.com/?q=17.051972,-96.703533", "🔗 Ver Mapa")</f>
        <v>🔗 Ver Mapa</v>
      </c>
    </row>
    <row r="2573" spans="1:12" ht="43.5" x14ac:dyDescent="0.35">
      <c r="A2573" s="5" t="s">
        <v>98</v>
      </c>
      <c r="B2573" s="5" t="s">
        <v>99</v>
      </c>
      <c r="C2573" s="5" t="s">
        <v>549</v>
      </c>
      <c r="D2573" s="5" t="s">
        <v>14</v>
      </c>
      <c r="E2573" s="5" t="s">
        <v>140</v>
      </c>
      <c r="F2573" s="5" t="s">
        <v>141</v>
      </c>
      <c r="G2573" s="5" t="s">
        <v>142</v>
      </c>
      <c r="H2573" s="5" t="s">
        <v>550</v>
      </c>
      <c r="I2573" s="5" t="s">
        <v>31</v>
      </c>
      <c r="J2573" s="5">
        <v>17.776291000000001</v>
      </c>
      <c r="K2573" s="5">
        <v>-96.304624000000004</v>
      </c>
      <c r="L2573" s="5" t="str">
        <f>HYPERLINK("https://maps.google.com/?q=17.776291,-96.304624000000004", "🔗 Ver Mapa")</f>
        <v>🔗 Ver Mapa</v>
      </c>
    </row>
    <row r="2574" spans="1:12" ht="43.5" x14ac:dyDescent="0.35">
      <c r="A2574" s="6" t="s">
        <v>98</v>
      </c>
      <c r="B2574" s="6" t="s">
        <v>99</v>
      </c>
      <c r="C2574" s="6" t="s">
        <v>549</v>
      </c>
      <c r="D2574" s="6" t="s">
        <v>14</v>
      </c>
      <c r="E2574" s="6" t="s">
        <v>140</v>
      </c>
      <c r="F2574" s="6" t="s">
        <v>141</v>
      </c>
      <c r="G2574" s="6" t="s">
        <v>142</v>
      </c>
      <c r="H2574" s="6" t="s">
        <v>550</v>
      </c>
      <c r="I2574" s="6" t="s">
        <v>31</v>
      </c>
      <c r="J2574" s="6">
        <v>17.776579000000002</v>
      </c>
      <c r="K2574" s="6">
        <v>-96.304698000000002</v>
      </c>
      <c r="L2574" s="6" t="str">
        <f>HYPERLINK("https://maps.google.com/?q=17.776579,-96.304698000000002", "🔗 Ver Mapa")</f>
        <v>🔗 Ver Mapa</v>
      </c>
    </row>
    <row r="2575" spans="1:12" ht="43.5" x14ac:dyDescent="0.35">
      <c r="A2575" s="5" t="s">
        <v>98</v>
      </c>
      <c r="B2575" s="5" t="s">
        <v>99</v>
      </c>
      <c r="C2575" s="5" t="s">
        <v>549</v>
      </c>
      <c r="D2575" s="5" t="s">
        <v>14</v>
      </c>
      <c r="E2575" s="5" t="s">
        <v>140</v>
      </c>
      <c r="F2575" s="5" t="s">
        <v>141</v>
      </c>
      <c r="G2575" s="5" t="s">
        <v>142</v>
      </c>
      <c r="H2575" s="5" t="s">
        <v>550</v>
      </c>
      <c r="I2575" s="5" t="s">
        <v>31</v>
      </c>
      <c r="J2575" s="5">
        <v>17.776603999999999</v>
      </c>
      <c r="K2575" s="5">
        <v>-96.303297999999998</v>
      </c>
      <c r="L2575" s="5" t="str">
        <f>HYPERLINK("https://maps.google.com/?q=17.776604,-96.303297999999998", "🔗 Ver Mapa")</f>
        <v>🔗 Ver Mapa</v>
      </c>
    </row>
    <row r="2576" spans="1:12" ht="43.5" x14ac:dyDescent="0.35">
      <c r="A2576" s="6" t="s">
        <v>98</v>
      </c>
      <c r="B2576" s="6" t="s">
        <v>99</v>
      </c>
      <c r="C2576" s="6" t="s">
        <v>549</v>
      </c>
      <c r="D2576" s="6" t="s">
        <v>14</v>
      </c>
      <c r="E2576" s="6" t="s">
        <v>140</v>
      </c>
      <c r="F2576" s="6" t="s">
        <v>141</v>
      </c>
      <c r="G2576" s="6" t="s">
        <v>142</v>
      </c>
      <c r="H2576" s="6" t="s">
        <v>550</v>
      </c>
      <c r="I2576" s="6" t="s">
        <v>31</v>
      </c>
      <c r="J2576" s="6">
        <v>17.776917999999998</v>
      </c>
      <c r="K2576" s="6">
        <v>-96.297387999999998</v>
      </c>
      <c r="L2576" s="6" t="str">
        <f>HYPERLINK("https://maps.google.com/?q=17.776918,-96.297387999999998", "🔗 Ver Mapa")</f>
        <v>🔗 Ver Mapa</v>
      </c>
    </row>
    <row r="2577" spans="1:12" ht="43.5" x14ac:dyDescent="0.35">
      <c r="A2577" s="5" t="s">
        <v>98</v>
      </c>
      <c r="B2577" s="5" t="s">
        <v>99</v>
      </c>
      <c r="C2577" s="5" t="s">
        <v>549</v>
      </c>
      <c r="D2577" s="5" t="s">
        <v>14</v>
      </c>
      <c r="E2577" s="5" t="s">
        <v>140</v>
      </c>
      <c r="F2577" s="5" t="s">
        <v>141</v>
      </c>
      <c r="G2577" s="5" t="s">
        <v>142</v>
      </c>
      <c r="H2577" s="5" t="s">
        <v>550</v>
      </c>
      <c r="I2577" s="5" t="s">
        <v>31</v>
      </c>
      <c r="J2577" s="5">
        <v>17.777199</v>
      </c>
      <c r="K2577" s="5">
        <v>-96.297676999999993</v>
      </c>
      <c r="L2577" s="5" t="str">
        <f>HYPERLINK("https://maps.google.com/?q=17.777199,-96.297676999999993", "🔗 Ver Mapa")</f>
        <v>🔗 Ver Mapa</v>
      </c>
    </row>
    <row r="2578" spans="1:12" ht="43.5" x14ac:dyDescent="0.35">
      <c r="A2578" s="6" t="s">
        <v>98</v>
      </c>
      <c r="B2578" s="6" t="s">
        <v>99</v>
      </c>
      <c r="C2578" s="6" t="s">
        <v>549</v>
      </c>
      <c r="D2578" s="6" t="s">
        <v>14</v>
      </c>
      <c r="E2578" s="6" t="s">
        <v>140</v>
      </c>
      <c r="F2578" s="6" t="s">
        <v>141</v>
      </c>
      <c r="G2578" s="6" t="s">
        <v>142</v>
      </c>
      <c r="H2578" s="6" t="s">
        <v>550</v>
      </c>
      <c r="I2578" s="6" t="s">
        <v>31</v>
      </c>
      <c r="J2578" s="6">
        <v>17.778652999999998</v>
      </c>
      <c r="K2578" s="6">
        <v>-96.301168000000004</v>
      </c>
      <c r="L2578" s="6" t="str">
        <f>HYPERLINK("https://maps.google.com/?q=17.778653,-96.301168000000004", "🔗 Ver Mapa")</f>
        <v>🔗 Ver Mapa</v>
      </c>
    </row>
    <row r="2579" spans="1:12" ht="43.5" x14ac:dyDescent="0.35">
      <c r="A2579" s="5" t="s">
        <v>297</v>
      </c>
      <c r="B2579" s="5" t="s">
        <v>298</v>
      </c>
      <c r="C2579" s="5" t="s">
        <v>551</v>
      </c>
      <c r="D2579" s="5" t="s">
        <v>13</v>
      </c>
      <c r="E2579" s="5" t="s">
        <v>52</v>
      </c>
      <c r="F2579" s="5" t="s">
        <v>70</v>
      </c>
      <c r="G2579" s="5" t="s">
        <v>123</v>
      </c>
      <c r="H2579" s="5" t="s">
        <v>307</v>
      </c>
      <c r="I2579" s="5" t="s">
        <v>31</v>
      </c>
      <c r="J2579" s="5">
        <v>17.038934999999999</v>
      </c>
      <c r="K2579" s="5">
        <v>-96.719071</v>
      </c>
      <c r="L2579" s="5" t="str">
        <f>HYPERLINK("https://maps.google.com/?q=17.038935,-96.719071", "🔗 Ver Mapa")</f>
        <v>🔗 Ver Mapa</v>
      </c>
    </row>
    <row r="2580" spans="1:12" ht="43.5" x14ac:dyDescent="0.35">
      <c r="A2580" s="6" t="s">
        <v>98</v>
      </c>
      <c r="B2580" s="6" t="s">
        <v>99</v>
      </c>
      <c r="C2580" s="6" t="s">
        <v>552</v>
      </c>
      <c r="D2580" s="6" t="s">
        <v>14</v>
      </c>
      <c r="E2580" s="6" t="s">
        <v>140</v>
      </c>
      <c r="F2580" s="6" t="s">
        <v>141</v>
      </c>
      <c r="G2580" s="6" t="s">
        <v>258</v>
      </c>
      <c r="H2580" s="6" t="s">
        <v>553</v>
      </c>
      <c r="I2580" s="6" t="s">
        <v>31</v>
      </c>
      <c r="J2580" s="6">
        <v>18.214561</v>
      </c>
      <c r="K2580" s="6">
        <v>-96.335421999999994</v>
      </c>
      <c r="L2580" s="6" t="str">
        <f>HYPERLINK("https://maps.google.com/?q=18.214561,-96.335421999999994", "🔗 Ver Mapa")</f>
        <v>🔗 Ver Mapa</v>
      </c>
    </row>
    <row r="2581" spans="1:12" ht="43.5" x14ac:dyDescent="0.35">
      <c r="A2581" s="5" t="s">
        <v>98</v>
      </c>
      <c r="B2581" s="5" t="s">
        <v>99</v>
      </c>
      <c r="C2581" s="5" t="s">
        <v>552</v>
      </c>
      <c r="D2581" s="5" t="s">
        <v>14</v>
      </c>
      <c r="E2581" s="5" t="s">
        <v>140</v>
      </c>
      <c r="F2581" s="5" t="s">
        <v>141</v>
      </c>
      <c r="G2581" s="5" t="s">
        <v>258</v>
      </c>
      <c r="H2581" s="5" t="s">
        <v>553</v>
      </c>
      <c r="I2581" s="5" t="s">
        <v>31</v>
      </c>
      <c r="J2581" s="5">
        <v>18.217548000000001</v>
      </c>
      <c r="K2581" s="5">
        <v>-96.337947</v>
      </c>
      <c r="L2581" s="5" t="str">
        <f>HYPERLINK("https://maps.google.com/?q=18.217548,-96.337947", "🔗 Ver Mapa")</f>
        <v>🔗 Ver Mapa</v>
      </c>
    </row>
    <row r="2582" spans="1:12" ht="43.5" x14ac:dyDescent="0.35">
      <c r="A2582" s="6" t="s">
        <v>98</v>
      </c>
      <c r="B2582" s="6" t="s">
        <v>99</v>
      </c>
      <c r="C2582" s="6" t="s">
        <v>552</v>
      </c>
      <c r="D2582" s="6" t="s">
        <v>14</v>
      </c>
      <c r="E2582" s="6" t="s">
        <v>140</v>
      </c>
      <c r="F2582" s="6" t="s">
        <v>141</v>
      </c>
      <c r="G2582" s="6" t="s">
        <v>258</v>
      </c>
      <c r="H2582" s="6" t="s">
        <v>553</v>
      </c>
      <c r="I2582" s="6" t="s">
        <v>31</v>
      </c>
      <c r="J2582" s="6">
        <v>18.217832000000001</v>
      </c>
      <c r="K2582" s="6">
        <v>-96.336509000000007</v>
      </c>
      <c r="L2582" s="6" t="str">
        <f>HYPERLINK("https://maps.google.com/?q=18.217832,-96.336509000000007", "🔗 Ver Mapa")</f>
        <v>🔗 Ver Mapa</v>
      </c>
    </row>
    <row r="2583" spans="1:12" ht="43.5" x14ac:dyDescent="0.35">
      <c r="A2583" s="5" t="s">
        <v>98</v>
      </c>
      <c r="B2583" s="5" t="s">
        <v>99</v>
      </c>
      <c r="C2583" s="5" t="s">
        <v>552</v>
      </c>
      <c r="D2583" s="5" t="s">
        <v>14</v>
      </c>
      <c r="E2583" s="5" t="s">
        <v>140</v>
      </c>
      <c r="F2583" s="5" t="s">
        <v>141</v>
      </c>
      <c r="G2583" s="5" t="s">
        <v>258</v>
      </c>
      <c r="H2583" s="5" t="s">
        <v>553</v>
      </c>
      <c r="I2583" s="5" t="s">
        <v>31</v>
      </c>
      <c r="J2583" s="5">
        <v>18.218202000000002</v>
      </c>
      <c r="K2583" s="5">
        <v>-96.336585999999997</v>
      </c>
      <c r="L2583" s="5" t="str">
        <f>HYPERLINK("https://maps.google.com/?q=18.218202,-96.336585999999997", "🔗 Ver Mapa")</f>
        <v>🔗 Ver Mapa</v>
      </c>
    </row>
    <row r="2584" spans="1:12" ht="43.5" x14ac:dyDescent="0.35">
      <c r="A2584" s="6" t="s">
        <v>98</v>
      </c>
      <c r="B2584" s="6" t="s">
        <v>99</v>
      </c>
      <c r="C2584" s="6" t="s">
        <v>552</v>
      </c>
      <c r="D2584" s="6" t="s">
        <v>14</v>
      </c>
      <c r="E2584" s="6" t="s">
        <v>140</v>
      </c>
      <c r="F2584" s="6" t="s">
        <v>141</v>
      </c>
      <c r="G2584" s="6" t="s">
        <v>258</v>
      </c>
      <c r="H2584" s="6" t="s">
        <v>553</v>
      </c>
      <c r="I2584" s="6" t="s">
        <v>31</v>
      </c>
      <c r="J2584" s="6">
        <v>18.218313999999999</v>
      </c>
      <c r="K2584" s="6">
        <v>-96.336230999999998</v>
      </c>
      <c r="L2584" s="6" t="str">
        <f>HYPERLINK("https://maps.google.com/?q=18.218314,-96.336230999999998", "🔗 Ver Mapa")</f>
        <v>🔗 Ver Mapa</v>
      </c>
    </row>
    <row r="2585" spans="1:12" ht="58" x14ac:dyDescent="0.35">
      <c r="A2585" s="5" t="s">
        <v>98</v>
      </c>
      <c r="B2585" s="5" t="s">
        <v>99</v>
      </c>
      <c r="C2585" s="5" t="s">
        <v>554</v>
      </c>
      <c r="D2585" s="5" t="s">
        <v>14</v>
      </c>
      <c r="E2585" s="5" t="s">
        <v>39</v>
      </c>
      <c r="F2585" s="5" t="s">
        <v>494</v>
      </c>
      <c r="G2585" s="5" t="s">
        <v>522</v>
      </c>
      <c r="H2585" s="5" t="s">
        <v>523</v>
      </c>
      <c r="I2585" s="5" t="s">
        <v>31</v>
      </c>
      <c r="J2585" s="5">
        <v>16.588678576168</v>
      </c>
      <c r="K2585" s="5">
        <v>-97.228861364417995</v>
      </c>
      <c r="L2585" s="5" t="str">
        <f>HYPERLINK("https://maps.google.com/?q=16.5886785761677,-97.228861364417995", "🔗 Ver Mapa")</f>
        <v>🔗 Ver Mapa</v>
      </c>
    </row>
    <row r="2586" spans="1:12" ht="58" x14ac:dyDescent="0.35">
      <c r="A2586" s="6" t="s">
        <v>98</v>
      </c>
      <c r="B2586" s="6" t="s">
        <v>99</v>
      </c>
      <c r="C2586" s="6" t="s">
        <v>554</v>
      </c>
      <c r="D2586" s="6" t="s">
        <v>14</v>
      </c>
      <c r="E2586" s="6" t="s">
        <v>39</v>
      </c>
      <c r="F2586" s="6" t="s">
        <v>494</v>
      </c>
      <c r="G2586" s="6" t="s">
        <v>522</v>
      </c>
      <c r="H2586" s="6" t="s">
        <v>523</v>
      </c>
      <c r="I2586" s="6" t="s">
        <v>31</v>
      </c>
      <c r="J2586" s="6">
        <v>16.593382896977001</v>
      </c>
      <c r="K2586" s="6">
        <v>-97.223621847884999</v>
      </c>
      <c r="L2586" s="6" t="str">
        <f>HYPERLINK("https://maps.google.com/?q=16.5933828969765,-97.223621847885099", "🔗 Ver Mapa")</f>
        <v>🔗 Ver Mapa</v>
      </c>
    </row>
    <row r="2587" spans="1:12" ht="58" x14ac:dyDescent="0.35">
      <c r="A2587" s="5" t="s">
        <v>98</v>
      </c>
      <c r="B2587" s="5" t="s">
        <v>99</v>
      </c>
      <c r="C2587" s="5" t="s">
        <v>554</v>
      </c>
      <c r="D2587" s="5" t="s">
        <v>14</v>
      </c>
      <c r="E2587" s="5" t="s">
        <v>39</v>
      </c>
      <c r="F2587" s="5" t="s">
        <v>494</v>
      </c>
      <c r="G2587" s="5" t="s">
        <v>522</v>
      </c>
      <c r="H2587" s="5" t="s">
        <v>523</v>
      </c>
      <c r="I2587" s="5" t="s">
        <v>31</v>
      </c>
      <c r="J2587" s="5">
        <v>16.599196339077</v>
      </c>
      <c r="K2587" s="5">
        <v>-97.220786845404007</v>
      </c>
      <c r="L2587" s="5" t="str">
        <f>HYPERLINK("https://maps.google.com/?q=16.5991963390768,-97.220786845403694", "🔗 Ver Mapa")</f>
        <v>🔗 Ver Mapa</v>
      </c>
    </row>
    <row r="2588" spans="1:12" ht="58" x14ac:dyDescent="0.35">
      <c r="A2588" s="6" t="s">
        <v>98</v>
      </c>
      <c r="B2588" s="6" t="s">
        <v>99</v>
      </c>
      <c r="C2588" s="6" t="s">
        <v>554</v>
      </c>
      <c r="D2588" s="6" t="s">
        <v>14</v>
      </c>
      <c r="E2588" s="6" t="s">
        <v>39</v>
      </c>
      <c r="F2588" s="6" t="s">
        <v>494</v>
      </c>
      <c r="G2588" s="6" t="s">
        <v>522</v>
      </c>
      <c r="H2588" s="6" t="s">
        <v>523</v>
      </c>
      <c r="I2588" s="6" t="s">
        <v>31</v>
      </c>
      <c r="J2588" s="6">
        <v>16.600069884463998</v>
      </c>
      <c r="K2588" s="6">
        <v>-97.219526526498001</v>
      </c>
      <c r="L2588" s="6" t="str">
        <f>HYPERLINK("https://maps.google.com/?q=16.6000698844635,-97.219526526498299", "🔗 Ver Mapa")</f>
        <v>🔗 Ver Mapa</v>
      </c>
    </row>
    <row r="2589" spans="1:12" ht="58" x14ac:dyDescent="0.35">
      <c r="A2589" s="5" t="s">
        <v>98</v>
      </c>
      <c r="B2589" s="5" t="s">
        <v>99</v>
      </c>
      <c r="C2589" s="5" t="s">
        <v>554</v>
      </c>
      <c r="D2589" s="5" t="s">
        <v>14</v>
      </c>
      <c r="E2589" s="5" t="s">
        <v>39</v>
      </c>
      <c r="F2589" s="5" t="s">
        <v>494</v>
      </c>
      <c r="G2589" s="5" t="s">
        <v>522</v>
      </c>
      <c r="H2589" s="5" t="s">
        <v>523</v>
      </c>
      <c r="I2589" s="5" t="s">
        <v>31</v>
      </c>
      <c r="J2589" s="5">
        <v>16.600211664416001</v>
      </c>
      <c r="K2589" s="5">
        <v>-97.219686542328006</v>
      </c>
      <c r="L2589" s="5" t="str">
        <f>HYPERLINK("https://maps.google.com/?q=16.6002116644161,-97.219686542327906", "🔗 Ver Mapa")</f>
        <v>🔗 Ver Mapa</v>
      </c>
    </row>
    <row r="2590" spans="1:12" ht="58" x14ac:dyDescent="0.35">
      <c r="A2590" s="6" t="s">
        <v>98</v>
      </c>
      <c r="B2590" s="6" t="s">
        <v>99</v>
      </c>
      <c r="C2590" s="6" t="s">
        <v>554</v>
      </c>
      <c r="D2590" s="6" t="s">
        <v>14</v>
      </c>
      <c r="E2590" s="6" t="s">
        <v>39</v>
      </c>
      <c r="F2590" s="6" t="s">
        <v>494</v>
      </c>
      <c r="G2590" s="6" t="s">
        <v>522</v>
      </c>
      <c r="H2590" s="6" t="s">
        <v>523</v>
      </c>
      <c r="I2590" s="6" t="s">
        <v>31</v>
      </c>
      <c r="J2590" s="6">
        <v>16.605009880697001</v>
      </c>
      <c r="K2590" s="6">
        <v>-97.216182504298999</v>
      </c>
      <c r="L2590" s="6" t="str">
        <f>HYPERLINK("https://maps.google.com/?q=16.6050098806974,-97.216182504299198", "🔗 Ver Mapa")</f>
        <v>🔗 Ver Mapa</v>
      </c>
    </row>
    <row r="2591" spans="1:12" ht="58" x14ac:dyDescent="0.35">
      <c r="A2591" s="5" t="s">
        <v>98</v>
      </c>
      <c r="B2591" s="5" t="s">
        <v>99</v>
      </c>
      <c r="C2591" s="5" t="s">
        <v>554</v>
      </c>
      <c r="D2591" s="5" t="s">
        <v>14</v>
      </c>
      <c r="E2591" s="5" t="s">
        <v>39</v>
      </c>
      <c r="F2591" s="5" t="s">
        <v>494</v>
      </c>
      <c r="G2591" s="5" t="s">
        <v>522</v>
      </c>
      <c r="H2591" s="5" t="s">
        <v>523</v>
      </c>
      <c r="I2591" s="5" t="s">
        <v>31</v>
      </c>
      <c r="J2591" s="5">
        <v>16.605271698572999</v>
      </c>
      <c r="K2591" s="5">
        <v>-97.214448798776999</v>
      </c>
      <c r="L2591" s="5" t="str">
        <f>HYPERLINK("https://maps.google.com/?q=16.6052716985732,-97.214448798776601", "🔗 Ver Mapa")</f>
        <v>🔗 Ver Mapa</v>
      </c>
    </row>
    <row r="2592" spans="1:12" ht="58" x14ac:dyDescent="0.35">
      <c r="A2592" s="6" t="s">
        <v>98</v>
      </c>
      <c r="B2592" s="6" t="s">
        <v>99</v>
      </c>
      <c r="C2592" s="6" t="s">
        <v>554</v>
      </c>
      <c r="D2592" s="6" t="s">
        <v>14</v>
      </c>
      <c r="E2592" s="6" t="s">
        <v>39</v>
      </c>
      <c r="F2592" s="6" t="s">
        <v>494</v>
      </c>
      <c r="G2592" s="6" t="s">
        <v>522</v>
      </c>
      <c r="H2592" s="6" t="s">
        <v>523</v>
      </c>
      <c r="I2592" s="6" t="s">
        <v>31</v>
      </c>
      <c r="J2592" s="6">
        <v>16.606262287770999</v>
      </c>
      <c r="K2592" s="6">
        <v>-97.215485000000001</v>
      </c>
      <c r="L2592" s="6" t="str">
        <f>HYPERLINK("https://maps.google.com/?q=16.6062622877712,-97.215485", "🔗 Ver Mapa")</f>
        <v>🔗 Ver Mapa</v>
      </c>
    </row>
    <row r="2593" spans="1:12" ht="43.5" x14ac:dyDescent="0.35">
      <c r="A2593" s="5" t="s">
        <v>98</v>
      </c>
      <c r="B2593" s="5" t="s">
        <v>99</v>
      </c>
      <c r="C2593" s="5" t="s">
        <v>555</v>
      </c>
      <c r="D2593" s="5" t="s">
        <v>14</v>
      </c>
      <c r="E2593" s="5" t="s">
        <v>140</v>
      </c>
      <c r="F2593" s="5" t="s">
        <v>141</v>
      </c>
      <c r="G2593" s="5" t="s">
        <v>258</v>
      </c>
      <c r="H2593" s="5" t="s">
        <v>556</v>
      </c>
      <c r="I2593" s="5" t="s">
        <v>31</v>
      </c>
      <c r="J2593" s="5">
        <v>18.170387000000002</v>
      </c>
      <c r="K2593" s="5">
        <v>-96.283382000000003</v>
      </c>
      <c r="L2593" s="5" t="str">
        <f>HYPERLINK("https://maps.google.com/?q=18.170387,-96.283382000000003", "🔗 Ver Mapa")</f>
        <v>🔗 Ver Mapa</v>
      </c>
    </row>
    <row r="2594" spans="1:12" ht="43.5" x14ac:dyDescent="0.35">
      <c r="A2594" s="6" t="s">
        <v>98</v>
      </c>
      <c r="B2594" s="6" t="s">
        <v>99</v>
      </c>
      <c r="C2594" s="6" t="s">
        <v>555</v>
      </c>
      <c r="D2594" s="6" t="s">
        <v>14</v>
      </c>
      <c r="E2594" s="6" t="s">
        <v>140</v>
      </c>
      <c r="F2594" s="6" t="s">
        <v>141</v>
      </c>
      <c r="G2594" s="6" t="s">
        <v>258</v>
      </c>
      <c r="H2594" s="6" t="s">
        <v>556</v>
      </c>
      <c r="I2594" s="6" t="s">
        <v>31</v>
      </c>
      <c r="J2594" s="6">
        <v>18.171538000000002</v>
      </c>
      <c r="K2594" s="6">
        <v>-96.284497999999999</v>
      </c>
      <c r="L2594" s="6" t="str">
        <f>HYPERLINK("https://maps.google.com/?q=18.171538,-96.284497999999999", "🔗 Ver Mapa")</f>
        <v>🔗 Ver Mapa</v>
      </c>
    </row>
    <row r="2595" spans="1:12" ht="43.5" x14ac:dyDescent="0.35">
      <c r="A2595" s="5" t="s">
        <v>98</v>
      </c>
      <c r="B2595" s="5" t="s">
        <v>99</v>
      </c>
      <c r="C2595" s="5" t="s">
        <v>555</v>
      </c>
      <c r="D2595" s="5" t="s">
        <v>14</v>
      </c>
      <c r="E2595" s="5" t="s">
        <v>140</v>
      </c>
      <c r="F2595" s="5" t="s">
        <v>141</v>
      </c>
      <c r="G2595" s="5" t="s">
        <v>258</v>
      </c>
      <c r="H2595" s="5" t="s">
        <v>556</v>
      </c>
      <c r="I2595" s="5" t="s">
        <v>31</v>
      </c>
      <c r="J2595" s="5">
        <v>18.172584000000001</v>
      </c>
      <c r="K2595" s="5">
        <v>-96.283582999999993</v>
      </c>
      <c r="L2595" s="5" t="str">
        <f>HYPERLINK("https://maps.google.com/?q=18.172584,-96.283582999999993", "🔗 Ver Mapa")</f>
        <v>🔗 Ver Mapa</v>
      </c>
    </row>
    <row r="2596" spans="1:12" ht="43.5" x14ac:dyDescent="0.35">
      <c r="A2596" s="6" t="s">
        <v>98</v>
      </c>
      <c r="B2596" s="6" t="s">
        <v>99</v>
      </c>
      <c r="C2596" s="6" t="s">
        <v>555</v>
      </c>
      <c r="D2596" s="6" t="s">
        <v>14</v>
      </c>
      <c r="E2596" s="6" t="s">
        <v>140</v>
      </c>
      <c r="F2596" s="6" t="s">
        <v>141</v>
      </c>
      <c r="G2596" s="6" t="s">
        <v>258</v>
      </c>
      <c r="H2596" s="6" t="s">
        <v>556</v>
      </c>
      <c r="I2596" s="6" t="s">
        <v>31</v>
      </c>
      <c r="J2596" s="6">
        <v>18.172861000000001</v>
      </c>
      <c r="K2596" s="6">
        <v>-96.283685000000006</v>
      </c>
      <c r="L2596" s="6" t="str">
        <f>HYPERLINK("https://maps.google.com/?q=18.172861,-96.283685000000006", "🔗 Ver Mapa")</f>
        <v>🔗 Ver Mapa</v>
      </c>
    </row>
    <row r="2597" spans="1:12" ht="43.5" x14ac:dyDescent="0.35">
      <c r="A2597" s="5" t="s">
        <v>98</v>
      </c>
      <c r="B2597" s="5" t="s">
        <v>99</v>
      </c>
      <c r="C2597" s="5" t="s">
        <v>555</v>
      </c>
      <c r="D2597" s="5" t="s">
        <v>14</v>
      </c>
      <c r="E2597" s="5" t="s">
        <v>140</v>
      </c>
      <c r="F2597" s="5" t="s">
        <v>141</v>
      </c>
      <c r="G2597" s="5" t="s">
        <v>258</v>
      </c>
      <c r="H2597" s="5" t="s">
        <v>556</v>
      </c>
      <c r="I2597" s="5" t="s">
        <v>31</v>
      </c>
      <c r="J2597" s="5">
        <v>18.172908</v>
      </c>
      <c r="K2597" s="5">
        <v>-96.282685000000001</v>
      </c>
      <c r="L2597" s="5" t="str">
        <f>HYPERLINK("https://maps.google.com/?q=18.172908,-96.282685000000001", "🔗 Ver Mapa")</f>
        <v>🔗 Ver Mapa</v>
      </c>
    </row>
    <row r="2598" spans="1:12" ht="43.5" x14ac:dyDescent="0.35">
      <c r="A2598" s="6" t="s">
        <v>98</v>
      </c>
      <c r="B2598" s="6" t="s">
        <v>99</v>
      </c>
      <c r="C2598" s="6" t="s">
        <v>555</v>
      </c>
      <c r="D2598" s="6" t="s">
        <v>14</v>
      </c>
      <c r="E2598" s="6" t="s">
        <v>140</v>
      </c>
      <c r="F2598" s="6" t="s">
        <v>141</v>
      </c>
      <c r="G2598" s="6" t="s">
        <v>258</v>
      </c>
      <c r="H2598" s="6" t="s">
        <v>556</v>
      </c>
      <c r="I2598" s="6" t="s">
        <v>31</v>
      </c>
      <c r="J2598" s="6">
        <v>18.173226</v>
      </c>
      <c r="K2598" s="6">
        <v>-96.283085</v>
      </c>
      <c r="L2598" s="6" t="str">
        <f>HYPERLINK("https://maps.google.com/?q=18.173226,-96.283085", "🔗 Ver Mapa")</f>
        <v>🔗 Ver Mapa</v>
      </c>
    </row>
    <row r="2599" spans="1:12" ht="43.5" x14ac:dyDescent="0.35">
      <c r="A2599" s="5" t="s">
        <v>98</v>
      </c>
      <c r="B2599" s="5" t="s">
        <v>99</v>
      </c>
      <c r="C2599" s="5" t="s">
        <v>557</v>
      </c>
      <c r="D2599" s="5" t="s">
        <v>14</v>
      </c>
      <c r="E2599" s="5" t="s">
        <v>140</v>
      </c>
      <c r="F2599" s="5" t="s">
        <v>141</v>
      </c>
      <c r="G2599" s="5" t="s">
        <v>258</v>
      </c>
      <c r="H2599" s="5" t="s">
        <v>558</v>
      </c>
      <c r="I2599" s="5" t="s">
        <v>31</v>
      </c>
      <c r="J2599" s="5">
        <v>18.248638</v>
      </c>
      <c r="K2599" s="5">
        <v>-96.290429000000003</v>
      </c>
      <c r="L2599" s="5" t="str">
        <f>HYPERLINK("https://maps.google.com/?q=18.248638,-96.290429000000003", "🔗 Ver Mapa")</f>
        <v>🔗 Ver Mapa</v>
      </c>
    </row>
    <row r="2600" spans="1:12" ht="43.5" x14ac:dyDescent="0.35">
      <c r="A2600" s="6" t="s">
        <v>98</v>
      </c>
      <c r="B2600" s="6" t="s">
        <v>99</v>
      </c>
      <c r="C2600" s="6" t="s">
        <v>557</v>
      </c>
      <c r="D2600" s="6" t="s">
        <v>14</v>
      </c>
      <c r="E2600" s="6" t="s">
        <v>140</v>
      </c>
      <c r="F2600" s="6" t="s">
        <v>141</v>
      </c>
      <c r="G2600" s="6" t="s">
        <v>258</v>
      </c>
      <c r="H2600" s="6" t="s">
        <v>558</v>
      </c>
      <c r="I2600" s="6" t="s">
        <v>31</v>
      </c>
      <c r="J2600" s="6">
        <v>18.249860999999999</v>
      </c>
      <c r="K2600" s="6">
        <v>-96.288908000000006</v>
      </c>
      <c r="L2600" s="6" t="str">
        <f>HYPERLINK("https://maps.google.com/?q=18.249861,-96.288908000000006", "🔗 Ver Mapa")</f>
        <v>🔗 Ver Mapa</v>
      </c>
    </row>
    <row r="2601" spans="1:12" ht="43.5" x14ac:dyDescent="0.35">
      <c r="A2601" s="5" t="s">
        <v>98</v>
      </c>
      <c r="B2601" s="5" t="s">
        <v>99</v>
      </c>
      <c r="C2601" s="5" t="s">
        <v>557</v>
      </c>
      <c r="D2601" s="5" t="s">
        <v>14</v>
      </c>
      <c r="E2601" s="5" t="s">
        <v>140</v>
      </c>
      <c r="F2601" s="5" t="s">
        <v>141</v>
      </c>
      <c r="G2601" s="5" t="s">
        <v>258</v>
      </c>
      <c r="H2601" s="5" t="s">
        <v>558</v>
      </c>
      <c r="I2601" s="5" t="s">
        <v>31</v>
      </c>
      <c r="J2601" s="5">
        <v>18.250641999999999</v>
      </c>
      <c r="K2601" s="5">
        <v>-96.289422000000002</v>
      </c>
      <c r="L2601" s="5" t="str">
        <f>HYPERLINK("https://maps.google.com/?q=18.250642,-96.289422000000002", "🔗 Ver Mapa")</f>
        <v>🔗 Ver Mapa</v>
      </c>
    </row>
    <row r="2602" spans="1:12" ht="43.5" x14ac:dyDescent="0.35">
      <c r="A2602" s="6" t="s">
        <v>98</v>
      </c>
      <c r="B2602" s="6" t="s">
        <v>99</v>
      </c>
      <c r="C2602" s="6" t="s">
        <v>557</v>
      </c>
      <c r="D2602" s="6" t="s">
        <v>14</v>
      </c>
      <c r="E2602" s="6" t="s">
        <v>140</v>
      </c>
      <c r="F2602" s="6" t="s">
        <v>141</v>
      </c>
      <c r="G2602" s="6" t="s">
        <v>258</v>
      </c>
      <c r="H2602" s="6" t="s">
        <v>558</v>
      </c>
      <c r="I2602" s="6" t="s">
        <v>31</v>
      </c>
      <c r="J2602" s="6">
        <v>18.251062000000001</v>
      </c>
      <c r="K2602" s="6">
        <v>-96.288667000000004</v>
      </c>
      <c r="L2602" s="6" t="str">
        <f>HYPERLINK("https://maps.google.com/?q=18.251062,-96.288667000000004", "🔗 Ver Mapa")</f>
        <v>🔗 Ver Mapa</v>
      </c>
    </row>
    <row r="2603" spans="1:12" ht="43.5" x14ac:dyDescent="0.35">
      <c r="A2603" s="5" t="s">
        <v>98</v>
      </c>
      <c r="B2603" s="5" t="s">
        <v>99</v>
      </c>
      <c r="C2603" s="5" t="s">
        <v>557</v>
      </c>
      <c r="D2603" s="5" t="s">
        <v>14</v>
      </c>
      <c r="E2603" s="5" t="s">
        <v>140</v>
      </c>
      <c r="F2603" s="5" t="s">
        <v>141</v>
      </c>
      <c r="G2603" s="5" t="s">
        <v>258</v>
      </c>
      <c r="H2603" s="5" t="s">
        <v>558</v>
      </c>
      <c r="I2603" s="5" t="s">
        <v>31</v>
      </c>
      <c r="J2603" s="5">
        <v>18.251805000000001</v>
      </c>
      <c r="K2603" s="5">
        <v>-96.287968000000006</v>
      </c>
      <c r="L2603" s="5" t="str">
        <f>HYPERLINK("https://maps.google.com/?q=18.251805,-96.287968000000006", "🔗 Ver Mapa")</f>
        <v>🔗 Ver Mapa</v>
      </c>
    </row>
    <row r="2604" spans="1:12" ht="43.5" x14ac:dyDescent="0.35">
      <c r="A2604" s="6" t="s">
        <v>98</v>
      </c>
      <c r="B2604" s="6" t="s">
        <v>99</v>
      </c>
      <c r="C2604" s="6" t="s">
        <v>557</v>
      </c>
      <c r="D2604" s="6" t="s">
        <v>14</v>
      </c>
      <c r="E2604" s="6" t="s">
        <v>140</v>
      </c>
      <c r="F2604" s="6" t="s">
        <v>141</v>
      </c>
      <c r="G2604" s="6" t="s">
        <v>258</v>
      </c>
      <c r="H2604" s="6" t="s">
        <v>558</v>
      </c>
      <c r="I2604" s="6" t="s">
        <v>31</v>
      </c>
      <c r="J2604" s="6">
        <v>18.252247000000001</v>
      </c>
      <c r="K2604" s="6">
        <v>-96.289569</v>
      </c>
      <c r="L2604" s="6" t="str">
        <f>HYPERLINK("https://maps.google.com/?q=18.252247,-96.289569", "🔗 Ver Mapa")</f>
        <v>🔗 Ver Mapa</v>
      </c>
    </row>
    <row r="2605" spans="1:12" ht="43.5" x14ac:dyDescent="0.35">
      <c r="A2605" s="5" t="s">
        <v>98</v>
      </c>
      <c r="B2605" s="5" t="s">
        <v>99</v>
      </c>
      <c r="C2605" s="5" t="s">
        <v>557</v>
      </c>
      <c r="D2605" s="5" t="s">
        <v>14</v>
      </c>
      <c r="E2605" s="5" t="s">
        <v>140</v>
      </c>
      <c r="F2605" s="5" t="s">
        <v>141</v>
      </c>
      <c r="G2605" s="5" t="s">
        <v>258</v>
      </c>
      <c r="H2605" s="5" t="s">
        <v>558</v>
      </c>
      <c r="I2605" s="5" t="s">
        <v>31</v>
      </c>
      <c r="J2605" s="5">
        <v>18.252541999999998</v>
      </c>
      <c r="K2605" s="5">
        <v>-96.285819000000004</v>
      </c>
      <c r="L2605" s="5" t="str">
        <f>HYPERLINK("https://maps.google.com/?q=18.252542,-96.285819000000004", "🔗 Ver Mapa")</f>
        <v>🔗 Ver Mapa</v>
      </c>
    </row>
    <row r="2606" spans="1:12" ht="43.5" x14ac:dyDescent="0.35">
      <c r="A2606" s="6" t="s">
        <v>98</v>
      </c>
      <c r="B2606" s="6" t="s">
        <v>99</v>
      </c>
      <c r="C2606" s="6" t="s">
        <v>557</v>
      </c>
      <c r="D2606" s="6" t="s">
        <v>14</v>
      </c>
      <c r="E2606" s="6" t="s">
        <v>140</v>
      </c>
      <c r="F2606" s="6" t="s">
        <v>141</v>
      </c>
      <c r="G2606" s="6" t="s">
        <v>258</v>
      </c>
      <c r="H2606" s="6" t="s">
        <v>558</v>
      </c>
      <c r="I2606" s="6" t="s">
        <v>31</v>
      </c>
      <c r="J2606" s="6">
        <v>18.256143999999999</v>
      </c>
      <c r="K2606" s="6">
        <v>-96.284487999999996</v>
      </c>
      <c r="L2606" s="6" t="str">
        <f>HYPERLINK("https://maps.google.com/?q=18.256144,-96.284487999999996", "🔗 Ver Mapa")</f>
        <v>🔗 Ver Mapa</v>
      </c>
    </row>
    <row r="2607" spans="1:12" ht="43.5" x14ac:dyDescent="0.35">
      <c r="A2607" s="5" t="s">
        <v>98</v>
      </c>
      <c r="B2607" s="5" t="s">
        <v>99</v>
      </c>
      <c r="C2607" s="5" t="s">
        <v>557</v>
      </c>
      <c r="D2607" s="5" t="s">
        <v>14</v>
      </c>
      <c r="E2607" s="5" t="s">
        <v>140</v>
      </c>
      <c r="F2607" s="5" t="s">
        <v>141</v>
      </c>
      <c r="G2607" s="5" t="s">
        <v>258</v>
      </c>
      <c r="H2607" s="5" t="s">
        <v>558</v>
      </c>
      <c r="I2607" s="5" t="s">
        <v>31</v>
      </c>
      <c r="J2607" s="5">
        <v>18.256394</v>
      </c>
      <c r="K2607" s="5">
        <v>-96.284037999999995</v>
      </c>
      <c r="L2607" s="5" t="str">
        <f>HYPERLINK("https://maps.google.com/?q=18.256394,-96.284037999999995", "🔗 Ver Mapa")</f>
        <v>🔗 Ver Mapa</v>
      </c>
    </row>
    <row r="2608" spans="1:12" ht="43.5" x14ac:dyDescent="0.35">
      <c r="A2608" s="6" t="s">
        <v>98</v>
      </c>
      <c r="B2608" s="6" t="s">
        <v>99</v>
      </c>
      <c r="C2608" s="6" t="s">
        <v>557</v>
      </c>
      <c r="D2608" s="6" t="s">
        <v>14</v>
      </c>
      <c r="E2608" s="6" t="s">
        <v>140</v>
      </c>
      <c r="F2608" s="6" t="s">
        <v>141</v>
      </c>
      <c r="G2608" s="6" t="s">
        <v>258</v>
      </c>
      <c r="H2608" s="6" t="s">
        <v>558</v>
      </c>
      <c r="I2608" s="6" t="s">
        <v>31</v>
      </c>
      <c r="J2608" s="6">
        <v>18.257580999999998</v>
      </c>
      <c r="K2608" s="6">
        <v>-96.282724999999999</v>
      </c>
      <c r="L2608" s="6" t="str">
        <f>HYPERLINK("https://maps.google.com/?q=18.257581,-96.282724999999999", "🔗 Ver Mapa")</f>
        <v>🔗 Ver Mapa</v>
      </c>
    </row>
    <row r="2609" spans="1:12" ht="43.5" x14ac:dyDescent="0.35">
      <c r="A2609" s="5" t="s">
        <v>98</v>
      </c>
      <c r="B2609" s="5" t="s">
        <v>99</v>
      </c>
      <c r="C2609" s="5" t="s">
        <v>559</v>
      </c>
      <c r="D2609" s="5" t="s">
        <v>14</v>
      </c>
      <c r="E2609" s="5" t="s">
        <v>140</v>
      </c>
      <c r="F2609" s="5" t="s">
        <v>141</v>
      </c>
      <c r="G2609" s="5" t="s">
        <v>258</v>
      </c>
      <c r="H2609" s="5" t="s">
        <v>560</v>
      </c>
      <c r="I2609" s="5" t="s">
        <v>31</v>
      </c>
      <c r="J2609" s="5">
        <v>18.228342000000001</v>
      </c>
      <c r="K2609" s="5">
        <v>-96.278585000000007</v>
      </c>
      <c r="L2609" s="5" t="str">
        <f>HYPERLINK("https://maps.google.com/?q=18.228342,-96.278585000000007", "🔗 Ver Mapa")</f>
        <v>🔗 Ver Mapa</v>
      </c>
    </row>
    <row r="2610" spans="1:12" ht="43.5" x14ac:dyDescent="0.35">
      <c r="A2610" s="6" t="s">
        <v>98</v>
      </c>
      <c r="B2610" s="6" t="s">
        <v>99</v>
      </c>
      <c r="C2610" s="6" t="s">
        <v>559</v>
      </c>
      <c r="D2610" s="6" t="s">
        <v>14</v>
      </c>
      <c r="E2610" s="6" t="s">
        <v>140</v>
      </c>
      <c r="F2610" s="6" t="s">
        <v>141</v>
      </c>
      <c r="G2610" s="6" t="s">
        <v>258</v>
      </c>
      <c r="H2610" s="6" t="s">
        <v>560</v>
      </c>
      <c r="I2610" s="6" t="s">
        <v>31</v>
      </c>
      <c r="J2610" s="6">
        <v>18.228724</v>
      </c>
      <c r="K2610" s="6">
        <v>-96.282998000000006</v>
      </c>
      <c r="L2610" s="6" t="str">
        <f>HYPERLINK("https://maps.google.com/?q=18.228724,-96.282998000000006", "🔗 Ver Mapa")</f>
        <v>🔗 Ver Mapa</v>
      </c>
    </row>
    <row r="2611" spans="1:12" ht="43.5" x14ac:dyDescent="0.35">
      <c r="A2611" s="5" t="s">
        <v>98</v>
      </c>
      <c r="B2611" s="5" t="s">
        <v>99</v>
      </c>
      <c r="C2611" s="5" t="s">
        <v>559</v>
      </c>
      <c r="D2611" s="5" t="s">
        <v>14</v>
      </c>
      <c r="E2611" s="5" t="s">
        <v>140</v>
      </c>
      <c r="F2611" s="5" t="s">
        <v>141</v>
      </c>
      <c r="G2611" s="5" t="s">
        <v>258</v>
      </c>
      <c r="H2611" s="5" t="s">
        <v>560</v>
      </c>
      <c r="I2611" s="5" t="s">
        <v>31</v>
      </c>
      <c r="J2611" s="5">
        <v>18.228746999999998</v>
      </c>
      <c r="K2611" s="5">
        <v>-96.280123000000003</v>
      </c>
      <c r="L2611" s="5" t="str">
        <f>HYPERLINK("https://maps.google.com/?q=18.228747,-96.280123000000003", "🔗 Ver Mapa")</f>
        <v>🔗 Ver Mapa</v>
      </c>
    </row>
    <row r="2612" spans="1:12" ht="43.5" x14ac:dyDescent="0.35">
      <c r="A2612" s="6" t="s">
        <v>98</v>
      </c>
      <c r="B2612" s="6" t="s">
        <v>99</v>
      </c>
      <c r="C2612" s="6" t="s">
        <v>559</v>
      </c>
      <c r="D2612" s="6" t="s">
        <v>14</v>
      </c>
      <c r="E2612" s="6" t="s">
        <v>140</v>
      </c>
      <c r="F2612" s="6" t="s">
        <v>141</v>
      </c>
      <c r="G2612" s="6" t="s">
        <v>258</v>
      </c>
      <c r="H2612" s="6" t="s">
        <v>560</v>
      </c>
      <c r="I2612" s="6" t="s">
        <v>31</v>
      </c>
      <c r="J2612" s="6">
        <v>18.228964999999999</v>
      </c>
      <c r="K2612" s="6">
        <v>-96.278872000000007</v>
      </c>
      <c r="L2612" s="6" t="str">
        <f>HYPERLINK("https://maps.google.com/?q=18.228965,-96.278872000000007", "🔗 Ver Mapa")</f>
        <v>🔗 Ver Mapa</v>
      </c>
    </row>
    <row r="2613" spans="1:12" ht="43.5" x14ac:dyDescent="0.35">
      <c r="A2613" s="5" t="s">
        <v>98</v>
      </c>
      <c r="B2613" s="5" t="s">
        <v>99</v>
      </c>
      <c r="C2613" s="5" t="s">
        <v>559</v>
      </c>
      <c r="D2613" s="5" t="s">
        <v>14</v>
      </c>
      <c r="E2613" s="5" t="s">
        <v>140</v>
      </c>
      <c r="F2613" s="5" t="s">
        <v>141</v>
      </c>
      <c r="G2613" s="5" t="s">
        <v>258</v>
      </c>
      <c r="H2613" s="5" t="s">
        <v>560</v>
      </c>
      <c r="I2613" s="5" t="s">
        <v>31</v>
      </c>
      <c r="J2613" s="5">
        <v>18.229223999999999</v>
      </c>
      <c r="K2613" s="5">
        <v>-96.278358999999995</v>
      </c>
      <c r="L2613" s="5" t="str">
        <f>HYPERLINK("https://maps.google.com/?q=18.229224,-96.278358999999995", "🔗 Ver Mapa")</f>
        <v>🔗 Ver Mapa</v>
      </c>
    </row>
    <row r="2614" spans="1:12" ht="43.5" x14ac:dyDescent="0.35">
      <c r="A2614" s="6" t="s">
        <v>98</v>
      </c>
      <c r="B2614" s="6" t="s">
        <v>99</v>
      </c>
      <c r="C2614" s="6" t="s">
        <v>559</v>
      </c>
      <c r="D2614" s="6" t="s">
        <v>14</v>
      </c>
      <c r="E2614" s="6" t="s">
        <v>140</v>
      </c>
      <c r="F2614" s="6" t="s">
        <v>141</v>
      </c>
      <c r="G2614" s="6" t="s">
        <v>258</v>
      </c>
      <c r="H2614" s="6" t="s">
        <v>560</v>
      </c>
      <c r="I2614" s="6" t="s">
        <v>31</v>
      </c>
      <c r="J2614" s="6">
        <v>18.229286999999999</v>
      </c>
      <c r="K2614" s="6">
        <v>-96.279224999999997</v>
      </c>
      <c r="L2614" s="6" t="str">
        <f>HYPERLINK("https://maps.google.com/?q=18.229287,-96.279224999999997", "🔗 Ver Mapa")</f>
        <v>🔗 Ver Mapa</v>
      </c>
    </row>
    <row r="2615" spans="1:12" ht="43.5" x14ac:dyDescent="0.35">
      <c r="A2615" s="5" t="s">
        <v>98</v>
      </c>
      <c r="B2615" s="5" t="s">
        <v>99</v>
      </c>
      <c r="C2615" s="5" t="s">
        <v>559</v>
      </c>
      <c r="D2615" s="5" t="s">
        <v>14</v>
      </c>
      <c r="E2615" s="5" t="s">
        <v>140</v>
      </c>
      <c r="F2615" s="5" t="s">
        <v>141</v>
      </c>
      <c r="G2615" s="5" t="s">
        <v>258</v>
      </c>
      <c r="H2615" s="5" t="s">
        <v>560</v>
      </c>
      <c r="I2615" s="5" t="s">
        <v>31</v>
      </c>
      <c r="J2615" s="5">
        <v>18.229662999999999</v>
      </c>
      <c r="K2615" s="5">
        <v>-96.279358999999999</v>
      </c>
      <c r="L2615" s="5" t="str">
        <f>HYPERLINK("https://maps.google.com/?q=18.229663,-96.279358999999999", "🔗 Ver Mapa")</f>
        <v>🔗 Ver Mapa</v>
      </c>
    </row>
    <row r="2616" spans="1:12" ht="43.5" x14ac:dyDescent="0.35">
      <c r="A2616" s="6" t="s">
        <v>98</v>
      </c>
      <c r="B2616" s="6" t="s">
        <v>99</v>
      </c>
      <c r="C2616" s="6" t="s">
        <v>559</v>
      </c>
      <c r="D2616" s="6" t="s">
        <v>14</v>
      </c>
      <c r="E2616" s="6" t="s">
        <v>140</v>
      </c>
      <c r="F2616" s="6" t="s">
        <v>141</v>
      </c>
      <c r="G2616" s="6" t="s">
        <v>258</v>
      </c>
      <c r="H2616" s="6" t="s">
        <v>560</v>
      </c>
      <c r="I2616" s="6" t="s">
        <v>31</v>
      </c>
      <c r="J2616" s="6">
        <v>18.229863000000002</v>
      </c>
      <c r="K2616" s="6">
        <v>-96.281864999999996</v>
      </c>
      <c r="L2616" s="6" t="str">
        <f>HYPERLINK("https://maps.google.com/?q=18.229863,-96.281864999999996", "🔗 Ver Mapa")</f>
        <v>🔗 Ver Mapa</v>
      </c>
    </row>
    <row r="2617" spans="1:12" ht="43.5" x14ac:dyDescent="0.35">
      <c r="A2617" s="5" t="s">
        <v>98</v>
      </c>
      <c r="B2617" s="5" t="s">
        <v>99</v>
      </c>
      <c r="C2617" s="5" t="s">
        <v>559</v>
      </c>
      <c r="D2617" s="5" t="s">
        <v>14</v>
      </c>
      <c r="E2617" s="5" t="s">
        <v>140</v>
      </c>
      <c r="F2617" s="5" t="s">
        <v>141</v>
      </c>
      <c r="G2617" s="5" t="s">
        <v>258</v>
      </c>
      <c r="H2617" s="5" t="s">
        <v>560</v>
      </c>
      <c r="I2617" s="5" t="s">
        <v>31</v>
      </c>
      <c r="J2617" s="5">
        <v>18.231047</v>
      </c>
      <c r="K2617" s="5">
        <v>-96.277562000000003</v>
      </c>
      <c r="L2617" s="5" t="str">
        <f>HYPERLINK("https://maps.google.com/?q=18.231047,-96.277562000000003", "🔗 Ver Mapa")</f>
        <v>🔗 Ver Mapa</v>
      </c>
    </row>
    <row r="2618" spans="1:12" ht="43.5" x14ac:dyDescent="0.35">
      <c r="A2618" s="6" t="s">
        <v>98</v>
      </c>
      <c r="B2618" s="6" t="s">
        <v>99</v>
      </c>
      <c r="C2618" s="6" t="s">
        <v>559</v>
      </c>
      <c r="D2618" s="6" t="s">
        <v>14</v>
      </c>
      <c r="E2618" s="6" t="s">
        <v>140</v>
      </c>
      <c r="F2618" s="6" t="s">
        <v>141</v>
      </c>
      <c r="G2618" s="6" t="s">
        <v>258</v>
      </c>
      <c r="H2618" s="6" t="s">
        <v>560</v>
      </c>
      <c r="I2618" s="6" t="s">
        <v>31</v>
      </c>
      <c r="J2618" s="6">
        <v>18.232433</v>
      </c>
      <c r="K2618" s="6">
        <v>-96.278993</v>
      </c>
      <c r="L2618" s="6" t="str">
        <f>HYPERLINK("https://maps.google.com/?q=18.232433,-96.278993", "🔗 Ver Mapa")</f>
        <v>🔗 Ver Mapa</v>
      </c>
    </row>
    <row r="2619" spans="1:12" ht="43.5" x14ac:dyDescent="0.35">
      <c r="A2619" s="5" t="s">
        <v>98</v>
      </c>
      <c r="B2619" s="5" t="s">
        <v>99</v>
      </c>
      <c r="C2619" s="5" t="s">
        <v>561</v>
      </c>
      <c r="D2619" s="5" t="s">
        <v>14</v>
      </c>
      <c r="E2619" s="5" t="s">
        <v>140</v>
      </c>
      <c r="F2619" s="5" t="s">
        <v>141</v>
      </c>
      <c r="G2619" s="5" t="s">
        <v>187</v>
      </c>
      <c r="H2619" s="5" t="s">
        <v>188</v>
      </c>
      <c r="I2619" s="5" t="s">
        <v>31</v>
      </c>
      <c r="J2619" s="5">
        <v>18.077767000000001</v>
      </c>
      <c r="K2619" s="5">
        <v>-96.169179</v>
      </c>
      <c r="L2619" s="5" t="str">
        <f>HYPERLINK("https://maps.google.com/?q=18.077767,-96.169179", "🔗 Ver Mapa")</f>
        <v>🔗 Ver Mapa</v>
      </c>
    </row>
    <row r="2620" spans="1:12" ht="43.5" x14ac:dyDescent="0.35">
      <c r="A2620" s="6" t="s">
        <v>98</v>
      </c>
      <c r="B2620" s="6" t="s">
        <v>99</v>
      </c>
      <c r="C2620" s="6" t="s">
        <v>561</v>
      </c>
      <c r="D2620" s="6" t="s">
        <v>14</v>
      </c>
      <c r="E2620" s="6" t="s">
        <v>140</v>
      </c>
      <c r="F2620" s="6" t="s">
        <v>141</v>
      </c>
      <c r="G2620" s="6" t="s">
        <v>187</v>
      </c>
      <c r="H2620" s="6" t="s">
        <v>188</v>
      </c>
      <c r="I2620" s="6" t="s">
        <v>31</v>
      </c>
      <c r="J2620" s="6">
        <v>18.079461999999999</v>
      </c>
      <c r="K2620" s="6">
        <v>-96.168728000000002</v>
      </c>
      <c r="L2620" s="6" t="str">
        <f>HYPERLINK("https://maps.google.com/?q=18.079462,-96.168728000000002", "🔗 Ver Mapa")</f>
        <v>🔗 Ver Mapa</v>
      </c>
    </row>
    <row r="2621" spans="1:12" ht="43.5" x14ac:dyDescent="0.35">
      <c r="A2621" s="5" t="s">
        <v>98</v>
      </c>
      <c r="B2621" s="5" t="s">
        <v>99</v>
      </c>
      <c r="C2621" s="5" t="s">
        <v>561</v>
      </c>
      <c r="D2621" s="5" t="s">
        <v>14</v>
      </c>
      <c r="E2621" s="5" t="s">
        <v>140</v>
      </c>
      <c r="F2621" s="5" t="s">
        <v>141</v>
      </c>
      <c r="G2621" s="5" t="s">
        <v>187</v>
      </c>
      <c r="H2621" s="5" t="s">
        <v>188</v>
      </c>
      <c r="I2621" s="5" t="s">
        <v>31</v>
      </c>
      <c r="J2621" s="5">
        <v>18.079792000000001</v>
      </c>
      <c r="K2621" s="5">
        <v>-96.169201000000001</v>
      </c>
      <c r="L2621" s="5" t="str">
        <f>HYPERLINK("https://maps.google.com/?q=18.079792,-96.169201000000001", "🔗 Ver Mapa")</f>
        <v>🔗 Ver Mapa</v>
      </c>
    </row>
    <row r="2622" spans="1:12" ht="43.5" x14ac:dyDescent="0.35">
      <c r="A2622" s="6" t="s">
        <v>98</v>
      </c>
      <c r="B2622" s="6" t="s">
        <v>99</v>
      </c>
      <c r="C2622" s="6" t="s">
        <v>561</v>
      </c>
      <c r="D2622" s="6" t="s">
        <v>14</v>
      </c>
      <c r="E2622" s="6" t="s">
        <v>140</v>
      </c>
      <c r="F2622" s="6" t="s">
        <v>141</v>
      </c>
      <c r="G2622" s="6" t="s">
        <v>187</v>
      </c>
      <c r="H2622" s="6" t="s">
        <v>188</v>
      </c>
      <c r="I2622" s="6" t="s">
        <v>31</v>
      </c>
      <c r="J2622" s="6">
        <v>18.079792999999999</v>
      </c>
      <c r="K2622" s="6">
        <v>-96.172777999999994</v>
      </c>
      <c r="L2622" s="6" t="str">
        <f>HYPERLINK("https://maps.google.com/?q=18.079793,-96.172777999999994", "🔗 Ver Mapa")</f>
        <v>🔗 Ver Mapa</v>
      </c>
    </row>
    <row r="2623" spans="1:12" ht="43.5" x14ac:dyDescent="0.35">
      <c r="A2623" s="5" t="s">
        <v>98</v>
      </c>
      <c r="B2623" s="5" t="s">
        <v>99</v>
      </c>
      <c r="C2623" s="5" t="s">
        <v>561</v>
      </c>
      <c r="D2623" s="5" t="s">
        <v>14</v>
      </c>
      <c r="E2623" s="5" t="s">
        <v>140</v>
      </c>
      <c r="F2623" s="5" t="s">
        <v>141</v>
      </c>
      <c r="G2623" s="5" t="s">
        <v>187</v>
      </c>
      <c r="H2623" s="5" t="s">
        <v>188</v>
      </c>
      <c r="I2623" s="5" t="s">
        <v>31</v>
      </c>
      <c r="J2623" s="5">
        <v>18.079848999999999</v>
      </c>
      <c r="K2623" s="5">
        <v>-96.168902000000003</v>
      </c>
      <c r="L2623" s="5" t="str">
        <f>HYPERLINK("https://maps.google.com/?q=18.079849,-96.168902000000003", "🔗 Ver Mapa")</f>
        <v>🔗 Ver Mapa</v>
      </c>
    </row>
    <row r="2624" spans="1:12" ht="43.5" x14ac:dyDescent="0.35">
      <c r="A2624" s="6" t="s">
        <v>98</v>
      </c>
      <c r="B2624" s="6" t="s">
        <v>99</v>
      </c>
      <c r="C2624" s="6" t="s">
        <v>561</v>
      </c>
      <c r="D2624" s="6" t="s">
        <v>14</v>
      </c>
      <c r="E2624" s="6" t="s">
        <v>140</v>
      </c>
      <c r="F2624" s="6" t="s">
        <v>141</v>
      </c>
      <c r="G2624" s="6" t="s">
        <v>187</v>
      </c>
      <c r="H2624" s="6" t="s">
        <v>188</v>
      </c>
      <c r="I2624" s="6" t="s">
        <v>31</v>
      </c>
      <c r="J2624" s="6">
        <v>18.079961000000001</v>
      </c>
      <c r="K2624" s="6">
        <v>-96.168188000000001</v>
      </c>
      <c r="L2624" s="6" t="str">
        <f>HYPERLINK("https://maps.google.com/?q=18.079961,-96.168188", "🔗 Ver Mapa")</f>
        <v>🔗 Ver Mapa</v>
      </c>
    </row>
    <row r="2625" spans="1:12" ht="43.5" x14ac:dyDescent="0.35">
      <c r="A2625" s="5" t="s">
        <v>98</v>
      </c>
      <c r="B2625" s="5" t="s">
        <v>99</v>
      </c>
      <c r="C2625" s="5" t="s">
        <v>561</v>
      </c>
      <c r="D2625" s="5" t="s">
        <v>14</v>
      </c>
      <c r="E2625" s="5" t="s">
        <v>140</v>
      </c>
      <c r="F2625" s="5" t="s">
        <v>141</v>
      </c>
      <c r="G2625" s="5" t="s">
        <v>187</v>
      </c>
      <c r="H2625" s="5" t="s">
        <v>188</v>
      </c>
      <c r="I2625" s="5" t="s">
        <v>31</v>
      </c>
      <c r="J2625" s="5">
        <v>18.079986999999999</v>
      </c>
      <c r="K2625" s="5">
        <v>-96.168327000000005</v>
      </c>
      <c r="L2625" s="5" t="str">
        <f>HYPERLINK("https://maps.google.com/?q=18.079987,-96.168327000000005", "🔗 Ver Mapa")</f>
        <v>🔗 Ver Mapa</v>
      </c>
    </row>
    <row r="2626" spans="1:12" ht="43.5" x14ac:dyDescent="0.35">
      <c r="A2626" s="6" t="s">
        <v>98</v>
      </c>
      <c r="B2626" s="6" t="s">
        <v>99</v>
      </c>
      <c r="C2626" s="6" t="s">
        <v>561</v>
      </c>
      <c r="D2626" s="6" t="s">
        <v>14</v>
      </c>
      <c r="E2626" s="6" t="s">
        <v>140</v>
      </c>
      <c r="F2626" s="6" t="s">
        <v>141</v>
      </c>
      <c r="G2626" s="6" t="s">
        <v>187</v>
      </c>
      <c r="H2626" s="6" t="s">
        <v>188</v>
      </c>
      <c r="I2626" s="6" t="s">
        <v>31</v>
      </c>
      <c r="J2626" s="6">
        <v>18.080511999999999</v>
      </c>
      <c r="K2626" s="6">
        <v>-96.164395999999996</v>
      </c>
      <c r="L2626" s="6" t="str">
        <f>HYPERLINK("https://maps.google.com/?q=18.080512,-96.164395999999996", "🔗 Ver Mapa")</f>
        <v>🔗 Ver Mapa</v>
      </c>
    </row>
    <row r="2627" spans="1:12" ht="43.5" x14ac:dyDescent="0.35">
      <c r="A2627" s="5" t="s">
        <v>98</v>
      </c>
      <c r="B2627" s="5" t="s">
        <v>99</v>
      </c>
      <c r="C2627" s="5" t="s">
        <v>561</v>
      </c>
      <c r="D2627" s="5" t="s">
        <v>14</v>
      </c>
      <c r="E2627" s="5" t="s">
        <v>140</v>
      </c>
      <c r="F2627" s="5" t="s">
        <v>141</v>
      </c>
      <c r="G2627" s="5" t="s">
        <v>187</v>
      </c>
      <c r="H2627" s="5" t="s">
        <v>188</v>
      </c>
      <c r="I2627" s="5" t="s">
        <v>31</v>
      </c>
      <c r="J2627" s="5">
        <v>18.080511999999999</v>
      </c>
      <c r="K2627" s="5">
        <v>-96.164688999999996</v>
      </c>
      <c r="L2627" s="5" t="str">
        <f>HYPERLINK("https://maps.google.com/?q=18.080512,-96.164688999999996", "🔗 Ver Mapa")</f>
        <v>🔗 Ver Mapa</v>
      </c>
    </row>
    <row r="2628" spans="1:12" ht="43.5" x14ac:dyDescent="0.35">
      <c r="A2628" s="6" t="s">
        <v>98</v>
      </c>
      <c r="B2628" s="6" t="s">
        <v>99</v>
      </c>
      <c r="C2628" s="6" t="s">
        <v>561</v>
      </c>
      <c r="D2628" s="6" t="s">
        <v>14</v>
      </c>
      <c r="E2628" s="6" t="s">
        <v>140</v>
      </c>
      <c r="F2628" s="6" t="s">
        <v>141</v>
      </c>
      <c r="G2628" s="6" t="s">
        <v>187</v>
      </c>
      <c r="H2628" s="6" t="s">
        <v>188</v>
      </c>
      <c r="I2628" s="6" t="s">
        <v>31</v>
      </c>
      <c r="J2628" s="6">
        <v>18.080943999999999</v>
      </c>
      <c r="K2628" s="6">
        <v>-96.164761999999996</v>
      </c>
      <c r="L2628" s="6" t="str">
        <f>HYPERLINK("https://maps.google.com/?q=18.080944,-96.164761999999996", "🔗 Ver Mapa")</f>
        <v>🔗 Ver Mapa</v>
      </c>
    </row>
    <row r="2629" spans="1:12" ht="43.5" x14ac:dyDescent="0.35">
      <c r="A2629" s="5" t="s">
        <v>98</v>
      </c>
      <c r="B2629" s="5" t="s">
        <v>99</v>
      </c>
      <c r="C2629" s="5" t="s">
        <v>561</v>
      </c>
      <c r="D2629" s="5" t="s">
        <v>14</v>
      </c>
      <c r="E2629" s="5" t="s">
        <v>140</v>
      </c>
      <c r="F2629" s="5" t="s">
        <v>141</v>
      </c>
      <c r="G2629" s="5" t="s">
        <v>187</v>
      </c>
      <c r="H2629" s="5" t="s">
        <v>188</v>
      </c>
      <c r="I2629" s="5" t="s">
        <v>31</v>
      </c>
      <c r="J2629" s="5">
        <v>18.081195000000001</v>
      </c>
      <c r="K2629" s="5">
        <v>-96.164696000000006</v>
      </c>
      <c r="L2629" s="5" t="str">
        <f>HYPERLINK("https://maps.google.com/?q=18.081195,-96.164696000000006", "🔗 Ver Mapa")</f>
        <v>🔗 Ver Mapa</v>
      </c>
    </row>
    <row r="2630" spans="1:12" ht="43.5" x14ac:dyDescent="0.35">
      <c r="A2630" s="6" t="s">
        <v>98</v>
      </c>
      <c r="B2630" s="6" t="s">
        <v>99</v>
      </c>
      <c r="C2630" s="6" t="s">
        <v>561</v>
      </c>
      <c r="D2630" s="6" t="s">
        <v>14</v>
      </c>
      <c r="E2630" s="6" t="s">
        <v>140</v>
      </c>
      <c r="F2630" s="6" t="s">
        <v>141</v>
      </c>
      <c r="G2630" s="6" t="s">
        <v>187</v>
      </c>
      <c r="H2630" s="6" t="s">
        <v>188</v>
      </c>
      <c r="I2630" s="6" t="s">
        <v>31</v>
      </c>
      <c r="J2630" s="6">
        <v>18.081693999999999</v>
      </c>
      <c r="K2630" s="6">
        <v>-96.165852999999998</v>
      </c>
      <c r="L2630" s="6" t="str">
        <f>HYPERLINK("https://maps.google.com/?q=18.081694,-96.165852999999998", "🔗 Ver Mapa")</f>
        <v>🔗 Ver Mapa</v>
      </c>
    </row>
    <row r="2631" spans="1:12" ht="43.5" x14ac:dyDescent="0.35">
      <c r="A2631" s="5" t="s">
        <v>98</v>
      </c>
      <c r="B2631" s="5" t="s">
        <v>99</v>
      </c>
      <c r="C2631" s="5" t="s">
        <v>561</v>
      </c>
      <c r="D2631" s="5" t="s">
        <v>14</v>
      </c>
      <c r="E2631" s="5" t="s">
        <v>140</v>
      </c>
      <c r="F2631" s="5" t="s">
        <v>141</v>
      </c>
      <c r="G2631" s="5" t="s">
        <v>187</v>
      </c>
      <c r="H2631" s="5" t="s">
        <v>188</v>
      </c>
      <c r="I2631" s="5" t="s">
        <v>31</v>
      </c>
      <c r="J2631" s="5">
        <v>18.082535</v>
      </c>
      <c r="K2631" s="5">
        <v>-96.167963999999998</v>
      </c>
      <c r="L2631" s="5" t="str">
        <f>HYPERLINK("https://maps.google.com/?q=18.082535,-96.167963999999998", "🔗 Ver Mapa")</f>
        <v>🔗 Ver Mapa</v>
      </c>
    </row>
    <row r="2632" spans="1:12" ht="43.5" x14ac:dyDescent="0.35">
      <c r="A2632" s="6" t="s">
        <v>98</v>
      </c>
      <c r="B2632" s="6" t="s">
        <v>99</v>
      </c>
      <c r="C2632" s="6" t="s">
        <v>561</v>
      </c>
      <c r="D2632" s="6" t="s">
        <v>14</v>
      </c>
      <c r="E2632" s="6" t="s">
        <v>140</v>
      </c>
      <c r="F2632" s="6" t="s">
        <v>141</v>
      </c>
      <c r="G2632" s="6" t="s">
        <v>187</v>
      </c>
      <c r="H2632" s="6" t="s">
        <v>188</v>
      </c>
      <c r="I2632" s="6" t="s">
        <v>31</v>
      </c>
      <c r="J2632" s="6">
        <v>18.082958000000001</v>
      </c>
      <c r="K2632" s="6">
        <v>-96.164914999999993</v>
      </c>
      <c r="L2632" s="6" t="str">
        <f>HYPERLINK("https://maps.google.com/?q=18.082958,-96.164914999999993", "🔗 Ver Mapa")</f>
        <v>🔗 Ver Mapa</v>
      </c>
    </row>
    <row r="2633" spans="1:12" ht="43.5" x14ac:dyDescent="0.35">
      <c r="A2633" s="5" t="s">
        <v>98</v>
      </c>
      <c r="B2633" s="5" t="s">
        <v>99</v>
      </c>
      <c r="C2633" s="5" t="s">
        <v>561</v>
      </c>
      <c r="D2633" s="5" t="s">
        <v>14</v>
      </c>
      <c r="E2633" s="5" t="s">
        <v>140</v>
      </c>
      <c r="F2633" s="5" t="s">
        <v>141</v>
      </c>
      <c r="G2633" s="5" t="s">
        <v>187</v>
      </c>
      <c r="H2633" s="5" t="s">
        <v>188</v>
      </c>
      <c r="I2633" s="5" t="s">
        <v>31</v>
      </c>
      <c r="J2633" s="5">
        <v>18.083006000000001</v>
      </c>
      <c r="K2633" s="5">
        <v>-96.165087</v>
      </c>
      <c r="L2633" s="5" t="str">
        <f>HYPERLINK("https://maps.google.com/?q=18.083006,-96.165087", "🔗 Ver Mapa")</f>
        <v>🔗 Ver Mapa</v>
      </c>
    </row>
    <row r="2634" spans="1:12" ht="43.5" x14ac:dyDescent="0.35">
      <c r="A2634" s="6" t="s">
        <v>98</v>
      </c>
      <c r="B2634" s="6" t="s">
        <v>99</v>
      </c>
      <c r="C2634" s="6" t="s">
        <v>561</v>
      </c>
      <c r="D2634" s="6" t="s">
        <v>14</v>
      </c>
      <c r="E2634" s="6" t="s">
        <v>140</v>
      </c>
      <c r="F2634" s="6" t="s">
        <v>141</v>
      </c>
      <c r="G2634" s="6" t="s">
        <v>187</v>
      </c>
      <c r="H2634" s="6" t="s">
        <v>188</v>
      </c>
      <c r="I2634" s="6" t="s">
        <v>31</v>
      </c>
      <c r="J2634" s="6">
        <v>18.083143</v>
      </c>
      <c r="K2634" s="6">
        <v>-96.165070999999998</v>
      </c>
      <c r="L2634" s="6" t="str">
        <f>HYPERLINK("https://maps.google.com/?q=18.083143,-96.165070999999998", "🔗 Ver Mapa")</f>
        <v>🔗 Ver Mapa</v>
      </c>
    </row>
    <row r="2635" spans="1:12" ht="43.5" x14ac:dyDescent="0.35">
      <c r="A2635" s="5" t="s">
        <v>98</v>
      </c>
      <c r="B2635" s="5" t="s">
        <v>99</v>
      </c>
      <c r="C2635" s="5" t="s">
        <v>561</v>
      </c>
      <c r="D2635" s="5" t="s">
        <v>14</v>
      </c>
      <c r="E2635" s="5" t="s">
        <v>140</v>
      </c>
      <c r="F2635" s="5" t="s">
        <v>141</v>
      </c>
      <c r="G2635" s="5" t="s">
        <v>187</v>
      </c>
      <c r="H2635" s="5" t="s">
        <v>188</v>
      </c>
      <c r="I2635" s="5" t="s">
        <v>31</v>
      </c>
      <c r="J2635" s="5">
        <v>18.083205</v>
      </c>
      <c r="K2635" s="5">
        <v>-96.164683999999994</v>
      </c>
      <c r="L2635" s="5" t="str">
        <f>HYPERLINK("https://maps.google.com/?q=18.083205,-96.164683999999994", "🔗 Ver Mapa")</f>
        <v>🔗 Ver Mapa</v>
      </c>
    </row>
    <row r="2636" spans="1:12" ht="43.5" x14ac:dyDescent="0.35">
      <c r="A2636" s="6" t="s">
        <v>98</v>
      </c>
      <c r="B2636" s="6" t="s">
        <v>99</v>
      </c>
      <c r="C2636" s="6" t="s">
        <v>561</v>
      </c>
      <c r="D2636" s="6" t="s">
        <v>14</v>
      </c>
      <c r="E2636" s="6" t="s">
        <v>140</v>
      </c>
      <c r="F2636" s="6" t="s">
        <v>141</v>
      </c>
      <c r="G2636" s="6" t="s">
        <v>187</v>
      </c>
      <c r="H2636" s="6" t="s">
        <v>188</v>
      </c>
      <c r="I2636" s="6" t="s">
        <v>31</v>
      </c>
      <c r="J2636" s="6">
        <v>18.083264</v>
      </c>
      <c r="K2636" s="6">
        <v>-96.165047000000001</v>
      </c>
      <c r="L2636" s="6" t="str">
        <f>HYPERLINK("https://maps.google.com/?q=18.083264,-96.165047000000001", "🔗 Ver Mapa")</f>
        <v>🔗 Ver Mapa</v>
      </c>
    </row>
    <row r="2637" spans="1:12" ht="43.5" x14ac:dyDescent="0.35">
      <c r="A2637" s="5" t="s">
        <v>98</v>
      </c>
      <c r="B2637" s="5" t="s">
        <v>99</v>
      </c>
      <c r="C2637" s="5" t="s">
        <v>561</v>
      </c>
      <c r="D2637" s="5" t="s">
        <v>14</v>
      </c>
      <c r="E2637" s="5" t="s">
        <v>140</v>
      </c>
      <c r="F2637" s="5" t="s">
        <v>141</v>
      </c>
      <c r="G2637" s="5" t="s">
        <v>187</v>
      </c>
      <c r="H2637" s="5" t="s">
        <v>188</v>
      </c>
      <c r="I2637" s="5" t="s">
        <v>31</v>
      </c>
      <c r="J2637" s="5">
        <v>18.083452000000001</v>
      </c>
      <c r="K2637" s="5">
        <v>-96.164742000000004</v>
      </c>
      <c r="L2637" s="5" t="str">
        <f>HYPERLINK("https://maps.google.com/?q=18.083452,-96.164742000000004", "🔗 Ver Mapa")</f>
        <v>🔗 Ver Mapa</v>
      </c>
    </row>
    <row r="2638" spans="1:12" ht="43.5" x14ac:dyDescent="0.35">
      <c r="A2638" s="6" t="s">
        <v>98</v>
      </c>
      <c r="B2638" s="6" t="s">
        <v>99</v>
      </c>
      <c r="C2638" s="6" t="s">
        <v>561</v>
      </c>
      <c r="D2638" s="6" t="s">
        <v>14</v>
      </c>
      <c r="E2638" s="6" t="s">
        <v>140</v>
      </c>
      <c r="F2638" s="6" t="s">
        <v>141</v>
      </c>
      <c r="G2638" s="6" t="s">
        <v>187</v>
      </c>
      <c r="H2638" s="6" t="s">
        <v>188</v>
      </c>
      <c r="I2638" s="6" t="s">
        <v>31</v>
      </c>
      <c r="J2638" s="6">
        <v>18.083708000000001</v>
      </c>
      <c r="K2638" s="6">
        <v>-96.164591000000001</v>
      </c>
      <c r="L2638" s="6" t="str">
        <f>HYPERLINK("https://maps.google.com/?q=18.083708,-96.164591000000001", "🔗 Ver Mapa")</f>
        <v>🔗 Ver Mapa</v>
      </c>
    </row>
    <row r="2639" spans="1:12" ht="43.5" x14ac:dyDescent="0.35">
      <c r="A2639" s="5" t="s">
        <v>98</v>
      </c>
      <c r="B2639" s="5" t="s">
        <v>99</v>
      </c>
      <c r="C2639" s="5" t="s">
        <v>561</v>
      </c>
      <c r="D2639" s="5" t="s">
        <v>14</v>
      </c>
      <c r="E2639" s="5" t="s">
        <v>140</v>
      </c>
      <c r="F2639" s="5" t="s">
        <v>141</v>
      </c>
      <c r="G2639" s="5" t="s">
        <v>187</v>
      </c>
      <c r="H2639" s="5" t="s">
        <v>188</v>
      </c>
      <c r="I2639" s="5" t="s">
        <v>31</v>
      </c>
      <c r="J2639" s="5">
        <v>18.084325</v>
      </c>
      <c r="K2639" s="5">
        <v>-96.167562000000004</v>
      </c>
      <c r="L2639" s="5" t="str">
        <f>HYPERLINK("https://maps.google.com/?q=18.084325,-96.167562000000004", "🔗 Ver Mapa")</f>
        <v>🔗 Ver Mapa</v>
      </c>
    </row>
    <row r="2640" spans="1:12" ht="43.5" x14ac:dyDescent="0.35">
      <c r="A2640" s="6" t="s">
        <v>98</v>
      </c>
      <c r="B2640" s="6" t="s">
        <v>99</v>
      </c>
      <c r="C2640" s="6" t="s">
        <v>561</v>
      </c>
      <c r="D2640" s="6" t="s">
        <v>14</v>
      </c>
      <c r="E2640" s="6" t="s">
        <v>140</v>
      </c>
      <c r="F2640" s="6" t="s">
        <v>141</v>
      </c>
      <c r="G2640" s="6" t="s">
        <v>187</v>
      </c>
      <c r="H2640" s="6" t="s">
        <v>188</v>
      </c>
      <c r="I2640" s="6" t="s">
        <v>31</v>
      </c>
      <c r="J2640" s="6">
        <v>18.084461000000001</v>
      </c>
      <c r="K2640" s="6">
        <v>-96.167237</v>
      </c>
      <c r="L2640" s="6" t="str">
        <f>HYPERLINK("https://maps.google.com/?q=18.084461,-96.167237", "🔗 Ver Mapa")</f>
        <v>🔗 Ver Mapa</v>
      </c>
    </row>
    <row r="2641" spans="1:12" ht="43.5" x14ac:dyDescent="0.35">
      <c r="A2641" s="5" t="s">
        <v>98</v>
      </c>
      <c r="B2641" s="5" t="s">
        <v>99</v>
      </c>
      <c r="C2641" s="5" t="s">
        <v>561</v>
      </c>
      <c r="D2641" s="5" t="s">
        <v>14</v>
      </c>
      <c r="E2641" s="5" t="s">
        <v>140</v>
      </c>
      <c r="F2641" s="5" t="s">
        <v>141</v>
      </c>
      <c r="G2641" s="5" t="s">
        <v>187</v>
      </c>
      <c r="H2641" s="5" t="s">
        <v>188</v>
      </c>
      <c r="I2641" s="5" t="s">
        <v>31</v>
      </c>
      <c r="J2641" s="5">
        <v>18.084477</v>
      </c>
      <c r="K2641" s="5">
        <v>-96.167428000000001</v>
      </c>
      <c r="L2641" s="5" t="str">
        <f>HYPERLINK("https://maps.google.com/?q=18.084477,-96.167428000000001", "🔗 Ver Mapa")</f>
        <v>🔗 Ver Mapa</v>
      </c>
    </row>
    <row r="2642" spans="1:12" ht="43.5" x14ac:dyDescent="0.35">
      <c r="A2642" s="6" t="s">
        <v>98</v>
      </c>
      <c r="B2642" s="6" t="s">
        <v>99</v>
      </c>
      <c r="C2642" s="6" t="s">
        <v>561</v>
      </c>
      <c r="D2642" s="6" t="s">
        <v>14</v>
      </c>
      <c r="E2642" s="6" t="s">
        <v>140</v>
      </c>
      <c r="F2642" s="6" t="s">
        <v>141</v>
      </c>
      <c r="G2642" s="6" t="s">
        <v>187</v>
      </c>
      <c r="H2642" s="6" t="s">
        <v>188</v>
      </c>
      <c r="I2642" s="6" t="s">
        <v>31</v>
      </c>
      <c r="J2642" s="6">
        <v>18.084537999999998</v>
      </c>
      <c r="K2642" s="6">
        <v>-96.167866000000004</v>
      </c>
      <c r="L2642" s="6" t="str">
        <f>HYPERLINK("https://maps.google.com/?q=18.084538,-96.167866000000004", "🔗 Ver Mapa")</f>
        <v>🔗 Ver Mapa</v>
      </c>
    </row>
    <row r="2643" spans="1:12" ht="43.5" x14ac:dyDescent="0.35">
      <c r="A2643" s="5" t="s">
        <v>98</v>
      </c>
      <c r="B2643" s="5" t="s">
        <v>99</v>
      </c>
      <c r="C2643" s="5" t="s">
        <v>561</v>
      </c>
      <c r="D2643" s="5" t="s">
        <v>14</v>
      </c>
      <c r="E2643" s="5" t="s">
        <v>140</v>
      </c>
      <c r="F2643" s="5" t="s">
        <v>141</v>
      </c>
      <c r="G2643" s="5" t="s">
        <v>187</v>
      </c>
      <c r="H2643" s="5" t="s">
        <v>188</v>
      </c>
      <c r="I2643" s="5" t="s">
        <v>31</v>
      </c>
      <c r="J2643" s="5">
        <v>18.086984000000001</v>
      </c>
      <c r="K2643" s="5">
        <v>-96.167942999999994</v>
      </c>
      <c r="L2643" s="5" t="str">
        <f>HYPERLINK("https://maps.google.com/?q=18.086984,-96.167942999999994", "🔗 Ver Mapa")</f>
        <v>🔗 Ver Mapa</v>
      </c>
    </row>
    <row r="2644" spans="1:12" ht="43.5" x14ac:dyDescent="0.35">
      <c r="A2644" s="6" t="s">
        <v>98</v>
      </c>
      <c r="B2644" s="6" t="s">
        <v>99</v>
      </c>
      <c r="C2644" s="6" t="s">
        <v>561</v>
      </c>
      <c r="D2644" s="6" t="s">
        <v>14</v>
      </c>
      <c r="E2644" s="6" t="s">
        <v>140</v>
      </c>
      <c r="F2644" s="6" t="s">
        <v>141</v>
      </c>
      <c r="G2644" s="6" t="s">
        <v>187</v>
      </c>
      <c r="H2644" s="6" t="s">
        <v>188</v>
      </c>
      <c r="I2644" s="6" t="s">
        <v>31</v>
      </c>
      <c r="J2644" s="6">
        <v>18.087322</v>
      </c>
      <c r="K2644" s="6">
        <v>-96.161587999999995</v>
      </c>
      <c r="L2644" s="6" t="str">
        <f>HYPERLINK("https://maps.google.com/?q=18.087322,-96.161587999999995", "🔗 Ver Mapa")</f>
        <v>🔗 Ver Mapa</v>
      </c>
    </row>
    <row r="2645" spans="1:12" ht="43.5" x14ac:dyDescent="0.35">
      <c r="A2645" s="5" t="s">
        <v>98</v>
      </c>
      <c r="B2645" s="5" t="s">
        <v>99</v>
      </c>
      <c r="C2645" s="5" t="s">
        <v>561</v>
      </c>
      <c r="D2645" s="5" t="s">
        <v>14</v>
      </c>
      <c r="E2645" s="5" t="s">
        <v>140</v>
      </c>
      <c r="F2645" s="5" t="s">
        <v>141</v>
      </c>
      <c r="G2645" s="5" t="s">
        <v>187</v>
      </c>
      <c r="H2645" s="5" t="s">
        <v>188</v>
      </c>
      <c r="I2645" s="5" t="s">
        <v>31</v>
      </c>
      <c r="J2645" s="5">
        <v>18.087365999999999</v>
      </c>
      <c r="K2645" s="5">
        <v>-96.161809000000005</v>
      </c>
      <c r="L2645" s="5" t="str">
        <f>HYPERLINK("https://maps.google.com/?q=18.087366,-96.161809000000005", "🔗 Ver Mapa")</f>
        <v>🔗 Ver Mapa</v>
      </c>
    </row>
    <row r="2646" spans="1:12" ht="43.5" x14ac:dyDescent="0.35">
      <c r="A2646" s="6" t="s">
        <v>98</v>
      </c>
      <c r="B2646" s="6" t="s">
        <v>99</v>
      </c>
      <c r="C2646" s="6" t="s">
        <v>561</v>
      </c>
      <c r="D2646" s="6" t="s">
        <v>14</v>
      </c>
      <c r="E2646" s="6" t="s">
        <v>140</v>
      </c>
      <c r="F2646" s="6" t="s">
        <v>141</v>
      </c>
      <c r="G2646" s="6" t="s">
        <v>187</v>
      </c>
      <c r="H2646" s="6" t="s">
        <v>188</v>
      </c>
      <c r="I2646" s="6" t="s">
        <v>31</v>
      </c>
      <c r="J2646" s="6">
        <v>18.087785</v>
      </c>
      <c r="K2646" s="6">
        <v>-96.161462</v>
      </c>
      <c r="L2646" s="6" t="str">
        <f>HYPERLINK("https://maps.google.com/?q=18.087785,-96.161462", "🔗 Ver Mapa")</f>
        <v>🔗 Ver Mapa</v>
      </c>
    </row>
    <row r="2647" spans="1:12" ht="43.5" x14ac:dyDescent="0.35">
      <c r="A2647" s="5" t="s">
        <v>98</v>
      </c>
      <c r="B2647" s="5" t="s">
        <v>99</v>
      </c>
      <c r="C2647" s="5" t="s">
        <v>561</v>
      </c>
      <c r="D2647" s="5" t="s">
        <v>14</v>
      </c>
      <c r="E2647" s="5" t="s">
        <v>140</v>
      </c>
      <c r="F2647" s="5" t="s">
        <v>141</v>
      </c>
      <c r="G2647" s="5" t="s">
        <v>187</v>
      </c>
      <c r="H2647" s="5" t="s">
        <v>188</v>
      </c>
      <c r="I2647" s="5" t="s">
        <v>31</v>
      </c>
      <c r="J2647" s="5">
        <v>18.087861</v>
      </c>
      <c r="K2647" s="5">
        <v>-96.161721</v>
      </c>
      <c r="L2647" s="5" t="str">
        <f>HYPERLINK("https://maps.google.com/?q=18.087861,-96.161721", "🔗 Ver Mapa")</f>
        <v>🔗 Ver Mapa</v>
      </c>
    </row>
    <row r="2648" spans="1:12" ht="43.5" x14ac:dyDescent="0.35">
      <c r="A2648" s="6" t="s">
        <v>98</v>
      </c>
      <c r="B2648" s="6" t="s">
        <v>99</v>
      </c>
      <c r="C2648" s="6" t="s">
        <v>561</v>
      </c>
      <c r="D2648" s="6" t="s">
        <v>14</v>
      </c>
      <c r="E2648" s="6" t="s">
        <v>140</v>
      </c>
      <c r="F2648" s="6" t="s">
        <v>141</v>
      </c>
      <c r="G2648" s="6" t="s">
        <v>187</v>
      </c>
      <c r="H2648" s="6" t="s">
        <v>188</v>
      </c>
      <c r="I2648" s="6" t="s">
        <v>31</v>
      </c>
      <c r="J2648" s="6">
        <v>18.087973999999999</v>
      </c>
      <c r="K2648" s="6">
        <v>-96.161788999999999</v>
      </c>
      <c r="L2648" s="6" t="str">
        <f>HYPERLINK("https://maps.google.com/?q=18.087974,-96.161788999999999", "🔗 Ver Mapa")</f>
        <v>🔗 Ver Mapa</v>
      </c>
    </row>
    <row r="2649" spans="1:12" ht="58" x14ac:dyDescent="0.35">
      <c r="A2649" s="5" t="s">
        <v>98</v>
      </c>
      <c r="B2649" s="5" t="s">
        <v>99</v>
      </c>
      <c r="C2649" s="5" t="s">
        <v>562</v>
      </c>
      <c r="D2649" s="5" t="s">
        <v>14</v>
      </c>
      <c r="E2649" s="5" t="s">
        <v>16</v>
      </c>
      <c r="F2649" s="5" t="s">
        <v>19</v>
      </c>
      <c r="G2649" s="5" t="s">
        <v>563</v>
      </c>
      <c r="H2649" s="5" t="s">
        <v>564</v>
      </c>
      <c r="I2649" s="5" t="s">
        <v>31</v>
      </c>
      <c r="J2649" s="5">
        <v>17.620666595187</v>
      </c>
      <c r="K2649" s="5">
        <v>-97.226683936176002</v>
      </c>
      <c r="L2649" s="5" t="str">
        <f>HYPERLINK("https://maps.google.com/?q=17.6206665951866,-97.226683936176101", "🔗 Ver Mapa")</f>
        <v>🔗 Ver Mapa</v>
      </c>
    </row>
    <row r="2650" spans="1:12" ht="58" x14ac:dyDescent="0.35">
      <c r="A2650" s="6" t="s">
        <v>98</v>
      </c>
      <c r="B2650" s="6" t="s">
        <v>99</v>
      </c>
      <c r="C2650" s="6" t="s">
        <v>562</v>
      </c>
      <c r="D2650" s="6" t="s">
        <v>14</v>
      </c>
      <c r="E2650" s="6" t="s">
        <v>16</v>
      </c>
      <c r="F2650" s="6" t="s">
        <v>19</v>
      </c>
      <c r="G2650" s="6" t="s">
        <v>563</v>
      </c>
      <c r="H2650" s="6" t="s">
        <v>564</v>
      </c>
      <c r="I2650" s="6" t="s">
        <v>31</v>
      </c>
      <c r="J2650" s="6">
        <v>17.620834627360001</v>
      </c>
      <c r="K2650" s="6">
        <v>-97.223300519014003</v>
      </c>
      <c r="L2650" s="6" t="str">
        <f>HYPERLINK("https://maps.google.com/?q=17.6208346273602,-97.223300519014003", "🔗 Ver Mapa")</f>
        <v>🔗 Ver Mapa</v>
      </c>
    </row>
    <row r="2651" spans="1:12" ht="58" x14ac:dyDescent="0.35">
      <c r="A2651" s="5" t="s">
        <v>98</v>
      </c>
      <c r="B2651" s="5" t="s">
        <v>99</v>
      </c>
      <c r="C2651" s="5" t="s">
        <v>562</v>
      </c>
      <c r="D2651" s="5" t="s">
        <v>14</v>
      </c>
      <c r="E2651" s="5" t="s">
        <v>16</v>
      </c>
      <c r="F2651" s="5" t="s">
        <v>19</v>
      </c>
      <c r="G2651" s="5" t="s">
        <v>563</v>
      </c>
      <c r="H2651" s="5" t="s">
        <v>564</v>
      </c>
      <c r="I2651" s="5" t="s">
        <v>31</v>
      </c>
      <c r="J2651" s="5">
        <v>17.621292977256001</v>
      </c>
      <c r="K2651" s="5">
        <v>-97.223924793955007</v>
      </c>
      <c r="L2651" s="5" t="str">
        <f>HYPERLINK("https://maps.google.com/?q=17.6212929772557,-97.223924793955106", "🔗 Ver Mapa")</f>
        <v>🔗 Ver Mapa</v>
      </c>
    </row>
    <row r="2652" spans="1:12" ht="58" x14ac:dyDescent="0.35">
      <c r="A2652" s="6" t="s">
        <v>98</v>
      </c>
      <c r="B2652" s="6" t="s">
        <v>99</v>
      </c>
      <c r="C2652" s="6" t="s">
        <v>562</v>
      </c>
      <c r="D2652" s="6" t="s">
        <v>14</v>
      </c>
      <c r="E2652" s="6" t="s">
        <v>16</v>
      </c>
      <c r="F2652" s="6" t="s">
        <v>19</v>
      </c>
      <c r="G2652" s="6" t="s">
        <v>563</v>
      </c>
      <c r="H2652" s="6" t="s">
        <v>564</v>
      </c>
      <c r="I2652" s="6" t="s">
        <v>31</v>
      </c>
      <c r="J2652" s="6">
        <v>17.621599374416999</v>
      </c>
      <c r="K2652" s="6">
        <v>-97.226330884587</v>
      </c>
      <c r="L2652" s="6" t="str">
        <f>HYPERLINK("https://maps.google.com/?q=17.6215993744168,-97.226330884586702", "🔗 Ver Mapa")</f>
        <v>🔗 Ver Mapa</v>
      </c>
    </row>
    <row r="2653" spans="1:12" ht="58" x14ac:dyDescent="0.35">
      <c r="A2653" s="5" t="s">
        <v>98</v>
      </c>
      <c r="B2653" s="5" t="s">
        <v>99</v>
      </c>
      <c r="C2653" s="5" t="s">
        <v>562</v>
      </c>
      <c r="D2653" s="5" t="s">
        <v>14</v>
      </c>
      <c r="E2653" s="5" t="s">
        <v>16</v>
      </c>
      <c r="F2653" s="5" t="s">
        <v>19</v>
      </c>
      <c r="G2653" s="5" t="s">
        <v>563</v>
      </c>
      <c r="H2653" s="5" t="s">
        <v>564</v>
      </c>
      <c r="I2653" s="5" t="s">
        <v>31</v>
      </c>
      <c r="J2653" s="5">
        <v>17.622252650587999</v>
      </c>
      <c r="K2653" s="5">
        <v>-97.232484487101999</v>
      </c>
      <c r="L2653" s="5" t="str">
        <f>HYPERLINK("https://maps.google.com/?q=17.6222526505881,-97.232484487102496", "🔗 Ver Mapa")</f>
        <v>🔗 Ver Mapa</v>
      </c>
    </row>
    <row r="2654" spans="1:12" ht="58" x14ac:dyDescent="0.35">
      <c r="A2654" s="6" t="s">
        <v>98</v>
      </c>
      <c r="B2654" s="6" t="s">
        <v>99</v>
      </c>
      <c r="C2654" s="6" t="s">
        <v>562</v>
      </c>
      <c r="D2654" s="6" t="s">
        <v>14</v>
      </c>
      <c r="E2654" s="6" t="s">
        <v>16</v>
      </c>
      <c r="F2654" s="6" t="s">
        <v>19</v>
      </c>
      <c r="G2654" s="6" t="s">
        <v>563</v>
      </c>
      <c r="H2654" s="6" t="s">
        <v>564</v>
      </c>
      <c r="I2654" s="6" t="s">
        <v>31</v>
      </c>
      <c r="J2654" s="6">
        <v>17.622557253640998</v>
      </c>
      <c r="K2654" s="6">
        <v>-97.230352352403003</v>
      </c>
      <c r="L2654" s="6" t="str">
        <f>HYPERLINK("https://maps.google.com/?q=17.6225572536413,-97.230352352402704", "🔗 Ver Mapa")</f>
        <v>🔗 Ver Mapa</v>
      </c>
    </row>
    <row r="2655" spans="1:12" ht="58" x14ac:dyDescent="0.35">
      <c r="A2655" s="5" t="s">
        <v>98</v>
      </c>
      <c r="B2655" s="5" t="s">
        <v>99</v>
      </c>
      <c r="C2655" s="5" t="s">
        <v>562</v>
      </c>
      <c r="D2655" s="5" t="s">
        <v>14</v>
      </c>
      <c r="E2655" s="5" t="s">
        <v>16</v>
      </c>
      <c r="F2655" s="5" t="s">
        <v>19</v>
      </c>
      <c r="G2655" s="5" t="s">
        <v>563</v>
      </c>
      <c r="H2655" s="5" t="s">
        <v>564</v>
      </c>
      <c r="I2655" s="5" t="s">
        <v>31</v>
      </c>
      <c r="J2655" s="5">
        <v>17.622964692297</v>
      </c>
      <c r="K2655" s="5">
        <v>-97.230189863754006</v>
      </c>
      <c r="L2655" s="5" t="str">
        <f>HYPERLINK("https://maps.google.com/?q=17.6229646922969,-97.230189863754205", "🔗 Ver Mapa")</f>
        <v>🔗 Ver Mapa</v>
      </c>
    </row>
    <row r="2656" spans="1:12" ht="58" x14ac:dyDescent="0.35">
      <c r="A2656" s="6" t="s">
        <v>98</v>
      </c>
      <c r="B2656" s="6" t="s">
        <v>99</v>
      </c>
      <c r="C2656" s="6" t="s">
        <v>562</v>
      </c>
      <c r="D2656" s="6" t="s">
        <v>14</v>
      </c>
      <c r="E2656" s="6" t="s">
        <v>16</v>
      </c>
      <c r="F2656" s="6" t="s">
        <v>19</v>
      </c>
      <c r="G2656" s="6" t="s">
        <v>563</v>
      </c>
      <c r="H2656" s="6" t="s">
        <v>564</v>
      </c>
      <c r="I2656" s="6" t="s">
        <v>31</v>
      </c>
      <c r="J2656" s="6">
        <v>17.623128000000001</v>
      </c>
      <c r="K2656" s="6">
        <v>-97.225809999999996</v>
      </c>
      <c r="L2656" s="6" t="str">
        <f>HYPERLINK("https://maps.google.com/?q=17.623128,-97.225809999999996", "🔗 Ver Mapa")</f>
        <v>🔗 Ver Mapa</v>
      </c>
    </row>
    <row r="2657" spans="1:12" ht="58" x14ac:dyDescent="0.35">
      <c r="A2657" s="5" t="s">
        <v>98</v>
      </c>
      <c r="B2657" s="5" t="s">
        <v>99</v>
      </c>
      <c r="C2657" s="5" t="s">
        <v>562</v>
      </c>
      <c r="D2657" s="5" t="s">
        <v>14</v>
      </c>
      <c r="E2657" s="5" t="s">
        <v>16</v>
      </c>
      <c r="F2657" s="5" t="s">
        <v>19</v>
      </c>
      <c r="G2657" s="5" t="s">
        <v>563</v>
      </c>
      <c r="H2657" s="5" t="s">
        <v>564</v>
      </c>
      <c r="I2657" s="5" t="s">
        <v>31</v>
      </c>
      <c r="J2657" s="5">
        <v>17.623673641069001</v>
      </c>
      <c r="K2657" s="5">
        <v>-97.232874638545994</v>
      </c>
      <c r="L2657" s="5" t="str">
        <f>HYPERLINK("https://maps.google.com/?q=17.6236736410689,-97.232874638546306", "🔗 Ver Mapa")</f>
        <v>🔗 Ver Mapa</v>
      </c>
    </row>
    <row r="2658" spans="1:12" ht="58" x14ac:dyDescent="0.35">
      <c r="A2658" s="6" t="s">
        <v>98</v>
      </c>
      <c r="B2658" s="6" t="s">
        <v>99</v>
      </c>
      <c r="C2658" s="6" t="s">
        <v>562</v>
      </c>
      <c r="D2658" s="6" t="s">
        <v>14</v>
      </c>
      <c r="E2658" s="6" t="s">
        <v>16</v>
      </c>
      <c r="F2658" s="6" t="s">
        <v>19</v>
      </c>
      <c r="G2658" s="6" t="s">
        <v>563</v>
      </c>
      <c r="H2658" s="6" t="s">
        <v>564</v>
      </c>
      <c r="I2658" s="6" t="s">
        <v>31</v>
      </c>
      <c r="J2658" s="6">
        <v>17.625063480076999</v>
      </c>
      <c r="K2658" s="6">
        <v>-97.232099169310999</v>
      </c>
      <c r="L2658" s="6" t="str">
        <f>HYPERLINK("https://maps.google.com/?q=17.6250634800772,-97.232099169311496", "🔗 Ver Mapa")</f>
        <v>🔗 Ver Mapa</v>
      </c>
    </row>
    <row r="2659" spans="1:12" ht="58" x14ac:dyDescent="0.35">
      <c r="A2659" s="5" t="s">
        <v>98</v>
      </c>
      <c r="B2659" s="5" t="s">
        <v>99</v>
      </c>
      <c r="C2659" s="5" t="s">
        <v>562</v>
      </c>
      <c r="D2659" s="5" t="s">
        <v>14</v>
      </c>
      <c r="E2659" s="5" t="s">
        <v>16</v>
      </c>
      <c r="F2659" s="5" t="s">
        <v>19</v>
      </c>
      <c r="G2659" s="5" t="s">
        <v>563</v>
      </c>
      <c r="H2659" s="5" t="s">
        <v>564</v>
      </c>
      <c r="I2659" s="5" t="s">
        <v>31</v>
      </c>
      <c r="J2659" s="5">
        <v>17.625231986338999</v>
      </c>
      <c r="K2659" s="5">
        <v>-97.237292933117999</v>
      </c>
      <c r="L2659" s="5" t="str">
        <f>HYPERLINK("https://maps.google.com/?q=17.6252319863394,-97.2372929331178", "🔗 Ver Mapa")</f>
        <v>🔗 Ver Mapa</v>
      </c>
    </row>
    <row r="2660" spans="1:12" ht="58" x14ac:dyDescent="0.35">
      <c r="A2660" s="6" t="s">
        <v>98</v>
      </c>
      <c r="B2660" s="6" t="s">
        <v>99</v>
      </c>
      <c r="C2660" s="6" t="s">
        <v>562</v>
      </c>
      <c r="D2660" s="6" t="s">
        <v>14</v>
      </c>
      <c r="E2660" s="6" t="s">
        <v>16</v>
      </c>
      <c r="F2660" s="6" t="s">
        <v>19</v>
      </c>
      <c r="G2660" s="6" t="s">
        <v>563</v>
      </c>
      <c r="H2660" s="6" t="s">
        <v>564</v>
      </c>
      <c r="I2660" s="6" t="s">
        <v>31</v>
      </c>
      <c r="J2660" s="6">
        <v>17.625724476889001</v>
      </c>
      <c r="K2660" s="6">
        <v>-97.229944130901998</v>
      </c>
      <c r="L2660" s="6" t="str">
        <f>HYPERLINK("https://maps.google.com/?q=17.6257244768895,-97.229944130902098", "🔗 Ver Mapa")</f>
        <v>🔗 Ver Mapa</v>
      </c>
    </row>
    <row r="2661" spans="1:12" ht="58" x14ac:dyDescent="0.35">
      <c r="A2661" s="5" t="s">
        <v>98</v>
      </c>
      <c r="B2661" s="5" t="s">
        <v>99</v>
      </c>
      <c r="C2661" s="5" t="s">
        <v>562</v>
      </c>
      <c r="D2661" s="5" t="s">
        <v>14</v>
      </c>
      <c r="E2661" s="5" t="s">
        <v>16</v>
      </c>
      <c r="F2661" s="5" t="s">
        <v>19</v>
      </c>
      <c r="G2661" s="5" t="s">
        <v>563</v>
      </c>
      <c r="H2661" s="5" t="s">
        <v>564</v>
      </c>
      <c r="I2661" s="5" t="s">
        <v>31</v>
      </c>
      <c r="J2661" s="5">
        <v>17.626735425092001</v>
      </c>
      <c r="K2661" s="5">
        <v>-97.237689211236997</v>
      </c>
      <c r="L2661" s="5" t="str">
        <f>HYPERLINK("https://maps.google.com/?q=17.6267354250918,-97.237689211237495", "🔗 Ver Mapa")</f>
        <v>🔗 Ver Mapa</v>
      </c>
    </row>
    <row r="2662" spans="1:12" ht="58" x14ac:dyDescent="0.35">
      <c r="A2662" s="6" t="s">
        <v>98</v>
      </c>
      <c r="B2662" s="6" t="s">
        <v>99</v>
      </c>
      <c r="C2662" s="6" t="s">
        <v>562</v>
      </c>
      <c r="D2662" s="6" t="s">
        <v>14</v>
      </c>
      <c r="E2662" s="6" t="s">
        <v>16</v>
      </c>
      <c r="F2662" s="6" t="s">
        <v>19</v>
      </c>
      <c r="G2662" s="6" t="s">
        <v>563</v>
      </c>
      <c r="H2662" s="6" t="s">
        <v>564</v>
      </c>
      <c r="I2662" s="6" t="s">
        <v>31</v>
      </c>
      <c r="J2662" s="6">
        <v>17.628511036519999</v>
      </c>
      <c r="K2662" s="6">
        <v>-97.229750873373007</v>
      </c>
      <c r="L2662" s="6" t="str">
        <f>HYPERLINK("https://maps.google.com/?q=17.6285110365203,-97.229750873372893", "🔗 Ver Mapa")</f>
        <v>🔗 Ver Mapa</v>
      </c>
    </row>
    <row r="2663" spans="1:12" ht="58" x14ac:dyDescent="0.35">
      <c r="A2663" s="5" t="s">
        <v>98</v>
      </c>
      <c r="B2663" s="5" t="s">
        <v>99</v>
      </c>
      <c r="C2663" s="5" t="s">
        <v>562</v>
      </c>
      <c r="D2663" s="5" t="s">
        <v>14</v>
      </c>
      <c r="E2663" s="5" t="s">
        <v>16</v>
      </c>
      <c r="F2663" s="5" t="s">
        <v>19</v>
      </c>
      <c r="G2663" s="5" t="s">
        <v>563</v>
      </c>
      <c r="H2663" s="5" t="s">
        <v>564</v>
      </c>
      <c r="I2663" s="5" t="s">
        <v>31</v>
      </c>
      <c r="J2663" s="5">
        <v>17.628601556966998</v>
      </c>
      <c r="K2663" s="5">
        <v>-97.230332074903998</v>
      </c>
      <c r="L2663" s="5" t="str">
        <f>HYPERLINK("https://maps.google.com/?q=17.6286015569672,-97.2303320749037", "🔗 Ver Mapa")</f>
        <v>🔗 Ver Mapa</v>
      </c>
    </row>
    <row r="2664" spans="1:12" ht="43.5" x14ac:dyDescent="0.35">
      <c r="A2664" s="6" t="s">
        <v>98</v>
      </c>
      <c r="B2664" s="6" t="s">
        <v>99</v>
      </c>
      <c r="C2664" s="6" t="s">
        <v>565</v>
      </c>
      <c r="D2664" s="6" t="s">
        <v>14</v>
      </c>
      <c r="E2664" s="6" t="s">
        <v>16</v>
      </c>
      <c r="F2664" s="6" t="s">
        <v>145</v>
      </c>
      <c r="G2664" s="6" t="s">
        <v>526</v>
      </c>
      <c r="H2664" s="6" t="s">
        <v>527</v>
      </c>
      <c r="I2664" s="6" t="s">
        <v>31</v>
      </c>
      <c r="J2664" s="6">
        <v>17.942193399604001</v>
      </c>
      <c r="K2664" s="6">
        <v>-97.970296422702006</v>
      </c>
      <c r="L2664" s="6" t="str">
        <f>HYPERLINK("https://maps.google.com/?q=17.9421933996045,-97.970296422701793", "🔗 Ver Mapa")</f>
        <v>🔗 Ver Mapa</v>
      </c>
    </row>
    <row r="2665" spans="1:12" ht="43.5" x14ac:dyDescent="0.35">
      <c r="A2665" s="5" t="s">
        <v>98</v>
      </c>
      <c r="B2665" s="5" t="s">
        <v>99</v>
      </c>
      <c r="C2665" s="5" t="s">
        <v>565</v>
      </c>
      <c r="D2665" s="5" t="s">
        <v>14</v>
      </c>
      <c r="E2665" s="5" t="s">
        <v>16</v>
      </c>
      <c r="F2665" s="5" t="s">
        <v>145</v>
      </c>
      <c r="G2665" s="5" t="s">
        <v>526</v>
      </c>
      <c r="H2665" s="5" t="s">
        <v>527</v>
      </c>
      <c r="I2665" s="5" t="s">
        <v>31</v>
      </c>
      <c r="J2665" s="5">
        <v>17.942317071645999</v>
      </c>
      <c r="K2665" s="5">
        <v>-97.972439868717998</v>
      </c>
      <c r="L2665" s="5" t="str">
        <f>HYPERLINK("https://maps.google.com/?q=17.9423170716465,-97.9724398687177", "🔗 Ver Mapa")</f>
        <v>🔗 Ver Mapa</v>
      </c>
    </row>
    <row r="2666" spans="1:12" ht="43.5" x14ac:dyDescent="0.35">
      <c r="A2666" s="6" t="s">
        <v>98</v>
      </c>
      <c r="B2666" s="6" t="s">
        <v>99</v>
      </c>
      <c r="C2666" s="6" t="s">
        <v>565</v>
      </c>
      <c r="D2666" s="6" t="s">
        <v>14</v>
      </c>
      <c r="E2666" s="6" t="s">
        <v>16</v>
      </c>
      <c r="F2666" s="6" t="s">
        <v>145</v>
      </c>
      <c r="G2666" s="6" t="s">
        <v>526</v>
      </c>
      <c r="H2666" s="6" t="s">
        <v>527</v>
      </c>
      <c r="I2666" s="6" t="s">
        <v>31</v>
      </c>
      <c r="J2666" s="6">
        <v>17.943304602146</v>
      </c>
      <c r="K2666" s="6">
        <v>-97.966184957297003</v>
      </c>
      <c r="L2666" s="6" t="str">
        <f>HYPERLINK("https://maps.google.com/?q=17.9433046021458,-97.966184957297401", "🔗 Ver Mapa")</f>
        <v>🔗 Ver Mapa</v>
      </c>
    </row>
    <row r="2667" spans="1:12" ht="43.5" x14ac:dyDescent="0.35">
      <c r="A2667" s="5" t="s">
        <v>98</v>
      </c>
      <c r="B2667" s="5" t="s">
        <v>99</v>
      </c>
      <c r="C2667" s="5" t="s">
        <v>565</v>
      </c>
      <c r="D2667" s="5" t="s">
        <v>14</v>
      </c>
      <c r="E2667" s="5" t="s">
        <v>16</v>
      </c>
      <c r="F2667" s="5" t="s">
        <v>145</v>
      </c>
      <c r="G2667" s="5" t="s">
        <v>526</v>
      </c>
      <c r="H2667" s="5" t="s">
        <v>527</v>
      </c>
      <c r="I2667" s="5" t="s">
        <v>31</v>
      </c>
      <c r="J2667" s="5">
        <v>17.943458741461999</v>
      </c>
      <c r="K2667" s="5">
        <v>-97.964592033995004</v>
      </c>
      <c r="L2667" s="5" t="str">
        <f>HYPERLINK("https://maps.google.com/?q=17.9434587414617,-97.964592033994606", "🔗 Ver Mapa")</f>
        <v>🔗 Ver Mapa</v>
      </c>
    </row>
    <row r="2668" spans="1:12" ht="43.5" x14ac:dyDescent="0.35">
      <c r="A2668" s="6" t="s">
        <v>98</v>
      </c>
      <c r="B2668" s="6" t="s">
        <v>99</v>
      </c>
      <c r="C2668" s="6" t="s">
        <v>565</v>
      </c>
      <c r="D2668" s="6" t="s">
        <v>14</v>
      </c>
      <c r="E2668" s="6" t="s">
        <v>16</v>
      </c>
      <c r="F2668" s="6" t="s">
        <v>145</v>
      </c>
      <c r="G2668" s="6" t="s">
        <v>526</v>
      </c>
      <c r="H2668" s="6" t="s">
        <v>527</v>
      </c>
      <c r="I2668" s="6" t="s">
        <v>31</v>
      </c>
      <c r="J2668" s="6">
        <v>17.946915900552</v>
      </c>
      <c r="K2668" s="6">
        <v>-97.966713525131993</v>
      </c>
      <c r="L2668" s="6" t="str">
        <f>HYPERLINK("https://maps.google.com/?q=17.9469159005516,-97.966713525131595", "🔗 Ver Mapa")</f>
        <v>🔗 Ver Mapa</v>
      </c>
    </row>
    <row r="2669" spans="1:12" ht="43.5" x14ac:dyDescent="0.35">
      <c r="A2669" s="5" t="s">
        <v>98</v>
      </c>
      <c r="B2669" s="5" t="s">
        <v>99</v>
      </c>
      <c r="C2669" s="5" t="s">
        <v>566</v>
      </c>
      <c r="D2669" s="5" t="s">
        <v>14</v>
      </c>
      <c r="E2669" s="5" t="s">
        <v>16</v>
      </c>
      <c r="F2669" s="5" t="s">
        <v>21</v>
      </c>
      <c r="G2669" s="5" t="s">
        <v>235</v>
      </c>
      <c r="H2669" s="5" t="s">
        <v>567</v>
      </c>
      <c r="I2669" s="5" t="s">
        <v>31</v>
      </c>
      <c r="J2669" s="5">
        <v>17.274450000000002</v>
      </c>
      <c r="K2669" s="5">
        <v>-97.692145999999994</v>
      </c>
      <c r="L2669" s="5" t="str">
        <f>HYPERLINK("https://maps.google.com/?q=17.27445,-97.692145999999994", "🔗 Ver Mapa")</f>
        <v>🔗 Ver Mapa</v>
      </c>
    </row>
    <row r="2670" spans="1:12" ht="43.5" x14ac:dyDescent="0.35">
      <c r="A2670" s="6" t="s">
        <v>98</v>
      </c>
      <c r="B2670" s="6" t="s">
        <v>99</v>
      </c>
      <c r="C2670" s="6" t="s">
        <v>566</v>
      </c>
      <c r="D2670" s="6" t="s">
        <v>14</v>
      </c>
      <c r="E2670" s="6" t="s">
        <v>16</v>
      </c>
      <c r="F2670" s="6" t="s">
        <v>21</v>
      </c>
      <c r="G2670" s="6" t="s">
        <v>235</v>
      </c>
      <c r="H2670" s="6" t="s">
        <v>567</v>
      </c>
      <c r="I2670" s="6" t="s">
        <v>31</v>
      </c>
      <c r="J2670" s="6">
        <v>17.275169999999999</v>
      </c>
      <c r="K2670" s="6">
        <v>-97.693155000000004</v>
      </c>
      <c r="L2670" s="6" t="str">
        <f>HYPERLINK("https://maps.google.com/?q=17.27517,-97.693155000000004", "🔗 Ver Mapa")</f>
        <v>🔗 Ver Mapa</v>
      </c>
    </row>
    <row r="2671" spans="1:12" ht="43.5" x14ac:dyDescent="0.35">
      <c r="A2671" s="5" t="s">
        <v>98</v>
      </c>
      <c r="B2671" s="5" t="s">
        <v>99</v>
      </c>
      <c r="C2671" s="5" t="s">
        <v>566</v>
      </c>
      <c r="D2671" s="5" t="s">
        <v>14</v>
      </c>
      <c r="E2671" s="5" t="s">
        <v>16</v>
      </c>
      <c r="F2671" s="5" t="s">
        <v>21</v>
      </c>
      <c r="G2671" s="5" t="s">
        <v>235</v>
      </c>
      <c r="H2671" s="5" t="s">
        <v>567</v>
      </c>
      <c r="I2671" s="5" t="s">
        <v>31</v>
      </c>
      <c r="J2671" s="5">
        <v>17.277263999999999</v>
      </c>
      <c r="K2671" s="5">
        <v>-97.700918999999999</v>
      </c>
      <c r="L2671" s="5" t="str">
        <f>HYPERLINK("https://maps.google.com/?q=17.277264,-97.700918999999999", "🔗 Ver Mapa")</f>
        <v>🔗 Ver Mapa</v>
      </c>
    </row>
    <row r="2672" spans="1:12" ht="43.5" x14ac:dyDescent="0.35">
      <c r="A2672" s="6" t="s">
        <v>98</v>
      </c>
      <c r="B2672" s="6" t="s">
        <v>99</v>
      </c>
      <c r="C2672" s="6" t="s">
        <v>566</v>
      </c>
      <c r="D2672" s="6" t="s">
        <v>14</v>
      </c>
      <c r="E2672" s="6" t="s">
        <v>16</v>
      </c>
      <c r="F2672" s="6" t="s">
        <v>21</v>
      </c>
      <c r="G2672" s="6" t="s">
        <v>235</v>
      </c>
      <c r="H2672" s="6" t="s">
        <v>567</v>
      </c>
      <c r="I2672" s="6" t="s">
        <v>31</v>
      </c>
      <c r="J2672" s="6">
        <v>17.2778548</v>
      </c>
      <c r="K2672" s="6">
        <v>-97.693425500000004</v>
      </c>
      <c r="L2672" s="6" t="str">
        <f>HYPERLINK("https://maps.google.com/?q=17.2778548,-97.693425500000004", "🔗 Ver Mapa")</f>
        <v>🔗 Ver Mapa</v>
      </c>
    </row>
    <row r="2673" spans="1:12" ht="43.5" x14ac:dyDescent="0.35">
      <c r="A2673" s="5" t="s">
        <v>98</v>
      </c>
      <c r="B2673" s="5" t="s">
        <v>99</v>
      </c>
      <c r="C2673" s="5" t="s">
        <v>566</v>
      </c>
      <c r="D2673" s="5" t="s">
        <v>14</v>
      </c>
      <c r="E2673" s="5" t="s">
        <v>16</v>
      </c>
      <c r="F2673" s="5" t="s">
        <v>21</v>
      </c>
      <c r="G2673" s="5" t="s">
        <v>235</v>
      </c>
      <c r="H2673" s="5" t="s">
        <v>567</v>
      </c>
      <c r="I2673" s="5" t="s">
        <v>31</v>
      </c>
      <c r="J2673" s="5">
        <v>17.278175000000001</v>
      </c>
      <c r="K2673" s="5">
        <v>-97.694277</v>
      </c>
      <c r="L2673" s="5" t="str">
        <f>HYPERLINK("https://maps.google.com/?q=17.278175,-97.694277", "🔗 Ver Mapa")</f>
        <v>🔗 Ver Mapa</v>
      </c>
    </row>
    <row r="2674" spans="1:12" ht="43.5" x14ac:dyDescent="0.35">
      <c r="A2674" s="6" t="s">
        <v>98</v>
      </c>
      <c r="B2674" s="6" t="s">
        <v>99</v>
      </c>
      <c r="C2674" s="6" t="s">
        <v>566</v>
      </c>
      <c r="D2674" s="6" t="s">
        <v>14</v>
      </c>
      <c r="E2674" s="6" t="s">
        <v>16</v>
      </c>
      <c r="F2674" s="6" t="s">
        <v>21</v>
      </c>
      <c r="G2674" s="6" t="s">
        <v>235</v>
      </c>
      <c r="H2674" s="6" t="s">
        <v>567</v>
      </c>
      <c r="I2674" s="6" t="s">
        <v>31</v>
      </c>
      <c r="J2674" s="6">
        <v>17.278521999999999</v>
      </c>
      <c r="K2674" s="6">
        <v>-97.699421000000001</v>
      </c>
      <c r="L2674" s="6" t="str">
        <f>HYPERLINK("https://maps.google.com/?q=17.278522,-97.699421000000001", "🔗 Ver Mapa")</f>
        <v>🔗 Ver Mapa</v>
      </c>
    </row>
    <row r="2675" spans="1:12" ht="43.5" x14ac:dyDescent="0.35">
      <c r="A2675" s="5" t="s">
        <v>98</v>
      </c>
      <c r="B2675" s="5" t="s">
        <v>99</v>
      </c>
      <c r="C2675" s="5" t="s">
        <v>566</v>
      </c>
      <c r="D2675" s="5" t="s">
        <v>14</v>
      </c>
      <c r="E2675" s="5" t="s">
        <v>16</v>
      </c>
      <c r="F2675" s="5" t="s">
        <v>21</v>
      </c>
      <c r="G2675" s="5" t="s">
        <v>235</v>
      </c>
      <c r="H2675" s="5" t="s">
        <v>567</v>
      </c>
      <c r="I2675" s="5" t="s">
        <v>31</v>
      </c>
      <c r="J2675" s="5">
        <v>17.2791596</v>
      </c>
      <c r="K2675" s="5">
        <v>-97.700417400000006</v>
      </c>
      <c r="L2675" s="5" t="str">
        <f>HYPERLINK("https://maps.google.com/?q=17.2791596,-97.700417400000006", "🔗 Ver Mapa")</f>
        <v>🔗 Ver Mapa</v>
      </c>
    </row>
    <row r="2676" spans="1:12" ht="43.5" x14ac:dyDescent="0.35">
      <c r="A2676" s="6" t="s">
        <v>98</v>
      </c>
      <c r="B2676" s="6" t="s">
        <v>99</v>
      </c>
      <c r="C2676" s="6" t="s">
        <v>566</v>
      </c>
      <c r="D2676" s="6" t="s">
        <v>14</v>
      </c>
      <c r="E2676" s="6" t="s">
        <v>16</v>
      </c>
      <c r="F2676" s="6" t="s">
        <v>21</v>
      </c>
      <c r="G2676" s="6" t="s">
        <v>235</v>
      </c>
      <c r="H2676" s="6" t="s">
        <v>567</v>
      </c>
      <c r="I2676" s="6" t="s">
        <v>31</v>
      </c>
      <c r="J2676" s="6">
        <v>17.279537000000001</v>
      </c>
      <c r="K2676" s="6">
        <v>-97.699064000000007</v>
      </c>
      <c r="L2676" s="6" t="str">
        <f>HYPERLINK("https://maps.google.com/?q=17.279537,-97.699064000000007", "🔗 Ver Mapa")</f>
        <v>🔗 Ver Mapa</v>
      </c>
    </row>
    <row r="2677" spans="1:12" ht="43.5" x14ac:dyDescent="0.35">
      <c r="A2677" s="5" t="s">
        <v>98</v>
      </c>
      <c r="B2677" s="5" t="s">
        <v>99</v>
      </c>
      <c r="C2677" s="5" t="s">
        <v>566</v>
      </c>
      <c r="D2677" s="5" t="s">
        <v>14</v>
      </c>
      <c r="E2677" s="5" t="s">
        <v>16</v>
      </c>
      <c r="F2677" s="5" t="s">
        <v>21</v>
      </c>
      <c r="G2677" s="5" t="s">
        <v>235</v>
      </c>
      <c r="H2677" s="5" t="s">
        <v>567</v>
      </c>
      <c r="I2677" s="5" t="s">
        <v>31</v>
      </c>
      <c r="J2677" s="5">
        <v>17.280562</v>
      </c>
      <c r="K2677" s="5">
        <v>-97.701374999999999</v>
      </c>
      <c r="L2677" s="5" t="str">
        <f>HYPERLINK("https://maps.google.com/?q=17.280562,-97.701374999999999", "🔗 Ver Mapa")</f>
        <v>🔗 Ver Mapa</v>
      </c>
    </row>
    <row r="2678" spans="1:12" ht="43.5" x14ac:dyDescent="0.35">
      <c r="A2678" s="6" t="s">
        <v>98</v>
      </c>
      <c r="B2678" s="6" t="s">
        <v>99</v>
      </c>
      <c r="C2678" s="6" t="s">
        <v>566</v>
      </c>
      <c r="D2678" s="6" t="s">
        <v>14</v>
      </c>
      <c r="E2678" s="6" t="s">
        <v>16</v>
      </c>
      <c r="F2678" s="6" t="s">
        <v>21</v>
      </c>
      <c r="G2678" s="6" t="s">
        <v>235</v>
      </c>
      <c r="H2678" s="6" t="s">
        <v>567</v>
      </c>
      <c r="I2678" s="6" t="s">
        <v>31</v>
      </c>
      <c r="J2678" s="6">
        <v>17.280624</v>
      </c>
      <c r="K2678" s="6">
        <v>-97.701707999999996</v>
      </c>
      <c r="L2678" s="6" t="str">
        <f>HYPERLINK("https://maps.google.com/?q=17.280624,-97.701707999999996", "🔗 Ver Mapa")</f>
        <v>🔗 Ver Mapa</v>
      </c>
    </row>
    <row r="2679" spans="1:12" ht="43.5" x14ac:dyDescent="0.35">
      <c r="A2679" s="5" t="s">
        <v>98</v>
      </c>
      <c r="B2679" s="5" t="s">
        <v>99</v>
      </c>
      <c r="C2679" s="5" t="s">
        <v>568</v>
      </c>
      <c r="D2679" s="5" t="s">
        <v>14</v>
      </c>
      <c r="E2679" s="5" t="s">
        <v>140</v>
      </c>
      <c r="F2679" s="5" t="s">
        <v>141</v>
      </c>
      <c r="G2679" s="5" t="s">
        <v>261</v>
      </c>
      <c r="H2679" s="5" t="s">
        <v>569</v>
      </c>
      <c r="I2679" s="5" t="s">
        <v>31</v>
      </c>
      <c r="J2679" s="5">
        <v>17.937296</v>
      </c>
      <c r="K2679" s="5">
        <v>-96.101286000000002</v>
      </c>
      <c r="L2679" s="5" t="str">
        <f>HYPERLINK("https://maps.google.com/?q=17.937296,-96.101286000000002", "🔗 Ver Mapa")</f>
        <v>🔗 Ver Mapa</v>
      </c>
    </row>
    <row r="2680" spans="1:12" ht="43.5" x14ac:dyDescent="0.35">
      <c r="A2680" s="6" t="s">
        <v>98</v>
      </c>
      <c r="B2680" s="6" t="s">
        <v>99</v>
      </c>
      <c r="C2680" s="6" t="s">
        <v>568</v>
      </c>
      <c r="D2680" s="6" t="s">
        <v>14</v>
      </c>
      <c r="E2680" s="6" t="s">
        <v>140</v>
      </c>
      <c r="F2680" s="6" t="s">
        <v>141</v>
      </c>
      <c r="G2680" s="6" t="s">
        <v>261</v>
      </c>
      <c r="H2680" s="6" t="s">
        <v>569</v>
      </c>
      <c r="I2680" s="6" t="s">
        <v>31</v>
      </c>
      <c r="J2680" s="6">
        <v>17.939025999999998</v>
      </c>
      <c r="K2680" s="6">
        <v>-96.101477000000003</v>
      </c>
      <c r="L2680" s="6" t="str">
        <f>HYPERLINK("https://maps.google.com/?q=17.939026,-96.101477000000003", "🔗 Ver Mapa")</f>
        <v>🔗 Ver Mapa</v>
      </c>
    </row>
    <row r="2681" spans="1:12" ht="43.5" x14ac:dyDescent="0.35">
      <c r="A2681" s="5" t="s">
        <v>98</v>
      </c>
      <c r="B2681" s="5" t="s">
        <v>99</v>
      </c>
      <c r="C2681" s="5" t="s">
        <v>568</v>
      </c>
      <c r="D2681" s="5" t="s">
        <v>14</v>
      </c>
      <c r="E2681" s="5" t="s">
        <v>140</v>
      </c>
      <c r="F2681" s="5" t="s">
        <v>141</v>
      </c>
      <c r="G2681" s="5" t="s">
        <v>261</v>
      </c>
      <c r="H2681" s="5" t="s">
        <v>569</v>
      </c>
      <c r="I2681" s="5" t="s">
        <v>31</v>
      </c>
      <c r="J2681" s="5">
        <v>17.939964</v>
      </c>
      <c r="K2681" s="5">
        <v>-96.102266999999998</v>
      </c>
      <c r="L2681" s="5" t="str">
        <f>HYPERLINK("https://maps.google.com/?q=17.939964,-96.102266999999998", "🔗 Ver Mapa")</f>
        <v>🔗 Ver Mapa</v>
      </c>
    </row>
    <row r="2682" spans="1:12" ht="43.5" x14ac:dyDescent="0.35">
      <c r="A2682" s="6" t="s">
        <v>98</v>
      </c>
      <c r="B2682" s="6" t="s">
        <v>99</v>
      </c>
      <c r="C2682" s="6" t="s">
        <v>568</v>
      </c>
      <c r="D2682" s="6" t="s">
        <v>14</v>
      </c>
      <c r="E2682" s="6" t="s">
        <v>140</v>
      </c>
      <c r="F2682" s="6" t="s">
        <v>141</v>
      </c>
      <c r="G2682" s="6" t="s">
        <v>261</v>
      </c>
      <c r="H2682" s="6" t="s">
        <v>569</v>
      </c>
      <c r="I2682" s="6" t="s">
        <v>31</v>
      </c>
      <c r="J2682" s="6">
        <v>17.940152000000001</v>
      </c>
      <c r="K2682" s="6">
        <v>-96.101771999999997</v>
      </c>
      <c r="L2682" s="6" t="str">
        <f>HYPERLINK("https://maps.google.com/?q=17.940152,-96.101771999999997", "🔗 Ver Mapa")</f>
        <v>🔗 Ver Mapa</v>
      </c>
    </row>
    <row r="2683" spans="1:12" ht="43.5" x14ac:dyDescent="0.35">
      <c r="A2683" s="5" t="s">
        <v>98</v>
      </c>
      <c r="B2683" s="5" t="s">
        <v>99</v>
      </c>
      <c r="C2683" s="5" t="s">
        <v>568</v>
      </c>
      <c r="D2683" s="5" t="s">
        <v>14</v>
      </c>
      <c r="E2683" s="5" t="s">
        <v>140</v>
      </c>
      <c r="F2683" s="5" t="s">
        <v>141</v>
      </c>
      <c r="G2683" s="5" t="s">
        <v>261</v>
      </c>
      <c r="H2683" s="5" t="s">
        <v>569</v>
      </c>
      <c r="I2683" s="5" t="s">
        <v>31</v>
      </c>
      <c r="J2683" s="5">
        <v>17.940331</v>
      </c>
      <c r="K2683" s="5">
        <v>-96.102423999999999</v>
      </c>
      <c r="L2683" s="5" t="str">
        <f>HYPERLINK("https://maps.google.com/?q=17.940331,-96.102423999999999", "🔗 Ver Mapa")</f>
        <v>🔗 Ver Mapa</v>
      </c>
    </row>
    <row r="2684" spans="1:12" ht="43.5" x14ac:dyDescent="0.35">
      <c r="A2684" s="6" t="s">
        <v>98</v>
      </c>
      <c r="B2684" s="6" t="s">
        <v>99</v>
      </c>
      <c r="C2684" s="6" t="s">
        <v>568</v>
      </c>
      <c r="D2684" s="6" t="s">
        <v>14</v>
      </c>
      <c r="E2684" s="6" t="s">
        <v>140</v>
      </c>
      <c r="F2684" s="6" t="s">
        <v>141</v>
      </c>
      <c r="G2684" s="6" t="s">
        <v>261</v>
      </c>
      <c r="H2684" s="6" t="s">
        <v>569</v>
      </c>
      <c r="I2684" s="6" t="s">
        <v>31</v>
      </c>
      <c r="J2684" s="6">
        <v>17.940902000000001</v>
      </c>
      <c r="K2684" s="6">
        <v>-96.102322000000001</v>
      </c>
      <c r="L2684" s="6" t="str">
        <f>HYPERLINK("https://maps.google.com/?q=17.940902,-96.102322000000001", "🔗 Ver Mapa")</f>
        <v>🔗 Ver Mapa</v>
      </c>
    </row>
    <row r="2685" spans="1:12" ht="43.5" x14ac:dyDescent="0.35">
      <c r="A2685" s="5" t="s">
        <v>98</v>
      </c>
      <c r="B2685" s="5" t="s">
        <v>99</v>
      </c>
      <c r="C2685" s="5" t="s">
        <v>568</v>
      </c>
      <c r="D2685" s="5" t="s">
        <v>14</v>
      </c>
      <c r="E2685" s="5" t="s">
        <v>140</v>
      </c>
      <c r="F2685" s="5" t="s">
        <v>141</v>
      </c>
      <c r="G2685" s="5" t="s">
        <v>261</v>
      </c>
      <c r="H2685" s="5" t="s">
        <v>569</v>
      </c>
      <c r="I2685" s="5" t="s">
        <v>31</v>
      </c>
      <c r="J2685" s="5">
        <v>17.941296000000001</v>
      </c>
      <c r="K2685" s="5">
        <v>-96.102165999999997</v>
      </c>
      <c r="L2685" s="5" t="str">
        <f>HYPERLINK("https://maps.google.com/?q=17.941296,-96.102165999999997", "🔗 Ver Mapa")</f>
        <v>🔗 Ver Mapa</v>
      </c>
    </row>
    <row r="2686" spans="1:12" ht="43.5" x14ac:dyDescent="0.35">
      <c r="A2686" s="6" t="s">
        <v>98</v>
      </c>
      <c r="B2686" s="6" t="s">
        <v>99</v>
      </c>
      <c r="C2686" s="6" t="s">
        <v>568</v>
      </c>
      <c r="D2686" s="6" t="s">
        <v>14</v>
      </c>
      <c r="E2686" s="6" t="s">
        <v>140</v>
      </c>
      <c r="F2686" s="6" t="s">
        <v>141</v>
      </c>
      <c r="G2686" s="6" t="s">
        <v>261</v>
      </c>
      <c r="H2686" s="6" t="s">
        <v>569</v>
      </c>
      <c r="I2686" s="6" t="s">
        <v>31</v>
      </c>
      <c r="J2686" s="6">
        <v>17.941396999999998</v>
      </c>
      <c r="K2686" s="6">
        <v>-96.101062999999996</v>
      </c>
      <c r="L2686" s="6" t="str">
        <f>HYPERLINK("https://maps.google.com/?q=17.941397,-96.101062999999996", "🔗 Ver Mapa")</f>
        <v>🔗 Ver Mapa</v>
      </c>
    </row>
    <row r="2687" spans="1:12" ht="43.5" x14ac:dyDescent="0.35">
      <c r="A2687" s="5" t="s">
        <v>98</v>
      </c>
      <c r="B2687" s="5" t="s">
        <v>99</v>
      </c>
      <c r="C2687" s="5" t="s">
        <v>568</v>
      </c>
      <c r="D2687" s="5" t="s">
        <v>14</v>
      </c>
      <c r="E2687" s="5" t="s">
        <v>140</v>
      </c>
      <c r="F2687" s="5" t="s">
        <v>141</v>
      </c>
      <c r="G2687" s="5" t="s">
        <v>261</v>
      </c>
      <c r="H2687" s="5" t="s">
        <v>569</v>
      </c>
      <c r="I2687" s="5" t="s">
        <v>31</v>
      </c>
      <c r="J2687" s="5">
        <v>17.941524000000001</v>
      </c>
      <c r="K2687" s="5">
        <v>-96.102502000000001</v>
      </c>
      <c r="L2687" s="5" t="str">
        <f>HYPERLINK("https://maps.google.com/?q=17.941524,-96.102502000000001", "🔗 Ver Mapa")</f>
        <v>🔗 Ver Mapa</v>
      </c>
    </row>
    <row r="2688" spans="1:12" ht="43.5" x14ac:dyDescent="0.35">
      <c r="A2688" s="6" t="s">
        <v>98</v>
      </c>
      <c r="B2688" s="6" t="s">
        <v>99</v>
      </c>
      <c r="C2688" s="6" t="s">
        <v>568</v>
      </c>
      <c r="D2688" s="6" t="s">
        <v>14</v>
      </c>
      <c r="E2688" s="6" t="s">
        <v>140</v>
      </c>
      <c r="F2688" s="6" t="s">
        <v>141</v>
      </c>
      <c r="G2688" s="6" t="s">
        <v>261</v>
      </c>
      <c r="H2688" s="6" t="s">
        <v>569</v>
      </c>
      <c r="I2688" s="6" t="s">
        <v>31</v>
      </c>
      <c r="J2688" s="6">
        <v>17.941731999999998</v>
      </c>
      <c r="K2688" s="6">
        <v>-96.101618999999999</v>
      </c>
      <c r="L2688" s="6" t="str">
        <f>HYPERLINK("https://maps.google.com/?q=17.941732,-96.101618999999999", "🔗 Ver Mapa")</f>
        <v>🔗 Ver Mapa</v>
      </c>
    </row>
    <row r="2689" spans="1:12" ht="43.5" x14ac:dyDescent="0.35">
      <c r="A2689" s="5" t="s">
        <v>98</v>
      </c>
      <c r="B2689" s="5" t="s">
        <v>99</v>
      </c>
      <c r="C2689" s="5" t="s">
        <v>568</v>
      </c>
      <c r="D2689" s="5" t="s">
        <v>14</v>
      </c>
      <c r="E2689" s="5" t="s">
        <v>140</v>
      </c>
      <c r="F2689" s="5" t="s">
        <v>141</v>
      </c>
      <c r="G2689" s="5" t="s">
        <v>261</v>
      </c>
      <c r="H2689" s="5" t="s">
        <v>569</v>
      </c>
      <c r="I2689" s="5" t="s">
        <v>31</v>
      </c>
      <c r="J2689" s="5">
        <v>17.942997999999999</v>
      </c>
      <c r="K2689" s="5">
        <v>-96.101062999999996</v>
      </c>
      <c r="L2689" s="5" t="str">
        <f>HYPERLINK("https://maps.google.com/?q=17.942998,-96.101062999999996", "🔗 Ver Mapa")</f>
        <v>🔗 Ver Mapa</v>
      </c>
    </row>
    <row r="2690" spans="1:12" ht="43.5" x14ac:dyDescent="0.35">
      <c r="A2690" s="6" t="s">
        <v>98</v>
      </c>
      <c r="B2690" s="6" t="s">
        <v>99</v>
      </c>
      <c r="C2690" s="6" t="s">
        <v>570</v>
      </c>
      <c r="D2690" s="6" t="s">
        <v>14</v>
      </c>
      <c r="E2690" s="6" t="s">
        <v>39</v>
      </c>
      <c r="F2690" s="6" t="s">
        <v>494</v>
      </c>
      <c r="G2690" s="6" t="s">
        <v>571</v>
      </c>
      <c r="H2690" s="6" t="s">
        <v>572</v>
      </c>
      <c r="I2690" s="6" t="s">
        <v>31</v>
      </c>
      <c r="J2690" s="6">
        <v>16.564443524645998</v>
      </c>
      <c r="K2690" s="6">
        <v>-97.009928215463006</v>
      </c>
      <c r="L2690" s="6" t="str">
        <f>HYPERLINK("https://maps.google.com/?q=16.5644435246458,-97.009928215463006", "🔗 Ver Mapa")</f>
        <v>🔗 Ver Mapa</v>
      </c>
    </row>
    <row r="2691" spans="1:12" ht="43.5" x14ac:dyDescent="0.35">
      <c r="A2691" s="5" t="s">
        <v>98</v>
      </c>
      <c r="B2691" s="5" t="s">
        <v>99</v>
      </c>
      <c r="C2691" s="5" t="s">
        <v>570</v>
      </c>
      <c r="D2691" s="5" t="s">
        <v>14</v>
      </c>
      <c r="E2691" s="5" t="s">
        <v>39</v>
      </c>
      <c r="F2691" s="5" t="s">
        <v>494</v>
      </c>
      <c r="G2691" s="5" t="s">
        <v>571</v>
      </c>
      <c r="H2691" s="5" t="s">
        <v>572</v>
      </c>
      <c r="I2691" s="5" t="s">
        <v>31</v>
      </c>
      <c r="J2691" s="5">
        <v>16.566618709309999</v>
      </c>
      <c r="K2691" s="5">
        <v>-97.014837883431994</v>
      </c>
      <c r="L2691" s="5" t="str">
        <f>HYPERLINK("https://maps.google.com/?q=16.566618709309747,-97.01483788343239", "🔗 Ver Mapa")</f>
        <v>🔗 Ver Mapa</v>
      </c>
    </row>
    <row r="2692" spans="1:12" ht="43.5" x14ac:dyDescent="0.35">
      <c r="A2692" s="6" t="s">
        <v>98</v>
      </c>
      <c r="B2692" s="6" t="s">
        <v>99</v>
      </c>
      <c r="C2692" s="6" t="s">
        <v>570</v>
      </c>
      <c r="D2692" s="6" t="s">
        <v>14</v>
      </c>
      <c r="E2692" s="6" t="s">
        <v>39</v>
      </c>
      <c r="F2692" s="6" t="s">
        <v>494</v>
      </c>
      <c r="G2692" s="6" t="s">
        <v>571</v>
      </c>
      <c r="H2692" s="6" t="s">
        <v>572</v>
      </c>
      <c r="I2692" s="6" t="s">
        <v>31</v>
      </c>
      <c r="J2692" s="6">
        <v>16.566770009283001</v>
      </c>
      <c r="K2692" s="6">
        <v>-97.010904425716006</v>
      </c>
      <c r="L2692" s="6" t="str">
        <f>HYPERLINK("https://maps.google.com/?q=16.5667700092825,-97.010904425715694", "🔗 Ver Mapa")</f>
        <v>🔗 Ver Mapa</v>
      </c>
    </row>
    <row r="2693" spans="1:12" ht="43.5" x14ac:dyDescent="0.35">
      <c r="A2693" s="5" t="s">
        <v>98</v>
      </c>
      <c r="B2693" s="5" t="s">
        <v>99</v>
      </c>
      <c r="C2693" s="5" t="s">
        <v>570</v>
      </c>
      <c r="D2693" s="5" t="s">
        <v>14</v>
      </c>
      <c r="E2693" s="5" t="s">
        <v>39</v>
      </c>
      <c r="F2693" s="5" t="s">
        <v>494</v>
      </c>
      <c r="G2693" s="5" t="s">
        <v>571</v>
      </c>
      <c r="H2693" s="5" t="s">
        <v>572</v>
      </c>
      <c r="I2693" s="5" t="s">
        <v>31</v>
      </c>
      <c r="J2693" s="5">
        <v>16.567299473742999</v>
      </c>
      <c r="K2693" s="5">
        <v>-97.011101728835996</v>
      </c>
      <c r="L2693" s="5" t="str">
        <f>HYPERLINK("https://maps.google.com/?q=16.567299473743,-97.011101728836096", "🔗 Ver Mapa")</f>
        <v>🔗 Ver Mapa</v>
      </c>
    </row>
    <row r="2694" spans="1:12" ht="43.5" x14ac:dyDescent="0.35">
      <c r="A2694" s="6" t="s">
        <v>98</v>
      </c>
      <c r="B2694" s="6" t="s">
        <v>99</v>
      </c>
      <c r="C2694" s="6" t="s">
        <v>570</v>
      </c>
      <c r="D2694" s="6" t="s">
        <v>14</v>
      </c>
      <c r="E2694" s="6" t="s">
        <v>39</v>
      </c>
      <c r="F2694" s="6" t="s">
        <v>494</v>
      </c>
      <c r="G2694" s="6" t="s">
        <v>571</v>
      </c>
      <c r="H2694" s="6" t="s">
        <v>572</v>
      </c>
      <c r="I2694" s="6" t="s">
        <v>31</v>
      </c>
      <c r="J2694" s="6">
        <v>16.567626551356</v>
      </c>
      <c r="K2694" s="6">
        <v>-97.011204636670001</v>
      </c>
      <c r="L2694" s="6" t="str">
        <f>HYPERLINK("https://maps.google.com/?q=16.5676265513559,-97.0112046366702", "🔗 Ver Mapa")</f>
        <v>🔗 Ver Mapa</v>
      </c>
    </row>
    <row r="2695" spans="1:12" ht="43.5" x14ac:dyDescent="0.35">
      <c r="A2695" s="5" t="s">
        <v>98</v>
      </c>
      <c r="B2695" s="5" t="s">
        <v>99</v>
      </c>
      <c r="C2695" s="5" t="s">
        <v>570</v>
      </c>
      <c r="D2695" s="5" t="s">
        <v>14</v>
      </c>
      <c r="E2695" s="5" t="s">
        <v>39</v>
      </c>
      <c r="F2695" s="5" t="s">
        <v>494</v>
      </c>
      <c r="G2695" s="5" t="s">
        <v>571</v>
      </c>
      <c r="H2695" s="5" t="s">
        <v>572</v>
      </c>
      <c r="I2695" s="5" t="s">
        <v>31</v>
      </c>
      <c r="J2695" s="5">
        <v>16.568453493078</v>
      </c>
      <c r="K2695" s="5">
        <v>-97.009413309512993</v>
      </c>
      <c r="L2695" s="5" t="str">
        <f>HYPERLINK("https://maps.google.com/?q=16.5684534930777,-97.009413309512794", "🔗 Ver Mapa")</f>
        <v>🔗 Ver Mapa</v>
      </c>
    </row>
    <row r="2696" spans="1:12" ht="43.5" x14ac:dyDescent="0.35">
      <c r="A2696" s="6" t="s">
        <v>98</v>
      </c>
      <c r="B2696" s="6" t="s">
        <v>99</v>
      </c>
      <c r="C2696" s="6" t="s">
        <v>570</v>
      </c>
      <c r="D2696" s="6" t="s">
        <v>14</v>
      </c>
      <c r="E2696" s="6" t="s">
        <v>39</v>
      </c>
      <c r="F2696" s="6" t="s">
        <v>494</v>
      </c>
      <c r="G2696" s="6" t="s">
        <v>571</v>
      </c>
      <c r="H2696" s="6" t="s">
        <v>572</v>
      </c>
      <c r="I2696" s="6" t="s">
        <v>31</v>
      </c>
      <c r="J2696" s="6">
        <v>16.568731275647998</v>
      </c>
      <c r="K2696" s="6">
        <v>-97.011872763805997</v>
      </c>
      <c r="L2696" s="6" t="str">
        <f>HYPERLINK("https://maps.google.com/?q=16.5687312756482,-97.011872763806295", "🔗 Ver Mapa")</f>
        <v>🔗 Ver Mapa</v>
      </c>
    </row>
    <row r="2697" spans="1:12" ht="43.5" x14ac:dyDescent="0.35">
      <c r="A2697" s="5" t="s">
        <v>98</v>
      </c>
      <c r="B2697" s="5" t="s">
        <v>99</v>
      </c>
      <c r="C2697" s="5" t="s">
        <v>570</v>
      </c>
      <c r="D2697" s="5" t="s">
        <v>14</v>
      </c>
      <c r="E2697" s="5" t="s">
        <v>39</v>
      </c>
      <c r="F2697" s="5" t="s">
        <v>494</v>
      </c>
      <c r="G2697" s="5" t="s">
        <v>571</v>
      </c>
      <c r="H2697" s="5" t="s">
        <v>572</v>
      </c>
      <c r="I2697" s="5" t="s">
        <v>31</v>
      </c>
      <c r="J2697" s="5">
        <v>16.570061047418999</v>
      </c>
      <c r="K2697" s="5">
        <v>-97.013602046627</v>
      </c>
      <c r="L2697" s="5" t="str">
        <f>HYPERLINK("https://maps.google.com/?q=16.5700610474187,-97.013602046627", "🔗 Ver Mapa")</f>
        <v>🔗 Ver Mapa</v>
      </c>
    </row>
    <row r="2698" spans="1:12" ht="43.5" x14ac:dyDescent="0.35">
      <c r="A2698" s="6" t="s">
        <v>98</v>
      </c>
      <c r="B2698" s="6" t="s">
        <v>99</v>
      </c>
      <c r="C2698" s="6" t="s">
        <v>570</v>
      </c>
      <c r="D2698" s="6" t="s">
        <v>14</v>
      </c>
      <c r="E2698" s="6" t="s">
        <v>39</v>
      </c>
      <c r="F2698" s="6" t="s">
        <v>494</v>
      </c>
      <c r="G2698" s="6" t="s">
        <v>571</v>
      </c>
      <c r="H2698" s="6" t="s">
        <v>572</v>
      </c>
      <c r="I2698" s="6" t="s">
        <v>31</v>
      </c>
      <c r="J2698" s="6">
        <v>16.570392909241999</v>
      </c>
      <c r="K2698" s="6">
        <v>-97.013670518430999</v>
      </c>
      <c r="L2698" s="6" t="str">
        <f>HYPERLINK("https://maps.google.com/?q=16.5703929092415,-97.013670518431397", "🔗 Ver Mapa")</f>
        <v>🔗 Ver Mapa</v>
      </c>
    </row>
    <row r="2699" spans="1:12" ht="43.5" x14ac:dyDescent="0.35">
      <c r="A2699" s="5" t="s">
        <v>98</v>
      </c>
      <c r="B2699" s="5" t="s">
        <v>99</v>
      </c>
      <c r="C2699" s="5" t="s">
        <v>570</v>
      </c>
      <c r="D2699" s="5" t="s">
        <v>14</v>
      </c>
      <c r="E2699" s="5" t="s">
        <v>39</v>
      </c>
      <c r="F2699" s="5" t="s">
        <v>494</v>
      </c>
      <c r="G2699" s="5" t="s">
        <v>571</v>
      </c>
      <c r="H2699" s="5" t="s">
        <v>572</v>
      </c>
      <c r="I2699" s="5" t="s">
        <v>31</v>
      </c>
      <c r="J2699" s="5">
        <v>16.571079227070001</v>
      </c>
      <c r="K2699" s="5">
        <v>-97.013607687013007</v>
      </c>
      <c r="L2699" s="5" t="str">
        <f>HYPERLINK("https://maps.google.com/?q=16.57107922707,-97.013607687012794", "🔗 Ver Mapa")</f>
        <v>🔗 Ver Mapa</v>
      </c>
    </row>
    <row r="2700" spans="1:12" ht="43.5" x14ac:dyDescent="0.35">
      <c r="A2700" s="6" t="s">
        <v>98</v>
      </c>
      <c r="B2700" s="6" t="s">
        <v>99</v>
      </c>
      <c r="C2700" s="6" t="s">
        <v>573</v>
      </c>
      <c r="D2700" s="6" t="s">
        <v>14</v>
      </c>
      <c r="E2700" s="6" t="s">
        <v>17</v>
      </c>
      <c r="F2700" s="6" t="s">
        <v>20</v>
      </c>
      <c r="G2700" s="6" t="s">
        <v>436</v>
      </c>
      <c r="H2700" s="6" t="s">
        <v>574</v>
      </c>
      <c r="I2700" s="6" t="s">
        <v>31</v>
      </c>
      <c r="J2700" s="6">
        <v>15.93726286279</v>
      </c>
      <c r="K2700" s="6">
        <v>-96.469817233639006</v>
      </c>
      <c r="L2700" s="6" t="str">
        <f>HYPERLINK("https://maps.google.com/?q=15.9372628627898,-96.469817233639205", "🔗 Ver Mapa")</f>
        <v>🔗 Ver Mapa</v>
      </c>
    </row>
    <row r="2701" spans="1:12" ht="43.5" x14ac:dyDescent="0.35">
      <c r="A2701" s="5" t="s">
        <v>98</v>
      </c>
      <c r="B2701" s="5" t="s">
        <v>99</v>
      </c>
      <c r="C2701" s="5" t="s">
        <v>575</v>
      </c>
      <c r="D2701" s="5" t="s">
        <v>14</v>
      </c>
      <c r="E2701" s="5" t="s">
        <v>17</v>
      </c>
      <c r="F2701" s="5" t="s">
        <v>20</v>
      </c>
      <c r="G2701" s="5" t="s">
        <v>436</v>
      </c>
      <c r="H2701" s="5" t="s">
        <v>576</v>
      </c>
      <c r="I2701" s="5" t="s">
        <v>31</v>
      </c>
      <c r="J2701" s="5">
        <v>15.944296436646001</v>
      </c>
      <c r="K2701" s="5">
        <v>-96.402832282831994</v>
      </c>
      <c r="L2701" s="5" t="str">
        <f>HYPERLINK("https://maps.google.com/?q=15.9442964366458,-96.402832282832307", "🔗 Ver Mapa")</f>
        <v>🔗 Ver Mapa</v>
      </c>
    </row>
    <row r="2702" spans="1:12" ht="43.5" x14ac:dyDescent="0.35">
      <c r="A2702" s="6" t="s">
        <v>98</v>
      </c>
      <c r="B2702" s="6" t="s">
        <v>99</v>
      </c>
      <c r="C2702" s="6" t="s">
        <v>577</v>
      </c>
      <c r="D2702" s="6" t="s">
        <v>14</v>
      </c>
      <c r="E2702" s="6" t="s">
        <v>17</v>
      </c>
      <c r="F2702" s="6" t="s">
        <v>20</v>
      </c>
      <c r="G2702" s="6" t="s">
        <v>436</v>
      </c>
      <c r="H2702" s="6" t="s">
        <v>578</v>
      </c>
      <c r="I2702" s="6" t="s">
        <v>31</v>
      </c>
      <c r="J2702" s="6">
        <v>15.895484</v>
      </c>
      <c r="K2702" s="6" t="s">
        <v>579</v>
      </c>
      <c r="L2702" s="6" t="str">
        <f>HYPERLINK("https://maps.google.com/?q=15.895484, -96.415162", "🔗 Ver Mapa")</f>
        <v>🔗 Ver Mapa</v>
      </c>
    </row>
    <row r="2703" spans="1:12" ht="43.5" x14ac:dyDescent="0.35">
      <c r="A2703" s="5" t="s">
        <v>98</v>
      </c>
      <c r="B2703" s="5" t="s">
        <v>99</v>
      </c>
      <c r="C2703" s="5" t="s">
        <v>580</v>
      </c>
      <c r="D2703" s="5" t="s">
        <v>14</v>
      </c>
      <c r="E2703" s="5" t="s">
        <v>17</v>
      </c>
      <c r="F2703" s="5" t="s">
        <v>20</v>
      </c>
      <c r="G2703" s="5" t="s">
        <v>436</v>
      </c>
      <c r="H2703" s="5" t="s">
        <v>581</v>
      </c>
      <c r="I2703" s="5" t="s">
        <v>31</v>
      </c>
      <c r="J2703" s="5">
        <v>15.883693827906001</v>
      </c>
      <c r="K2703" s="5">
        <v>-96.404505921047004</v>
      </c>
      <c r="L2703" s="5" t="str">
        <f>HYPERLINK("https://maps.google.com/?q=15.883693827906,-96.404505921047004", "🔗 Ver Mapa")</f>
        <v>🔗 Ver Mapa</v>
      </c>
    </row>
    <row r="2704" spans="1:12" ht="43.5" x14ac:dyDescent="0.35">
      <c r="A2704" s="6" t="s">
        <v>98</v>
      </c>
      <c r="B2704" s="6" t="s">
        <v>99</v>
      </c>
      <c r="C2704" s="6" t="s">
        <v>582</v>
      </c>
      <c r="D2704" s="6" t="s">
        <v>14</v>
      </c>
      <c r="E2704" s="6" t="s">
        <v>17</v>
      </c>
      <c r="F2704" s="6" t="s">
        <v>20</v>
      </c>
      <c r="G2704" s="6" t="s">
        <v>436</v>
      </c>
      <c r="H2704" s="6" t="s">
        <v>583</v>
      </c>
      <c r="I2704" s="6" t="s">
        <v>31</v>
      </c>
      <c r="J2704" s="6">
        <v>15.928233428614</v>
      </c>
      <c r="K2704" s="6">
        <v>-96.423053218033999</v>
      </c>
      <c r="L2704" s="6" t="str">
        <f>HYPERLINK("https://maps.google.com/?q=15.9282334286141,-96.423053218033999", "🔗 Ver Mapa")</f>
        <v>🔗 Ver Mapa</v>
      </c>
    </row>
    <row r="2705" spans="1:12" ht="43.5" x14ac:dyDescent="0.35">
      <c r="A2705" s="5" t="s">
        <v>98</v>
      </c>
      <c r="B2705" s="5" t="s">
        <v>99</v>
      </c>
      <c r="C2705" s="5" t="s">
        <v>582</v>
      </c>
      <c r="D2705" s="5" t="s">
        <v>14</v>
      </c>
      <c r="E2705" s="5" t="s">
        <v>17</v>
      </c>
      <c r="F2705" s="5" t="s">
        <v>20</v>
      </c>
      <c r="G2705" s="5" t="s">
        <v>436</v>
      </c>
      <c r="H2705" s="5" t="s">
        <v>583</v>
      </c>
      <c r="I2705" s="5" t="s">
        <v>31</v>
      </c>
      <c r="J2705" s="5">
        <v>15.928235363036</v>
      </c>
      <c r="K2705" s="5">
        <v>-96.422990856674005</v>
      </c>
      <c r="L2705" s="5" t="str">
        <f>HYPERLINK("https://maps.google.com/?q=15.9282353630357,-96.422990856674403", "🔗 Ver Mapa")</f>
        <v>🔗 Ver Mapa</v>
      </c>
    </row>
    <row r="2706" spans="1:12" ht="43.5" x14ac:dyDescent="0.35">
      <c r="A2706" s="6" t="s">
        <v>98</v>
      </c>
      <c r="B2706" s="6" t="s">
        <v>99</v>
      </c>
      <c r="C2706" s="6" t="s">
        <v>584</v>
      </c>
      <c r="D2706" s="6" t="s">
        <v>14</v>
      </c>
      <c r="E2706" s="6" t="s">
        <v>17</v>
      </c>
      <c r="F2706" s="6" t="s">
        <v>20</v>
      </c>
      <c r="G2706" s="6" t="s">
        <v>436</v>
      </c>
      <c r="H2706" s="6" t="s">
        <v>585</v>
      </c>
      <c r="I2706" s="6" t="s">
        <v>31</v>
      </c>
      <c r="J2706" s="6">
        <v>15.913975000000001</v>
      </c>
      <c r="K2706" s="6">
        <v>-96.419849999999997</v>
      </c>
      <c r="L2706" s="6" t="str">
        <f>HYPERLINK("https://maps.google.com/?q=15.913975,-96.419849999999997", "🔗 Ver Mapa")</f>
        <v>🔗 Ver Mapa</v>
      </c>
    </row>
    <row r="2707" spans="1:12" ht="43.5" x14ac:dyDescent="0.35">
      <c r="A2707" s="5" t="s">
        <v>98</v>
      </c>
      <c r="B2707" s="5" t="s">
        <v>99</v>
      </c>
      <c r="C2707" s="5" t="s">
        <v>584</v>
      </c>
      <c r="D2707" s="5" t="s">
        <v>14</v>
      </c>
      <c r="E2707" s="5" t="s">
        <v>17</v>
      </c>
      <c r="F2707" s="5" t="s">
        <v>20</v>
      </c>
      <c r="G2707" s="5" t="s">
        <v>436</v>
      </c>
      <c r="H2707" s="5" t="s">
        <v>585</v>
      </c>
      <c r="I2707" s="5" t="s">
        <v>31</v>
      </c>
      <c r="J2707" s="5">
        <v>15.914210000000001</v>
      </c>
      <c r="K2707" s="5">
        <v>-96.420213000000004</v>
      </c>
      <c r="L2707" s="5" t="str">
        <f>HYPERLINK("https://maps.google.com/?q=15.91421,-96.420213000000004", "🔗 Ver Mapa")</f>
        <v>🔗 Ver Mapa</v>
      </c>
    </row>
    <row r="2708" spans="1:12" ht="43.5" x14ac:dyDescent="0.35">
      <c r="A2708" s="6" t="s">
        <v>98</v>
      </c>
      <c r="B2708" s="6" t="s">
        <v>99</v>
      </c>
      <c r="C2708" s="6" t="s">
        <v>584</v>
      </c>
      <c r="D2708" s="6" t="s">
        <v>14</v>
      </c>
      <c r="E2708" s="6" t="s">
        <v>17</v>
      </c>
      <c r="F2708" s="6" t="s">
        <v>20</v>
      </c>
      <c r="G2708" s="6" t="s">
        <v>436</v>
      </c>
      <c r="H2708" s="6" t="s">
        <v>585</v>
      </c>
      <c r="I2708" s="6" t="s">
        <v>31</v>
      </c>
      <c r="J2708" s="6">
        <v>15.914706000000001</v>
      </c>
      <c r="K2708" s="6">
        <v>-96.419169999999994</v>
      </c>
      <c r="L2708" s="6" t="str">
        <f>HYPERLINK("https://maps.google.com/?q=15.914706,-96.419169999999994", "🔗 Ver Mapa")</f>
        <v>🔗 Ver Mapa</v>
      </c>
    </row>
    <row r="2709" spans="1:12" ht="43.5" x14ac:dyDescent="0.35">
      <c r="A2709" s="5" t="s">
        <v>98</v>
      </c>
      <c r="B2709" s="5" t="s">
        <v>99</v>
      </c>
      <c r="C2709" s="5" t="s">
        <v>586</v>
      </c>
      <c r="D2709" s="5" t="s">
        <v>14</v>
      </c>
      <c r="E2709" s="5" t="s">
        <v>17</v>
      </c>
      <c r="F2709" s="5" t="s">
        <v>20</v>
      </c>
      <c r="G2709" s="5" t="s">
        <v>436</v>
      </c>
      <c r="H2709" s="5" t="s">
        <v>587</v>
      </c>
      <c r="I2709" s="5" t="s">
        <v>31</v>
      </c>
      <c r="J2709" s="5">
        <v>15.885953884398001</v>
      </c>
      <c r="K2709" s="5">
        <v>-96.404408921037998</v>
      </c>
      <c r="L2709" s="5" t="str">
        <f>HYPERLINK("https://maps.google.com/?q=15.8859538843982,-96.404408921037998", "🔗 Ver Mapa")</f>
        <v>🔗 Ver Mapa</v>
      </c>
    </row>
    <row r="2710" spans="1:12" ht="43.5" x14ac:dyDescent="0.35">
      <c r="A2710" s="6" t="s">
        <v>98</v>
      </c>
      <c r="B2710" s="6" t="s">
        <v>99</v>
      </c>
      <c r="C2710" s="6" t="s">
        <v>586</v>
      </c>
      <c r="D2710" s="6" t="s">
        <v>14</v>
      </c>
      <c r="E2710" s="6" t="s">
        <v>17</v>
      </c>
      <c r="F2710" s="6" t="s">
        <v>20</v>
      </c>
      <c r="G2710" s="6" t="s">
        <v>436</v>
      </c>
      <c r="H2710" s="6" t="s">
        <v>587</v>
      </c>
      <c r="I2710" s="6" t="s">
        <v>31</v>
      </c>
      <c r="J2710" s="6">
        <v>15.886761999999999</v>
      </c>
      <c r="K2710" s="6">
        <v>-96.406193000000002</v>
      </c>
      <c r="L2710" s="6" t="str">
        <f>HYPERLINK("https://maps.google.com/?q=15.886762,-96.406193000000002", "🔗 Ver Mapa")</f>
        <v>🔗 Ver Mapa</v>
      </c>
    </row>
    <row r="2711" spans="1:12" ht="43.5" x14ac:dyDescent="0.35">
      <c r="A2711" s="5" t="s">
        <v>98</v>
      </c>
      <c r="B2711" s="5" t="s">
        <v>99</v>
      </c>
      <c r="C2711" s="5" t="s">
        <v>586</v>
      </c>
      <c r="D2711" s="5" t="s">
        <v>14</v>
      </c>
      <c r="E2711" s="5" t="s">
        <v>17</v>
      </c>
      <c r="F2711" s="5" t="s">
        <v>20</v>
      </c>
      <c r="G2711" s="5" t="s">
        <v>436</v>
      </c>
      <c r="H2711" s="5" t="s">
        <v>587</v>
      </c>
      <c r="I2711" s="5" t="s">
        <v>31</v>
      </c>
      <c r="J2711" s="5">
        <v>15.891862995086999</v>
      </c>
      <c r="K2711" s="5">
        <v>-96.416400240306999</v>
      </c>
      <c r="L2711" s="5" t="str">
        <f>HYPERLINK("https://maps.google.com/?q=15.8918629950865,-96.416400240307198", "🔗 Ver Mapa")</f>
        <v>🔗 Ver Mapa</v>
      </c>
    </row>
    <row r="2712" spans="1:12" ht="43.5" x14ac:dyDescent="0.35">
      <c r="A2712" s="6" t="s">
        <v>98</v>
      </c>
      <c r="B2712" s="6" t="s">
        <v>99</v>
      </c>
      <c r="C2712" s="6" t="s">
        <v>588</v>
      </c>
      <c r="D2712" s="6" t="s">
        <v>14</v>
      </c>
      <c r="E2712" s="6" t="s">
        <v>17</v>
      </c>
      <c r="F2712" s="6" t="s">
        <v>20</v>
      </c>
      <c r="G2712" s="6" t="s">
        <v>436</v>
      </c>
      <c r="H2712" s="6" t="s">
        <v>589</v>
      </c>
      <c r="I2712" s="6" t="s">
        <v>31</v>
      </c>
      <c r="J2712" s="6">
        <v>15.907556</v>
      </c>
      <c r="K2712" s="6">
        <v>-96.423917000000003</v>
      </c>
      <c r="L2712" s="6" t="str">
        <f>HYPERLINK("https://maps.google.com/?q=15.907556,-96.423917000000003", "🔗 Ver Mapa")</f>
        <v>🔗 Ver Mapa</v>
      </c>
    </row>
    <row r="2713" spans="1:12" ht="43.5" x14ac:dyDescent="0.35">
      <c r="A2713" s="5" t="s">
        <v>98</v>
      </c>
      <c r="B2713" s="5" t="s">
        <v>99</v>
      </c>
      <c r="C2713" s="5" t="s">
        <v>588</v>
      </c>
      <c r="D2713" s="5" t="s">
        <v>14</v>
      </c>
      <c r="E2713" s="5" t="s">
        <v>17</v>
      </c>
      <c r="F2713" s="5" t="s">
        <v>20</v>
      </c>
      <c r="G2713" s="5" t="s">
        <v>436</v>
      </c>
      <c r="H2713" s="5" t="s">
        <v>589</v>
      </c>
      <c r="I2713" s="5" t="s">
        <v>31</v>
      </c>
      <c r="J2713" s="5">
        <v>15.907941698644001</v>
      </c>
      <c r="K2713" s="5" t="s">
        <v>590</v>
      </c>
      <c r="L2713" s="5" t="str">
        <f>HYPERLINK("https://maps.google.com/?q=15.907941698644, -96.424830", "🔗 Ver Mapa")</f>
        <v>🔗 Ver Mapa</v>
      </c>
    </row>
    <row r="2714" spans="1:12" ht="43.5" x14ac:dyDescent="0.35">
      <c r="A2714" s="6" t="s">
        <v>98</v>
      </c>
      <c r="B2714" s="6" t="s">
        <v>99</v>
      </c>
      <c r="C2714" s="6" t="s">
        <v>588</v>
      </c>
      <c r="D2714" s="6" t="s">
        <v>14</v>
      </c>
      <c r="E2714" s="6" t="s">
        <v>17</v>
      </c>
      <c r="F2714" s="6" t="s">
        <v>20</v>
      </c>
      <c r="G2714" s="6" t="s">
        <v>436</v>
      </c>
      <c r="H2714" s="6" t="s">
        <v>589</v>
      </c>
      <c r="I2714" s="6" t="s">
        <v>31</v>
      </c>
      <c r="J2714" s="6">
        <v>15.908238048895999</v>
      </c>
      <c r="K2714" s="6">
        <v>-96.423044832963001</v>
      </c>
      <c r="L2714" s="6" t="str">
        <f>HYPERLINK("https://maps.google.com/?q=15.9082380488964,-96.423044832963001", "🔗 Ver Mapa")</f>
        <v>🔗 Ver Mapa</v>
      </c>
    </row>
    <row r="2715" spans="1:12" ht="43.5" x14ac:dyDescent="0.35">
      <c r="A2715" s="5" t="s">
        <v>98</v>
      </c>
      <c r="B2715" s="5" t="s">
        <v>99</v>
      </c>
      <c r="C2715" s="5" t="s">
        <v>591</v>
      </c>
      <c r="D2715" s="5" t="s">
        <v>14</v>
      </c>
      <c r="E2715" s="5" t="s">
        <v>17</v>
      </c>
      <c r="F2715" s="5" t="s">
        <v>20</v>
      </c>
      <c r="G2715" s="5" t="s">
        <v>436</v>
      </c>
      <c r="H2715" s="5" t="s">
        <v>592</v>
      </c>
      <c r="I2715" s="5" t="s">
        <v>31</v>
      </c>
      <c r="J2715" s="5">
        <v>15.935452685948</v>
      </c>
      <c r="K2715" s="5">
        <v>-96.412653379133005</v>
      </c>
      <c r="L2715" s="5" t="str">
        <f>HYPERLINK("https://maps.google.com/?q=15.9354526859478,-96.412653379133303", "🔗 Ver Mapa")</f>
        <v>🔗 Ver Mapa</v>
      </c>
    </row>
    <row r="2716" spans="1:12" ht="43.5" x14ac:dyDescent="0.35">
      <c r="A2716" s="6" t="s">
        <v>98</v>
      </c>
      <c r="B2716" s="6" t="s">
        <v>99</v>
      </c>
      <c r="C2716" s="6" t="s">
        <v>591</v>
      </c>
      <c r="D2716" s="6" t="s">
        <v>14</v>
      </c>
      <c r="E2716" s="6" t="s">
        <v>17</v>
      </c>
      <c r="F2716" s="6" t="s">
        <v>20</v>
      </c>
      <c r="G2716" s="6" t="s">
        <v>436</v>
      </c>
      <c r="H2716" s="6" t="s">
        <v>592</v>
      </c>
      <c r="I2716" s="6" t="s">
        <v>31</v>
      </c>
      <c r="J2716" s="6">
        <v>15.935705597470999</v>
      </c>
      <c r="K2716" s="6">
        <v>-96.411592111605003</v>
      </c>
      <c r="L2716" s="6" t="str">
        <f>HYPERLINK("https://maps.google.com/?q=15.9357055974714,-96.411592111604804", "🔗 Ver Mapa")</f>
        <v>🔗 Ver Mapa</v>
      </c>
    </row>
    <row r="2717" spans="1:12" ht="43.5" x14ac:dyDescent="0.35">
      <c r="A2717" s="5" t="s">
        <v>98</v>
      </c>
      <c r="B2717" s="5" t="s">
        <v>99</v>
      </c>
      <c r="C2717" s="5" t="s">
        <v>591</v>
      </c>
      <c r="D2717" s="5" t="s">
        <v>14</v>
      </c>
      <c r="E2717" s="5" t="s">
        <v>17</v>
      </c>
      <c r="F2717" s="5" t="s">
        <v>20</v>
      </c>
      <c r="G2717" s="5" t="s">
        <v>436</v>
      </c>
      <c r="H2717" s="5" t="s">
        <v>592</v>
      </c>
      <c r="I2717" s="5" t="s">
        <v>31</v>
      </c>
      <c r="J2717" s="5">
        <v>15.936057123789</v>
      </c>
      <c r="K2717" s="5">
        <v>-96.411892056663007</v>
      </c>
      <c r="L2717" s="5" t="str">
        <f>HYPERLINK("https://maps.google.com/?q=15.9360571237889,-96.411892056663305", "🔗 Ver Mapa")</f>
        <v>🔗 Ver Mapa</v>
      </c>
    </row>
    <row r="2718" spans="1:12" ht="43.5" x14ac:dyDescent="0.35">
      <c r="A2718" s="6" t="s">
        <v>98</v>
      </c>
      <c r="B2718" s="6" t="s">
        <v>99</v>
      </c>
      <c r="C2718" s="6" t="s">
        <v>593</v>
      </c>
      <c r="D2718" s="6" t="s">
        <v>14</v>
      </c>
      <c r="E2718" s="6" t="s">
        <v>17</v>
      </c>
      <c r="F2718" s="6" t="s">
        <v>20</v>
      </c>
      <c r="G2718" s="6" t="s">
        <v>436</v>
      </c>
      <c r="H2718" s="6" t="s">
        <v>594</v>
      </c>
      <c r="I2718" s="6" t="s">
        <v>31</v>
      </c>
      <c r="J2718" s="6">
        <v>15.901987999999999</v>
      </c>
      <c r="K2718" s="6">
        <v>-96.472847999999999</v>
      </c>
      <c r="L2718" s="6" t="str">
        <f>HYPERLINK("https://maps.google.com/?q=15.901988,-96.472847999999999", "🔗 Ver Mapa")</f>
        <v>🔗 Ver Mapa</v>
      </c>
    </row>
    <row r="2719" spans="1:12" ht="43.5" x14ac:dyDescent="0.35">
      <c r="A2719" s="5" t="s">
        <v>98</v>
      </c>
      <c r="B2719" s="5" t="s">
        <v>99</v>
      </c>
      <c r="C2719" s="5" t="s">
        <v>593</v>
      </c>
      <c r="D2719" s="5" t="s">
        <v>14</v>
      </c>
      <c r="E2719" s="5" t="s">
        <v>17</v>
      </c>
      <c r="F2719" s="5" t="s">
        <v>20</v>
      </c>
      <c r="G2719" s="5" t="s">
        <v>436</v>
      </c>
      <c r="H2719" s="5" t="s">
        <v>594</v>
      </c>
      <c r="I2719" s="5" t="s">
        <v>31</v>
      </c>
      <c r="J2719" s="5">
        <v>15.902355999999999</v>
      </c>
      <c r="K2719" s="5">
        <v>-96.473117999999999</v>
      </c>
      <c r="L2719" s="5" t="str">
        <f>HYPERLINK("https://maps.google.com/?q=15.902356,-96.473117999999999", "🔗 Ver Mapa")</f>
        <v>🔗 Ver Mapa</v>
      </c>
    </row>
    <row r="2720" spans="1:12" ht="43.5" x14ac:dyDescent="0.35">
      <c r="A2720" s="6" t="s">
        <v>98</v>
      </c>
      <c r="B2720" s="6" t="s">
        <v>99</v>
      </c>
      <c r="C2720" s="6" t="s">
        <v>593</v>
      </c>
      <c r="D2720" s="6" t="s">
        <v>14</v>
      </c>
      <c r="E2720" s="6" t="s">
        <v>17</v>
      </c>
      <c r="F2720" s="6" t="s">
        <v>20</v>
      </c>
      <c r="G2720" s="6" t="s">
        <v>436</v>
      </c>
      <c r="H2720" s="6" t="s">
        <v>594</v>
      </c>
      <c r="I2720" s="6" t="s">
        <v>31</v>
      </c>
      <c r="J2720" s="6">
        <v>15.902445</v>
      </c>
      <c r="K2720" s="6">
        <v>-96.473326999999998</v>
      </c>
      <c r="L2720" s="6" t="str">
        <f>HYPERLINK("https://maps.google.com/?q=15.902445,-96.473326999999998", "🔗 Ver Mapa")</f>
        <v>🔗 Ver Mapa</v>
      </c>
    </row>
    <row r="2721" spans="1:12" ht="43.5" x14ac:dyDescent="0.35">
      <c r="A2721" s="5" t="s">
        <v>98</v>
      </c>
      <c r="B2721" s="5" t="s">
        <v>99</v>
      </c>
      <c r="C2721" s="5" t="s">
        <v>593</v>
      </c>
      <c r="D2721" s="5" t="s">
        <v>14</v>
      </c>
      <c r="E2721" s="5" t="s">
        <v>17</v>
      </c>
      <c r="F2721" s="5" t="s">
        <v>20</v>
      </c>
      <c r="G2721" s="5" t="s">
        <v>436</v>
      </c>
      <c r="H2721" s="5" t="s">
        <v>594</v>
      </c>
      <c r="I2721" s="5" t="s">
        <v>31</v>
      </c>
      <c r="J2721" s="5">
        <v>15.902615000000001</v>
      </c>
      <c r="K2721" s="5">
        <v>-96.473059000000006</v>
      </c>
      <c r="L2721" s="5" t="str">
        <f>HYPERLINK("https://maps.google.com/?q=15.902615,-96.473059000000006", "🔗 Ver Mapa")</f>
        <v>🔗 Ver Mapa</v>
      </c>
    </row>
    <row r="2722" spans="1:12" ht="43.5" x14ac:dyDescent="0.35">
      <c r="A2722" s="6" t="s">
        <v>98</v>
      </c>
      <c r="B2722" s="6" t="s">
        <v>99</v>
      </c>
      <c r="C2722" s="6" t="s">
        <v>593</v>
      </c>
      <c r="D2722" s="6" t="s">
        <v>14</v>
      </c>
      <c r="E2722" s="6" t="s">
        <v>17</v>
      </c>
      <c r="F2722" s="6" t="s">
        <v>20</v>
      </c>
      <c r="G2722" s="6" t="s">
        <v>436</v>
      </c>
      <c r="H2722" s="6" t="s">
        <v>594</v>
      </c>
      <c r="I2722" s="6" t="s">
        <v>31</v>
      </c>
      <c r="J2722" s="6">
        <v>15.902723</v>
      </c>
      <c r="K2722" s="6">
        <v>-96.473224000000002</v>
      </c>
      <c r="L2722" s="6" t="str">
        <f>HYPERLINK("https://maps.google.com/?q=15.902723,-96.473224000000002", "🔗 Ver Mapa")</f>
        <v>🔗 Ver Mapa</v>
      </c>
    </row>
    <row r="2723" spans="1:12" ht="43.5" x14ac:dyDescent="0.35">
      <c r="A2723" s="5" t="s">
        <v>98</v>
      </c>
      <c r="B2723" s="5" t="s">
        <v>99</v>
      </c>
      <c r="C2723" s="5" t="s">
        <v>595</v>
      </c>
      <c r="D2723" s="5" t="s">
        <v>14</v>
      </c>
      <c r="E2723" s="5" t="s">
        <v>17</v>
      </c>
      <c r="F2723" s="5" t="s">
        <v>20</v>
      </c>
      <c r="G2723" s="5" t="s">
        <v>436</v>
      </c>
      <c r="H2723" s="5" t="s">
        <v>596</v>
      </c>
      <c r="I2723" s="5" t="s">
        <v>31</v>
      </c>
      <c r="J2723" s="5">
        <v>15.926113260865</v>
      </c>
      <c r="K2723" s="5">
        <v>-96.418036542327997</v>
      </c>
      <c r="L2723" s="5" t="str">
        <f>HYPERLINK("https://maps.google.com/?q=15.9261132608649,-96.418036542327798", "🔗 Ver Mapa")</f>
        <v>🔗 Ver Mapa</v>
      </c>
    </row>
    <row r="2724" spans="1:12" ht="43.5" x14ac:dyDescent="0.35">
      <c r="A2724" s="6" t="s">
        <v>98</v>
      </c>
      <c r="B2724" s="6" t="s">
        <v>99</v>
      </c>
      <c r="C2724" s="6" t="s">
        <v>595</v>
      </c>
      <c r="D2724" s="6" t="s">
        <v>14</v>
      </c>
      <c r="E2724" s="6" t="s">
        <v>17</v>
      </c>
      <c r="F2724" s="6" t="s">
        <v>20</v>
      </c>
      <c r="G2724" s="6" t="s">
        <v>436</v>
      </c>
      <c r="H2724" s="6" t="s">
        <v>596</v>
      </c>
      <c r="I2724" s="6" t="s">
        <v>31</v>
      </c>
      <c r="J2724" s="6">
        <v>15.927802461511</v>
      </c>
      <c r="K2724" s="6">
        <v>-96.418894043568997</v>
      </c>
      <c r="L2724" s="6" t="str">
        <f>HYPERLINK("https://maps.google.com/?q=15.9278024615106,-96.418894043568599", "🔗 Ver Mapa")</f>
        <v>🔗 Ver Mapa</v>
      </c>
    </row>
    <row r="2725" spans="1:12" ht="43.5" x14ac:dyDescent="0.35">
      <c r="A2725" s="5" t="s">
        <v>98</v>
      </c>
      <c r="B2725" s="5" t="s">
        <v>99</v>
      </c>
      <c r="C2725" s="5" t="s">
        <v>595</v>
      </c>
      <c r="D2725" s="5" t="s">
        <v>14</v>
      </c>
      <c r="E2725" s="5" t="s">
        <v>17</v>
      </c>
      <c r="F2725" s="5" t="s">
        <v>20</v>
      </c>
      <c r="G2725" s="5" t="s">
        <v>436</v>
      </c>
      <c r="H2725" s="5" t="s">
        <v>596</v>
      </c>
      <c r="I2725" s="5" t="s">
        <v>31</v>
      </c>
      <c r="J2725" s="5">
        <v>15.928125470068</v>
      </c>
      <c r="K2725" s="5">
        <v>-96.418590515472999</v>
      </c>
      <c r="L2725" s="5" t="str">
        <f>HYPERLINK("https://maps.google.com/?q=15.928125470068,-96.418590515473497", "🔗 Ver Mapa")</f>
        <v>🔗 Ver Mapa</v>
      </c>
    </row>
    <row r="2726" spans="1:12" ht="43.5" x14ac:dyDescent="0.35">
      <c r="A2726" s="6" t="s">
        <v>98</v>
      </c>
      <c r="B2726" s="6" t="s">
        <v>99</v>
      </c>
      <c r="C2726" s="6" t="s">
        <v>595</v>
      </c>
      <c r="D2726" s="6" t="s">
        <v>14</v>
      </c>
      <c r="E2726" s="6" t="s">
        <v>17</v>
      </c>
      <c r="F2726" s="6" t="s">
        <v>20</v>
      </c>
      <c r="G2726" s="6" t="s">
        <v>436</v>
      </c>
      <c r="H2726" s="6" t="s">
        <v>596</v>
      </c>
      <c r="I2726" s="6" t="s">
        <v>31</v>
      </c>
      <c r="J2726" s="6">
        <v>15.928170019031</v>
      </c>
      <c r="K2726" s="6">
        <v>-96.418674630314996</v>
      </c>
      <c r="L2726" s="6" t="str">
        <f>HYPERLINK("https://maps.google.com/?q=15.9281700190307,-96.418674630315394", "🔗 Ver Mapa")</f>
        <v>🔗 Ver Mapa</v>
      </c>
    </row>
    <row r="2727" spans="1:12" ht="43.5" x14ac:dyDescent="0.35">
      <c r="A2727" s="5" t="s">
        <v>98</v>
      </c>
      <c r="B2727" s="5" t="s">
        <v>99</v>
      </c>
      <c r="C2727" s="5" t="s">
        <v>595</v>
      </c>
      <c r="D2727" s="5" t="s">
        <v>14</v>
      </c>
      <c r="E2727" s="5" t="s">
        <v>17</v>
      </c>
      <c r="F2727" s="5" t="s">
        <v>20</v>
      </c>
      <c r="G2727" s="5" t="s">
        <v>436</v>
      </c>
      <c r="H2727" s="5" t="s">
        <v>596</v>
      </c>
      <c r="I2727" s="5" t="s">
        <v>31</v>
      </c>
      <c r="J2727" s="5">
        <v>15.928345058384</v>
      </c>
      <c r="K2727" s="5">
        <v>-96.418621651110996</v>
      </c>
      <c r="L2727" s="5" t="str">
        <f>HYPERLINK("https://maps.google.com/?q=15.9283450583837,-96.418621651110797", "🔗 Ver Mapa")</f>
        <v>🔗 Ver Mapa</v>
      </c>
    </row>
    <row r="2728" spans="1:12" ht="43.5" x14ac:dyDescent="0.35">
      <c r="A2728" s="6" t="s">
        <v>98</v>
      </c>
      <c r="B2728" s="6" t="s">
        <v>99</v>
      </c>
      <c r="C2728" s="6" t="s">
        <v>595</v>
      </c>
      <c r="D2728" s="6" t="s">
        <v>14</v>
      </c>
      <c r="E2728" s="6" t="s">
        <v>17</v>
      </c>
      <c r="F2728" s="6" t="s">
        <v>20</v>
      </c>
      <c r="G2728" s="6" t="s">
        <v>436</v>
      </c>
      <c r="H2728" s="6" t="s">
        <v>596</v>
      </c>
      <c r="I2728" s="6" t="s">
        <v>31</v>
      </c>
      <c r="J2728" s="6">
        <v>15.928692750535999</v>
      </c>
      <c r="K2728" s="6">
        <v>-96.418942171389006</v>
      </c>
      <c r="L2728" s="6" t="str">
        <f>HYPERLINK("https://maps.google.com/?q=15.9286927505362,-96.418942171389105", "🔗 Ver Mapa")</f>
        <v>🔗 Ver Mapa</v>
      </c>
    </row>
    <row r="2729" spans="1:12" ht="43.5" x14ac:dyDescent="0.35">
      <c r="A2729" s="5" t="s">
        <v>98</v>
      </c>
      <c r="B2729" s="5" t="s">
        <v>99</v>
      </c>
      <c r="C2729" s="5" t="s">
        <v>597</v>
      </c>
      <c r="D2729" s="5" t="s">
        <v>14</v>
      </c>
      <c r="E2729" s="5" t="s">
        <v>17</v>
      </c>
      <c r="F2729" s="5" t="s">
        <v>20</v>
      </c>
      <c r="G2729" s="5" t="s">
        <v>436</v>
      </c>
      <c r="H2729" s="5" t="s">
        <v>598</v>
      </c>
      <c r="I2729" s="5" t="s">
        <v>31</v>
      </c>
      <c r="J2729" s="5">
        <v>15.912963852294</v>
      </c>
      <c r="K2729" s="5">
        <v>-96.430039069459994</v>
      </c>
      <c r="L2729" s="5" t="str">
        <f>HYPERLINK("https://maps.google.com/?q=15.9129638522937,-96.430039069459994", "🔗 Ver Mapa")</f>
        <v>🔗 Ver Mapa</v>
      </c>
    </row>
    <row r="2730" spans="1:12" ht="43.5" x14ac:dyDescent="0.35">
      <c r="A2730" s="6" t="s">
        <v>98</v>
      </c>
      <c r="B2730" s="6" t="s">
        <v>99</v>
      </c>
      <c r="C2730" s="6" t="s">
        <v>597</v>
      </c>
      <c r="D2730" s="6" t="s">
        <v>14</v>
      </c>
      <c r="E2730" s="6" t="s">
        <v>17</v>
      </c>
      <c r="F2730" s="6" t="s">
        <v>20</v>
      </c>
      <c r="G2730" s="6" t="s">
        <v>436</v>
      </c>
      <c r="H2730" s="6" t="s">
        <v>598</v>
      </c>
      <c r="I2730" s="6" t="s">
        <v>31</v>
      </c>
      <c r="J2730" s="6">
        <v>15.913356965847999</v>
      </c>
      <c r="K2730" s="6">
        <v>-96.432730868457995</v>
      </c>
      <c r="L2730" s="6" t="str">
        <f>HYPERLINK("https://maps.google.com/?q=15.9133569658477,-96.432730868457895", "🔗 Ver Mapa")</f>
        <v>🔗 Ver Mapa</v>
      </c>
    </row>
    <row r="2731" spans="1:12" ht="43.5" x14ac:dyDescent="0.35">
      <c r="A2731" s="5" t="s">
        <v>288</v>
      </c>
      <c r="B2731" s="5" t="s">
        <v>289</v>
      </c>
      <c r="C2731" s="5" t="s">
        <v>599</v>
      </c>
      <c r="D2731" s="5" t="s">
        <v>600</v>
      </c>
      <c r="E2731" s="5" t="s">
        <v>52</v>
      </c>
      <c r="F2731" s="5" t="s">
        <v>70</v>
      </c>
      <c r="G2731" s="5" t="s">
        <v>601</v>
      </c>
      <c r="H2731" s="5" t="s">
        <v>602</v>
      </c>
      <c r="I2731" s="5" t="s">
        <v>31</v>
      </c>
      <c r="J2731" s="5">
        <v>17.069814999999998</v>
      </c>
      <c r="K2731" s="5">
        <v>-96.639880000000005</v>
      </c>
      <c r="L2731" s="5" t="str">
        <f>HYPERLINK("https://maps.google.com/?q=17.069815,-96.63988", "🔗 Ver Mapa")</f>
        <v>🔗 Ver Mapa</v>
      </c>
    </row>
    <row r="2732" spans="1:12" ht="43.5" x14ac:dyDescent="0.35">
      <c r="A2732" s="6" t="s">
        <v>98</v>
      </c>
      <c r="B2732" s="6" t="s">
        <v>99</v>
      </c>
      <c r="C2732" s="6" t="s">
        <v>603</v>
      </c>
      <c r="D2732" s="6" t="s">
        <v>14</v>
      </c>
      <c r="E2732" s="6" t="s">
        <v>140</v>
      </c>
      <c r="F2732" s="6" t="s">
        <v>141</v>
      </c>
      <c r="G2732" s="6" t="s">
        <v>604</v>
      </c>
      <c r="H2732" s="6" t="s">
        <v>605</v>
      </c>
      <c r="I2732" s="6" t="s">
        <v>31</v>
      </c>
      <c r="J2732" s="6">
        <v>18.027232999999999</v>
      </c>
      <c r="K2732" s="6">
        <v>-96.243660000000006</v>
      </c>
      <c r="L2732" s="6" t="str">
        <f>HYPERLINK("https://maps.google.com/?q=18.027233,-96.243660000000006", "🔗 Ver Mapa")</f>
        <v>🔗 Ver Mapa</v>
      </c>
    </row>
    <row r="2733" spans="1:12" ht="43.5" x14ac:dyDescent="0.35">
      <c r="A2733" s="5" t="s">
        <v>98</v>
      </c>
      <c r="B2733" s="5" t="s">
        <v>99</v>
      </c>
      <c r="C2733" s="5" t="s">
        <v>603</v>
      </c>
      <c r="D2733" s="5" t="s">
        <v>14</v>
      </c>
      <c r="E2733" s="5" t="s">
        <v>140</v>
      </c>
      <c r="F2733" s="5" t="s">
        <v>141</v>
      </c>
      <c r="G2733" s="5" t="s">
        <v>604</v>
      </c>
      <c r="H2733" s="5" t="s">
        <v>605</v>
      </c>
      <c r="I2733" s="5" t="s">
        <v>31</v>
      </c>
      <c r="J2733" s="5">
        <v>18.029956739842</v>
      </c>
      <c r="K2733" s="5">
        <v>-96.245093055224999</v>
      </c>
      <c r="L2733" s="5" t="str">
        <f>HYPERLINK("https://maps.google.com/?q=18.029956739842,-96.245093055225198", "🔗 Ver Mapa")</f>
        <v>🔗 Ver Mapa</v>
      </c>
    </row>
    <row r="2734" spans="1:12" ht="43.5" x14ac:dyDescent="0.35">
      <c r="A2734" s="6" t="s">
        <v>98</v>
      </c>
      <c r="B2734" s="6" t="s">
        <v>99</v>
      </c>
      <c r="C2734" s="6" t="s">
        <v>603</v>
      </c>
      <c r="D2734" s="6" t="s">
        <v>14</v>
      </c>
      <c r="E2734" s="6" t="s">
        <v>140</v>
      </c>
      <c r="F2734" s="6" t="s">
        <v>141</v>
      </c>
      <c r="G2734" s="6" t="s">
        <v>604</v>
      </c>
      <c r="H2734" s="6" t="s">
        <v>605</v>
      </c>
      <c r="I2734" s="6" t="s">
        <v>31</v>
      </c>
      <c r="J2734" s="6">
        <v>18.03021620482</v>
      </c>
      <c r="K2734" s="6">
        <v>-96.245145411045002</v>
      </c>
      <c r="L2734" s="6" t="str">
        <f>HYPERLINK("https://maps.google.com/?q=18.0302162048203,-96.2451454110449", "🔗 Ver Mapa")</f>
        <v>🔗 Ver Mapa</v>
      </c>
    </row>
    <row r="2735" spans="1:12" ht="43.5" x14ac:dyDescent="0.35">
      <c r="A2735" s="5" t="s">
        <v>98</v>
      </c>
      <c r="B2735" s="5" t="s">
        <v>99</v>
      </c>
      <c r="C2735" s="5" t="s">
        <v>603</v>
      </c>
      <c r="D2735" s="5" t="s">
        <v>14</v>
      </c>
      <c r="E2735" s="5" t="s">
        <v>140</v>
      </c>
      <c r="F2735" s="5" t="s">
        <v>141</v>
      </c>
      <c r="G2735" s="5" t="s">
        <v>604</v>
      </c>
      <c r="H2735" s="5" t="s">
        <v>605</v>
      </c>
      <c r="I2735" s="5" t="s">
        <v>31</v>
      </c>
      <c r="J2735" s="5">
        <v>18.030781817409999</v>
      </c>
      <c r="K2735" s="5">
        <v>-96.247055878642001</v>
      </c>
      <c r="L2735" s="5" t="str">
        <f>HYPERLINK("https://maps.google.com/?q=18.03078181741,-96.247055878642499", "🔗 Ver Mapa")</f>
        <v>🔗 Ver Mapa</v>
      </c>
    </row>
    <row r="2736" spans="1:12" ht="43.5" x14ac:dyDescent="0.35">
      <c r="A2736" s="6" t="s">
        <v>98</v>
      </c>
      <c r="B2736" s="6" t="s">
        <v>99</v>
      </c>
      <c r="C2736" s="6" t="s">
        <v>603</v>
      </c>
      <c r="D2736" s="6" t="s">
        <v>14</v>
      </c>
      <c r="E2736" s="6" t="s">
        <v>140</v>
      </c>
      <c r="F2736" s="6" t="s">
        <v>141</v>
      </c>
      <c r="G2736" s="6" t="s">
        <v>604</v>
      </c>
      <c r="H2736" s="6" t="s">
        <v>605</v>
      </c>
      <c r="I2736" s="6" t="s">
        <v>31</v>
      </c>
      <c r="J2736" s="6">
        <v>18.031261359173001</v>
      </c>
      <c r="K2736" s="6">
        <v>-96.246276234367997</v>
      </c>
      <c r="L2736" s="6" t="str">
        <f>HYPERLINK("https://maps.google.com/?q=18.0312613591735,-96.246276234368395", "🔗 Ver Mapa")</f>
        <v>🔗 Ver Mapa</v>
      </c>
    </row>
    <row r="2737" spans="1:12" ht="43.5" x14ac:dyDescent="0.35">
      <c r="A2737" s="5" t="s">
        <v>98</v>
      </c>
      <c r="B2737" s="5" t="s">
        <v>99</v>
      </c>
      <c r="C2737" s="5" t="s">
        <v>603</v>
      </c>
      <c r="D2737" s="5" t="s">
        <v>14</v>
      </c>
      <c r="E2737" s="5" t="s">
        <v>140</v>
      </c>
      <c r="F2737" s="5" t="s">
        <v>141</v>
      </c>
      <c r="G2737" s="5" t="s">
        <v>604</v>
      </c>
      <c r="H2737" s="5" t="s">
        <v>605</v>
      </c>
      <c r="I2737" s="5" t="s">
        <v>31</v>
      </c>
      <c r="J2737" s="5">
        <v>18.031851671822</v>
      </c>
      <c r="K2737" s="5">
        <v>-96.246967271163996</v>
      </c>
      <c r="L2737" s="5" t="str">
        <f>HYPERLINK("https://maps.google.com/?q=18.0318516718223,-96.246967271163697", "🔗 Ver Mapa")</f>
        <v>🔗 Ver Mapa</v>
      </c>
    </row>
    <row r="2738" spans="1:12" ht="43.5" x14ac:dyDescent="0.35">
      <c r="A2738" s="6" t="s">
        <v>98</v>
      </c>
      <c r="B2738" s="6" t="s">
        <v>99</v>
      </c>
      <c r="C2738" s="6" t="s">
        <v>603</v>
      </c>
      <c r="D2738" s="6" t="s">
        <v>14</v>
      </c>
      <c r="E2738" s="6" t="s">
        <v>140</v>
      </c>
      <c r="F2738" s="6" t="s">
        <v>141</v>
      </c>
      <c r="G2738" s="6" t="s">
        <v>604</v>
      </c>
      <c r="H2738" s="6" t="s">
        <v>605</v>
      </c>
      <c r="I2738" s="6" t="s">
        <v>31</v>
      </c>
      <c r="J2738" s="6">
        <v>18.031883770530001</v>
      </c>
      <c r="K2738" s="6">
        <v>-96.248928504299002</v>
      </c>
      <c r="L2738" s="6" t="str">
        <f>HYPERLINK("https://maps.google.com/?q=18.031883770529728,-96.24892850429917", "🔗 Ver Mapa")</f>
        <v>🔗 Ver Mapa</v>
      </c>
    </row>
    <row r="2739" spans="1:12" ht="43.5" x14ac:dyDescent="0.35">
      <c r="A2739" s="5" t="s">
        <v>98</v>
      </c>
      <c r="B2739" s="5" t="s">
        <v>99</v>
      </c>
      <c r="C2739" s="5" t="s">
        <v>606</v>
      </c>
      <c r="D2739" s="5" t="s">
        <v>14</v>
      </c>
      <c r="E2739" s="5" t="s">
        <v>140</v>
      </c>
      <c r="F2739" s="5" t="s">
        <v>141</v>
      </c>
      <c r="G2739" s="5" t="s">
        <v>604</v>
      </c>
      <c r="H2739" s="5" t="s">
        <v>607</v>
      </c>
      <c r="I2739" s="5" t="s">
        <v>31</v>
      </c>
      <c r="J2739" s="5">
        <v>17.990366000000002</v>
      </c>
      <c r="K2739" s="5">
        <v>-96.488994000000005</v>
      </c>
      <c r="L2739" s="5" t="str">
        <f>HYPERLINK("https://maps.google.com/?q=17.990366,-96.488994000000005", "🔗 Ver Mapa")</f>
        <v>🔗 Ver Mapa</v>
      </c>
    </row>
    <row r="2740" spans="1:12" ht="43.5" x14ac:dyDescent="0.35">
      <c r="A2740" s="6" t="s">
        <v>98</v>
      </c>
      <c r="B2740" s="6" t="s">
        <v>99</v>
      </c>
      <c r="C2740" s="6" t="s">
        <v>606</v>
      </c>
      <c r="D2740" s="6" t="s">
        <v>14</v>
      </c>
      <c r="E2740" s="6" t="s">
        <v>140</v>
      </c>
      <c r="F2740" s="6" t="s">
        <v>141</v>
      </c>
      <c r="G2740" s="6" t="s">
        <v>604</v>
      </c>
      <c r="H2740" s="6" t="s">
        <v>607</v>
      </c>
      <c r="I2740" s="6" t="s">
        <v>31</v>
      </c>
      <c r="J2740" s="6">
        <v>17.99044608418</v>
      </c>
      <c r="K2740" s="6">
        <v>-96.488765165676</v>
      </c>
      <c r="L2740" s="6" t="str">
        <f>HYPERLINK("https://maps.google.com/?q=17.9904460841799,-96.488765165676", "🔗 Ver Mapa")</f>
        <v>🔗 Ver Mapa</v>
      </c>
    </row>
    <row r="2741" spans="1:12" ht="43.5" x14ac:dyDescent="0.35">
      <c r="A2741" s="5" t="s">
        <v>98</v>
      </c>
      <c r="B2741" s="5" t="s">
        <v>99</v>
      </c>
      <c r="C2741" s="5" t="s">
        <v>606</v>
      </c>
      <c r="D2741" s="5" t="s">
        <v>14</v>
      </c>
      <c r="E2741" s="5" t="s">
        <v>140</v>
      </c>
      <c r="F2741" s="5" t="s">
        <v>141</v>
      </c>
      <c r="G2741" s="5" t="s">
        <v>604</v>
      </c>
      <c r="H2741" s="5" t="s">
        <v>607</v>
      </c>
      <c r="I2741" s="5" t="s">
        <v>31</v>
      </c>
      <c r="J2741" s="5">
        <v>17.990621000000001</v>
      </c>
      <c r="K2741" s="5">
        <v>-96.488405999999998</v>
      </c>
      <c r="L2741" s="5" t="str">
        <f>HYPERLINK("https://maps.google.com/?q=17.990621,-96.488405999999998", "🔗 Ver Mapa")</f>
        <v>🔗 Ver Mapa</v>
      </c>
    </row>
    <row r="2742" spans="1:12" ht="43.5" x14ac:dyDescent="0.35">
      <c r="A2742" s="6" t="s">
        <v>98</v>
      </c>
      <c r="B2742" s="6" t="s">
        <v>99</v>
      </c>
      <c r="C2742" s="6" t="s">
        <v>606</v>
      </c>
      <c r="D2742" s="6" t="s">
        <v>14</v>
      </c>
      <c r="E2742" s="6" t="s">
        <v>140</v>
      </c>
      <c r="F2742" s="6" t="s">
        <v>141</v>
      </c>
      <c r="G2742" s="6" t="s">
        <v>604</v>
      </c>
      <c r="H2742" s="6" t="s">
        <v>607</v>
      </c>
      <c r="I2742" s="6" t="s">
        <v>31</v>
      </c>
      <c r="J2742" s="6">
        <v>17.990776</v>
      </c>
      <c r="K2742" s="6">
        <v>-96.488961000000003</v>
      </c>
      <c r="L2742" s="6" t="str">
        <f>HYPERLINK("https://maps.google.com/?q=17.990776,-96.488961000000003", "🔗 Ver Mapa")</f>
        <v>🔗 Ver Mapa</v>
      </c>
    </row>
    <row r="2743" spans="1:12" ht="43.5" x14ac:dyDescent="0.35">
      <c r="A2743" s="5" t="s">
        <v>98</v>
      </c>
      <c r="B2743" s="5" t="s">
        <v>99</v>
      </c>
      <c r="C2743" s="5" t="s">
        <v>606</v>
      </c>
      <c r="D2743" s="5" t="s">
        <v>14</v>
      </c>
      <c r="E2743" s="5" t="s">
        <v>140</v>
      </c>
      <c r="F2743" s="5" t="s">
        <v>141</v>
      </c>
      <c r="G2743" s="5" t="s">
        <v>604</v>
      </c>
      <c r="H2743" s="5" t="s">
        <v>607</v>
      </c>
      <c r="I2743" s="5" t="s">
        <v>31</v>
      </c>
      <c r="J2743" s="5">
        <v>17.990967000000001</v>
      </c>
      <c r="K2743" s="5">
        <v>-96.488384999999994</v>
      </c>
      <c r="L2743" s="5" t="str">
        <f>HYPERLINK("https://maps.google.com/?q=17.990967,-96.488384999999994", "🔗 Ver Mapa")</f>
        <v>🔗 Ver Mapa</v>
      </c>
    </row>
    <row r="2744" spans="1:12" ht="43.5" x14ac:dyDescent="0.35">
      <c r="A2744" s="6" t="s">
        <v>98</v>
      </c>
      <c r="B2744" s="6" t="s">
        <v>99</v>
      </c>
      <c r="C2744" s="6" t="s">
        <v>606</v>
      </c>
      <c r="D2744" s="6" t="s">
        <v>14</v>
      </c>
      <c r="E2744" s="6" t="s">
        <v>140</v>
      </c>
      <c r="F2744" s="6" t="s">
        <v>141</v>
      </c>
      <c r="G2744" s="6" t="s">
        <v>604</v>
      </c>
      <c r="H2744" s="6" t="s">
        <v>607</v>
      </c>
      <c r="I2744" s="6" t="s">
        <v>31</v>
      </c>
      <c r="J2744" s="6">
        <v>17.991031039506002</v>
      </c>
      <c r="K2744" s="6">
        <v>-96.488677906746005</v>
      </c>
      <c r="L2744" s="6" t="str">
        <f>HYPERLINK("https://maps.google.com/?q=17.9910310395057,-96.4886779067459", "🔗 Ver Mapa")</f>
        <v>🔗 Ver Mapa</v>
      </c>
    </row>
    <row r="2745" spans="1:12" ht="43.5" x14ac:dyDescent="0.35">
      <c r="A2745" s="5" t="s">
        <v>98</v>
      </c>
      <c r="B2745" s="5" t="s">
        <v>99</v>
      </c>
      <c r="C2745" s="5" t="s">
        <v>606</v>
      </c>
      <c r="D2745" s="5" t="s">
        <v>14</v>
      </c>
      <c r="E2745" s="5" t="s">
        <v>140</v>
      </c>
      <c r="F2745" s="5" t="s">
        <v>141</v>
      </c>
      <c r="G2745" s="5" t="s">
        <v>604</v>
      </c>
      <c r="H2745" s="5" t="s">
        <v>607</v>
      </c>
      <c r="I2745" s="5" t="s">
        <v>31</v>
      </c>
      <c r="J2745" s="5">
        <v>17.991075220974</v>
      </c>
      <c r="K2745" s="5">
        <v>-96.487952896820005</v>
      </c>
      <c r="L2745" s="5" t="str">
        <f>HYPERLINK("https://maps.google.com/?q=17.9910752209743,-96.487952896820204", "🔗 Ver Mapa")</f>
        <v>🔗 Ver Mapa</v>
      </c>
    </row>
    <row r="2746" spans="1:12" ht="43.5" x14ac:dyDescent="0.35">
      <c r="A2746" s="6" t="s">
        <v>98</v>
      </c>
      <c r="B2746" s="6" t="s">
        <v>99</v>
      </c>
      <c r="C2746" s="6" t="s">
        <v>606</v>
      </c>
      <c r="D2746" s="6" t="s">
        <v>14</v>
      </c>
      <c r="E2746" s="6" t="s">
        <v>140</v>
      </c>
      <c r="F2746" s="6" t="s">
        <v>141</v>
      </c>
      <c r="G2746" s="6" t="s">
        <v>604</v>
      </c>
      <c r="H2746" s="6" t="s">
        <v>607</v>
      </c>
      <c r="I2746" s="6" t="s">
        <v>31</v>
      </c>
      <c r="J2746" s="6">
        <v>17.991177</v>
      </c>
      <c r="K2746" s="6">
        <v>-96.489290999999994</v>
      </c>
      <c r="L2746" s="6" t="str">
        <f>HYPERLINK("https://maps.google.com/?q=17.991177,-96.489290999999994", "🔗 Ver Mapa")</f>
        <v>🔗 Ver Mapa</v>
      </c>
    </row>
    <row r="2747" spans="1:12" ht="43.5" x14ac:dyDescent="0.35">
      <c r="A2747" s="5" t="s">
        <v>98</v>
      </c>
      <c r="B2747" s="5" t="s">
        <v>99</v>
      </c>
      <c r="C2747" s="5" t="s">
        <v>606</v>
      </c>
      <c r="D2747" s="5" t="s">
        <v>14</v>
      </c>
      <c r="E2747" s="5" t="s">
        <v>140</v>
      </c>
      <c r="F2747" s="5" t="s">
        <v>141</v>
      </c>
      <c r="G2747" s="5" t="s">
        <v>604</v>
      </c>
      <c r="H2747" s="5" t="s">
        <v>607</v>
      </c>
      <c r="I2747" s="5" t="s">
        <v>31</v>
      </c>
      <c r="J2747" s="5">
        <v>17.991339</v>
      </c>
      <c r="K2747" s="5">
        <v>-96.489907000000002</v>
      </c>
      <c r="L2747" s="5" t="str">
        <f>HYPERLINK("https://maps.google.com/?q=17.991339,-96.489907000000002", "🔗 Ver Mapa")</f>
        <v>🔗 Ver Mapa</v>
      </c>
    </row>
    <row r="2748" spans="1:12" ht="43.5" x14ac:dyDescent="0.35">
      <c r="A2748" s="6" t="s">
        <v>98</v>
      </c>
      <c r="B2748" s="6" t="s">
        <v>99</v>
      </c>
      <c r="C2748" s="6" t="s">
        <v>606</v>
      </c>
      <c r="D2748" s="6" t="s">
        <v>14</v>
      </c>
      <c r="E2748" s="6" t="s">
        <v>140</v>
      </c>
      <c r="F2748" s="6" t="s">
        <v>141</v>
      </c>
      <c r="G2748" s="6" t="s">
        <v>604</v>
      </c>
      <c r="H2748" s="6" t="s">
        <v>607</v>
      </c>
      <c r="I2748" s="6" t="s">
        <v>31</v>
      </c>
      <c r="J2748" s="6">
        <v>17.991358000000002</v>
      </c>
      <c r="K2748" s="6">
        <v>-96.490031999999999</v>
      </c>
      <c r="L2748" s="6" t="str">
        <f>HYPERLINK("https://maps.google.com/?q=17.991358,-96.490031999999999", "🔗 Ver Mapa")</f>
        <v>🔗 Ver Mapa</v>
      </c>
    </row>
    <row r="2749" spans="1:12" ht="43.5" x14ac:dyDescent="0.35">
      <c r="A2749" s="5" t="s">
        <v>98</v>
      </c>
      <c r="B2749" s="5" t="s">
        <v>99</v>
      </c>
      <c r="C2749" s="5" t="s">
        <v>606</v>
      </c>
      <c r="D2749" s="5" t="s">
        <v>14</v>
      </c>
      <c r="E2749" s="5" t="s">
        <v>140</v>
      </c>
      <c r="F2749" s="5" t="s">
        <v>141</v>
      </c>
      <c r="G2749" s="5" t="s">
        <v>604</v>
      </c>
      <c r="H2749" s="5" t="s">
        <v>607</v>
      </c>
      <c r="I2749" s="5" t="s">
        <v>31</v>
      </c>
      <c r="J2749" s="5">
        <v>17.991441999999999</v>
      </c>
      <c r="K2749" s="5">
        <v>-96.490131000000005</v>
      </c>
      <c r="L2749" s="5" t="str">
        <f>HYPERLINK("https://maps.google.com/?q=17.991442,-96.490131000000005", "🔗 Ver Mapa")</f>
        <v>🔗 Ver Mapa</v>
      </c>
    </row>
    <row r="2750" spans="1:12" ht="43.5" x14ac:dyDescent="0.35">
      <c r="A2750" s="6" t="s">
        <v>98</v>
      </c>
      <c r="B2750" s="6" t="s">
        <v>99</v>
      </c>
      <c r="C2750" s="6" t="s">
        <v>606</v>
      </c>
      <c r="D2750" s="6" t="s">
        <v>14</v>
      </c>
      <c r="E2750" s="6" t="s">
        <v>140</v>
      </c>
      <c r="F2750" s="6" t="s">
        <v>141</v>
      </c>
      <c r="G2750" s="6" t="s">
        <v>604</v>
      </c>
      <c r="H2750" s="6" t="s">
        <v>607</v>
      </c>
      <c r="I2750" s="6" t="s">
        <v>31</v>
      </c>
      <c r="J2750" s="6">
        <v>17.991627000000001</v>
      </c>
      <c r="K2750" s="6">
        <v>-96.489311999999998</v>
      </c>
      <c r="L2750" s="6" t="str">
        <f>HYPERLINK("https://maps.google.com/?q=17.991627,-96.489311999999998", "🔗 Ver Mapa")</f>
        <v>🔗 Ver Mapa</v>
      </c>
    </row>
    <row r="2751" spans="1:12" ht="43.5" x14ac:dyDescent="0.35">
      <c r="A2751" s="5" t="s">
        <v>98</v>
      </c>
      <c r="B2751" s="5" t="s">
        <v>99</v>
      </c>
      <c r="C2751" s="5" t="s">
        <v>606</v>
      </c>
      <c r="D2751" s="5" t="s">
        <v>14</v>
      </c>
      <c r="E2751" s="5" t="s">
        <v>140</v>
      </c>
      <c r="F2751" s="5" t="s">
        <v>141</v>
      </c>
      <c r="G2751" s="5" t="s">
        <v>604</v>
      </c>
      <c r="H2751" s="5" t="s">
        <v>607</v>
      </c>
      <c r="I2751" s="5" t="s">
        <v>31</v>
      </c>
      <c r="J2751" s="5">
        <v>17.991714999999999</v>
      </c>
      <c r="K2751" s="5">
        <v>-96.489292000000006</v>
      </c>
      <c r="L2751" s="5" t="str">
        <f>HYPERLINK("https://maps.google.com/?q=17.991715,-96.489292000000006", "🔗 Ver Mapa")</f>
        <v>🔗 Ver Mapa</v>
      </c>
    </row>
    <row r="2752" spans="1:12" ht="43.5" x14ac:dyDescent="0.35">
      <c r="A2752" s="6" t="s">
        <v>98</v>
      </c>
      <c r="B2752" s="6" t="s">
        <v>99</v>
      </c>
      <c r="C2752" s="6" t="s">
        <v>606</v>
      </c>
      <c r="D2752" s="6" t="s">
        <v>14</v>
      </c>
      <c r="E2752" s="6" t="s">
        <v>140</v>
      </c>
      <c r="F2752" s="6" t="s">
        <v>141</v>
      </c>
      <c r="G2752" s="6" t="s">
        <v>604</v>
      </c>
      <c r="H2752" s="6" t="s">
        <v>607</v>
      </c>
      <c r="I2752" s="6" t="s">
        <v>31</v>
      </c>
      <c r="J2752" s="6">
        <v>17.991855000000001</v>
      </c>
      <c r="K2752" s="6">
        <v>-96.489153999999999</v>
      </c>
      <c r="L2752" s="6" t="str">
        <f>HYPERLINK("https://maps.google.com/?q=17.991855,-96.489153999999999", "🔗 Ver Mapa")</f>
        <v>🔗 Ver Mapa</v>
      </c>
    </row>
    <row r="2753" spans="1:12" ht="43.5" x14ac:dyDescent="0.35">
      <c r="A2753" s="5" t="s">
        <v>98</v>
      </c>
      <c r="B2753" s="5" t="s">
        <v>99</v>
      </c>
      <c r="C2753" s="5" t="s">
        <v>606</v>
      </c>
      <c r="D2753" s="5" t="s">
        <v>14</v>
      </c>
      <c r="E2753" s="5" t="s">
        <v>140</v>
      </c>
      <c r="F2753" s="5" t="s">
        <v>141</v>
      </c>
      <c r="G2753" s="5" t="s">
        <v>604</v>
      </c>
      <c r="H2753" s="5" t="s">
        <v>607</v>
      </c>
      <c r="I2753" s="5" t="s">
        <v>31</v>
      </c>
      <c r="J2753" s="5">
        <v>17.992243603243999</v>
      </c>
      <c r="K2753" s="5">
        <v>-96.488813885913999</v>
      </c>
      <c r="L2753" s="5" t="str">
        <f>HYPERLINK("https://maps.google.com/?q=17.9922436032436,-96.4888138859137", "🔗 Ver Mapa")</f>
        <v>🔗 Ver Mapa</v>
      </c>
    </row>
    <row r="2754" spans="1:12" ht="43.5" x14ac:dyDescent="0.35">
      <c r="A2754" s="6" t="s">
        <v>98</v>
      </c>
      <c r="B2754" s="6" t="s">
        <v>99</v>
      </c>
      <c r="C2754" s="6" t="s">
        <v>606</v>
      </c>
      <c r="D2754" s="6" t="s">
        <v>14</v>
      </c>
      <c r="E2754" s="6" t="s">
        <v>140</v>
      </c>
      <c r="F2754" s="6" t="s">
        <v>141</v>
      </c>
      <c r="G2754" s="6" t="s">
        <v>604</v>
      </c>
      <c r="H2754" s="6" t="s">
        <v>607</v>
      </c>
      <c r="I2754" s="6" t="s">
        <v>31</v>
      </c>
      <c r="J2754" s="6">
        <v>17.992768000000002</v>
      </c>
      <c r="K2754" s="6">
        <v>-96.485926000000006</v>
      </c>
      <c r="L2754" s="6" t="str">
        <f>HYPERLINK("https://maps.google.com/?q=17.992768,-96.485926000000006", "🔗 Ver Mapa")</f>
        <v>🔗 Ver Mapa</v>
      </c>
    </row>
    <row r="2755" spans="1:12" ht="43.5" x14ac:dyDescent="0.35">
      <c r="A2755" s="5" t="s">
        <v>98</v>
      </c>
      <c r="B2755" s="5" t="s">
        <v>99</v>
      </c>
      <c r="C2755" s="5" t="s">
        <v>606</v>
      </c>
      <c r="D2755" s="5" t="s">
        <v>14</v>
      </c>
      <c r="E2755" s="5" t="s">
        <v>140</v>
      </c>
      <c r="F2755" s="5" t="s">
        <v>141</v>
      </c>
      <c r="G2755" s="5" t="s">
        <v>604</v>
      </c>
      <c r="H2755" s="5" t="s">
        <v>607</v>
      </c>
      <c r="I2755" s="5" t="s">
        <v>31</v>
      </c>
      <c r="J2755" s="5">
        <v>17.993204974840999</v>
      </c>
      <c r="K2755" s="5">
        <v>-96.487531879624001</v>
      </c>
      <c r="L2755" s="5" t="str">
        <f>HYPERLINK("https://maps.google.com/?q=17.9932049748406,-96.487531879623603", "🔗 Ver Mapa")</f>
        <v>🔗 Ver Mapa</v>
      </c>
    </row>
    <row r="2756" spans="1:12" ht="43.5" x14ac:dyDescent="0.35">
      <c r="A2756" s="6" t="s">
        <v>98</v>
      </c>
      <c r="B2756" s="6" t="s">
        <v>99</v>
      </c>
      <c r="C2756" s="6" t="s">
        <v>606</v>
      </c>
      <c r="D2756" s="6" t="s">
        <v>14</v>
      </c>
      <c r="E2756" s="6" t="s">
        <v>140</v>
      </c>
      <c r="F2756" s="6" t="s">
        <v>141</v>
      </c>
      <c r="G2756" s="6" t="s">
        <v>604</v>
      </c>
      <c r="H2756" s="6" t="s">
        <v>607</v>
      </c>
      <c r="I2756" s="6" t="s">
        <v>31</v>
      </c>
      <c r="J2756" s="6">
        <v>17.993755625277998</v>
      </c>
      <c r="K2756" s="6">
        <v>-96.484881932541995</v>
      </c>
      <c r="L2756" s="6" t="str">
        <f>HYPERLINK("https://maps.google.com/?q=17.9937556252776,-96.484881932541796", "🔗 Ver Mapa")</f>
        <v>🔗 Ver Mapa</v>
      </c>
    </row>
    <row r="2757" spans="1:12" ht="43.5" x14ac:dyDescent="0.35">
      <c r="A2757" s="5" t="s">
        <v>98</v>
      </c>
      <c r="B2757" s="5" t="s">
        <v>99</v>
      </c>
      <c r="C2757" s="5" t="s">
        <v>606</v>
      </c>
      <c r="D2757" s="5" t="s">
        <v>14</v>
      </c>
      <c r="E2757" s="5" t="s">
        <v>140</v>
      </c>
      <c r="F2757" s="5" t="s">
        <v>141</v>
      </c>
      <c r="G2757" s="5" t="s">
        <v>604</v>
      </c>
      <c r="H2757" s="5" t="s">
        <v>607</v>
      </c>
      <c r="I2757" s="5" t="s">
        <v>31</v>
      </c>
      <c r="J2757" s="5">
        <v>17.994146000000001</v>
      </c>
      <c r="K2757" s="5">
        <v>-96.487088999999997</v>
      </c>
      <c r="L2757" s="5" t="str">
        <f>HYPERLINK("https://maps.google.com/?q=17.994146,-96.487088999999997", "🔗 Ver Mapa")</f>
        <v>🔗 Ver Mapa</v>
      </c>
    </row>
    <row r="2758" spans="1:12" ht="43.5" x14ac:dyDescent="0.35">
      <c r="A2758" s="6" t="s">
        <v>98</v>
      </c>
      <c r="B2758" s="6" t="s">
        <v>99</v>
      </c>
      <c r="C2758" s="6" t="s">
        <v>606</v>
      </c>
      <c r="D2758" s="6" t="s">
        <v>14</v>
      </c>
      <c r="E2758" s="6" t="s">
        <v>140</v>
      </c>
      <c r="F2758" s="6" t="s">
        <v>141</v>
      </c>
      <c r="G2758" s="6" t="s">
        <v>604</v>
      </c>
      <c r="H2758" s="6" t="s">
        <v>607</v>
      </c>
      <c r="I2758" s="6" t="s">
        <v>31</v>
      </c>
      <c r="J2758" s="6">
        <v>17.994575784719</v>
      </c>
      <c r="K2758" s="6">
        <v>-96.486912915581996</v>
      </c>
      <c r="L2758" s="6" t="str">
        <f>HYPERLINK("https://maps.google.com/?q=17.9945757847186,-96.4869129155819", "🔗 Ver Mapa")</f>
        <v>🔗 Ver Mapa</v>
      </c>
    </row>
    <row r="2759" spans="1:12" ht="43.5" x14ac:dyDescent="0.35">
      <c r="A2759" s="5" t="s">
        <v>98</v>
      </c>
      <c r="B2759" s="5" t="s">
        <v>99</v>
      </c>
      <c r="C2759" s="5" t="s">
        <v>606</v>
      </c>
      <c r="D2759" s="5" t="s">
        <v>14</v>
      </c>
      <c r="E2759" s="5" t="s">
        <v>140</v>
      </c>
      <c r="F2759" s="5" t="s">
        <v>141</v>
      </c>
      <c r="G2759" s="5" t="s">
        <v>604</v>
      </c>
      <c r="H2759" s="5" t="s">
        <v>607</v>
      </c>
      <c r="I2759" s="5" t="s">
        <v>31</v>
      </c>
      <c r="J2759" s="5">
        <v>17.994892</v>
      </c>
      <c r="K2759" s="5">
        <v>-96.483726000000004</v>
      </c>
      <c r="L2759" s="5" t="str">
        <f>HYPERLINK("https://maps.google.com/?q=17.994892,-96.483726000000004", "🔗 Ver Mapa")</f>
        <v>🔗 Ver Mapa</v>
      </c>
    </row>
    <row r="2760" spans="1:12" ht="43.5" x14ac:dyDescent="0.35">
      <c r="A2760" s="6" t="s">
        <v>98</v>
      </c>
      <c r="B2760" s="6" t="s">
        <v>99</v>
      </c>
      <c r="C2760" s="6" t="s">
        <v>606</v>
      </c>
      <c r="D2760" s="6" t="s">
        <v>14</v>
      </c>
      <c r="E2760" s="6" t="s">
        <v>140</v>
      </c>
      <c r="F2760" s="6" t="s">
        <v>141</v>
      </c>
      <c r="G2760" s="6" t="s">
        <v>604</v>
      </c>
      <c r="H2760" s="6" t="s">
        <v>607</v>
      </c>
      <c r="I2760" s="6" t="s">
        <v>31</v>
      </c>
      <c r="J2760" s="6">
        <v>17.995321000000001</v>
      </c>
      <c r="K2760" s="6">
        <v>-96.487646999999996</v>
      </c>
      <c r="L2760" s="6" t="str">
        <f>HYPERLINK("https://maps.google.com/?q=17.995321,-96.487646999999996", "🔗 Ver Mapa")</f>
        <v>🔗 Ver Mapa</v>
      </c>
    </row>
    <row r="2761" spans="1:12" ht="43.5" x14ac:dyDescent="0.35">
      <c r="A2761" s="5" t="s">
        <v>98</v>
      </c>
      <c r="B2761" s="5" t="s">
        <v>99</v>
      </c>
      <c r="C2761" s="5" t="s">
        <v>606</v>
      </c>
      <c r="D2761" s="5" t="s">
        <v>14</v>
      </c>
      <c r="E2761" s="5" t="s">
        <v>140</v>
      </c>
      <c r="F2761" s="5" t="s">
        <v>141</v>
      </c>
      <c r="G2761" s="5" t="s">
        <v>604</v>
      </c>
      <c r="H2761" s="5" t="s">
        <v>607</v>
      </c>
      <c r="I2761" s="5" t="s">
        <v>31</v>
      </c>
      <c r="J2761" s="5">
        <v>17.995336999999999</v>
      </c>
      <c r="K2761" s="5">
        <v>-96.487853999999999</v>
      </c>
      <c r="L2761" s="5" t="str">
        <f>HYPERLINK("https://maps.google.com/?q=17.995337,-96.487853999999999", "🔗 Ver Mapa")</f>
        <v>🔗 Ver Mapa</v>
      </c>
    </row>
    <row r="2762" spans="1:12" ht="43.5" x14ac:dyDescent="0.35">
      <c r="A2762" s="6" t="s">
        <v>98</v>
      </c>
      <c r="B2762" s="6" t="s">
        <v>99</v>
      </c>
      <c r="C2762" s="6" t="s">
        <v>606</v>
      </c>
      <c r="D2762" s="6" t="s">
        <v>14</v>
      </c>
      <c r="E2762" s="6" t="s">
        <v>140</v>
      </c>
      <c r="F2762" s="6" t="s">
        <v>141</v>
      </c>
      <c r="G2762" s="6" t="s">
        <v>604</v>
      </c>
      <c r="H2762" s="6" t="s">
        <v>607</v>
      </c>
      <c r="I2762" s="6" t="s">
        <v>31</v>
      </c>
      <c r="J2762" s="6">
        <v>17.995377999999999</v>
      </c>
      <c r="K2762" s="6">
        <v>-96.487728000000004</v>
      </c>
      <c r="L2762" s="6" t="str">
        <f>HYPERLINK("https://maps.google.com/?q=17.995378,-96.487728000000004", "🔗 Ver Mapa")</f>
        <v>🔗 Ver Mapa</v>
      </c>
    </row>
    <row r="2763" spans="1:12" ht="43.5" x14ac:dyDescent="0.35">
      <c r="A2763" s="5" t="s">
        <v>98</v>
      </c>
      <c r="B2763" s="5" t="s">
        <v>99</v>
      </c>
      <c r="C2763" s="5" t="s">
        <v>606</v>
      </c>
      <c r="D2763" s="5" t="s">
        <v>14</v>
      </c>
      <c r="E2763" s="5" t="s">
        <v>140</v>
      </c>
      <c r="F2763" s="5" t="s">
        <v>141</v>
      </c>
      <c r="G2763" s="5" t="s">
        <v>604</v>
      </c>
      <c r="H2763" s="5" t="s">
        <v>607</v>
      </c>
      <c r="I2763" s="5" t="s">
        <v>31</v>
      </c>
      <c r="J2763" s="5">
        <v>17.996497999999999</v>
      </c>
      <c r="K2763" s="5">
        <v>-96.489721000000003</v>
      </c>
      <c r="L2763" s="5" t="str">
        <f>HYPERLINK("https://maps.google.com/?q=17.996498,-96.489721000000003", "🔗 Ver Mapa")</f>
        <v>🔗 Ver Mapa</v>
      </c>
    </row>
    <row r="2764" spans="1:12" ht="43.5" x14ac:dyDescent="0.35">
      <c r="A2764" s="6" t="s">
        <v>98</v>
      </c>
      <c r="B2764" s="6" t="s">
        <v>99</v>
      </c>
      <c r="C2764" s="6" t="s">
        <v>606</v>
      </c>
      <c r="D2764" s="6" t="s">
        <v>14</v>
      </c>
      <c r="E2764" s="6" t="s">
        <v>140</v>
      </c>
      <c r="F2764" s="6" t="s">
        <v>141</v>
      </c>
      <c r="G2764" s="6" t="s">
        <v>604</v>
      </c>
      <c r="H2764" s="6" t="s">
        <v>607</v>
      </c>
      <c r="I2764" s="6" t="s">
        <v>31</v>
      </c>
      <c r="J2764" s="6">
        <v>17.996538113718</v>
      </c>
      <c r="K2764" s="6">
        <v>-96.489569635582001</v>
      </c>
      <c r="L2764" s="6" t="str">
        <f>HYPERLINK("https://maps.google.com/?q=17.9965381137183,-96.489569635581901", "🔗 Ver Mapa")</f>
        <v>🔗 Ver Mapa</v>
      </c>
    </row>
    <row r="2765" spans="1:12" ht="43.5" x14ac:dyDescent="0.35">
      <c r="A2765" s="5" t="s">
        <v>98</v>
      </c>
      <c r="B2765" s="5" t="s">
        <v>99</v>
      </c>
      <c r="C2765" s="5" t="s">
        <v>608</v>
      </c>
      <c r="D2765" s="5" t="s">
        <v>14</v>
      </c>
      <c r="E2765" s="5" t="s">
        <v>110</v>
      </c>
      <c r="F2765" s="5" t="s">
        <v>126</v>
      </c>
      <c r="G2765" s="5" t="s">
        <v>609</v>
      </c>
      <c r="H2765" s="5" t="s">
        <v>610</v>
      </c>
      <c r="I2765" s="5" t="s">
        <v>31</v>
      </c>
      <c r="J2765" s="5">
        <v>18.019940191385999</v>
      </c>
      <c r="K2765" s="5">
        <v>-96.616427440474993</v>
      </c>
      <c r="L2765" s="5" t="str">
        <f>HYPERLINK("https://maps.google.com/?q=18.0199401913855,-96.616427440475405", "🔗 Ver Mapa")</f>
        <v>🔗 Ver Mapa</v>
      </c>
    </row>
    <row r="2766" spans="1:12" ht="43.5" x14ac:dyDescent="0.35">
      <c r="A2766" s="6" t="s">
        <v>98</v>
      </c>
      <c r="B2766" s="6" t="s">
        <v>99</v>
      </c>
      <c r="C2766" s="6" t="s">
        <v>608</v>
      </c>
      <c r="D2766" s="6" t="s">
        <v>14</v>
      </c>
      <c r="E2766" s="6" t="s">
        <v>110</v>
      </c>
      <c r="F2766" s="6" t="s">
        <v>126</v>
      </c>
      <c r="G2766" s="6" t="s">
        <v>609</v>
      </c>
      <c r="H2766" s="6" t="s">
        <v>610</v>
      </c>
      <c r="I2766" s="6" t="s">
        <v>31</v>
      </c>
      <c r="J2766" s="6">
        <v>18.020231625177999</v>
      </c>
      <c r="K2766" s="6">
        <v>-96.618070864372996</v>
      </c>
      <c r="L2766" s="6" t="str">
        <f>HYPERLINK("https://maps.google.com/?q=18.0202316251785,-96.618070864373493", "🔗 Ver Mapa")</f>
        <v>🔗 Ver Mapa</v>
      </c>
    </row>
    <row r="2767" spans="1:12" ht="43.5" x14ac:dyDescent="0.35">
      <c r="A2767" s="5" t="s">
        <v>98</v>
      </c>
      <c r="B2767" s="5" t="s">
        <v>99</v>
      </c>
      <c r="C2767" s="5" t="s">
        <v>608</v>
      </c>
      <c r="D2767" s="5" t="s">
        <v>14</v>
      </c>
      <c r="E2767" s="5" t="s">
        <v>110</v>
      </c>
      <c r="F2767" s="5" t="s">
        <v>126</v>
      </c>
      <c r="G2767" s="5" t="s">
        <v>609</v>
      </c>
      <c r="H2767" s="5" t="s">
        <v>610</v>
      </c>
      <c r="I2767" s="5" t="s">
        <v>31</v>
      </c>
      <c r="J2767" s="5">
        <v>18.020496597754999</v>
      </c>
      <c r="K2767" s="5">
        <v>-96.614085991402007</v>
      </c>
      <c r="L2767" s="5" t="str">
        <f>HYPERLINK("https://maps.google.com/?q=18.0204965977545,-96.614085991401595", "🔗 Ver Mapa")</f>
        <v>🔗 Ver Mapa</v>
      </c>
    </row>
    <row r="2768" spans="1:12" ht="43.5" x14ac:dyDescent="0.35">
      <c r="A2768" s="6" t="s">
        <v>98</v>
      </c>
      <c r="B2768" s="6" t="s">
        <v>99</v>
      </c>
      <c r="C2768" s="6" t="s">
        <v>608</v>
      </c>
      <c r="D2768" s="6" t="s">
        <v>14</v>
      </c>
      <c r="E2768" s="6" t="s">
        <v>110</v>
      </c>
      <c r="F2768" s="6" t="s">
        <v>126</v>
      </c>
      <c r="G2768" s="6" t="s">
        <v>609</v>
      </c>
      <c r="H2768" s="6" t="s">
        <v>610</v>
      </c>
      <c r="I2768" s="6" t="s">
        <v>31</v>
      </c>
      <c r="J2768" s="6">
        <v>18.020663958048001</v>
      </c>
      <c r="K2768" s="6">
        <v>-96.618808471852006</v>
      </c>
      <c r="L2768" s="6" t="str">
        <f>HYPERLINK("https://maps.google.com/?q=18.020663958048,-96.618808471852404", "🔗 Ver Mapa")</f>
        <v>🔗 Ver Mapa</v>
      </c>
    </row>
    <row r="2769" spans="1:12" ht="43.5" x14ac:dyDescent="0.35">
      <c r="A2769" s="5" t="s">
        <v>98</v>
      </c>
      <c r="B2769" s="5" t="s">
        <v>99</v>
      </c>
      <c r="C2769" s="5" t="s">
        <v>608</v>
      </c>
      <c r="D2769" s="5" t="s">
        <v>14</v>
      </c>
      <c r="E2769" s="5" t="s">
        <v>110</v>
      </c>
      <c r="F2769" s="5" t="s">
        <v>126</v>
      </c>
      <c r="G2769" s="5" t="s">
        <v>609</v>
      </c>
      <c r="H2769" s="5" t="s">
        <v>610</v>
      </c>
      <c r="I2769" s="5" t="s">
        <v>31</v>
      </c>
      <c r="J2769" s="5">
        <v>18.020678306638001</v>
      </c>
      <c r="K2769" s="5">
        <v>-96.617555219574001</v>
      </c>
      <c r="L2769" s="5" t="str">
        <f>HYPERLINK("https://maps.google.com/?q=18.0206783066379,-96.617555219573902", "🔗 Ver Mapa")</f>
        <v>🔗 Ver Mapa</v>
      </c>
    </row>
    <row r="2770" spans="1:12" ht="43.5" x14ac:dyDescent="0.35">
      <c r="A2770" s="6" t="s">
        <v>98</v>
      </c>
      <c r="B2770" s="6" t="s">
        <v>99</v>
      </c>
      <c r="C2770" s="6" t="s">
        <v>608</v>
      </c>
      <c r="D2770" s="6" t="s">
        <v>14</v>
      </c>
      <c r="E2770" s="6" t="s">
        <v>110</v>
      </c>
      <c r="F2770" s="6" t="s">
        <v>126</v>
      </c>
      <c r="G2770" s="6" t="s">
        <v>609</v>
      </c>
      <c r="H2770" s="6" t="s">
        <v>610</v>
      </c>
      <c r="I2770" s="6" t="s">
        <v>31</v>
      </c>
      <c r="J2770" s="6">
        <v>18.020835230629</v>
      </c>
      <c r="K2770" s="6">
        <v>-96.615242033065996</v>
      </c>
      <c r="L2770" s="6" t="str">
        <f>HYPERLINK("https://maps.google.com/?q=18.0208352306293,-96.615242033065698", "🔗 Ver Mapa")</f>
        <v>🔗 Ver Mapa</v>
      </c>
    </row>
    <row r="2771" spans="1:12" ht="43.5" x14ac:dyDescent="0.35">
      <c r="A2771" s="5" t="s">
        <v>98</v>
      </c>
      <c r="B2771" s="5" t="s">
        <v>99</v>
      </c>
      <c r="C2771" s="5" t="s">
        <v>608</v>
      </c>
      <c r="D2771" s="5" t="s">
        <v>14</v>
      </c>
      <c r="E2771" s="5" t="s">
        <v>110</v>
      </c>
      <c r="F2771" s="5" t="s">
        <v>126</v>
      </c>
      <c r="G2771" s="5" t="s">
        <v>609</v>
      </c>
      <c r="H2771" s="5" t="s">
        <v>610</v>
      </c>
      <c r="I2771" s="5" t="s">
        <v>31</v>
      </c>
      <c r="J2771" s="5">
        <v>18.021127005903001</v>
      </c>
      <c r="K2771" s="5">
        <v>-96.618692672787006</v>
      </c>
      <c r="L2771" s="5" t="str">
        <f>HYPERLINK("https://maps.google.com/?q=18.0211270059034,-96.618692672787205", "🔗 Ver Mapa")</f>
        <v>🔗 Ver Mapa</v>
      </c>
    </row>
    <row r="2772" spans="1:12" ht="43.5" x14ac:dyDescent="0.35">
      <c r="A2772" s="6" t="s">
        <v>98</v>
      </c>
      <c r="B2772" s="6" t="s">
        <v>99</v>
      </c>
      <c r="C2772" s="6" t="s">
        <v>608</v>
      </c>
      <c r="D2772" s="6" t="s">
        <v>14</v>
      </c>
      <c r="E2772" s="6" t="s">
        <v>110</v>
      </c>
      <c r="F2772" s="6" t="s">
        <v>126</v>
      </c>
      <c r="G2772" s="6" t="s">
        <v>609</v>
      </c>
      <c r="H2772" s="6" t="s">
        <v>610</v>
      </c>
      <c r="I2772" s="6" t="s">
        <v>31</v>
      </c>
      <c r="J2772" s="6">
        <v>18.021187593851</v>
      </c>
      <c r="K2772" s="6">
        <v>-96.618844442202999</v>
      </c>
      <c r="L2772" s="6" t="str">
        <f>HYPERLINK("https://maps.google.com/?q=18.0211875938506,-96.618844442202899", "🔗 Ver Mapa")</f>
        <v>🔗 Ver Mapa</v>
      </c>
    </row>
    <row r="2773" spans="1:12" ht="43.5" x14ac:dyDescent="0.35">
      <c r="A2773" s="5" t="s">
        <v>98</v>
      </c>
      <c r="B2773" s="5" t="s">
        <v>99</v>
      </c>
      <c r="C2773" s="5" t="s">
        <v>608</v>
      </c>
      <c r="D2773" s="5" t="s">
        <v>14</v>
      </c>
      <c r="E2773" s="5" t="s">
        <v>110</v>
      </c>
      <c r="F2773" s="5" t="s">
        <v>126</v>
      </c>
      <c r="G2773" s="5" t="s">
        <v>609</v>
      </c>
      <c r="H2773" s="5" t="s">
        <v>610</v>
      </c>
      <c r="I2773" s="5" t="s">
        <v>31</v>
      </c>
      <c r="J2773" s="5">
        <v>18.021259796908002</v>
      </c>
      <c r="K2773" s="5">
        <v>-96.618845309193006</v>
      </c>
      <c r="L2773" s="5" t="str">
        <f>HYPERLINK("https://maps.google.com/?q=18.0212597969076,-96.618845309192594", "🔗 Ver Mapa")</f>
        <v>🔗 Ver Mapa</v>
      </c>
    </row>
    <row r="2774" spans="1:12" ht="43.5" x14ac:dyDescent="0.35">
      <c r="A2774" s="6" t="s">
        <v>98</v>
      </c>
      <c r="B2774" s="6" t="s">
        <v>99</v>
      </c>
      <c r="C2774" s="6" t="s">
        <v>608</v>
      </c>
      <c r="D2774" s="6" t="s">
        <v>14</v>
      </c>
      <c r="E2774" s="6" t="s">
        <v>110</v>
      </c>
      <c r="F2774" s="6" t="s">
        <v>126</v>
      </c>
      <c r="G2774" s="6" t="s">
        <v>609</v>
      </c>
      <c r="H2774" s="6" t="s">
        <v>610</v>
      </c>
      <c r="I2774" s="6" t="s">
        <v>31</v>
      </c>
      <c r="J2774" s="6">
        <v>18.021296622487998</v>
      </c>
      <c r="K2774" s="6">
        <v>-96.618703401622994</v>
      </c>
      <c r="L2774" s="6" t="str">
        <f>HYPERLINK("https://maps.google.com/?q=18.0212966224881,-96.618703401623307", "🔗 Ver Mapa")</f>
        <v>🔗 Ver Mapa</v>
      </c>
    </row>
    <row r="2775" spans="1:12" ht="43.5" x14ac:dyDescent="0.35">
      <c r="A2775" s="5" t="s">
        <v>98</v>
      </c>
      <c r="B2775" s="5" t="s">
        <v>99</v>
      </c>
      <c r="C2775" s="5" t="s">
        <v>608</v>
      </c>
      <c r="D2775" s="5" t="s">
        <v>14</v>
      </c>
      <c r="E2775" s="5" t="s">
        <v>110</v>
      </c>
      <c r="F2775" s="5" t="s">
        <v>126</v>
      </c>
      <c r="G2775" s="5" t="s">
        <v>609</v>
      </c>
      <c r="H2775" s="5" t="s">
        <v>610</v>
      </c>
      <c r="I2775" s="5" t="s">
        <v>31</v>
      </c>
      <c r="J2775" s="5">
        <v>18.021411254084001</v>
      </c>
      <c r="K2775" s="5">
        <v>-96.617586343089997</v>
      </c>
      <c r="L2775" s="5" t="str">
        <f>HYPERLINK("https://maps.google.com/?q=18.021411254084,-96.617586343090494", "🔗 Ver Mapa")</f>
        <v>🔗 Ver Mapa</v>
      </c>
    </row>
    <row r="2776" spans="1:12" ht="43.5" x14ac:dyDescent="0.35">
      <c r="A2776" s="6" t="s">
        <v>98</v>
      </c>
      <c r="B2776" s="6" t="s">
        <v>99</v>
      </c>
      <c r="C2776" s="6" t="s">
        <v>608</v>
      </c>
      <c r="D2776" s="6" t="s">
        <v>14</v>
      </c>
      <c r="E2776" s="6" t="s">
        <v>110</v>
      </c>
      <c r="F2776" s="6" t="s">
        <v>126</v>
      </c>
      <c r="G2776" s="6" t="s">
        <v>609</v>
      </c>
      <c r="H2776" s="6" t="s">
        <v>610</v>
      </c>
      <c r="I2776" s="6" t="s">
        <v>31</v>
      </c>
      <c r="J2776" s="6">
        <v>18.021553083459001</v>
      </c>
      <c r="K2776" s="6">
        <v>-96.616981179999996</v>
      </c>
      <c r="L2776" s="6" t="str">
        <f>HYPERLINK("https://maps.google.com/?q=18.0215530834594,-96.616981179999897", "🔗 Ver Mapa")</f>
        <v>🔗 Ver Mapa</v>
      </c>
    </row>
    <row r="2777" spans="1:12" ht="43.5" x14ac:dyDescent="0.35">
      <c r="A2777" s="5" t="s">
        <v>98</v>
      </c>
      <c r="B2777" s="5" t="s">
        <v>99</v>
      </c>
      <c r="C2777" s="5" t="s">
        <v>608</v>
      </c>
      <c r="D2777" s="5" t="s">
        <v>14</v>
      </c>
      <c r="E2777" s="5" t="s">
        <v>110</v>
      </c>
      <c r="F2777" s="5" t="s">
        <v>126</v>
      </c>
      <c r="G2777" s="5" t="s">
        <v>609</v>
      </c>
      <c r="H2777" s="5" t="s">
        <v>610</v>
      </c>
      <c r="I2777" s="5" t="s">
        <v>31</v>
      </c>
      <c r="J2777" s="5">
        <v>18.022370633072001</v>
      </c>
      <c r="K2777" s="5">
        <v>-96.617856240715</v>
      </c>
      <c r="L2777" s="5" t="str">
        <f>HYPERLINK("https://maps.google.com/?q=18.0223706330724,-96.617856240715199", "🔗 Ver Mapa")</f>
        <v>🔗 Ver Mapa</v>
      </c>
    </row>
    <row r="2778" spans="1:12" ht="43.5" x14ac:dyDescent="0.35">
      <c r="A2778" s="6" t="s">
        <v>98</v>
      </c>
      <c r="B2778" s="6" t="s">
        <v>99</v>
      </c>
      <c r="C2778" s="6" t="s">
        <v>608</v>
      </c>
      <c r="D2778" s="6" t="s">
        <v>14</v>
      </c>
      <c r="E2778" s="6" t="s">
        <v>110</v>
      </c>
      <c r="F2778" s="6" t="s">
        <v>126</v>
      </c>
      <c r="G2778" s="6" t="s">
        <v>609</v>
      </c>
      <c r="H2778" s="6" t="s">
        <v>610</v>
      </c>
      <c r="I2778" s="6" t="s">
        <v>31</v>
      </c>
      <c r="J2778" s="6">
        <v>18.022596480562999</v>
      </c>
      <c r="K2778" s="6">
        <v>-96.618221163195003</v>
      </c>
      <c r="L2778" s="6" t="str">
        <f>HYPERLINK("https://maps.google.com/?q=18.0225964805634,-96.618221163194605", "🔗 Ver Mapa")</f>
        <v>🔗 Ver Mapa</v>
      </c>
    </row>
    <row r="2779" spans="1:12" ht="43.5" x14ac:dyDescent="0.35">
      <c r="A2779" s="5" t="s">
        <v>98</v>
      </c>
      <c r="B2779" s="5" t="s">
        <v>99</v>
      </c>
      <c r="C2779" s="5" t="s">
        <v>611</v>
      </c>
      <c r="D2779" s="5" t="s">
        <v>14</v>
      </c>
      <c r="E2779" s="5" t="s">
        <v>39</v>
      </c>
      <c r="F2779" s="5" t="s">
        <v>40</v>
      </c>
      <c r="G2779" s="5" t="s">
        <v>612</v>
      </c>
      <c r="H2779" s="5" t="s">
        <v>613</v>
      </c>
      <c r="I2779" s="5" t="s">
        <v>31</v>
      </c>
      <c r="J2779" s="5">
        <v>16.989222555422</v>
      </c>
      <c r="K2779" s="5">
        <v>-97.701492663685002</v>
      </c>
      <c r="L2779" s="5" t="str">
        <f>HYPERLINK("https://maps.google.com/?q=16.9892225554218,-97.701492663685102", "🔗 Ver Mapa")</f>
        <v>🔗 Ver Mapa</v>
      </c>
    </row>
    <row r="2780" spans="1:12" ht="43.5" x14ac:dyDescent="0.35">
      <c r="A2780" s="6" t="s">
        <v>98</v>
      </c>
      <c r="B2780" s="6" t="s">
        <v>99</v>
      </c>
      <c r="C2780" s="6" t="s">
        <v>611</v>
      </c>
      <c r="D2780" s="6" t="s">
        <v>14</v>
      </c>
      <c r="E2780" s="6" t="s">
        <v>39</v>
      </c>
      <c r="F2780" s="6" t="s">
        <v>40</v>
      </c>
      <c r="G2780" s="6" t="s">
        <v>612</v>
      </c>
      <c r="H2780" s="6" t="s">
        <v>613</v>
      </c>
      <c r="I2780" s="6" t="s">
        <v>31</v>
      </c>
      <c r="J2780" s="6">
        <v>16.991029796252</v>
      </c>
      <c r="K2780" s="6">
        <v>-97.700877078538994</v>
      </c>
      <c r="L2780" s="6" t="str">
        <f>HYPERLINK("https://maps.google.com/?q=16.9910297962516,-97.700877078538895", "🔗 Ver Mapa")</f>
        <v>🔗 Ver Mapa</v>
      </c>
    </row>
    <row r="2781" spans="1:12" ht="43.5" x14ac:dyDescent="0.35">
      <c r="A2781" s="5" t="s">
        <v>98</v>
      </c>
      <c r="B2781" s="5" t="s">
        <v>99</v>
      </c>
      <c r="C2781" s="5" t="s">
        <v>611</v>
      </c>
      <c r="D2781" s="5" t="s">
        <v>14</v>
      </c>
      <c r="E2781" s="5" t="s">
        <v>39</v>
      </c>
      <c r="F2781" s="5" t="s">
        <v>40</v>
      </c>
      <c r="G2781" s="5" t="s">
        <v>612</v>
      </c>
      <c r="H2781" s="5" t="s">
        <v>613</v>
      </c>
      <c r="I2781" s="5" t="s">
        <v>31</v>
      </c>
      <c r="J2781" s="5">
        <v>16.991466531579999</v>
      </c>
      <c r="K2781" s="5">
        <v>-97.701455414104004</v>
      </c>
      <c r="L2781" s="5" t="str">
        <f>HYPERLINK("https://maps.google.com/?q=16.9914665315804,-97.701455414103506", "🔗 Ver Mapa")</f>
        <v>🔗 Ver Mapa</v>
      </c>
    </row>
    <row r="2782" spans="1:12" ht="43.5" x14ac:dyDescent="0.35">
      <c r="A2782" s="6" t="s">
        <v>98</v>
      </c>
      <c r="B2782" s="6" t="s">
        <v>99</v>
      </c>
      <c r="C2782" s="6" t="s">
        <v>611</v>
      </c>
      <c r="D2782" s="6" t="s">
        <v>14</v>
      </c>
      <c r="E2782" s="6" t="s">
        <v>39</v>
      </c>
      <c r="F2782" s="6" t="s">
        <v>40</v>
      </c>
      <c r="G2782" s="6" t="s">
        <v>612</v>
      </c>
      <c r="H2782" s="6" t="s">
        <v>613</v>
      </c>
      <c r="I2782" s="6" t="s">
        <v>31</v>
      </c>
      <c r="J2782" s="6">
        <v>16.991551652601999</v>
      </c>
      <c r="K2782" s="6">
        <v>-97.701483233134994</v>
      </c>
      <c r="L2782" s="6" t="str">
        <f>HYPERLINK("https://maps.google.com/?q=16.9915516526023,-97.701483233135406", "🔗 Ver Mapa")</f>
        <v>🔗 Ver Mapa</v>
      </c>
    </row>
    <row r="2783" spans="1:12" ht="43.5" x14ac:dyDescent="0.35">
      <c r="A2783" s="5" t="s">
        <v>98</v>
      </c>
      <c r="B2783" s="5" t="s">
        <v>99</v>
      </c>
      <c r="C2783" s="5" t="s">
        <v>611</v>
      </c>
      <c r="D2783" s="5" t="s">
        <v>14</v>
      </c>
      <c r="E2783" s="5" t="s">
        <v>39</v>
      </c>
      <c r="F2783" s="5" t="s">
        <v>40</v>
      </c>
      <c r="G2783" s="5" t="s">
        <v>612</v>
      </c>
      <c r="H2783" s="5" t="s">
        <v>613</v>
      </c>
      <c r="I2783" s="5" t="s">
        <v>31</v>
      </c>
      <c r="J2783" s="5">
        <v>16.991870479477999</v>
      </c>
      <c r="K2783" s="5">
        <v>-97.702460857060004</v>
      </c>
      <c r="L2783" s="5" t="str">
        <f>HYPERLINK("https://maps.google.com/?q=16.9918704794778,-97.702460857060402", "🔗 Ver Mapa")</f>
        <v>🔗 Ver Mapa</v>
      </c>
    </row>
    <row r="2784" spans="1:12" ht="43.5" x14ac:dyDescent="0.35">
      <c r="A2784" s="6" t="s">
        <v>98</v>
      </c>
      <c r="B2784" s="6" t="s">
        <v>99</v>
      </c>
      <c r="C2784" s="6" t="s">
        <v>611</v>
      </c>
      <c r="D2784" s="6" t="s">
        <v>14</v>
      </c>
      <c r="E2784" s="6" t="s">
        <v>39</v>
      </c>
      <c r="F2784" s="6" t="s">
        <v>40</v>
      </c>
      <c r="G2784" s="6" t="s">
        <v>612</v>
      </c>
      <c r="H2784" s="6" t="s">
        <v>613</v>
      </c>
      <c r="I2784" s="6" t="s">
        <v>31</v>
      </c>
      <c r="J2784" s="6">
        <v>16.992282323306</v>
      </c>
      <c r="K2784" s="6">
        <v>-97.703059273934002</v>
      </c>
      <c r="L2784" s="6" t="str">
        <f>HYPERLINK("https://maps.google.com/?q=16.9922823233061,-97.703059273933803", "🔗 Ver Mapa")</f>
        <v>🔗 Ver Mapa</v>
      </c>
    </row>
    <row r="2785" spans="1:12" ht="43.5" x14ac:dyDescent="0.35">
      <c r="A2785" s="5" t="s">
        <v>98</v>
      </c>
      <c r="B2785" s="5" t="s">
        <v>99</v>
      </c>
      <c r="C2785" s="5" t="s">
        <v>611</v>
      </c>
      <c r="D2785" s="5" t="s">
        <v>14</v>
      </c>
      <c r="E2785" s="5" t="s">
        <v>39</v>
      </c>
      <c r="F2785" s="5" t="s">
        <v>40</v>
      </c>
      <c r="G2785" s="5" t="s">
        <v>612</v>
      </c>
      <c r="H2785" s="5" t="s">
        <v>613</v>
      </c>
      <c r="I2785" s="5" t="s">
        <v>31</v>
      </c>
      <c r="J2785" s="5">
        <v>16.992485700431999</v>
      </c>
      <c r="K2785" s="5">
        <v>-97.704233078539005</v>
      </c>
      <c r="L2785" s="5" t="str">
        <f>HYPERLINK("https://maps.google.com/?q=16.9924857004325,-97.704233078538905", "🔗 Ver Mapa")</f>
        <v>🔗 Ver Mapa</v>
      </c>
    </row>
    <row r="2786" spans="1:12" ht="43.5" x14ac:dyDescent="0.35">
      <c r="A2786" s="6" t="s">
        <v>98</v>
      </c>
      <c r="B2786" s="6" t="s">
        <v>99</v>
      </c>
      <c r="C2786" s="6" t="s">
        <v>611</v>
      </c>
      <c r="D2786" s="6" t="s">
        <v>14</v>
      </c>
      <c r="E2786" s="6" t="s">
        <v>39</v>
      </c>
      <c r="F2786" s="6" t="s">
        <v>40</v>
      </c>
      <c r="G2786" s="6" t="s">
        <v>612</v>
      </c>
      <c r="H2786" s="6" t="s">
        <v>613</v>
      </c>
      <c r="I2786" s="6" t="s">
        <v>31</v>
      </c>
      <c r="J2786" s="6">
        <v>16.992831174605001</v>
      </c>
      <c r="K2786" s="6">
        <v>-97.703674706100003</v>
      </c>
      <c r="L2786" s="6" t="str">
        <f>HYPERLINK("https://maps.google.com/?q=16.9928311746045,-97.703674706099605", "🔗 Ver Mapa")</f>
        <v>🔗 Ver Mapa</v>
      </c>
    </row>
    <row r="2787" spans="1:12" ht="43.5" x14ac:dyDescent="0.35">
      <c r="A2787" s="5" t="s">
        <v>98</v>
      </c>
      <c r="B2787" s="5" t="s">
        <v>99</v>
      </c>
      <c r="C2787" s="5" t="s">
        <v>611</v>
      </c>
      <c r="D2787" s="5" t="s">
        <v>14</v>
      </c>
      <c r="E2787" s="5" t="s">
        <v>39</v>
      </c>
      <c r="F2787" s="5" t="s">
        <v>40</v>
      </c>
      <c r="G2787" s="5" t="s">
        <v>612</v>
      </c>
      <c r="H2787" s="5" t="s">
        <v>613</v>
      </c>
      <c r="I2787" s="5" t="s">
        <v>31</v>
      </c>
      <c r="J2787" s="5">
        <v>16.993499592673999</v>
      </c>
      <c r="K2787" s="5">
        <v>-97.701064906745003</v>
      </c>
      <c r="L2787" s="5" t="str">
        <f>HYPERLINK("https://maps.google.com/?q=16.9934995926745,-97.701064906745302", "🔗 Ver Mapa")</f>
        <v>🔗 Ver Mapa</v>
      </c>
    </row>
    <row r="2788" spans="1:12" ht="43.5" x14ac:dyDescent="0.35">
      <c r="A2788" s="6" t="s">
        <v>98</v>
      </c>
      <c r="B2788" s="6" t="s">
        <v>99</v>
      </c>
      <c r="C2788" s="6" t="s">
        <v>611</v>
      </c>
      <c r="D2788" s="6" t="s">
        <v>14</v>
      </c>
      <c r="E2788" s="6" t="s">
        <v>39</v>
      </c>
      <c r="F2788" s="6" t="s">
        <v>40</v>
      </c>
      <c r="G2788" s="6" t="s">
        <v>612</v>
      </c>
      <c r="H2788" s="6" t="s">
        <v>613</v>
      </c>
      <c r="I2788" s="6" t="s">
        <v>31</v>
      </c>
      <c r="J2788" s="6">
        <v>16.993920440459</v>
      </c>
      <c r="K2788" s="6">
        <v>-97.701475227594997</v>
      </c>
      <c r="L2788" s="6" t="str">
        <f>HYPERLINK("https://maps.google.com/?q=16.9939204404587,-97.701475227595296", "🔗 Ver Mapa")</f>
        <v>🔗 Ver Mapa</v>
      </c>
    </row>
    <row r="2789" spans="1:12" ht="43.5" x14ac:dyDescent="0.35">
      <c r="A2789" s="5" t="s">
        <v>98</v>
      </c>
      <c r="B2789" s="5" t="s">
        <v>99</v>
      </c>
      <c r="C2789" s="5" t="s">
        <v>611</v>
      </c>
      <c r="D2789" s="5" t="s">
        <v>14</v>
      </c>
      <c r="E2789" s="5" t="s">
        <v>39</v>
      </c>
      <c r="F2789" s="5" t="s">
        <v>40</v>
      </c>
      <c r="G2789" s="5" t="s">
        <v>612</v>
      </c>
      <c r="H2789" s="5" t="s">
        <v>613</v>
      </c>
      <c r="I2789" s="5" t="s">
        <v>31</v>
      </c>
      <c r="J2789" s="5">
        <v>16.994117469389</v>
      </c>
      <c r="K2789" s="5">
        <v>-97.703026008598002</v>
      </c>
      <c r="L2789" s="5" t="str">
        <f>HYPERLINK("https://maps.google.com/?q=16.9941174693886,-97.7030260085983", "🔗 Ver Mapa")</f>
        <v>🔗 Ver Mapa</v>
      </c>
    </row>
    <row r="2790" spans="1:12" ht="43.5" x14ac:dyDescent="0.35">
      <c r="A2790" s="6" t="s">
        <v>98</v>
      </c>
      <c r="B2790" s="6" t="s">
        <v>99</v>
      </c>
      <c r="C2790" s="6" t="s">
        <v>611</v>
      </c>
      <c r="D2790" s="6" t="s">
        <v>14</v>
      </c>
      <c r="E2790" s="6" t="s">
        <v>39</v>
      </c>
      <c r="F2790" s="6" t="s">
        <v>40</v>
      </c>
      <c r="G2790" s="6" t="s">
        <v>612</v>
      </c>
      <c r="H2790" s="6" t="s">
        <v>613</v>
      </c>
      <c r="I2790" s="6" t="s">
        <v>31</v>
      </c>
      <c r="J2790" s="6">
        <v>16.994229057241</v>
      </c>
      <c r="K2790" s="6">
        <v>-97.700571248944001</v>
      </c>
      <c r="L2790" s="6" t="str">
        <f>HYPERLINK("https://maps.google.com/?q=16.9942290572408,-97.7005712489443", "🔗 Ver Mapa")</f>
        <v>🔗 Ver Mapa</v>
      </c>
    </row>
    <row r="2791" spans="1:12" ht="43.5" x14ac:dyDescent="0.35">
      <c r="A2791" s="5" t="s">
        <v>98</v>
      </c>
      <c r="B2791" s="5" t="s">
        <v>99</v>
      </c>
      <c r="C2791" s="5" t="s">
        <v>611</v>
      </c>
      <c r="D2791" s="5" t="s">
        <v>14</v>
      </c>
      <c r="E2791" s="5" t="s">
        <v>39</v>
      </c>
      <c r="F2791" s="5" t="s">
        <v>40</v>
      </c>
      <c r="G2791" s="5" t="s">
        <v>612</v>
      </c>
      <c r="H2791" s="5" t="s">
        <v>613</v>
      </c>
      <c r="I2791" s="5" t="s">
        <v>31</v>
      </c>
      <c r="J2791" s="5">
        <v>16.994238044081001</v>
      </c>
      <c r="K2791" s="5">
        <v>-97.702896903398994</v>
      </c>
      <c r="L2791" s="5" t="str">
        <f>HYPERLINK("https://maps.google.com/?q=16.9942380440809,-97.702896903398994", "🔗 Ver Mapa")</f>
        <v>🔗 Ver Mapa</v>
      </c>
    </row>
    <row r="2792" spans="1:12" ht="43.5" x14ac:dyDescent="0.35">
      <c r="A2792" s="6" t="s">
        <v>98</v>
      </c>
      <c r="B2792" s="6" t="s">
        <v>99</v>
      </c>
      <c r="C2792" s="6" t="s">
        <v>611</v>
      </c>
      <c r="D2792" s="6" t="s">
        <v>14</v>
      </c>
      <c r="E2792" s="6" t="s">
        <v>39</v>
      </c>
      <c r="F2792" s="6" t="s">
        <v>40</v>
      </c>
      <c r="G2792" s="6" t="s">
        <v>612</v>
      </c>
      <c r="H2792" s="6" t="s">
        <v>613</v>
      </c>
      <c r="I2792" s="6" t="s">
        <v>31</v>
      </c>
      <c r="J2792" s="6">
        <v>16.994603742334998</v>
      </c>
      <c r="K2792" s="6">
        <v>-97.702566685267001</v>
      </c>
      <c r="L2792" s="6" t="str">
        <f>HYPERLINK("https://maps.google.com/?q=16.994603742335,-97.702566685267499", "🔗 Ver Mapa")</f>
        <v>🔗 Ver Mapa</v>
      </c>
    </row>
    <row r="2793" spans="1:12" ht="43.5" x14ac:dyDescent="0.35">
      <c r="A2793" s="5" t="s">
        <v>98</v>
      </c>
      <c r="B2793" s="5" t="s">
        <v>99</v>
      </c>
      <c r="C2793" s="5" t="s">
        <v>611</v>
      </c>
      <c r="D2793" s="5" t="s">
        <v>14</v>
      </c>
      <c r="E2793" s="5" t="s">
        <v>39</v>
      </c>
      <c r="F2793" s="5" t="s">
        <v>40</v>
      </c>
      <c r="G2793" s="5" t="s">
        <v>612</v>
      </c>
      <c r="H2793" s="5" t="s">
        <v>613</v>
      </c>
      <c r="I2793" s="5" t="s">
        <v>31</v>
      </c>
      <c r="J2793" s="5">
        <v>16.994719329637999</v>
      </c>
      <c r="K2793" s="5">
        <v>-97.701812306134002</v>
      </c>
      <c r="L2793" s="5" t="str">
        <f>HYPERLINK("https://maps.google.com/?q=16.9947193296381,-97.701812306134201", "🔗 Ver Mapa")</f>
        <v>🔗 Ver Mapa</v>
      </c>
    </row>
    <row r="2794" spans="1:12" ht="43.5" x14ac:dyDescent="0.35">
      <c r="A2794" s="6" t="s">
        <v>98</v>
      </c>
      <c r="B2794" s="6" t="s">
        <v>99</v>
      </c>
      <c r="C2794" s="6" t="s">
        <v>611</v>
      </c>
      <c r="D2794" s="6" t="s">
        <v>14</v>
      </c>
      <c r="E2794" s="6" t="s">
        <v>39</v>
      </c>
      <c r="F2794" s="6" t="s">
        <v>40</v>
      </c>
      <c r="G2794" s="6" t="s">
        <v>612</v>
      </c>
      <c r="H2794" s="6" t="s">
        <v>613</v>
      </c>
      <c r="I2794" s="6" t="s">
        <v>31</v>
      </c>
      <c r="J2794" s="6">
        <v>16.994868005849</v>
      </c>
      <c r="K2794" s="6">
        <v>-97.701777084656001</v>
      </c>
      <c r="L2794" s="6" t="str">
        <f>HYPERLINK("https://maps.google.com/?q=16.9948680058487,-97.701777084655802", "🔗 Ver Mapa")</f>
        <v>🔗 Ver Mapa</v>
      </c>
    </row>
    <row r="2795" spans="1:12" ht="43.5" x14ac:dyDescent="0.35">
      <c r="A2795" s="5" t="s">
        <v>98</v>
      </c>
      <c r="B2795" s="5" t="s">
        <v>99</v>
      </c>
      <c r="C2795" s="5" t="s">
        <v>611</v>
      </c>
      <c r="D2795" s="5" t="s">
        <v>14</v>
      </c>
      <c r="E2795" s="5" t="s">
        <v>39</v>
      </c>
      <c r="F2795" s="5" t="s">
        <v>40</v>
      </c>
      <c r="G2795" s="5" t="s">
        <v>612</v>
      </c>
      <c r="H2795" s="5" t="s">
        <v>613</v>
      </c>
      <c r="I2795" s="5" t="s">
        <v>31</v>
      </c>
      <c r="J2795" s="5">
        <v>16.995006491552999</v>
      </c>
      <c r="K2795" s="5">
        <v>-97.701413492642004</v>
      </c>
      <c r="L2795" s="5" t="str">
        <f>HYPERLINK("https://maps.google.com/?q=16.995006491553,-97.701413492642402", "🔗 Ver Mapa")</f>
        <v>🔗 Ver Mapa</v>
      </c>
    </row>
    <row r="2796" spans="1:12" ht="43.5" x14ac:dyDescent="0.35">
      <c r="A2796" s="6" t="s">
        <v>98</v>
      </c>
      <c r="B2796" s="6" t="s">
        <v>99</v>
      </c>
      <c r="C2796" s="6" t="s">
        <v>611</v>
      </c>
      <c r="D2796" s="6" t="s">
        <v>14</v>
      </c>
      <c r="E2796" s="6" t="s">
        <v>39</v>
      </c>
      <c r="F2796" s="6" t="s">
        <v>40</v>
      </c>
      <c r="G2796" s="6" t="s">
        <v>612</v>
      </c>
      <c r="H2796" s="6" t="s">
        <v>613</v>
      </c>
      <c r="I2796" s="6" t="s">
        <v>31</v>
      </c>
      <c r="J2796" s="6">
        <v>16.995053069360999</v>
      </c>
      <c r="K2796" s="6">
        <v>-97.701694294478003</v>
      </c>
      <c r="L2796" s="6" t="str">
        <f>HYPERLINK("https://maps.google.com/?q=16.9950530693613,-97.701694294477505", "🔗 Ver Mapa")</f>
        <v>🔗 Ver Mapa</v>
      </c>
    </row>
    <row r="2797" spans="1:12" ht="43.5" x14ac:dyDescent="0.35">
      <c r="A2797" s="5" t="s">
        <v>98</v>
      </c>
      <c r="B2797" s="5" t="s">
        <v>99</v>
      </c>
      <c r="C2797" s="5" t="s">
        <v>611</v>
      </c>
      <c r="D2797" s="5" t="s">
        <v>14</v>
      </c>
      <c r="E2797" s="5" t="s">
        <v>39</v>
      </c>
      <c r="F2797" s="5" t="s">
        <v>40</v>
      </c>
      <c r="G2797" s="5" t="s">
        <v>612</v>
      </c>
      <c r="H2797" s="5" t="s">
        <v>613</v>
      </c>
      <c r="I2797" s="5" t="s">
        <v>31</v>
      </c>
      <c r="J2797" s="5">
        <v>16.995067818553</v>
      </c>
      <c r="K2797" s="5">
        <v>-97.700909142940006</v>
      </c>
      <c r="L2797" s="5" t="str">
        <f>HYPERLINK("https://maps.google.com/?q=16.9950678185531,-97.700909142939594", "🔗 Ver Mapa")</f>
        <v>🔗 Ver Mapa</v>
      </c>
    </row>
    <row r="2798" spans="1:12" ht="43.5" x14ac:dyDescent="0.35">
      <c r="A2798" s="6" t="s">
        <v>98</v>
      </c>
      <c r="B2798" s="6" t="s">
        <v>99</v>
      </c>
      <c r="C2798" s="6" t="s">
        <v>611</v>
      </c>
      <c r="D2798" s="6" t="s">
        <v>14</v>
      </c>
      <c r="E2798" s="6" t="s">
        <v>39</v>
      </c>
      <c r="F2798" s="6" t="s">
        <v>40</v>
      </c>
      <c r="G2798" s="6" t="s">
        <v>612</v>
      </c>
      <c r="H2798" s="6" t="s">
        <v>613</v>
      </c>
      <c r="I2798" s="6" t="s">
        <v>31</v>
      </c>
      <c r="J2798" s="6">
        <v>16.995476284666001</v>
      </c>
      <c r="K2798" s="6">
        <v>-97.701968268683004</v>
      </c>
      <c r="L2798" s="6" t="str">
        <f>HYPERLINK("https://maps.google.com/?q=16.9954762846656,-97.701968268682506", "🔗 Ver Mapa")</f>
        <v>🔗 Ver Mapa</v>
      </c>
    </row>
    <row r="2799" spans="1:12" ht="43.5" x14ac:dyDescent="0.35">
      <c r="A2799" s="5" t="s">
        <v>98</v>
      </c>
      <c r="B2799" s="5" t="s">
        <v>99</v>
      </c>
      <c r="C2799" s="5" t="s">
        <v>614</v>
      </c>
      <c r="D2799" s="5" t="s">
        <v>14</v>
      </c>
      <c r="E2799" s="5" t="s">
        <v>39</v>
      </c>
      <c r="F2799" s="5" t="s">
        <v>40</v>
      </c>
      <c r="G2799" s="5" t="s">
        <v>612</v>
      </c>
      <c r="H2799" s="5" t="s">
        <v>615</v>
      </c>
      <c r="I2799" s="5" t="s">
        <v>31</v>
      </c>
      <c r="J2799" s="5">
        <v>16.981019792613001</v>
      </c>
      <c r="K2799" s="5">
        <v>-97.712834201223004</v>
      </c>
      <c r="L2799" s="5" t="str">
        <f>HYPERLINK("https://maps.google.com/?q=16.9810197926129,-97.712834201223401", "🔗 Ver Mapa")</f>
        <v>🔗 Ver Mapa</v>
      </c>
    </row>
    <row r="2800" spans="1:12" ht="43.5" x14ac:dyDescent="0.35">
      <c r="A2800" s="6" t="s">
        <v>98</v>
      </c>
      <c r="B2800" s="6" t="s">
        <v>99</v>
      </c>
      <c r="C2800" s="6" t="s">
        <v>614</v>
      </c>
      <c r="D2800" s="6" t="s">
        <v>14</v>
      </c>
      <c r="E2800" s="6" t="s">
        <v>39</v>
      </c>
      <c r="F2800" s="6" t="s">
        <v>40</v>
      </c>
      <c r="G2800" s="6" t="s">
        <v>612</v>
      </c>
      <c r="H2800" s="6" t="s">
        <v>615</v>
      </c>
      <c r="I2800" s="6" t="s">
        <v>31</v>
      </c>
      <c r="J2800" s="6">
        <v>16.981032561856999</v>
      </c>
      <c r="K2800" s="6">
        <v>-97.714918656981993</v>
      </c>
      <c r="L2800" s="6" t="str">
        <f>HYPERLINK("https://maps.google.com/?q=16.981032561857,-97.714918656982206", "🔗 Ver Mapa")</f>
        <v>🔗 Ver Mapa</v>
      </c>
    </row>
    <row r="2801" spans="1:12" ht="43.5" x14ac:dyDescent="0.35">
      <c r="A2801" s="5" t="s">
        <v>98</v>
      </c>
      <c r="B2801" s="5" t="s">
        <v>99</v>
      </c>
      <c r="C2801" s="5" t="s">
        <v>614</v>
      </c>
      <c r="D2801" s="5" t="s">
        <v>14</v>
      </c>
      <c r="E2801" s="5" t="s">
        <v>39</v>
      </c>
      <c r="F2801" s="5" t="s">
        <v>40</v>
      </c>
      <c r="G2801" s="5" t="s">
        <v>612</v>
      </c>
      <c r="H2801" s="5" t="s">
        <v>615</v>
      </c>
      <c r="I2801" s="5" t="s">
        <v>31</v>
      </c>
      <c r="J2801" s="5">
        <v>16.981084744126001</v>
      </c>
      <c r="K2801" s="5">
        <v>-97.715876695616004</v>
      </c>
      <c r="L2801" s="5" t="str">
        <f>HYPERLINK("https://maps.google.com/?q=16.9810847441265,-97.715876695616004", "🔗 Ver Mapa")</f>
        <v>🔗 Ver Mapa</v>
      </c>
    </row>
    <row r="2802" spans="1:12" ht="43.5" x14ac:dyDescent="0.35">
      <c r="A2802" s="6" t="s">
        <v>98</v>
      </c>
      <c r="B2802" s="6" t="s">
        <v>99</v>
      </c>
      <c r="C2802" s="6" t="s">
        <v>614</v>
      </c>
      <c r="D2802" s="6" t="s">
        <v>14</v>
      </c>
      <c r="E2802" s="6" t="s">
        <v>39</v>
      </c>
      <c r="F2802" s="6" t="s">
        <v>40</v>
      </c>
      <c r="G2802" s="6" t="s">
        <v>612</v>
      </c>
      <c r="H2802" s="6" t="s">
        <v>615</v>
      </c>
      <c r="I2802" s="6" t="s">
        <v>31</v>
      </c>
      <c r="J2802" s="6">
        <v>16.981892319701998</v>
      </c>
      <c r="K2802" s="6">
        <v>-97.715179781808999</v>
      </c>
      <c r="L2802" s="6" t="str">
        <f>HYPERLINK("https://maps.google.com/?q=16.9818923197022,-97.715179781808999", "🔗 Ver Mapa")</f>
        <v>🔗 Ver Mapa</v>
      </c>
    </row>
    <row r="2803" spans="1:12" ht="43.5" x14ac:dyDescent="0.35">
      <c r="A2803" s="5" t="s">
        <v>98</v>
      </c>
      <c r="B2803" s="5" t="s">
        <v>99</v>
      </c>
      <c r="C2803" s="5" t="s">
        <v>614</v>
      </c>
      <c r="D2803" s="5" t="s">
        <v>14</v>
      </c>
      <c r="E2803" s="5" t="s">
        <v>39</v>
      </c>
      <c r="F2803" s="5" t="s">
        <v>40</v>
      </c>
      <c r="G2803" s="5" t="s">
        <v>612</v>
      </c>
      <c r="H2803" s="5" t="s">
        <v>615</v>
      </c>
      <c r="I2803" s="5" t="s">
        <v>31</v>
      </c>
      <c r="J2803" s="5">
        <v>16.983229742719999</v>
      </c>
      <c r="K2803" s="5">
        <v>-97.717861357147001</v>
      </c>
      <c r="L2803" s="5" t="str">
        <f>HYPERLINK("https://maps.google.com/?q=16.9832297427198,-97.7178613571471", "🔗 Ver Mapa")</f>
        <v>🔗 Ver Mapa</v>
      </c>
    </row>
    <row r="2804" spans="1:12" ht="43.5" x14ac:dyDescent="0.35">
      <c r="A2804" s="6" t="s">
        <v>98</v>
      </c>
      <c r="B2804" s="6" t="s">
        <v>99</v>
      </c>
      <c r="C2804" s="6" t="s">
        <v>614</v>
      </c>
      <c r="D2804" s="6" t="s">
        <v>14</v>
      </c>
      <c r="E2804" s="6" t="s">
        <v>39</v>
      </c>
      <c r="F2804" s="6" t="s">
        <v>40</v>
      </c>
      <c r="G2804" s="6" t="s">
        <v>612</v>
      </c>
      <c r="H2804" s="6" t="s">
        <v>615</v>
      </c>
      <c r="I2804" s="6" t="s">
        <v>31</v>
      </c>
      <c r="J2804" s="6">
        <v>16.984932926631998</v>
      </c>
      <c r="K2804" s="6">
        <v>-97.720116052744004</v>
      </c>
      <c r="L2804" s="6" t="str">
        <f>HYPERLINK("https://maps.google.com/?q=16.9849329266322,-97.720116052744004", "🔗 Ver Mapa")</f>
        <v>🔗 Ver Mapa</v>
      </c>
    </row>
    <row r="2805" spans="1:12" ht="43.5" x14ac:dyDescent="0.35">
      <c r="A2805" s="5" t="s">
        <v>98</v>
      </c>
      <c r="B2805" s="5" t="s">
        <v>99</v>
      </c>
      <c r="C2805" s="5" t="s">
        <v>614</v>
      </c>
      <c r="D2805" s="5" t="s">
        <v>14</v>
      </c>
      <c r="E2805" s="5" t="s">
        <v>39</v>
      </c>
      <c r="F2805" s="5" t="s">
        <v>40</v>
      </c>
      <c r="G2805" s="5" t="s">
        <v>612</v>
      </c>
      <c r="H2805" s="5" t="s">
        <v>615</v>
      </c>
      <c r="I2805" s="5" t="s">
        <v>31</v>
      </c>
      <c r="J2805" s="5">
        <v>16.985145665617999</v>
      </c>
      <c r="K2805" s="5">
        <v>-97.714258669974996</v>
      </c>
      <c r="L2805" s="5" t="str">
        <f>HYPERLINK("https://maps.google.com/?q=16.9851456656184,-97.714258669975194", "🔗 Ver Mapa")</f>
        <v>🔗 Ver Mapa</v>
      </c>
    </row>
    <row r="2806" spans="1:12" ht="43.5" x14ac:dyDescent="0.35">
      <c r="A2806" s="6" t="s">
        <v>98</v>
      </c>
      <c r="B2806" s="6" t="s">
        <v>99</v>
      </c>
      <c r="C2806" s="6" t="s">
        <v>614</v>
      </c>
      <c r="D2806" s="6" t="s">
        <v>14</v>
      </c>
      <c r="E2806" s="6" t="s">
        <v>39</v>
      </c>
      <c r="F2806" s="6" t="s">
        <v>40</v>
      </c>
      <c r="G2806" s="6" t="s">
        <v>612</v>
      </c>
      <c r="H2806" s="6" t="s">
        <v>615</v>
      </c>
      <c r="I2806" s="6" t="s">
        <v>31</v>
      </c>
      <c r="J2806" s="6">
        <v>16.985889254309001</v>
      </c>
      <c r="K2806" s="6">
        <v>-97.713497655365998</v>
      </c>
      <c r="L2806" s="6" t="str">
        <f>HYPERLINK("https://maps.google.com/?q=16.9858892543093,-97.713497655365998", "🔗 Ver Mapa")</f>
        <v>🔗 Ver Mapa</v>
      </c>
    </row>
    <row r="2807" spans="1:12" ht="43.5" x14ac:dyDescent="0.35">
      <c r="A2807" s="5" t="s">
        <v>98</v>
      </c>
      <c r="B2807" s="5" t="s">
        <v>99</v>
      </c>
      <c r="C2807" s="5" t="s">
        <v>614</v>
      </c>
      <c r="D2807" s="5" t="s">
        <v>14</v>
      </c>
      <c r="E2807" s="5" t="s">
        <v>39</v>
      </c>
      <c r="F2807" s="5" t="s">
        <v>40</v>
      </c>
      <c r="G2807" s="5" t="s">
        <v>612</v>
      </c>
      <c r="H2807" s="5" t="s">
        <v>615</v>
      </c>
      <c r="I2807" s="5" t="s">
        <v>31</v>
      </c>
      <c r="J2807" s="5">
        <v>16.987917114152001</v>
      </c>
      <c r="K2807" s="5">
        <v>-97.710948600034996</v>
      </c>
      <c r="L2807" s="5" t="str">
        <f>HYPERLINK("https://maps.google.com/?q=16.9879171141524,-97.710948600034698", "🔗 Ver Mapa")</f>
        <v>🔗 Ver Mapa</v>
      </c>
    </row>
    <row r="2808" spans="1:12" ht="43.5" x14ac:dyDescent="0.35">
      <c r="A2808" s="6" t="s">
        <v>98</v>
      </c>
      <c r="B2808" s="6" t="s">
        <v>99</v>
      </c>
      <c r="C2808" s="6" t="s">
        <v>614</v>
      </c>
      <c r="D2808" s="6" t="s">
        <v>14</v>
      </c>
      <c r="E2808" s="6" t="s">
        <v>39</v>
      </c>
      <c r="F2808" s="6" t="s">
        <v>40</v>
      </c>
      <c r="G2808" s="6" t="s">
        <v>612</v>
      </c>
      <c r="H2808" s="6" t="s">
        <v>615</v>
      </c>
      <c r="I2808" s="6" t="s">
        <v>31</v>
      </c>
      <c r="J2808" s="6">
        <v>16.989145815453</v>
      </c>
      <c r="K2808" s="6">
        <v>-97.718177139881007</v>
      </c>
      <c r="L2808" s="6" t="str">
        <f>HYPERLINK("https://maps.google.com/?q=16.9891458154532,-97.718177139881107", "🔗 Ver Mapa")</f>
        <v>🔗 Ver Mapa</v>
      </c>
    </row>
    <row r="2809" spans="1:12" ht="43.5" x14ac:dyDescent="0.35">
      <c r="A2809" s="5" t="s">
        <v>98</v>
      </c>
      <c r="B2809" s="5" t="s">
        <v>99</v>
      </c>
      <c r="C2809" s="5" t="s">
        <v>614</v>
      </c>
      <c r="D2809" s="5" t="s">
        <v>14</v>
      </c>
      <c r="E2809" s="5" t="s">
        <v>39</v>
      </c>
      <c r="F2809" s="5" t="s">
        <v>40</v>
      </c>
      <c r="G2809" s="5" t="s">
        <v>612</v>
      </c>
      <c r="H2809" s="5" t="s">
        <v>615</v>
      </c>
      <c r="I2809" s="5" t="s">
        <v>31</v>
      </c>
      <c r="J2809" s="5">
        <v>16.989333385201</v>
      </c>
      <c r="K2809" s="5">
        <v>-97.714663456516007</v>
      </c>
      <c r="L2809" s="5" t="str">
        <f>HYPERLINK("https://maps.google.com/?q=16.9893333852012,-97.714663456516405", "🔗 Ver Mapa")</f>
        <v>🔗 Ver Mapa</v>
      </c>
    </row>
    <row r="2810" spans="1:12" ht="43.5" x14ac:dyDescent="0.35">
      <c r="A2810" s="6" t="s">
        <v>98</v>
      </c>
      <c r="B2810" s="6" t="s">
        <v>99</v>
      </c>
      <c r="C2810" s="6" t="s">
        <v>614</v>
      </c>
      <c r="D2810" s="6" t="s">
        <v>14</v>
      </c>
      <c r="E2810" s="6" t="s">
        <v>39</v>
      </c>
      <c r="F2810" s="6" t="s">
        <v>40</v>
      </c>
      <c r="G2810" s="6" t="s">
        <v>612</v>
      </c>
      <c r="H2810" s="6" t="s">
        <v>615</v>
      </c>
      <c r="I2810" s="6" t="s">
        <v>31</v>
      </c>
      <c r="J2810" s="6">
        <v>16.989347493554</v>
      </c>
      <c r="K2810" s="6">
        <v>-97.714922289685006</v>
      </c>
      <c r="L2810" s="6" t="str">
        <f>HYPERLINK("https://maps.google.com/?q=16.9893474935539,-97.714922289684594", "🔗 Ver Mapa")</f>
        <v>🔗 Ver Mapa</v>
      </c>
    </row>
    <row r="2811" spans="1:12" ht="43.5" x14ac:dyDescent="0.35">
      <c r="A2811" s="5" t="s">
        <v>98</v>
      </c>
      <c r="B2811" s="5" t="s">
        <v>99</v>
      </c>
      <c r="C2811" s="5" t="s">
        <v>614</v>
      </c>
      <c r="D2811" s="5" t="s">
        <v>14</v>
      </c>
      <c r="E2811" s="5" t="s">
        <v>39</v>
      </c>
      <c r="F2811" s="5" t="s">
        <v>40</v>
      </c>
      <c r="G2811" s="5" t="s">
        <v>612</v>
      </c>
      <c r="H2811" s="5" t="s">
        <v>615</v>
      </c>
      <c r="I2811" s="5" t="s">
        <v>31</v>
      </c>
      <c r="J2811" s="5">
        <v>16.989539137535999</v>
      </c>
      <c r="K2811" s="5">
        <v>-97.712759805643998</v>
      </c>
      <c r="L2811" s="5" t="str">
        <f>HYPERLINK("https://maps.google.com/?q=16.9895391375362,-97.712759805643799", "🔗 Ver Mapa")</f>
        <v>🔗 Ver Mapa</v>
      </c>
    </row>
    <row r="2812" spans="1:12" ht="43.5" x14ac:dyDescent="0.35">
      <c r="A2812" s="6" t="s">
        <v>98</v>
      </c>
      <c r="B2812" s="6" t="s">
        <v>99</v>
      </c>
      <c r="C2812" s="6" t="s">
        <v>614</v>
      </c>
      <c r="D2812" s="6" t="s">
        <v>14</v>
      </c>
      <c r="E2812" s="6" t="s">
        <v>39</v>
      </c>
      <c r="F2812" s="6" t="s">
        <v>40</v>
      </c>
      <c r="G2812" s="6" t="s">
        <v>612</v>
      </c>
      <c r="H2812" s="6" t="s">
        <v>615</v>
      </c>
      <c r="I2812" s="6" t="s">
        <v>31</v>
      </c>
      <c r="J2812" s="6">
        <v>16.989545361377999</v>
      </c>
      <c r="K2812" s="6">
        <v>-97.711978725776007</v>
      </c>
      <c r="L2812" s="6" t="str">
        <f>HYPERLINK("https://maps.google.com/?q=16.9895453613779,-97.711978725776007", "🔗 Ver Mapa")</f>
        <v>🔗 Ver Mapa</v>
      </c>
    </row>
    <row r="2813" spans="1:12" ht="43.5" x14ac:dyDescent="0.35">
      <c r="A2813" s="5" t="s">
        <v>98</v>
      </c>
      <c r="B2813" s="5" t="s">
        <v>99</v>
      </c>
      <c r="C2813" s="5" t="s">
        <v>614</v>
      </c>
      <c r="D2813" s="5" t="s">
        <v>14</v>
      </c>
      <c r="E2813" s="5" t="s">
        <v>39</v>
      </c>
      <c r="F2813" s="5" t="s">
        <v>40</v>
      </c>
      <c r="G2813" s="5" t="s">
        <v>612</v>
      </c>
      <c r="H2813" s="5" t="s">
        <v>615</v>
      </c>
      <c r="I2813" s="5" t="s">
        <v>31</v>
      </c>
      <c r="J2813" s="5">
        <v>16.989574219339001</v>
      </c>
      <c r="K2813" s="5">
        <v>-97.711851991402</v>
      </c>
      <c r="L2813" s="5" t="str">
        <f>HYPERLINK("https://maps.google.com/?q=16.9895742193392,-97.711851991401701", "🔗 Ver Mapa")</f>
        <v>🔗 Ver Mapa</v>
      </c>
    </row>
    <row r="2814" spans="1:12" ht="43.5" x14ac:dyDescent="0.35">
      <c r="A2814" s="6" t="s">
        <v>98</v>
      </c>
      <c r="B2814" s="6" t="s">
        <v>99</v>
      </c>
      <c r="C2814" s="6" t="s">
        <v>614</v>
      </c>
      <c r="D2814" s="6" t="s">
        <v>14</v>
      </c>
      <c r="E2814" s="6" t="s">
        <v>39</v>
      </c>
      <c r="F2814" s="6" t="s">
        <v>40</v>
      </c>
      <c r="G2814" s="6" t="s">
        <v>612</v>
      </c>
      <c r="H2814" s="6" t="s">
        <v>615</v>
      </c>
      <c r="I2814" s="6" t="s">
        <v>31</v>
      </c>
      <c r="J2814" s="6">
        <v>16.989683765595998</v>
      </c>
      <c r="K2814" s="6">
        <v>-97.712359609209997</v>
      </c>
      <c r="L2814" s="6" t="str">
        <f>HYPERLINK("https://maps.google.com/?q=16.9896837655956,-97.712359609209997", "🔗 Ver Mapa")</f>
        <v>🔗 Ver Mapa</v>
      </c>
    </row>
    <row r="2815" spans="1:12" ht="43.5" x14ac:dyDescent="0.35">
      <c r="A2815" s="5" t="s">
        <v>98</v>
      </c>
      <c r="B2815" s="5" t="s">
        <v>99</v>
      </c>
      <c r="C2815" s="5" t="s">
        <v>614</v>
      </c>
      <c r="D2815" s="5" t="s">
        <v>14</v>
      </c>
      <c r="E2815" s="5" t="s">
        <v>39</v>
      </c>
      <c r="F2815" s="5" t="s">
        <v>40</v>
      </c>
      <c r="G2815" s="5" t="s">
        <v>612</v>
      </c>
      <c r="H2815" s="5" t="s">
        <v>615</v>
      </c>
      <c r="I2815" s="5" t="s">
        <v>31</v>
      </c>
      <c r="J2815" s="5">
        <v>16.989830812106</v>
      </c>
      <c r="K2815" s="5">
        <v>-97.713303045662997</v>
      </c>
      <c r="L2815" s="5" t="str">
        <f>HYPERLINK("https://maps.google.com/?q=16.9898308121063,-97.713303045662798", "🔗 Ver Mapa")</f>
        <v>🔗 Ver Mapa</v>
      </c>
    </row>
    <row r="2816" spans="1:12" ht="43.5" x14ac:dyDescent="0.35">
      <c r="A2816" s="6" t="s">
        <v>98</v>
      </c>
      <c r="B2816" s="6" t="s">
        <v>99</v>
      </c>
      <c r="C2816" s="6" t="s">
        <v>614</v>
      </c>
      <c r="D2816" s="6" t="s">
        <v>14</v>
      </c>
      <c r="E2816" s="6" t="s">
        <v>39</v>
      </c>
      <c r="F2816" s="6" t="s">
        <v>40</v>
      </c>
      <c r="G2816" s="6" t="s">
        <v>612</v>
      </c>
      <c r="H2816" s="6" t="s">
        <v>615</v>
      </c>
      <c r="I2816" s="6" t="s">
        <v>31</v>
      </c>
      <c r="J2816" s="6">
        <v>16.989853142689</v>
      </c>
      <c r="K2816" s="6">
        <v>-97.714113092676996</v>
      </c>
      <c r="L2816" s="6" t="str">
        <f>HYPERLINK("https://maps.google.com/?q=16.9898531426888,-97.714113092676996", "🔗 Ver Mapa")</f>
        <v>🔗 Ver Mapa</v>
      </c>
    </row>
    <row r="2817" spans="1:12" ht="43.5" x14ac:dyDescent="0.35">
      <c r="A2817" s="5" t="s">
        <v>98</v>
      </c>
      <c r="B2817" s="5" t="s">
        <v>99</v>
      </c>
      <c r="C2817" s="5" t="s">
        <v>614</v>
      </c>
      <c r="D2817" s="5" t="s">
        <v>14</v>
      </c>
      <c r="E2817" s="5" t="s">
        <v>39</v>
      </c>
      <c r="F2817" s="5" t="s">
        <v>40</v>
      </c>
      <c r="G2817" s="5" t="s">
        <v>612</v>
      </c>
      <c r="H2817" s="5" t="s">
        <v>615</v>
      </c>
      <c r="I2817" s="5" t="s">
        <v>31</v>
      </c>
      <c r="J2817" s="5">
        <v>16.989902521783002</v>
      </c>
      <c r="K2817" s="5">
        <v>-97.714574432627003</v>
      </c>
      <c r="L2817" s="5" t="str">
        <f>HYPERLINK("https://maps.google.com/?q=16.9899025217828,-97.714574432627401", "🔗 Ver Mapa")</f>
        <v>🔗 Ver Mapa</v>
      </c>
    </row>
    <row r="2818" spans="1:12" ht="43.5" x14ac:dyDescent="0.35">
      <c r="A2818" s="6" t="s">
        <v>98</v>
      </c>
      <c r="B2818" s="6" t="s">
        <v>99</v>
      </c>
      <c r="C2818" s="6" t="s">
        <v>614</v>
      </c>
      <c r="D2818" s="6" t="s">
        <v>14</v>
      </c>
      <c r="E2818" s="6" t="s">
        <v>39</v>
      </c>
      <c r="F2818" s="6" t="s">
        <v>40</v>
      </c>
      <c r="G2818" s="6" t="s">
        <v>612</v>
      </c>
      <c r="H2818" s="6" t="s">
        <v>615</v>
      </c>
      <c r="I2818" s="6" t="s">
        <v>31</v>
      </c>
      <c r="J2818" s="6">
        <v>16.989937478274999</v>
      </c>
      <c r="K2818" s="6">
        <v>-97.714125673610994</v>
      </c>
      <c r="L2818" s="6" t="str">
        <f>HYPERLINK("https://maps.google.com/?q=16.9899374782747,-97.714125673610695", "🔗 Ver Mapa")</f>
        <v>🔗 Ver Mapa</v>
      </c>
    </row>
    <row r="2819" spans="1:12" ht="43.5" x14ac:dyDescent="0.35">
      <c r="A2819" s="5" t="s">
        <v>98</v>
      </c>
      <c r="B2819" s="5" t="s">
        <v>99</v>
      </c>
      <c r="C2819" s="5" t="s">
        <v>614</v>
      </c>
      <c r="D2819" s="5" t="s">
        <v>14</v>
      </c>
      <c r="E2819" s="5" t="s">
        <v>39</v>
      </c>
      <c r="F2819" s="5" t="s">
        <v>40</v>
      </c>
      <c r="G2819" s="5" t="s">
        <v>612</v>
      </c>
      <c r="H2819" s="5" t="s">
        <v>615</v>
      </c>
      <c r="I2819" s="5" t="s">
        <v>31</v>
      </c>
      <c r="J2819" s="5">
        <v>16.989938416385002</v>
      </c>
      <c r="K2819" s="5">
        <v>-97.710237723296004</v>
      </c>
      <c r="L2819" s="5" t="str">
        <f>HYPERLINK("https://maps.google.com/?q=16.9899384163854,-97.710237723296203", "🔗 Ver Mapa")</f>
        <v>🔗 Ver Mapa</v>
      </c>
    </row>
    <row r="2820" spans="1:12" ht="43.5" x14ac:dyDescent="0.35">
      <c r="A2820" s="6" t="s">
        <v>98</v>
      </c>
      <c r="B2820" s="6" t="s">
        <v>99</v>
      </c>
      <c r="C2820" s="6" t="s">
        <v>614</v>
      </c>
      <c r="D2820" s="6" t="s">
        <v>14</v>
      </c>
      <c r="E2820" s="6" t="s">
        <v>39</v>
      </c>
      <c r="F2820" s="6" t="s">
        <v>40</v>
      </c>
      <c r="G2820" s="6" t="s">
        <v>612</v>
      </c>
      <c r="H2820" s="6" t="s">
        <v>615</v>
      </c>
      <c r="I2820" s="6" t="s">
        <v>31</v>
      </c>
      <c r="J2820" s="6">
        <v>16.990411880991999</v>
      </c>
      <c r="K2820" s="6">
        <v>-97.715894946679001</v>
      </c>
      <c r="L2820" s="6" t="str">
        <f>HYPERLINK("https://maps.google.com/?q=16.9904118809923,-97.715894946679001", "🔗 Ver Mapa")</f>
        <v>🔗 Ver Mapa</v>
      </c>
    </row>
    <row r="2821" spans="1:12" ht="43.5" x14ac:dyDescent="0.35">
      <c r="A2821" s="5" t="s">
        <v>98</v>
      </c>
      <c r="B2821" s="5" t="s">
        <v>99</v>
      </c>
      <c r="C2821" s="5" t="s">
        <v>614</v>
      </c>
      <c r="D2821" s="5" t="s">
        <v>14</v>
      </c>
      <c r="E2821" s="5" t="s">
        <v>39</v>
      </c>
      <c r="F2821" s="5" t="s">
        <v>40</v>
      </c>
      <c r="G2821" s="5" t="s">
        <v>612</v>
      </c>
      <c r="H2821" s="5" t="s">
        <v>615</v>
      </c>
      <c r="I2821" s="5" t="s">
        <v>31</v>
      </c>
      <c r="J2821" s="5">
        <v>16.990592004254001</v>
      </c>
      <c r="K2821" s="5">
        <v>-97.716444384672997</v>
      </c>
      <c r="L2821" s="5" t="str">
        <f>HYPERLINK("https://maps.google.com/?q=16.9905920042544,-97.716444384673096", "🔗 Ver Mapa")</f>
        <v>🔗 Ver Mapa</v>
      </c>
    </row>
    <row r="2822" spans="1:12" ht="43.5" x14ac:dyDescent="0.35">
      <c r="A2822" s="6" t="s">
        <v>98</v>
      </c>
      <c r="B2822" s="6" t="s">
        <v>99</v>
      </c>
      <c r="C2822" s="6" t="s">
        <v>614</v>
      </c>
      <c r="D2822" s="6" t="s">
        <v>14</v>
      </c>
      <c r="E2822" s="6" t="s">
        <v>39</v>
      </c>
      <c r="F2822" s="6" t="s">
        <v>40</v>
      </c>
      <c r="G2822" s="6" t="s">
        <v>612</v>
      </c>
      <c r="H2822" s="6" t="s">
        <v>615</v>
      </c>
      <c r="I2822" s="6" t="s">
        <v>31</v>
      </c>
      <c r="J2822" s="6">
        <v>16.990693248605002</v>
      </c>
      <c r="K2822" s="6">
        <v>-97.712566638639998</v>
      </c>
      <c r="L2822" s="6" t="str">
        <f>HYPERLINK("https://maps.google.com/?q=16.9906932486047,-97.712566638640396", "🔗 Ver Mapa")</f>
        <v>🔗 Ver Mapa</v>
      </c>
    </row>
    <row r="2823" spans="1:12" ht="43.5" x14ac:dyDescent="0.35">
      <c r="A2823" s="5" t="s">
        <v>98</v>
      </c>
      <c r="B2823" s="5" t="s">
        <v>99</v>
      </c>
      <c r="C2823" s="5" t="s">
        <v>614</v>
      </c>
      <c r="D2823" s="5" t="s">
        <v>14</v>
      </c>
      <c r="E2823" s="5" t="s">
        <v>39</v>
      </c>
      <c r="F2823" s="5" t="s">
        <v>40</v>
      </c>
      <c r="G2823" s="5" t="s">
        <v>612</v>
      </c>
      <c r="H2823" s="5" t="s">
        <v>615</v>
      </c>
      <c r="I2823" s="5" t="s">
        <v>31</v>
      </c>
      <c r="J2823" s="5">
        <v>16.990736118533999</v>
      </c>
      <c r="K2823" s="5">
        <v>-97.715969521496007</v>
      </c>
      <c r="L2823" s="5" t="str">
        <f>HYPERLINK("https://maps.google.com/?q=16.990736118534,-97.715969521495794", "🔗 Ver Mapa")</f>
        <v>🔗 Ver Mapa</v>
      </c>
    </row>
    <row r="2824" spans="1:12" ht="43.5" x14ac:dyDescent="0.35">
      <c r="A2824" s="6" t="s">
        <v>98</v>
      </c>
      <c r="B2824" s="6" t="s">
        <v>99</v>
      </c>
      <c r="C2824" s="6" t="s">
        <v>614</v>
      </c>
      <c r="D2824" s="6" t="s">
        <v>14</v>
      </c>
      <c r="E2824" s="6" t="s">
        <v>39</v>
      </c>
      <c r="F2824" s="6" t="s">
        <v>40</v>
      </c>
      <c r="G2824" s="6" t="s">
        <v>612</v>
      </c>
      <c r="H2824" s="6" t="s">
        <v>615</v>
      </c>
      <c r="I2824" s="6" t="s">
        <v>31</v>
      </c>
      <c r="J2824" s="6">
        <v>16.991013773475</v>
      </c>
      <c r="K2824" s="6">
        <v>-97.717280329185002</v>
      </c>
      <c r="L2824" s="6" t="str">
        <f>HYPERLINK("https://maps.google.com/?q=16.9910137734754,-97.717280329185201", "🔗 Ver Mapa")</f>
        <v>🔗 Ver Mapa</v>
      </c>
    </row>
    <row r="2825" spans="1:12" ht="43.5" x14ac:dyDescent="0.35">
      <c r="A2825" s="5" t="s">
        <v>98</v>
      </c>
      <c r="B2825" s="5" t="s">
        <v>99</v>
      </c>
      <c r="C2825" s="5" t="s">
        <v>614</v>
      </c>
      <c r="D2825" s="5" t="s">
        <v>14</v>
      </c>
      <c r="E2825" s="5" t="s">
        <v>39</v>
      </c>
      <c r="F2825" s="5" t="s">
        <v>40</v>
      </c>
      <c r="G2825" s="5" t="s">
        <v>612</v>
      </c>
      <c r="H2825" s="5" t="s">
        <v>615</v>
      </c>
      <c r="I2825" s="5" t="s">
        <v>31</v>
      </c>
      <c r="J2825" s="5">
        <v>16.991104897983</v>
      </c>
      <c r="K2825" s="5">
        <v>-97.717560521460001</v>
      </c>
      <c r="L2825" s="5" t="str">
        <f>HYPERLINK("https://maps.google.com/?q=16.9911048979828,-97.717560521460001", "🔗 Ver Mapa")</f>
        <v>🔗 Ver Mapa</v>
      </c>
    </row>
    <row r="2826" spans="1:12" ht="43.5" x14ac:dyDescent="0.35">
      <c r="A2826" s="6" t="s">
        <v>98</v>
      </c>
      <c r="B2826" s="6" t="s">
        <v>99</v>
      </c>
      <c r="C2826" s="6" t="s">
        <v>614</v>
      </c>
      <c r="D2826" s="6" t="s">
        <v>14</v>
      </c>
      <c r="E2826" s="6" t="s">
        <v>39</v>
      </c>
      <c r="F2826" s="6" t="s">
        <v>40</v>
      </c>
      <c r="G2826" s="6" t="s">
        <v>612</v>
      </c>
      <c r="H2826" s="6" t="s">
        <v>615</v>
      </c>
      <c r="I2826" s="6" t="s">
        <v>31</v>
      </c>
      <c r="J2826" s="6">
        <v>16.991561992702</v>
      </c>
      <c r="K2826" s="6">
        <v>-97.718193421546005</v>
      </c>
      <c r="L2826" s="6" t="str">
        <f>HYPERLINK("https://maps.google.com/?q=16.9915619927022,-97.718193421546005", "🔗 Ver Mapa")</f>
        <v>🔗 Ver Mapa</v>
      </c>
    </row>
    <row r="2827" spans="1:12" ht="43.5" x14ac:dyDescent="0.35">
      <c r="A2827" s="5" t="s">
        <v>98</v>
      </c>
      <c r="B2827" s="5" t="s">
        <v>99</v>
      </c>
      <c r="C2827" s="5" t="s">
        <v>614</v>
      </c>
      <c r="D2827" s="5" t="s">
        <v>14</v>
      </c>
      <c r="E2827" s="5" t="s">
        <v>39</v>
      </c>
      <c r="F2827" s="5" t="s">
        <v>40</v>
      </c>
      <c r="G2827" s="5" t="s">
        <v>612</v>
      </c>
      <c r="H2827" s="5" t="s">
        <v>615</v>
      </c>
      <c r="I2827" s="5" t="s">
        <v>31</v>
      </c>
      <c r="J2827" s="5">
        <v>16.991563916545999</v>
      </c>
      <c r="K2827" s="5">
        <v>-97.717870885913996</v>
      </c>
      <c r="L2827" s="5" t="str">
        <f>HYPERLINK("https://maps.google.com/?q=16.991563916546,-97.717870885913797", "🔗 Ver Mapa")</f>
        <v>🔗 Ver Mapa</v>
      </c>
    </row>
    <row r="2828" spans="1:12" ht="43.5" x14ac:dyDescent="0.35">
      <c r="A2828" s="6" t="s">
        <v>98</v>
      </c>
      <c r="B2828" s="6" t="s">
        <v>99</v>
      </c>
      <c r="C2828" s="6" t="s">
        <v>614</v>
      </c>
      <c r="D2828" s="6" t="s">
        <v>14</v>
      </c>
      <c r="E2828" s="6" t="s">
        <v>39</v>
      </c>
      <c r="F2828" s="6" t="s">
        <v>40</v>
      </c>
      <c r="G2828" s="6" t="s">
        <v>612</v>
      </c>
      <c r="H2828" s="6" t="s">
        <v>615</v>
      </c>
      <c r="I2828" s="6" t="s">
        <v>31</v>
      </c>
      <c r="J2828" s="6">
        <v>16.991609084543001</v>
      </c>
      <c r="K2828" s="6">
        <v>-97.715055775463</v>
      </c>
      <c r="L2828" s="6" t="str">
        <f>HYPERLINK("https://maps.google.com/?q=16.9916090845427,-97.7150557754631", "🔗 Ver Mapa")</f>
        <v>🔗 Ver Mapa</v>
      </c>
    </row>
    <row r="2829" spans="1:12" ht="43.5" x14ac:dyDescent="0.35">
      <c r="A2829" s="5" t="s">
        <v>98</v>
      </c>
      <c r="B2829" s="5" t="s">
        <v>99</v>
      </c>
      <c r="C2829" s="5" t="s">
        <v>614</v>
      </c>
      <c r="D2829" s="5" t="s">
        <v>14</v>
      </c>
      <c r="E2829" s="5" t="s">
        <v>39</v>
      </c>
      <c r="F2829" s="5" t="s">
        <v>40</v>
      </c>
      <c r="G2829" s="5" t="s">
        <v>612</v>
      </c>
      <c r="H2829" s="5" t="s">
        <v>615</v>
      </c>
      <c r="I2829" s="5" t="s">
        <v>31</v>
      </c>
      <c r="J2829" s="5">
        <v>16.991795418904999</v>
      </c>
      <c r="K2829" s="5">
        <v>-97.717593947832995</v>
      </c>
      <c r="L2829" s="5" t="str">
        <f>HYPERLINK("https://maps.google.com/?q=16.9917954189048,-97.717593947833095", "🔗 Ver Mapa")</f>
        <v>🔗 Ver Mapa</v>
      </c>
    </row>
    <row r="2830" spans="1:12" ht="43.5" x14ac:dyDescent="0.35">
      <c r="A2830" s="6" t="s">
        <v>98</v>
      </c>
      <c r="B2830" s="6" t="s">
        <v>99</v>
      </c>
      <c r="C2830" s="6" t="s">
        <v>614</v>
      </c>
      <c r="D2830" s="6" t="s">
        <v>14</v>
      </c>
      <c r="E2830" s="6" t="s">
        <v>39</v>
      </c>
      <c r="F2830" s="6" t="s">
        <v>40</v>
      </c>
      <c r="G2830" s="6" t="s">
        <v>612</v>
      </c>
      <c r="H2830" s="6" t="s">
        <v>615</v>
      </c>
      <c r="I2830" s="6" t="s">
        <v>31</v>
      </c>
      <c r="J2830" s="6">
        <v>16.992152384752</v>
      </c>
      <c r="K2830" s="6">
        <v>-97.715510310347</v>
      </c>
      <c r="L2830" s="6" t="str">
        <f>HYPERLINK("https://maps.google.com/?q=16.992152384752,-97.715510310346801", "🔗 Ver Mapa")</f>
        <v>🔗 Ver Mapa</v>
      </c>
    </row>
    <row r="2831" spans="1:12" ht="43.5" x14ac:dyDescent="0.35">
      <c r="A2831" s="5" t="s">
        <v>98</v>
      </c>
      <c r="B2831" s="5" t="s">
        <v>99</v>
      </c>
      <c r="C2831" s="5" t="s">
        <v>614</v>
      </c>
      <c r="D2831" s="5" t="s">
        <v>14</v>
      </c>
      <c r="E2831" s="5" t="s">
        <v>39</v>
      </c>
      <c r="F2831" s="5" t="s">
        <v>40</v>
      </c>
      <c r="G2831" s="5" t="s">
        <v>612</v>
      </c>
      <c r="H2831" s="5" t="s">
        <v>615</v>
      </c>
      <c r="I2831" s="5" t="s">
        <v>31</v>
      </c>
      <c r="J2831" s="5">
        <v>16.992338470728001</v>
      </c>
      <c r="K2831" s="5">
        <v>-97.714891237193001</v>
      </c>
      <c r="L2831" s="5" t="str">
        <f>HYPERLINK("https://maps.google.com/?q=16.9923384707276,-97.714891237193001", "🔗 Ver Mapa")</f>
        <v>🔗 Ver Mapa</v>
      </c>
    </row>
    <row r="2832" spans="1:12" ht="43.5" x14ac:dyDescent="0.35">
      <c r="A2832" s="6" t="s">
        <v>98</v>
      </c>
      <c r="B2832" s="6" t="s">
        <v>99</v>
      </c>
      <c r="C2832" s="6" t="s">
        <v>614</v>
      </c>
      <c r="D2832" s="6" t="s">
        <v>14</v>
      </c>
      <c r="E2832" s="6" t="s">
        <v>39</v>
      </c>
      <c r="F2832" s="6" t="s">
        <v>40</v>
      </c>
      <c r="G2832" s="6" t="s">
        <v>612</v>
      </c>
      <c r="H2832" s="6" t="s">
        <v>615</v>
      </c>
      <c r="I2832" s="6" t="s">
        <v>31</v>
      </c>
      <c r="J2832" s="6">
        <v>16.992575392492</v>
      </c>
      <c r="K2832" s="6">
        <v>-97.717977920178001</v>
      </c>
      <c r="L2832" s="6" t="str">
        <f>HYPERLINK("https://maps.google.com/?q=16.9925753924918,-97.717977920177603", "🔗 Ver Mapa")</f>
        <v>🔗 Ver Mapa</v>
      </c>
    </row>
    <row r="2833" spans="1:12" ht="43.5" x14ac:dyDescent="0.35">
      <c r="A2833" s="5" t="s">
        <v>98</v>
      </c>
      <c r="B2833" s="5" t="s">
        <v>99</v>
      </c>
      <c r="C2833" s="5" t="s">
        <v>614</v>
      </c>
      <c r="D2833" s="5" t="s">
        <v>14</v>
      </c>
      <c r="E2833" s="5" t="s">
        <v>39</v>
      </c>
      <c r="F2833" s="5" t="s">
        <v>40</v>
      </c>
      <c r="G2833" s="5" t="s">
        <v>612</v>
      </c>
      <c r="H2833" s="5" t="s">
        <v>615</v>
      </c>
      <c r="I2833" s="5" t="s">
        <v>31</v>
      </c>
      <c r="J2833" s="5">
        <v>16.992640511455001</v>
      </c>
      <c r="K2833" s="5">
        <v>-97.715957078539006</v>
      </c>
      <c r="L2833" s="5" t="str">
        <f>HYPERLINK("https://maps.google.com/?q=16.9926405114553,-97.715957078538906", "🔗 Ver Mapa")</f>
        <v>🔗 Ver Mapa</v>
      </c>
    </row>
    <row r="2834" spans="1:12" ht="43.5" x14ac:dyDescent="0.35">
      <c r="A2834" s="6" t="s">
        <v>98</v>
      </c>
      <c r="B2834" s="6" t="s">
        <v>99</v>
      </c>
      <c r="C2834" s="6" t="s">
        <v>614</v>
      </c>
      <c r="D2834" s="6" t="s">
        <v>14</v>
      </c>
      <c r="E2834" s="6" t="s">
        <v>39</v>
      </c>
      <c r="F2834" s="6" t="s">
        <v>40</v>
      </c>
      <c r="G2834" s="6" t="s">
        <v>612</v>
      </c>
      <c r="H2834" s="6" t="s">
        <v>615</v>
      </c>
      <c r="I2834" s="6" t="s">
        <v>31</v>
      </c>
      <c r="J2834" s="6">
        <v>16.992956382029998</v>
      </c>
      <c r="K2834" s="6">
        <v>-97.713876972250006</v>
      </c>
      <c r="L2834" s="6" t="str">
        <f>HYPERLINK("https://maps.google.com/?q=16.9929563820303,-97.713876972249693", "🔗 Ver Mapa")</f>
        <v>🔗 Ver Mapa</v>
      </c>
    </row>
    <row r="2835" spans="1:12" ht="43.5" x14ac:dyDescent="0.35">
      <c r="A2835" s="5" t="s">
        <v>98</v>
      </c>
      <c r="B2835" s="5" t="s">
        <v>99</v>
      </c>
      <c r="C2835" s="5" t="s">
        <v>614</v>
      </c>
      <c r="D2835" s="5" t="s">
        <v>14</v>
      </c>
      <c r="E2835" s="5" t="s">
        <v>39</v>
      </c>
      <c r="F2835" s="5" t="s">
        <v>40</v>
      </c>
      <c r="G2835" s="5" t="s">
        <v>612</v>
      </c>
      <c r="H2835" s="5" t="s">
        <v>615</v>
      </c>
      <c r="I2835" s="5" t="s">
        <v>31</v>
      </c>
      <c r="J2835" s="5">
        <v>16.993127122447</v>
      </c>
      <c r="K2835" s="5">
        <v>-97.716549471232</v>
      </c>
      <c r="L2835" s="5" t="str">
        <f>HYPERLINK("https://maps.google.com/?q=16.9931271224472,-97.716549471231602", "🔗 Ver Mapa")</f>
        <v>🔗 Ver Mapa</v>
      </c>
    </row>
    <row r="2836" spans="1:12" ht="43.5" x14ac:dyDescent="0.35">
      <c r="A2836" s="6" t="s">
        <v>98</v>
      </c>
      <c r="B2836" s="6" t="s">
        <v>99</v>
      </c>
      <c r="C2836" s="6" t="s">
        <v>614</v>
      </c>
      <c r="D2836" s="6" t="s">
        <v>14</v>
      </c>
      <c r="E2836" s="6" t="s">
        <v>39</v>
      </c>
      <c r="F2836" s="6" t="s">
        <v>40</v>
      </c>
      <c r="G2836" s="6" t="s">
        <v>612</v>
      </c>
      <c r="H2836" s="6" t="s">
        <v>615</v>
      </c>
      <c r="I2836" s="6" t="s">
        <v>31</v>
      </c>
      <c r="J2836" s="6">
        <v>16.993173294300998</v>
      </c>
      <c r="K2836" s="6">
        <v>-97.716279909226998</v>
      </c>
      <c r="L2836" s="6" t="str">
        <f>HYPERLINK("https://maps.google.com/?q=16.993173294301,-97.716279909227396", "🔗 Ver Mapa")</f>
        <v>🔗 Ver Mapa</v>
      </c>
    </row>
    <row r="2837" spans="1:12" ht="43.5" x14ac:dyDescent="0.35">
      <c r="A2837" s="5" t="s">
        <v>98</v>
      </c>
      <c r="B2837" s="5" t="s">
        <v>99</v>
      </c>
      <c r="C2837" s="5" t="s">
        <v>614</v>
      </c>
      <c r="D2837" s="5" t="s">
        <v>14</v>
      </c>
      <c r="E2837" s="5" t="s">
        <v>39</v>
      </c>
      <c r="F2837" s="5" t="s">
        <v>40</v>
      </c>
      <c r="G2837" s="5" t="s">
        <v>612</v>
      </c>
      <c r="H2837" s="5" t="s">
        <v>615</v>
      </c>
      <c r="I2837" s="5" t="s">
        <v>31</v>
      </c>
      <c r="J2837" s="5">
        <v>16.993700242576999</v>
      </c>
      <c r="K2837" s="5">
        <v>-97.713504900629005</v>
      </c>
      <c r="L2837" s="5" t="str">
        <f>HYPERLINK("https://maps.google.com/?q=16.9937002425772,-97.713504900629005", "🔗 Ver Mapa")</f>
        <v>🔗 Ver Mapa</v>
      </c>
    </row>
    <row r="2838" spans="1:12" ht="43.5" x14ac:dyDescent="0.35">
      <c r="A2838" s="6" t="s">
        <v>98</v>
      </c>
      <c r="B2838" s="6" t="s">
        <v>99</v>
      </c>
      <c r="C2838" s="6" t="s">
        <v>614</v>
      </c>
      <c r="D2838" s="6" t="s">
        <v>14</v>
      </c>
      <c r="E2838" s="6" t="s">
        <v>39</v>
      </c>
      <c r="F2838" s="6" t="s">
        <v>40</v>
      </c>
      <c r="G2838" s="6" t="s">
        <v>612</v>
      </c>
      <c r="H2838" s="6" t="s">
        <v>615</v>
      </c>
      <c r="I2838" s="6" t="s">
        <v>31</v>
      </c>
      <c r="J2838" s="6">
        <v>16.994818149061999</v>
      </c>
      <c r="K2838" s="6">
        <v>-97.714900684979</v>
      </c>
      <c r="L2838" s="6" t="str">
        <f>HYPERLINK("https://maps.google.com/?q=16.9948181490621,-97.7149006849789", "🔗 Ver Mapa")</f>
        <v>🔗 Ver Mapa</v>
      </c>
    </row>
    <row r="2839" spans="1:12" ht="43.5" x14ac:dyDescent="0.35">
      <c r="A2839" s="5" t="s">
        <v>98</v>
      </c>
      <c r="B2839" s="5" t="s">
        <v>99</v>
      </c>
      <c r="C2839" s="5" t="s">
        <v>616</v>
      </c>
      <c r="D2839" s="5" t="s">
        <v>14</v>
      </c>
      <c r="E2839" s="5" t="s">
        <v>39</v>
      </c>
      <c r="F2839" s="5" t="s">
        <v>40</v>
      </c>
      <c r="G2839" s="5" t="s">
        <v>612</v>
      </c>
      <c r="H2839" s="5" t="s">
        <v>617</v>
      </c>
      <c r="I2839" s="5" t="s">
        <v>31</v>
      </c>
      <c r="J2839" s="5">
        <v>16.948592709696001</v>
      </c>
      <c r="K2839" s="5">
        <v>-97.712151815973002</v>
      </c>
      <c r="L2839" s="5" t="str">
        <f>HYPERLINK("https://maps.google.com/?q=16.9485927096961,-97.712151815973201", "🔗 Ver Mapa")</f>
        <v>🔗 Ver Mapa</v>
      </c>
    </row>
    <row r="2840" spans="1:12" ht="43.5" x14ac:dyDescent="0.35">
      <c r="A2840" s="6" t="s">
        <v>98</v>
      </c>
      <c r="B2840" s="6" t="s">
        <v>99</v>
      </c>
      <c r="C2840" s="6" t="s">
        <v>616</v>
      </c>
      <c r="D2840" s="6" t="s">
        <v>14</v>
      </c>
      <c r="E2840" s="6" t="s">
        <v>39</v>
      </c>
      <c r="F2840" s="6" t="s">
        <v>40</v>
      </c>
      <c r="G2840" s="6" t="s">
        <v>612</v>
      </c>
      <c r="H2840" s="6" t="s">
        <v>617</v>
      </c>
      <c r="I2840" s="6" t="s">
        <v>31</v>
      </c>
      <c r="J2840" s="6">
        <v>16.950025773739998</v>
      </c>
      <c r="K2840" s="6">
        <v>-97.712845372287006</v>
      </c>
      <c r="L2840" s="6" t="str">
        <f>HYPERLINK("https://maps.google.com/?q=16.9500257737398,-97.712845372287106", "🔗 Ver Mapa")</f>
        <v>🔗 Ver Mapa</v>
      </c>
    </row>
    <row r="2841" spans="1:12" ht="43.5" x14ac:dyDescent="0.35">
      <c r="A2841" s="5" t="s">
        <v>98</v>
      </c>
      <c r="B2841" s="5" t="s">
        <v>99</v>
      </c>
      <c r="C2841" s="5" t="s">
        <v>616</v>
      </c>
      <c r="D2841" s="5" t="s">
        <v>14</v>
      </c>
      <c r="E2841" s="5" t="s">
        <v>39</v>
      </c>
      <c r="F2841" s="5" t="s">
        <v>40</v>
      </c>
      <c r="G2841" s="5" t="s">
        <v>612</v>
      </c>
      <c r="H2841" s="5" t="s">
        <v>617</v>
      </c>
      <c r="I2841" s="5" t="s">
        <v>31</v>
      </c>
      <c r="J2841" s="5">
        <v>16.950591961099001</v>
      </c>
      <c r="K2841" s="5">
        <v>-97.712704834324001</v>
      </c>
      <c r="L2841" s="5" t="str">
        <f>HYPERLINK("https://maps.google.com/?q=16.9505919610991,-97.712704834324001", "🔗 Ver Mapa")</f>
        <v>🔗 Ver Mapa</v>
      </c>
    </row>
    <row r="2842" spans="1:12" ht="43.5" x14ac:dyDescent="0.35">
      <c r="A2842" s="6" t="s">
        <v>98</v>
      </c>
      <c r="B2842" s="6" t="s">
        <v>99</v>
      </c>
      <c r="C2842" s="6" t="s">
        <v>616</v>
      </c>
      <c r="D2842" s="6" t="s">
        <v>14</v>
      </c>
      <c r="E2842" s="6" t="s">
        <v>39</v>
      </c>
      <c r="F2842" s="6" t="s">
        <v>40</v>
      </c>
      <c r="G2842" s="6" t="s">
        <v>612</v>
      </c>
      <c r="H2842" s="6" t="s">
        <v>617</v>
      </c>
      <c r="I2842" s="6" t="s">
        <v>31</v>
      </c>
      <c r="J2842" s="6">
        <v>16.950718824523001</v>
      </c>
      <c r="K2842" s="6">
        <v>-97.711413590703003</v>
      </c>
      <c r="L2842" s="6" t="str">
        <f>HYPERLINK("https://maps.google.com/?q=16.9507188245234,-97.711413590703401", "🔗 Ver Mapa")</f>
        <v>🔗 Ver Mapa</v>
      </c>
    </row>
    <row r="2843" spans="1:12" ht="43.5" x14ac:dyDescent="0.35">
      <c r="A2843" s="5" t="s">
        <v>98</v>
      </c>
      <c r="B2843" s="5" t="s">
        <v>99</v>
      </c>
      <c r="C2843" s="5" t="s">
        <v>616</v>
      </c>
      <c r="D2843" s="5" t="s">
        <v>14</v>
      </c>
      <c r="E2843" s="5" t="s">
        <v>39</v>
      </c>
      <c r="F2843" s="5" t="s">
        <v>40</v>
      </c>
      <c r="G2843" s="5" t="s">
        <v>612</v>
      </c>
      <c r="H2843" s="5" t="s">
        <v>617</v>
      </c>
      <c r="I2843" s="5" t="s">
        <v>31</v>
      </c>
      <c r="J2843" s="5">
        <v>16.951174700075001</v>
      </c>
      <c r="K2843" s="5">
        <v>-97.709688141035002</v>
      </c>
      <c r="L2843" s="5" t="str">
        <f>HYPERLINK("https://maps.google.com/?q=16.951174700075,-97.709688141035201", "🔗 Ver Mapa")</f>
        <v>🔗 Ver Mapa</v>
      </c>
    </row>
    <row r="2844" spans="1:12" ht="43.5" x14ac:dyDescent="0.35">
      <c r="A2844" s="6" t="s">
        <v>98</v>
      </c>
      <c r="B2844" s="6" t="s">
        <v>99</v>
      </c>
      <c r="C2844" s="6" t="s">
        <v>616</v>
      </c>
      <c r="D2844" s="6" t="s">
        <v>14</v>
      </c>
      <c r="E2844" s="6" t="s">
        <v>39</v>
      </c>
      <c r="F2844" s="6" t="s">
        <v>40</v>
      </c>
      <c r="G2844" s="6" t="s">
        <v>612</v>
      </c>
      <c r="H2844" s="6" t="s">
        <v>617</v>
      </c>
      <c r="I2844" s="6" t="s">
        <v>31</v>
      </c>
      <c r="J2844" s="6">
        <v>16.951931717691</v>
      </c>
      <c r="K2844" s="6">
        <v>-97.709575725351996</v>
      </c>
      <c r="L2844" s="6" t="str">
        <f>HYPERLINK("https://maps.google.com/?q=16.9519317176914,-97.709575725352394", "🔗 Ver Mapa")</f>
        <v>🔗 Ver Mapa</v>
      </c>
    </row>
    <row r="2845" spans="1:12" ht="43.5" x14ac:dyDescent="0.35">
      <c r="A2845" s="5" t="s">
        <v>98</v>
      </c>
      <c r="B2845" s="5" t="s">
        <v>99</v>
      </c>
      <c r="C2845" s="5" t="s">
        <v>616</v>
      </c>
      <c r="D2845" s="5" t="s">
        <v>14</v>
      </c>
      <c r="E2845" s="5" t="s">
        <v>39</v>
      </c>
      <c r="F2845" s="5" t="s">
        <v>40</v>
      </c>
      <c r="G2845" s="5" t="s">
        <v>612</v>
      </c>
      <c r="H2845" s="5" t="s">
        <v>617</v>
      </c>
      <c r="I2845" s="5" t="s">
        <v>31</v>
      </c>
      <c r="J2845" s="5">
        <v>16.954282517058999</v>
      </c>
      <c r="K2845" s="5">
        <v>-97.712316154595996</v>
      </c>
      <c r="L2845" s="5" t="str">
        <f>HYPERLINK("https://maps.google.com/?q=16.9542825170594,-97.712316154596394", "🔗 Ver Mapa")</f>
        <v>🔗 Ver Mapa</v>
      </c>
    </row>
    <row r="2846" spans="1:12" ht="43.5" x14ac:dyDescent="0.35">
      <c r="A2846" s="6" t="s">
        <v>98</v>
      </c>
      <c r="B2846" s="6" t="s">
        <v>99</v>
      </c>
      <c r="C2846" s="6" t="s">
        <v>618</v>
      </c>
      <c r="D2846" s="6" t="s">
        <v>14</v>
      </c>
      <c r="E2846" s="6" t="s">
        <v>39</v>
      </c>
      <c r="F2846" s="6" t="s">
        <v>40</v>
      </c>
      <c r="G2846" s="6" t="s">
        <v>612</v>
      </c>
      <c r="H2846" s="6" t="s">
        <v>619</v>
      </c>
      <c r="I2846" s="6" t="s">
        <v>31</v>
      </c>
      <c r="J2846" s="6">
        <v>16.961618636773</v>
      </c>
      <c r="K2846" s="6">
        <v>-97.729894673611</v>
      </c>
      <c r="L2846" s="6" t="str">
        <f>HYPERLINK("https://maps.google.com/?q=16.9616186367726,-97.729894673610701", "🔗 Ver Mapa")</f>
        <v>🔗 Ver Mapa</v>
      </c>
    </row>
    <row r="2847" spans="1:12" ht="43.5" x14ac:dyDescent="0.35">
      <c r="A2847" s="5" t="s">
        <v>98</v>
      </c>
      <c r="B2847" s="5" t="s">
        <v>99</v>
      </c>
      <c r="C2847" s="5" t="s">
        <v>618</v>
      </c>
      <c r="D2847" s="5" t="s">
        <v>14</v>
      </c>
      <c r="E2847" s="5" t="s">
        <v>39</v>
      </c>
      <c r="F2847" s="5" t="s">
        <v>40</v>
      </c>
      <c r="G2847" s="5" t="s">
        <v>612</v>
      </c>
      <c r="H2847" s="5" t="s">
        <v>619</v>
      </c>
      <c r="I2847" s="5" t="s">
        <v>31</v>
      </c>
      <c r="J2847" s="5">
        <v>16.961729494730001</v>
      </c>
      <c r="K2847" s="5">
        <v>-97.730004290522004</v>
      </c>
      <c r="L2847" s="5" t="str">
        <f>HYPERLINK("https://maps.google.com/?q=16.9617294947302,-97.730004290522103", "🔗 Ver Mapa")</f>
        <v>🔗 Ver Mapa</v>
      </c>
    </row>
    <row r="2848" spans="1:12" ht="43.5" x14ac:dyDescent="0.35">
      <c r="A2848" s="6" t="s">
        <v>98</v>
      </c>
      <c r="B2848" s="6" t="s">
        <v>99</v>
      </c>
      <c r="C2848" s="6" t="s">
        <v>618</v>
      </c>
      <c r="D2848" s="6" t="s">
        <v>14</v>
      </c>
      <c r="E2848" s="6" t="s">
        <v>39</v>
      </c>
      <c r="F2848" s="6" t="s">
        <v>40</v>
      </c>
      <c r="G2848" s="6" t="s">
        <v>612</v>
      </c>
      <c r="H2848" s="6" t="s">
        <v>619</v>
      </c>
      <c r="I2848" s="6" t="s">
        <v>31</v>
      </c>
      <c r="J2848" s="6">
        <v>16.962245807430001</v>
      </c>
      <c r="K2848" s="6">
        <v>-97.730900818883001</v>
      </c>
      <c r="L2848" s="6" t="str">
        <f>HYPERLINK("https://maps.google.com/?q=16.9622458074298,-97.730900818883498", "🔗 Ver Mapa")</f>
        <v>🔗 Ver Mapa</v>
      </c>
    </row>
    <row r="2849" spans="1:12" ht="43.5" x14ac:dyDescent="0.35">
      <c r="A2849" s="5" t="s">
        <v>98</v>
      </c>
      <c r="B2849" s="5" t="s">
        <v>99</v>
      </c>
      <c r="C2849" s="5" t="s">
        <v>618</v>
      </c>
      <c r="D2849" s="5" t="s">
        <v>14</v>
      </c>
      <c r="E2849" s="5" t="s">
        <v>39</v>
      </c>
      <c r="F2849" s="5" t="s">
        <v>40</v>
      </c>
      <c r="G2849" s="5" t="s">
        <v>612</v>
      </c>
      <c r="H2849" s="5" t="s">
        <v>619</v>
      </c>
      <c r="I2849" s="5" t="s">
        <v>31</v>
      </c>
      <c r="J2849" s="5">
        <v>16.962640064980999</v>
      </c>
      <c r="K2849" s="5">
        <v>-97.729230221655001</v>
      </c>
      <c r="L2849" s="5" t="str">
        <f>HYPERLINK("https://maps.google.com/?q=16.9626400649811,-97.729230221655101", "🔗 Ver Mapa")</f>
        <v>🔗 Ver Mapa</v>
      </c>
    </row>
    <row r="2850" spans="1:12" ht="43.5" x14ac:dyDescent="0.35">
      <c r="A2850" s="6" t="s">
        <v>98</v>
      </c>
      <c r="B2850" s="6" t="s">
        <v>99</v>
      </c>
      <c r="C2850" s="6" t="s">
        <v>618</v>
      </c>
      <c r="D2850" s="6" t="s">
        <v>14</v>
      </c>
      <c r="E2850" s="6" t="s">
        <v>39</v>
      </c>
      <c r="F2850" s="6" t="s">
        <v>40</v>
      </c>
      <c r="G2850" s="6" t="s">
        <v>612</v>
      </c>
      <c r="H2850" s="6" t="s">
        <v>619</v>
      </c>
      <c r="I2850" s="6" t="s">
        <v>31</v>
      </c>
      <c r="J2850" s="6">
        <v>16.962764485415999</v>
      </c>
      <c r="K2850" s="6">
        <v>-97.729228211553007</v>
      </c>
      <c r="L2850" s="6" t="str">
        <f>HYPERLINK("https://maps.google.com/?q=16.9627644854155,-97.729228211552794", "🔗 Ver Mapa")</f>
        <v>🔗 Ver Mapa</v>
      </c>
    </row>
    <row r="2851" spans="1:12" ht="43.5" x14ac:dyDescent="0.35">
      <c r="A2851" s="5" t="s">
        <v>98</v>
      </c>
      <c r="B2851" s="5" t="s">
        <v>99</v>
      </c>
      <c r="C2851" s="5" t="s">
        <v>618</v>
      </c>
      <c r="D2851" s="5" t="s">
        <v>14</v>
      </c>
      <c r="E2851" s="5" t="s">
        <v>39</v>
      </c>
      <c r="F2851" s="5" t="s">
        <v>40</v>
      </c>
      <c r="G2851" s="5" t="s">
        <v>612</v>
      </c>
      <c r="H2851" s="5" t="s">
        <v>619</v>
      </c>
      <c r="I2851" s="5" t="s">
        <v>31</v>
      </c>
      <c r="J2851" s="5">
        <v>16.962886093197</v>
      </c>
      <c r="K2851" s="5">
        <v>-97.729063015869002</v>
      </c>
      <c r="L2851" s="5" t="str">
        <f>HYPERLINK("https://maps.google.com/?q=16.9628860931972,-97.729063015869301", "🔗 Ver Mapa")</f>
        <v>🔗 Ver Mapa</v>
      </c>
    </row>
    <row r="2852" spans="1:12" ht="43.5" x14ac:dyDescent="0.35">
      <c r="A2852" s="6" t="s">
        <v>98</v>
      </c>
      <c r="B2852" s="6" t="s">
        <v>99</v>
      </c>
      <c r="C2852" s="6" t="s">
        <v>618</v>
      </c>
      <c r="D2852" s="6" t="s">
        <v>14</v>
      </c>
      <c r="E2852" s="6" t="s">
        <v>39</v>
      </c>
      <c r="F2852" s="6" t="s">
        <v>40</v>
      </c>
      <c r="G2852" s="6" t="s">
        <v>612</v>
      </c>
      <c r="H2852" s="6" t="s">
        <v>619</v>
      </c>
      <c r="I2852" s="6" t="s">
        <v>31</v>
      </c>
      <c r="J2852" s="6">
        <v>16.964002443081</v>
      </c>
      <c r="K2852" s="6">
        <v>-97.728942502183997</v>
      </c>
      <c r="L2852" s="6" t="str">
        <f>HYPERLINK("https://maps.google.com/?q=16.9640024430806,-97.728942502184495", "🔗 Ver Mapa")</f>
        <v>🔗 Ver Mapa</v>
      </c>
    </row>
    <row r="2853" spans="1:12" ht="43.5" x14ac:dyDescent="0.35">
      <c r="A2853" s="5" t="s">
        <v>98</v>
      </c>
      <c r="B2853" s="5" t="s">
        <v>99</v>
      </c>
      <c r="C2853" s="5" t="s">
        <v>618</v>
      </c>
      <c r="D2853" s="5" t="s">
        <v>14</v>
      </c>
      <c r="E2853" s="5" t="s">
        <v>39</v>
      </c>
      <c r="F2853" s="5" t="s">
        <v>40</v>
      </c>
      <c r="G2853" s="5" t="s">
        <v>612</v>
      </c>
      <c r="H2853" s="5" t="s">
        <v>619</v>
      </c>
      <c r="I2853" s="5" t="s">
        <v>31</v>
      </c>
      <c r="J2853" s="5">
        <v>16.964274583956001</v>
      </c>
      <c r="K2853" s="5">
        <v>-97.728763081756</v>
      </c>
      <c r="L2853" s="5" t="str">
        <f>HYPERLINK("https://maps.google.com/?q=16.9642745839556,-97.728763081756298", "🔗 Ver Mapa")</f>
        <v>🔗 Ver Mapa</v>
      </c>
    </row>
    <row r="2854" spans="1:12" ht="43.5" x14ac:dyDescent="0.35">
      <c r="A2854" s="6" t="s">
        <v>98</v>
      </c>
      <c r="B2854" s="6" t="s">
        <v>99</v>
      </c>
      <c r="C2854" s="6" t="s">
        <v>618</v>
      </c>
      <c r="D2854" s="6" t="s">
        <v>14</v>
      </c>
      <c r="E2854" s="6" t="s">
        <v>39</v>
      </c>
      <c r="F2854" s="6" t="s">
        <v>40</v>
      </c>
      <c r="G2854" s="6" t="s">
        <v>612</v>
      </c>
      <c r="H2854" s="6" t="s">
        <v>619</v>
      </c>
      <c r="I2854" s="6" t="s">
        <v>31</v>
      </c>
      <c r="J2854" s="6">
        <v>16.964318068072998</v>
      </c>
      <c r="K2854" s="6">
        <v>-97.729450844244994</v>
      </c>
      <c r="L2854" s="6" t="str">
        <f>HYPERLINK("https://maps.google.com/?q=16.9643180680731,-97.729450844245406", "🔗 Ver Mapa")</f>
        <v>🔗 Ver Mapa</v>
      </c>
    </row>
    <row r="2855" spans="1:12" ht="43.5" x14ac:dyDescent="0.35">
      <c r="A2855" s="5" t="s">
        <v>98</v>
      </c>
      <c r="B2855" s="5" t="s">
        <v>99</v>
      </c>
      <c r="C2855" s="5" t="s">
        <v>618</v>
      </c>
      <c r="D2855" s="5" t="s">
        <v>14</v>
      </c>
      <c r="E2855" s="5" t="s">
        <v>39</v>
      </c>
      <c r="F2855" s="5" t="s">
        <v>40</v>
      </c>
      <c r="G2855" s="5" t="s">
        <v>612</v>
      </c>
      <c r="H2855" s="5" t="s">
        <v>619</v>
      </c>
      <c r="I2855" s="5" t="s">
        <v>31</v>
      </c>
      <c r="J2855" s="5">
        <v>16.964548912247</v>
      </c>
      <c r="K2855" s="5">
        <v>-97.730695524922993</v>
      </c>
      <c r="L2855" s="5" t="str">
        <f>HYPERLINK("https://maps.google.com/?q=16.9645489122471,-97.730695524922595", "🔗 Ver Mapa")</f>
        <v>🔗 Ver Mapa</v>
      </c>
    </row>
    <row r="2856" spans="1:12" ht="43.5" x14ac:dyDescent="0.35">
      <c r="A2856" s="6" t="s">
        <v>98</v>
      </c>
      <c r="B2856" s="6" t="s">
        <v>99</v>
      </c>
      <c r="C2856" s="6" t="s">
        <v>618</v>
      </c>
      <c r="D2856" s="6" t="s">
        <v>14</v>
      </c>
      <c r="E2856" s="6" t="s">
        <v>39</v>
      </c>
      <c r="F2856" s="6" t="s">
        <v>40</v>
      </c>
      <c r="G2856" s="6" t="s">
        <v>612</v>
      </c>
      <c r="H2856" s="6" t="s">
        <v>619</v>
      </c>
      <c r="I2856" s="6" t="s">
        <v>31</v>
      </c>
      <c r="J2856" s="6">
        <v>16.965085090191</v>
      </c>
      <c r="K2856" s="6">
        <v>-97.732007261533994</v>
      </c>
      <c r="L2856" s="6" t="str">
        <f>HYPERLINK("https://maps.google.com/?q=16.9650850901906,-97.732007261534093", "🔗 Ver Mapa")</f>
        <v>🔗 Ver Mapa</v>
      </c>
    </row>
    <row r="2857" spans="1:12" ht="43.5" x14ac:dyDescent="0.35">
      <c r="A2857" s="5" t="s">
        <v>98</v>
      </c>
      <c r="B2857" s="5" t="s">
        <v>99</v>
      </c>
      <c r="C2857" s="5" t="s">
        <v>618</v>
      </c>
      <c r="D2857" s="5" t="s">
        <v>14</v>
      </c>
      <c r="E2857" s="5" t="s">
        <v>39</v>
      </c>
      <c r="F2857" s="5" t="s">
        <v>40</v>
      </c>
      <c r="G2857" s="5" t="s">
        <v>612</v>
      </c>
      <c r="H2857" s="5" t="s">
        <v>619</v>
      </c>
      <c r="I2857" s="5" t="s">
        <v>31</v>
      </c>
      <c r="J2857" s="5">
        <v>16.965098106913999</v>
      </c>
      <c r="K2857" s="5">
        <v>-97.729783662285001</v>
      </c>
      <c r="L2857" s="5" t="str">
        <f>HYPERLINK("https://maps.google.com/?q=16.9650981069143,-97.729783662284504", "🔗 Ver Mapa")</f>
        <v>🔗 Ver Mapa</v>
      </c>
    </row>
    <row r="2858" spans="1:12" ht="43.5" x14ac:dyDescent="0.35">
      <c r="A2858" s="6" t="s">
        <v>98</v>
      </c>
      <c r="B2858" s="6" t="s">
        <v>99</v>
      </c>
      <c r="C2858" s="6" t="s">
        <v>618</v>
      </c>
      <c r="D2858" s="6" t="s">
        <v>14</v>
      </c>
      <c r="E2858" s="6" t="s">
        <v>39</v>
      </c>
      <c r="F2858" s="6" t="s">
        <v>40</v>
      </c>
      <c r="G2858" s="6" t="s">
        <v>612</v>
      </c>
      <c r="H2858" s="6" t="s">
        <v>619</v>
      </c>
      <c r="I2858" s="6" t="s">
        <v>31</v>
      </c>
      <c r="J2858" s="6">
        <v>16.965271442877999</v>
      </c>
      <c r="K2858" s="6">
        <v>-97.730675674696997</v>
      </c>
      <c r="L2858" s="6" t="str">
        <f>HYPERLINK("https://maps.google.com/?q=16.9652714428782,-97.730675674697494", "🔗 Ver Mapa")</f>
        <v>🔗 Ver Mapa</v>
      </c>
    </row>
    <row r="2859" spans="1:12" ht="43.5" x14ac:dyDescent="0.35">
      <c r="A2859" s="5" t="s">
        <v>98</v>
      </c>
      <c r="B2859" s="5" t="s">
        <v>99</v>
      </c>
      <c r="C2859" s="5" t="s">
        <v>618</v>
      </c>
      <c r="D2859" s="5" t="s">
        <v>14</v>
      </c>
      <c r="E2859" s="5" t="s">
        <v>39</v>
      </c>
      <c r="F2859" s="5" t="s">
        <v>40</v>
      </c>
      <c r="G2859" s="5" t="s">
        <v>612</v>
      </c>
      <c r="H2859" s="5" t="s">
        <v>619</v>
      </c>
      <c r="I2859" s="5" t="s">
        <v>31</v>
      </c>
      <c r="J2859" s="5">
        <v>16.965337615100001</v>
      </c>
      <c r="K2859" s="5">
        <v>-97.730966974205003</v>
      </c>
      <c r="L2859" s="5" t="str">
        <f>HYPERLINK("https://maps.google.com/?q=16.9653376151004,-97.730966974205103", "🔗 Ver Mapa")</f>
        <v>🔗 Ver Mapa</v>
      </c>
    </row>
    <row r="2860" spans="1:12" ht="43.5" x14ac:dyDescent="0.35">
      <c r="A2860" s="6" t="s">
        <v>98</v>
      </c>
      <c r="B2860" s="6" t="s">
        <v>99</v>
      </c>
      <c r="C2860" s="6" t="s">
        <v>618</v>
      </c>
      <c r="D2860" s="6" t="s">
        <v>14</v>
      </c>
      <c r="E2860" s="6" t="s">
        <v>39</v>
      </c>
      <c r="F2860" s="6" t="s">
        <v>40</v>
      </c>
      <c r="G2860" s="6" t="s">
        <v>612</v>
      </c>
      <c r="H2860" s="6" t="s">
        <v>619</v>
      </c>
      <c r="I2860" s="6" t="s">
        <v>31</v>
      </c>
      <c r="J2860" s="6">
        <v>16.965859873229</v>
      </c>
      <c r="K2860" s="6">
        <v>-97.731408235616996</v>
      </c>
      <c r="L2860" s="6" t="str">
        <f>HYPERLINK("https://maps.google.com/?q=16.9658598732289,-97.731408235616598", "🔗 Ver Mapa")</f>
        <v>🔗 Ver Mapa</v>
      </c>
    </row>
    <row r="2861" spans="1:12" ht="43.5" x14ac:dyDescent="0.35">
      <c r="A2861" s="5" t="s">
        <v>98</v>
      </c>
      <c r="B2861" s="5" t="s">
        <v>99</v>
      </c>
      <c r="C2861" s="5" t="s">
        <v>618</v>
      </c>
      <c r="D2861" s="5" t="s">
        <v>14</v>
      </c>
      <c r="E2861" s="5" t="s">
        <v>39</v>
      </c>
      <c r="F2861" s="5" t="s">
        <v>40</v>
      </c>
      <c r="G2861" s="5" t="s">
        <v>612</v>
      </c>
      <c r="H2861" s="5" t="s">
        <v>619</v>
      </c>
      <c r="I2861" s="5" t="s">
        <v>31</v>
      </c>
      <c r="J2861" s="5">
        <v>16.965868844723001</v>
      </c>
      <c r="K2861" s="5">
        <v>-97.732083704491004</v>
      </c>
      <c r="L2861" s="5" t="str">
        <f>HYPERLINK("https://maps.google.com/?q=16.965868844723,-97.732083704491004", "🔗 Ver Mapa")</f>
        <v>🔗 Ver Mapa</v>
      </c>
    </row>
    <row r="2862" spans="1:12" ht="43.5" x14ac:dyDescent="0.35">
      <c r="A2862" s="6" t="s">
        <v>98</v>
      </c>
      <c r="B2862" s="6" t="s">
        <v>99</v>
      </c>
      <c r="C2862" s="6" t="s">
        <v>618</v>
      </c>
      <c r="D2862" s="6" t="s">
        <v>14</v>
      </c>
      <c r="E2862" s="6" t="s">
        <v>39</v>
      </c>
      <c r="F2862" s="6" t="s">
        <v>40</v>
      </c>
      <c r="G2862" s="6" t="s">
        <v>612</v>
      </c>
      <c r="H2862" s="6" t="s">
        <v>619</v>
      </c>
      <c r="I2862" s="6" t="s">
        <v>31</v>
      </c>
      <c r="J2862" s="6">
        <v>16.966015178359001</v>
      </c>
      <c r="K2862" s="6">
        <v>-97.731694097290998</v>
      </c>
      <c r="L2862" s="6" t="str">
        <f>HYPERLINK("https://maps.google.com/?q=16.9660151783592,-97.731694097290998", "🔗 Ver Mapa")</f>
        <v>🔗 Ver Mapa</v>
      </c>
    </row>
    <row r="2863" spans="1:12" ht="43.5" x14ac:dyDescent="0.35">
      <c r="A2863" s="5" t="s">
        <v>98</v>
      </c>
      <c r="B2863" s="5" t="s">
        <v>99</v>
      </c>
      <c r="C2863" s="5" t="s">
        <v>618</v>
      </c>
      <c r="D2863" s="5" t="s">
        <v>14</v>
      </c>
      <c r="E2863" s="5" t="s">
        <v>39</v>
      </c>
      <c r="F2863" s="5" t="s">
        <v>40</v>
      </c>
      <c r="G2863" s="5" t="s">
        <v>612</v>
      </c>
      <c r="H2863" s="5" t="s">
        <v>619</v>
      </c>
      <c r="I2863" s="5" t="s">
        <v>31</v>
      </c>
      <c r="J2863" s="5">
        <v>16.966113763683001</v>
      </c>
      <c r="K2863" s="5">
        <v>-97.732422477162004</v>
      </c>
      <c r="L2863" s="5" t="str">
        <f>HYPERLINK("https://maps.google.com/?q=16.9661137636834,-97.732422477161805", "🔗 Ver Mapa")</f>
        <v>🔗 Ver Mapa</v>
      </c>
    </row>
    <row r="2864" spans="1:12" ht="43.5" x14ac:dyDescent="0.35">
      <c r="A2864" s="6" t="s">
        <v>98</v>
      </c>
      <c r="B2864" s="6" t="s">
        <v>99</v>
      </c>
      <c r="C2864" s="6" t="s">
        <v>620</v>
      </c>
      <c r="D2864" s="6" t="s">
        <v>14</v>
      </c>
      <c r="E2864" s="6" t="s">
        <v>39</v>
      </c>
      <c r="F2864" s="6" t="s">
        <v>40</v>
      </c>
      <c r="G2864" s="6" t="s">
        <v>612</v>
      </c>
      <c r="H2864" s="6" t="s">
        <v>621</v>
      </c>
      <c r="I2864" s="6" t="s">
        <v>31</v>
      </c>
      <c r="J2864" s="6">
        <v>16.982433486518001</v>
      </c>
      <c r="K2864" s="6">
        <v>-97.675267174273998</v>
      </c>
      <c r="L2864" s="6" t="str">
        <f>HYPERLINK("https://maps.google.com/?q=16.9824334865177,-97.675267174274296", "🔗 Ver Mapa")</f>
        <v>🔗 Ver Mapa</v>
      </c>
    </row>
    <row r="2865" spans="1:12" ht="43.5" x14ac:dyDescent="0.35">
      <c r="A2865" s="5" t="s">
        <v>98</v>
      </c>
      <c r="B2865" s="5" t="s">
        <v>99</v>
      </c>
      <c r="C2865" s="5" t="s">
        <v>620</v>
      </c>
      <c r="D2865" s="5" t="s">
        <v>14</v>
      </c>
      <c r="E2865" s="5" t="s">
        <v>39</v>
      </c>
      <c r="F2865" s="5" t="s">
        <v>40</v>
      </c>
      <c r="G2865" s="5" t="s">
        <v>612</v>
      </c>
      <c r="H2865" s="5" t="s">
        <v>621</v>
      </c>
      <c r="I2865" s="5" t="s">
        <v>31</v>
      </c>
      <c r="J2865" s="5">
        <v>16.982436600724998</v>
      </c>
      <c r="K2865" s="5">
        <v>-97.675074778522003</v>
      </c>
      <c r="L2865" s="5" t="str">
        <f>HYPERLINK("https://maps.google.com/?q=16.9824366007249,-97.675074778521505", "🔗 Ver Mapa")</f>
        <v>🔗 Ver Mapa</v>
      </c>
    </row>
    <row r="2866" spans="1:12" ht="43.5" x14ac:dyDescent="0.35">
      <c r="A2866" s="6" t="s">
        <v>98</v>
      </c>
      <c r="B2866" s="6" t="s">
        <v>99</v>
      </c>
      <c r="C2866" s="6" t="s">
        <v>620</v>
      </c>
      <c r="D2866" s="6" t="s">
        <v>14</v>
      </c>
      <c r="E2866" s="6" t="s">
        <v>39</v>
      </c>
      <c r="F2866" s="6" t="s">
        <v>40</v>
      </c>
      <c r="G2866" s="6" t="s">
        <v>612</v>
      </c>
      <c r="H2866" s="6" t="s">
        <v>621</v>
      </c>
      <c r="I2866" s="6" t="s">
        <v>31</v>
      </c>
      <c r="J2866" s="6">
        <v>16.982901984224998</v>
      </c>
      <c r="K2866" s="6">
        <v>-97.674953718658998</v>
      </c>
      <c r="L2866" s="6" t="str">
        <f>HYPERLINK("https://maps.google.com/?q=16.9829019842255,-97.6749537186586", "🔗 Ver Mapa")</f>
        <v>🔗 Ver Mapa</v>
      </c>
    </row>
    <row r="2867" spans="1:12" ht="43.5" x14ac:dyDescent="0.35">
      <c r="A2867" s="5" t="s">
        <v>98</v>
      </c>
      <c r="B2867" s="5" t="s">
        <v>99</v>
      </c>
      <c r="C2867" s="5" t="s">
        <v>620</v>
      </c>
      <c r="D2867" s="5" t="s">
        <v>14</v>
      </c>
      <c r="E2867" s="5" t="s">
        <v>39</v>
      </c>
      <c r="F2867" s="5" t="s">
        <v>40</v>
      </c>
      <c r="G2867" s="5" t="s">
        <v>612</v>
      </c>
      <c r="H2867" s="5" t="s">
        <v>621</v>
      </c>
      <c r="I2867" s="5" t="s">
        <v>31</v>
      </c>
      <c r="J2867" s="5">
        <v>16.983030909671001</v>
      </c>
      <c r="K2867" s="5">
        <v>-97.675810950789</v>
      </c>
      <c r="L2867" s="5" t="str">
        <f>HYPERLINK("https://maps.google.com/?q=16.9830309096715,-97.675810950789199", "🔗 Ver Mapa")</f>
        <v>🔗 Ver Mapa</v>
      </c>
    </row>
    <row r="2868" spans="1:12" ht="43.5" x14ac:dyDescent="0.35">
      <c r="A2868" s="6" t="s">
        <v>98</v>
      </c>
      <c r="B2868" s="6" t="s">
        <v>99</v>
      </c>
      <c r="C2868" s="6" t="s">
        <v>620</v>
      </c>
      <c r="D2868" s="6" t="s">
        <v>14</v>
      </c>
      <c r="E2868" s="6" t="s">
        <v>39</v>
      </c>
      <c r="F2868" s="6" t="s">
        <v>40</v>
      </c>
      <c r="G2868" s="6" t="s">
        <v>612</v>
      </c>
      <c r="H2868" s="6" t="s">
        <v>621</v>
      </c>
      <c r="I2868" s="6" t="s">
        <v>31</v>
      </c>
      <c r="J2868" s="6">
        <v>16.983741112417999</v>
      </c>
      <c r="K2868" s="6">
        <v>-97.676869347823995</v>
      </c>
      <c r="L2868" s="6" t="str">
        <f>HYPERLINK("https://maps.google.com/?q=16.9837411124177,-97.676869347824095", "🔗 Ver Mapa")</f>
        <v>🔗 Ver Mapa</v>
      </c>
    </row>
    <row r="2869" spans="1:12" ht="43.5" x14ac:dyDescent="0.35">
      <c r="A2869" s="5" t="s">
        <v>98</v>
      </c>
      <c r="B2869" s="5" t="s">
        <v>99</v>
      </c>
      <c r="C2869" s="5" t="s">
        <v>620</v>
      </c>
      <c r="D2869" s="5" t="s">
        <v>14</v>
      </c>
      <c r="E2869" s="5" t="s">
        <v>39</v>
      </c>
      <c r="F2869" s="5" t="s">
        <v>40</v>
      </c>
      <c r="G2869" s="5" t="s">
        <v>612</v>
      </c>
      <c r="H2869" s="5" t="s">
        <v>621</v>
      </c>
      <c r="I2869" s="5" t="s">
        <v>31</v>
      </c>
      <c r="J2869" s="5">
        <v>16.984505063831001</v>
      </c>
      <c r="K2869" s="5">
        <v>-97.677757500473007</v>
      </c>
      <c r="L2869" s="5" t="str">
        <f>HYPERLINK("https://maps.google.com/?q=16.9845050638305,-97.677757500472893", "🔗 Ver Mapa")</f>
        <v>🔗 Ver Mapa</v>
      </c>
    </row>
    <row r="2870" spans="1:12" ht="43.5" x14ac:dyDescent="0.35">
      <c r="A2870" s="6" t="s">
        <v>98</v>
      </c>
      <c r="B2870" s="6" t="s">
        <v>99</v>
      </c>
      <c r="C2870" s="6" t="s">
        <v>620</v>
      </c>
      <c r="D2870" s="6" t="s">
        <v>14</v>
      </c>
      <c r="E2870" s="6" t="s">
        <v>39</v>
      </c>
      <c r="F2870" s="6" t="s">
        <v>40</v>
      </c>
      <c r="G2870" s="6" t="s">
        <v>612</v>
      </c>
      <c r="H2870" s="6" t="s">
        <v>621</v>
      </c>
      <c r="I2870" s="6" t="s">
        <v>31</v>
      </c>
      <c r="J2870" s="6">
        <v>16.984727699793002</v>
      </c>
      <c r="K2870" s="6">
        <v>-97.675817015188002</v>
      </c>
      <c r="L2870" s="6" t="str">
        <f>HYPERLINK("https://maps.google.com/?q=16.9847276997925,-97.675817015187704", "🔗 Ver Mapa")</f>
        <v>🔗 Ver Mapa</v>
      </c>
    </row>
    <row r="2871" spans="1:12" ht="43.5" x14ac:dyDescent="0.35">
      <c r="A2871" s="5" t="s">
        <v>98</v>
      </c>
      <c r="B2871" s="5" t="s">
        <v>99</v>
      </c>
      <c r="C2871" s="5" t="s">
        <v>620</v>
      </c>
      <c r="D2871" s="5" t="s">
        <v>14</v>
      </c>
      <c r="E2871" s="5" t="s">
        <v>39</v>
      </c>
      <c r="F2871" s="5" t="s">
        <v>40</v>
      </c>
      <c r="G2871" s="5" t="s">
        <v>612</v>
      </c>
      <c r="H2871" s="5" t="s">
        <v>621</v>
      </c>
      <c r="I2871" s="5" t="s">
        <v>31</v>
      </c>
      <c r="J2871" s="5">
        <v>16.986825016255999</v>
      </c>
      <c r="K2871" s="5">
        <v>-97.680509055225002</v>
      </c>
      <c r="L2871" s="5" t="str">
        <f>HYPERLINK("https://maps.google.com/?q=16.9868250162557,-97.680509055224903", "🔗 Ver Mapa")</f>
        <v>🔗 Ver Mapa</v>
      </c>
    </row>
    <row r="2872" spans="1:12" ht="43.5" x14ac:dyDescent="0.35">
      <c r="A2872" s="6" t="s">
        <v>98</v>
      </c>
      <c r="B2872" s="6" t="s">
        <v>99</v>
      </c>
      <c r="C2872" s="6" t="s">
        <v>620</v>
      </c>
      <c r="D2872" s="6" t="s">
        <v>14</v>
      </c>
      <c r="E2872" s="6" t="s">
        <v>39</v>
      </c>
      <c r="F2872" s="6" t="s">
        <v>40</v>
      </c>
      <c r="G2872" s="6" t="s">
        <v>612</v>
      </c>
      <c r="H2872" s="6" t="s">
        <v>621</v>
      </c>
      <c r="I2872" s="6" t="s">
        <v>31</v>
      </c>
      <c r="J2872" s="6">
        <v>16.986912929172998</v>
      </c>
      <c r="K2872" s="6">
        <v>-97.680543847885005</v>
      </c>
      <c r="L2872" s="6" t="str">
        <f>HYPERLINK("https://maps.google.com/?q=16.9869129291734,-97.680543847885005", "🔗 Ver Mapa")</f>
        <v>🔗 Ver Mapa</v>
      </c>
    </row>
    <row r="2873" spans="1:12" ht="43.5" x14ac:dyDescent="0.35">
      <c r="A2873" s="5" t="s">
        <v>98</v>
      </c>
      <c r="B2873" s="5" t="s">
        <v>99</v>
      </c>
      <c r="C2873" s="5" t="s">
        <v>620</v>
      </c>
      <c r="D2873" s="5" t="s">
        <v>14</v>
      </c>
      <c r="E2873" s="5" t="s">
        <v>39</v>
      </c>
      <c r="F2873" s="5" t="s">
        <v>40</v>
      </c>
      <c r="G2873" s="5" t="s">
        <v>612</v>
      </c>
      <c r="H2873" s="5" t="s">
        <v>621</v>
      </c>
      <c r="I2873" s="5" t="s">
        <v>31</v>
      </c>
      <c r="J2873" s="5">
        <v>16.988298944855</v>
      </c>
      <c r="K2873" s="5">
        <v>-97.681832422895994</v>
      </c>
      <c r="L2873" s="5" t="str">
        <f>HYPERLINK("https://maps.google.com/?q=16.9882989448547,-97.681832422895795", "🔗 Ver Mapa")</f>
        <v>🔗 Ver Mapa</v>
      </c>
    </row>
    <row r="2874" spans="1:12" ht="43.5" x14ac:dyDescent="0.35">
      <c r="A2874" s="6" t="s">
        <v>98</v>
      </c>
      <c r="B2874" s="6" t="s">
        <v>99</v>
      </c>
      <c r="C2874" s="6" t="s">
        <v>620</v>
      </c>
      <c r="D2874" s="6" t="s">
        <v>14</v>
      </c>
      <c r="E2874" s="6" t="s">
        <v>39</v>
      </c>
      <c r="F2874" s="6" t="s">
        <v>40</v>
      </c>
      <c r="G2874" s="6" t="s">
        <v>612</v>
      </c>
      <c r="H2874" s="6" t="s">
        <v>621</v>
      </c>
      <c r="I2874" s="6" t="s">
        <v>31</v>
      </c>
      <c r="J2874" s="6">
        <v>16.988858951076001</v>
      </c>
      <c r="K2874" s="6">
        <v>-97.682594693289005</v>
      </c>
      <c r="L2874" s="6" t="str">
        <f>HYPERLINK("https://maps.google.com/?q=16.9888589510762,-97.682594693288706", "🔗 Ver Mapa")</f>
        <v>🔗 Ver Mapa</v>
      </c>
    </row>
    <row r="2875" spans="1:12" ht="43.5" x14ac:dyDescent="0.35">
      <c r="A2875" s="5" t="s">
        <v>98</v>
      </c>
      <c r="B2875" s="5" t="s">
        <v>99</v>
      </c>
      <c r="C2875" s="5" t="s">
        <v>620</v>
      </c>
      <c r="D2875" s="5" t="s">
        <v>14</v>
      </c>
      <c r="E2875" s="5" t="s">
        <v>39</v>
      </c>
      <c r="F2875" s="5" t="s">
        <v>40</v>
      </c>
      <c r="G2875" s="5" t="s">
        <v>612</v>
      </c>
      <c r="H2875" s="5" t="s">
        <v>621</v>
      </c>
      <c r="I2875" s="5" t="s">
        <v>31</v>
      </c>
      <c r="J2875" s="5">
        <v>16.988940076106001</v>
      </c>
      <c r="K2875" s="5">
        <v>-97.683225877479998</v>
      </c>
      <c r="L2875" s="5" t="str">
        <f>HYPERLINK("https://maps.google.com/?q=16.9889400761061,-97.683225877480396", "🔗 Ver Mapa")</f>
        <v>🔗 Ver Mapa</v>
      </c>
    </row>
    <row r="2876" spans="1:12" ht="43.5" x14ac:dyDescent="0.35">
      <c r="A2876" s="6" t="s">
        <v>98</v>
      </c>
      <c r="B2876" s="6" t="s">
        <v>99</v>
      </c>
      <c r="C2876" s="6" t="s">
        <v>620</v>
      </c>
      <c r="D2876" s="6" t="s">
        <v>14</v>
      </c>
      <c r="E2876" s="6" t="s">
        <v>39</v>
      </c>
      <c r="F2876" s="6" t="s">
        <v>40</v>
      </c>
      <c r="G2876" s="6" t="s">
        <v>612</v>
      </c>
      <c r="H2876" s="6" t="s">
        <v>621</v>
      </c>
      <c r="I2876" s="6" t="s">
        <v>31</v>
      </c>
      <c r="J2876" s="6">
        <v>16.988983992904</v>
      </c>
      <c r="K2876" s="6">
        <v>-97.682850388974998</v>
      </c>
      <c r="L2876" s="6" t="str">
        <f>HYPERLINK("https://maps.google.com/?q=16.9889839929037,-97.682850388974899", "🔗 Ver Mapa")</f>
        <v>🔗 Ver Mapa</v>
      </c>
    </row>
    <row r="2877" spans="1:12" ht="43.5" x14ac:dyDescent="0.35">
      <c r="A2877" s="5" t="s">
        <v>98</v>
      </c>
      <c r="B2877" s="5" t="s">
        <v>99</v>
      </c>
      <c r="C2877" s="5" t="s">
        <v>620</v>
      </c>
      <c r="D2877" s="5" t="s">
        <v>14</v>
      </c>
      <c r="E2877" s="5" t="s">
        <v>39</v>
      </c>
      <c r="F2877" s="5" t="s">
        <v>40</v>
      </c>
      <c r="G2877" s="5" t="s">
        <v>612</v>
      </c>
      <c r="H2877" s="5" t="s">
        <v>621</v>
      </c>
      <c r="I2877" s="5" t="s">
        <v>31</v>
      </c>
      <c r="J2877" s="5">
        <v>16.989056611713</v>
      </c>
      <c r="K2877" s="5">
        <v>-97.682535203127998</v>
      </c>
      <c r="L2877" s="5" t="str">
        <f>HYPERLINK("https://maps.google.com/?q=16.989056611713,-97.682535203127699", "🔗 Ver Mapa")</f>
        <v>🔗 Ver Mapa</v>
      </c>
    </row>
    <row r="2878" spans="1:12" ht="43.5" x14ac:dyDescent="0.35">
      <c r="A2878" s="6" t="s">
        <v>98</v>
      </c>
      <c r="B2878" s="6" t="s">
        <v>99</v>
      </c>
      <c r="C2878" s="6" t="s">
        <v>620</v>
      </c>
      <c r="D2878" s="6" t="s">
        <v>14</v>
      </c>
      <c r="E2878" s="6" t="s">
        <v>39</v>
      </c>
      <c r="F2878" s="6" t="s">
        <v>40</v>
      </c>
      <c r="G2878" s="6" t="s">
        <v>612</v>
      </c>
      <c r="H2878" s="6" t="s">
        <v>621</v>
      </c>
      <c r="I2878" s="6" t="s">
        <v>31</v>
      </c>
      <c r="J2878" s="6">
        <v>16.989442285243001</v>
      </c>
      <c r="K2878" s="6">
        <v>-97.682253988343007</v>
      </c>
      <c r="L2878" s="6" t="str">
        <f>HYPERLINK("https://maps.google.com/?q=16.9894422852431,-97.682253988343206", "🔗 Ver Mapa")</f>
        <v>🔗 Ver Mapa</v>
      </c>
    </row>
    <row r="2879" spans="1:12" ht="43.5" x14ac:dyDescent="0.35">
      <c r="A2879" s="5" t="s">
        <v>98</v>
      </c>
      <c r="B2879" s="5" t="s">
        <v>99</v>
      </c>
      <c r="C2879" s="5" t="s">
        <v>622</v>
      </c>
      <c r="D2879" s="5" t="s">
        <v>14</v>
      </c>
      <c r="E2879" s="5" t="s">
        <v>140</v>
      </c>
      <c r="F2879" s="5" t="s">
        <v>141</v>
      </c>
      <c r="G2879" s="5" t="s">
        <v>258</v>
      </c>
      <c r="H2879" s="5" t="s">
        <v>560</v>
      </c>
      <c r="I2879" s="5" t="s">
        <v>31</v>
      </c>
      <c r="J2879" s="5">
        <v>18.227520999999999</v>
      </c>
      <c r="K2879" s="5">
        <v>-96.280073000000002</v>
      </c>
      <c r="L2879" s="5" t="str">
        <f>HYPERLINK("https://maps.google.com/?q=18.227521,-96.280073000000002", "🔗 Ver Mapa")</f>
        <v>🔗 Ver Mapa</v>
      </c>
    </row>
    <row r="2880" spans="1:12" ht="43.5" x14ac:dyDescent="0.35">
      <c r="A2880" s="6" t="s">
        <v>98</v>
      </c>
      <c r="B2880" s="6" t="s">
        <v>99</v>
      </c>
      <c r="C2880" s="6" t="s">
        <v>622</v>
      </c>
      <c r="D2880" s="6" t="s">
        <v>14</v>
      </c>
      <c r="E2880" s="6" t="s">
        <v>140</v>
      </c>
      <c r="F2880" s="6" t="s">
        <v>141</v>
      </c>
      <c r="G2880" s="6" t="s">
        <v>258</v>
      </c>
      <c r="H2880" s="6" t="s">
        <v>560</v>
      </c>
      <c r="I2880" s="6" t="s">
        <v>31</v>
      </c>
      <c r="J2880" s="6">
        <v>18.227727999999999</v>
      </c>
      <c r="K2880" s="6">
        <v>-96.280317999999994</v>
      </c>
      <c r="L2880" s="6" t="str">
        <f>HYPERLINK("https://maps.google.com/?q=18.227728,-96.280317999999994", "🔗 Ver Mapa")</f>
        <v>🔗 Ver Mapa</v>
      </c>
    </row>
    <row r="2881" spans="1:12" ht="43.5" x14ac:dyDescent="0.35">
      <c r="A2881" s="5" t="s">
        <v>98</v>
      </c>
      <c r="B2881" s="5" t="s">
        <v>99</v>
      </c>
      <c r="C2881" s="5" t="s">
        <v>622</v>
      </c>
      <c r="D2881" s="5" t="s">
        <v>14</v>
      </c>
      <c r="E2881" s="5" t="s">
        <v>140</v>
      </c>
      <c r="F2881" s="5" t="s">
        <v>141</v>
      </c>
      <c r="G2881" s="5" t="s">
        <v>258</v>
      </c>
      <c r="H2881" s="5" t="s">
        <v>560</v>
      </c>
      <c r="I2881" s="5" t="s">
        <v>31</v>
      </c>
      <c r="J2881" s="5">
        <v>18.228073999999999</v>
      </c>
      <c r="K2881" s="5">
        <v>-96.280445999999998</v>
      </c>
      <c r="L2881" s="5" t="str">
        <f>HYPERLINK("https://maps.google.com/?q=18.228074,-96.280445999999998", "🔗 Ver Mapa")</f>
        <v>🔗 Ver Mapa</v>
      </c>
    </row>
    <row r="2882" spans="1:12" ht="43.5" x14ac:dyDescent="0.35">
      <c r="A2882" s="6" t="s">
        <v>98</v>
      </c>
      <c r="B2882" s="6" t="s">
        <v>99</v>
      </c>
      <c r="C2882" s="6" t="s">
        <v>622</v>
      </c>
      <c r="D2882" s="6" t="s">
        <v>14</v>
      </c>
      <c r="E2882" s="6" t="s">
        <v>140</v>
      </c>
      <c r="F2882" s="6" t="s">
        <v>141</v>
      </c>
      <c r="G2882" s="6" t="s">
        <v>258</v>
      </c>
      <c r="H2882" s="6" t="s">
        <v>560</v>
      </c>
      <c r="I2882" s="6" t="s">
        <v>31</v>
      </c>
      <c r="J2882" s="6">
        <v>18.228408999999999</v>
      </c>
      <c r="K2882" s="6">
        <v>-96.278225000000006</v>
      </c>
      <c r="L2882" s="6" t="str">
        <f>HYPERLINK("https://maps.google.com/?q=18.228409,-96.278225000000006", "🔗 Ver Mapa")</f>
        <v>🔗 Ver Mapa</v>
      </c>
    </row>
    <row r="2883" spans="1:12" ht="43.5" x14ac:dyDescent="0.35">
      <c r="A2883" s="5" t="s">
        <v>98</v>
      </c>
      <c r="B2883" s="5" t="s">
        <v>99</v>
      </c>
      <c r="C2883" s="5" t="s">
        <v>622</v>
      </c>
      <c r="D2883" s="5" t="s">
        <v>14</v>
      </c>
      <c r="E2883" s="5" t="s">
        <v>140</v>
      </c>
      <c r="F2883" s="5" t="s">
        <v>141</v>
      </c>
      <c r="G2883" s="5" t="s">
        <v>258</v>
      </c>
      <c r="H2883" s="5" t="s">
        <v>560</v>
      </c>
      <c r="I2883" s="5" t="s">
        <v>31</v>
      </c>
      <c r="J2883" s="5">
        <v>18.228833999999999</v>
      </c>
      <c r="K2883" s="5">
        <v>-96.279646</v>
      </c>
      <c r="L2883" s="5" t="str">
        <f>HYPERLINK("https://maps.google.com/?q=18.228834,-96.279646", "🔗 Ver Mapa")</f>
        <v>🔗 Ver Mapa</v>
      </c>
    </row>
    <row r="2884" spans="1:12" ht="43.5" x14ac:dyDescent="0.35">
      <c r="A2884" s="6" t="s">
        <v>98</v>
      </c>
      <c r="B2884" s="6" t="s">
        <v>99</v>
      </c>
      <c r="C2884" s="6" t="s">
        <v>622</v>
      </c>
      <c r="D2884" s="6" t="s">
        <v>14</v>
      </c>
      <c r="E2884" s="6" t="s">
        <v>140</v>
      </c>
      <c r="F2884" s="6" t="s">
        <v>141</v>
      </c>
      <c r="G2884" s="6" t="s">
        <v>258</v>
      </c>
      <c r="H2884" s="6" t="s">
        <v>560</v>
      </c>
      <c r="I2884" s="6" t="s">
        <v>31</v>
      </c>
      <c r="J2884" s="6">
        <v>18.229016999999999</v>
      </c>
      <c r="K2884" s="6">
        <v>-96.279841000000005</v>
      </c>
      <c r="L2884" s="6" t="str">
        <f>HYPERLINK("https://maps.google.com/?q=18.229017,-96.279841000000005", "🔗 Ver Mapa")</f>
        <v>🔗 Ver Mapa</v>
      </c>
    </row>
    <row r="2885" spans="1:12" ht="43.5" x14ac:dyDescent="0.35">
      <c r="A2885" s="5" t="s">
        <v>98</v>
      </c>
      <c r="B2885" s="5" t="s">
        <v>99</v>
      </c>
      <c r="C2885" s="5" t="s">
        <v>622</v>
      </c>
      <c r="D2885" s="5" t="s">
        <v>14</v>
      </c>
      <c r="E2885" s="5" t="s">
        <v>140</v>
      </c>
      <c r="F2885" s="5" t="s">
        <v>141</v>
      </c>
      <c r="G2885" s="5" t="s">
        <v>258</v>
      </c>
      <c r="H2885" s="5" t="s">
        <v>560</v>
      </c>
      <c r="I2885" s="5" t="s">
        <v>31</v>
      </c>
      <c r="J2885" s="5">
        <v>18.229126999999998</v>
      </c>
      <c r="K2885" s="5">
        <v>-96.279312000000004</v>
      </c>
      <c r="L2885" s="5" t="str">
        <f>HYPERLINK("https://maps.google.com/?q=18.229127,-96.279312000000004", "🔗 Ver Mapa")</f>
        <v>🔗 Ver Mapa</v>
      </c>
    </row>
    <row r="2886" spans="1:12" ht="43.5" x14ac:dyDescent="0.35">
      <c r="A2886" s="6" t="s">
        <v>98</v>
      </c>
      <c r="B2886" s="6" t="s">
        <v>99</v>
      </c>
      <c r="C2886" s="6" t="s">
        <v>622</v>
      </c>
      <c r="D2886" s="6" t="s">
        <v>14</v>
      </c>
      <c r="E2886" s="6" t="s">
        <v>140</v>
      </c>
      <c r="F2886" s="6" t="s">
        <v>141</v>
      </c>
      <c r="G2886" s="6" t="s">
        <v>258</v>
      </c>
      <c r="H2886" s="6" t="s">
        <v>560</v>
      </c>
      <c r="I2886" s="6" t="s">
        <v>31</v>
      </c>
      <c r="J2886" s="6">
        <v>18.229272000000002</v>
      </c>
      <c r="K2886" s="6">
        <v>-96.277794999999998</v>
      </c>
      <c r="L2886" s="6" t="str">
        <f>HYPERLINK("https://maps.google.com/?q=18.229272,-96.277794999999998", "🔗 Ver Mapa")</f>
        <v>🔗 Ver Mapa</v>
      </c>
    </row>
    <row r="2887" spans="1:12" ht="43.5" x14ac:dyDescent="0.35">
      <c r="A2887" s="5" t="s">
        <v>98</v>
      </c>
      <c r="B2887" s="5" t="s">
        <v>99</v>
      </c>
      <c r="C2887" s="5" t="s">
        <v>622</v>
      </c>
      <c r="D2887" s="5" t="s">
        <v>14</v>
      </c>
      <c r="E2887" s="5" t="s">
        <v>140</v>
      </c>
      <c r="F2887" s="5" t="s">
        <v>141</v>
      </c>
      <c r="G2887" s="5" t="s">
        <v>258</v>
      </c>
      <c r="H2887" s="5" t="s">
        <v>560</v>
      </c>
      <c r="I2887" s="5" t="s">
        <v>31</v>
      </c>
      <c r="J2887" s="5">
        <v>18.229310999999999</v>
      </c>
      <c r="K2887" s="5">
        <v>-96.279127000000003</v>
      </c>
      <c r="L2887" s="5" t="str">
        <f>HYPERLINK("https://maps.google.com/?q=18.229311,-96.279127000000003", "🔗 Ver Mapa")</f>
        <v>🔗 Ver Mapa</v>
      </c>
    </row>
    <row r="2888" spans="1:12" ht="43.5" x14ac:dyDescent="0.35">
      <c r="A2888" s="6" t="s">
        <v>98</v>
      </c>
      <c r="B2888" s="6" t="s">
        <v>99</v>
      </c>
      <c r="C2888" s="6" t="s">
        <v>622</v>
      </c>
      <c r="D2888" s="6" t="s">
        <v>14</v>
      </c>
      <c r="E2888" s="6" t="s">
        <v>140</v>
      </c>
      <c r="F2888" s="6" t="s">
        <v>141</v>
      </c>
      <c r="G2888" s="6" t="s">
        <v>258</v>
      </c>
      <c r="H2888" s="6" t="s">
        <v>560</v>
      </c>
      <c r="I2888" s="6" t="s">
        <v>31</v>
      </c>
      <c r="J2888" s="6">
        <v>18.229468000000001</v>
      </c>
      <c r="K2888" s="6">
        <v>-96.278487999999996</v>
      </c>
      <c r="L2888" s="6" t="str">
        <f>HYPERLINK("https://maps.google.com/?q=18.229468,-96.278487999999996", "🔗 Ver Mapa")</f>
        <v>🔗 Ver Mapa</v>
      </c>
    </row>
    <row r="2889" spans="1:12" ht="43.5" x14ac:dyDescent="0.35">
      <c r="A2889" s="5" t="s">
        <v>98</v>
      </c>
      <c r="B2889" s="5" t="s">
        <v>99</v>
      </c>
      <c r="C2889" s="5" t="s">
        <v>622</v>
      </c>
      <c r="D2889" s="5" t="s">
        <v>14</v>
      </c>
      <c r="E2889" s="5" t="s">
        <v>140</v>
      </c>
      <c r="F2889" s="5" t="s">
        <v>141</v>
      </c>
      <c r="G2889" s="5" t="s">
        <v>258</v>
      </c>
      <c r="H2889" s="5" t="s">
        <v>560</v>
      </c>
      <c r="I2889" s="5" t="s">
        <v>31</v>
      </c>
      <c r="J2889" s="5">
        <v>18.229908999999999</v>
      </c>
      <c r="K2889" s="5">
        <v>-96.282379000000006</v>
      </c>
      <c r="L2889" s="5" t="str">
        <f>HYPERLINK("https://maps.google.com/?q=18.229909,-96.282379000000006", "🔗 Ver Mapa")</f>
        <v>🔗 Ver Mapa</v>
      </c>
    </row>
    <row r="2890" spans="1:12" ht="43.5" x14ac:dyDescent="0.35">
      <c r="A2890" s="6" t="s">
        <v>98</v>
      </c>
      <c r="B2890" s="6" t="s">
        <v>99</v>
      </c>
      <c r="C2890" s="6" t="s">
        <v>622</v>
      </c>
      <c r="D2890" s="6" t="s">
        <v>14</v>
      </c>
      <c r="E2890" s="6" t="s">
        <v>140</v>
      </c>
      <c r="F2890" s="6" t="s">
        <v>141</v>
      </c>
      <c r="G2890" s="6" t="s">
        <v>258</v>
      </c>
      <c r="H2890" s="6" t="s">
        <v>560</v>
      </c>
      <c r="I2890" s="6" t="s">
        <v>31</v>
      </c>
      <c r="J2890" s="6">
        <v>18.230965000000001</v>
      </c>
      <c r="K2890" s="6">
        <v>-96.282028999999994</v>
      </c>
      <c r="L2890" s="6" t="str">
        <f>HYPERLINK("https://maps.google.com/?q=18.230965,-96.282028999999994", "🔗 Ver Mapa")</f>
        <v>🔗 Ver Mapa</v>
      </c>
    </row>
    <row r="2891" spans="1:12" ht="43.5" x14ac:dyDescent="0.35">
      <c r="A2891" s="5" t="s">
        <v>98</v>
      </c>
      <c r="B2891" s="5" t="s">
        <v>99</v>
      </c>
      <c r="C2891" s="5" t="s">
        <v>623</v>
      </c>
      <c r="D2891" s="5" t="s">
        <v>14</v>
      </c>
      <c r="E2891" s="5" t="s">
        <v>140</v>
      </c>
      <c r="F2891" s="5" t="s">
        <v>624</v>
      </c>
      <c r="G2891" s="5" t="s">
        <v>625</v>
      </c>
      <c r="H2891" s="5" t="s">
        <v>626</v>
      </c>
      <c r="I2891" s="5" t="s">
        <v>31</v>
      </c>
      <c r="J2891" s="5">
        <v>17.532861</v>
      </c>
      <c r="K2891" s="5">
        <v>-95.943583000000004</v>
      </c>
      <c r="L2891" s="5" t="str">
        <f>HYPERLINK("https://maps.google.com/?q=17.532861,-95.943583000000004", "🔗 Ver Mapa")</f>
        <v>🔗 Ver Mapa</v>
      </c>
    </row>
    <row r="2892" spans="1:12" ht="43.5" x14ac:dyDescent="0.35">
      <c r="A2892" s="6" t="s">
        <v>98</v>
      </c>
      <c r="B2892" s="6" t="s">
        <v>99</v>
      </c>
      <c r="C2892" s="6" t="s">
        <v>623</v>
      </c>
      <c r="D2892" s="6" t="s">
        <v>14</v>
      </c>
      <c r="E2892" s="6" t="s">
        <v>140</v>
      </c>
      <c r="F2892" s="6" t="s">
        <v>624</v>
      </c>
      <c r="G2892" s="6" t="s">
        <v>625</v>
      </c>
      <c r="H2892" s="6" t="s">
        <v>626</v>
      </c>
      <c r="I2892" s="6" t="s">
        <v>31</v>
      </c>
      <c r="J2892" s="6">
        <v>17.533694000000001</v>
      </c>
      <c r="K2892" s="6">
        <v>-95.944130999999999</v>
      </c>
      <c r="L2892" s="6" t="str">
        <f>HYPERLINK("https://maps.google.com/?q=17.533694,-95.944130999999999", "🔗 Ver Mapa")</f>
        <v>🔗 Ver Mapa</v>
      </c>
    </row>
    <row r="2893" spans="1:12" ht="43.5" x14ac:dyDescent="0.35">
      <c r="A2893" s="5" t="s">
        <v>98</v>
      </c>
      <c r="B2893" s="5" t="s">
        <v>99</v>
      </c>
      <c r="C2893" s="5" t="s">
        <v>623</v>
      </c>
      <c r="D2893" s="5" t="s">
        <v>14</v>
      </c>
      <c r="E2893" s="5" t="s">
        <v>140</v>
      </c>
      <c r="F2893" s="5" t="s">
        <v>624</v>
      </c>
      <c r="G2893" s="5" t="s">
        <v>625</v>
      </c>
      <c r="H2893" s="5" t="s">
        <v>626</v>
      </c>
      <c r="I2893" s="5" t="s">
        <v>31</v>
      </c>
      <c r="J2893" s="5">
        <v>17.533795000000001</v>
      </c>
      <c r="K2893" s="5">
        <v>-95.944327000000001</v>
      </c>
      <c r="L2893" s="5" t="str">
        <f>HYPERLINK("https://maps.google.com/?q=17.533795,-95.944327000000001", "🔗 Ver Mapa")</f>
        <v>🔗 Ver Mapa</v>
      </c>
    </row>
    <row r="2894" spans="1:12" ht="43.5" x14ac:dyDescent="0.35">
      <c r="A2894" s="6" t="s">
        <v>98</v>
      </c>
      <c r="B2894" s="6" t="s">
        <v>99</v>
      </c>
      <c r="C2894" s="6" t="s">
        <v>623</v>
      </c>
      <c r="D2894" s="6" t="s">
        <v>14</v>
      </c>
      <c r="E2894" s="6" t="s">
        <v>140</v>
      </c>
      <c r="F2894" s="6" t="s">
        <v>624</v>
      </c>
      <c r="G2894" s="6" t="s">
        <v>625</v>
      </c>
      <c r="H2894" s="6" t="s">
        <v>626</v>
      </c>
      <c r="I2894" s="6" t="s">
        <v>31</v>
      </c>
      <c r="J2894" s="6">
        <v>17.534884999999999</v>
      </c>
      <c r="K2894" s="6">
        <v>-95.944790999999995</v>
      </c>
      <c r="L2894" s="6" t="str">
        <f>HYPERLINK("https://maps.google.com/?q=17.534885,-95.944790999999995", "🔗 Ver Mapa")</f>
        <v>🔗 Ver Mapa</v>
      </c>
    </row>
    <row r="2895" spans="1:12" ht="43.5" x14ac:dyDescent="0.35">
      <c r="A2895" s="5" t="s">
        <v>98</v>
      </c>
      <c r="B2895" s="5" t="s">
        <v>99</v>
      </c>
      <c r="C2895" s="5" t="s">
        <v>623</v>
      </c>
      <c r="D2895" s="5" t="s">
        <v>14</v>
      </c>
      <c r="E2895" s="5" t="s">
        <v>140</v>
      </c>
      <c r="F2895" s="5" t="s">
        <v>624</v>
      </c>
      <c r="G2895" s="5" t="s">
        <v>625</v>
      </c>
      <c r="H2895" s="5" t="s">
        <v>626</v>
      </c>
      <c r="I2895" s="5" t="s">
        <v>31</v>
      </c>
      <c r="J2895" s="5">
        <v>17.534904000000001</v>
      </c>
      <c r="K2895" s="5">
        <v>-95.945376999999993</v>
      </c>
      <c r="L2895" s="5" t="str">
        <f>HYPERLINK("https://maps.google.com/?q=17.534904,-95.945376999999993", "🔗 Ver Mapa")</f>
        <v>🔗 Ver Mapa</v>
      </c>
    </row>
    <row r="2896" spans="1:12" ht="43.5" x14ac:dyDescent="0.35">
      <c r="A2896" s="6" t="s">
        <v>98</v>
      </c>
      <c r="B2896" s="6" t="s">
        <v>99</v>
      </c>
      <c r="C2896" s="6" t="s">
        <v>623</v>
      </c>
      <c r="D2896" s="6" t="s">
        <v>14</v>
      </c>
      <c r="E2896" s="6" t="s">
        <v>140</v>
      </c>
      <c r="F2896" s="6" t="s">
        <v>624</v>
      </c>
      <c r="G2896" s="6" t="s">
        <v>625</v>
      </c>
      <c r="H2896" s="6" t="s">
        <v>626</v>
      </c>
      <c r="I2896" s="6" t="s">
        <v>31</v>
      </c>
      <c r="J2896" s="6">
        <v>17.535233000000002</v>
      </c>
      <c r="K2896" s="6">
        <v>-95.944761</v>
      </c>
      <c r="L2896" s="6" t="str">
        <f>HYPERLINK("https://maps.google.com/?q=17.535233,-95.944761", "🔗 Ver Mapa")</f>
        <v>🔗 Ver Mapa</v>
      </c>
    </row>
    <row r="2897" spans="1:12" ht="43.5" x14ac:dyDescent="0.35">
      <c r="A2897" s="5" t="s">
        <v>98</v>
      </c>
      <c r="B2897" s="5" t="s">
        <v>99</v>
      </c>
      <c r="C2897" s="5" t="s">
        <v>623</v>
      </c>
      <c r="D2897" s="5" t="s">
        <v>14</v>
      </c>
      <c r="E2897" s="5" t="s">
        <v>140</v>
      </c>
      <c r="F2897" s="5" t="s">
        <v>624</v>
      </c>
      <c r="G2897" s="5" t="s">
        <v>625</v>
      </c>
      <c r="H2897" s="5" t="s">
        <v>626</v>
      </c>
      <c r="I2897" s="5" t="s">
        <v>31</v>
      </c>
      <c r="J2897" s="5">
        <v>17.535283</v>
      </c>
      <c r="K2897" s="5">
        <v>-95.944551000000004</v>
      </c>
      <c r="L2897" s="5" t="str">
        <f>HYPERLINK("https://maps.google.com/?q=17.535283,-95.944551000000004", "🔗 Ver Mapa")</f>
        <v>🔗 Ver Mapa</v>
      </c>
    </row>
    <row r="2898" spans="1:12" ht="43.5" x14ac:dyDescent="0.35">
      <c r="A2898" s="6" t="s">
        <v>98</v>
      </c>
      <c r="B2898" s="6" t="s">
        <v>99</v>
      </c>
      <c r="C2898" s="6" t="s">
        <v>623</v>
      </c>
      <c r="D2898" s="6" t="s">
        <v>14</v>
      </c>
      <c r="E2898" s="6" t="s">
        <v>140</v>
      </c>
      <c r="F2898" s="6" t="s">
        <v>624</v>
      </c>
      <c r="G2898" s="6" t="s">
        <v>625</v>
      </c>
      <c r="H2898" s="6" t="s">
        <v>626</v>
      </c>
      <c r="I2898" s="6" t="s">
        <v>31</v>
      </c>
      <c r="J2898" s="6">
        <v>17.535516999999999</v>
      </c>
      <c r="K2898" s="6">
        <v>-95.946977000000004</v>
      </c>
      <c r="L2898" s="6" t="str">
        <f>HYPERLINK("https://maps.google.com/?q=17.535517,-95.946977000000004", "🔗 Ver Mapa")</f>
        <v>🔗 Ver Mapa</v>
      </c>
    </row>
    <row r="2899" spans="1:12" ht="43.5" x14ac:dyDescent="0.35">
      <c r="A2899" s="5" t="s">
        <v>98</v>
      </c>
      <c r="B2899" s="5" t="s">
        <v>99</v>
      </c>
      <c r="C2899" s="5" t="s">
        <v>623</v>
      </c>
      <c r="D2899" s="5" t="s">
        <v>14</v>
      </c>
      <c r="E2899" s="5" t="s">
        <v>140</v>
      </c>
      <c r="F2899" s="5" t="s">
        <v>624</v>
      </c>
      <c r="G2899" s="5" t="s">
        <v>625</v>
      </c>
      <c r="H2899" s="5" t="s">
        <v>626</v>
      </c>
      <c r="I2899" s="5" t="s">
        <v>31</v>
      </c>
      <c r="J2899" s="5">
        <v>17.536102</v>
      </c>
      <c r="K2899" s="5">
        <v>-95.946815000000001</v>
      </c>
      <c r="L2899" s="5" t="str">
        <f>HYPERLINK("https://maps.google.com/?q=17.536102,-95.946815000000001", "🔗 Ver Mapa")</f>
        <v>🔗 Ver Mapa</v>
      </c>
    </row>
    <row r="2900" spans="1:12" ht="43.5" x14ac:dyDescent="0.35">
      <c r="A2900" s="6" t="s">
        <v>98</v>
      </c>
      <c r="B2900" s="6" t="s">
        <v>99</v>
      </c>
      <c r="C2900" s="6" t="s">
        <v>623</v>
      </c>
      <c r="D2900" s="6" t="s">
        <v>14</v>
      </c>
      <c r="E2900" s="6" t="s">
        <v>140</v>
      </c>
      <c r="F2900" s="6" t="s">
        <v>624</v>
      </c>
      <c r="G2900" s="6" t="s">
        <v>625</v>
      </c>
      <c r="H2900" s="6" t="s">
        <v>626</v>
      </c>
      <c r="I2900" s="6" t="s">
        <v>31</v>
      </c>
      <c r="J2900" s="6">
        <v>17.537188</v>
      </c>
      <c r="K2900" s="6">
        <v>-95.942902000000004</v>
      </c>
      <c r="L2900" s="6" t="str">
        <f>HYPERLINK("https://maps.google.com/?q=17.537188,-95.942902000000004", "🔗 Ver Mapa")</f>
        <v>🔗 Ver Mapa</v>
      </c>
    </row>
    <row r="2901" spans="1:12" ht="43.5" x14ac:dyDescent="0.35">
      <c r="A2901" s="5" t="s">
        <v>98</v>
      </c>
      <c r="B2901" s="5" t="s">
        <v>99</v>
      </c>
      <c r="C2901" s="5" t="s">
        <v>627</v>
      </c>
      <c r="D2901" s="5" t="s">
        <v>14</v>
      </c>
      <c r="E2901" s="5" t="s">
        <v>140</v>
      </c>
      <c r="F2901" s="5" t="s">
        <v>624</v>
      </c>
      <c r="G2901" s="5" t="s">
        <v>625</v>
      </c>
      <c r="H2901" s="5" t="s">
        <v>628</v>
      </c>
      <c r="I2901" s="5" t="s">
        <v>31</v>
      </c>
      <c r="J2901" s="5">
        <v>17.760697</v>
      </c>
      <c r="K2901" s="5">
        <v>-96.074048000000005</v>
      </c>
      <c r="L2901" s="5" t="str">
        <f>HYPERLINK("https://maps.google.com/?q=17.760697,-96.074048000000005", "🔗 Ver Mapa")</f>
        <v>🔗 Ver Mapa</v>
      </c>
    </row>
    <row r="2902" spans="1:12" ht="43.5" x14ac:dyDescent="0.35">
      <c r="A2902" s="6" t="s">
        <v>98</v>
      </c>
      <c r="B2902" s="6" t="s">
        <v>99</v>
      </c>
      <c r="C2902" s="6" t="s">
        <v>627</v>
      </c>
      <c r="D2902" s="6" t="s">
        <v>14</v>
      </c>
      <c r="E2902" s="6" t="s">
        <v>140</v>
      </c>
      <c r="F2902" s="6" t="s">
        <v>624</v>
      </c>
      <c r="G2902" s="6" t="s">
        <v>625</v>
      </c>
      <c r="H2902" s="6" t="s">
        <v>628</v>
      </c>
      <c r="I2902" s="6" t="s">
        <v>31</v>
      </c>
      <c r="J2902" s="6">
        <v>17.760867000000001</v>
      </c>
      <c r="K2902" s="6">
        <v>-96.074307000000005</v>
      </c>
      <c r="L2902" s="6" t="str">
        <f>HYPERLINK("https://maps.google.com/?q=17.760867,-96.074307000000005", "🔗 Ver Mapa")</f>
        <v>🔗 Ver Mapa</v>
      </c>
    </row>
    <row r="2903" spans="1:12" ht="43.5" x14ac:dyDescent="0.35">
      <c r="A2903" s="5" t="s">
        <v>98</v>
      </c>
      <c r="B2903" s="5" t="s">
        <v>99</v>
      </c>
      <c r="C2903" s="5" t="s">
        <v>627</v>
      </c>
      <c r="D2903" s="5" t="s">
        <v>14</v>
      </c>
      <c r="E2903" s="5" t="s">
        <v>140</v>
      </c>
      <c r="F2903" s="5" t="s">
        <v>624</v>
      </c>
      <c r="G2903" s="5" t="s">
        <v>625</v>
      </c>
      <c r="H2903" s="5" t="s">
        <v>628</v>
      </c>
      <c r="I2903" s="5" t="s">
        <v>31</v>
      </c>
      <c r="J2903" s="5">
        <v>17.761624000000001</v>
      </c>
      <c r="K2903" s="5">
        <v>-96.074279000000004</v>
      </c>
      <c r="L2903" s="5" t="str">
        <f>HYPERLINK("https://maps.google.com/?q=17.761624,-96.074279000000004", "🔗 Ver Mapa")</f>
        <v>🔗 Ver Mapa</v>
      </c>
    </row>
    <row r="2904" spans="1:12" ht="43.5" x14ac:dyDescent="0.35">
      <c r="A2904" s="6" t="s">
        <v>98</v>
      </c>
      <c r="B2904" s="6" t="s">
        <v>99</v>
      </c>
      <c r="C2904" s="6" t="s">
        <v>627</v>
      </c>
      <c r="D2904" s="6" t="s">
        <v>14</v>
      </c>
      <c r="E2904" s="6" t="s">
        <v>140</v>
      </c>
      <c r="F2904" s="6" t="s">
        <v>624</v>
      </c>
      <c r="G2904" s="6" t="s">
        <v>625</v>
      </c>
      <c r="H2904" s="6" t="s">
        <v>628</v>
      </c>
      <c r="I2904" s="6" t="s">
        <v>31</v>
      </c>
      <c r="J2904" s="6">
        <v>17.76191</v>
      </c>
      <c r="K2904" s="6">
        <v>-96.074331999999998</v>
      </c>
      <c r="L2904" s="6" t="str">
        <f>HYPERLINK("https://maps.google.com/?q=17.76191,-96.074331999999998", "🔗 Ver Mapa")</f>
        <v>🔗 Ver Mapa</v>
      </c>
    </row>
    <row r="2905" spans="1:12" ht="43.5" x14ac:dyDescent="0.35">
      <c r="A2905" s="5" t="s">
        <v>98</v>
      </c>
      <c r="B2905" s="5" t="s">
        <v>99</v>
      </c>
      <c r="C2905" s="5" t="s">
        <v>627</v>
      </c>
      <c r="D2905" s="5" t="s">
        <v>14</v>
      </c>
      <c r="E2905" s="5" t="s">
        <v>140</v>
      </c>
      <c r="F2905" s="5" t="s">
        <v>624</v>
      </c>
      <c r="G2905" s="5" t="s">
        <v>625</v>
      </c>
      <c r="H2905" s="5" t="s">
        <v>628</v>
      </c>
      <c r="I2905" s="5" t="s">
        <v>31</v>
      </c>
      <c r="J2905" s="5">
        <v>17.761917</v>
      </c>
      <c r="K2905" s="5">
        <v>-96.076035000000005</v>
      </c>
      <c r="L2905" s="5" t="str">
        <f>HYPERLINK("https://maps.google.com/?q=17.761917,-96.076035000000005", "🔗 Ver Mapa")</f>
        <v>🔗 Ver Mapa</v>
      </c>
    </row>
    <row r="2906" spans="1:12" ht="43.5" x14ac:dyDescent="0.35">
      <c r="A2906" s="6" t="s">
        <v>98</v>
      </c>
      <c r="B2906" s="6" t="s">
        <v>99</v>
      </c>
      <c r="C2906" s="6" t="s">
        <v>627</v>
      </c>
      <c r="D2906" s="6" t="s">
        <v>14</v>
      </c>
      <c r="E2906" s="6" t="s">
        <v>140</v>
      </c>
      <c r="F2906" s="6" t="s">
        <v>624</v>
      </c>
      <c r="G2906" s="6" t="s">
        <v>625</v>
      </c>
      <c r="H2906" s="6" t="s">
        <v>628</v>
      </c>
      <c r="I2906" s="6" t="s">
        <v>31</v>
      </c>
      <c r="J2906" s="6">
        <v>17.761942000000001</v>
      </c>
      <c r="K2906" s="6">
        <v>-96.075721999999999</v>
      </c>
      <c r="L2906" s="6" t="str">
        <f>HYPERLINK("https://maps.google.com/?q=17.761942,-96.075721999999999", "🔗 Ver Mapa")</f>
        <v>🔗 Ver Mapa</v>
      </c>
    </row>
    <row r="2907" spans="1:12" ht="43.5" x14ac:dyDescent="0.35">
      <c r="A2907" s="5" t="s">
        <v>98</v>
      </c>
      <c r="B2907" s="5" t="s">
        <v>99</v>
      </c>
      <c r="C2907" s="5" t="s">
        <v>627</v>
      </c>
      <c r="D2907" s="5" t="s">
        <v>14</v>
      </c>
      <c r="E2907" s="5" t="s">
        <v>140</v>
      </c>
      <c r="F2907" s="5" t="s">
        <v>624</v>
      </c>
      <c r="G2907" s="5" t="s">
        <v>625</v>
      </c>
      <c r="H2907" s="5" t="s">
        <v>628</v>
      </c>
      <c r="I2907" s="5" t="s">
        <v>31</v>
      </c>
      <c r="J2907" s="5">
        <v>17.762098000000002</v>
      </c>
      <c r="K2907" s="5">
        <v>-96.072777000000002</v>
      </c>
      <c r="L2907" s="5" t="str">
        <f>HYPERLINK("https://maps.google.com/?q=17.762098,-96.072777000000002", "🔗 Ver Mapa")</f>
        <v>🔗 Ver Mapa</v>
      </c>
    </row>
    <row r="2908" spans="1:12" ht="43.5" x14ac:dyDescent="0.35">
      <c r="A2908" s="6" t="s">
        <v>98</v>
      </c>
      <c r="B2908" s="6" t="s">
        <v>99</v>
      </c>
      <c r="C2908" s="6" t="s">
        <v>627</v>
      </c>
      <c r="D2908" s="6" t="s">
        <v>14</v>
      </c>
      <c r="E2908" s="6" t="s">
        <v>140</v>
      </c>
      <c r="F2908" s="6" t="s">
        <v>624</v>
      </c>
      <c r="G2908" s="6" t="s">
        <v>625</v>
      </c>
      <c r="H2908" s="6" t="s">
        <v>628</v>
      </c>
      <c r="I2908" s="6" t="s">
        <v>31</v>
      </c>
      <c r="J2908" s="6">
        <v>17.762198999999999</v>
      </c>
      <c r="K2908" s="6">
        <v>-96.073646999999994</v>
      </c>
      <c r="L2908" s="6" t="str">
        <f>HYPERLINK("https://maps.google.com/?q=17.762199,-96.073646999999994", "🔗 Ver Mapa")</f>
        <v>🔗 Ver Mapa</v>
      </c>
    </row>
    <row r="2909" spans="1:12" ht="43.5" x14ac:dyDescent="0.35">
      <c r="A2909" s="5" t="s">
        <v>98</v>
      </c>
      <c r="B2909" s="5" t="s">
        <v>99</v>
      </c>
      <c r="C2909" s="5" t="s">
        <v>627</v>
      </c>
      <c r="D2909" s="5" t="s">
        <v>14</v>
      </c>
      <c r="E2909" s="5" t="s">
        <v>140</v>
      </c>
      <c r="F2909" s="5" t="s">
        <v>624</v>
      </c>
      <c r="G2909" s="5" t="s">
        <v>625</v>
      </c>
      <c r="H2909" s="5" t="s">
        <v>628</v>
      </c>
      <c r="I2909" s="5" t="s">
        <v>31</v>
      </c>
      <c r="J2909" s="5">
        <v>17.762281000000002</v>
      </c>
      <c r="K2909" s="5">
        <v>-96.072618000000006</v>
      </c>
      <c r="L2909" s="5" t="str">
        <f>HYPERLINK("https://maps.google.com/?q=17.762281,-96.072618000000006", "🔗 Ver Mapa")</f>
        <v>🔗 Ver Mapa</v>
      </c>
    </row>
    <row r="2910" spans="1:12" ht="43.5" x14ac:dyDescent="0.35">
      <c r="A2910" s="6" t="s">
        <v>98</v>
      </c>
      <c r="B2910" s="6" t="s">
        <v>99</v>
      </c>
      <c r="C2910" s="6" t="s">
        <v>627</v>
      </c>
      <c r="D2910" s="6" t="s">
        <v>14</v>
      </c>
      <c r="E2910" s="6" t="s">
        <v>140</v>
      </c>
      <c r="F2910" s="6" t="s">
        <v>624</v>
      </c>
      <c r="G2910" s="6" t="s">
        <v>625</v>
      </c>
      <c r="H2910" s="6" t="s">
        <v>628</v>
      </c>
      <c r="I2910" s="6" t="s">
        <v>31</v>
      </c>
      <c r="J2910" s="6">
        <v>17.763178</v>
      </c>
      <c r="K2910" s="6">
        <v>-96.074928</v>
      </c>
      <c r="L2910" s="6" t="str">
        <f>HYPERLINK("https://maps.google.com/?q=17.763178,-96.074928", "🔗 Ver Mapa")</f>
        <v>🔗 Ver Mapa</v>
      </c>
    </row>
    <row r="2911" spans="1:12" ht="43.5" x14ac:dyDescent="0.35">
      <c r="A2911" s="5" t="s">
        <v>98</v>
      </c>
      <c r="B2911" s="5" t="s">
        <v>99</v>
      </c>
      <c r="C2911" s="5" t="s">
        <v>629</v>
      </c>
      <c r="D2911" s="5" t="s">
        <v>14</v>
      </c>
      <c r="E2911" s="5" t="s">
        <v>52</v>
      </c>
      <c r="F2911" s="5" t="s">
        <v>70</v>
      </c>
      <c r="G2911" s="5" t="s">
        <v>630</v>
      </c>
      <c r="H2911" s="5" t="s">
        <v>631</v>
      </c>
      <c r="I2911" s="5" t="s">
        <v>31</v>
      </c>
      <c r="J2911" s="5">
        <v>17.087501336982001</v>
      </c>
      <c r="K2911" s="5">
        <v>-96.692628543431994</v>
      </c>
      <c r="L2911" s="5" t="str">
        <f>HYPERLINK("https://maps.google.com/?q=17.0875013369815,-96.692628543432406", "🔗 Ver Mapa")</f>
        <v>🔗 Ver Mapa</v>
      </c>
    </row>
    <row r="2912" spans="1:12" ht="43.5" x14ac:dyDescent="0.35">
      <c r="A2912" s="6" t="s">
        <v>98</v>
      </c>
      <c r="B2912" s="6" t="s">
        <v>99</v>
      </c>
      <c r="C2912" s="6" t="s">
        <v>629</v>
      </c>
      <c r="D2912" s="6" t="s">
        <v>14</v>
      </c>
      <c r="E2912" s="6" t="s">
        <v>52</v>
      </c>
      <c r="F2912" s="6" t="s">
        <v>70</v>
      </c>
      <c r="G2912" s="6" t="s">
        <v>630</v>
      </c>
      <c r="H2912" s="6" t="s">
        <v>631</v>
      </c>
      <c r="I2912" s="6" t="s">
        <v>31</v>
      </c>
      <c r="J2912" s="6">
        <v>17.087667802167999</v>
      </c>
      <c r="K2912" s="6">
        <v>-96.690971458269004</v>
      </c>
      <c r="L2912" s="6" t="str">
        <f>HYPERLINK("https://maps.google.com/?q=17.0876678021684,-96.690971458269303", "🔗 Ver Mapa")</f>
        <v>🔗 Ver Mapa</v>
      </c>
    </row>
    <row r="2913" spans="1:12" ht="43.5" x14ac:dyDescent="0.35">
      <c r="A2913" s="5" t="s">
        <v>98</v>
      </c>
      <c r="B2913" s="5" t="s">
        <v>99</v>
      </c>
      <c r="C2913" s="5" t="s">
        <v>632</v>
      </c>
      <c r="D2913" s="5" t="s">
        <v>14</v>
      </c>
      <c r="E2913" s="5" t="s">
        <v>52</v>
      </c>
      <c r="F2913" s="5" t="s">
        <v>70</v>
      </c>
      <c r="G2913" s="5" t="s">
        <v>630</v>
      </c>
      <c r="H2913" s="5" t="s">
        <v>633</v>
      </c>
      <c r="I2913" s="5" t="s">
        <v>31</v>
      </c>
      <c r="J2913" s="5">
        <v>17.083990013133999</v>
      </c>
      <c r="K2913" s="5">
        <v>-96.672318842896999</v>
      </c>
      <c r="L2913" s="5" t="str">
        <f>HYPERLINK("https://maps.google.com/?q=17.0839900131345,-96.672318842896999", "🔗 Ver Mapa")</f>
        <v>🔗 Ver Mapa</v>
      </c>
    </row>
    <row r="2914" spans="1:12" ht="43.5" x14ac:dyDescent="0.35">
      <c r="A2914" s="6" t="s">
        <v>98</v>
      </c>
      <c r="B2914" s="6" t="s">
        <v>99</v>
      </c>
      <c r="C2914" s="6" t="s">
        <v>632</v>
      </c>
      <c r="D2914" s="6" t="s">
        <v>14</v>
      </c>
      <c r="E2914" s="6" t="s">
        <v>52</v>
      </c>
      <c r="F2914" s="6" t="s">
        <v>70</v>
      </c>
      <c r="G2914" s="6" t="s">
        <v>630</v>
      </c>
      <c r="H2914" s="6" t="s">
        <v>633</v>
      </c>
      <c r="I2914" s="6" t="s">
        <v>31</v>
      </c>
      <c r="J2914" s="6">
        <v>17.084446755727999</v>
      </c>
      <c r="K2914" s="6">
        <v>-96.673440328954996</v>
      </c>
      <c r="L2914" s="6" t="str">
        <f>HYPERLINK("https://maps.google.com/?q=17.0844467557284,-96.673440328954996", "🔗 Ver Mapa")</f>
        <v>🔗 Ver Mapa</v>
      </c>
    </row>
    <row r="2915" spans="1:12" ht="43.5" x14ac:dyDescent="0.35">
      <c r="A2915" s="5" t="s">
        <v>98</v>
      </c>
      <c r="B2915" s="5" t="s">
        <v>99</v>
      </c>
      <c r="C2915" s="5" t="s">
        <v>634</v>
      </c>
      <c r="D2915" s="5" t="s">
        <v>14</v>
      </c>
      <c r="E2915" s="5" t="s">
        <v>52</v>
      </c>
      <c r="F2915" s="5" t="s">
        <v>70</v>
      </c>
      <c r="G2915" s="5" t="s">
        <v>630</v>
      </c>
      <c r="H2915" s="5" t="s">
        <v>635</v>
      </c>
      <c r="I2915" s="5" t="s">
        <v>31</v>
      </c>
      <c r="J2915" s="5">
        <v>17.068766239999999</v>
      </c>
      <c r="K2915" s="5">
        <v>-96.686187230000002</v>
      </c>
      <c r="L2915" s="5" t="str">
        <f>HYPERLINK("https://maps.google.com/?q=17.06876624,-96.686187230000002", "🔗 Ver Mapa")</f>
        <v>🔗 Ver Mapa</v>
      </c>
    </row>
    <row r="2916" spans="1:12" ht="43.5" x14ac:dyDescent="0.35">
      <c r="A2916" s="6" t="s">
        <v>98</v>
      </c>
      <c r="B2916" s="6" t="s">
        <v>99</v>
      </c>
      <c r="C2916" s="6" t="s">
        <v>634</v>
      </c>
      <c r="D2916" s="6" t="s">
        <v>14</v>
      </c>
      <c r="E2916" s="6" t="s">
        <v>52</v>
      </c>
      <c r="F2916" s="6" t="s">
        <v>70</v>
      </c>
      <c r="G2916" s="6" t="s">
        <v>630</v>
      </c>
      <c r="H2916" s="6" t="s">
        <v>635</v>
      </c>
      <c r="I2916" s="6" t="s">
        <v>31</v>
      </c>
      <c r="J2916" s="6">
        <v>17.069537780000001</v>
      </c>
      <c r="K2916" s="6">
        <v>-96.686316559999995</v>
      </c>
      <c r="L2916" s="6" t="str">
        <f>HYPERLINK("https://maps.google.com/?q=17.06953778,-96.686316559999995", "🔗 Ver Mapa")</f>
        <v>🔗 Ver Mapa</v>
      </c>
    </row>
    <row r="2917" spans="1:12" ht="43.5" x14ac:dyDescent="0.35">
      <c r="A2917" s="5" t="s">
        <v>98</v>
      </c>
      <c r="B2917" s="5" t="s">
        <v>99</v>
      </c>
      <c r="C2917" s="5" t="s">
        <v>634</v>
      </c>
      <c r="D2917" s="5" t="s">
        <v>14</v>
      </c>
      <c r="E2917" s="5" t="s">
        <v>52</v>
      </c>
      <c r="F2917" s="5" t="s">
        <v>70</v>
      </c>
      <c r="G2917" s="5" t="s">
        <v>630</v>
      </c>
      <c r="H2917" s="5" t="s">
        <v>635</v>
      </c>
      <c r="I2917" s="5" t="s">
        <v>31</v>
      </c>
      <c r="J2917" s="5">
        <v>17.069753680000002</v>
      </c>
      <c r="K2917" s="5">
        <v>-96.687090749999996</v>
      </c>
      <c r="L2917" s="5" t="str">
        <f>HYPERLINK("https://maps.google.com/?q=17.06975368,-96.687090749999996", "🔗 Ver Mapa")</f>
        <v>🔗 Ver Mapa</v>
      </c>
    </row>
    <row r="2918" spans="1:12" ht="43.5" x14ac:dyDescent="0.35">
      <c r="A2918" s="6" t="s">
        <v>98</v>
      </c>
      <c r="B2918" s="6" t="s">
        <v>99</v>
      </c>
      <c r="C2918" s="6" t="s">
        <v>634</v>
      </c>
      <c r="D2918" s="6" t="s">
        <v>14</v>
      </c>
      <c r="E2918" s="6" t="s">
        <v>52</v>
      </c>
      <c r="F2918" s="6" t="s">
        <v>70</v>
      </c>
      <c r="G2918" s="6" t="s">
        <v>630</v>
      </c>
      <c r="H2918" s="6" t="s">
        <v>635</v>
      </c>
      <c r="I2918" s="6" t="s">
        <v>31</v>
      </c>
      <c r="J2918" s="6">
        <v>17.069845579999999</v>
      </c>
      <c r="K2918" s="6">
        <v>-96.687642190000005</v>
      </c>
      <c r="L2918" s="6" t="str">
        <f>HYPERLINK("https://maps.google.com/?q=17.06984558,-96.687642190000005", "🔗 Ver Mapa")</f>
        <v>🔗 Ver Mapa</v>
      </c>
    </row>
    <row r="2919" spans="1:12" ht="43.5" x14ac:dyDescent="0.35">
      <c r="A2919" s="5" t="s">
        <v>98</v>
      </c>
      <c r="B2919" s="5" t="s">
        <v>99</v>
      </c>
      <c r="C2919" s="5" t="s">
        <v>634</v>
      </c>
      <c r="D2919" s="5" t="s">
        <v>14</v>
      </c>
      <c r="E2919" s="5" t="s">
        <v>52</v>
      </c>
      <c r="F2919" s="5" t="s">
        <v>70</v>
      </c>
      <c r="G2919" s="5" t="s">
        <v>630</v>
      </c>
      <c r="H2919" s="5" t="s">
        <v>635</v>
      </c>
      <c r="I2919" s="5" t="s">
        <v>31</v>
      </c>
      <c r="J2919" s="5">
        <v>17.071297179999998</v>
      </c>
      <c r="K2919" s="5">
        <v>-96.685973270000005</v>
      </c>
      <c r="L2919" s="5" t="str">
        <f>HYPERLINK("https://maps.google.com/?q=17.07129718,-96.685973270000005", "🔗 Ver Mapa")</f>
        <v>🔗 Ver Mapa</v>
      </c>
    </row>
    <row r="2920" spans="1:12" ht="43.5" x14ac:dyDescent="0.35">
      <c r="A2920" s="6" t="s">
        <v>98</v>
      </c>
      <c r="B2920" s="6" t="s">
        <v>99</v>
      </c>
      <c r="C2920" s="6" t="s">
        <v>634</v>
      </c>
      <c r="D2920" s="6" t="s">
        <v>14</v>
      </c>
      <c r="E2920" s="6" t="s">
        <v>52</v>
      </c>
      <c r="F2920" s="6" t="s">
        <v>70</v>
      </c>
      <c r="G2920" s="6" t="s">
        <v>630</v>
      </c>
      <c r="H2920" s="6" t="s">
        <v>635</v>
      </c>
      <c r="I2920" s="6" t="s">
        <v>31</v>
      </c>
      <c r="J2920" s="6">
        <v>17.071445090000001</v>
      </c>
      <c r="K2920" s="6">
        <v>-96.686841770000001</v>
      </c>
      <c r="L2920" s="6" t="str">
        <f>HYPERLINK("https://maps.google.com/?q=17.07144509,-96.686841770000001", "🔗 Ver Mapa")</f>
        <v>🔗 Ver Mapa</v>
      </c>
    </row>
    <row r="2921" spans="1:12" ht="43.5" x14ac:dyDescent="0.35">
      <c r="A2921" s="5" t="s">
        <v>98</v>
      </c>
      <c r="B2921" s="5" t="s">
        <v>99</v>
      </c>
      <c r="C2921" s="5" t="s">
        <v>634</v>
      </c>
      <c r="D2921" s="5" t="s">
        <v>14</v>
      </c>
      <c r="E2921" s="5" t="s">
        <v>52</v>
      </c>
      <c r="F2921" s="5" t="s">
        <v>70</v>
      </c>
      <c r="G2921" s="5" t="s">
        <v>630</v>
      </c>
      <c r="H2921" s="5" t="s">
        <v>635</v>
      </c>
      <c r="I2921" s="5" t="s">
        <v>31</v>
      </c>
      <c r="J2921" s="5">
        <v>17.071674550000001</v>
      </c>
      <c r="K2921" s="5">
        <v>-96.685920679999995</v>
      </c>
      <c r="L2921" s="5" t="str">
        <f>HYPERLINK("https://maps.google.com/?q=17.07167455,-96.685920679999995", "🔗 Ver Mapa")</f>
        <v>🔗 Ver Mapa</v>
      </c>
    </row>
    <row r="2922" spans="1:12" ht="43.5" x14ac:dyDescent="0.35">
      <c r="A2922" s="6" t="s">
        <v>98</v>
      </c>
      <c r="B2922" s="6" t="s">
        <v>99</v>
      </c>
      <c r="C2922" s="6" t="s">
        <v>634</v>
      </c>
      <c r="D2922" s="6" t="s">
        <v>14</v>
      </c>
      <c r="E2922" s="6" t="s">
        <v>52</v>
      </c>
      <c r="F2922" s="6" t="s">
        <v>70</v>
      </c>
      <c r="G2922" s="6" t="s">
        <v>630</v>
      </c>
      <c r="H2922" s="6" t="s">
        <v>635</v>
      </c>
      <c r="I2922" s="6" t="s">
        <v>31</v>
      </c>
      <c r="J2922" s="6">
        <v>17.072670689999999</v>
      </c>
      <c r="K2922" s="6">
        <v>-96.688335760000001</v>
      </c>
      <c r="L2922" s="6" t="str">
        <f>HYPERLINK("https://maps.google.com/?q=17.07267069,-96.688335760000001", "🔗 Ver Mapa")</f>
        <v>🔗 Ver Mapa</v>
      </c>
    </row>
    <row r="2923" spans="1:12" ht="43.5" x14ac:dyDescent="0.35">
      <c r="A2923" s="5" t="s">
        <v>98</v>
      </c>
      <c r="B2923" s="5" t="s">
        <v>99</v>
      </c>
      <c r="C2923" s="5" t="s">
        <v>634</v>
      </c>
      <c r="D2923" s="5" t="s">
        <v>14</v>
      </c>
      <c r="E2923" s="5" t="s">
        <v>52</v>
      </c>
      <c r="F2923" s="5" t="s">
        <v>70</v>
      </c>
      <c r="G2923" s="5" t="s">
        <v>630</v>
      </c>
      <c r="H2923" s="5" t="s">
        <v>635</v>
      </c>
      <c r="I2923" s="5" t="s">
        <v>31</v>
      </c>
      <c r="J2923" s="5">
        <v>17.073371359999999</v>
      </c>
      <c r="K2923" s="5">
        <v>-96.689116729999995</v>
      </c>
      <c r="L2923" s="5" t="str">
        <f>HYPERLINK("https://maps.google.com/?q=17.07337136,-96.689116729999995", "🔗 Ver Mapa")</f>
        <v>🔗 Ver Mapa</v>
      </c>
    </row>
    <row r="2924" spans="1:12" ht="43.5" x14ac:dyDescent="0.35">
      <c r="A2924" s="6" t="s">
        <v>98</v>
      </c>
      <c r="B2924" s="6" t="s">
        <v>99</v>
      </c>
      <c r="C2924" s="6" t="s">
        <v>634</v>
      </c>
      <c r="D2924" s="6" t="s">
        <v>14</v>
      </c>
      <c r="E2924" s="6" t="s">
        <v>52</v>
      </c>
      <c r="F2924" s="6" t="s">
        <v>70</v>
      </c>
      <c r="G2924" s="6" t="s">
        <v>630</v>
      </c>
      <c r="H2924" s="6" t="s">
        <v>635</v>
      </c>
      <c r="I2924" s="6" t="s">
        <v>31</v>
      </c>
      <c r="J2924" s="6">
        <v>17.073516890000001</v>
      </c>
      <c r="K2924" s="6">
        <v>-96.687915390000001</v>
      </c>
      <c r="L2924" s="6" t="str">
        <f>HYPERLINK("https://maps.google.com/?q=17.07351689,-96.687915390000001", "🔗 Ver Mapa")</f>
        <v>🔗 Ver Mapa</v>
      </c>
    </row>
    <row r="2925" spans="1:12" ht="43.5" x14ac:dyDescent="0.35">
      <c r="A2925" s="5" t="s">
        <v>98</v>
      </c>
      <c r="B2925" s="5" t="s">
        <v>99</v>
      </c>
      <c r="C2925" s="5" t="s">
        <v>634</v>
      </c>
      <c r="D2925" s="5" t="s">
        <v>14</v>
      </c>
      <c r="E2925" s="5" t="s">
        <v>52</v>
      </c>
      <c r="F2925" s="5" t="s">
        <v>70</v>
      </c>
      <c r="G2925" s="5" t="s">
        <v>630</v>
      </c>
      <c r="H2925" s="5" t="s">
        <v>635</v>
      </c>
      <c r="I2925" s="5" t="s">
        <v>31</v>
      </c>
      <c r="J2925" s="5">
        <v>17.0741166</v>
      </c>
      <c r="K2925" s="5">
        <v>-96.685483899999994</v>
      </c>
      <c r="L2925" s="5" t="str">
        <f>HYPERLINK("https://maps.google.com/?q=17.0741166,-96.685483899999994", "🔗 Ver Mapa")</f>
        <v>🔗 Ver Mapa</v>
      </c>
    </row>
    <row r="2926" spans="1:12" ht="43.5" x14ac:dyDescent="0.35">
      <c r="A2926" s="6" t="s">
        <v>98</v>
      </c>
      <c r="B2926" s="6" t="s">
        <v>99</v>
      </c>
      <c r="C2926" s="6" t="s">
        <v>634</v>
      </c>
      <c r="D2926" s="6" t="s">
        <v>14</v>
      </c>
      <c r="E2926" s="6" t="s">
        <v>52</v>
      </c>
      <c r="F2926" s="6" t="s">
        <v>70</v>
      </c>
      <c r="G2926" s="6" t="s">
        <v>630</v>
      </c>
      <c r="H2926" s="6" t="s">
        <v>635</v>
      </c>
      <c r="I2926" s="6" t="s">
        <v>31</v>
      </c>
      <c r="J2926" s="6">
        <v>17.076361089999999</v>
      </c>
      <c r="K2926" s="6">
        <v>-96.665406039999993</v>
      </c>
      <c r="L2926" s="6" t="str">
        <f>HYPERLINK("https://maps.google.com/?q=17.07636109,-96.665406039999993", "🔗 Ver Mapa")</f>
        <v>🔗 Ver Mapa</v>
      </c>
    </row>
    <row r="2927" spans="1:12" ht="43.5" x14ac:dyDescent="0.35">
      <c r="A2927" s="5" t="s">
        <v>98</v>
      </c>
      <c r="B2927" s="5" t="s">
        <v>99</v>
      </c>
      <c r="C2927" s="5" t="s">
        <v>634</v>
      </c>
      <c r="D2927" s="5" t="s">
        <v>14</v>
      </c>
      <c r="E2927" s="5" t="s">
        <v>52</v>
      </c>
      <c r="F2927" s="5" t="s">
        <v>70</v>
      </c>
      <c r="G2927" s="5" t="s">
        <v>630</v>
      </c>
      <c r="H2927" s="5" t="s">
        <v>635</v>
      </c>
      <c r="I2927" s="5" t="s">
        <v>31</v>
      </c>
      <c r="J2927" s="5">
        <v>17.07649301</v>
      </c>
      <c r="K2927" s="5">
        <v>-96.66530865</v>
      </c>
      <c r="L2927" s="5" t="str">
        <f>HYPERLINK("https://maps.google.com/?q=17.07649301,-96.66530865", "🔗 Ver Mapa")</f>
        <v>🔗 Ver Mapa</v>
      </c>
    </row>
    <row r="2928" spans="1:12" ht="43.5" x14ac:dyDescent="0.35">
      <c r="A2928" s="6" t="s">
        <v>98</v>
      </c>
      <c r="B2928" s="6" t="s">
        <v>99</v>
      </c>
      <c r="C2928" s="6" t="s">
        <v>634</v>
      </c>
      <c r="D2928" s="6" t="s">
        <v>14</v>
      </c>
      <c r="E2928" s="6" t="s">
        <v>52</v>
      </c>
      <c r="F2928" s="6" t="s">
        <v>70</v>
      </c>
      <c r="G2928" s="6" t="s">
        <v>630</v>
      </c>
      <c r="H2928" s="6" t="s">
        <v>635</v>
      </c>
      <c r="I2928" s="6" t="s">
        <v>31</v>
      </c>
      <c r="J2928" s="6">
        <v>17.076677480000001</v>
      </c>
      <c r="K2928" s="6">
        <v>-96.679177080000002</v>
      </c>
      <c r="L2928" s="6" t="str">
        <f>HYPERLINK("https://maps.google.com/?q=17.07667748,-96.679177080000002", "🔗 Ver Mapa")</f>
        <v>🔗 Ver Mapa</v>
      </c>
    </row>
    <row r="2929" spans="1:12" ht="43.5" x14ac:dyDescent="0.35">
      <c r="A2929" s="5" t="s">
        <v>98</v>
      </c>
      <c r="B2929" s="5" t="s">
        <v>99</v>
      </c>
      <c r="C2929" s="5" t="s">
        <v>634</v>
      </c>
      <c r="D2929" s="5" t="s">
        <v>14</v>
      </c>
      <c r="E2929" s="5" t="s">
        <v>52</v>
      </c>
      <c r="F2929" s="5" t="s">
        <v>70</v>
      </c>
      <c r="G2929" s="5" t="s">
        <v>630</v>
      </c>
      <c r="H2929" s="5" t="s">
        <v>635</v>
      </c>
      <c r="I2929" s="5" t="s">
        <v>31</v>
      </c>
      <c r="J2929" s="5">
        <v>17.07681315</v>
      </c>
      <c r="K2929" s="5">
        <v>-96.681491809999997</v>
      </c>
      <c r="L2929" s="5" t="str">
        <f>HYPERLINK("https://maps.google.com/?q=17.07681315,-96.681491809999997", "🔗 Ver Mapa")</f>
        <v>🔗 Ver Mapa</v>
      </c>
    </row>
    <row r="2930" spans="1:12" ht="43.5" x14ac:dyDescent="0.35">
      <c r="A2930" s="6" t="s">
        <v>98</v>
      </c>
      <c r="B2930" s="6" t="s">
        <v>99</v>
      </c>
      <c r="C2930" s="6" t="s">
        <v>634</v>
      </c>
      <c r="D2930" s="6" t="s">
        <v>14</v>
      </c>
      <c r="E2930" s="6" t="s">
        <v>52</v>
      </c>
      <c r="F2930" s="6" t="s">
        <v>70</v>
      </c>
      <c r="G2930" s="6" t="s">
        <v>630</v>
      </c>
      <c r="H2930" s="6" t="s">
        <v>635</v>
      </c>
      <c r="I2930" s="6" t="s">
        <v>31</v>
      </c>
      <c r="J2930" s="6">
        <v>17.07691367</v>
      </c>
      <c r="K2930" s="6">
        <v>-96.680320910000006</v>
      </c>
      <c r="L2930" s="6" t="str">
        <f>HYPERLINK("https://maps.google.com/?q=17.07691367,-96.680320910000006", "🔗 Ver Mapa")</f>
        <v>🔗 Ver Mapa</v>
      </c>
    </row>
    <row r="2931" spans="1:12" ht="43.5" x14ac:dyDescent="0.35">
      <c r="A2931" s="5" t="s">
        <v>98</v>
      </c>
      <c r="B2931" s="5" t="s">
        <v>99</v>
      </c>
      <c r="C2931" s="5" t="s">
        <v>634</v>
      </c>
      <c r="D2931" s="5" t="s">
        <v>14</v>
      </c>
      <c r="E2931" s="5" t="s">
        <v>52</v>
      </c>
      <c r="F2931" s="5" t="s">
        <v>70</v>
      </c>
      <c r="G2931" s="5" t="s">
        <v>630</v>
      </c>
      <c r="H2931" s="5" t="s">
        <v>635</v>
      </c>
      <c r="I2931" s="5" t="s">
        <v>31</v>
      </c>
      <c r="J2931" s="5">
        <v>17.077437580000002</v>
      </c>
      <c r="K2931" s="5">
        <v>-96.688970479999995</v>
      </c>
      <c r="L2931" s="5" t="str">
        <f>HYPERLINK("https://maps.google.com/?q=17.07743758,-96.688970479999995", "🔗 Ver Mapa")</f>
        <v>🔗 Ver Mapa</v>
      </c>
    </row>
    <row r="2932" spans="1:12" ht="43.5" x14ac:dyDescent="0.35">
      <c r="A2932" s="6" t="s">
        <v>98</v>
      </c>
      <c r="B2932" s="6" t="s">
        <v>99</v>
      </c>
      <c r="C2932" s="6" t="s">
        <v>634</v>
      </c>
      <c r="D2932" s="6" t="s">
        <v>14</v>
      </c>
      <c r="E2932" s="6" t="s">
        <v>52</v>
      </c>
      <c r="F2932" s="6" t="s">
        <v>70</v>
      </c>
      <c r="G2932" s="6" t="s">
        <v>630</v>
      </c>
      <c r="H2932" s="6" t="s">
        <v>635</v>
      </c>
      <c r="I2932" s="6" t="s">
        <v>31</v>
      </c>
      <c r="J2932" s="6">
        <v>17.078274329999999</v>
      </c>
      <c r="K2932" s="6">
        <v>-96.664752759999999</v>
      </c>
      <c r="L2932" s="6" t="str">
        <f>HYPERLINK("https://maps.google.com/?q=17.07827433,-96.664752759999999", "🔗 Ver Mapa")</f>
        <v>🔗 Ver Mapa</v>
      </c>
    </row>
    <row r="2933" spans="1:12" ht="43.5" x14ac:dyDescent="0.35">
      <c r="A2933" s="5" t="s">
        <v>98</v>
      </c>
      <c r="B2933" s="5" t="s">
        <v>99</v>
      </c>
      <c r="C2933" s="5" t="s">
        <v>634</v>
      </c>
      <c r="D2933" s="5" t="s">
        <v>14</v>
      </c>
      <c r="E2933" s="5" t="s">
        <v>52</v>
      </c>
      <c r="F2933" s="5" t="s">
        <v>70</v>
      </c>
      <c r="G2933" s="5" t="s">
        <v>630</v>
      </c>
      <c r="H2933" s="5" t="s">
        <v>635</v>
      </c>
      <c r="I2933" s="5" t="s">
        <v>31</v>
      </c>
      <c r="J2933" s="5">
        <v>17.078322589999999</v>
      </c>
      <c r="K2933" s="5">
        <v>-96.664929029999996</v>
      </c>
      <c r="L2933" s="5" t="str">
        <f>HYPERLINK("https://maps.google.com/?q=17.07832259,-96.664929029999996", "🔗 Ver Mapa")</f>
        <v>🔗 Ver Mapa</v>
      </c>
    </row>
    <row r="2934" spans="1:12" ht="43.5" x14ac:dyDescent="0.35">
      <c r="A2934" s="6" t="s">
        <v>98</v>
      </c>
      <c r="B2934" s="6" t="s">
        <v>99</v>
      </c>
      <c r="C2934" s="6" t="s">
        <v>634</v>
      </c>
      <c r="D2934" s="6" t="s">
        <v>14</v>
      </c>
      <c r="E2934" s="6" t="s">
        <v>52</v>
      </c>
      <c r="F2934" s="6" t="s">
        <v>70</v>
      </c>
      <c r="G2934" s="6" t="s">
        <v>630</v>
      </c>
      <c r="H2934" s="6" t="s">
        <v>635</v>
      </c>
      <c r="I2934" s="6" t="s">
        <v>31</v>
      </c>
      <c r="J2934" s="6">
        <v>17.078364220000001</v>
      </c>
      <c r="K2934" s="6">
        <v>-96.673013030000007</v>
      </c>
      <c r="L2934" s="6" t="str">
        <f>HYPERLINK("https://maps.google.com/?q=17.07836422,-96.673013030000007", "🔗 Ver Mapa")</f>
        <v>🔗 Ver Mapa</v>
      </c>
    </row>
    <row r="2935" spans="1:12" ht="43.5" x14ac:dyDescent="0.35">
      <c r="A2935" s="5" t="s">
        <v>98</v>
      </c>
      <c r="B2935" s="5" t="s">
        <v>99</v>
      </c>
      <c r="C2935" s="5" t="s">
        <v>634</v>
      </c>
      <c r="D2935" s="5" t="s">
        <v>14</v>
      </c>
      <c r="E2935" s="5" t="s">
        <v>52</v>
      </c>
      <c r="F2935" s="5" t="s">
        <v>70</v>
      </c>
      <c r="G2935" s="5" t="s">
        <v>630</v>
      </c>
      <c r="H2935" s="5" t="s">
        <v>635</v>
      </c>
      <c r="I2935" s="5" t="s">
        <v>31</v>
      </c>
      <c r="J2935" s="5">
        <v>17.078428809999998</v>
      </c>
      <c r="K2935" s="5">
        <v>-96.675090350000005</v>
      </c>
      <c r="L2935" s="5" t="str">
        <f>HYPERLINK("https://maps.google.com/?q=17.07842881,-96.675090350000005", "🔗 Ver Mapa")</f>
        <v>🔗 Ver Mapa</v>
      </c>
    </row>
    <row r="2936" spans="1:12" ht="43.5" x14ac:dyDescent="0.35">
      <c r="A2936" s="6" t="s">
        <v>98</v>
      </c>
      <c r="B2936" s="6" t="s">
        <v>99</v>
      </c>
      <c r="C2936" s="6" t="s">
        <v>634</v>
      </c>
      <c r="D2936" s="6" t="s">
        <v>14</v>
      </c>
      <c r="E2936" s="6" t="s">
        <v>52</v>
      </c>
      <c r="F2936" s="6" t="s">
        <v>70</v>
      </c>
      <c r="G2936" s="6" t="s">
        <v>630</v>
      </c>
      <c r="H2936" s="6" t="s">
        <v>635</v>
      </c>
      <c r="I2936" s="6" t="s">
        <v>31</v>
      </c>
      <c r="J2936" s="6">
        <v>17.078957419999998</v>
      </c>
      <c r="K2936" s="6">
        <v>-96.665329130000003</v>
      </c>
      <c r="L2936" s="6" t="str">
        <f>HYPERLINK("https://maps.google.com/?q=17.07895742,-96.665329130000003", "🔗 Ver Mapa")</f>
        <v>🔗 Ver Mapa</v>
      </c>
    </row>
    <row r="2937" spans="1:12" ht="43.5" x14ac:dyDescent="0.35">
      <c r="A2937" s="5" t="s">
        <v>98</v>
      </c>
      <c r="B2937" s="5" t="s">
        <v>99</v>
      </c>
      <c r="C2937" s="5" t="s">
        <v>634</v>
      </c>
      <c r="D2937" s="5" t="s">
        <v>14</v>
      </c>
      <c r="E2937" s="5" t="s">
        <v>52</v>
      </c>
      <c r="F2937" s="5" t="s">
        <v>70</v>
      </c>
      <c r="G2937" s="5" t="s">
        <v>630</v>
      </c>
      <c r="H2937" s="5" t="s">
        <v>635</v>
      </c>
      <c r="I2937" s="5" t="s">
        <v>31</v>
      </c>
      <c r="J2937" s="5">
        <v>17.079666320000001</v>
      </c>
      <c r="K2937" s="5">
        <v>-96.666413879999993</v>
      </c>
      <c r="L2937" s="5" t="str">
        <f>HYPERLINK("https://maps.google.com/?q=17.07966632,-96.666413879999993", "🔗 Ver Mapa")</f>
        <v>🔗 Ver Mapa</v>
      </c>
    </row>
    <row r="2938" spans="1:12" ht="43.5" x14ac:dyDescent="0.35">
      <c r="A2938" s="6" t="s">
        <v>98</v>
      </c>
      <c r="B2938" s="6" t="s">
        <v>99</v>
      </c>
      <c r="C2938" s="6" t="s">
        <v>634</v>
      </c>
      <c r="D2938" s="6" t="s">
        <v>14</v>
      </c>
      <c r="E2938" s="6" t="s">
        <v>52</v>
      </c>
      <c r="F2938" s="6" t="s">
        <v>70</v>
      </c>
      <c r="G2938" s="6" t="s">
        <v>630</v>
      </c>
      <c r="H2938" s="6" t="s">
        <v>635</v>
      </c>
      <c r="I2938" s="6" t="s">
        <v>31</v>
      </c>
      <c r="J2938" s="6">
        <v>17.079789989999998</v>
      </c>
      <c r="K2938" s="6">
        <v>-96.662906210000003</v>
      </c>
      <c r="L2938" s="6" t="str">
        <f>HYPERLINK("https://maps.google.com/?q=17.07978999,-96.662906210000003", "🔗 Ver Mapa")</f>
        <v>🔗 Ver Mapa</v>
      </c>
    </row>
    <row r="2939" spans="1:12" ht="43.5" x14ac:dyDescent="0.35">
      <c r="A2939" s="5" t="s">
        <v>98</v>
      </c>
      <c r="B2939" s="5" t="s">
        <v>99</v>
      </c>
      <c r="C2939" s="5" t="s">
        <v>634</v>
      </c>
      <c r="D2939" s="5" t="s">
        <v>14</v>
      </c>
      <c r="E2939" s="5" t="s">
        <v>52</v>
      </c>
      <c r="F2939" s="5" t="s">
        <v>70</v>
      </c>
      <c r="G2939" s="5" t="s">
        <v>630</v>
      </c>
      <c r="H2939" s="5" t="s">
        <v>635</v>
      </c>
      <c r="I2939" s="5" t="s">
        <v>31</v>
      </c>
      <c r="J2939" s="5">
        <v>17.07991239</v>
      </c>
      <c r="K2939" s="5">
        <v>-96.663557990000001</v>
      </c>
      <c r="L2939" s="5" t="str">
        <f>HYPERLINK("https://maps.google.com/?q=17.07991239,-96.663557990000001", "🔗 Ver Mapa")</f>
        <v>🔗 Ver Mapa</v>
      </c>
    </row>
    <row r="2940" spans="1:12" ht="43.5" x14ac:dyDescent="0.35">
      <c r="A2940" s="6" t="s">
        <v>98</v>
      </c>
      <c r="B2940" s="6" t="s">
        <v>99</v>
      </c>
      <c r="C2940" s="6" t="s">
        <v>634</v>
      </c>
      <c r="D2940" s="6" t="s">
        <v>14</v>
      </c>
      <c r="E2940" s="6" t="s">
        <v>52</v>
      </c>
      <c r="F2940" s="6" t="s">
        <v>70</v>
      </c>
      <c r="G2940" s="6" t="s">
        <v>630</v>
      </c>
      <c r="H2940" s="6" t="s">
        <v>635</v>
      </c>
      <c r="I2940" s="6" t="s">
        <v>31</v>
      </c>
      <c r="J2940" s="6">
        <v>17.079937050000002</v>
      </c>
      <c r="K2940" s="6">
        <v>-96.674212010000005</v>
      </c>
      <c r="L2940" s="6" t="str">
        <f>HYPERLINK("https://maps.google.com/?q=17.07993705,-96.674212010000005", "🔗 Ver Mapa")</f>
        <v>🔗 Ver Mapa</v>
      </c>
    </row>
    <row r="2941" spans="1:12" ht="43.5" x14ac:dyDescent="0.35">
      <c r="A2941" s="5" t="s">
        <v>98</v>
      </c>
      <c r="B2941" s="5" t="s">
        <v>99</v>
      </c>
      <c r="C2941" s="5" t="s">
        <v>634</v>
      </c>
      <c r="D2941" s="5" t="s">
        <v>14</v>
      </c>
      <c r="E2941" s="5" t="s">
        <v>52</v>
      </c>
      <c r="F2941" s="5" t="s">
        <v>70</v>
      </c>
      <c r="G2941" s="5" t="s">
        <v>630</v>
      </c>
      <c r="H2941" s="5" t="s">
        <v>635</v>
      </c>
      <c r="I2941" s="5" t="s">
        <v>31</v>
      </c>
      <c r="J2941" s="5">
        <v>17.080618250000001</v>
      </c>
      <c r="K2941" s="5">
        <v>-96.67004077</v>
      </c>
      <c r="L2941" s="5" t="str">
        <f>HYPERLINK("https://maps.google.com/?q=17.08061825,-96.67004077", "🔗 Ver Mapa")</f>
        <v>🔗 Ver Mapa</v>
      </c>
    </row>
    <row r="2942" spans="1:12" ht="43.5" x14ac:dyDescent="0.35">
      <c r="A2942" s="6" t="s">
        <v>98</v>
      </c>
      <c r="B2942" s="6" t="s">
        <v>99</v>
      </c>
      <c r="C2942" s="6" t="s">
        <v>634</v>
      </c>
      <c r="D2942" s="6" t="s">
        <v>14</v>
      </c>
      <c r="E2942" s="6" t="s">
        <v>52</v>
      </c>
      <c r="F2942" s="6" t="s">
        <v>70</v>
      </c>
      <c r="G2942" s="6" t="s">
        <v>630</v>
      </c>
      <c r="H2942" s="6" t="s">
        <v>635</v>
      </c>
      <c r="I2942" s="6" t="s">
        <v>31</v>
      </c>
      <c r="J2942" s="6">
        <v>17.080728319999999</v>
      </c>
      <c r="K2942" s="6">
        <v>-96.667778429999998</v>
      </c>
      <c r="L2942" s="6" t="str">
        <f>HYPERLINK("https://maps.google.com/?q=17.08072832,-96.667778429999998", "🔗 Ver Mapa")</f>
        <v>🔗 Ver Mapa</v>
      </c>
    </row>
    <row r="2943" spans="1:12" ht="43.5" x14ac:dyDescent="0.35">
      <c r="A2943" s="5" t="s">
        <v>98</v>
      </c>
      <c r="B2943" s="5" t="s">
        <v>99</v>
      </c>
      <c r="C2943" s="5" t="s">
        <v>634</v>
      </c>
      <c r="D2943" s="5" t="s">
        <v>14</v>
      </c>
      <c r="E2943" s="5" t="s">
        <v>52</v>
      </c>
      <c r="F2943" s="5" t="s">
        <v>70</v>
      </c>
      <c r="G2943" s="5" t="s">
        <v>630</v>
      </c>
      <c r="H2943" s="5" t="s">
        <v>635</v>
      </c>
      <c r="I2943" s="5" t="s">
        <v>31</v>
      </c>
      <c r="J2943" s="5">
        <v>17.08100481</v>
      </c>
      <c r="K2943" s="5">
        <v>-96.668608230000004</v>
      </c>
      <c r="L2943" s="5" t="str">
        <f>HYPERLINK("https://maps.google.com/?q=17.08100481,-96.668608230000004", "🔗 Ver Mapa")</f>
        <v>🔗 Ver Mapa</v>
      </c>
    </row>
    <row r="2944" spans="1:12" ht="43.5" x14ac:dyDescent="0.35">
      <c r="A2944" s="6" t="s">
        <v>98</v>
      </c>
      <c r="B2944" s="6" t="s">
        <v>99</v>
      </c>
      <c r="C2944" s="6" t="s">
        <v>634</v>
      </c>
      <c r="D2944" s="6" t="s">
        <v>14</v>
      </c>
      <c r="E2944" s="6" t="s">
        <v>52</v>
      </c>
      <c r="F2944" s="6" t="s">
        <v>70</v>
      </c>
      <c r="G2944" s="6" t="s">
        <v>630</v>
      </c>
      <c r="H2944" s="6" t="s">
        <v>635</v>
      </c>
      <c r="I2944" s="6" t="s">
        <v>31</v>
      </c>
      <c r="J2944" s="6">
        <v>17.081763179999999</v>
      </c>
      <c r="K2944" s="6">
        <v>-96.666592660000006</v>
      </c>
      <c r="L2944" s="6" t="str">
        <f>HYPERLINK("https://maps.google.com/?q=17.08176318,-96.666592660000006", "🔗 Ver Mapa")</f>
        <v>🔗 Ver Mapa</v>
      </c>
    </row>
    <row r="2945" spans="1:12" ht="43.5" x14ac:dyDescent="0.35">
      <c r="A2945" s="5" t="s">
        <v>98</v>
      </c>
      <c r="B2945" s="5" t="s">
        <v>99</v>
      </c>
      <c r="C2945" s="5" t="s">
        <v>634</v>
      </c>
      <c r="D2945" s="5" t="s">
        <v>14</v>
      </c>
      <c r="E2945" s="5" t="s">
        <v>52</v>
      </c>
      <c r="F2945" s="5" t="s">
        <v>70</v>
      </c>
      <c r="G2945" s="5" t="s">
        <v>630</v>
      </c>
      <c r="H2945" s="5" t="s">
        <v>635</v>
      </c>
      <c r="I2945" s="5" t="s">
        <v>31</v>
      </c>
      <c r="J2945" s="5">
        <v>17.082037419999999</v>
      </c>
      <c r="K2945" s="5">
        <v>-96.667962919999994</v>
      </c>
      <c r="L2945" s="5" t="str">
        <f>HYPERLINK("https://maps.google.com/?q=17.08203742,-96.667962919999994", "🔗 Ver Mapa")</f>
        <v>🔗 Ver Mapa</v>
      </c>
    </row>
    <row r="2946" spans="1:12" ht="43.5" x14ac:dyDescent="0.35">
      <c r="A2946" s="6" t="s">
        <v>98</v>
      </c>
      <c r="B2946" s="6" t="s">
        <v>99</v>
      </c>
      <c r="C2946" s="6" t="s">
        <v>634</v>
      </c>
      <c r="D2946" s="6" t="s">
        <v>14</v>
      </c>
      <c r="E2946" s="6" t="s">
        <v>52</v>
      </c>
      <c r="F2946" s="6" t="s">
        <v>70</v>
      </c>
      <c r="G2946" s="6" t="s">
        <v>630</v>
      </c>
      <c r="H2946" s="6" t="s">
        <v>635</v>
      </c>
      <c r="I2946" s="6" t="s">
        <v>31</v>
      </c>
      <c r="J2946" s="6">
        <v>17.083090389999999</v>
      </c>
      <c r="K2946" s="6">
        <v>-96.677961600000003</v>
      </c>
      <c r="L2946" s="6" t="str">
        <f>HYPERLINK("https://maps.google.com/?q=17.08309039,-96.677961600000003", "🔗 Ver Mapa")</f>
        <v>🔗 Ver Mapa</v>
      </c>
    </row>
    <row r="2947" spans="1:12" ht="43.5" x14ac:dyDescent="0.35">
      <c r="A2947" s="5" t="s">
        <v>98</v>
      </c>
      <c r="B2947" s="5" t="s">
        <v>99</v>
      </c>
      <c r="C2947" s="5" t="s">
        <v>634</v>
      </c>
      <c r="D2947" s="5" t="s">
        <v>14</v>
      </c>
      <c r="E2947" s="5" t="s">
        <v>52</v>
      </c>
      <c r="F2947" s="5" t="s">
        <v>70</v>
      </c>
      <c r="G2947" s="5" t="s">
        <v>630</v>
      </c>
      <c r="H2947" s="5" t="s">
        <v>635</v>
      </c>
      <c r="I2947" s="5" t="s">
        <v>31</v>
      </c>
      <c r="J2947" s="5">
        <v>17.083290359999999</v>
      </c>
      <c r="K2947" s="5">
        <v>-96.668257530000005</v>
      </c>
      <c r="L2947" s="5" t="str">
        <f>HYPERLINK("https://maps.google.com/?q=17.08329036,-96.668257530000005", "🔗 Ver Mapa")</f>
        <v>🔗 Ver Mapa</v>
      </c>
    </row>
    <row r="2948" spans="1:12" ht="43.5" x14ac:dyDescent="0.35">
      <c r="A2948" s="6" t="s">
        <v>98</v>
      </c>
      <c r="B2948" s="6" t="s">
        <v>99</v>
      </c>
      <c r="C2948" s="6" t="s">
        <v>634</v>
      </c>
      <c r="D2948" s="6" t="s">
        <v>14</v>
      </c>
      <c r="E2948" s="6" t="s">
        <v>52</v>
      </c>
      <c r="F2948" s="6" t="s">
        <v>70</v>
      </c>
      <c r="G2948" s="6" t="s">
        <v>630</v>
      </c>
      <c r="H2948" s="6" t="s">
        <v>635</v>
      </c>
      <c r="I2948" s="6" t="s">
        <v>31</v>
      </c>
      <c r="J2948" s="6">
        <v>17.08334979</v>
      </c>
      <c r="K2948" s="6">
        <v>-96.675024660000005</v>
      </c>
      <c r="L2948" s="6" t="str">
        <f>HYPERLINK("https://maps.google.com/?q=17.08334979,-96.675024660000005", "🔗 Ver Mapa")</f>
        <v>🔗 Ver Mapa</v>
      </c>
    </row>
    <row r="2949" spans="1:12" ht="43.5" x14ac:dyDescent="0.35">
      <c r="A2949" s="5" t="s">
        <v>98</v>
      </c>
      <c r="B2949" s="5" t="s">
        <v>99</v>
      </c>
      <c r="C2949" s="5" t="s">
        <v>634</v>
      </c>
      <c r="D2949" s="5" t="s">
        <v>14</v>
      </c>
      <c r="E2949" s="5" t="s">
        <v>52</v>
      </c>
      <c r="F2949" s="5" t="s">
        <v>70</v>
      </c>
      <c r="G2949" s="5" t="s">
        <v>630</v>
      </c>
      <c r="H2949" s="5" t="s">
        <v>635</v>
      </c>
      <c r="I2949" s="5" t="s">
        <v>31</v>
      </c>
      <c r="J2949" s="5">
        <v>17.083408800000001</v>
      </c>
      <c r="K2949" s="5">
        <v>-96.663709240000003</v>
      </c>
      <c r="L2949" s="5" t="str">
        <f>HYPERLINK("https://maps.google.com/?q=17.0834088,-96.663709240000003", "🔗 Ver Mapa")</f>
        <v>🔗 Ver Mapa</v>
      </c>
    </row>
    <row r="2950" spans="1:12" ht="43.5" x14ac:dyDescent="0.35">
      <c r="A2950" s="6" t="s">
        <v>98</v>
      </c>
      <c r="B2950" s="6" t="s">
        <v>99</v>
      </c>
      <c r="C2950" s="6" t="s">
        <v>634</v>
      </c>
      <c r="D2950" s="6" t="s">
        <v>14</v>
      </c>
      <c r="E2950" s="6" t="s">
        <v>52</v>
      </c>
      <c r="F2950" s="6" t="s">
        <v>70</v>
      </c>
      <c r="G2950" s="6" t="s">
        <v>630</v>
      </c>
      <c r="H2950" s="6" t="s">
        <v>635</v>
      </c>
      <c r="I2950" s="6" t="s">
        <v>31</v>
      </c>
      <c r="J2950" s="6">
        <v>17.08362739</v>
      </c>
      <c r="K2950" s="6">
        <v>-96.662374299999996</v>
      </c>
      <c r="L2950" s="6" t="str">
        <f>HYPERLINK("https://maps.google.com/?q=17.08362739,-96.662374299999996", "🔗 Ver Mapa")</f>
        <v>🔗 Ver Mapa</v>
      </c>
    </row>
    <row r="2951" spans="1:12" ht="43.5" x14ac:dyDescent="0.35">
      <c r="A2951" s="5" t="s">
        <v>98</v>
      </c>
      <c r="B2951" s="5" t="s">
        <v>99</v>
      </c>
      <c r="C2951" s="5" t="s">
        <v>634</v>
      </c>
      <c r="D2951" s="5" t="s">
        <v>14</v>
      </c>
      <c r="E2951" s="5" t="s">
        <v>52</v>
      </c>
      <c r="F2951" s="5" t="s">
        <v>70</v>
      </c>
      <c r="G2951" s="5" t="s">
        <v>630</v>
      </c>
      <c r="H2951" s="5" t="s">
        <v>635</v>
      </c>
      <c r="I2951" s="5" t="s">
        <v>31</v>
      </c>
      <c r="J2951" s="5">
        <v>17.083827119999999</v>
      </c>
      <c r="K2951" s="5">
        <v>-96.675432119999996</v>
      </c>
      <c r="L2951" s="5" t="str">
        <f>HYPERLINK("https://maps.google.com/?q=17.08382712,-96.675432119999996", "🔗 Ver Mapa")</f>
        <v>🔗 Ver Mapa</v>
      </c>
    </row>
    <row r="2952" spans="1:12" ht="43.5" x14ac:dyDescent="0.35">
      <c r="A2952" s="6" t="s">
        <v>98</v>
      </c>
      <c r="B2952" s="6" t="s">
        <v>99</v>
      </c>
      <c r="C2952" s="6" t="s">
        <v>634</v>
      </c>
      <c r="D2952" s="6" t="s">
        <v>14</v>
      </c>
      <c r="E2952" s="6" t="s">
        <v>52</v>
      </c>
      <c r="F2952" s="6" t="s">
        <v>70</v>
      </c>
      <c r="G2952" s="6" t="s">
        <v>630</v>
      </c>
      <c r="H2952" s="6" t="s">
        <v>635</v>
      </c>
      <c r="I2952" s="6" t="s">
        <v>31</v>
      </c>
      <c r="J2952" s="6">
        <v>17.083883190000002</v>
      </c>
      <c r="K2952" s="6">
        <v>-96.675199280000001</v>
      </c>
      <c r="L2952" s="6" t="str">
        <f>HYPERLINK("https://maps.google.com/?q=17.08388319,-96.675199280000001", "🔗 Ver Mapa")</f>
        <v>🔗 Ver Mapa</v>
      </c>
    </row>
    <row r="2953" spans="1:12" ht="43.5" x14ac:dyDescent="0.35">
      <c r="A2953" s="5" t="s">
        <v>98</v>
      </c>
      <c r="B2953" s="5" t="s">
        <v>99</v>
      </c>
      <c r="C2953" s="5" t="s">
        <v>634</v>
      </c>
      <c r="D2953" s="5" t="s">
        <v>14</v>
      </c>
      <c r="E2953" s="5" t="s">
        <v>52</v>
      </c>
      <c r="F2953" s="5" t="s">
        <v>70</v>
      </c>
      <c r="G2953" s="5" t="s">
        <v>630</v>
      </c>
      <c r="H2953" s="5" t="s">
        <v>635</v>
      </c>
      <c r="I2953" s="5" t="s">
        <v>31</v>
      </c>
      <c r="J2953" s="5">
        <v>17.084454180000002</v>
      </c>
      <c r="K2953" s="5">
        <v>-96.676701289999997</v>
      </c>
      <c r="L2953" s="5" t="str">
        <f>HYPERLINK("https://maps.google.com/?q=17.08445418,-96.676701289999997", "🔗 Ver Mapa")</f>
        <v>🔗 Ver Mapa</v>
      </c>
    </row>
    <row r="2954" spans="1:12" ht="43.5" x14ac:dyDescent="0.35">
      <c r="A2954" s="6" t="s">
        <v>98</v>
      </c>
      <c r="B2954" s="6" t="s">
        <v>99</v>
      </c>
      <c r="C2954" s="6" t="s">
        <v>634</v>
      </c>
      <c r="D2954" s="6" t="s">
        <v>14</v>
      </c>
      <c r="E2954" s="6" t="s">
        <v>52</v>
      </c>
      <c r="F2954" s="6" t="s">
        <v>70</v>
      </c>
      <c r="G2954" s="6" t="s">
        <v>630</v>
      </c>
      <c r="H2954" s="6" t="s">
        <v>635</v>
      </c>
      <c r="I2954" s="6" t="s">
        <v>31</v>
      </c>
      <c r="J2954" s="6">
        <v>17.085258889999999</v>
      </c>
      <c r="K2954" s="6">
        <v>-96.680608079999999</v>
      </c>
      <c r="L2954" s="6" t="str">
        <f>HYPERLINK("https://maps.google.com/?q=17.08525889,-96.680608079999999", "🔗 Ver Mapa")</f>
        <v>🔗 Ver Mapa</v>
      </c>
    </row>
    <row r="2955" spans="1:12" ht="43.5" x14ac:dyDescent="0.35">
      <c r="A2955" s="5" t="s">
        <v>98</v>
      </c>
      <c r="B2955" s="5" t="s">
        <v>99</v>
      </c>
      <c r="C2955" s="5" t="s">
        <v>634</v>
      </c>
      <c r="D2955" s="5" t="s">
        <v>14</v>
      </c>
      <c r="E2955" s="5" t="s">
        <v>52</v>
      </c>
      <c r="F2955" s="5" t="s">
        <v>70</v>
      </c>
      <c r="G2955" s="5" t="s">
        <v>630</v>
      </c>
      <c r="H2955" s="5" t="s">
        <v>635</v>
      </c>
      <c r="I2955" s="5" t="s">
        <v>31</v>
      </c>
      <c r="J2955" s="5">
        <v>17.085758640000002</v>
      </c>
      <c r="K2955" s="5">
        <v>-96.662887310000002</v>
      </c>
      <c r="L2955" s="5" t="str">
        <f>HYPERLINK("https://maps.google.com/?q=17.08575864,-96.662887310000002", "🔗 Ver Mapa")</f>
        <v>🔗 Ver Mapa</v>
      </c>
    </row>
    <row r="2956" spans="1:12" ht="43.5" x14ac:dyDescent="0.35">
      <c r="A2956" s="6" t="s">
        <v>98</v>
      </c>
      <c r="B2956" s="6" t="s">
        <v>99</v>
      </c>
      <c r="C2956" s="6" t="s">
        <v>634</v>
      </c>
      <c r="D2956" s="6" t="s">
        <v>14</v>
      </c>
      <c r="E2956" s="6" t="s">
        <v>52</v>
      </c>
      <c r="F2956" s="6" t="s">
        <v>70</v>
      </c>
      <c r="G2956" s="6" t="s">
        <v>630</v>
      </c>
      <c r="H2956" s="6" t="s">
        <v>635</v>
      </c>
      <c r="I2956" s="6" t="s">
        <v>31</v>
      </c>
      <c r="J2956" s="6">
        <v>17.08660085</v>
      </c>
      <c r="K2956" s="6">
        <v>-96.662309489999998</v>
      </c>
      <c r="L2956" s="6" t="str">
        <f>HYPERLINK("https://maps.google.com/?q=17.08660085,-96.662309489999998", "🔗 Ver Mapa")</f>
        <v>🔗 Ver Mapa</v>
      </c>
    </row>
    <row r="2957" spans="1:12" ht="43.5" x14ac:dyDescent="0.35">
      <c r="A2957" s="5" t="s">
        <v>98</v>
      </c>
      <c r="B2957" s="5" t="s">
        <v>99</v>
      </c>
      <c r="C2957" s="5" t="s">
        <v>636</v>
      </c>
      <c r="D2957" s="5" t="s">
        <v>14</v>
      </c>
      <c r="E2957" s="5" t="s">
        <v>52</v>
      </c>
      <c r="F2957" s="5" t="s">
        <v>70</v>
      </c>
      <c r="G2957" s="5" t="s">
        <v>630</v>
      </c>
      <c r="H2957" s="5" t="s">
        <v>637</v>
      </c>
      <c r="I2957" s="5" t="s">
        <v>31</v>
      </c>
      <c r="J2957" s="5">
        <v>17.080368480000001</v>
      </c>
      <c r="K2957" s="5">
        <v>-96.69325954</v>
      </c>
      <c r="L2957" s="5" t="str">
        <f>HYPERLINK("https://maps.google.com/?q=17.08036848,-96.69325954", "🔗 Ver Mapa")</f>
        <v>🔗 Ver Mapa</v>
      </c>
    </row>
    <row r="2958" spans="1:12" ht="43.5" x14ac:dyDescent="0.35">
      <c r="A2958" s="6" t="s">
        <v>98</v>
      </c>
      <c r="B2958" s="6" t="s">
        <v>99</v>
      </c>
      <c r="C2958" s="6" t="s">
        <v>636</v>
      </c>
      <c r="D2958" s="6" t="s">
        <v>14</v>
      </c>
      <c r="E2958" s="6" t="s">
        <v>52</v>
      </c>
      <c r="F2958" s="6" t="s">
        <v>70</v>
      </c>
      <c r="G2958" s="6" t="s">
        <v>630</v>
      </c>
      <c r="H2958" s="6" t="s">
        <v>637</v>
      </c>
      <c r="I2958" s="6" t="s">
        <v>31</v>
      </c>
      <c r="J2958" s="6">
        <v>17.08254522</v>
      </c>
      <c r="K2958" s="6">
        <v>-96.693841579999997</v>
      </c>
      <c r="L2958" s="6" t="str">
        <f>HYPERLINK("https://maps.google.com/?q=17.08254522,-96.693841579999997", "🔗 Ver Mapa")</f>
        <v>🔗 Ver Mapa</v>
      </c>
    </row>
    <row r="2959" spans="1:12" ht="43.5" x14ac:dyDescent="0.35">
      <c r="A2959" s="5" t="s">
        <v>98</v>
      </c>
      <c r="B2959" s="5" t="s">
        <v>99</v>
      </c>
      <c r="C2959" s="5" t="s">
        <v>636</v>
      </c>
      <c r="D2959" s="5" t="s">
        <v>14</v>
      </c>
      <c r="E2959" s="5" t="s">
        <v>52</v>
      </c>
      <c r="F2959" s="5" t="s">
        <v>70</v>
      </c>
      <c r="G2959" s="5" t="s">
        <v>630</v>
      </c>
      <c r="H2959" s="5" t="s">
        <v>637</v>
      </c>
      <c r="I2959" s="5" t="s">
        <v>31</v>
      </c>
      <c r="J2959" s="5">
        <v>17.082558039999999</v>
      </c>
      <c r="K2959" s="5">
        <v>-96.693637730000006</v>
      </c>
      <c r="L2959" s="5" t="str">
        <f>HYPERLINK("https://maps.google.com/?q=17.08255804,-96.693637730000006", "🔗 Ver Mapa")</f>
        <v>🔗 Ver Mapa</v>
      </c>
    </row>
    <row r="2960" spans="1:12" ht="43.5" x14ac:dyDescent="0.35">
      <c r="A2960" s="6" t="s">
        <v>98</v>
      </c>
      <c r="B2960" s="6" t="s">
        <v>99</v>
      </c>
      <c r="C2960" s="6" t="s">
        <v>636</v>
      </c>
      <c r="D2960" s="6" t="s">
        <v>14</v>
      </c>
      <c r="E2960" s="6" t="s">
        <v>52</v>
      </c>
      <c r="F2960" s="6" t="s">
        <v>70</v>
      </c>
      <c r="G2960" s="6" t="s">
        <v>630</v>
      </c>
      <c r="H2960" s="6" t="s">
        <v>637</v>
      </c>
      <c r="I2960" s="6" t="s">
        <v>31</v>
      </c>
      <c r="J2960" s="6">
        <v>17.083245909999999</v>
      </c>
      <c r="K2960" s="6">
        <v>-96.692887150000004</v>
      </c>
      <c r="L2960" s="6" t="str">
        <f>HYPERLINK("https://maps.google.com/?q=17.08324591,-96.692887150000004", "🔗 Ver Mapa")</f>
        <v>🔗 Ver Mapa</v>
      </c>
    </row>
    <row r="2961" spans="1:12" ht="43.5" x14ac:dyDescent="0.35">
      <c r="A2961" s="5" t="s">
        <v>98</v>
      </c>
      <c r="B2961" s="5" t="s">
        <v>99</v>
      </c>
      <c r="C2961" s="5" t="s">
        <v>638</v>
      </c>
      <c r="D2961" s="5" t="s">
        <v>14</v>
      </c>
      <c r="E2961" s="5" t="s">
        <v>39</v>
      </c>
      <c r="F2961" s="5" t="s">
        <v>494</v>
      </c>
      <c r="G2961" s="5" t="s">
        <v>639</v>
      </c>
      <c r="H2961" s="5" t="s">
        <v>640</v>
      </c>
      <c r="I2961" s="5" t="s">
        <v>31</v>
      </c>
      <c r="J2961" s="5">
        <v>16.507806280642999</v>
      </c>
      <c r="K2961" s="5">
        <v>-96.978440245369001</v>
      </c>
      <c r="L2961" s="5" t="str">
        <f>HYPERLINK("https://maps.google.com/?q=16.5078062806429,-96.978440245369001", "🔗 Ver Mapa")</f>
        <v>🔗 Ver Mapa</v>
      </c>
    </row>
    <row r="2962" spans="1:12" ht="43.5" x14ac:dyDescent="0.35">
      <c r="A2962" s="6" t="s">
        <v>98</v>
      </c>
      <c r="B2962" s="6" t="s">
        <v>99</v>
      </c>
      <c r="C2962" s="6" t="s">
        <v>638</v>
      </c>
      <c r="D2962" s="6" t="s">
        <v>14</v>
      </c>
      <c r="E2962" s="6" t="s">
        <v>39</v>
      </c>
      <c r="F2962" s="6" t="s">
        <v>494</v>
      </c>
      <c r="G2962" s="6" t="s">
        <v>639</v>
      </c>
      <c r="H2962" s="6" t="s">
        <v>640</v>
      </c>
      <c r="I2962" s="6" t="s">
        <v>31</v>
      </c>
      <c r="J2962" s="6">
        <v>16.510673486758002</v>
      </c>
      <c r="K2962" s="6">
        <v>-96.980623353338004</v>
      </c>
      <c r="L2962" s="6" t="str">
        <f>HYPERLINK("https://maps.google.com/?q=16.5106734867577,-96.980623353338402", "🔗 Ver Mapa")</f>
        <v>🔗 Ver Mapa</v>
      </c>
    </row>
    <row r="2963" spans="1:12" ht="43.5" x14ac:dyDescent="0.35">
      <c r="A2963" s="5" t="s">
        <v>98</v>
      </c>
      <c r="B2963" s="5" t="s">
        <v>99</v>
      </c>
      <c r="C2963" s="5" t="s">
        <v>638</v>
      </c>
      <c r="D2963" s="5" t="s">
        <v>14</v>
      </c>
      <c r="E2963" s="5" t="s">
        <v>39</v>
      </c>
      <c r="F2963" s="5" t="s">
        <v>494</v>
      </c>
      <c r="G2963" s="5" t="s">
        <v>639</v>
      </c>
      <c r="H2963" s="5" t="s">
        <v>640</v>
      </c>
      <c r="I2963" s="5" t="s">
        <v>31</v>
      </c>
      <c r="J2963" s="5">
        <v>16.510849391669002</v>
      </c>
      <c r="K2963" s="5">
        <v>-96.981186512898006</v>
      </c>
      <c r="L2963" s="5" t="str">
        <f>HYPERLINK("https://maps.google.com/?q=16.5108493916694,-96.981186512897594", "🔗 Ver Mapa")</f>
        <v>🔗 Ver Mapa</v>
      </c>
    </row>
    <row r="2964" spans="1:12" ht="43.5" x14ac:dyDescent="0.35">
      <c r="A2964" s="6" t="s">
        <v>98</v>
      </c>
      <c r="B2964" s="6" t="s">
        <v>99</v>
      </c>
      <c r="C2964" s="6" t="s">
        <v>638</v>
      </c>
      <c r="D2964" s="6" t="s">
        <v>14</v>
      </c>
      <c r="E2964" s="6" t="s">
        <v>39</v>
      </c>
      <c r="F2964" s="6" t="s">
        <v>494</v>
      </c>
      <c r="G2964" s="6" t="s">
        <v>639</v>
      </c>
      <c r="H2964" s="6" t="s">
        <v>640</v>
      </c>
      <c r="I2964" s="6" t="s">
        <v>31</v>
      </c>
      <c r="J2964" s="6">
        <v>16.511262615707999</v>
      </c>
      <c r="K2964" s="6">
        <v>-96.981017171619996</v>
      </c>
      <c r="L2964" s="6" t="str">
        <f>HYPERLINK("https://maps.google.com/?q=16.5112626157081,-96.981017171619698", "🔗 Ver Mapa")</f>
        <v>🔗 Ver Mapa</v>
      </c>
    </row>
    <row r="2965" spans="1:12" ht="43.5" x14ac:dyDescent="0.35">
      <c r="A2965" s="5" t="s">
        <v>98</v>
      </c>
      <c r="B2965" s="5" t="s">
        <v>99</v>
      </c>
      <c r="C2965" s="5" t="s">
        <v>638</v>
      </c>
      <c r="D2965" s="5" t="s">
        <v>14</v>
      </c>
      <c r="E2965" s="5" t="s">
        <v>39</v>
      </c>
      <c r="F2965" s="5" t="s">
        <v>494</v>
      </c>
      <c r="G2965" s="5" t="s">
        <v>639</v>
      </c>
      <c r="H2965" s="5" t="s">
        <v>640</v>
      </c>
      <c r="I2965" s="5" t="s">
        <v>31</v>
      </c>
      <c r="J2965" s="5">
        <v>16.511330483150001</v>
      </c>
      <c r="K2965" s="5">
        <v>-96.981676568465005</v>
      </c>
      <c r="L2965" s="5" t="str">
        <f>HYPERLINK("https://maps.google.com/?q=16.5113304831504,-96.981676568465105", "🔗 Ver Mapa")</f>
        <v>🔗 Ver Mapa</v>
      </c>
    </row>
    <row r="2966" spans="1:12" ht="43.5" x14ac:dyDescent="0.35">
      <c r="A2966" s="6" t="s">
        <v>98</v>
      </c>
      <c r="B2966" s="6" t="s">
        <v>99</v>
      </c>
      <c r="C2966" s="6" t="s">
        <v>638</v>
      </c>
      <c r="D2966" s="6" t="s">
        <v>14</v>
      </c>
      <c r="E2966" s="6" t="s">
        <v>39</v>
      </c>
      <c r="F2966" s="6" t="s">
        <v>494</v>
      </c>
      <c r="G2966" s="6" t="s">
        <v>639</v>
      </c>
      <c r="H2966" s="6" t="s">
        <v>640</v>
      </c>
      <c r="I2966" s="6" t="s">
        <v>31</v>
      </c>
      <c r="J2966" s="6">
        <v>16.511393145182002</v>
      </c>
      <c r="K2966" s="6">
        <v>-96.981215728836005</v>
      </c>
      <c r="L2966" s="6" t="str">
        <f>HYPERLINK("https://maps.google.com/?q=16.5113931451818,-96.981215728836105", "🔗 Ver Mapa")</f>
        <v>🔗 Ver Mapa</v>
      </c>
    </row>
    <row r="2967" spans="1:12" ht="43.5" x14ac:dyDescent="0.35">
      <c r="A2967" s="5" t="s">
        <v>98</v>
      </c>
      <c r="B2967" s="5" t="s">
        <v>99</v>
      </c>
      <c r="C2967" s="5" t="s">
        <v>638</v>
      </c>
      <c r="D2967" s="5" t="s">
        <v>14</v>
      </c>
      <c r="E2967" s="5" t="s">
        <v>39</v>
      </c>
      <c r="F2967" s="5" t="s">
        <v>494</v>
      </c>
      <c r="G2967" s="5" t="s">
        <v>639</v>
      </c>
      <c r="H2967" s="5" t="s">
        <v>640</v>
      </c>
      <c r="I2967" s="5" t="s">
        <v>31</v>
      </c>
      <c r="J2967" s="5">
        <v>16.511701716787002</v>
      </c>
      <c r="K2967" s="5">
        <v>-96.982012271163995</v>
      </c>
      <c r="L2967" s="5" t="str">
        <f>HYPERLINK("https://maps.google.com/?q=16.5117017167872,-96.982012271163896", "🔗 Ver Mapa")</f>
        <v>🔗 Ver Mapa</v>
      </c>
    </row>
    <row r="2968" spans="1:12" ht="43.5" x14ac:dyDescent="0.35">
      <c r="A2968" s="6" t="s">
        <v>98</v>
      </c>
      <c r="B2968" s="6" t="s">
        <v>99</v>
      </c>
      <c r="C2968" s="6" t="s">
        <v>638</v>
      </c>
      <c r="D2968" s="6" t="s">
        <v>14</v>
      </c>
      <c r="E2968" s="6" t="s">
        <v>39</v>
      </c>
      <c r="F2968" s="6" t="s">
        <v>494</v>
      </c>
      <c r="G2968" s="6" t="s">
        <v>639</v>
      </c>
      <c r="H2968" s="6" t="s">
        <v>640</v>
      </c>
      <c r="I2968" s="6" t="s">
        <v>31</v>
      </c>
      <c r="J2968" s="6">
        <v>16.511933573010001</v>
      </c>
      <c r="K2968" s="6">
        <v>-96.980910349702995</v>
      </c>
      <c r="L2968" s="6" t="str">
        <f>HYPERLINK("https://maps.google.com/?q=16.5119335730103,-96.980910349702896", "🔗 Ver Mapa")</f>
        <v>🔗 Ver Mapa</v>
      </c>
    </row>
    <row r="2969" spans="1:12" ht="43.5" x14ac:dyDescent="0.35">
      <c r="A2969" s="5" t="s">
        <v>98</v>
      </c>
      <c r="B2969" s="5" t="s">
        <v>99</v>
      </c>
      <c r="C2969" s="5" t="s">
        <v>638</v>
      </c>
      <c r="D2969" s="5" t="s">
        <v>14</v>
      </c>
      <c r="E2969" s="5" t="s">
        <v>39</v>
      </c>
      <c r="F2969" s="5" t="s">
        <v>494</v>
      </c>
      <c r="G2969" s="5" t="s">
        <v>639</v>
      </c>
      <c r="H2969" s="5" t="s">
        <v>640</v>
      </c>
      <c r="I2969" s="5" t="s">
        <v>31</v>
      </c>
      <c r="J2969" s="5">
        <v>16.512045186918002</v>
      </c>
      <c r="K2969" s="5">
        <v>-96.981347445438004</v>
      </c>
      <c r="L2969" s="5" t="str">
        <f>HYPERLINK("https://maps.google.com/?q=16.5120451869176,-96.981347445438203", "🔗 Ver Mapa")</f>
        <v>🔗 Ver Mapa</v>
      </c>
    </row>
    <row r="2970" spans="1:12" ht="43.5" x14ac:dyDescent="0.35">
      <c r="A2970" s="6" t="s">
        <v>98</v>
      </c>
      <c r="B2970" s="6" t="s">
        <v>99</v>
      </c>
      <c r="C2970" s="6" t="s">
        <v>641</v>
      </c>
      <c r="D2970" s="6" t="s">
        <v>14</v>
      </c>
      <c r="E2970" s="6" t="s">
        <v>39</v>
      </c>
      <c r="F2970" s="6" t="s">
        <v>494</v>
      </c>
      <c r="G2970" s="6" t="s">
        <v>639</v>
      </c>
      <c r="H2970" s="6" t="s">
        <v>642</v>
      </c>
      <c r="I2970" s="6" t="s">
        <v>31</v>
      </c>
      <c r="J2970" s="6">
        <v>16.457719660759999</v>
      </c>
      <c r="K2970" s="6">
        <v>-97.026521689172</v>
      </c>
      <c r="L2970" s="6" t="str">
        <f>HYPERLINK("https://maps.google.com/?q=16.4577196607605,-97.026521689172498", "🔗 Ver Mapa")</f>
        <v>🔗 Ver Mapa</v>
      </c>
    </row>
    <row r="2971" spans="1:12" ht="43.5" x14ac:dyDescent="0.35">
      <c r="A2971" s="5" t="s">
        <v>98</v>
      </c>
      <c r="B2971" s="5" t="s">
        <v>99</v>
      </c>
      <c r="C2971" s="5" t="s">
        <v>641</v>
      </c>
      <c r="D2971" s="5" t="s">
        <v>14</v>
      </c>
      <c r="E2971" s="5" t="s">
        <v>39</v>
      </c>
      <c r="F2971" s="5" t="s">
        <v>494</v>
      </c>
      <c r="G2971" s="5" t="s">
        <v>639</v>
      </c>
      <c r="H2971" s="5" t="s">
        <v>642</v>
      </c>
      <c r="I2971" s="5" t="s">
        <v>31</v>
      </c>
      <c r="J2971" s="5">
        <v>16.458081719300999</v>
      </c>
      <c r="K2971" s="5">
        <v>-97.027310575287999</v>
      </c>
      <c r="L2971" s="5" t="str">
        <f>HYPERLINK("https://maps.google.com/?q=16.4580817193012,-97.027310575287999", "🔗 Ver Mapa")</f>
        <v>🔗 Ver Mapa</v>
      </c>
    </row>
    <row r="2972" spans="1:12" ht="43.5" x14ac:dyDescent="0.35">
      <c r="A2972" s="6" t="s">
        <v>98</v>
      </c>
      <c r="B2972" s="6" t="s">
        <v>99</v>
      </c>
      <c r="C2972" s="6" t="s">
        <v>641</v>
      </c>
      <c r="D2972" s="6" t="s">
        <v>14</v>
      </c>
      <c r="E2972" s="6" t="s">
        <v>39</v>
      </c>
      <c r="F2972" s="6" t="s">
        <v>494</v>
      </c>
      <c r="G2972" s="6" t="s">
        <v>639</v>
      </c>
      <c r="H2972" s="6" t="s">
        <v>642</v>
      </c>
      <c r="I2972" s="6" t="s">
        <v>31</v>
      </c>
      <c r="J2972" s="6">
        <v>16.458259119470998</v>
      </c>
      <c r="K2972" s="6">
        <v>-97.027560195107</v>
      </c>
      <c r="L2972" s="6" t="str">
        <f>HYPERLINK("https://maps.google.com/?q=16.4582591194708,-97.027560195106801", "🔗 Ver Mapa")</f>
        <v>🔗 Ver Mapa</v>
      </c>
    </row>
    <row r="2973" spans="1:12" ht="43.5" x14ac:dyDescent="0.35">
      <c r="A2973" s="5" t="s">
        <v>98</v>
      </c>
      <c r="B2973" s="5" t="s">
        <v>99</v>
      </c>
      <c r="C2973" s="5" t="s">
        <v>641</v>
      </c>
      <c r="D2973" s="5" t="s">
        <v>14</v>
      </c>
      <c r="E2973" s="5" t="s">
        <v>39</v>
      </c>
      <c r="F2973" s="5" t="s">
        <v>494</v>
      </c>
      <c r="G2973" s="5" t="s">
        <v>639</v>
      </c>
      <c r="H2973" s="5" t="s">
        <v>642</v>
      </c>
      <c r="I2973" s="5" t="s">
        <v>31</v>
      </c>
      <c r="J2973" s="5">
        <v>16.458765952975</v>
      </c>
      <c r="K2973" s="5">
        <v>-97.027321304124001</v>
      </c>
      <c r="L2973" s="5" t="str">
        <f>HYPERLINK("https://maps.google.com/?q=16.4587659529748,-97.027321304124001", "🔗 Ver Mapa")</f>
        <v>🔗 Ver Mapa</v>
      </c>
    </row>
    <row r="2974" spans="1:12" ht="43.5" x14ac:dyDescent="0.35">
      <c r="A2974" s="6" t="s">
        <v>98</v>
      </c>
      <c r="B2974" s="6" t="s">
        <v>99</v>
      </c>
      <c r="C2974" s="6" t="s">
        <v>641</v>
      </c>
      <c r="D2974" s="6" t="s">
        <v>14</v>
      </c>
      <c r="E2974" s="6" t="s">
        <v>39</v>
      </c>
      <c r="F2974" s="6" t="s">
        <v>494</v>
      </c>
      <c r="G2974" s="6" t="s">
        <v>639</v>
      </c>
      <c r="H2974" s="6" t="s">
        <v>642</v>
      </c>
      <c r="I2974" s="6" t="s">
        <v>31</v>
      </c>
      <c r="J2974" s="6">
        <v>16.459201957758999</v>
      </c>
      <c r="K2974" s="6">
        <v>-97.027558679622004</v>
      </c>
      <c r="L2974" s="6" t="str">
        <f>HYPERLINK("https://maps.google.com/?q=16.4592019577594,-97.027558679622103", "🔗 Ver Mapa")</f>
        <v>🔗 Ver Mapa</v>
      </c>
    </row>
    <row r="2975" spans="1:12" ht="43.5" x14ac:dyDescent="0.35">
      <c r="A2975" s="5" t="s">
        <v>98</v>
      </c>
      <c r="B2975" s="5" t="s">
        <v>99</v>
      </c>
      <c r="C2975" s="5" t="s">
        <v>641</v>
      </c>
      <c r="D2975" s="5" t="s">
        <v>14</v>
      </c>
      <c r="E2975" s="5" t="s">
        <v>39</v>
      </c>
      <c r="F2975" s="5" t="s">
        <v>494</v>
      </c>
      <c r="G2975" s="5" t="s">
        <v>639</v>
      </c>
      <c r="H2975" s="5" t="s">
        <v>642</v>
      </c>
      <c r="I2975" s="5" t="s">
        <v>31</v>
      </c>
      <c r="J2975" s="5">
        <v>16.464483693441998</v>
      </c>
      <c r="K2975" s="5">
        <v>-97.033528418244003</v>
      </c>
      <c r="L2975" s="5" t="str">
        <f>HYPERLINK("https://maps.google.com/?q=16.4644836934415,-97.033528418244202", "🔗 Ver Mapa")</f>
        <v>🔗 Ver Mapa</v>
      </c>
    </row>
    <row r="2976" spans="1:12" ht="43.5" x14ac:dyDescent="0.35">
      <c r="A2976" s="6" t="s">
        <v>98</v>
      </c>
      <c r="B2976" s="6" t="s">
        <v>99</v>
      </c>
      <c r="C2976" s="6" t="s">
        <v>641</v>
      </c>
      <c r="D2976" s="6" t="s">
        <v>14</v>
      </c>
      <c r="E2976" s="6" t="s">
        <v>39</v>
      </c>
      <c r="F2976" s="6" t="s">
        <v>494</v>
      </c>
      <c r="G2976" s="6" t="s">
        <v>639</v>
      </c>
      <c r="H2976" s="6" t="s">
        <v>642</v>
      </c>
      <c r="I2976" s="6" t="s">
        <v>31</v>
      </c>
      <c r="J2976" s="6">
        <v>16.468185993542999</v>
      </c>
      <c r="K2976" s="6">
        <v>-97.037575447468001</v>
      </c>
      <c r="L2976" s="6" t="str">
        <f>HYPERLINK("https://maps.google.com/?q=16.4681859935433,-97.037575447467503", "🔗 Ver Mapa")</f>
        <v>🔗 Ver Mapa</v>
      </c>
    </row>
    <row r="2977" spans="1:12" ht="43.5" x14ac:dyDescent="0.35">
      <c r="A2977" s="5" t="s">
        <v>98</v>
      </c>
      <c r="B2977" s="5" t="s">
        <v>99</v>
      </c>
      <c r="C2977" s="5" t="s">
        <v>641</v>
      </c>
      <c r="D2977" s="5" t="s">
        <v>14</v>
      </c>
      <c r="E2977" s="5" t="s">
        <v>39</v>
      </c>
      <c r="F2977" s="5" t="s">
        <v>494</v>
      </c>
      <c r="G2977" s="5" t="s">
        <v>639</v>
      </c>
      <c r="H2977" s="5" t="s">
        <v>642</v>
      </c>
      <c r="I2977" s="5" t="s">
        <v>31</v>
      </c>
      <c r="J2977" s="5">
        <v>16.468895913242001</v>
      </c>
      <c r="K2977" s="5" t="s">
        <v>643</v>
      </c>
      <c r="L2977" s="5" t="str">
        <f>HYPERLINK("https://maps.google.com/?q=16.4688959132415, -97.03771224012736", "🔗 Ver Mapa")</f>
        <v>🔗 Ver Mapa</v>
      </c>
    </row>
    <row r="2978" spans="1:12" ht="43.5" x14ac:dyDescent="0.35">
      <c r="A2978" s="6" t="s">
        <v>98</v>
      </c>
      <c r="B2978" s="6" t="s">
        <v>99</v>
      </c>
      <c r="C2978" s="6" t="s">
        <v>644</v>
      </c>
      <c r="D2978" s="6" t="s">
        <v>14</v>
      </c>
      <c r="E2978" s="6" t="s">
        <v>16</v>
      </c>
      <c r="F2978" s="6" t="s">
        <v>145</v>
      </c>
      <c r="G2978" s="6" t="s">
        <v>537</v>
      </c>
      <c r="H2978" s="6" t="s">
        <v>538</v>
      </c>
      <c r="I2978" s="6" t="s">
        <v>31</v>
      </c>
      <c r="J2978" s="6">
        <v>17.907850780924001</v>
      </c>
      <c r="K2978" s="6">
        <v>-98.011565608460003</v>
      </c>
      <c r="L2978" s="6" t="str">
        <f>HYPERLINK("https://maps.google.com/?q=17.9078507809243,-98.011565608459804", "🔗 Ver Mapa")</f>
        <v>🔗 Ver Mapa</v>
      </c>
    </row>
    <row r="2979" spans="1:12" ht="43.5" x14ac:dyDescent="0.35">
      <c r="A2979" s="5" t="s">
        <v>98</v>
      </c>
      <c r="B2979" s="5" t="s">
        <v>99</v>
      </c>
      <c r="C2979" s="5" t="s">
        <v>644</v>
      </c>
      <c r="D2979" s="5" t="s">
        <v>14</v>
      </c>
      <c r="E2979" s="5" t="s">
        <v>16</v>
      </c>
      <c r="F2979" s="5" t="s">
        <v>145</v>
      </c>
      <c r="G2979" s="5" t="s">
        <v>537</v>
      </c>
      <c r="H2979" s="5" t="s">
        <v>538</v>
      </c>
      <c r="I2979" s="5" t="s">
        <v>31</v>
      </c>
      <c r="J2979" s="5">
        <v>17.909223892619</v>
      </c>
      <c r="K2979" s="5">
        <v>-98.011935753304002</v>
      </c>
      <c r="L2979" s="5" t="str">
        <f>HYPERLINK("https://maps.google.com/?q=17.9092238926192,-98.011935753303504", "🔗 Ver Mapa")</f>
        <v>🔗 Ver Mapa</v>
      </c>
    </row>
    <row r="2980" spans="1:12" ht="43.5" x14ac:dyDescent="0.35">
      <c r="A2980" s="6" t="s">
        <v>98</v>
      </c>
      <c r="B2980" s="6" t="s">
        <v>99</v>
      </c>
      <c r="C2980" s="6" t="s">
        <v>644</v>
      </c>
      <c r="D2980" s="6" t="s">
        <v>14</v>
      </c>
      <c r="E2980" s="6" t="s">
        <v>16</v>
      </c>
      <c r="F2980" s="6" t="s">
        <v>145</v>
      </c>
      <c r="G2980" s="6" t="s">
        <v>537</v>
      </c>
      <c r="H2980" s="6" t="s">
        <v>538</v>
      </c>
      <c r="I2980" s="6" t="s">
        <v>31</v>
      </c>
      <c r="J2980" s="6">
        <v>17.909338321039002</v>
      </c>
      <c r="K2980" s="6">
        <v>-98.011348180525005</v>
      </c>
      <c r="L2980" s="6" t="str">
        <f>HYPERLINK("https://maps.google.com/?q=17.909338321039,-98.011348180525005", "🔗 Ver Mapa")</f>
        <v>🔗 Ver Mapa</v>
      </c>
    </row>
    <row r="2981" spans="1:12" ht="43.5" x14ac:dyDescent="0.35">
      <c r="A2981" s="5" t="s">
        <v>98</v>
      </c>
      <c r="B2981" s="5" t="s">
        <v>99</v>
      </c>
      <c r="C2981" s="5" t="s">
        <v>644</v>
      </c>
      <c r="D2981" s="5" t="s">
        <v>14</v>
      </c>
      <c r="E2981" s="5" t="s">
        <v>16</v>
      </c>
      <c r="F2981" s="5" t="s">
        <v>145</v>
      </c>
      <c r="G2981" s="5" t="s">
        <v>537</v>
      </c>
      <c r="H2981" s="5" t="s">
        <v>538</v>
      </c>
      <c r="I2981" s="5" t="s">
        <v>31</v>
      </c>
      <c r="J2981" s="5">
        <v>17.910852251440001</v>
      </c>
      <c r="K2981" s="5">
        <v>-98.011221873167997</v>
      </c>
      <c r="L2981" s="5" t="str">
        <f>HYPERLINK("https://maps.google.com/?q=17.9108522514399,-98.011221873168196", "🔗 Ver Mapa")</f>
        <v>🔗 Ver Mapa</v>
      </c>
    </row>
    <row r="2982" spans="1:12" ht="43.5" x14ac:dyDescent="0.35">
      <c r="A2982" s="6" t="s">
        <v>98</v>
      </c>
      <c r="B2982" s="6" t="s">
        <v>99</v>
      </c>
      <c r="C2982" s="6" t="s">
        <v>644</v>
      </c>
      <c r="D2982" s="6" t="s">
        <v>14</v>
      </c>
      <c r="E2982" s="6" t="s">
        <v>16</v>
      </c>
      <c r="F2982" s="6" t="s">
        <v>145</v>
      </c>
      <c r="G2982" s="6" t="s">
        <v>537</v>
      </c>
      <c r="H2982" s="6" t="s">
        <v>538</v>
      </c>
      <c r="I2982" s="6" t="s">
        <v>31</v>
      </c>
      <c r="J2982" s="6">
        <v>17.911743764417</v>
      </c>
      <c r="K2982" s="6">
        <v>-98.011477065061996</v>
      </c>
      <c r="L2982" s="6" t="str">
        <f>HYPERLINK("https://maps.google.com/?q=17.9117437644169,-98.011477065061698", "🔗 Ver Mapa")</f>
        <v>🔗 Ver Mapa</v>
      </c>
    </row>
    <row r="2983" spans="1:12" ht="43.5" x14ac:dyDescent="0.35">
      <c r="A2983" s="5" t="s">
        <v>98</v>
      </c>
      <c r="B2983" s="5" t="s">
        <v>99</v>
      </c>
      <c r="C2983" s="5" t="s">
        <v>645</v>
      </c>
      <c r="D2983" s="5" t="s">
        <v>14</v>
      </c>
      <c r="E2983" s="5" t="s">
        <v>16</v>
      </c>
      <c r="F2983" s="5" t="s">
        <v>145</v>
      </c>
      <c r="G2983" s="5" t="s">
        <v>537</v>
      </c>
      <c r="H2983" s="5" t="s">
        <v>646</v>
      </c>
      <c r="I2983" s="5" t="s">
        <v>31</v>
      </c>
      <c r="J2983" s="5">
        <v>17.908764076935999</v>
      </c>
      <c r="K2983" s="5">
        <v>-97.996589093254002</v>
      </c>
      <c r="L2983" s="5" t="str">
        <f>HYPERLINK("https://maps.google.com/?q=17.9087640769361,-97.9965890932543", "🔗 Ver Mapa")</f>
        <v>🔗 Ver Mapa</v>
      </c>
    </row>
    <row r="2984" spans="1:12" ht="43.5" x14ac:dyDescent="0.35">
      <c r="A2984" s="6" t="s">
        <v>98</v>
      </c>
      <c r="B2984" s="6" t="s">
        <v>99</v>
      </c>
      <c r="C2984" s="6" t="s">
        <v>645</v>
      </c>
      <c r="D2984" s="6" t="s">
        <v>14</v>
      </c>
      <c r="E2984" s="6" t="s">
        <v>16</v>
      </c>
      <c r="F2984" s="6" t="s">
        <v>145</v>
      </c>
      <c r="G2984" s="6" t="s">
        <v>537</v>
      </c>
      <c r="H2984" s="6" t="s">
        <v>646</v>
      </c>
      <c r="I2984" s="6" t="s">
        <v>31</v>
      </c>
      <c r="J2984" s="6">
        <v>17.91095896006</v>
      </c>
      <c r="K2984" s="6">
        <v>-97.995647216627006</v>
      </c>
      <c r="L2984" s="6" t="str">
        <f>HYPERLINK("https://maps.google.com/?q=17.91095896006,-97.995647216627106", "🔗 Ver Mapa")</f>
        <v>🔗 Ver Mapa</v>
      </c>
    </row>
    <row r="2985" spans="1:12" ht="43.5" x14ac:dyDescent="0.35">
      <c r="A2985" s="5" t="s">
        <v>98</v>
      </c>
      <c r="B2985" s="5" t="s">
        <v>99</v>
      </c>
      <c r="C2985" s="5" t="s">
        <v>645</v>
      </c>
      <c r="D2985" s="5" t="s">
        <v>14</v>
      </c>
      <c r="E2985" s="5" t="s">
        <v>16</v>
      </c>
      <c r="F2985" s="5" t="s">
        <v>145</v>
      </c>
      <c r="G2985" s="5" t="s">
        <v>537</v>
      </c>
      <c r="H2985" s="5" t="s">
        <v>646</v>
      </c>
      <c r="I2985" s="5" t="s">
        <v>31</v>
      </c>
      <c r="J2985" s="5">
        <v>17.912958561747999</v>
      </c>
      <c r="K2985" s="5">
        <v>-97.996155798776996</v>
      </c>
      <c r="L2985" s="5" t="str">
        <f>HYPERLINK("https://maps.google.com/?q=17.912958561748,-97.996155798776599", "🔗 Ver Mapa")</f>
        <v>🔗 Ver Mapa</v>
      </c>
    </row>
    <row r="2986" spans="1:12" ht="43.5" x14ac:dyDescent="0.35">
      <c r="A2986" s="6" t="s">
        <v>98</v>
      </c>
      <c r="B2986" s="6" t="s">
        <v>99</v>
      </c>
      <c r="C2986" s="6" t="s">
        <v>645</v>
      </c>
      <c r="D2986" s="6" t="s">
        <v>14</v>
      </c>
      <c r="E2986" s="6" t="s">
        <v>16</v>
      </c>
      <c r="F2986" s="6" t="s">
        <v>145</v>
      </c>
      <c r="G2986" s="6" t="s">
        <v>537</v>
      </c>
      <c r="H2986" s="6" t="s">
        <v>646</v>
      </c>
      <c r="I2986" s="6" t="s">
        <v>31</v>
      </c>
      <c r="J2986" s="6">
        <v>17.913639091661</v>
      </c>
      <c r="K2986" s="6">
        <v>-97.997098261283</v>
      </c>
      <c r="L2986" s="6" t="str">
        <f>HYPERLINK("https://maps.google.com/?q=17.9136390916612,-97.997098261282702", "🔗 Ver Mapa")</f>
        <v>🔗 Ver Mapa</v>
      </c>
    </row>
    <row r="2987" spans="1:12" ht="43.5" x14ac:dyDescent="0.35">
      <c r="A2987" s="5" t="s">
        <v>98</v>
      </c>
      <c r="B2987" s="5" t="s">
        <v>99</v>
      </c>
      <c r="C2987" s="5" t="s">
        <v>645</v>
      </c>
      <c r="D2987" s="5" t="s">
        <v>14</v>
      </c>
      <c r="E2987" s="5" t="s">
        <v>16</v>
      </c>
      <c r="F2987" s="5" t="s">
        <v>145</v>
      </c>
      <c r="G2987" s="5" t="s">
        <v>537</v>
      </c>
      <c r="H2987" s="5" t="s">
        <v>646</v>
      </c>
      <c r="I2987" s="5" t="s">
        <v>31</v>
      </c>
      <c r="J2987" s="5">
        <v>17.914031960437999</v>
      </c>
      <c r="K2987" s="5">
        <v>-97.996245973610996</v>
      </c>
      <c r="L2987" s="5" t="str">
        <f>HYPERLINK("https://maps.google.com/?q=17.9140319604376,-97.996245973611295", "🔗 Ver Mapa")</f>
        <v>🔗 Ver Mapa</v>
      </c>
    </row>
    <row r="2988" spans="1:12" ht="43.5" x14ac:dyDescent="0.35">
      <c r="A2988" s="6" t="s">
        <v>98</v>
      </c>
      <c r="B2988" s="6" t="s">
        <v>99</v>
      </c>
      <c r="C2988" s="6" t="s">
        <v>647</v>
      </c>
      <c r="D2988" s="6" t="s">
        <v>14</v>
      </c>
      <c r="E2988" s="6" t="s">
        <v>110</v>
      </c>
      <c r="F2988" s="6" t="s">
        <v>126</v>
      </c>
      <c r="G2988" s="6" t="s">
        <v>127</v>
      </c>
      <c r="H2988" s="6" t="s">
        <v>128</v>
      </c>
      <c r="I2988" s="6" t="s">
        <v>31</v>
      </c>
      <c r="J2988" s="6">
        <v>17.948843</v>
      </c>
      <c r="K2988" s="6">
        <v>-96.735685000000004</v>
      </c>
      <c r="L2988" s="6" t="str">
        <f>HYPERLINK("https://maps.google.com/?q=17.948843,-96.735685000000004", "🔗 Ver Mapa")</f>
        <v>🔗 Ver Mapa</v>
      </c>
    </row>
    <row r="2989" spans="1:12" ht="43.5" x14ac:dyDescent="0.35">
      <c r="A2989" s="5" t="s">
        <v>98</v>
      </c>
      <c r="B2989" s="5" t="s">
        <v>99</v>
      </c>
      <c r="C2989" s="5" t="s">
        <v>647</v>
      </c>
      <c r="D2989" s="5" t="s">
        <v>14</v>
      </c>
      <c r="E2989" s="5" t="s">
        <v>110</v>
      </c>
      <c r="F2989" s="5" t="s">
        <v>126</v>
      </c>
      <c r="G2989" s="5" t="s">
        <v>127</v>
      </c>
      <c r="H2989" s="5" t="s">
        <v>128</v>
      </c>
      <c r="I2989" s="5" t="s">
        <v>31</v>
      </c>
      <c r="J2989" s="5">
        <v>17.949957999999999</v>
      </c>
      <c r="K2989" s="5">
        <v>-96.736707999999993</v>
      </c>
      <c r="L2989" s="5" t="str">
        <f>HYPERLINK("https://maps.google.com/?q=17.949958,-96.736707999999993", "🔗 Ver Mapa")</f>
        <v>🔗 Ver Mapa</v>
      </c>
    </row>
    <row r="2990" spans="1:12" ht="43.5" x14ac:dyDescent="0.35">
      <c r="A2990" s="6" t="s">
        <v>98</v>
      </c>
      <c r="B2990" s="6" t="s">
        <v>99</v>
      </c>
      <c r="C2990" s="6" t="s">
        <v>647</v>
      </c>
      <c r="D2990" s="6" t="s">
        <v>14</v>
      </c>
      <c r="E2990" s="6" t="s">
        <v>110</v>
      </c>
      <c r="F2990" s="6" t="s">
        <v>126</v>
      </c>
      <c r="G2990" s="6" t="s">
        <v>127</v>
      </c>
      <c r="H2990" s="6" t="s">
        <v>128</v>
      </c>
      <c r="I2990" s="6" t="s">
        <v>31</v>
      </c>
      <c r="J2990" s="6">
        <v>17.950147000000001</v>
      </c>
      <c r="K2990" s="6">
        <v>-96.740776999999994</v>
      </c>
      <c r="L2990" s="6" t="str">
        <f>HYPERLINK("https://maps.google.com/?q=17.950147,-96.740776999999994", "🔗 Ver Mapa")</f>
        <v>🔗 Ver Mapa</v>
      </c>
    </row>
    <row r="2991" spans="1:12" ht="43.5" x14ac:dyDescent="0.35">
      <c r="A2991" s="5" t="s">
        <v>98</v>
      </c>
      <c r="B2991" s="5" t="s">
        <v>99</v>
      </c>
      <c r="C2991" s="5" t="s">
        <v>647</v>
      </c>
      <c r="D2991" s="5" t="s">
        <v>14</v>
      </c>
      <c r="E2991" s="5" t="s">
        <v>110</v>
      </c>
      <c r="F2991" s="5" t="s">
        <v>126</v>
      </c>
      <c r="G2991" s="5" t="s">
        <v>127</v>
      </c>
      <c r="H2991" s="5" t="s">
        <v>128</v>
      </c>
      <c r="I2991" s="5" t="s">
        <v>31</v>
      </c>
      <c r="J2991" s="5">
        <v>17.950395</v>
      </c>
      <c r="K2991" s="5">
        <v>-96.732014000000007</v>
      </c>
      <c r="L2991" s="5" t="str">
        <f>HYPERLINK("https://maps.google.com/?q=17.950395,-96.732014000000007", "🔗 Ver Mapa")</f>
        <v>🔗 Ver Mapa</v>
      </c>
    </row>
    <row r="2992" spans="1:12" ht="43.5" x14ac:dyDescent="0.35">
      <c r="A2992" s="6" t="s">
        <v>98</v>
      </c>
      <c r="B2992" s="6" t="s">
        <v>99</v>
      </c>
      <c r="C2992" s="6" t="s">
        <v>647</v>
      </c>
      <c r="D2992" s="6" t="s">
        <v>14</v>
      </c>
      <c r="E2992" s="6" t="s">
        <v>110</v>
      </c>
      <c r="F2992" s="6" t="s">
        <v>126</v>
      </c>
      <c r="G2992" s="6" t="s">
        <v>127</v>
      </c>
      <c r="H2992" s="6" t="s">
        <v>128</v>
      </c>
      <c r="I2992" s="6" t="s">
        <v>31</v>
      </c>
      <c r="J2992" s="6">
        <v>17.951868000000001</v>
      </c>
      <c r="K2992" s="6">
        <v>-96.739036999999996</v>
      </c>
      <c r="L2992" s="6" t="str">
        <f>HYPERLINK("https://maps.google.com/?q=17.951868,-96.739036999999996", "🔗 Ver Mapa")</f>
        <v>🔗 Ver Mapa</v>
      </c>
    </row>
    <row r="2993" spans="1:12" ht="43.5" x14ac:dyDescent="0.35">
      <c r="A2993" s="5" t="s">
        <v>98</v>
      </c>
      <c r="B2993" s="5" t="s">
        <v>99</v>
      </c>
      <c r="C2993" s="5" t="s">
        <v>647</v>
      </c>
      <c r="D2993" s="5" t="s">
        <v>14</v>
      </c>
      <c r="E2993" s="5" t="s">
        <v>110</v>
      </c>
      <c r="F2993" s="5" t="s">
        <v>126</v>
      </c>
      <c r="G2993" s="5" t="s">
        <v>127</v>
      </c>
      <c r="H2993" s="5" t="s">
        <v>128</v>
      </c>
      <c r="I2993" s="5" t="s">
        <v>31</v>
      </c>
      <c r="J2993" s="5">
        <v>17.951898</v>
      </c>
      <c r="K2993" s="5">
        <v>-96.738884999999996</v>
      </c>
      <c r="L2993" s="5" t="str">
        <f>HYPERLINK("https://maps.google.com/?q=17.951898,-96.738884999999996", "🔗 Ver Mapa")</f>
        <v>🔗 Ver Mapa</v>
      </c>
    </row>
    <row r="2994" spans="1:12" ht="43.5" x14ac:dyDescent="0.35">
      <c r="A2994" s="6" t="s">
        <v>98</v>
      </c>
      <c r="B2994" s="6" t="s">
        <v>99</v>
      </c>
      <c r="C2994" s="6" t="s">
        <v>647</v>
      </c>
      <c r="D2994" s="6" t="s">
        <v>14</v>
      </c>
      <c r="E2994" s="6" t="s">
        <v>110</v>
      </c>
      <c r="F2994" s="6" t="s">
        <v>126</v>
      </c>
      <c r="G2994" s="6" t="s">
        <v>127</v>
      </c>
      <c r="H2994" s="6" t="s">
        <v>128</v>
      </c>
      <c r="I2994" s="6" t="s">
        <v>31</v>
      </c>
      <c r="J2994" s="6">
        <v>17.952197000000002</v>
      </c>
      <c r="K2994" s="6">
        <v>-96.738427999999999</v>
      </c>
      <c r="L2994" s="6" t="str">
        <f>HYPERLINK("https://maps.google.com/?q=17.952197,-96.738427999999999", "🔗 Ver Mapa")</f>
        <v>🔗 Ver Mapa</v>
      </c>
    </row>
    <row r="2995" spans="1:12" ht="43.5" x14ac:dyDescent="0.35">
      <c r="A2995" s="5" t="s">
        <v>98</v>
      </c>
      <c r="B2995" s="5" t="s">
        <v>99</v>
      </c>
      <c r="C2995" s="5" t="s">
        <v>647</v>
      </c>
      <c r="D2995" s="5" t="s">
        <v>14</v>
      </c>
      <c r="E2995" s="5" t="s">
        <v>110</v>
      </c>
      <c r="F2995" s="5" t="s">
        <v>126</v>
      </c>
      <c r="G2995" s="5" t="s">
        <v>127</v>
      </c>
      <c r="H2995" s="5" t="s">
        <v>128</v>
      </c>
      <c r="I2995" s="5" t="s">
        <v>31</v>
      </c>
      <c r="J2995" s="5">
        <v>17.952414000000001</v>
      </c>
      <c r="K2995" s="5">
        <v>-96.742385999999996</v>
      </c>
      <c r="L2995" s="5" t="str">
        <f>HYPERLINK("https://maps.google.com/?q=17.952414,-96.742385999999996", "🔗 Ver Mapa")</f>
        <v>🔗 Ver Mapa</v>
      </c>
    </row>
    <row r="2996" spans="1:12" ht="43.5" x14ac:dyDescent="0.35">
      <c r="A2996" s="6" t="s">
        <v>98</v>
      </c>
      <c r="B2996" s="6" t="s">
        <v>99</v>
      </c>
      <c r="C2996" s="6" t="s">
        <v>647</v>
      </c>
      <c r="D2996" s="6" t="s">
        <v>14</v>
      </c>
      <c r="E2996" s="6" t="s">
        <v>110</v>
      </c>
      <c r="F2996" s="6" t="s">
        <v>126</v>
      </c>
      <c r="G2996" s="6" t="s">
        <v>127</v>
      </c>
      <c r="H2996" s="6" t="s">
        <v>128</v>
      </c>
      <c r="I2996" s="6" t="s">
        <v>31</v>
      </c>
      <c r="J2996" s="6">
        <v>17.952506</v>
      </c>
      <c r="K2996" s="6">
        <v>-96.742110999999994</v>
      </c>
      <c r="L2996" s="6" t="str">
        <f>HYPERLINK("https://maps.google.com/?q=17.952506,-96.742110999999994", "🔗 Ver Mapa")</f>
        <v>🔗 Ver Mapa</v>
      </c>
    </row>
    <row r="2997" spans="1:12" ht="43.5" x14ac:dyDescent="0.35">
      <c r="A2997" s="5" t="s">
        <v>98</v>
      </c>
      <c r="B2997" s="5" t="s">
        <v>99</v>
      </c>
      <c r="C2997" s="5" t="s">
        <v>647</v>
      </c>
      <c r="D2997" s="5" t="s">
        <v>14</v>
      </c>
      <c r="E2997" s="5" t="s">
        <v>110</v>
      </c>
      <c r="F2997" s="5" t="s">
        <v>126</v>
      </c>
      <c r="G2997" s="5" t="s">
        <v>127</v>
      </c>
      <c r="H2997" s="5" t="s">
        <v>128</v>
      </c>
      <c r="I2997" s="5" t="s">
        <v>31</v>
      </c>
      <c r="J2997" s="5">
        <v>17.952538000000001</v>
      </c>
      <c r="K2997" s="5">
        <v>-96.738748999999999</v>
      </c>
      <c r="L2997" s="5" t="str">
        <f>HYPERLINK("https://maps.google.com/?q=17.952538,-96.738748999999999", "🔗 Ver Mapa")</f>
        <v>🔗 Ver Mapa</v>
      </c>
    </row>
    <row r="2998" spans="1:12" ht="43.5" x14ac:dyDescent="0.35">
      <c r="A2998" s="6" t="s">
        <v>98</v>
      </c>
      <c r="B2998" s="6" t="s">
        <v>99</v>
      </c>
      <c r="C2998" s="6" t="s">
        <v>647</v>
      </c>
      <c r="D2998" s="6" t="s">
        <v>14</v>
      </c>
      <c r="E2998" s="6" t="s">
        <v>110</v>
      </c>
      <c r="F2998" s="6" t="s">
        <v>126</v>
      </c>
      <c r="G2998" s="6" t="s">
        <v>127</v>
      </c>
      <c r="H2998" s="6" t="s">
        <v>128</v>
      </c>
      <c r="I2998" s="6" t="s">
        <v>31</v>
      </c>
      <c r="J2998" s="6">
        <v>17.952597000000001</v>
      </c>
      <c r="K2998" s="6">
        <v>-96.737941000000006</v>
      </c>
      <c r="L2998" s="6" t="str">
        <f>HYPERLINK("https://maps.google.com/?q=17.952597,-96.737941000000006", "🔗 Ver Mapa")</f>
        <v>🔗 Ver Mapa</v>
      </c>
    </row>
    <row r="2999" spans="1:12" ht="43.5" x14ac:dyDescent="0.35">
      <c r="A2999" s="5" t="s">
        <v>98</v>
      </c>
      <c r="B2999" s="5" t="s">
        <v>99</v>
      </c>
      <c r="C2999" s="5" t="s">
        <v>647</v>
      </c>
      <c r="D2999" s="5" t="s">
        <v>14</v>
      </c>
      <c r="E2999" s="5" t="s">
        <v>110</v>
      </c>
      <c r="F2999" s="5" t="s">
        <v>126</v>
      </c>
      <c r="G2999" s="5" t="s">
        <v>127</v>
      </c>
      <c r="H2999" s="5" t="s">
        <v>128</v>
      </c>
      <c r="I2999" s="5" t="s">
        <v>31</v>
      </c>
      <c r="J2999" s="5">
        <v>17.952708000000001</v>
      </c>
      <c r="K2999" s="5">
        <v>-96.737779000000003</v>
      </c>
      <c r="L2999" s="5" t="str">
        <f>HYPERLINK("https://maps.google.com/?q=17.952708,-96.737779000000003", "🔗 Ver Mapa")</f>
        <v>🔗 Ver Mapa</v>
      </c>
    </row>
    <row r="3000" spans="1:12" ht="43.5" x14ac:dyDescent="0.35">
      <c r="A3000" s="6" t="s">
        <v>98</v>
      </c>
      <c r="B3000" s="6" t="s">
        <v>99</v>
      </c>
      <c r="C3000" s="6" t="s">
        <v>648</v>
      </c>
      <c r="D3000" s="6" t="s">
        <v>14</v>
      </c>
      <c r="E3000" s="6" t="s">
        <v>52</v>
      </c>
      <c r="F3000" s="6" t="s">
        <v>101</v>
      </c>
      <c r="G3000" s="6" t="s">
        <v>649</v>
      </c>
      <c r="H3000" s="6" t="s">
        <v>650</v>
      </c>
      <c r="I3000" s="6" t="s">
        <v>31</v>
      </c>
      <c r="J3000" s="6">
        <v>16.935103999999999</v>
      </c>
      <c r="K3000" s="6">
        <v>-97.008394999999993</v>
      </c>
      <c r="L3000" s="6" t="str">
        <f>HYPERLINK("https://maps.google.com/?q=16.935104,-97.008394999999993", "🔗 Ver Mapa")</f>
        <v>🔗 Ver Mapa</v>
      </c>
    </row>
    <row r="3001" spans="1:12" ht="43.5" x14ac:dyDescent="0.35">
      <c r="A3001" s="5" t="s">
        <v>98</v>
      </c>
      <c r="B3001" s="5" t="s">
        <v>99</v>
      </c>
      <c r="C3001" s="5" t="s">
        <v>648</v>
      </c>
      <c r="D3001" s="5" t="s">
        <v>14</v>
      </c>
      <c r="E3001" s="5" t="s">
        <v>52</v>
      </c>
      <c r="F3001" s="5" t="s">
        <v>101</v>
      </c>
      <c r="G3001" s="5" t="s">
        <v>649</v>
      </c>
      <c r="H3001" s="5" t="s">
        <v>650</v>
      </c>
      <c r="I3001" s="5" t="s">
        <v>31</v>
      </c>
      <c r="J3001" s="5">
        <v>16.935219</v>
      </c>
      <c r="K3001" s="5">
        <v>-97.008375999999998</v>
      </c>
      <c r="L3001" s="5" t="str">
        <f>HYPERLINK("https://maps.google.com/?q=16.935219,-97.008375999999998", "🔗 Ver Mapa")</f>
        <v>🔗 Ver Mapa</v>
      </c>
    </row>
    <row r="3002" spans="1:12" ht="43.5" x14ac:dyDescent="0.35">
      <c r="A3002" s="6" t="s">
        <v>98</v>
      </c>
      <c r="B3002" s="6" t="s">
        <v>99</v>
      </c>
      <c r="C3002" s="6" t="s">
        <v>648</v>
      </c>
      <c r="D3002" s="6" t="s">
        <v>14</v>
      </c>
      <c r="E3002" s="6" t="s">
        <v>52</v>
      </c>
      <c r="F3002" s="6" t="s">
        <v>101</v>
      </c>
      <c r="G3002" s="6" t="s">
        <v>649</v>
      </c>
      <c r="H3002" s="6" t="s">
        <v>650</v>
      </c>
      <c r="I3002" s="6" t="s">
        <v>31</v>
      </c>
      <c r="J3002" s="6">
        <v>16.935220000000001</v>
      </c>
      <c r="K3002" s="6">
        <v>-97.009905000000003</v>
      </c>
      <c r="L3002" s="6" t="str">
        <f>HYPERLINK("https://maps.google.com/?q=16.93522,-97.009905000000003", "🔗 Ver Mapa")</f>
        <v>🔗 Ver Mapa</v>
      </c>
    </row>
    <row r="3003" spans="1:12" ht="43.5" x14ac:dyDescent="0.35">
      <c r="A3003" s="5" t="s">
        <v>98</v>
      </c>
      <c r="B3003" s="5" t="s">
        <v>99</v>
      </c>
      <c r="C3003" s="5" t="s">
        <v>648</v>
      </c>
      <c r="D3003" s="5" t="s">
        <v>14</v>
      </c>
      <c r="E3003" s="5" t="s">
        <v>52</v>
      </c>
      <c r="F3003" s="5" t="s">
        <v>101</v>
      </c>
      <c r="G3003" s="5" t="s">
        <v>649</v>
      </c>
      <c r="H3003" s="5" t="s">
        <v>650</v>
      </c>
      <c r="I3003" s="5" t="s">
        <v>31</v>
      </c>
      <c r="J3003" s="5">
        <v>16.935507000000001</v>
      </c>
      <c r="K3003" s="5">
        <v>-97.009927000000005</v>
      </c>
      <c r="L3003" s="5" t="str">
        <f>HYPERLINK("https://maps.google.com/?q=16.935507,-97.009927000000005", "🔗 Ver Mapa")</f>
        <v>🔗 Ver Mapa</v>
      </c>
    </row>
    <row r="3004" spans="1:12" ht="43.5" x14ac:dyDescent="0.35">
      <c r="A3004" s="6" t="s">
        <v>98</v>
      </c>
      <c r="B3004" s="6" t="s">
        <v>99</v>
      </c>
      <c r="C3004" s="6" t="s">
        <v>648</v>
      </c>
      <c r="D3004" s="6" t="s">
        <v>14</v>
      </c>
      <c r="E3004" s="6" t="s">
        <v>52</v>
      </c>
      <c r="F3004" s="6" t="s">
        <v>101</v>
      </c>
      <c r="G3004" s="6" t="s">
        <v>649</v>
      </c>
      <c r="H3004" s="6" t="s">
        <v>650</v>
      </c>
      <c r="I3004" s="6" t="s">
        <v>31</v>
      </c>
      <c r="J3004" s="6">
        <v>16.935742000000001</v>
      </c>
      <c r="K3004" s="6">
        <v>-97.011285999999998</v>
      </c>
      <c r="L3004" s="6" t="str">
        <f>HYPERLINK("https://maps.google.com/?q=16.935742,-97.011285999999998", "🔗 Ver Mapa")</f>
        <v>🔗 Ver Mapa</v>
      </c>
    </row>
    <row r="3005" spans="1:12" ht="43.5" x14ac:dyDescent="0.35">
      <c r="A3005" s="5" t="s">
        <v>98</v>
      </c>
      <c r="B3005" s="5" t="s">
        <v>99</v>
      </c>
      <c r="C3005" s="5" t="s">
        <v>648</v>
      </c>
      <c r="D3005" s="5" t="s">
        <v>14</v>
      </c>
      <c r="E3005" s="5" t="s">
        <v>52</v>
      </c>
      <c r="F3005" s="5" t="s">
        <v>101</v>
      </c>
      <c r="G3005" s="5" t="s">
        <v>649</v>
      </c>
      <c r="H3005" s="5" t="s">
        <v>650</v>
      </c>
      <c r="I3005" s="5" t="s">
        <v>31</v>
      </c>
      <c r="J3005" s="5">
        <v>16.935856000000001</v>
      </c>
      <c r="K3005" s="5">
        <v>-97.010136000000003</v>
      </c>
      <c r="L3005" s="5" t="str">
        <f>HYPERLINK("https://maps.google.com/?q=16.935856,-97.010136000000003", "🔗 Ver Mapa")</f>
        <v>🔗 Ver Mapa</v>
      </c>
    </row>
    <row r="3006" spans="1:12" ht="43.5" x14ac:dyDescent="0.35">
      <c r="A3006" s="6" t="s">
        <v>98</v>
      </c>
      <c r="B3006" s="6" t="s">
        <v>99</v>
      </c>
      <c r="C3006" s="6" t="s">
        <v>648</v>
      </c>
      <c r="D3006" s="6" t="s">
        <v>14</v>
      </c>
      <c r="E3006" s="6" t="s">
        <v>52</v>
      </c>
      <c r="F3006" s="6" t="s">
        <v>101</v>
      </c>
      <c r="G3006" s="6" t="s">
        <v>649</v>
      </c>
      <c r="H3006" s="6" t="s">
        <v>650</v>
      </c>
      <c r="I3006" s="6" t="s">
        <v>31</v>
      </c>
      <c r="J3006" s="6">
        <v>16.935996100000001</v>
      </c>
      <c r="K3006" s="6">
        <v>-97.011112400000002</v>
      </c>
      <c r="L3006" s="6" t="str">
        <f>HYPERLINK("https://maps.google.com/?q=16.9359961,-97.011112400000002", "🔗 Ver Mapa")</f>
        <v>🔗 Ver Mapa</v>
      </c>
    </row>
    <row r="3007" spans="1:12" ht="43.5" x14ac:dyDescent="0.35">
      <c r="A3007" s="5" t="s">
        <v>98</v>
      </c>
      <c r="B3007" s="5" t="s">
        <v>99</v>
      </c>
      <c r="C3007" s="5" t="s">
        <v>648</v>
      </c>
      <c r="D3007" s="5" t="s">
        <v>14</v>
      </c>
      <c r="E3007" s="5" t="s">
        <v>52</v>
      </c>
      <c r="F3007" s="5" t="s">
        <v>101</v>
      </c>
      <c r="G3007" s="5" t="s">
        <v>649</v>
      </c>
      <c r="H3007" s="5" t="s">
        <v>650</v>
      </c>
      <c r="I3007" s="5" t="s">
        <v>31</v>
      </c>
      <c r="J3007" s="5">
        <v>16.936159093528001</v>
      </c>
      <c r="K3007" s="5">
        <v>-97.011469810432999</v>
      </c>
      <c r="L3007" s="5" t="str">
        <f>HYPERLINK("https://maps.google.com/?q=16.9361590935278,-97.011469810433297", "🔗 Ver Mapa")</f>
        <v>🔗 Ver Mapa</v>
      </c>
    </row>
    <row r="3008" spans="1:12" ht="43.5" x14ac:dyDescent="0.35">
      <c r="A3008" s="6" t="s">
        <v>98</v>
      </c>
      <c r="B3008" s="6" t="s">
        <v>99</v>
      </c>
      <c r="C3008" s="6" t="s">
        <v>648</v>
      </c>
      <c r="D3008" s="6" t="s">
        <v>14</v>
      </c>
      <c r="E3008" s="6" t="s">
        <v>52</v>
      </c>
      <c r="F3008" s="6" t="s">
        <v>101</v>
      </c>
      <c r="G3008" s="6" t="s">
        <v>649</v>
      </c>
      <c r="H3008" s="6" t="s">
        <v>650</v>
      </c>
      <c r="I3008" s="6" t="s">
        <v>31</v>
      </c>
      <c r="J3008" s="6">
        <v>16.936659599999999</v>
      </c>
      <c r="K3008" s="6">
        <v>-97.008307900000005</v>
      </c>
      <c r="L3008" s="6" t="str">
        <f>HYPERLINK("https://maps.google.com/?q=16.9366596,-97.008307900000005", "🔗 Ver Mapa")</f>
        <v>🔗 Ver Mapa</v>
      </c>
    </row>
    <row r="3009" spans="1:12" ht="43.5" x14ac:dyDescent="0.35">
      <c r="A3009" s="5" t="s">
        <v>98</v>
      </c>
      <c r="B3009" s="5" t="s">
        <v>99</v>
      </c>
      <c r="C3009" s="5" t="s">
        <v>648</v>
      </c>
      <c r="D3009" s="5" t="s">
        <v>14</v>
      </c>
      <c r="E3009" s="5" t="s">
        <v>52</v>
      </c>
      <c r="F3009" s="5" t="s">
        <v>101</v>
      </c>
      <c r="G3009" s="5" t="s">
        <v>649</v>
      </c>
      <c r="H3009" s="5" t="s">
        <v>650</v>
      </c>
      <c r="I3009" s="5" t="s">
        <v>31</v>
      </c>
      <c r="J3009" s="5">
        <v>16.936762000000002</v>
      </c>
      <c r="K3009" s="5">
        <v>-97.007970999999998</v>
      </c>
      <c r="L3009" s="5" t="str">
        <f>HYPERLINK("https://maps.google.com/?q=16.936762,-97.007970999999998", "🔗 Ver Mapa")</f>
        <v>🔗 Ver Mapa</v>
      </c>
    </row>
    <row r="3010" spans="1:12" ht="43.5" x14ac:dyDescent="0.35">
      <c r="A3010" s="6" t="s">
        <v>98</v>
      </c>
      <c r="B3010" s="6" t="s">
        <v>99</v>
      </c>
      <c r="C3010" s="6" t="s">
        <v>648</v>
      </c>
      <c r="D3010" s="6" t="s">
        <v>14</v>
      </c>
      <c r="E3010" s="6" t="s">
        <v>52</v>
      </c>
      <c r="F3010" s="6" t="s">
        <v>101</v>
      </c>
      <c r="G3010" s="6" t="s">
        <v>649</v>
      </c>
      <c r="H3010" s="6" t="s">
        <v>650</v>
      </c>
      <c r="I3010" s="6" t="s">
        <v>31</v>
      </c>
      <c r="J3010" s="6">
        <v>16.937453300000001</v>
      </c>
      <c r="K3010" s="6">
        <v>-97.009421200000006</v>
      </c>
      <c r="L3010" s="6" t="str">
        <f>HYPERLINK("https://maps.google.com/?q=16.9374533,-97.009421200000006", "🔗 Ver Mapa")</f>
        <v>🔗 Ver Mapa</v>
      </c>
    </row>
    <row r="3011" spans="1:12" ht="43.5" x14ac:dyDescent="0.35">
      <c r="A3011" s="5" t="s">
        <v>98</v>
      </c>
      <c r="B3011" s="5" t="s">
        <v>99</v>
      </c>
      <c r="C3011" s="5" t="s">
        <v>648</v>
      </c>
      <c r="D3011" s="5" t="s">
        <v>14</v>
      </c>
      <c r="E3011" s="5" t="s">
        <v>52</v>
      </c>
      <c r="F3011" s="5" t="s">
        <v>101</v>
      </c>
      <c r="G3011" s="5" t="s">
        <v>649</v>
      </c>
      <c r="H3011" s="5" t="s">
        <v>650</v>
      </c>
      <c r="I3011" s="5" t="s">
        <v>31</v>
      </c>
      <c r="J3011" s="5">
        <v>16.937458857054001</v>
      </c>
      <c r="K3011" s="5">
        <v>-97.015686328697001</v>
      </c>
      <c r="L3011" s="5" t="str">
        <f>HYPERLINK("https://maps.google.com/?q=16.9374588570542,-97.0156863286971", "🔗 Ver Mapa")</f>
        <v>🔗 Ver Mapa</v>
      </c>
    </row>
    <row r="3012" spans="1:12" ht="43.5" x14ac:dyDescent="0.35">
      <c r="A3012" s="6" t="s">
        <v>98</v>
      </c>
      <c r="B3012" s="6" t="s">
        <v>99</v>
      </c>
      <c r="C3012" s="6" t="s">
        <v>648</v>
      </c>
      <c r="D3012" s="6" t="s">
        <v>14</v>
      </c>
      <c r="E3012" s="6" t="s">
        <v>52</v>
      </c>
      <c r="F3012" s="6" t="s">
        <v>101</v>
      </c>
      <c r="G3012" s="6" t="s">
        <v>649</v>
      </c>
      <c r="H3012" s="6" t="s">
        <v>650</v>
      </c>
      <c r="I3012" s="6" t="s">
        <v>31</v>
      </c>
      <c r="J3012" s="6">
        <v>16.937615000000001</v>
      </c>
      <c r="K3012" s="6">
        <v>-97.018112000000002</v>
      </c>
      <c r="L3012" s="6" t="str">
        <f>HYPERLINK("https://maps.google.com/?q=16.937615,-97.018112000000002", "🔗 Ver Mapa")</f>
        <v>🔗 Ver Mapa</v>
      </c>
    </row>
    <row r="3013" spans="1:12" ht="43.5" x14ac:dyDescent="0.35">
      <c r="A3013" s="5" t="s">
        <v>98</v>
      </c>
      <c r="B3013" s="5" t="s">
        <v>99</v>
      </c>
      <c r="C3013" s="5" t="s">
        <v>648</v>
      </c>
      <c r="D3013" s="5" t="s">
        <v>14</v>
      </c>
      <c r="E3013" s="5" t="s">
        <v>52</v>
      </c>
      <c r="F3013" s="5" t="s">
        <v>101</v>
      </c>
      <c r="G3013" s="5" t="s">
        <v>649</v>
      </c>
      <c r="H3013" s="5" t="s">
        <v>650</v>
      </c>
      <c r="I3013" s="5" t="s">
        <v>31</v>
      </c>
      <c r="J3013" s="5">
        <v>16.938379999999999</v>
      </c>
      <c r="K3013" s="5">
        <v>-97.012636000000001</v>
      </c>
      <c r="L3013" s="5" t="str">
        <f>HYPERLINK("https://maps.google.com/?q=16.93838,-97.012636000000001", "🔗 Ver Mapa")</f>
        <v>🔗 Ver Mapa</v>
      </c>
    </row>
    <row r="3014" spans="1:12" ht="43.5" x14ac:dyDescent="0.35">
      <c r="A3014" s="6" t="s">
        <v>98</v>
      </c>
      <c r="B3014" s="6" t="s">
        <v>99</v>
      </c>
      <c r="C3014" s="6" t="s">
        <v>648</v>
      </c>
      <c r="D3014" s="6" t="s">
        <v>14</v>
      </c>
      <c r="E3014" s="6" t="s">
        <v>52</v>
      </c>
      <c r="F3014" s="6" t="s">
        <v>101</v>
      </c>
      <c r="G3014" s="6" t="s">
        <v>649</v>
      </c>
      <c r="H3014" s="6" t="s">
        <v>650</v>
      </c>
      <c r="I3014" s="6" t="s">
        <v>31</v>
      </c>
      <c r="J3014" s="6">
        <v>16.9384023</v>
      </c>
      <c r="K3014" s="6">
        <v>-97.008589999999998</v>
      </c>
      <c r="L3014" s="6" t="str">
        <f>HYPERLINK("https://maps.google.com/?q=16.9384023,-97.008589999999998", "🔗 Ver Mapa")</f>
        <v>🔗 Ver Mapa</v>
      </c>
    </row>
    <row r="3015" spans="1:12" ht="43.5" x14ac:dyDescent="0.35">
      <c r="A3015" s="5" t="s">
        <v>98</v>
      </c>
      <c r="B3015" s="5" t="s">
        <v>99</v>
      </c>
      <c r="C3015" s="5" t="s">
        <v>648</v>
      </c>
      <c r="D3015" s="5" t="s">
        <v>14</v>
      </c>
      <c r="E3015" s="5" t="s">
        <v>52</v>
      </c>
      <c r="F3015" s="5" t="s">
        <v>101</v>
      </c>
      <c r="G3015" s="5" t="s">
        <v>649</v>
      </c>
      <c r="H3015" s="5" t="s">
        <v>650</v>
      </c>
      <c r="I3015" s="5" t="s">
        <v>31</v>
      </c>
      <c r="J3015" s="5">
        <v>16.938783600000001</v>
      </c>
      <c r="K3015" s="5">
        <v>-97.004984300000004</v>
      </c>
      <c r="L3015" s="5" t="str">
        <f>HYPERLINK("https://maps.google.com/?q=16.9387836,-97.004984300000004", "🔗 Ver Mapa")</f>
        <v>🔗 Ver Mapa</v>
      </c>
    </row>
    <row r="3016" spans="1:12" ht="43.5" x14ac:dyDescent="0.35">
      <c r="A3016" s="6" t="s">
        <v>98</v>
      </c>
      <c r="B3016" s="6" t="s">
        <v>99</v>
      </c>
      <c r="C3016" s="6" t="s">
        <v>648</v>
      </c>
      <c r="D3016" s="6" t="s">
        <v>14</v>
      </c>
      <c r="E3016" s="6" t="s">
        <v>52</v>
      </c>
      <c r="F3016" s="6" t="s">
        <v>101</v>
      </c>
      <c r="G3016" s="6" t="s">
        <v>649</v>
      </c>
      <c r="H3016" s="6" t="s">
        <v>650</v>
      </c>
      <c r="I3016" s="6" t="s">
        <v>31</v>
      </c>
      <c r="J3016" s="6">
        <v>16.938929000000002</v>
      </c>
      <c r="K3016" s="6">
        <v>-97.005939999999995</v>
      </c>
      <c r="L3016" s="6" t="str">
        <f>HYPERLINK("https://maps.google.com/?q=16.938929,-97.005939999999995", "🔗 Ver Mapa")</f>
        <v>🔗 Ver Mapa</v>
      </c>
    </row>
    <row r="3017" spans="1:12" ht="43.5" x14ac:dyDescent="0.35">
      <c r="A3017" s="5" t="s">
        <v>98</v>
      </c>
      <c r="B3017" s="5" t="s">
        <v>99</v>
      </c>
      <c r="C3017" s="5" t="s">
        <v>648</v>
      </c>
      <c r="D3017" s="5" t="s">
        <v>14</v>
      </c>
      <c r="E3017" s="5" t="s">
        <v>52</v>
      </c>
      <c r="F3017" s="5" t="s">
        <v>101</v>
      </c>
      <c r="G3017" s="5" t="s">
        <v>649</v>
      </c>
      <c r="H3017" s="5" t="s">
        <v>650</v>
      </c>
      <c r="I3017" s="5" t="s">
        <v>31</v>
      </c>
      <c r="J3017" s="5">
        <v>16.938967000000002</v>
      </c>
      <c r="K3017" s="5">
        <v>-97.016085000000004</v>
      </c>
      <c r="L3017" s="5" t="str">
        <f>HYPERLINK("https://maps.google.com/?q=16.938967,-97.016085000000004", "🔗 Ver Mapa")</f>
        <v>🔗 Ver Mapa</v>
      </c>
    </row>
    <row r="3018" spans="1:12" ht="43.5" x14ac:dyDescent="0.35">
      <c r="A3018" s="6" t="s">
        <v>98</v>
      </c>
      <c r="B3018" s="6" t="s">
        <v>99</v>
      </c>
      <c r="C3018" s="6" t="s">
        <v>648</v>
      </c>
      <c r="D3018" s="6" t="s">
        <v>14</v>
      </c>
      <c r="E3018" s="6" t="s">
        <v>52</v>
      </c>
      <c r="F3018" s="6" t="s">
        <v>101</v>
      </c>
      <c r="G3018" s="6" t="s">
        <v>649</v>
      </c>
      <c r="H3018" s="6" t="s">
        <v>650</v>
      </c>
      <c r="I3018" s="6" t="s">
        <v>31</v>
      </c>
      <c r="J3018" s="6">
        <v>16.939008600000001</v>
      </c>
      <c r="K3018" s="6">
        <v>-97.0164063</v>
      </c>
      <c r="L3018" s="6" t="str">
        <f>HYPERLINK("https://maps.google.com/?q=16.9390086,-97.0164063", "🔗 Ver Mapa")</f>
        <v>🔗 Ver Mapa</v>
      </c>
    </row>
    <row r="3019" spans="1:12" ht="43.5" x14ac:dyDescent="0.35">
      <c r="A3019" s="5" t="s">
        <v>98</v>
      </c>
      <c r="B3019" s="5" t="s">
        <v>99</v>
      </c>
      <c r="C3019" s="5" t="s">
        <v>648</v>
      </c>
      <c r="D3019" s="5" t="s">
        <v>14</v>
      </c>
      <c r="E3019" s="5" t="s">
        <v>52</v>
      </c>
      <c r="F3019" s="5" t="s">
        <v>101</v>
      </c>
      <c r="G3019" s="5" t="s">
        <v>649</v>
      </c>
      <c r="H3019" s="5" t="s">
        <v>650</v>
      </c>
      <c r="I3019" s="5" t="s">
        <v>31</v>
      </c>
      <c r="J3019" s="5">
        <v>16.939046999999999</v>
      </c>
      <c r="K3019" s="5">
        <v>-97.014324000000002</v>
      </c>
      <c r="L3019" s="5" t="str">
        <f>HYPERLINK("https://maps.google.com/?q=16.939047,-97.014324000000002", "🔗 Ver Mapa")</f>
        <v>🔗 Ver Mapa</v>
      </c>
    </row>
    <row r="3020" spans="1:12" ht="43.5" x14ac:dyDescent="0.35">
      <c r="A3020" s="6" t="s">
        <v>98</v>
      </c>
      <c r="B3020" s="6" t="s">
        <v>99</v>
      </c>
      <c r="C3020" s="6" t="s">
        <v>648</v>
      </c>
      <c r="D3020" s="6" t="s">
        <v>14</v>
      </c>
      <c r="E3020" s="6" t="s">
        <v>52</v>
      </c>
      <c r="F3020" s="6" t="s">
        <v>101</v>
      </c>
      <c r="G3020" s="6" t="s">
        <v>649</v>
      </c>
      <c r="H3020" s="6" t="s">
        <v>650</v>
      </c>
      <c r="I3020" s="6" t="s">
        <v>31</v>
      </c>
      <c r="J3020" s="6">
        <v>16.939066</v>
      </c>
      <c r="K3020" s="6">
        <v>-97.013895000000005</v>
      </c>
      <c r="L3020" s="6" t="str">
        <f>HYPERLINK("https://maps.google.com/?q=16.939066,-97.013895000000005", "🔗 Ver Mapa")</f>
        <v>🔗 Ver Mapa</v>
      </c>
    </row>
    <row r="3021" spans="1:12" ht="43.5" x14ac:dyDescent="0.35">
      <c r="A3021" s="5" t="s">
        <v>98</v>
      </c>
      <c r="B3021" s="5" t="s">
        <v>99</v>
      </c>
      <c r="C3021" s="5" t="s">
        <v>648</v>
      </c>
      <c r="D3021" s="5" t="s">
        <v>14</v>
      </c>
      <c r="E3021" s="5" t="s">
        <v>52</v>
      </c>
      <c r="F3021" s="5" t="s">
        <v>101</v>
      </c>
      <c r="G3021" s="5" t="s">
        <v>649</v>
      </c>
      <c r="H3021" s="5" t="s">
        <v>650</v>
      </c>
      <c r="I3021" s="5" t="s">
        <v>31</v>
      </c>
      <c r="J3021" s="5">
        <v>16.939114568499001</v>
      </c>
      <c r="K3021" s="5">
        <v>-97.016560915344002</v>
      </c>
      <c r="L3021" s="5" t="str">
        <f>HYPERLINK("https://maps.google.com/?q=16.939114568499,-97.0165609153444", "🔗 Ver Mapa")</f>
        <v>🔗 Ver Mapa</v>
      </c>
    </row>
    <row r="3022" spans="1:12" ht="43.5" x14ac:dyDescent="0.35">
      <c r="A3022" s="6" t="s">
        <v>98</v>
      </c>
      <c r="B3022" s="6" t="s">
        <v>99</v>
      </c>
      <c r="C3022" s="6" t="s">
        <v>648</v>
      </c>
      <c r="D3022" s="6" t="s">
        <v>14</v>
      </c>
      <c r="E3022" s="6" t="s">
        <v>52</v>
      </c>
      <c r="F3022" s="6" t="s">
        <v>101</v>
      </c>
      <c r="G3022" s="6" t="s">
        <v>649</v>
      </c>
      <c r="H3022" s="6" t="s">
        <v>650</v>
      </c>
      <c r="I3022" s="6" t="s">
        <v>31</v>
      </c>
      <c r="J3022" s="6">
        <v>16.939153999999998</v>
      </c>
      <c r="K3022" s="6">
        <v>-97.012754000000001</v>
      </c>
      <c r="L3022" s="6" t="str">
        <f>HYPERLINK("https://maps.google.com/?q=16.939154,-97.012754000000001", "🔗 Ver Mapa")</f>
        <v>🔗 Ver Mapa</v>
      </c>
    </row>
    <row r="3023" spans="1:12" ht="43.5" x14ac:dyDescent="0.35">
      <c r="A3023" s="5" t="s">
        <v>98</v>
      </c>
      <c r="B3023" s="5" t="s">
        <v>99</v>
      </c>
      <c r="C3023" s="5" t="s">
        <v>648</v>
      </c>
      <c r="D3023" s="5" t="s">
        <v>14</v>
      </c>
      <c r="E3023" s="5" t="s">
        <v>52</v>
      </c>
      <c r="F3023" s="5" t="s">
        <v>101</v>
      </c>
      <c r="G3023" s="5" t="s">
        <v>649</v>
      </c>
      <c r="H3023" s="5" t="s">
        <v>650</v>
      </c>
      <c r="I3023" s="5" t="s">
        <v>31</v>
      </c>
      <c r="J3023" s="5">
        <v>16.9391684</v>
      </c>
      <c r="K3023" s="5">
        <v>-97.0059866</v>
      </c>
      <c r="L3023" s="5" t="str">
        <f>HYPERLINK("https://maps.google.com/?q=16.9391684,-97.0059866", "🔗 Ver Mapa")</f>
        <v>🔗 Ver Mapa</v>
      </c>
    </row>
    <row r="3024" spans="1:12" ht="43.5" x14ac:dyDescent="0.35">
      <c r="A3024" s="6" t="s">
        <v>98</v>
      </c>
      <c r="B3024" s="6" t="s">
        <v>99</v>
      </c>
      <c r="C3024" s="6" t="s">
        <v>648</v>
      </c>
      <c r="D3024" s="6" t="s">
        <v>14</v>
      </c>
      <c r="E3024" s="6" t="s">
        <v>52</v>
      </c>
      <c r="F3024" s="6" t="s">
        <v>101</v>
      </c>
      <c r="G3024" s="6" t="s">
        <v>649</v>
      </c>
      <c r="H3024" s="6" t="s">
        <v>650</v>
      </c>
      <c r="I3024" s="6" t="s">
        <v>31</v>
      </c>
      <c r="J3024" s="6">
        <v>16.939212999999999</v>
      </c>
      <c r="K3024" s="6">
        <v>-97.015907999999996</v>
      </c>
      <c r="L3024" s="6" t="str">
        <f>HYPERLINK("https://maps.google.com/?q=16.939213,-97.015907999999996", "🔗 Ver Mapa")</f>
        <v>🔗 Ver Mapa</v>
      </c>
    </row>
    <row r="3025" spans="1:12" ht="43.5" x14ac:dyDescent="0.35">
      <c r="A3025" s="5" t="s">
        <v>98</v>
      </c>
      <c r="B3025" s="5" t="s">
        <v>99</v>
      </c>
      <c r="C3025" s="5" t="s">
        <v>648</v>
      </c>
      <c r="D3025" s="5" t="s">
        <v>14</v>
      </c>
      <c r="E3025" s="5" t="s">
        <v>52</v>
      </c>
      <c r="F3025" s="5" t="s">
        <v>101</v>
      </c>
      <c r="G3025" s="5" t="s">
        <v>649</v>
      </c>
      <c r="H3025" s="5" t="s">
        <v>650</v>
      </c>
      <c r="I3025" s="5" t="s">
        <v>31</v>
      </c>
      <c r="J3025" s="5">
        <v>16.939221</v>
      </c>
      <c r="K3025" s="5">
        <v>-97.005673999999999</v>
      </c>
      <c r="L3025" s="5" t="str">
        <f>HYPERLINK("https://maps.google.com/?q=16.939221,-97.005673999999999", "🔗 Ver Mapa")</f>
        <v>🔗 Ver Mapa</v>
      </c>
    </row>
    <row r="3026" spans="1:12" ht="43.5" x14ac:dyDescent="0.35">
      <c r="A3026" s="6" t="s">
        <v>98</v>
      </c>
      <c r="B3026" s="6" t="s">
        <v>99</v>
      </c>
      <c r="C3026" s="6" t="s">
        <v>648</v>
      </c>
      <c r="D3026" s="6" t="s">
        <v>14</v>
      </c>
      <c r="E3026" s="6" t="s">
        <v>52</v>
      </c>
      <c r="F3026" s="6" t="s">
        <v>101</v>
      </c>
      <c r="G3026" s="6" t="s">
        <v>649</v>
      </c>
      <c r="H3026" s="6" t="s">
        <v>650</v>
      </c>
      <c r="I3026" s="6" t="s">
        <v>31</v>
      </c>
      <c r="J3026" s="6">
        <v>16.9392532</v>
      </c>
      <c r="K3026" s="6">
        <v>-97.006649199999998</v>
      </c>
      <c r="L3026" s="6" t="str">
        <f>HYPERLINK("https://maps.google.com/?q=16.9392532,-97.006649199999998", "🔗 Ver Mapa")</f>
        <v>🔗 Ver Mapa</v>
      </c>
    </row>
    <row r="3027" spans="1:12" ht="43.5" x14ac:dyDescent="0.35">
      <c r="A3027" s="5" t="s">
        <v>98</v>
      </c>
      <c r="B3027" s="5" t="s">
        <v>99</v>
      </c>
      <c r="C3027" s="5" t="s">
        <v>648</v>
      </c>
      <c r="D3027" s="5" t="s">
        <v>14</v>
      </c>
      <c r="E3027" s="5" t="s">
        <v>52</v>
      </c>
      <c r="F3027" s="5" t="s">
        <v>101</v>
      </c>
      <c r="G3027" s="5" t="s">
        <v>649</v>
      </c>
      <c r="H3027" s="5" t="s">
        <v>650</v>
      </c>
      <c r="I3027" s="5" t="s">
        <v>31</v>
      </c>
      <c r="J3027" s="5">
        <v>16.939261399999999</v>
      </c>
      <c r="K3027" s="5">
        <v>-97.008467199999998</v>
      </c>
      <c r="L3027" s="5" t="str">
        <f>HYPERLINK("https://maps.google.com/?q=16.9392614,-97.008467199999998", "🔗 Ver Mapa")</f>
        <v>🔗 Ver Mapa</v>
      </c>
    </row>
    <row r="3028" spans="1:12" ht="43.5" x14ac:dyDescent="0.35">
      <c r="A3028" s="6" t="s">
        <v>98</v>
      </c>
      <c r="B3028" s="6" t="s">
        <v>99</v>
      </c>
      <c r="C3028" s="6" t="s">
        <v>648</v>
      </c>
      <c r="D3028" s="6" t="s">
        <v>14</v>
      </c>
      <c r="E3028" s="6" t="s">
        <v>52</v>
      </c>
      <c r="F3028" s="6" t="s">
        <v>101</v>
      </c>
      <c r="G3028" s="6" t="s">
        <v>649</v>
      </c>
      <c r="H3028" s="6" t="s">
        <v>650</v>
      </c>
      <c r="I3028" s="6" t="s">
        <v>31</v>
      </c>
      <c r="J3028" s="6">
        <v>16.9393022</v>
      </c>
      <c r="K3028" s="6">
        <v>-97.017621300000002</v>
      </c>
      <c r="L3028" s="6" t="str">
        <f>HYPERLINK("https://maps.google.com/?q=16.9393022,-97.017621300000002", "🔗 Ver Mapa")</f>
        <v>🔗 Ver Mapa</v>
      </c>
    </row>
    <row r="3029" spans="1:12" ht="43.5" x14ac:dyDescent="0.35">
      <c r="A3029" s="5" t="s">
        <v>98</v>
      </c>
      <c r="B3029" s="5" t="s">
        <v>99</v>
      </c>
      <c r="C3029" s="5" t="s">
        <v>648</v>
      </c>
      <c r="D3029" s="5" t="s">
        <v>14</v>
      </c>
      <c r="E3029" s="5" t="s">
        <v>52</v>
      </c>
      <c r="F3029" s="5" t="s">
        <v>101</v>
      </c>
      <c r="G3029" s="5" t="s">
        <v>649</v>
      </c>
      <c r="H3029" s="5" t="s">
        <v>650</v>
      </c>
      <c r="I3029" s="5" t="s">
        <v>31</v>
      </c>
      <c r="J3029" s="5">
        <v>16.939412799999999</v>
      </c>
      <c r="K3029" s="5">
        <v>-97.016477300000005</v>
      </c>
      <c r="L3029" s="5" t="str">
        <f>HYPERLINK("https://maps.google.com/?q=16.9394128,-97.016477300000005", "🔗 Ver Mapa")</f>
        <v>🔗 Ver Mapa</v>
      </c>
    </row>
    <row r="3030" spans="1:12" ht="43.5" x14ac:dyDescent="0.35">
      <c r="A3030" s="6" t="s">
        <v>98</v>
      </c>
      <c r="B3030" s="6" t="s">
        <v>99</v>
      </c>
      <c r="C3030" s="6" t="s">
        <v>648</v>
      </c>
      <c r="D3030" s="6" t="s">
        <v>14</v>
      </c>
      <c r="E3030" s="6" t="s">
        <v>52</v>
      </c>
      <c r="F3030" s="6" t="s">
        <v>101</v>
      </c>
      <c r="G3030" s="6" t="s">
        <v>649</v>
      </c>
      <c r="H3030" s="6" t="s">
        <v>650</v>
      </c>
      <c r="I3030" s="6" t="s">
        <v>31</v>
      </c>
      <c r="J3030" s="6">
        <v>16.939422499999999</v>
      </c>
      <c r="K3030" s="6">
        <v>-97.0057683</v>
      </c>
      <c r="L3030" s="6" t="str">
        <f>HYPERLINK("https://maps.google.com/?q=16.9394225,-97.0057683", "🔗 Ver Mapa")</f>
        <v>🔗 Ver Mapa</v>
      </c>
    </row>
    <row r="3031" spans="1:12" ht="43.5" x14ac:dyDescent="0.35">
      <c r="A3031" s="5" t="s">
        <v>98</v>
      </c>
      <c r="B3031" s="5" t="s">
        <v>99</v>
      </c>
      <c r="C3031" s="5" t="s">
        <v>648</v>
      </c>
      <c r="D3031" s="5" t="s">
        <v>14</v>
      </c>
      <c r="E3031" s="5" t="s">
        <v>52</v>
      </c>
      <c r="F3031" s="5" t="s">
        <v>101</v>
      </c>
      <c r="G3031" s="5" t="s">
        <v>649</v>
      </c>
      <c r="H3031" s="5" t="s">
        <v>650</v>
      </c>
      <c r="I3031" s="5" t="s">
        <v>31</v>
      </c>
      <c r="J3031" s="5">
        <v>16.939461000000001</v>
      </c>
      <c r="K3031" s="5">
        <v>-97.005554000000004</v>
      </c>
      <c r="L3031" s="5" t="str">
        <f>HYPERLINK("https://maps.google.com/?q=16.939461,-97.005554000000004", "🔗 Ver Mapa")</f>
        <v>🔗 Ver Mapa</v>
      </c>
    </row>
    <row r="3032" spans="1:12" ht="43.5" x14ac:dyDescent="0.35">
      <c r="A3032" s="6" t="s">
        <v>98</v>
      </c>
      <c r="B3032" s="6" t="s">
        <v>99</v>
      </c>
      <c r="C3032" s="6" t="s">
        <v>648</v>
      </c>
      <c r="D3032" s="6" t="s">
        <v>14</v>
      </c>
      <c r="E3032" s="6" t="s">
        <v>52</v>
      </c>
      <c r="F3032" s="6" t="s">
        <v>101</v>
      </c>
      <c r="G3032" s="6" t="s">
        <v>649</v>
      </c>
      <c r="H3032" s="6" t="s">
        <v>650</v>
      </c>
      <c r="I3032" s="6" t="s">
        <v>31</v>
      </c>
      <c r="J3032" s="6">
        <v>16.939536</v>
      </c>
      <c r="K3032" s="6">
        <v>-97.017052000000007</v>
      </c>
      <c r="L3032" s="6" t="str">
        <f>HYPERLINK("https://maps.google.com/?q=16.939536,-97.017052000000007", "🔗 Ver Mapa")</f>
        <v>🔗 Ver Mapa</v>
      </c>
    </row>
    <row r="3033" spans="1:12" ht="43.5" x14ac:dyDescent="0.35">
      <c r="A3033" s="5" t="s">
        <v>98</v>
      </c>
      <c r="B3033" s="5" t="s">
        <v>99</v>
      </c>
      <c r="C3033" s="5" t="s">
        <v>648</v>
      </c>
      <c r="D3033" s="5" t="s">
        <v>14</v>
      </c>
      <c r="E3033" s="5" t="s">
        <v>52</v>
      </c>
      <c r="F3033" s="5" t="s">
        <v>101</v>
      </c>
      <c r="G3033" s="5" t="s">
        <v>649</v>
      </c>
      <c r="H3033" s="5" t="s">
        <v>650</v>
      </c>
      <c r="I3033" s="5" t="s">
        <v>31</v>
      </c>
      <c r="J3033" s="5">
        <v>16.939574</v>
      </c>
      <c r="K3033" s="5">
        <v>-97.009243999999995</v>
      </c>
      <c r="L3033" s="5" t="str">
        <f>HYPERLINK("https://maps.google.com/?q=16.939574,-97.009243999999995", "🔗 Ver Mapa")</f>
        <v>🔗 Ver Mapa</v>
      </c>
    </row>
    <row r="3034" spans="1:12" ht="43.5" x14ac:dyDescent="0.35">
      <c r="A3034" s="6" t="s">
        <v>98</v>
      </c>
      <c r="B3034" s="6" t="s">
        <v>99</v>
      </c>
      <c r="C3034" s="6" t="s">
        <v>648</v>
      </c>
      <c r="D3034" s="6" t="s">
        <v>14</v>
      </c>
      <c r="E3034" s="6" t="s">
        <v>52</v>
      </c>
      <c r="F3034" s="6" t="s">
        <v>101</v>
      </c>
      <c r="G3034" s="6" t="s">
        <v>649</v>
      </c>
      <c r="H3034" s="6" t="s">
        <v>650</v>
      </c>
      <c r="I3034" s="6" t="s">
        <v>31</v>
      </c>
      <c r="J3034" s="6">
        <v>16.939630000000001</v>
      </c>
      <c r="K3034" s="6">
        <v>-97.009587999999994</v>
      </c>
      <c r="L3034" s="6" t="str">
        <f>HYPERLINK("https://maps.google.com/?q=16.93963,-97.009587999999994", "🔗 Ver Mapa")</f>
        <v>🔗 Ver Mapa</v>
      </c>
    </row>
    <row r="3035" spans="1:12" ht="43.5" x14ac:dyDescent="0.35">
      <c r="A3035" s="5" t="s">
        <v>98</v>
      </c>
      <c r="B3035" s="5" t="s">
        <v>99</v>
      </c>
      <c r="C3035" s="5" t="s">
        <v>648</v>
      </c>
      <c r="D3035" s="5" t="s">
        <v>14</v>
      </c>
      <c r="E3035" s="5" t="s">
        <v>52</v>
      </c>
      <c r="F3035" s="5" t="s">
        <v>101</v>
      </c>
      <c r="G3035" s="5" t="s">
        <v>649</v>
      </c>
      <c r="H3035" s="5" t="s">
        <v>650</v>
      </c>
      <c r="I3035" s="5" t="s">
        <v>31</v>
      </c>
      <c r="J3035" s="5">
        <v>16.93967</v>
      </c>
      <c r="K3035" s="5">
        <v>-97.006963299999995</v>
      </c>
      <c r="L3035" s="5" t="str">
        <f>HYPERLINK("https://maps.google.com/?q=16.93967,-97.006963299999995", "🔗 Ver Mapa")</f>
        <v>🔗 Ver Mapa</v>
      </c>
    </row>
    <row r="3036" spans="1:12" ht="43.5" x14ac:dyDescent="0.35">
      <c r="A3036" s="6" t="s">
        <v>98</v>
      </c>
      <c r="B3036" s="6" t="s">
        <v>99</v>
      </c>
      <c r="C3036" s="6" t="s">
        <v>648</v>
      </c>
      <c r="D3036" s="6" t="s">
        <v>14</v>
      </c>
      <c r="E3036" s="6" t="s">
        <v>52</v>
      </c>
      <c r="F3036" s="6" t="s">
        <v>101</v>
      </c>
      <c r="G3036" s="6" t="s">
        <v>649</v>
      </c>
      <c r="H3036" s="6" t="s">
        <v>650</v>
      </c>
      <c r="I3036" s="6" t="s">
        <v>31</v>
      </c>
      <c r="J3036" s="6">
        <v>16.939788</v>
      </c>
      <c r="K3036" s="6">
        <v>-97.017062999999993</v>
      </c>
      <c r="L3036" s="6" t="str">
        <f>HYPERLINK("https://maps.google.com/?q=16.939788,-97.017062999999993", "🔗 Ver Mapa")</f>
        <v>🔗 Ver Mapa</v>
      </c>
    </row>
    <row r="3037" spans="1:12" ht="43.5" x14ac:dyDescent="0.35">
      <c r="A3037" s="5" t="s">
        <v>98</v>
      </c>
      <c r="B3037" s="5" t="s">
        <v>99</v>
      </c>
      <c r="C3037" s="5" t="s">
        <v>648</v>
      </c>
      <c r="D3037" s="5" t="s">
        <v>14</v>
      </c>
      <c r="E3037" s="5" t="s">
        <v>52</v>
      </c>
      <c r="F3037" s="5" t="s">
        <v>101</v>
      </c>
      <c r="G3037" s="5" t="s">
        <v>649</v>
      </c>
      <c r="H3037" s="5" t="s">
        <v>650</v>
      </c>
      <c r="I3037" s="5" t="s">
        <v>31</v>
      </c>
      <c r="J3037" s="5">
        <v>16.939872999999999</v>
      </c>
      <c r="K3037" s="5">
        <v>-97.010323</v>
      </c>
      <c r="L3037" s="5" t="str">
        <f>HYPERLINK("https://maps.google.com/?q=16.939873,-97.010323", "🔗 Ver Mapa")</f>
        <v>🔗 Ver Mapa</v>
      </c>
    </row>
    <row r="3038" spans="1:12" ht="43.5" x14ac:dyDescent="0.35">
      <c r="A3038" s="6" t="s">
        <v>98</v>
      </c>
      <c r="B3038" s="6" t="s">
        <v>99</v>
      </c>
      <c r="C3038" s="6" t="s">
        <v>648</v>
      </c>
      <c r="D3038" s="6" t="s">
        <v>14</v>
      </c>
      <c r="E3038" s="6" t="s">
        <v>52</v>
      </c>
      <c r="F3038" s="6" t="s">
        <v>101</v>
      </c>
      <c r="G3038" s="6" t="s">
        <v>649</v>
      </c>
      <c r="H3038" s="6" t="s">
        <v>650</v>
      </c>
      <c r="I3038" s="6" t="s">
        <v>31</v>
      </c>
      <c r="J3038" s="6">
        <v>16.940013</v>
      </c>
      <c r="K3038" s="6">
        <v>-97.016698000000005</v>
      </c>
      <c r="L3038" s="6" t="str">
        <f>HYPERLINK("https://maps.google.com/?q=16.940013,-97.016698000000005", "🔗 Ver Mapa")</f>
        <v>🔗 Ver Mapa</v>
      </c>
    </row>
    <row r="3039" spans="1:12" ht="43.5" x14ac:dyDescent="0.35">
      <c r="A3039" s="5" t="s">
        <v>98</v>
      </c>
      <c r="B3039" s="5" t="s">
        <v>99</v>
      </c>
      <c r="C3039" s="5" t="s">
        <v>648</v>
      </c>
      <c r="D3039" s="5" t="s">
        <v>14</v>
      </c>
      <c r="E3039" s="5" t="s">
        <v>52</v>
      </c>
      <c r="F3039" s="5" t="s">
        <v>101</v>
      </c>
      <c r="G3039" s="5" t="s">
        <v>649</v>
      </c>
      <c r="H3039" s="5" t="s">
        <v>650</v>
      </c>
      <c r="I3039" s="5" t="s">
        <v>31</v>
      </c>
      <c r="J3039" s="5">
        <v>16.940194999999999</v>
      </c>
      <c r="K3039" s="5">
        <v>-97.009338999999997</v>
      </c>
      <c r="L3039" s="5" t="str">
        <f>HYPERLINK("https://maps.google.com/?q=16.940195,-97.009338999999997", "🔗 Ver Mapa")</f>
        <v>🔗 Ver Mapa</v>
      </c>
    </row>
    <row r="3040" spans="1:12" ht="43.5" x14ac:dyDescent="0.35">
      <c r="A3040" s="6" t="s">
        <v>98</v>
      </c>
      <c r="B3040" s="6" t="s">
        <v>99</v>
      </c>
      <c r="C3040" s="6" t="s">
        <v>648</v>
      </c>
      <c r="D3040" s="6" t="s">
        <v>14</v>
      </c>
      <c r="E3040" s="6" t="s">
        <v>52</v>
      </c>
      <c r="F3040" s="6" t="s">
        <v>101</v>
      </c>
      <c r="G3040" s="6" t="s">
        <v>649</v>
      </c>
      <c r="H3040" s="6" t="s">
        <v>650</v>
      </c>
      <c r="I3040" s="6" t="s">
        <v>31</v>
      </c>
      <c r="J3040" s="6">
        <v>16.940275</v>
      </c>
      <c r="K3040" s="6">
        <v>-97.016544999999994</v>
      </c>
      <c r="L3040" s="6" t="str">
        <f>HYPERLINK("https://maps.google.com/?q=16.940275,-97.016544999999994", "🔗 Ver Mapa")</f>
        <v>🔗 Ver Mapa</v>
      </c>
    </row>
    <row r="3041" spans="1:12" ht="43.5" x14ac:dyDescent="0.35">
      <c r="A3041" s="5" t="s">
        <v>98</v>
      </c>
      <c r="B3041" s="5" t="s">
        <v>99</v>
      </c>
      <c r="C3041" s="5" t="s">
        <v>648</v>
      </c>
      <c r="D3041" s="5" t="s">
        <v>14</v>
      </c>
      <c r="E3041" s="5" t="s">
        <v>52</v>
      </c>
      <c r="F3041" s="5" t="s">
        <v>101</v>
      </c>
      <c r="G3041" s="5" t="s">
        <v>649</v>
      </c>
      <c r="H3041" s="5" t="s">
        <v>650</v>
      </c>
      <c r="I3041" s="5" t="s">
        <v>31</v>
      </c>
      <c r="J3041" s="5">
        <v>16.940306</v>
      </c>
      <c r="K3041" s="5">
        <v>-97.015850799999996</v>
      </c>
      <c r="L3041" s="5" t="str">
        <f>HYPERLINK("https://maps.google.com/?q=16.940306,-97.015850799999996", "🔗 Ver Mapa")</f>
        <v>🔗 Ver Mapa</v>
      </c>
    </row>
    <row r="3042" spans="1:12" ht="43.5" x14ac:dyDescent="0.35">
      <c r="A3042" s="6" t="s">
        <v>98</v>
      </c>
      <c r="B3042" s="6" t="s">
        <v>99</v>
      </c>
      <c r="C3042" s="6" t="s">
        <v>648</v>
      </c>
      <c r="D3042" s="6" t="s">
        <v>14</v>
      </c>
      <c r="E3042" s="6" t="s">
        <v>52</v>
      </c>
      <c r="F3042" s="6" t="s">
        <v>101</v>
      </c>
      <c r="G3042" s="6" t="s">
        <v>649</v>
      </c>
      <c r="H3042" s="6" t="s">
        <v>650</v>
      </c>
      <c r="I3042" s="6" t="s">
        <v>31</v>
      </c>
      <c r="J3042" s="6">
        <v>16.940401999999999</v>
      </c>
      <c r="K3042" s="6">
        <v>-97.010609000000002</v>
      </c>
      <c r="L3042" s="6" t="str">
        <f>HYPERLINK("https://maps.google.com/?q=16.940402,-97.010609000000002", "🔗 Ver Mapa")</f>
        <v>🔗 Ver Mapa</v>
      </c>
    </row>
    <row r="3043" spans="1:12" ht="43.5" x14ac:dyDescent="0.35">
      <c r="A3043" s="5" t="s">
        <v>98</v>
      </c>
      <c r="B3043" s="5" t="s">
        <v>99</v>
      </c>
      <c r="C3043" s="5" t="s">
        <v>648</v>
      </c>
      <c r="D3043" s="5" t="s">
        <v>14</v>
      </c>
      <c r="E3043" s="5" t="s">
        <v>52</v>
      </c>
      <c r="F3043" s="5" t="s">
        <v>101</v>
      </c>
      <c r="G3043" s="5" t="s">
        <v>649</v>
      </c>
      <c r="H3043" s="5" t="s">
        <v>650</v>
      </c>
      <c r="I3043" s="5" t="s">
        <v>31</v>
      </c>
      <c r="J3043" s="5">
        <v>16.940470900000001</v>
      </c>
      <c r="K3043" s="5">
        <v>-97.014568999999995</v>
      </c>
      <c r="L3043" s="5" t="str">
        <f>HYPERLINK("https://maps.google.com/?q=16.9404709,-97.014568999999995", "🔗 Ver Mapa")</f>
        <v>🔗 Ver Mapa</v>
      </c>
    </row>
    <row r="3044" spans="1:12" ht="43.5" x14ac:dyDescent="0.35">
      <c r="A3044" s="6" t="s">
        <v>98</v>
      </c>
      <c r="B3044" s="6" t="s">
        <v>99</v>
      </c>
      <c r="C3044" s="6" t="s">
        <v>648</v>
      </c>
      <c r="D3044" s="6" t="s">
        <v>14</v>
      </c>
      <c r="E3044" s="6" t="s">
        <v>52</v>
      </c>
      <c r="F3044" s="6" t="s">
        <v>101</v>
      </c>
      <c r="G3044" s="6" t="s">
        <v>649</v>
      </c>
      <c r="H3044" s="6" t="s">
        <v>650</v>
      </c>
      <c r="I3044" s="6" t="s">
        <v>31</v>
      </c>
      <c r="J3044" s="6">
        <v>16.940657000000002</v>
      </c>
      <c r="K3044" s="6">
        <v>-97.016193999999999</v>
      </c>
      <c r="L3044" s="6" t="str">
        <f>HYPERLINK("https://maps.google.com/?q=16.940657,-97.016193999999999", "🔗 Ver Mapa")</f>
        <v>🔗 Ver Mapa</v>
      </c>
    </row>
    <row r="3045" spans="1:12" ht="43.5" x14ac:dyDescent="0.35">
      <c r="A3045" s="5" t="s">
        <v>98</v>
      </c>
      <c r="B3045" s="5" t="s">
        <v>99</v>
      </c>
      <c r="C3045" s="5" t="s">
        <v>651</v>
      </c>
      <c r="D3045" s="5" t="s">
        <v>14</v>
      </c>
      <c r="E3045" s="5" t="s">
        <v>52</v>
      </c>
      <c r="F3045" s="5" t="s">
        <v>101</v>
      </c>
      <c r="G3045" s="5" t="s">
        <v>649</v>
      </c>
      <c r="H3045" s="5" t="s">
        <v>652</v>
      </c>
      <c r="I3045" s="5" t="s">
        <v>31</v>
      </c>
      <c r="J3045" s="5">
        <v>16.963497643781</v>
      </c>
      <c r="K3045" s="5">
        <v>-96.941368846271999</v>
      </c>
      <c r="L3045" s="5" t="str">
        <f>HYPERLINK("https://maps.google.com/?q=16.9634976437813,-96.941368846271601", "🔗 Ver Mapa")</f>
        <v>🔗 Ver Mapa</v>
      </c>
    </row>
    <row r="3046" spans="1:12" ht="43.5" x14ac:dyDescent="0.35">
      <c r="A3046" s="6" t="s">
        <v>98</v>
      </c>
      <c r="B3046" s="6" t="s">
        <v>99</v>
      </c>
      <c r="C3046" s="6" t="s">
        <v>651</v>
      </c>
      <c r="D3046" s="6" t="s">
        <v>14</v>
      </c>
      <c r="E3046" s="6" t="s">
        <v>52</v>
      </c>
      <c r="F3046" s="6" t="s">
        <v>101</v>
      </c>
      <c r="G3046" s="6" t="s">
        <v>649</v>
      </c>
      <c r="H3046" s="6" t="s">
        <v>652</v>
      </c>
      <c r="I3046" s="6" t="s">
        <v>31</v>
      </c>
      <c r="J3046" s="6">
        <v>16.963498926536001</v>
      </c>
      <c r="K3046" s="6">
        <v>-96.940965173814007</v>
      </c>
      <c r="L3046" s="6" t="str">
        <f>HYPERLINK("https://maps.google.com/?q=16.963498926536,-96.940965173814106", "🔗 Ver Mapa")</f>
        <v>🔗 Ver Mapa</v>
      </c>
    </row>
    <row r="3047" spans="1:12" ht="43.5" x14ac:dyDescent="0.35">
      <c r="A3047" s="5" t="s">
        <v>98</v>
      </c>
      <c r="B3047" s="5" t="s">
        <v>99</v>
      </c>
      <c r="C3047" s="5" t="s">
        <v>651</v>
      </c>
      <c r="D3047" s="5" t="s">
        <v>14</v>
      </c>
      <c r="E3047" s="5" t="s">
        <v>52</v>
      </c>
      <c r="F3047" s="5" t="s">
        <v>101</v>
      </c>
      <c r="G3047" s="5" t="s">
        <v>649</v>
      </c>
      <c r="H3047" s="5" t="s">
        <v>652</v>
      </c>
      <c r="I3047" s="5" t="s">
        <v>31</v>
      </c>
      <c r="J3047" s="5">
        <v>16.963501492043999</v>
      </c>
      <c r="K3047" s="5">
        <v>-96.940301327084001</v>
      </c>
      <c r="L3047" s="5" t="str">
        <f>HYPERLINK("https://maps.google.com/?q=16.9635014920438,-96.940301327084001", "🔗 Ver Mapa")</f>
        <v>🔗 Ver Mapa</v>
      </c>
    </row>
    <row r="3048" spans="1:12" ht="43.5" x14ac:dyDescent="0.35">
      <c r="A3048" s="6" t="s">
        <v>98</v>
      </c>
      <c r="B3048" s="6" t="s">
        <v>99</v>
      </c>
      <c r="C3048" s="6" t="s">
        <v>651</v>
      </c>
      <c r="D3048" s="6" t="s">
        <v>14</v>
      </c>
      <c r="E3048" s="6" t="s">
        <v>52</v>
      </c>
      <c r="F3048" s="6" t="s">
        <v>101</v>
      </c>
      <c r="G3048" s="6" t="s">
        <v>649</v>
      </c>
      <c r="H3048" s="6" t="s">
        <v>652</v>
      </c>
      <c r="I3048" s="6" t="s">
        <v>31</v>
      </c>
      <c r="J3048" s="6">
        <v>16.963516885093</v>
      </c>
      <c r="K3048" s="6">
        <v>-96.940498469445998</v>
      </c>
      <c r="L3048" s="6" t="str">
        <f>HYPERLINK("https://maps.google.com/?q=16.9635168850933,-96.9404984694456", "🔗 Ver Mapa")</f>
        <v>🔗 Ver Mapa</v>
      </c>
    </row>
    <row r="3049" spans="1:12" ht="43.5" x14ac:dyDescent="0.35">
      <c r="A3049" s="5" t="s">
        <v>98</v>
      </c>
      <c r="B3049" s="5" t="s">
        <v>99</v>
      </c>
      <c r="C3049" s="5" t="s">
        <v>651</v>
      </c>
      <c r="D3049" s="5" t="s">
        <v>14</v>
      </c>
      <c r="E3049" s="5" t="s">
        <v>52</v>
      </c>
      <c r="F3049" s="5" t="s">
        <v>101</v>
      </c>
      <c r="G3049" s="5" t="s">
        <v>649</v>
      </c>
      <c r="H3049" s="5" t="s">
        <v>652</v>
      </c>
      <c r="I3049" s="5" t="s">
        <v>31</v>
      </c>
      <c r="J3049" s="5">
        <v>16.963519301175001</v>
      </c>
      <c r="K3049" s="5">
        <v>-96.941572412179994</v>
      </c>
      <c r="L3049" s="5" t="str">
        <f>HYPERLINK("https://maps.google.com/?q=16.9635193011748,-96.941572412179596", "🔗 Ver Mapa")</f>
        <v>🔗 Ver Mapa</v>
      </c>
    </row>
    <row r="3050" spans="1:12" ht="43.5" x14ac:dyDescent="0.35">
      <c r="A3050" s="6" t="s">
        <v>98</v>
      </c>
      <c r="B3050" s="6" t="s">
        <v>99</v>
      </c>
      <c r="C3050" s="6" t="s">
        <v>651</v>
      </c>
      <c r="D3050" s="6" t="s">
        <v>14</v>
      </c>
      <c r="E3050" s="6" t="s">
        <v>52</v>
      </c>
      <c r="F3050" s="6" t="s">
        <v>101</v>
      </c>
      <c r="G3050" s="6" t="s">
        <v>649</v>
      </c>
      <c r="H3050" s="6" t="s">
        <v>652</v>
      </c>
      <c r="I3050" s="6" t="s">
        <v>31</v>
      </c>
      <c r="J3050" s="6">
        <v>16.963527147124999</v>
      </c>
      <c r="K3050" s="6">
        <v>-96.939900336836004</v>
      </c>
      <c r="L3050" s="6" t="str">
        <f>HYPERLINK("https://maps.google.com/?q=16.9635271471252,-96.939900336835507", "🔗 Ver Mapa")</f>
        <v>🔗 Ver Mapa</v>
      </c>
    </row>
    <row r="3051" spans="1:12" ht="43.5" x14ac:dyDescent="0.35">
      <c r="A3051" s="5" t="s">
        <v>98</v>
      </c>
      <c r="B3051" s="5" t="s">
        <v>99</v>
      </c>
      <c r="C3051" s="5" t="s">
        <v>651</v>
      </c>
      <c r="D3051" s="5" t="s">
        <v>14</v>
      </c>
      <c r="E3051" s="5" t="s">
        <v>52</v>
      </c>
      <c r="F3051" s="5" t="s">
        <v>101</v>
      </c>
      <c r="G3051" s="5" t="s">
        <v>649</v>
      </c>
      <c r="H3051" s="5" t="s">
        <v>652</v>
      </c>
      <c r="I3051" s="5" t="s">
        <v>31</v>
      </c>
      <c r="J3051" s="5">
        <v>16.963534843649001</v>
      </c>
      <c r="K3051" s="5">
        <v>-96.941713510129006</v>
      </c>
      <c r="L3051" s="5" t="str">
        <f>HYPERLINK("https://maps.google.com/?q=16.9635348436488,-96.941713510129006", "🔗 Ver Mapa")</f>
        <v>🔗 Ver Mapa</v>
      </c>
    </row>
    <row r="3052" spans="1:12" ht="43.5" x14ac:dyDescent="0.35">
      <c r="A3052" s="6" t="s">
        <v>98</v>
      </c>
      <c r="B3052" s="6" t="s">
        <v>99</v>
      </c>
      <c r="C3052" s="6" t="s">
        <v>651</v>
      </c>
      <c r="D3052" s="6" t="s">
        <v>14</v>
      </c>
      <c r="E3052" s="6" t="s">
        <v>52</v>
      </c>
      <c r="F3052" s="6" t="s">
        <v>101</v>
      </c>
      <c r="G3052" s="6" t="s">
        <v>649</v>
      </c>
      <c r="H3052" s="6" t="s">
        <v>652</v>
      </c>
      <c r="I3052" s="6" t="s">
        <v>31</v>
      </c>
      <c r="J3052" s="6">
        <v>16.963539974663998</v>
      </c>
      <c r="K3052" s="6">
        <v>-96.940037129494996</v>
      </c>
      <c r="L3052" s="6" t="str">
        <f>HYPERLINK("https://maps.google.com/?q=16.9635399746644,-96.940037129495195", "🔗 Ver Mapa")</f>
        <v>🔗 Ver Mapa</v>
      </c>
    </row>
    <row r="3053" spans="1:12" ht="43.5" x14ac:dyDescent="0.35">
      <c r="A3053" s="5" t="s">
        <v>98</v>
      </c>
      <c r="B3053" s="5" t="s">
        <v>99</v>
      </c>
      <c r="C3053" s="5" t="s">
        <v>651</v>
      </c>
      <c r="D3053" s="5" t="s">
        <v>14</v>
      </c>
      <c r="E3053" s="5" t="s">
        <v>52</v>
      </c>
      <c r="F3053" s="5" t="s">
        <v>101</v>
      </c>
      <c r="G3053" s="5" t="s">
        <v>649</v>
      </c>
      <c r="H3053" s="5" t="s">
        <v>652</v>
      </c>
      <c r="I3053" s="5" t="s">
        <v>31</v>
      </c>
      <c r="J3053" s="5">
        <v>16.963555367710001</v>
      </c>
      <c r="K3053" s="5">
        <v>-96.939632115934003</v>
      </c>
      <c r="L3053" s="5" t="str">
        <f>HYPERLINK("https://maps.google.com/?q=16.9635553677102,-96.939632115934103", "🔗 Ver Mapa")</f>
        <v>🔗 Ver Mapa</v>
      </c>
    </row>
    <row r="3054" spans="1:12" ht="43.5" x14ac:dyDescent="0.35">
      <c r="A3054" s="6" t="s">
        <v>98</v>
      </c>
      <c r="B3054" s="6" t="s">
        <v>99</v>
      </c>
      <c r="C3054" s="6" t="s">
        <v>651</v>
      </c>
      <c r="D3054" s="6" t="s">
        <v>14</v>
      </c>
      <c r="E3054" s="6" t="s">
        <v>52</v>
      </c>
      <c r="F3054" s="6" t="s">
        <v>101</v>
      </c>
      <c r="G3054" s="6" t="s">
        <v>649</v>
      </c>
      <c r="H3054" s="6" t="s">
        <v>652</v>
      </c>
      <c r="I3054" s="6" t="s">
        <v>31</v>
      </c>
      <c r="J3054" s="6">
        <v>16.963578457276999</v>
      </c>
      <c r="K3054" s="6">
        <v>-96.939414857003996</v>
      </c>
      <c r="L3054" s="6" t="str">
        <f>HYPERLINK("https://maps.google.com/?q=16.9635784572766,-96.939414857003896", "🔗 Ver Mapa")</f>
        <v>🔗 Ver Mapa</v>
      </c>
    </row>
    <row r="3055" spans="1:12" ht="43.5" x14ac:dyDescent="0.35">
      <c r="A3055" s="5" t="s">
        <v>98</v>
      </c>
      <c r="B3055" s="5" t="s">
        <v>99</v>
      </c>
      <c r="C3055" s="5" t="s">
        <v>651</v>
      </c>
      <c r="D3055" s="5" t="s">
        <v>14</v>
      </c>
      <c r="E3055" s="5" t="s">
        <v>52</v>
      </c>
      <c r="F3055" s="5" t="s">
        <v>101</v>
      </c>
      <c r="G3055" s="5" t="s">
        <v>649</v>
      </c>
      <c r="H3055" s="5" t="s">
        <v>652</v>
      </c>
      <c r="I3055" s="5" t="s">
        <v>31</v>
      </c>
      <c r="J3055" s="5">
        <v>16.963605999999999</v>
      </c>
      <c r="K3055" s="5">
        <v>-96.941669700000006</v>
      </c>
      <c r="L3055" s="5" t="str">
        <f>HYPERLINK("https://maps.google.com/?q=16.963606,-96.941669700000006", "🔗 Ver Mapa")</f>
        <v>🔗 Ver Mapa</v>
      </c>
    </row>
    <row r="3056" spans="1:12" ht="43.5" x14ac:dyDescent="0.35">
      <c r="A3056" s="6" t="s">
        <v>98</v>
      </c>
      <c r="B3056" s="6" t="s">
        <v>99</v>
      </c>
      <c r="C3056" s="6" t="s">
        <v>651</v>
      </c>
      <c r="D3056" s="6" t="s">
        <v>14</v>
      </c>
      <c r="E3056" s="6" t="s">
        <v>52</v>
      </c>
      <c r="F3056" s="6" t="s">
        <v>101</v>
      </c>
      <c r="G3056" s="6" t="s">
        <v>649</v>
      </c>
      <c r="H3056" s="6" t="s">
        <v>652</v>
      </c>
      <c r="I3056" s="6" t="s">
        <v>31</v>
      </c>
      <c r="J3056" s="6">
        <v>16.963607356712</v>
      </c>
      <c r="K3056" s="6">
        <v>-96.941300888342994</v>
      </c>
      <c r="L3056" s="6" t="str">
        <f>HYPERLINK("https://maps.google.com/?q=16.9636073567119,-96.941300888343207", "🔗 Ver Mapa")</f>
        <v>🔗 Ver Mapa</v>
      </c>
    </row>
    <row r="3057" spans="1:12" ht="43.5" x14ac:dyDescent="0.35">
      <c r="A3057" s="5" t="s">
        <v>98</v>
      </c>
      <c r="B3057" s="5" t="s">
        <v>99</v>
      </c>
      <c r="C3057" s="5" t="s">
        <v>651</v>
      </c>
      <c r="D3057" s="5" t="s">
        <v>14</v>
      </c>
      <c r="E3057" s="5" t="s">
        <v>52</v>
      </c>
      <c r="F3057" s="5" t="s">
        <v>101</v>
      </c>
      <c r="G3057" s="5" t="s">
        <v>649</v>
      </c>
      <c r="H3057" s="5" t="s">
        <v>652</v>
      </c>
      <c r="I3057" s="5" t="s">
        <v>31</v>
      </c>
      <c r="J3057" s="5">
        <v>16.963629767413</v>
      </c>
      <c r="K3057" s="5">
        <v>-96.939311591958003</v>
      </c>
      <c r="L3057" s="5" t="str">
        <f>HYPERLINK("https://maps.google.com/?q=16.9636297674134,-96.939311591957804", "🔗 Ver Mapa")</f>
        <v>🔗 Ver Mapa</v>
      </c>
    </row>
    <row r="3058" spans="1:12" ht="43.5" x14ac:dyDescent="0.35">
      <c r="A3058" s="6" t="s">
        <v>98</v>
      </c>
      <c r="B3058" s="6" t="s">
        <v>99</v>
      </c>
      <c r="C3058" s="6" t="s">
        <v>651</v>
      </c>
      <c r="D3058" s="6" t="s">
        <v>14</v>
      </c>
      <c r="E3058" s="6" t="s">
        <v>52</v>
      </c>
      <c r="F3058" s="6" t="s">
        <v>101</v>
      </c>
      <c r="G3058" s="6" t="s">
        <v>649</v>
      </c>
      <c r="H3058" s="6" t="s">
        <v>652</v>
      </c>
      <c r="I3058" s="6" t="s">
        <v>31</v>
      </c>
      <c r="J3058" s="6">
        <v>16.963683643043002</v>
      </c>
      <c r="K3058" s="6">
        <v>-96.939546285245996</v>
      </c>
      <c r="L3058" s="6" t="str">
        <f>HYPERLINK("https://maps.google.com/?q=16.9636836430425,-96.939546285246493", "🔗 Ver Mapa")</f>
        <v>🔗 Ver Mapa</v>
      </c>
    </row>
    <row r="3059" spans="1:12" ht="43.5" x14ac:dyDescent="0.35">
      <c r="A3059" s="5" t="s">
        <v>98</v>
      </c>
      <c r="B3059" s="5" t="s">
        <v>99</v>
      </c>
      <c r="C3059" s="5" t="s">
        <v>651</v>
      </c>
      <c r="D3059" s="5" t="s">
        <v>14</v>
      </c>
      <c r="E3059" s="5" t="s">
        <v>52</v>
      </c>
      <c r="F3059" s="5" t="s">
        <v>101</v>
      </c>
      <c r="G3059" s="5" t="s">
        <v>649</v>
      </c>
      <c r="H3059" s="5" t="s">
        <v>652</v>
      </c>
      <c r="I3059" s="5" t="s">
        <v>31</v>
      </c>
      <c r="J3059" s="5">
        <v>16.963686208548999</v>
      </c>
      <c r="K3059" s="5">
        <v>-96.939817188356002</v>
      </c>
      <c r="L3059" s="5" t="str">
        <f>HYPERLINK("https://maps.google.com/?q=16.9636862085488,-96.939817188356002", "🔗 Ver Mapa")</f>
        <v>🔗 Ver Mapa</v>
      </c>
    </row>
    <row r="3060" spans="1:12" ht="43.5" x14ac:dyDescent="0.35">
      <c r="A3060" s="6" t="s">
        <v>98</v>
      </c>
      <c r="B3060" s="6" t="s">
        <v>99</v>
      </c>
      <c r="C3060" s="6" t="s">
        <v>651</v>
      </c>
      <c r="D3060" s="6" t="s">
        <v>14</v>
      </c>
      <c r="E3060" s="6" t="s">
        <v>52</v>
      </c>
      <c r="F3060" s="6" t="s">
        <v>101</v>
      </c>
      <c r="G3060" s="6" t="s">
        <v>649</v>
      </c>
      <c r="H3060" s="6" t="s">
        <v>652</v>
      </c>
      <c r="I3060" s="6" t="s">
        <v>31</v>
      </c>
      <c r="J3060" s="6">
        <v>16.963713804931999</v>
      </c>
      <c r="K3060" s="6">
        <v>-96.941277088499007</v>
      </c>
      <c r="L3060" s="6" t="str">
        <f>HYPERLINK("https://maps.google.com/?q=16.963713804932,-96.941277088499106", "🔗 Ver Mapa")</f>
        <v>🔗 Ver Mapa</v>
      </c>
    </row>
    <row r="3061" spans="1:12" ht="43.5" x14ac:dyDescent="0.35">
      <c r="A3061" s="5" t="s">
        <v>98</v>
      </c>
      <c r="B3061" s="5" t="s">
        <v>99</v>
      </c>
      <c r="C3061" s="5" t="s">
        <v>651</v>
      </c>
      <c r="D3061" s="5" t="s">
        <v>14</v>
      </c>
      <c r="E3061" s="5" t="s">
        <v>52</v>
      </c>
      <c r="F3061" s="5" t="s">
        <v>101</v>
      </c>
      <c r="G3061" s="5" t="s">
        <v>649</v>
      </c>
      <c r="H3061" s="5" t="s">
        <v>652</v>
      </c>
      <c r="I3061" s="5" t="s">
        <v>31</v>
      </c>
      <c r="J3061" s="5">
        <v>16.963720499051</v>
      </c>
      <c r="K3061" s="5">
        <v>-96.940295399999997</v>
      </c>
      <c r="L3061" s="5" t="str">
        <f>HYPERLINK("https://maps.google.com/?q=16.963720499051,-96.940295399999997", "🔗 Ver Mapa")</f>
        <v>🔗 Ver Mapa</v>
      </c>
    </row>
    <row r="3062" spans="1:12" ht="43.5" x14ac:dyDescent="0.35">
      <c r="A3062" s="6" t="s">
        <v>98</v>
      </c>
      <c r="B3062" s="6" t="s">
        <v>99</v>
      </c>
      <c r="C3062" s="6" t="s">
        <v>651</v>
      </c>
      <c r="D3062" s="6" t="s">
        <v>14</v>
      </c>
      <c r="E3062" s="6" t="s">
        <v>52</v>
      </c>
      <c r="F3062" s="6" t="s">
        <v>101</v>
      </c>
      <c r="G3062" s="6" t="s">
        <v>649</v>
      </c>
      <c r="H3062" s="6" t="s">
        <v>652</v>
      </c>
      <c r="I3062" s="6" t="s">
        <v>31</v>
      </c>
      <c r="J3062" s="6">
        <v>16.963754900000001</v>
      </c>
      <c r="K3062" s="6">
        <v>-96.940877999999998</v>
      </c>
      <c r="L3062" s="6" t="str">
        <f>HYPERLINK("https://maps.google.com/?q=16.9637549,-96.940877999999998", "🔗 Ver Mapa")</f>
        <v>🔗 Ver Mapa</v>
      </c>
    </row>
    <row r="3063" spans="1:12" ht="43.5" x14ac:dyDescent="0.35">
      <c r="A3063" s="5" t="s">
        <v>98</v>
      </c>
      <c r="B3063" s="5" t="s">
        <v>99</v>
      </c>
      <c r="C3063" s="5" t="s">
        <v>651</v>
      </c>
      <c r="D3063" s="5" t="s">
        <v>14</v>
      </c>
      <c r="E3063" s="5" t="s">
        <v>52</v>
      </c>
      <c r="F3063" s="5" t="s">
        <v>101</v>
      </c>
      <c r="G3063" s="5" t="s">
        <v>649</v>
      </c>
      <c r="H3063" s="5" t="s">
        <v>652</v>
      </c>
      <c r="I3063" s="5" t="s">
        <v>31</v>
      </c>
      <c r="J3063" s="5">
        <v>16.963758042696</v>
      </c>
      <c r="K3063" s="5">
        <v>-96.939900336836004</v>
      </c>
      <c r="L3063" s="5" t="str">
        <f>HYPERLINK("https://maps.google.com/?q=16.9637580426959,-96.939900336835507", "🔗 Ver Mapa")</f>
        <v>🔗 Ver Mapa</v>
      </c>
    </row>
    <row r="3064" spans="1:12" ht="43.5" x14ac:dyDescent="0.35">
      <c r="A3064" s="6" t="s">
        <v>98</v>
      </c>
      <c r="B3064" s="6" t="s">
        <v>99</v>
      </c>
      <c r="C3064" s="6" t="s">
        <v>651</v>
      </c>
      <c r="D3064" s="6" t="s">
        <v>14</v>
      </c>
      <c r="E3064" s="6" t="s">
        <v>52</v>
      </c>
      <c r="F3064" s="6" t="s">
        <v>101</v>
      </c>
      <c r="G3064" s="6" t="s">
        <v>649</v>
      </c>
      <c r="H3064" s="6" t="s">
        <v>652</v>
      </c>
      <c r="I3064" s="6" t="s">
        <v>31</v>
      </c>
      <c r="J3064" s="6">
        <v>16.96376573921</v>
      </c>
      <c r="K3064" s="6">
        <v>-96.941321907613002</v>
      </c>
      <c r="L3064" s="6" t="str">
        <f>HYPERLINK("https://maps.google.com/?q=16.96376573921,-96.941321907612902", "🔗 Ver Mapa")</f>
        <v>🔗 Ver Mapa</v>
      </c>
    </row>
    <row r="3065" spans="1:12" ht="43.5" x14ac:dyDescent="0.35">
      <c r="A3065" s="5" t="s">
        <v>98</v>
      </c>
      <c r="B3065" s="5" t="s">
        <v>99</v>
      </c>
      <c r="C3065" s="5" t="s">
        <v>651</v>
      </c>
      <c r="D3065" s="5" t="s">
        <v>14</v>
      </c>
      <c r="E3065" s="5" t="s">
        <v>52</v>
      </c>
      <c r="F3065" s="5" t="s">
        <v>101</v>
      </c>
      <c r="G3065" s="5" t="s">
        <v>649</v>
      </c>
      <c r="H3065" s="5" t="s">
        <v>652</v>
      </c>
      <c r="I3065" s="5" t="s">
        <v>31</v>
      </c>
      <c r="J3065" s="5">
        <v>16.963780385233001</v>
      </c>
      <c r="K3065" s="5">
        <v>-96.940257676686002</v>
      </c>
      <c r="L3065" s="5" t="str">
        <f>HYPERLINK("https://maps.google.com/?q=16.9637803852327,-96.9402576766864", "🔗 Ver Mapa")</f>
        <v>🔗 Ver Mapa</v>
      </c>
    </row>
    <row r="3066" spans="1:12" ht="43.5" x14ac:dyDescent="0.35">
      <c r="A3066" s="6" t="s">
        <v>98</v>
      </c>
      <c r="B3066" s="6" t="s">
        <v>99</v>
      </c>
      <c r="C3066" s="6" t="s">
        <v>651</v>
      </c>
      <c r="D3066" s="6" t="s">
        <v>14</v>
      </c>
      <c r="E3066" s="6" t="s">
        <v>52</v>
      </c>
      <c r="F3066" s="6" t="s">
        <v>101</v>
      </c>
      <c r="G3066" s="6" t="s">
        <v>649</v>
      </c>
      <c r="H3066" s="6" t="s">
        <v>652</v>
      </c>
      <c r="I3066" s="6" t="s">
        <v>31</v>
      </c>
      <c r="J3066" s="6">
        <v>16.963781132236999</v>
      </c>
      <c r="K3066" s="6">
        <v>-96.940973220440995</v>
      </c>
      <c r="L3066" s="6" t="str">
        <f>HYPERLINK("https://maps.google.com/?q=16.9637811322373,-96.940973220441094", "🔗 Ver Mapa")</f>
        <v>🔗 Ver Mapa</v>
      </c>
    </row>
    <row r="3067" spans="1:12" ht="43.5" x14ac:dyDescent="0.35">
      <c r="A3067" s="5" t="s">
        <v>98</v>
      </c>
      <c r="B3067" s="5" t="s">
        <v>99</v>
      </c>
      <c r="C3067" s="5" t="s">
        <v>651</v>
      </c>
      <c r="D3067" s="5" t="s">
        <v>14</v>
      </c>
      <c r="E3067" s="5" t="s">
        <v>52</v>
      </c>
      <c r="F3067" s="5" t="s">
        <v>101</v>
      </c>
      <c r="G3067" s="5" t="s">
        <v>649</v>
      </c>
      <c r="H3067" s="5" t="s">
        <v>652</v>
      </c>
      <c r="I3067" s="5" t="s">
        <v>31</v>
      </c>
      <c r="J3067" s="5">
        <v>16.963801499999999</v>
      </c>
      <c r="K3067" s="5">
        <v>-96.940661800000001</v>
      </c>
      <c r="L3067" s="5" t="str">
        <f>HYPERLINK("https://maps.google.com/?q=16.9638015,-96.940661800000001", "🔗 Ver Mapa")</f>
        <v>🔗 Ver Mapa</v>
      </c>
    </row>
    <row r="3068" spans="1:12" ht="43.5" x14ac:dyDescent="0.35">
      <c r="A3068" s="6" t="s">
        <v>98</v>
      </c>
      <c r="B3068" s="6" t="s">
        <v>99</v>
      </c>
      <c r="C3068" s="6" t="s">
        <v>651</v>
      </c>
      <c r="D3068" s="6" t="s">
        <v>14</v>
      </c>
      <c r="E3068" s="6" t="s">
        <v>52</v>
      </c>
      <c r="F3068" s="6" t="s">
        <v>101</v>
      </c>
      <c r="G3068" s="6" t="s">
        <v>649</v>
      </c>
      <c r="H3068" s="6" t="s">
        <v>652</v>
      </c>
      <c r="I3068" s="6" t="s">
        <v>31</v>
      </c>
      <c r="J3068" s="6">
        <v>16.963851683596001</v>
      </c>
      <c r="K3068" s="6">
        <v>-96.940589664553002</v>
      </c>
      <c r="L3068" s="6" t="str">
        <f>HYPERLINK("https://maps.google.com/?q=16.9638516835959,-96.940589664553002", "🔗 Ver Mapa")</f>
        <v>🔗 Ver Mapa</v>
      </c>
    </row>
    <row r="3069" spans="1:12" ht="43.5" x14ac:dyDescent="0.35">
      <c r="A3069" s="5" t="s">
        <v>98</v>
      </c>
      <c r="B3069" s="5" t="s">
        <v>99</v>
      </c>
      <c r="C3069" s="5" t="s">
        <v>651</v>
      </c>
      <c r="D3069" s="5" t="s">
        <v>14</v>
      </c>
      <c r="E3069" s="5" t="s">
        <v>52</v>
      </c>
      <c r="F3069" s="5" t="s">
        <v>101</v>
      </c>
      <c r="G3069" s="5" t="s">
        <v>649</v>
      </c>
      <c r="H3069" s="5" t="s">
        <v>652</v>
      </c>
      <c r="I3069" s="5" t="s">
        <v>31</v>
      </c>
      <c r="J3069" s="5">
        <v>16.963882999999999</v>
      </c>
      <c r="K3069" s="5">
        <v>-96.941590899999994</v>
      </c>
      <c r="L3069" s="5" t="str">
        <f>HYPERLINK("https://maps.google.com/?q=16.963883,-96.941590899999994", "🔗 Ver Mapa")</f>
        <v>🔗 Ver Mapa</v>
      </c>
    </row>
    <row r="3070" spans="1:12" ht="43.5" x14ac:dyDescent="0.35">
      <c r="A3070" s="6" t="s">
        <v>98</v>
      </c>
      <c r="B3070" s="6" t="s">
        <v>99</v>
      </c>
      <c r="C3070" s="6" t="s">
        <v>651</v>
      </c>
      <c r="D3070" s="6" t="s">
        <v>14</v>
      </c>
      <c r="E3070" s="6" t="s">
        <v>52</v>
      </c>
      <c r="F3070" s="6" t="s">
        <v>101</v>
      </c>
      <c r="G3070" s="6" t="s">
        <v>649</v>
      </c>
      <c r="H3070" s="6" t="s">
        <v>652</v>
      </c>
      <c r="I3070" s="6" t="s">
        <v>31</v>
      </c>
      <c r="J3070" s="6">
        <v>16.963932496939002</v>
      </c>
      <c r="K3070" s="6">
        <v>-96.941571353051003</v>
      </c>
      <c r="L3070" s="6" t="str">
        <f>HYPERLINK("https://maps.google.com/?q=16.9639324969388,-96.941571353051302", "🔗 Ver Mapa")</f>
        <v>🔗 Ver Mapa</v>
      </c>
    </row>
    <row r="3071" spans="1:12" ht="43.5" x14ac:dyDescent="0.35">
      <c r="A3071" s="5" t="s">
        <v>98</v>
      </c>
      <c r="B3071" s="5" t="s">
        <v>99</v>
      </c>
      <c r="C3071" s="5" t="s">
        <v>651</v>
      </c>
      <c r="D3071" s="5" t="s">
        <v>14</v>
      </c>
      <c r="E3071" s="5" t="s">
        <v>52</v>
      </c>
      <c r="F3071" s="5" t="s">
        <v>101</v>
      </c>
      <c r="G3071" s="5" t="s">
        <v>649</v>
      </c>
      <c r="H3071" s="5" t="s">
        <v>652</v>
      </c>
      <c r="I3071" s="5" t="s">
        <v>31</v>
      </c>
      <c r="J3071" s="5">
        <v>16.963940193446</v>
      </c>
      <c r="K3071" s="5">
        <v>-96.941144881818005</v>
      </c>
      <c r="L3071" s="5" t="str">
        <f>HYPERLINK("https://maps.google.com/?q=16.9639401934458,-96.941144881818005", "🔗 Ver Mapa")</f>
        <v>🔗 Ver Mapa</v>
      </c>
    </row>
    <row r="3072" spans="1:12" ht="43.5" x14ac:dyDescent="0.35">
      <c r="A3072" s="6" t="s">
        <v>98</v>
      </c>
      <c r="B3072" s="6" t="s">
        <v>99</v>
      </c>
      <c r="C3072" s="6" t="s">
        <v>651</v>
      </c>
      <c r="D3072" s="6" t="s">
        <v>14</v>
      </c>
      <c r="E3072" s="6" t="s">
        <v>52</v>
      </c>
      <c r="F3072" s="6" t="s">
        <v>101</v>
      </c>
      <c r="G3072" s="6" t="s">
        <v>649</v>
      </c>
      <c r="H3072" s="6" t="s">
        <v>652</v>
      </c>
      <c r="I3072" s="6" t="s">
        <v>31</v>
      </c>
      <c r="J3072" s="6">
        <v>16.963943175151002</v>
      </c>
      <c r="K3072" s="6">
        <v>-96.941748368052998</v>
      </c>
      <c r="L3072" s="6" t="str">
        <f>HYPERLINK("https://maps.google.com/?q=16.9639431751512,-96.941748368053496", "🔗 Ver Mapa")</f>
        <v>🔗 Ver Mapa</v>
      </c>
    </row>
    <row r="3073" spans="1:12" ht="43.5" x14ac:dyDescent="0.35">
      <c r="A3073" s="5" t="s">
        <v>98</v>
      </c>
      <c r="B3073" s="5" t="s">
        <v>99</v>
      </c>
      <c r="C3073" s="5" t="s">
        <v>651</v>
      </c>
      <c r="D3073" s="5" t="s">
        <v>14</v>
      </c>
      <c r="E3073" s="5" t="s">
        <v>52</v>
      </c>
      <c r="F3073" s="5" t="s">
        <v>101</v>
      </c>
      <c r="G3073" s="5" t="s">
        <v>649</v>
      </c>
      <c r="H3073" s="5" t="s">
        <v>652</v>
      </c>
      <c r="I3073" s="5" t="s">
        <v>31</v>
      </c>
      <c r="J3073" s="5">
        <v>16.963966899999999</v>
      </c>
      <c r="K3073" s="5">
        <v>-96.941486900000001</v>
      </c>
      <c r="L3073" s="5" t="str">
        <f>HYPERLINK("https://maps.google.com/?q=16.9639669,-96.941486900000001", "🔗 Ver Mapa")</f>
        <v>🔗 Ver Mapa</v>
      </c>
    </row>
    <row r="3074" spans="1:12" ht="43.5" x14ac:dyDescent="0.35">
      <c r="A3074" s="6" t="s">
        <v>98</v>
      </c>
      <c r="B3074" s="6" t="s">
        <v>99</v>
      </c>
      <c r="C3074" s="6" t="s">
        <v>651</v>
      </c>
      <c r="D3074" s="6" t="s">
        <v>14</v>
      </c>
      <c r="E3074" s="6" t="s">
        <v>52</v>
      </c>
      <c r="F3074" s="6" t="s">
        <v>101</v>
      </c>
      <c r="G3074" s="6" t="s">
        <v>649</v>
      </c>
      <c r="H3074" s="6" t="s">
        <v>652</v>
      </c>
      <c r="I3074" s="6" t="s">
        <v>31</v>
      </c>
      <c r="J3074" s="6">
        <v>16.964047647299001</v>
      </c>
      <c r="K3074" s="6">
        <v>-96.94121924785</v>
      </c>
      <c r="L3074" s="6" t="str">
        <f>HYPERLINK("https://maps.google.com/?q=16.9640476472989,-96.941219247850398", "🔗 Ver Mapa")</f>
        <v>🔗 Ver Mapa</v>
      </c>
    </row>
    <row r="3075" spans="1:12" ht="43.5" x14ac:dyDescent="0.35">
      <c r="A3075" s="5" t="s">
        <v>98</v>
      </c>
      <c r="B3075" s="5" t="s">
        <v>99</v>
      </c>
      <c r="C3075" s="5" t="s">
        <v>651</v>
      </c>
      <c r="D3075" s="5" t="s">
        <v>14</v>
      </c>
      <c r="E3075" s="5" t="s">
        <v>52</v>
      </c>
      <c r="F3075" s="5" t="s">
        <v>101</v>
      </c>
      <c r="G3075" s="5" t="s">
        <v>649</v>
      </c>
      <c r="H3075" s="5" t="s">
        <v>652</v>
      </c>
      <c r="I3075" s="5" t="s">
        <v>31</v>
      </c>
      <c r="J3075" s="5">
        <v>16.964123972667998</v>
      </c>
      <c r="K3075" s="5">
        <v>-96.941264560362001</v>
      </c>
      <c r="L3075" s="5" t="str">
        <f>HYPERLINK("https://maps.google.com/?q=16.9641239726682,-96.941264560361702", "🔗 Ver Mapa")</f>
        <v>🔗 Ver Mapa</v>
      </c>
    </row>
    <row r="3076" spans="1:12" ht="43.5" x14ac:dyDescent="0.35">
      <c r="A3076" s="6" t="s">
        <v>98</v>
      </c>
      <c r="B3076" s="6" t="s">
        <v>99</v>
      </c>
      <c r="C3076" s="6" t="s">
        <v>651</v>
      </c>
      <c r="D3076" s="6" t="s">
        <v>14</v>
      </c>
      <c r="E3076" s="6" t="s">
        <v>52</v>
      </c>
      <c r="F3076" s="6" t="s">
        <v>101</v>
      </c>
      <c r="G3076" s="6" t="s">
        <v>649</v>
      </c>
      <c r="H3076" s="6" t="s">
        <v>652</v>
      </c>
      <c r="I3076" s="6" t="s">
        <v>31</v>
      </c>
      <c r="J3076" s="6">
        <v>16.964155202280999</v>
      </c>
      <c r="K3076" s="6">
        <v>-96.941397712268</v>
      </c>
      <c r="L3076" s="6" t="str">
        <f>HYPERLINK("https://maps.google.com/?q=16.9641552022809,-96.941397712268397", "🔗 Ver Mapa")</f>
        <v>🔗 Ver Mapa</v>
      </c>
    </row>
    <row r="3077" spans="1:12" ht="43.5" x14ac:dyDescent="0.35">
      <c r="A3077" s="5" t="s">
        <v>98</v>
      </c>
      <c r="B3077" s="5" t="s">
        <v>99</v>
      </c>
      <c r="C3077" s="5" t="s">
        <v>651</v>
      </c>
      <c r="D3077" s="5" t="s">
        <v>14</v>
      </c>
      <c r="E3077" s="5" t="s">
        <v>52</v>
      </c>
      <c r="F3077" s="5" t="s">
        <v>101</v>
      </c>
      <c r="G3077" s="5" t="s">
        <v>649</v>
      </c>
      <c r="H3077" s="5" t="s">
        <v>652</v>
      </c>
      <c r="I3077" s="5" t="s">
        <v>31</v>
      </c>
      <c r="J3077" s="5">
        <v>16.964165957510001</v>
      </c>
      <c r="K3077" s="5">
        <v>-96.941490886780997</v>
      </c>
      <c r="L3077" s="5" t="str">
        <f>HYPERLINK("https://maps.google.com/?q=16.9641659575104,-96.941490886780898", "🔗 Ver Mapa")</f>
        <v>🔗 Ver Mapa</v>
      </c>
    </row>
    <row r="3078" spans="1:12" ht="43.5" x14ac:dyDescent="0.35">
      <c r="A3078" s="6" t="s">
        <v>98</v>
      </c>
      <c r="B3078" s="6" t="s">
        <v>99</v>
      </c>
      <c r="C3078" s="6" t="s">
        <v>651</v>
      </c>
      <c r="D3078" s="6" t="s">
        <v>14</v>
      </c>
      <c r="E3078" s="6" t="s">
        <v>52</v>
      </c>
      <c r="F3078" s="6" t="s">
        <v>101</v>
      </c>
      <c r="G3078" s="6" t="s">
        <v>649</v>
      </c>
      <c r="H3078" s="6" t="s">
        <v>652</v>
      </c>
      <c r="I3078" s="6" t="s">
        <v>31</v>
      </c>
      <c r="J3078" s="6">
        <v>16.964201874495998</v>
      </c>
      <c r="K3078" s="6">
        <v>-96.941300449940996</v>
      </c>
      <c r="L3078" s="6" t="str">
        <f>HYPERLINK("https://maps.google.com/?q=16.9642018744957,-96.941300449940798", "🔗 Ver Mapa")</f>
        <v>🔗 Ver Mapa</v>
      </c>
    </row>
    <row r="3079" spans="1:12" ht="43.5" x14ac:dyDescent="0.35">
      <c r="A3079" s="5" t="s">
        <v>98</v>
      </c>
      <c r="B3079" s="5" t="s">
        <v>99</v>
      </c>
      <c r="C3079" s="5" t="s">
        <v>651</v>
      </c>
      <c r="D3079" s="5" t="s">
        <v>14</v>
      </c>
      <c r="E3079" s="5" t="s">
        <v>52</v>
      </c>
      <c r="F3079" s="5" t="s">
        <v>101</v>
      </c>
      <c r="G3079" s="5" t="s">
        <v>649</v>
      </c>
      <c r="H3079" s="5" t="s">
        <v>652</v>
      </c>
      <c r="I3079" s="5" t="s">
        <v>31</v>
      </c>
      <c r="J3079" s="5">
        <v>16.964312812753999</v>
      </c>
      <c r="K3079" s="5">
        <v>-96.941598706134002</v>
      </c>
      <c r="L3079" s="5" t="str">
        <f>HYPERLINK("https://maps.google.com/?q=16.964312812754,-96.941598706134201", "🔗 Ver Mapa")</f>
        <v>🔗 Ver Mapa</v>
      </c>
    </row>
    <row r="3080" spans="1:12" ht="43.5" x14ac:dyDescent="0.35">
      <c r="A3080" s="6" t="s">
        <v>98</v>
      </c>
      <c r="B3080" s="6" t="s">
        <v>99</v>
      </c>
      <c r="C3080" s="6" t="s">
        <v>651</v>
      </c>
      <c r="D3080" s="6" t="s">
        <v>14</v>
      </c>
      <c r="E3080" s="6" t="s">
        <v>52</v>
      </c>
      <c r="F3080" s="6" t="s">
        <v>101</v>
      </c>
      <c r="G3080" s="6" t="s">
        <v>649</v>
      </c>
      <c r="H3080" s="6" t="s">
        <v>652</v>
      </c>
      <c r="I3080" s="6" t="s">
        <v>31</v>
      </c>
      <c r="J3080" s="6">
        <v>16.964479962313</v>
      </c>
      <c r="K3080" s="6">
        <v>-96.941489261295999</v>
      </c>
      <c r="L3080" s="6" t="str">
        <f>HYPERLINK("https://maps.google.com/?q=16.9644799623128,-96.941489261296397", "🔗 Ver Mapa")</f>
        <v>🔗 Ver Mapa</v>
      </c>
    </row>
    <row r="3081" spans="1:12" ht="43.5" x14ac:dyDescent="0.35">
      <c r="A3081" s="5" t="s">
        <v>98</v>
      </c>
      <c r="B3081" s="5" t="s">
        <v>99</v>
      </c>
      <c r="C3081" s="5" t="s">
        <v>651</v>
      </c>
      <c r="D3081" s="5" t="s">
        <v>14</v>
      </c>
      <c r="E3081" s="5" t="s">
        <v>52</v>
      </c>
      <c r="F3081" s="5" t="s">
        <v>101</v>
      </c>
      <c r="G3081" s="5" t="s">
        <v>649</v>
      </c>
      <c r="H3081" s="5" t="s">
        <v>652</v>
      </c>
      <c r="I3081" s="5" t="s">
        <v>31</v>
      </c>
      <c r="J3081" s="5">
        <v>16.964863771994001</v>
      </c>
      <c r="K3081" s="5">
        <v>-96.937517194126002</v>
      </c>
      <c r="L3081" s="5" t="str">
        <f>HYPERLINK("https://maps.google.com/?q=16.9648637719944,-96.937517194126499", "🔗 Ver Mapa")</f>
        <v>🔗 Ver Mapa</v>
      </c>
    </row>
    <row r="3082" spans="1:12" ht="43.5" x14ac:dyDescent="0.35">
      <c r="A3082" s="6" t="s">
        <v>98</v>
      </c>
      <c r="B3082" s="6" t="s">
        <v>99</v>
      </c>
      <c r="C3082" s="6" t="s">
        <v>651</v>
      </c>
      <c r="D3082" s="6" t="s">
        <v>14</v>
      </c>
      <c r="E3082" s="6" t="s">
        <v>52</v>
      </c>
      <c r="F3082" s="6" t="s">
        <v>101</v>
      </c>
      <c r="G3082" s="6" t="s">
        <v>649</v>
      </c>
      <c r="H3082" s="6" t="s">
        <v>652</v>
      </c>
      <c r="I3082" s="6" t="s">
        <v>31</v>
      </c>
      <c r="J3082" s="6">
        <v>16.965076707516001</v>
      </c>
      <c r="K3082" s="6">
        <v>-96.937379060362005</v>
      </c>
      <c r="L3082" s="6" t="str">
        <f>HYPERLINK("https://maps.google.com/?q=16.9650767075155,-96.937379060362304", "🔗 Ver Mapa")</f>
        <v>🔗 Ver Mapa</v>
      </c>
    </row>
    <row r="3083" spans="1:12" ht="43.5" x14ac:dyDescent="0.35">
      <c r="A3083" s="5" t="s">
        <v>98</v>
      </c>
      <c r="B3083" s="5" t="s">
        <v>99</v>
      </c>
      <c r="C3083" s="5" t="s">
        <v>651</v>
      </c>
      <c r="D3083" s="5" t="s">
        <v>14</v>
      </c>
      <c r="E3083" s="5" t="s">
        <v>52</v>
      </c>
      <c r="F3083" s="5" t="s">
        <v>101</v>
      </c>
      <c r="G3083" s="5" t="s">
        <v>649</v>
      </c>
      <c r="H3083" s="5" t="s">
        <v>652</v>
      </c>
      <c r="I3083" s="5" t="s">
        <v>31</v>
      </c>
      <c r="J3083" s="5">
        <v>16.965938709086</v>
      </c>
      <c r="K3083" s="5">
        <v>-96.937086699579993</v>
      </c>
      <c r="L3083" s="5" t="str">
        <f>HYPERLINK("https://maps.google.com/?q=16.965938709086,-96.937086699579694", "🔗 Ver Mapa")</f>
        <v>🔗 Ver Mapa</v>
      </c>
    </row>
    <row r="3084" spans="1:12" ht="43.5" x14ac:dyDescent="0.35">
      <c r="A3084" s="6" t="s">
        <v>98</v>
      </c>
      <c r="B3084" s="6" t="s">
        <v>99</v>
      </c>
      <c r="C3084" s="6" t="s">
        <v>651</v>
      </c>
      <c r="D3084" s="6" t="s">
        <v>14</v>
      </c>
      <c r="E3084" s="6" t="s">
        <v>52</v>
      </c>
      <c r="F3084" s="6" t="s">
        <v>101</v>
      </c>
      <c r="G3084" s="6" t="s">
        <v>649</v>
      </c>
      <c r="H3084" s="6" t="s">
        <v>652</v>
      </c>
      <c r="I3084" s="6" t="s">
        <v>31</v>
      </c>
      <c r="J3084" s="6">
        <v>16.966151643387999</v>
      </c>
      <c r="K3084" s="6">
        <v>-96.936791656587999</v>
      </c>
      <c r="L3084" s="6" t="str">
        <f>HYPERLINK("https://maps.google.com/?q=16.9661516433884,-96.936791656588198", "🔗 Ver Mapa")</f>
        <v>🔗 Ver Mapa</v>
      </c>
    </row>
    <row r="3085" spans="1:12" ht="43.5" x14ac:dyDescent="0.35">
      <c r="A3085" s="5" t="s">
        <v>98</v>
      </c>
      <c r="B3085" s="5" t="s">
        <v>99</v>
      </c>
      <c r="C3085" s="5" t="s">
        <v>651</v>
      </c>
      <c r="D3085" s="5" t="s">
        <v>14</v>
      </c>
      <c r="E3085" s="5" t="s">
        <v>52</v>
      </c>
      <c r="F3085" s="5" t="s">
        <v>101</v>
      </c>
      <c r="G3085" s="5" t="s">
        <v>649</v>
      </c>
      <c r="H3085" s="5" t="s">
        <v>652</v>
      </c>
      <c r="I3085" s="5" t="s">
        <v>31</v>
      </c>
      <c r="J3085" s="5">
        <v>16.966301726687998</v>
      </c>
      <c r="K3085" s="5">
        <v>-96.936659561775997</v>
      </c>
      <c r="L3085" s="5" t="str">
        <f>HYPERLINK("https://maps.google.com/?q=16.9663017266883,-96.936659561775599", "🔗 Ver Mapa")</f>
        <v>🔗 Ver Mapa</v>
      </c>
    </row>
    <row r="3086" spans="1:12" ht="43.5" x14ac:dyDescent="0.35">
      <c r="A3086" s="6" t="s">
        <v>98</v>
      </c>
      <c r="B3086" s="6" t="s">
        <v>99</v>
      </c>
      <c r="C3086" s="6" t="s">
        <v>651</v>
      </c>
      <c r="D3086" s="6" t="s">
        <v>14</v>
      </c>
      <c r="E3086" s="6" t="s">
        <v>52</v>
      </c>
      <c r="F3086" s="6" t="s">
        <v>101</v>
      </c>
      <c r="G3086" s="6" t="s">
        <v>649</v>
      </c>
      <c r="H3086" s="6" t="s">
        <v>652</v>
      </c>
      <c r="I3086" s="6" t="s">
        <v>31</v>
      </c>
      <c r="J3086" s="6">
        <v>16.966433845104</v>
      </c>
      <c r="K3086" s="6">
        <v>-96.936636088464994</v>
      </c>
      <c r="L3086" s="6" t="str">
        <f>HYPERLINK("https://maps.google.com/?q=16.9664338451039,-96.936636088465406", "🔗 Ver Mapa")</f>
        <v>🔗 Ver Mapa</v>
      </c>
    </row>
    <row r="3087" spans="1:12" ht="43.5" x14ac:dyDescent="0.35">
      <c r="A3087" s="5" t="s">
        <v>98</v>
      </c>
      <c r="B3087" s="5" t="s">
        <v>99</v>
      </c>
      <c r="C3087" s="5" t="s">
        <v>651</v>
      </c>
      <c r="D3087" s="5" t="s">
        <v>14</v>
      </c>
      <c r="E3087" s="5" t="s">
        <v>52</v>
      </c>
      <c r="F3087" s="5" t="s">
        <v>101</v>
      </c>
      <c r="G3087" s="5" t="s">
        <v>649</v>
      </c>
      <c r="H3087" s="5" t="s">
        <v>652</v>
      </c>
      <c r="I3087" s="5" t="s">
        <v>31</v>
      </c>
      <c r="J3087" s="5">
        <v>16.966444198596999</v>
      </c>
      <c r="K3087" s="5">
        <v>-96.936397060537999</v>
      </c>
      <c r="L3087" s="5" t="str">
        <f>HYPERLINK("https://maps.google.com/?q=16.966444198597,-96.936397060538098", "🔗 Ver Mapa")</f>
        <v>🔗 Ver Mapa</v>
      </c>
    </row>
    <row r="3088" spans="1:12" ht="43.5" x14ac:dyDescent="0.35">
      <c r="A3088" s="6" t="s">
        <v>98</v>
      </c>
      <c r="B3088" s="6" t="s">
        <v>99</v>
      </c>
      <c r="C3088" s="6" t="s">
        <v>651</v>
      </c>
      <c r="D3088" s="6" t="s">
        <v>14</v>
      </c>
      <c r="E3088" s="6" t="s">
        <v>52</v>
      </c>
      <c r="F3088" s="6" t="s">
        <v>101</v>
      </c>
      <c r="G3088" s="6" t="s">
        <v>649</v>
      </c>
      <c r="H3088" s="6" t="s">
        <v>652</v>
      </c>
      <c r="I3088" s="6" t="s">
        <v>31</v>
      </c>
      <c r="J3088" s="6">
        <v>16.966465061626</v>
      </c>
      <c r="K3088" s="6">
        <v>-96.941915984757998</v>
      </c>
      <c r="L3088" s="6" t="str">
        <f>HYPERLINK("https://maps.google.com/?q=16.9664650616258,-96.9419159847578", "🔗 Ver Mapa")</f>
        <v>🔗 Ver Mapa</v>
      </c>
    </row>
    <row r="3089" spans="1:12" ht="43.5" x14ac:dyDescent="0.35">
      <c r="A3089" s="5" t="s">
        <v>98</v>
      </c>
      <c r="B3089" s="5" t="s">
        <v>99</v>
      </c>
      <c r="C3089" s="5" t="s">
        <v>651</v>
      </c>
      <c r="D3089" s="5" t="s">
        <v>14</v>
      </c>
      <c r="E3089" s="5" t="s">
        <v>52</v>
      </c>
      <c r="F3089" s="5" t="s">
        <v>101</v>
      </c>
      <c r="G3089" s="5" t="s">
        <v>649</v>
      </c>
      <c r="H3089" s="5" t="s">
        <v>652</v>
      </c>
      <c r="I3089" s="5" t="s">
        <v>31</v>
      </c>
      <c r="J3089" s="5">
        <v>16.968131721603001</v>
      </c>
      <c r="K3089" s="5">
        <v>-96.937440009344996</v>
      </c>
      <c r="L3089" s="5" t="str">
        <f>HYPERLINK("https://maps.google.com/?q=16.9681317216031,-96.9374400093446", "🔗 Ver Mapa")</f>
        <v>🔗 Ver Mapa</v>
      </c>
    </row>
    <row r="3090" spans="1:12" ht="43.5" x14ac:dyDescent="0.35">
      <c r="A3090" s="6" t="s">
        <v>98</v>
      </c>
      <c r="B3090" s="6" t="s">
        <v>99</v>
      </c>
      <c r="C3090" s="6" t="s">
        <v>653</v>
      </c>
      <c r="D3090" s="6" t="s">
        <v>14</v>
      </c>
      <c r="E3090" s="6" t="s">
        <v>39</v>
      </c>
      <c r="F3090" s="6" t="s">
        <v>494</v>
      </c>
      <c r="G3090" s="6" t="s">
        <v>571</v>
      </c>
      <c r="H3090" s="6" t="s">
        <v>572</v>
      </c>
      <c r="I3090" s="6" t="s">
        <v>31</v>
      </c>
      <c r="J3090" s="6">
        <v>16.562425858981001</v>
      </c>
      <c r="K3090" s="6">
        <v>-97.009070877314997</v>
      </c>
      <c r="L3090" s="6" t="str">
        <f>HYPERLINK("https://maps.google.com/?q=16.5624258589805,-97.009070877315494", "🔗 Ver Mapa")</f>
        <v>🔗 Ver Mapa</v>
      </c>
    </row>
    <row r="3091" spans="1:12" ht="43.5" x14ac:dyDescent="0.35">
      <c r="A3091" s="5" t="s">
        <v>98</v>
      </c>
      <c r="B3091" s="5" t="s">
        <v>99</v>
      </c>
      <c r="C3091" s="5" t="s">
        <v>653</v>
      </c>
      <c r="D3091" s="5" t="s">
        <v>14</v>
      </c>
      <c r="E3091" s="5" t="s">
        <v>39</v>
      </c>
      <c r="F3091" s="5" t="s">
        <v>494</v>
      </c>
      <c r="G3091" s="5" t="s">
        <v>571</v>
      </c>
      <c r="H3091" s="5" t="s">
        <v>572</v>
      </c>
      <c r="I3091" s="5" t="s">
        <v>31</v>
      </c>
      <c r="J3091" s="5">
        <v>16.567053697342999</v>
      </c>
      <c r="K3091" s="5">
        <v>-97.011537029430002</v>
      </c>
      <c r="L3091" s="5" t="str">
        <f>HYPERLINK("https://maps.google.com/?q=16.5670536973433,-97.0115370294304", "🔗 Ver Mapa")</f>
        <v>🔗 Ver Mapa</v>
      </c>
    </row>
    <row r="3092" spans="1:12" ht="43.5" x14ac:dyDescent="0.35">
      <c r="A3092" s="6" t="s">
        <v>98</v>
      </c>
      <c r="B3092" s="6" t="s">
        <v>99</v>
      </c>
      <c r="C3092" s="6" t="s">
        <v>653</v>
      </c>
      <c r="D3092" s="6" t="s">
        <v>14</v>
      </c>
      <c r="E3092" s="6" t="s">
        <v>39</v>
      </c>
      <c r="F3092" s="6" t="s">
        <v>494</v>
      </c>
      <c r="G3092" s="6" t="s">
        <v>571</v>
      </c>
      <c r="H3092" s="6" t="s">
        <v>572</v>
      </c>
      <c r="I3092" s="6" t="s">
        <v>31</v>
      </c>
      <c r="J3092" s="6">
        <v>16.567254224447002</v>
      </c>
      <c r="K3092" s="6">
        <v>-97.011225893184999</v>
      </c>
      <c r="L3092" s="6" t="str">
        <f>HYPERLINK("https://maps.google.com/?q=16.5672542244474,-97.0112258931848", "🔗 Ver Mapa")</f>
        <v>🔗 Ver Mapa</v>
      </c>
    </row>
    <row r="3093" spans="1:12" ht="43.5" x14ac:dyDescent="0.35">
      <c r="A3093" s="5" t="s">
        <v>98</v>
      </c>
      <c r="B3093" s="5" t="s">
        <v>99</v>
      </c>
      <c r="C3093" s="5" t="s">
        <v>653</v>
      </c>
      <c r="D3093" s="5" t="s">
        <v>14</v>
      </c>
      <c r="E3093" s="5" t="s">
        <v>39</v>
      </c>
      <c r="F3093" s="5" t="s">
        <v>494</v>
      </c>
      <c r="G3093" s="5" t="s">
        <v>571</v>
      </c>
      <c r="H3093" s="5" t="s">
        <v>572</v>
      </c>
      <c r="I3093" s="5" t="s">
        <v>31</v>
      </c>
      <c r="J3093" s="5">
        <v>16.567261937024</v>
      </c>
      <c r="K3093" s="5">
        <v>-97.011464609786998</v>
      </c>
      <c r="L3093" s="5" t="str">
        <f>HYPERLINK("https://maps.google.com/?q=16.5672619370242,-97.011464609787097", "🔗 Ver Mapa")</f>
        <v>🔗 Ver Mapa</v>
      </c>
    </row>
    <row r="3094" spans="1:12" ht="43.5" x14ac:dyDescent="0.35">
      <c r="A3094" s="6" t="s">
        <v>98</v>
      </c>
      <c r="B3094" s="6" t="s">
        <v>99</v>
      </c>
      <c r="C3094" s="6" t="s">
        <v>653</v>
      </c>
      <c r="D3094" s="6" t="s">
        <v>14</v>
      </c>
      <c r="E3094" s="6" t="s">
        <v>39</v>
      </c>
      <c r="F3094" s="6" t="s">
        <v>494</v>
      </c>
      <c r="G3094" s="6" t="s">
        <v>571</v>
      </c>
      <c r="H3094" s="6" t="s">
        <v>572</v>
      </c>
      <c r="I3094" s="6" t="s">
        <v>31</v>
      </c>
      <c r="J3094" s="6">
        <v>16.567624427782999</v>
      </c>
      <c r="K3094" s="6">
        <v>-97.011196388886006</v>
      </c>
      <c r="L3094" s="6" t="str">
        <f>HYPERLINK("https://maps.google.com/?q=16.5676244277835,-97.011196388885594", "🔗 Ver Mapa")</f>
        <v>🔗 Ver Mapa</v>
      </c>
    </row>
    <row r="3095" spans="1:12" ht="43.5" x14ac:dyDescent="0.35">
      <c r="A3095" s="5" t="s">
        <v>98</v>
      </c>
      <c r="B3095" s="5" t="s">
        <v>99</v>
      </c>
      <c r="C3095" s="5" t="s">
        <v>653</v>
      </c>
      <c r="D3095" s="5" t="s">
        <v>14</v>
      </c>
      <c r="E3095" s="5" t="s">
        <v>39</v>
      </c>
      <c r="F3095" s="5" t="s">
        <v>494</v>
      </c>
      <c r="G3095" s="5" t="s">
        <v>571</v>
      </c>
      <c r="H3095" s="5" t="s">
        <v>572</v>
      </c>
      <c r="I3095" s="5" t="s">
        <v>31</v>
      </c>
      <c r="J3095" s="5">
        <v>16.572288141952001</v>
      </c>
      <c r="K3095" s="5">
        <v>-97.011758148479004</v>
      </c>
      <c r="L3095" s="5" t="str">
        <f>HYPERLINK("https://maps.google.com/?q=16.5722881419522,-97.011758148479402", "🔗 Ver Mapa")</f>
        <v>🔗 Ver Mapa</v>
      </c>
    </row>
    <row r="3096" spans="1:12" ht="43.5" x14ac:dyDescent="0.35">
      <c r="A3096" s="6" t="s">
        <v>98</v>
      </c>
      <c r="B3096" s="6" t="s">
        <v>99</v>
      </c>
      <c r="C3096" s="6" t="s">
        <v>654</v>
      </c>
      <c r="D3096" s="6" t="s">
        <v>14</v>
      </c>
      <c r="E3096" s="6" t="s">
        <v>16</v>
      </c>
      <c r="F3096" s="6" t="s">
        <v>21</v>
      </c>
      <c r="G3096" s="6" t="s">
        <v>655</v>
      </c>
      <c r="H3096" s="6" t="s">
        <v>656</v>
      </c>
      <c r="I3096" s="6" t="s">
        <v>31</v>
      </c>
      <c r="J3096" s="6">
        <v>17.298158999999998</v>
      </c>
      <c r="K3096" s="6">
        <v>-97.484210680000004</v>
      </c>
      <c r="L3096" s="6" t="str">
        <f>HYPERLINK("https://maps.google.com/?q=17.298159,-97.484210680000004", "🔗 Ver Mapa")</f>
        <v>🔗 Ver Mapa</v>
      </c>
    </row>
    <row r="3097" spans="1:12" ht="43.5" x14ac:dyDescent="0.35">
      <c r="A3097" s="5" t="s">
        <v>98</v>
      </c>
      <c r="B3097" s="5" t="s">
        <v>99</v>
      </c>
      <c r="C3097" s="5" t="s">
        <v>654</v>
      </c>
      <c r="D3097" s="5" t="s">
        <v>14</v>
      </c>
      <c r="E3097" s="5" t="s">
        <v>16</v>
      </c>
      <c r="F3097" s="5" t="s">
        <v>21</v>
      </c>
      <c r="G3097" s="5" t="s">
        <v>655</v>
      </c>
      <c r="H3097" s="5" t="s">
        <v>656</v>
      </c>
      <c r="I3097" s="5" t="s">
        <v>31</v>
      </c>
      <c r="J3097" s="5">
        <v>17.29862</v>
      </c>
      <c r="K3097" s="5">
        <v>-97.484142640000002</v>
      </c>
      <c r="L3097" s="5" t="str">
        <f>HYPERLINK("https://maps.google.com/?q=17.29862,-97.484142640000002", "🔗 Ver Mapa")</f>
        <v>🔗 Ver Mapa</v>
      </c>
    </row>
    <row r="3098" spans="1:12" ht="43.5" x14ac:dyDescent="0.35">
      <c r="A3098" s="6" t="s">
        <v>98</v>
      </c>
      <c r="B3098" s="6" t="s">
        <v>99</v>
      </c>
      <c r="C3098" s="6" t="s">
        <v>654</v>
      </c>
      <c r="D3098" s="6" t="s">
        <v>14</v>
      </c>
      <c r="E3098" s="6" t="s">
        <v>16</v>
      </c>
      <c r="F3098" s="6" t="s">
        <v>21</v>
      </c>
      <c r="G3098" s="6" t="s">
        <v>655</v>
      </c>
      <c r="H3098" s="6" t="s">
        <v>656</v>
      </c>
      <c r="I3098" s="6" t="s">
        <v>31</v>
      </c>
      <c r="J3098" s="6">
        <v>17.29869588</v>
      </c>
      <c r="K3098" s="6">
        <v>-97.487816640000005</v>
      </c>
      <c r="L3098" s="6" t="str">
        <f>HYPERLINK("https://maps.google.com/?q=17.29869588,-97.487816640000005", "🔗 Ver Mapa")</f>
        <v>🔗 Ver Mapa</v>
      </c>
    </row>
    <row r="3099" spans="1:12" ht="43.5" x14ac:dyDescent="0.35">
      <c r="A3099" s="5" t="s">
        <v>98</v>
      </c>
      <c r="B3099" s="5" t="s">
        <v>99</v>
      </c>
      <c r="C3099" s="5" t="s">
        <v>654</v>
      </c>
      <c r="D3099" s="5" t="s">
        <v>14</v>
      </c>
      <c r="E3099" s="5" t="s">
        <v>16</v>
      </c>
      <c r="F3099" s="5" t="s">
        <v>21</v>
      </c>
      <c r="G3099" s="5" t="s">
        <v>655</v>
      </c>
      <c r="H3099" s="5" t="s">
        <v>656</v>
      </c>
      <c r="I3099" s="5" t="s">
        <v>31</v>
      </c>
      <c r="J3099" s="5">
        <v>17.300041440000001</v>
      </c>
      <c r="K3099" s="5">
        <v>-97.484423609999993</v>
      </c>
      <c r="L3099" s="5" t="str">
        <f>HYPERLINK("https://maps.google.com/?q=17.30004144,-97.484423609999993", "🔗 Ver Mapa")</f>
        <v>🔗 Ver Mapa</v>
      </c>
    </row>
    <row r="3100" spans="1:12" ht="43.5" x14ac:dyDescent="0.35">
      <c r="A3100" s="6" t="s">
        <v>98</v>
      </c>
      <c r="B3100" s="6" t="s">
        <v>99</v>
      </c>
      <c r="C3100" s="6" t="s">
        <v>654</v>
      </c>
      <c r="D3100" s="6" t="s">
        <v>14</v>
      </c>
      <c r="E3100" s="6" t="s">
        <v>16</v>
      </c>
      <c r="F3100" s="6" t="s">
        <v>21</v>
      </c>
      <c r="G3100" s="6" t="s">
        <v>655</v>
      </c>
      <c r="H3100" s="6" t="s">
        <v>656</v>
      </c>
      <c r="I3100" s="6" t="s">
        <v>31</v>
      </c>
      <c r="J3100" s="6">
        <v>17.303462719999999</v>
      </c>
      <c r="K3100" s="6">
        <v>-97.490972999999997</v>
      </c>
      <c r="L3100" s="6" t="str">
        <f>HYPERLINK("https://maps.google.com/?q=17.30346272,-97.490972999999997", "🔗 Ver Mapa")</f>
        <v>🔗 Ver Mapa</v>
      </c>
    </row>
    <row r="3101" spans="1:12" ht="43.5" x14ac:dyDescent="0.35">
      <c r="A3101" s="5" t="s">
        <v>98</v>
      </c>
      <c r="B3101" s="5" t="s">
        <v>99</v>
      </c>
      <c r="C3101" s="5" t="s">
        <v>654</v>
      </c>
      <c r="D3101" s="5" t="s">
        <v>14</v>
      </c>
      <c r="E3101" s="5" t="s">
        <v>16</v>
      </c>
      <c r="F3101" s="5" t="s">
        <v>21</v>
      </c>
      <c r="G3101" s="5" t="s">
        <v>655</v>
      </c>
      <c r="H3101" s="5" t="s">
        <v>656</v>
      </c>
      <c r="I3101" s="5" t="s">
        <v>31</v>
      </c>
      <c r="J3101" s="5">
        <v>17.303751689999999</v>
      </c>
      <c r="K3101" s="5">
        <v>-97.484286609999998</v>
      </c>
      <c r="L3101" s="5" t="str">
        <f>HYPERLINK("https://maps.google.com/?q=17.30375169,-97.484286609999998", "🔗 Ver Mapa")</f>
        <v>🔗 Ver Mapa</v>
      </c>
    </row>
    <row r="3102" spans="1:12" ht="43.5" x14ac:dyDescent="0.35">
      <c r="A3102" s="6" t="s">
        <v>98</v>
      </c>
      <c r="B3102" s="6" t="s">
        <v>99</v>
      </c>
      <c r="C3102" s="6" t="s">
        <v>654</v>
      </c>
      <c r="D3102" s="6" t="s">
        <v>14</v>
      </c>
      <c r="E3102" s="6" t="s">
        <v>16</v>
      </c>
      <c r="F3102" s="6" t="s">
        <v>21</v>
      </c>
      <c r="G3102" s="6" t="s">
        <v>655</v>
      </c>
      <c r="H3102" s="6" t="s">
        <v>656</v>
      </c>
      <c r="I3102" s="6" t="s">
        <v>31</v>
      </c>
      <c r="J3102" s="6">
        <v>17.305887389999999</v>
      </c>
      <c r="K3102" s="6">
        <v>-97.488307239999997</v>
      </c>
      <c r="L3102" s="6" t="str">
        <f>HYPERLINK("https://maps.google.com/?q=17.30588739,-97.488307239999997", "🔗 Ver Mapa")</f>
        <v>🔗 Ver Mapa</v>
      </c>
    </row>
    <row r="3103" spans="1:12" ht="43.5" x14ac:dyDescent="0.35">
      <c r="A3103" s="5" t="s">
        <v>98</v>
      </c>
      <c r="B3103" s="5" t="s">
        <v>99</v>
      </c>
      <c r="C3103" s="5" t="s">
        <v>654</v>
      </c>
      <c r="D3103" s="5" t="s">
        <v>14</v>
      </c>
      <c r="E3103" s="5" t="s">
        <v>16</v>
      </c>
      <c r="F3103" s="5" t="s">
        <v>21</v>
      </c>
      <c r="G3103" s="5" t="s">
        <v>655</v>
      </c>
      <c r="H3103" s="5" t="s">
        <v>656</v>
      </c>
      <c r="I3103" s="5" t="s">
        <v>31</v>
      </c>
      <c r="J3103" s="5">
        <v>17.30596156</v>
      </c>
      <c r="K3103" s="5">
        <v>-97.488585810000004</v>
      </c>
      <c r="L3103" s="5" t="str">
        <f>HYPERLINK("https://maps.google.com/?q=17.30596156,-97.488585810000004", "🔗 Ver Mapa")</f>
        <v>🔗 Ver Mapa</v>
      </c>
    </row>
    <row r="3104" spans="1:12" ht="43.5" x14ac:dyDescent="0.35">
      <c r="A3104" s="6" t="s">
        <v>98</v>
      </c>
      <c r="B3104" s="6" t="s">
        <v>99</v>
      </c>
      <c r="C3104" s="6" t="s">
        <v>654</v>
      </c>
      <c r="D3104" s="6" t="s">
        <v>14</v>
      </c>
      <c r="E3104" s="6" t="s">
        <v>16</v>
      </c>
      <c r="F3104" s="6" t="s">
        <v>21</v>
      </c>
      <c r="G3104" s="6" t="s">
        <v>655</v>
      </c>
      <c r="H3104" s="6" t="s">
        <v>656</v>
      </c>
      <c r="I3104" s="6" t="s">
        <v>31</v>
      </c>
      <c r="J3104" s="6">
        <v>17.309103619999998</v>
      </c>
      <c r="K3104" s="6">
        <v>-97.488835260000002</v>
      </c>
      <c r="L3104" s="6" t="str">
        <f>HYPERLINK("https://maps.google.com/?q=17.30910362,-97.488835260000002", "🔗 Ver Mapa")</f>
        <v>🔗 Ver Mapa</v>
      </c>
    </row>
    <row r="3105" spans="1:12" ht="43.5" x14ac:dyDescent="0.35">
      <c r="A3105" s="5" t="s">
        <v>98</v>
      </c>
      <c r="B3105" s="5" t="s">
        <v>99</v>
      </c>
      <c r="C3105" s="5" t="s">
        <v>654</v>
      </c>
      <c r="D3105" s="5" t="s">
        <v>14</v>
      </c>
      <c r="E3105" s="5" t="s">
        <v>16</v>
      </c>
      <c r="F3105" s="5" t="s">
        <v>21</v>
      </c>
      <c r="G3105" s="5" t="s">
        <v>655</v>
      </c>
      <c r="H3105" s="5" t="s">
        <v>656</v>
      </c>
      <c r="I3105" s="5" t="s">
        <v>31</v>
      </c>
      <c r="J3105" s="5">
        <v>17.310156159999998</v>
      </c>
      <c r="K3105" s="5">
        <v>-97.487322950000006</v>
      </c>
      <c r="L3105" s="5" t="str">
        <f>HYPERLINK("https://maps.google.com/?q=17.31015616,-97.487322950000006", "🔗 Ver Mapa")</f>
        <v>🔗 Ver Mapa</v>
      </c>
    </row>
    <row r="3106" spans="1:12" ht="43.5" x14ac:dyDescent="0.35">
      <c r="A3106" s="6" t="s">
        <v>98</v>
      </c>
      <c r="B3106" s="6" t="s">
        <v>99</v>
      </c>
      <c r="C3106" s="6" t="s">
        <v>657</v>
      </c>
      <c r="D3106" s="6" t="s">
        <v>14</v>
      </c>
      <c r="E3106" s="6" t="s">
        <v>17</v>
      </c>
      <c r="F3106" s="6" t="s">
        <v>20</v>
      </c>
      <c r="G3106" s="6" t="s">
        <v>658</v>
      </c>
      <c r="H3106" s="6" t="s">
        <v>659</v>
      </c>
      <c r="I3106" s="6" t="s">
        <v>31</v>
      </c>
      <c r="J3106" s="6">
        <v>0</v>
      </c>
      <c r="K3106" s="6">
        <v>-96.465376282999998</v>
      </c>
      <c r="L3106" s="6" t="str">
        <f>HYPERLINK("https://maps.google.com/?q=0,-96.465376282999998", "🔗 Ver Mapa")</f>
        <v>🔗 Ver Mapa</v>
      </c>
    </row>
    <row r="3107" spans="1:12" ht="43.5" x14ac:dyDescent="0.35">
      <c r="A3107" s="5" t="s">
        <v>98</v>
      </c>
      <c r="B3107" s="5" t="s">
        <v>99</v>
      </c>
      <c r="C3107" s="5" t="s">
        <v>657</v>
      </c>
      <c r="D3107" s="5" t="s">
        <v>14</v>
      </c>
      <c r="E3107" s="5" t="s">
        <v>17</v>
      </c>
      <c r="F3107" s="5" t="s">
        <v>20</v>
      </c>
      <c r="G3107" s="5" t="s">
        <v>658</v>
      </c>
      <c r="H3107" s="5" t="s">
        <v>659</v>
      </c>
      <c r="I3107" s="5" t="s">
        <v>31</v>
      </c>
      <c r="J3107" s="5">
        <v>15.994621994899999</v>
      </c>
      <c r="K3107" s="5" t="s">
        <v>660</v>
      </c>
      <c r="L3107" s="5" t="str">
        <f>HYPERLINK("https://maps.google.com/?q=15.9946219949, -96.46588249426", "🔗 Ver Mapa")</f>
        <v>🔗 Ver Mapa</v>
      </c>
    </row>
    <row r="3108" spans="1:12" ht="43.5" x14ac:dyDescent="0.35">
      <c r="A3108" s="6" t="s">
        <v>98</v>
      </c>
      <c r="B3108" s="6" t="s">
        <v>99</v>
      </c>
      <c r="C3108" s="6" t="s">
        <v>657</v>
      </c>
      <c r="D3108" s="6" t="s">
        <v>14</v>
      </c>
      <c r="E3108" s="6" t="s">
        <v>17</v>
      </c>
      <c r="F3108" s="6" t="s">
        <v>20</v>
      </c>
      <c r="G3108" s="6" t="s">
        <v>658</v>
      </c>
      <c r="H3108" s="6" t="s">
        <v>659</v>
      </c>
      <c r="I3108" s="6" t="s">
        <v>31</v>
      </c>
      <c r="J3108" s="6">
        <v>15.995230490200001</v>
      </c>
      <c r="K3108" s="6">
        <v>-96.466768964300002</v>
      </c>
      <c r="L3108" s="6" t="str">
        <f>HYPERLINK("https://maps.google.com/?q=15.9952304902,-96.466768964300002", "🔗 Ver Mapa")</f>
        <v>🔗 Ver Mapa</v>
      </c>
    </row>
    <row r="3109" spans="1:12" ht="43.5" x14ac:dyDescent="0.35">
      <c r="A3109" s="5" t="s">
        <v>98</v>
      </c>
      <c r="B3109" s="5" t="s">
        <v>99</v>
      </c>
      <c r="C3109" s="5" t="s">
        <v>657</v>
      </c>
      <c r="D3109" s="5" t="s">
        <v>14</v>
      </c>
      <c r="E3109" s="5" t="s">
        <v>17</v>
      </c>
      <c r="F3109" s="5" t="s">
        <v>20</v>
      </c>
      <c r="G3109" s="5" t="s">
        <v>658</v>
      </c>
      <c r="H3109" s="5" t="s">
        <v>659</v>
      </c>
      <c r="I3109" s="5" t="s">
        <v>31</v>
      </c>
      <c r="J3109" s="5">
        <v>15.9955053228</v>
      </c>
      <c r="K3109" s="5">
        <v>-96.466108526100001</v>
      </c>
      <c r="L3109" s="5" t="str">
        <f>HYPERLINK("https://maps.google.com/?q=15.9955053228,-96.466108526100001", "🔗 Ver Mapa")</f>
        <v>🔗 Ver Mapa</v>
      </c>
    </row>
    <row r="3110" spans="1:12" ht="43.5" x14ac:dyDescent="0.35">
      <c r="A3110" s="6" t="s">
        <v>98</v>
      </c>
      <c r="B3110" s="6" t="s">
        <v>99</v>
      </c>
      <c r="C3110" s="6" t="s">
        <v>657</v>
      </c>
      <c r="D3110" s="6" t="s">
        <v>14</v>
      </c>
      <c r="E3110" s="6" t="s">
        <v>17</v>
      </c>
      <c r="F3110" s="6" t="s">
        <v>20</v>
      </c>
      <c r="G3110" s="6" t="s">
        <v>658</v>
      </c>
      <c r="H3110" s="6" t="s">
        <v>659</v>
      </c>
      <c r="I3110" s="6" t="s">
        <v>31</v>
      </c>
      <c r="J3110" s="6">
        <v>15.996136774</v>
      </c>
      <c r="K3110" s="6">
        <v>-96.466628877803998</v>
      </c>
      <c r="L3110" s="6" t="str">
        <f>HYPERLINK("https://maps.google.com/?q=15.9961367739998,-96.466628877803601", "🔗 Ver Mapa")</f>
        <v>🔗 Ver Mapa</v>
      </c>
    </row>
    <row r="3111" spans="1:12" ht="43.5" x14ac:dyDescent="0.35">
      <c r="A3111" s="5" t="s">
        <v>98</v>
      </c>
      <c r="B3111" s="5" t="s">
        <v>99</v>
      </c>
      <c r="C3111" s="5" t="s">
        <v>657</v>
      </c>
      <c r="D3111" s="5" t="s">
        <v>14</v>
      </c>
      <c r="E3111" s="5" t="s">
        <v>17</v>
      </c>
      <c r="F3111" s="5" t="s">
        <v>20</v>
      </c>
      <c r="G3111" s="5" t="s">
        <v>658</v>
      </c>
      <c r="H3111" s="5" t="s">
        <v>659</v>
      </c>
      <c r="I3111" s="5" t="s">
        <v>31</v>
      </c>
      <c r="J3111" s="5">
        <v>15.996176305632</v>
      </c>
      <c r="K3111" s="5">
        <v>-96.464178685584997</v>
      </c>
      <c r="L3111" s="5" t="str">
        <f>HYPERLINK("https://maps.google.com/?q=15.9961763056315,-96.464178685585296", "🔗 Ver Mapa")</f>
        <v>🔗 Ver Mapa</v>
      </c>
    </row>
    <row r="3112" spans="1:12" ht="43.5" x14ac:dyDescent="0.35">
      <c r="A3112" s="6" t="s">
        <v>98</v>
      </c>
      <c r="B3112" s="6" t="s">
        <v>99</v>
      </c>
      <c r="C3112" s="6" t="s">
        <v>657</v>
      </c>
      <c r="D3112" s="6" t="s">
        <v>14</v>
      </c>
      <c r="E3112" s="6" t="s">
        <v>17</v>
      </c>
      <c r="F3112" s="6" t="s">
        <v>20</v>
      </c>
      <c r="G3112" s="6" t="s">
        <v>658</v>
      </c>
      <c r="H3112" s="6" t="s">
        <v>659</v>
      </c>
      <c r="I3112" s="6" t="s">
        <v>31</v>
      </c>
      <c r="J3112" s="6">
        <v>15.9963677832</v>
      </c>
      <c r="K3112" s="6" t="s">
        <v>661</v>
      </c>
      <c r="L3112" s="6" t="str">
        <f>HYPERLINK("https://maps.google.com/?q=15.9963677832, -96.4662707997", "🔗 Ver Mapa")</f>
        <v>🔗 Ver Mapa</v>
      </c>
    </row>
    <row r="3113" spans="1:12" ht="43.5" x14ac:dyDescent="0.35">
      <c r="A3113" s="5" t="s">
        <v>98</v>
      </c>
      <c r="B3113" s="5" t="s">
        <v>99</v>
      </c>
      <c r="C3113" s="5" t="s">
        <v>657</v>
      </c>
      <c r="D3113" s="5" t="s">
        <v>14</v>
      </c>
      <c r="E3113" s="5" t="s">
        <v>17</v>
      </c>
      <c r="F3113" s="5" t="s">
        <v>20</v>
      </c>
      <c r="G3113" s="5" t="s">
        <v>658</v>
      </c>
      <c r="H3113" s="5" t="s">
        <v>659</v>
      </c>
      <c r="I3113" s="5" t="s">
        <v>31</v>
      </c>
      <c r="J3113" s="5">
        <v>15.9966307749</v>
      </c>
      <c r="K3113" s="5" t="s">
        <v>662</v>
      </c>
      <c r="L3113" s="5" t="str">
        <f>HYPERLINK("https://maps.google.com/?q=15.9966307749, -96.4656646205", "🔗 Ver Mapa")</f>
        <v>🔗 Ver Mapa</v>
      </c>
    </row>
    <row r="3114" spans="1:12" ht="43.5" x14ac:dyDescent="0.35">
      <c r="A3114" s="6" t="s">
        <v>98</v>
      </c>
      <c r="B3114" s="6" t="s">
        <v>99</v>
      </c>
      <c r="C3114" s="6" t="s">
        <v>657</v>
      </c>
      <c r="D3114" s="6" t="s">
        <v>14</v>
      </c>
      <c r="E3114" s="6" t="s">
        <v>17</v>
      </c>
      <c r="F3114" s="6" t="s">
        <v>20</v>
      </c>
      <c r="G3114" s="6" t="s">
        <v>658</v>
      </c>
      <c r="H3114" s="6" t="s">
        <v>659</v>
      </c>
      <c r="I3114" s="6" t="s">
        <v>31</v>
      </c>
      <c r="J3114" s="6">
        <v>15.9972766501</v>
      </c>
      <c r="K3114" s="6">
        <v>-96.465848351800005</v>
      </c>
      <c r="L3114" s="6" t="str">
        <f>HYPERLINK("https://maps.google.com/?q=15.9972766501,-96.465848351800005", "🔗 Ver Mapa")</f>
        <v>🔗 Ver Mapa</v>
      </c>
    </row>
    <row r="3115" spans="1:12" ht="43.5" x14ac:dyDescent="0.35">
      <c r="A3115" s="5" t="s">
        <v>98</v>
      </c>
      <c r="B3115" s="5" t="s">
        <v>99</v>
      </c>
      <c r="C3115" s="5" t="s">
        <v>657</v>
      </c>
      <c r="D3115" s="5" t="s">
        <v>14</v>
      </c>
      <c r="E3115" s="5" t="s">
        <v>17</v>
      </c>
      <c r="F3115" s="5" t="s">
        <v>20</v>
      </c>
      <c r="G3115" s="5" t="s">
        <v>658</v>
      </c>
      <c r="H3115" s="5" t="s">
        <v>659</v>
      </c>
      <c r="I3115" s="5" t="s">
        <v>31</v>
      </c>
      <c r="J3115" s="5">
        <v>15.997553767399999</v>
      </c>
      <c r="K3115" s="5">
        <v>-96.465877852199995</v>
      </c>
      <c r="L3115" s="5" t="str">
        <f>HYPERLINK("https://maps.google.com/?q=15.9975537674,-96.465877852199995", "🔗 Ver Mapa")</f>
        <v>🔗 Ver Mapa</v>
      </c>
    </row>
    <row r="3116" spans="1:12" ht="43.5" x14ac:dyDescent="0.35">
      <c r="A3116" s="6" t="s">
        <v>98</v>
      </c>
      <c r="B3116" s="6" t="s">
        <v>99</v>
      </c>
      <c r="C3116" s="6" t="s">
        <v>663</v>
      </c>
      <c r="D3116" s="6" t="s">
        <v>14</v>
      </c>
      <c r="E3116" s="6" t="s">
        <v>39</v>
      </c>
      <c r="F3116" s="6" t="s">
        <v>494</v>
      </c>
      <c r="G3116" s="6" t="s">
        <v>664</v>
      </c>
      <c r="H3116" s="6" t="s">
        <v>665</v>
      </c>
      <c r="I3116" s="6" t="s">
        <v>31</v>
      </c>
      <c r="J3116" s="6">
        <v>16.580856000000001</v>
      </c>
      <c r="K3116" s="6">
        <v>-97.442656999999997</v>
      </c>
      <c r="L3116" s="6" t="str">
        <f>HYPERLINK("https://maps.google.com/?q=16.580856,-97.442656999999997", "🔗 Ver Mapa")</f>
        <v>🔗 Ver Mapa</v>
      </c>
    </row>
    <row r="3117" spans="1:12" ht="43.5" x14ac:dyDescent="0.35">
      <c r="A3117" s="5" t="s">
        <v>98</v>
      </c>
      <c r="B3117" s="5" t="s">
        <v>99</v>
      </c>
      <c r="C3117" s="5" t="s">
        <v>663</v>
      </c>
      <c r="D3117" s="5" t="s">
        <v>14</v>
      </c>
      <c r="E3117" s="5" t="s">
        <v>39</v>
      </c>
      <c r="F3117" s="5" t="s">
        <v>494</v>
      </c>
      <c r="G3117" s="5" t="s">
        <v>664</v>
      </c>
      <c r="H3117" s="5" t="s">
        <v>665</v>
      </c>
      <c r="I3117" s="5" t="s">
        <v>31</v>
      </c>
      <c r="J3117" s="5">
        <v>16.581524000000002</v>
      </c>
      <c r="K3117" s="5">
        <v>-97.441866000000005</v>
      </c>
      <c r="L3117" s="5" t="str">
        <f>HYPERLINK("https://maps.google.com/?q=16.581524,-97.441866000000005", "🔗 Ver Mapa")</f>
        <v>🔗 Ver Mapa</v>
      </c>
    </row>
    <row r="3118" spans="1:12" ht="43.5" x14ac:dyDescent="0.35">
      <c r="A3118" s="6" t="s">
        <v>98</v>
      </c>
      <c r="B3118" s="6" t="s">
        <v>99</v>
      </c>
      <c r="C3118" s="6" t="s">
        <v>663</v>
      </c>
      <c r="D3118" s="6" t="s">
        <v>14</v>
      </c>
      <c r="E3118" s="6" t="s">
        <v>39</v>
      </c>
      <c r="F3118" s="6" t="s">
        <v>494</v>
      </c>
      <c r="G3118" s="6" t="s">
        <v>664</v>
      </c>
      <c r="H3118" s="6" t="s">
        <v>665</v>
      </c>
      <c r="I3118" s="6" t="s">
        <v>31</v>
      </c>
      <c r="J3118" s="6">
        <v>16.581696000000001</v>
      </c>
      <c r="K3118" s="6">
        <v>-97.440575999999993</v>
      </c>
      <c r="L3118" s="6" t="str">
        <f>HYPERLINK("https://maps.google.com/?q=16.581696,-97.440575999999993", "🔗 Ver Mapa")</f>
        <v>🔗 Ver Mapa</v>
      </c>
    </row>
    <row r="3119" spans="1:12" ht="43.5" x14ac:dyDescent="0.35">
      <c r="A3119" s="5" t="s">
        <v>98</v>
      </c>
      <c r="B3119" s="5" t="s">
        <v>99</v>
      </c>
      <c r="C3119" s="5" t="s">
        <v>663</v>
      </c>
      <c r="D3119" s="5" t="s">
        <v>14</v>
      </c>
      <c r="E3119" s="5" t="s">
        <v>39</v>
      </c>
      <c r="F3119" s="5" t="s">
        <v>494</v>
      </c>
      <c r="G3119" s="5" t="s">
        <v>664</v>
      </c>
      <c r="H3119" s="5" t="s">
        <v>665</v>
      </c>
      <c r="I3119" s="5" t="s">
        <v>31</v>
      </c>
      <c r="J3119" s="5">
        <v>16.581842999999999</v>
      </c>
      <c r="K3119" s="5">
        <v>-97.439232000000004</v>
      </c>
      <c r="L3119" s="5" t="str">
        <f>HYPERLINK("https://maps.google.com/?q=16.581843,-97.439232000000004", "🔗 Ver Mapa")</f>
        <v>🔗 Ver Mapa</v>
      </c>
    </row>
    <row r="3120" spans="1:12" ht="43.5" x14ac:dyDescent="0.35">
      <c r="A3120" s="6" t="s">
        <v>98</v>
      </c>
      <c r="B3120" s="6" t="s">
        <v>99</v>
      </c>
      <c r="C3120" s="6" t="s">
        <v>663</v>
      </c>
      <c r="D3120" s="6" t="s">
        <v>14</v>
      </c>
      <c r="E3120" s="6" t="s">
        <v>39</v>
      </c>
      <c r="F3120" s="6" t="s">
        <v>494</v>
      </c>
      <c r="G3120" s="6" t="s">
        <v>664</v>
      </c>
      <c r="H3120" s="6" t="s">
        <v>665</v>
      </c>
      <c r="I3120" s="6" t="s">
        <v>31</v>
      </c>
      <c r="J3120" s="6">
        <v>16.582018999999999</v>
      </c>
      <c r="K3120" s="6">
        <v>-97.439747999999994</v>
      </c>
      <c r="L3120" s="6" t="str">
        <f>HYPERLINK("https://maps.google.com/?q=16.582019,-97.439747999999994", "🔗 Ver Mapa")</f>
        <v>🔗 Ver Mapa</v>
      </c>
    </row>
    <row r="3121" spans="1:12" ht="43.5" x14ac:dyDescent="0.35">
      <c r="A3121" s="5" t="s">
        <v>98</v>
      </c>
      <c r="B3121" s="5" t="s">
        <v>99</v>
      </c>
      <c r="C3121" s="5" t="s">
        <v>663</v>
      </c>
      <c r="D3121" s="5" t="s">
        <v>14</v>
      </c>
      <c r="E3121" s="5" t="s">
        <v>39</v>
      </c>
      <c r="F3121" s="5" t="s">
        <v>494</v>
      </c>
      <c r="G3121" s="5" t="s">
        <v>664</v>
      </c>
      <c r="H3121" s="5" t="s">
        <v>665</v>
      </c>
      <c r="I3121" s="5" t="s">
        <v>31</v>
      </c>
      <c r="J3121" s="5">
        <v>16.582108000000002</v>
      </c>
      <c r="K3121" s="5">
        <v>-97.441472000000005</v>
      </c>
      <c r="L3121" s="5" t="str">
        <f>HYPERLINK("https://maps.google.com/?q=16.582108,-97.441472000000005", "🔗 Ver Mapa")</f>
        <v>🔗 Ver Mapa</v>
      </c>
    </row>
    <row r="3122" spans="1:12" ht="43.5" x14ac:dyDescent="0.35">
      <c r="A3122" s="6" t="s">
        <v>98</v>
      </c>
      <c r="B3122" s="6" t="s">
        <v>99</v>
      </c>
      <c r="C3122" s="6" t="s">
        <v>663</v>
      </c>
      <c r="D3122" s="6" t="s">
        <v>14</v>
      </c>
      <c r="E3122" s="6" t="s">
        <v>39</v>
      </c>
      <c r="F3122" s="6" t="s">
        <v>494</v>
      </c>
      <c r="G3122" s="6" t="s">
        <v>664</v>
      </c>
      <c r="H3122" s="6" t="s">
        <v>665</v>
      </c>
      <c r="I3122" s="6" t="s">
        <v>31</v>
      </c>
      <c r="J3122" s="6">
        <v>16.582404</v>
      </c>
      <c r="K3122" s="6">
        <v>-97.444068000000001</v>
      </c>
      <c r="L3122" s="6" t="str">
        <f>HYPERLINK("https://maps.google.com/?q=16.582404,-97.444068000000001", "🔗 Ver Mapa")</f>
        <v>🔗 Ver Mapa</v>
      </c>
    </row>
    <row r="3123" spans="1:12" ht="43.5" x14ac:dyDescent="0.35">
      <c r="A3123" s="5" t="s">
        <v>98</v>
      </c>
      <c r="B3123" s="5" t="s">
        <v>99</v>
      </c>
      <c r="C3123" s="5" t="s">
        <v>663</v>
      </c>
      <c r="D3123" s="5" t="s">
        <v>14</v>
      </c>
      <c r="E3123" s="5" t="s">
        <v>39</v>
      </c>
      <c r="F3123" s="5" t="s">
        <v>494</v>
      </c>
      <c r="G3123" s="5" t="s">
        <v>664</v>
      </c>
      <c r="H3123" s="5" t="s">
        <v>665</v>
      </c>
      <c r="I3123" s="5" t="s">
        <v>31</v>
      </c>
      <c r="J3123" s="5">
        <v>16.582488999999999</v>
      </c>
      <c r="K3123" s="5">
        <v>-97.443314000000001</v>
      </c>
      <c r="L3123" s="5" t="str">
        <f>HYPERLINK("https://maps.google.com/?q=16.582489,-97.443314000000001", "🔗 Ver Mapa")</f>
        <v>🔗 Ver Mapa</v>
      </c>
    </row>
    <row r="3124" spans="1:12" ht="43.5" x14ac:dyDescent="0.35">
      <c r="A3124" s="6" t="s">
        <v>98</v>
      </c>
      <c r="B3124" s="6" t="s">
        <v>99</v>
      </c>
      <c r="C3124" s="6" t="s">
        <v>663</v>
      </c>
      <c r="D3124" s="6" t="s">
        <v>14</v>
      </c>
      <c r="E3124" s="6" t="s">
        <v>39</v>
      </c>
      <c r="F3124" s="6" t="s">
        <v>494</v>
      </c>
      <c r="G3124" s="6" t="s">
        <v>664</v>
      </c>
      <c r="H3124" s="6" t="s">
        <v>665</v>
      </c>
      <c r="I3124" s="6" t="s">
        <v>31</v>
      </c>
      <c r="J3124" s="6">
        <v>16.582829</v>
      </c>
      <c r="K3124" s="6">
        <v>-97.442987000000002</v>
      </c>
      <c r="L3124" s="6" t="str">
        <f>HYPERLINK("https://maps.google.com/?q=16.582829,-97.442987000000002", "🔗 Ver Mapa")</f>
        <v>🔗 Ver Mapa</v>
      </c>
    </row>
    <row r="3125" spans="1:12" ht="43.5" x14ac:dyDescent="0.35">
      <c r="A3125" s="5" t="s">
        <v>98</v>
      </c>
      <c r="B3125" s="5" t="s">
        <v>99</v>
      </c>
      <c r="C3125" s="5" t="s">
        <v>663</v>
      </c>
      <c r="D3125" s="5" t="s">
        <v>14</v>
      </c>
      <c r="E3125" s="5" t="s">
        <v>39</v>
      </c>
      <c r="F3125" s="5" t="s">
        <v>494</v>
      </c>
      <c r="G3125" s="5" t="s">
        <v>664</v>
      </c>
      <c r="H3125" s="5" t="s">
        <v>665</v>
      </c>
      <c r="I3125" s="5" t="s">
        <v>31</v>
      </c>
      <c r="J3125" s="5">
        <v>16.583265999999998</v>
      </c>
      <c r="K3125" s="5">
        <v>-97.443721999999994</v>
      </c>
      <c r="L3125" s="5" t="str">
        <f>HYPERLINK("https://maps.google.com/?q=16.583266,-97.443721999999994", "🔗 Ver Mapa")</f>
        <v>🔗 Ver Mapa</v>
      </c>
    </row>
    <row r="3126" spans="1:12" ht="43.5" x14ac:dyDescent="0.35">
      <c r="A3126" s="6" t="s">
        <v>98</v>
      </c>
      <c r="B3126" s="6" t="s">
        <v>99</v>
      </c>
      <c r="C3126" s="6" t="s">
        <v>663</v>
      </c>
      <c r="D3126" s="6" t="s">
        <v>14</v>
      </c>
      <c r="E3126" s="6" t="s">
        <v>39</v>
      </c>
      <c r="F3126" s="6" t="s">
        <v>494</v>
      </c>
      <c r="G3126" s="6" t="s">
        <v>664</v>
      </c>
      <c r="H3126" s="6" t="s">
        <v>665</v>
      </c>
      <c r="I3126" s="6" t="s">
        <v>31</v>
      </c>
      <c r="J3126" s="6">
        <v>16.583476999999998</v>
      </c>
      <c r="K3126" s="6">
        <v>-97.441176999999996</v>
      </c>
      <c r="L3126" s="6" t="str">
        <f>HYPERLINK("https://maps.google.com/?q=16.583477,-97.441176999999996", "🔗 Ver Mapa")</f>
        <v>🔗 Ver Mapa</v>
      </c>
    </row>
    <row r="3127" spans="1:12" ht="43.5" x14ac:dyDescent="0.35">
      <c r="A3127" s="5" t="s">
        <v>98</v>
      </c>
      <c r="B3127" s="5" t="s">
        <v>99</v>
      </c>
      <c r="C3127" s="5" t="s">
        <v>663</v>
      </c>
      <c r="D3127" s="5" t="s">
        <v>14</v>
      </c>
      <c r="E3127" s="5" t="s">
        <v>39</v>
      </c>
      <c r="F3127" s="5" t="s">
        <v>494</v>
      </c>
      <c r="G3127" s="5" t="s">
        <v>664</v>
      </c>
      <c r="H3127" s="5" t="s">
        <v>665</v>
      </c>
      <c r="I3127" s="5" t="s">
        <v>31</v>
      </c>
      <c r="J3127" s="5">
        <v>16.583684999999999</v>
      </c>
      <c r="K3127" s="5">
        <v>-97.440714999999997</v>
      </c>
      <c r="L3127" s="5" t="str">
        <f>HYPERLINK("https://maps.google.com/?q=16.583685,-97.440714999999997", "🔗 Ver Mapa")</f>
        <v>🔗 Ver Mapa</v>
      </c>
    </row>
    <row r="3128" spans="1:12" ht="43.5" x14ac:dyDescent="0.35">
      <c r="A3128" s="6" t="s">
        <v>98</v>
      </c>
      <c r="B3128" s="6" t="s">
        <v>99</v>
      </c>
      <c r="C3128" s="6" t="s">
        <v>663</v>
      </c>
      <c r="D3128" s="6" t="s">
        <v>14</v>
      </c>
      <c r="E3128" s="6" t="s">
        <v>39</v>
      </c>
      <c r="F3128" s="6" t="s">
        <v>494</v>
      </c>
      <c r="G3128" s="6" t="s">
        <v>664</v>
      </c>
      <c r="H3128" s="6" t="s">
        <v>665</v>
      </c>
      <c r="I3128" s="6" t="s">
        <v>31</v>
      </c>
      <c r="J3128" s="6">
        <v>16.583758</v>
      </c>
      <c r="K3128" s="6">
        <v>-97.442747999999995</v>
      </c>
      <c r="L3128" s="6" t="str">
        <f>HYPERLINK("https://maps.google.com/?q=16.583758,-97.442747999999995", "🔗 Ver Mapa")</f>
        <v>🔗 Ver Mapa</v>
      </c>
    </row>
    <row r="3129" spans="1:12" ht="43.5" x14ac:dyDescent="0.35">
      <c r="A3129" s="5" t="s">
        <v>98</v>
      </c>
      <c r="B3129" s="5" t="s">
        <v>99</v>
      </c>
      <c r="C3129" s="5" t="s">
        <v>663</v>
      </c>
      <c r="D3129" s="5" t="s">
        <v>14</v>
      </c>
      <c r="E3129" s="5" t="s">
        <v>39</v>
      </c>
      <c r="F3129" s="5" t="s">
        <v>494</v>
      </c>
      <c r="G3129" s="5" t="s">
        <v>664</v>
      </c>
      <c r="H3129" s="5" t="s">
        <v>665</v>
      </c>
      <c r="I3129" s="5" t="s">
        <v>31</v>
      </c>
      <c r="J3129" s="5">
        <v>16.583872</v>
      </c>
      <c r="K3129" s="5">
        <v>-97.441508999999996</v>
      </c>
      <c r="L3129" s="5" t="str">
        <f>HYPERLINK("https://maps.google.com/?q=16.583872,-97.441508999999996", "🔗 Ver Mapa")</f>
        <v>🔗 Ver Mapa</v>
      </c>
    </row>
    <row r="3130" spans="1:12" ht="43.5" x14ac:dyDescent="0.35">
      <c r="A3130" s="6" t="s">
        <v>98</v>
      </c>
      <c r="B3130" s="6" t="s">
        <v>99</v>
      </c>
      <c r="C3130" s="6" t="s">
        <v>663</v>
      </c>
      <c r="D3130" s="6" t="s">
        <v>14</v>
      </c>
      <c r="E3130" s="6" t="s">
        <v>39</v>
      </c>
      <c r="F3130" s="6" t="s">
        <v>494</v>
      </c>
      <c r="G3130" s="6" t="s">
        <v>664</v>
      </c>
      <c r="H3130" s="6" t="s">
        <v>665</v>
      </c>
      <c r="I3130" s="6" t="s">
        <v>31</v>
      </c>
      <c r="J3130" s="6">
        <v>16.584522</v>
      </c>
      <c r="K3130" s="6">
        <v>-97.441533000000007</v>
      </c>
      <c r="L3130" s="6" t="str">
        <f>HYPERLINK("https://maps.google.com/?q=16.584522,-97.441533000000007", "🔗 Ver Mapa")</f>
        <v>🔗 Ver Mapa</v>
      </c>
    </row>
    <row r="3131" spans="1:12" ht="43.5" x14ac:dyDescent="0.35">
      <c r="A3131" s="5" t="s">
        <v>98</v>
      </c>
      <c r="B3131" s="5" t="s">
        <v>99</v>
      </c>
      <c r="C3131" s="5" t="s">
        <v>663</v>
      </c>
      <c r="D3131" s="5" t="s">
        <v>14</v>
      </c>
      <c r="E3131" s="5" t="s">
        <v>39</v>
      </c>
      <c r="F3131" s="5" t="s">
        <v>494</v>
      </c>
      <c r="G3131" s="5" t="s">
        <v>664</v>
      </c>
      <c r="H3131" s="5" t="s">
        <v>665</v>
      </c>
      <c r="I3131" s="5" t="s">
        <v>31</v>
      </c>
      <c r="J3131" s="5">
        <v>16.584530999999998</v>
      </c>
      <c r="K3131" s="5">
        <v>-97.443156000000002</v>
      </c>
      <c r="L3131" s="5" t="str">
        <f>HYPERLINK("https://maps.google.com/?q=16.584531,-97.443156000000002", "🔗 Ver Mapa")</f>
        <v>🔗 Ver Mapa</v>
      </c>
    </row>
    <row r="3132" spans="1:12" ht="43.5" x14ac:dyDescent="0.35">
      <c r="A3132" s="6" t="s">
        <v>98</v>
      </c>
      <c r="B3132" s="6" t="s">
        <v>99</v>
      </c>
      <c r="C3132" s="6" t="s">
        <v>663</v>
      </c>
      <c r="D3132" s="6" t="s">
        <v>14</v>
      </c>
      <c r="E3132" s="6" t="s">
        <v>39</v>
      </c>
      <c r="F3132" s="6" t="s">
        <v>494</v>
      </c>
      <c r="G3132" s="6" t="s">
        <v>664</v>
      </c>
      <c r="H3132" s="6" t="s">
        <v>665</v>
      </c>
      <c r="I3132" s="6" t="s">
        <v>31</v>
      </c>
      <c r="J3132" s="6">
        <v>16.584595</v>
      </c>
      <c r="K3132" s="6">
        <v>-97.444012000000001</v>
      </c>
      <c r="L3132" s="6" t="str">
        <f>HYPERLINK("https://maps.google.com/?q=16.584595,-97.444012000000001", "🔗 Ver Mapa")</f>
        <v>🔗 Ver Mapa</v>
      </c>
    </row>
    <row r="3133" spans="1:12" ht="43.5" x14ac:dyDescent="0.35">
      <c r="A3133" s="5" t="s">
        <v>98</v>
      </c>
      <c r="B3133" s="5" t="s">
        <v>99</v>
      </c>
      <c r="C3133" s="5" t="s">
        <v>663</v>
      </c>
      <c r="D3133" s="5" t="s">
        <v>14</v>
      </c>
      <c r="E3133" s="5" t="s">
        <v>39</v>
      </c>
      <c r="F3133" s="5" t="s">
        <v>494</v>
      </c>
      <c r="G3133" s="5" t="s">
        <v>664</v>
      </c>
      <c r="H3133" s="5" t="s">
        <v>665</v>
      </c>
      <c r="I3133" s="5" t="s">
        <v>31</v>
      </c>
      <c r="J3133" s="5">
        <v>16.584599000000001</v>
      </c>
      <c r="K3133" s="5">
        <v>-97.444126999999995</v>
      </c>
      <c r="L3133" s="5" t="str">
        <f>HYPERLINK("https://maps.google.com/?q=16.584599,-97.444126999999995", "🔗 Ver Mapa")</f>
        <v>🔗 Ver Mapa</v>
      </c>
    </row>
    <row r="3134" spans="1:12" ht="43.5" x14ac:dyDescent="0.35">
      <c r="A3134" s="6" t="s">
        <v>98</v>
      </c>
      <c r="B3134" s="6" t="s">
        <v>99</v>
      </c>
      <c r="C3134" s="6" t="s">
        <v>663</v>
      </c>
      <c r="D3134" s="6" t="s">
        <v>14</v>
      </c>
      <c r="E3134" s="6" t="s">
        <v>39</v>
      </c>
      <c r="F3134" s="6" t="s">
        <v>494</v>
      </c>
      <c r="G3134" s="6" t="s">
        <v>664</v>
      </c>
      <c r="H3134" s="6" t="s">
        <v>665</v>
      </c>
      <c r="I3134" s="6" t="s">
        <v>31</v>
      </c>
      <c r="J3134" s="6">
        <v>16.584682000000001</v>
      </c>
      <c r="K3134" s="6">
        <v>-97.442584999999994</v>
      </c>
      <c r="L3134" s="6" t="str">
        <f>HYPERLINK("https://maps.google.com/?q=16.584682,-97.442584999999994", "🔗 Ver Mapa")</f>
        <v>🔗 Ver Mapa</v>
      </c>
    </row>
    <row r="3135" spans="1:12" ht="43.5" x14ac:dyDescent="0.35">
      <c r="A3135" s="5" t="s">
        <v>98</v>
      </c>
      <c r="B3135" s="5" t="s">
        <v>99</v>
      </c>
      <c r="C3135" s="5" t="s">
        <v>663</v>
      </c>
      <c r="D3135" s="5" t="s">
        <v>14</v>
      </c>
      <c r="E3135" s="5" t="s">
        <v>39</v>
      </c>
      <c r="F3135" s="5" t="s">
        <v>494</v>
      </c>
      <c r="G3135" s="5" t="s">
        <v>664</v>
      </c>
      <c r="H3135" s="5" t="s">
        <v>665</v>
      </c>
      <c r="I3135" s="5" t="s">
        <v>31</v>
      </c>
      <c r="J3135" s="5">
        <v>16.584795</v>
      </c>
      <c r="K3135" s="5">
        <v>-97.443033</v>
      </c>
      <c r="L3135" s="5" t="str">
        <f>HYPERLINK("https://maps.google.com/?q=16.584795,-97.443033", "🔗 Ver Mapa")</f>
        <v>🔗 Ver Mapa</v>
      </c>
    </row>
    <row r="3136" spans="1:12" ht="43.5" x14ac:dyDescent="0.35">
      <c r="A3136" s="6" t="s">
        <v>98</v>
      </c>
      <c r="B3136" s="6" t="s">
        <v>99</v>
      </c>
      <c r="C3136" s="6" t="s">
        <v>663</v>
      </c>
      <c r="D3136" s="6" t="s">
        <v>14</v>
      </c>
      <c r="E3136" s="6" t="s">
        <v>39</v>
      </c>
      <c r="F3136" s="6" t="s">
        <v>494</v>
      </c>
      <c r="G3136" s="6" t="s">
        <v>664</v>
      </c>
      <c r="H3136" s="6" t="s">
        <v>665</v>
      </c>
      <c r="I3136" s="6" t="s">
        <v>31</v>
      </c>
      <c r="J3136" s="6">
        <v>16.585059000000001</v>
      </c>
      <c r="K3136" s="6">
        <v>-97.443365</v>
      </c>
      <c r="L3136" s="6" t="str">
        <f>HYPERLINK("https://maps.google.com/?q=16.585059,-97.443365", "🔗 Ver Mapa")</f>
        <v>🔗 Ver Mapa</v>
      </c>
    </row>
    <row r="3137" spans="1:12" ht="43.5" x14ac:dyDescent="0.35">
      <c r="A3137" s="5" t="s">
        <v>98</v>
      </c>
      <c r="B3137" s="5" t="s">
        <v>99</v>
      </c>
      <c r="C3137" s="5" t="s">
        <v>663</v>
      </c>
      <c r="D3137" s="5" t="s">
        <v>14</v>
      </c>
      <c r="E3137" s="5" t="s">
        <v>39</v>
      </c>
      <c r="F3137" s="5" t="s">
        <v>494</v>
      </c>
      <c r="G3137" s="5" t="s">
        <v>664</v>
      </c>
      <c r="H3137" s="5" t="s">
        <v>665</v>
      </c>
      <c r="I3137" s="5" t="s">
        <v>31</v>
      </c>
      <c r="J3137" s="5">
        <v>16.585104000000001</v>
      </c>
      <c r="K3137" s="5">
        <v>-97.442169000000007</v>
      </c>
      <c r="L3137" s="5" t="str">
        <f>HYPERLINK("https://maps.google.com/?q=16.585104,-97.442169000000007", "🔗 Ver Mapa")</f>
        <v>🔗 Ver Mapa</v>
      </c>
    </row>
    <row r="3138" spans="1:12" ht="43.5" x14ac:dyDescent="0.35">
      <c r="A3138" s="6" t="s">
        <v>98</v>
      </c>
      <c r="B3138" s="6" t="s">
        <v>99</v>
      </c>
      <c r="C3138" s="6" t="s">
        <v>663</v>
      </c>
      <c r="D3138" s="6" t="s">
        <v>14</v>
      </c>
      <c r="E3138" s="6" t="s">
        <v>39</v>
      </c>
      <c r="F3138" s="6" t="s">
        <v>494</v>
      </c>
      <c r="G3138" s="6" t="s">
        <v>664</v>
      </c>
      <c r="H3138" s="6" t="s">
        <v>665</v>
      </c>
      <c r="I3138" s="6" t="s">
        <v>31</v>
      </c>
      <c r="J3138" s="6">
        <v>16.585149999999999</v>
      </c>
      <c r="K3138" s="6">
        <v>-97.441041999999996</v>
      </c>
      <c r="L3138" s="6" t="str">
        <f>HYPERLINK("https://maps.google.com/?q=16.58515,-97.441041999999996", "🔗 Ver Mapa")</f>
        <v>🔗 Ver Mapa</v>
      </c>
    </row>
    <row r="3139" spans="1:12" ht="43.5" x14ac:dyDescent="0.35">
      <c r="A3139" s="5" t="s">
        <v>98</v>
      </c>
      <c r="B3139" s="5" t="s">
        <v>99</v>
      </c>
      <c r="C3139" s="5" t="s">
        <v>663</v>
      </c>
      <c r="D3139" s="5" t="s">
        <v>14</v>
      </c>
      <c r="E3139" s="5" t="s">
        <v>39</v>
      </c>
      <c r="F3139" s="5" t="s">
        <v>494</v>
      </c>
      <c r="G3139" s="5" t="s">
        <v>664</v>
      </c>
      <c r="H3139" s="5" t="s">
        <v>665</v>
      </c>
      <c r="I3139" s="5" t="s">
        <v>31</v>
      </c>
      <c r="J3139" s="5">
        <v>16.585249999999998</v>
      </c>
      <c r="K3139" s="5">
        <v>-97.442914999999999</v>
      </c>
      <c r="L3139" s="5" t="str">
        <f>HYPERLINK("https://maps.google.com/?q=16.58525,-97.442914999999999", "🔗 Ver Mapa")</f>
        <v>🔗 Ver Mapa</v>
      </c>
    </row>
    <row r="3140" spans="1:12" ht="43.5" x14ac:dyDescent="0.35">
      <c r="A3140" s="6" t="s">
        <v>98</v>
      </c>
      <c r="B3140" s="6" t="s">
        <v>99</v>
      </c>
      <c r="C3140" s="6" t="s">
        <v>663</v>
      </c>
      <c r="D3140" s="6" t="s">
        <v>14</v>
      </c>
      <c r="E3140" s="6" t="s">
        <v>39</v>
      </c>
      <c r="F3140" s="6" t="s">
        <v>494</v>
      </c>
      <c r="G3140" s="6" t="s">
        <v>664</v>
      </c>
      <c r="H3140" s="6" t="s">
        <v>665</v>
      </c>
      <c r="I3140" s="6" t="s">
        <v>31</v>
      </c>
      <c r="J3140" s="6">
        <v>16.585761999999999</v>
      </c>
      <c r="K3140" s="6">
        <v>-97.444575</v>
      </c>
      <c r="L3140" s="6" t="str">
        <f>HYPERLINK("https://maps.google.com/?q=16.585762,-97.444575", "🔗 Ver Mapa")</f>
        <v>🔗 Ver Mapa</v>
      </c>
    </row>
    <row r="3141" spans="1:12" ht="43.5" x14ac:dyDescent="0.35">
      <c r="A3141" s="5" t="s">
        <v>98</v>
      </c>
      <c r="B3141" s="5" t="s">
        <v>99</v>
      </c>
      <c r="C3141" s="5" t="s">
        <v>663</v>
      </c>
      <c r="D3141" s="5" t="s">
        <v>14</v>
      </c>
      <c r="E3141" s="5" t="s">
        <v>39</v>
      </c>
      <c r="F3141" s="5" t="s">
        <v>494</v>
      </c>
      <c r="G3141" s="5" t="s">
        <v>664</v>
      </c>
      <c r="H3141" s="5" t="s">
        <v>665</v>
      </c>
      <c r="I3141" s="5" t="s">
        <v>31</v>
      </c>
      <c r="J3141" s="5">
        <v>16.586105</v>
      </c>
      <c r="K3141" s="5">
        <v>-97.441902999999996</v>
      </c>
      <c r="L3141" s="5" t="str">
        <f>HYPERLINK("https://maps.google.com/?q=16.586105,-97.441902999999996", "🔗 Ver Mapa")</f>
        <v>🔗 Ver Mapa</v>
      </c>
    </row>
    <row r="3142" spans="1:12" ht="43.5" x14ac:dyDescent="0.35">
      <c r="A3142" s="6" t="s">
        <v>98</v>
      </c>
      <c r="B3142" s="6" t="s">
        <v>99</v>
      </c>
      <c r="C3142" s="6" t="s">
        <v>663</v>
      </c>
      <c r="D3142" s="6" t="s">
        <v>14</v>
      </c>
      <c r="E3142" s="6" t="s">
        <v>39</v>
      </c>
      <c r="F3142" s="6" t="s">
        <v>494</v>
      </c>
      <c r="G3142" s="6" t="s">
        <v>664</v>
      </c>
      <c r="H3142" s="6" t="s">
        <v>665</v>
      </c>
      <c r="I3142" s="6" t="s">
        <v>31</v>
      </c>
      <c r="J3142" s="6">
        <v>16.586641</v>
      </c>
      <c r="K3142" s="6">
        <v>-97.443955000000003</v>
      </c>
      <c r="L3142" s="6" t="str">
        <f>HYPERLINK("https://maps.google.com/?q=16.586641,-97.443955000000003", "🔗 Ver Mapa")</f>
        <v>🔗 Ver Mapa</v>
      </c>
    </row>
    <row r="3143" spans="1:12" ht="43.5" x14ac:dyDescent="0.35">
      <c r="A3143" s="5" t="s">
        <v>98</v>
      </c>
      <c r="B3143" s="5" t="s">
        <v>99</v>
      </c>
      <c r="C3143" s="5" t="s">
        <v>663</v>
      </c>
      <c r="D3143" s="5" t="s">
        <v>14</v>
      </c>
      <c r="E3143" s="5" t="s">
        <v>39</v>
      </c>
      <c r="F3143" s="5" t="s">
        <v>494</v>
      </c>
      <c r="G3143" s="5" t="s">
        <v>664</v>
      </c>
      <c r="H3143" s="5" t="s">
        <v>665</v>
      </c>
      <c r="I3143" s="5" t="s">
        <v>31</v>
      </c>
      <c r="J3143" s="5">
        <v>16.586713</v>
      </c>
      <c r="K3143" s="5">
        <v>-97.442177000000001</v>
      </c>
      <c r="L3143" s="5" t="str">
        <f>HYPERLINK("https://maps.google.com/?q=16.586713,-97.442177000000001", "🔗 Ver Mapa")</f>
        <v>🔗 Ver Mapa</v>
      </c>
    </row>
    <row r="3144" spans="1:12" ht="43.5" x14ac:dyDescent="0.35">
      <c r="A3144" s="6" t="s">
        <v>98</v>
      </c>
      <c r="B3144" s="6" t="s">
        <v>99</v>
      </c>
      <c r="C3144" s="6" t="s">
        <v>663</v>
      </c>
      <c r="D3144" s="6" t="s">
        <v>14</v>
      </c>
      <c r="E3144" s="6" t="s">
        <v>39</v>
      </c>
      <c r="F3144" s="6" t="s">
        <v>494</v>
      </c>
      <c r="G3144" s="6" t="s">
        <v>664</v>
      </c>
      <c r="H3144" s="6" t="s">
        <v>665</v>
      </c>
      <c r="I3144" s="6" t="s">
        <v>31</v>
      </c>
      <c r="J3144" s="6">
        <v>16.587067999999999</v>
      </c>
      <c r="K3144" s="6">
        <v>-97.442796999999999</v>
      </c>
      <c r="L3144" s="6" t="str">
        <f>HYPERLINK("https://maps.google.com/?q=16.587068,-97.442796999999999", "🔗 Ver Mapa")</f>
        <v>🔗 Ver Mapa</v>
      </c>
    </row>
    <row r="3145" spans="1:12" ht="43.5" x14ac:dyDescent="0.35">
      <c r="A3145" s="5" t="s">
        <v>98</v>
      </c>
      <c r="B3145" s="5" t="s">
        <v>99</v>
      </c>
      <c r="C3145" s="5" t="s">
        <v>663</v>
      </c>
      <c r="D3145" s="5" t="s">
        <v>14</v>
      </c>
      <c r="E3145" s="5" t="s">
        <v>39</v>
      </c>
      <c r="F3145" s="5" t="s">
        <v>494</v>
      </c>
      <c r="G3145" s="5" t="s">
        <v>664</v>
      </c>
      <c r="H3145" s="5" t="s">
        <v>665</v>
      </c>
      <c r="I3145" s="5" t="s">
        <v>31</v>
      </c>
      <c r="J3145" s="5">
        <v>16.587163</v>
      </c>
      <c r="K3145" s="5">
        <v>-97.444778999999997</v>
      </c>
      <c r="L3145" s="5" t="str">
        <f>HYPERLINK("https://maps.google.com/?q=16.587163,-97.444778999999997", "🔗 Ver Mapa")</f>
        <v>🔗 Ver Mapa</v>
      </c>
    </row>
    <row r="3146" spans="1:12" ht="43.5" x14ac:dyDescent="0.35">
      <c r="A3146" s="6" t="s">
        <v>98</v>
      </c>
      <c r="B3146" s="6" t="s">
        <v>99</v>
      </c>
      <c r="C3146" s="6" t="s">
        <v>663</v>
      </c>
      <c r="D3146" s="6" t="s">
        <v>14</v>
      </c>
      <c r="E3146" s="6" t="s">
        <v>39</v>
      </c>
      <c r="F3146" s="6" t="s">
        <v>494</v>
      </c>
      <c r="G3146" s="6" t="s">
        <v>664</v>
      </c>
      <c r="H3146" s="6" t="s">
        <v>665</v>
      </c>
      <c r="I3146" s="6" t="s">
        <v>31</v>
      </c>
      <c r="J3146" s="6">
        <v>16.587184000000001</v>
      </c>
      <c r="K3146" s="6">
        <v>-97.443484999999995</v>
      </c>
      <c r="L3146" s="6" t="str">
        <f>HYPERLINK("https://maps.google.com/?q=16.587184,-97.443484999999995", "🔗 Ver Mapa")</f>
        <v>🔗 Ver Mapa</v>
      </c>
    </row>
    <row r="3147" spans="1:12" ht="43.5" x14ac:dyDescent="0.35">
      <c r="A3147" s="5" t="s">
        <v>98</v>
      </c>
      <c r="B3147" s="5" t="s">
        <v>99</v>
      </c>
      <c r="C3147" s="5" t="s">
        <v>663</v>
      </c>
      <c r="D3147" s="5" t="s">
        <v>14</v>
      </c>
      <c r="E3147" s="5" t="s">
        <v>39</v>
      </c>
      <c r="F3147" s="5" t="s">
        <v>494</v>
      </c>
      <c r="G3147" s="5" t="s">
        <v>664</v>
      </c>
      <c r="H3147" s="5" t="s">
        <v>665</v>
      </c>
      <c r="I3147" s="5" t="s">
        <v>31</v>
      </c>
      <c r="J3147" s="5">
        <v>16.587443</v>
      </c>
      <c r="K3147" s="5">
        <v>-97.441119999999998</v>
      </c>
      <c r="L3147" s="5" t="str">
        <f>HYPERLINK("https://maps.google.com/?q=16.587443,-97.441119999999998", "🔗 Ver Mapa")</f>
        <v>🔗 Ver Mapa</v>
      </c>
    </row>
    <row r="3148" spans="1:12" ht="43.5" x14ac:dyDescent="0.35">
      <c r="A3148" s="6" t="s">
        <v>98</v>
      </c>
      <c r="B3148" s="6" t="s">
        <v>99</v>
      </c>
      <c r="C3148" s="6" t="s">
        <v>663</v>
      </c>
      <c r="D3148" s="6" t="s">
        <v>14</v>
      </c>
      <c r="E3148" s="6" t="s">
        <v>39</v>
      </c>
      <c r="F3148" s="6" t="s">
        <v>494</v>
      </c>
      <c r="G3148" s="6" t="s">
        <v>664</v>
      </c>
      <c r="H3148" s="6" t="s">
        <v>665</v>
      </c>
      <c r="I3148" s="6" t="s">
        <v>31</v>
      </c>
      <c r="J3148" s="6">
        <v>16.587458000000002</v>
      </c>
      <c r="K3148" s="6">
        <v>-97.443839999999994</v>
      </c>
      <c r="L3148" s="6" t="str">
        <f>HYPERLINK("https://maps.google.com/?q=16.587458,-97.443839999999994", "🔗 Ver Mapa")</f>
        <v>🔗 Ver Mapa</v>
      </c>
    </row>
    <row r="3149" spans="1:12" ht="43.5" x14ac:dyDescent="0.35">
      <c r="A3149" s="5" t="s">
        <v>98</v>
      </c>
      <c r="B3149" s="5" t="s">
        <v>99</v>
      </c>
      <c r="C3149" s="5" t="s">
        <v>663</v>
      </c>
      <c r="D3149" s="5" t="s">
        <v>14</v>
      </c>
      <c r="E3149" s="5" t="s">
        <v>39</v>
      </c>
      <c r="F3149" s="5" t="s">
        <v>494</v>
      </c>
      <c r="G3149" s="5" t="s">
        <v>664</v>
      </c>
      <c r="H3149" s="5" t="s">
        <v>665</v>
      </c>
      <c r="I3149" s="5" t="s">
        <v>31</v>
      </c>
      <c r="J3149" s="5">
        <v>16.58792</v>
      </c>
      <c r="K3149" s="5">
        <v>-97.444574000000003</v>
      </c>
      <c r="L3149" s="5" t="str">
        <f>HYPERLINK("https://maps.google.com/?q=16.58792,-97.444574000000003", "🔗 Ver Mapa")</f>
        <v>🔗 Ver Mapa</v>
      </c>
    </row>
    <row r="3150" spans="1:12" ht="43.5" x14ac:dyDescent="0.35">
      <c r="A3150" s="6" t="s">
        <v>98</v>
      </c>
      <c r="B3150" s="6" t="s">
        <v>99</v>
      </c>
      <c r="C3150" s="6" t="s">
        <v>663</v>
      </c>
      <c r="D3150" s="6" t="s">
        <v>14</v>
      </c>
      <c r="E3150" s="6" t="s">
        <v>39</v>
      </c>
      <c r="F3150" s="6" t="s">
        <v>494</v>
      </c>
      <c r="G3150" s="6" t="s">
        <v>664</v>
      </c>
      <c r="H3150" s="6" t="s">
        <v>665</v>
      </c>
      <c r="I3150" s="6" t="s">
        <v>31</v>
      </c>
      <c r="J3150" s="6">
        <v>16.587934000000001</v>
      </c>
      <c r="K3150" s="6">
        <v>-97.443196</v>
      </c>
      <c r="L3150" s="6" t="str">
        <f>HYPERLINK("https://maps.google.com/?q=16.587934,-97.443196", "🔗 Ver Mapa")</f>
        <v>🔗 Ver Mapa</v>
      </c>
    </row>
    <row r="3151" spans="1:12" ht="43.5" x14ac:dyDescent="0.35">
      <c r="A3151" s="5" t="s">
        <v>98</v>
      </c>
      <c r="B3151" s="5" t="s">
        <v>99</v>
      </c>
      <c r="C3151" s="5" t="s">
        <v>663</v>
      </c>
      <c r="D3151" s="5" t="s">
        <v>14</v>
      </c>
      <c r="E3151" s="5" t="s">
        <v>39</v>
      </c>
      <c r="F3151" s="5" t="s">
        <v>494</v>
      </c>
      <c r="G3151" s="5" t="s">
        <v>664</v>
      </c>
      <c r="H3151" s="5" t="s">
        <v>665</v>
      </c>
      <c r="I3151" s="5" t="s">
        <v>31</v>
      </c>
      <c r="J3151" s="5">
        <v>16.587997999999999</v>
      </c>
      <c r="K3151" s="5">
        <v>-97.445475999999999</v>
      </c>
      <c r="L3151" s="5" t="str">
        <f>HYPERLINK("https://maps.google.com/?q=16.587998,-97.445475999999999", "🔗 Ver Mapa")</f>
        <v>🔗 Ver Mapa</v>
      </c>
    </row>
    <row r="3152" spans="1:12" ht="43.5" x14ac:dyDescent="0.35">
      <c r="A3152" s="6" t="s">
        <v>98</v>
      </c>
      <c r="B3152" s="6" t="s">
        <v>99</v>
      </c>
      <c r="C3152" s="6" t="s">
        <v>663</v>
      </c>
      <c r="D3152" s="6" t="s">
        <v>14</v>
      </c>
      <c r="E3152" s="6" t="s">
        <v>39</v>
      </c>
      <c r="F3152" s="6" t="s">
        <v>494</v>
      </c>
      <c r="G3152" s="6" t="s">
        <v>664</v>
      </c>
      <c r="H3152" s="6" t="s">
        <v>665</v>
      </c>
      <c r="I3152" s="6" t="s">
        <v>31</v>
      </c>
      <c r="J3152" s="6">
        <v>16.588094000000002</v>
      </c>
      <c r="K3152" s="6">
        <v>-97.441717999999995</v>
      </c>
      <c r="L3152" s="6" t="str">
        <f>HYPERLINK("https://maps.google.com/?q=16.588094,-97.441717999999995", "🔗 Ver Mapa")</f>
        <v>🔗 Ver Mapa</v>
      </c>
    </row>
    <row r="3153" spans="1:12" ht="43.5" x14ac:dyDescent="0.35">
      <c r="A3153" s="5" t="s">
        <v>98</v>
      </c>
      <c r="B3153" s="5" t="s">
        <v>99</v>
      </c>
      <c r="C3153" s="5" t="s">
        <v>663</v>
      </c>
      <c r="D3153" s="5" t="s">
        <v>14</v>
      </c>
      <c r="E3153" s="5" t="s">
        <v>39</v>
      </c>
      <c r="F3153" s="5" t="s">
        <v>494</v>
      </c>
      <c r="G3153" s="5" t="s">
        <v>664</v>
      </c>
      <c r="H3153" s="5" t="s">
        <v>665</v>
      </c>
      <c r="I3153" s="5" t="s">
        <v>31</v>
      </c>
      <c r="J3153" s="5">
        <v>16.588235000000001</v>
      </c>
      <c r="K3153" s="5">
        <v>-97.443668000000002</v>
      </c>
      <c r="L3153" s="5" t="str">
        <f>HYPERLINK("https://maps.google.com/?q=16.588235,-97.443668000000002", "🔗 Ver Mapa")</f>
        <v>🔗 Ver Mapa</v>
      </c>
    </row>
    <row r="3154" spans="1:12" ht="43.5" x14ac:dyDescent="0.35">
      <c r="A3154" s="6" t="s">
        <v>98</v>
      </c>
      <c r="B3154" s="6" t="s">
        <v>99</v>
      </c>
      <c r="C3154" s="6" t="s">
        <v>663</v>
      </c>
      <c r="D3154" s="6" t="s">
        <v>14</v>
      </c>
      <c r="E3154" s="6" t="s">
        <v>39</v>
      </c>
      <c r="F3154" s="6" t="s">
        <v>494</v>
      </c>
      <c r="G3154" s="6" t="s">
        <v>664</v>
      </c>
      <c r="H3154" s="6" t="s">
        <v>665</v>
      </c>
      <c r="I3154" s="6" t="s">
        <v>31</v>
      </c>
      <c r="J3154" s="6">
        <v>16.588369</v>
      </c>
      <c r="K3154" s="6">
        <v>-97.444394000000003</v>
      </c>
      <c r="L3154" s="6" t="str">
        <f>HYPERLINK("https://maps.google.com/?q=16.588369,-97.444394000000003", "🔗 Ver Mapa")</f>
        <v>🔗 Ver Mapa</v>
      </c>
    </row>
    <row r="3155" spans="1:12" ht="43.5" x14ac:dyDescent="0.35">
      <c r="A3155" s="5" t="s">
        <v>98</v>
      </c>
      <c r="B3155" s="5" t="s">
        <v>99</v>
      </c>
      <c r="C3155" s="5" t="s">
        <v>663</v>
      </c>
      <c r="D3155" s="5" t="s">
        <v>14</v>
      </c>
      <c r="E3155" s="5" t="s">
        <v>39</v>
      </c>
      <c r="F3155" s="5" t="s">
        <v>494</v>
      </c>
      <c r="G3155" s="5" t="s">
        <v>664</v>
      </c>
      <c r="H3155" s="5" t="s">
        <v>665</v>
      </c>
      <c r="I3155" s="5" t="s">
        <v>31</v>
      </c>
      <c r="J3155" s="5">
        <v>16.588557000000002</v>
      </c>
      <c r="K3155" s="5">
        <v>-97.445760000000007</v>
      </c>
      <c r="L3155" s="5" t="str">
        <f>HYPERLINK("https://maps.google.com/?q=16.588557,-97.445760000000007", "🔗 Ver Mapa")</f>
        <v>🔗 Ver Mapa</v>
      </c>
    </row>
    <row r="3156" spans="1:12" ht="43.5" x14ac:dyDescent="0.35">
      <c r="A3156" s="6" t="s">
        <v>98</v>
      </c>
      <c r="B3156" s="6" t="s">
        <v>99</v>
      </c>
      <c r="C3156" s="6" t="s">
        <v>666</v>
      </c>
      <c r="D3156" s="6" t="s">
        <v>14</v>
      </c>
      <c r="E3156" s="6" t="s">
        <v>39</v>
      </c>
      <c r="F3156" s="6" t="s">
        <v>494</v>
      </c>
      <c r="G3156" s="6" t="s">
        <v>664</v>
      </c>
      <c r="H3156" s="6" t="s">
        <v>667</v>
      </c>
      <c r="I3156" s="6" t="s">
        <v>31</v>
      </c>
      <c r="J3156" s="6">
        <v>16.543624999999999</v>
      </c>
      <c r="K3156" s="6">
        <v>-97.498628999999994</v>
      </c>
      <c r="L3156" s="6" t="str">
        <f>HYPERLINK("https://maps.google.com/?q=16.543625,-97.498628999999994", "🔗 Ver Mapa")</f>
        <v>🔗 Ver Mapa</v>
      </c>
    </row>
    <row r="3157" spans="1:12" ht="43.5" x14ac:dyDescent="0.35">
      <c r="A3157" s="5" t="s">
        <v>98</v>
      </c>
      <c r="B3157" s="5" t="s">
        <v>99</v>
      </c>
      <c r="C3157" s="5" t="s">
        <v>666</v>
      </c>
      <c r="D3157" s="5" t="s">
        <v>14</v>
      </c>
      <c r="E3157" s="5" t="s">
        <v>39</v>
      </c>
      <c r="F3157" s="5" t="s">
        <v>494</v>
      </c>
      <c r="G3157" s="5" t="s">
        <v>664</v>
      </c>
      <c r="H3157" s="5" t="s">
        <v>667</v>
      </c>
      <c r="I3157" s="5" t="s">
        <v>31</v>
      </c>
      <c r="J3157" s="5">
        <v>16.543747</v>
      </c>
      <c r="K3157" s="5">
        <v>-97.497127000000006</v>
      </c>
      <c r="L3157" s="5" t="str">
        <f>HYPERLINK("https://maps.google.com/?q=16.543747,-97.497127000000006", "🔗 Ver Mapa")</f>
        <v>🔗 Ver Mapa</v>
      </c>
    </row>
    <row r="3158" spans="1:12" ht="43.5" x14ac:dyDescent="0.35">
      <c r="A3158" s="6" t="s">
        <v>98</v>
      </c>
      <c r="B3158" s="6" t="s">
        <v>99</v>
      </c>
      <c r="C3158" s="6" t="s">
        <v>666</v>
      </c>
      <c r="D3158" s="6" t="s">
        <v>14</v>
      </c>
      <c r="E3158" s="6" t="s">
        <v>39</v>
      </c>
      <c r="F3158" s="6" t="s">
        <v>494</v>
      </c>
      <c r="G3158" s="6" t="s">
        <v>664</v>
      </c>
      <c r="H3158" s="6" t="s">
        <v>667</v>
      </c>
      <c r="I3158" s="6" t="s">
        <v>31</v>
      </c>
      <c r="J3158" s="6">
        <v>16.543811999999999</v>
      </c>
      <c r="K3158" s="6">
        <v>-97.497651000000005</v>
      </c>
      <c r="L3158" s="6" t="str">
        <f>HYPERLINK("https://maps.google.com/?q=16.543812,-97.497651000000005", "🔗 Ver Mapa")</f>
        <v>🔗 Ver Mapa</v>
      </c>
    </row>
    <row r="3159" spans="1:12" ht="43.5" x14ac:dyDescent="0.35">
      <c r="A3159" s="5" t="s">
        <v>98</v>
      </c>
      <c r="B3159" s="5" t="s">
        <v>99</v>
      </c>
      <c r="C3159" s="5" t="s">
        <v>666</v>
      </c>
      <c r="D3159" s="5" t="s">
        <v>14</v>
      </c>
      <c r="E3159" s="5" t="s">
        <v>39</v>
      </c>
      <c r="F3159" s="5" t="s">
        <v>494</v>
      </c>
      <c r="G3159" s="5" t="s">
        <v>664</v>
      </c>
      <c r="H3159" s="5" t="s">
        <v>667</v>
      </c>
      <c r="I3159" s="5" t="s">
        <v>31</v>
      </c>
      <c r="J3159" s="5">
        <v>16.544080000000001</v>
      </c>
      <c r="K3159" s="5">
        <v>-97.497200000000007</v>
      </c>
      <c r="L3159" s="5" t="str">
        <f>HYPERLINK("https://maps.google.com/?q=16.54408,-97.497200000000007", "🔗 Ver Mapa")</f>
        <v>🔗 Ver Mapa</v>
      </c>
    </row>
    <row r="3160" spans="1:12" ht="43.5" x14ac:dyDescent="0.35">
      <c r="A3160" s="6" t="s">
        <v>98</v>
      </c>
      <c r="B3160" s="6" t="s">
        <v>99</v>
      </c>
      <c r="C3160" s="6" t="s">
        <v>666</v>
      </c>
      <c r="D3160" s="6" t="s">
        <v>14</v>
      </c>
      <c r="E3160" s="6" t="s">
        <v>39</v>
      </c>
      <c r="F3160" s="6" t="s">
        <v>494</v>
      </c>
      <c r="G3160" s="6" t="s">
        <v>664</v>
      </c>
      <c r="H3160" s="6" t="s">
        <v>667</v>
      </c>
      <c r="I3160" s="6" t="s">
        <v>31</v>
      </c>
      <c r="J3160" s="6">
        <v>16.544277999999998</v>
      </c>
      <c r="K3160" s="6">
        <v>-97.496939999999995</v>
      </c>
      <c r="L3160" s="6" t="str">
        <f>HYPERLINK("https://maps.google.com/?q=16.544278,-97.496939999999995", "🔗 Ver Mapa")</f>
        <v>🔗 Ver Mapa</v>
      </c>
    </row>
    <row r="3161" spans="1:12" ht="43.5" x14ac:dyDescent="0.35">
      <c r="A3161" s="5" t="s">
        <v>98</v>
      </c>
      <c r="B3161" s="5" t="s">
        <v>99</v>
      </c>
      <c r="C3161" s="5" t="s">
        <v>666</v>
      </c>
      <c r="D3161" s="5" t="s">
        <v>14</v>
      </c>
      <c r="E3161" s="5" t="s">
        <v>39</v>
      </c>
      <c r="F3161" s="5" t="s">
        <v>494</v>
      </c>
      <c r="G3161" s="5" t="s">
        <v>664</v>
      </c>
      <c r="H3161" s="5" t="s">
        <v>667</v>
      </c>
      <c r="I3161" s="5" t="s">
        <v>31</v>
      </c>
      <c r="J3161" s="5">
        <v>16.544495999999999</v>
      </c>
      <c r="K3161" s="5">
        <v>-97.496477999999996</v>
      </c>
      <c r="L3161" s="5" t="str">
        <f>HYPERLINK("https://maps.google.com/?q=16.544496,-97.496477999999996", "🔗 Ver Mapa")</f>
        <v>🔗 Ver Mapa</v>
      </c>
    </row>
    <row r="3162" spans="1:12" ht="43.5" x14ac:dyDescent="0.35">
      <c r="A3162" s="6" t="s">
        <v>98</v>
      </c>
      <c r="B3162" s="6" t="s">
        <v>99</v>
      </c>
      <c r="C3162" s="6" t="s">
        <v>666</v>
      </c>
      <c r="D3162" s="6" t="s">
        <v>14</v>
      </c>
      <c r="E3162" s="6" t="s">
        <v>39</v>
      </c>
      <c r="F3162" s="6" t="s">
        <v>494</v>
      </c>
      <c r="G3162" s="6" t="s">
        <v>664</v>
      </c>
      <c r="H3162" s="6" t="s">
        <v>667</v>
      </c>
      <c r="I3162" s="6" t="s">
        <v>31</v>
      </c>
      <c r="J3162" s="6">
        <v>16.544495999999999</v>
      </c>
      <c r="K3162" s="6">
        <v>-97.496988000000002</v>
      </c>
      <c r="L3162" s="6" t="str">
        <f>HYPERLINK("https://maps.google.com/?q=16.544496,-97.496988000000002", "🔗 Ver Mapa")</f>
        <v>🔗 Ver Mapa</v>
      </c>
    </row>
    <row r="3163" spans="1:12" ht="43.5" x14ac:dyDescent="0.35">
      <c r="A3163" s="5" t="s">
        <v>98</v>
      </c>
      <c r="B3163" s="5" t="s">
        <v>99</v>
      </c>
      <c r="C3163" s="5" t="s">
        <v>666</v>
      </c>
      <c r="D3163" s="5" t="s">
        <v>14</v>
      </c>
      <c r="E3163" s="5" t="s">
        <v>39</v>
      </c>
      <c r="F3163" s="5" t="s">
        <v>494</v>
      </c>
      <c r="G3163" s="5" t="s">
        <v>664</v>
      </c>
      <c r="H3163" s="5" t="s">
        <v>667</v>
      </c>
      <c r="I3163" s="5" t="s">
        <v>31</v>
      </c>
      <c r="J3163" s="5">
        <v>16.544630000000002</v>
      </c>
      <c r="K3163" s="5">
        <v>-97.496195999999998</v>
      </c>
      <c r="L3163" s="5" t="str">
        <f>HYPERLINK("https://maps.google.com/?q=16.54463,-97.496195999999998", "🔗 Ver Mapa")</f>
        <v>🔗 Ver Mapa</v>
      </c>
    </row>
    <row r="3164" spans="1:12" ht="43.5" x14ac:dyDescent="0.35">
      <c r="A3164" s="6" t="s">
        <v>98</v>
      </c>
      <c r="B3164" s="6" t="s">
        <v>99</v>
      </c>
      <c r="C3164" s="6" t="s">
        <v>666</v>
      </c>
      <c r="D3164" s="6" t="s">
        <v>14</v>
      </c>
      <c r="E3164" s="6" t="s">
        <v>39</v>
      </c>
      <c r="F3164" s="6" t="s">
        <v>494</v>
      </c>
      <c r="G3164" s="6" t="s">
        <v>664</v>
      </c>
      <c r="H3164" s="6" t="s">
        <v>667</v>
      </c>
      <c r="I3164" s="6" t="s">
        <v>31</v>
      </c>
      <c r="J3164" s="6">
        <v>16.544827999999999</v>
      </c>
      <c r="K3164" s="6">
        <v>-97.496561</v>
      </c>
      <c r="L3164" s="6" t="str">
        <f>HYPERLINK("https://maps.google.com/?q=16.544828,-97.496561", "🔗 Ver Mapa")</f>
        <v>🔗 Ver Mapa</v>
      </c>
    </row>
    <row r="3165" spans="1:12" ht="43.5" x14ac:dyDescent="0.35">
      <c r="A3165" s="5" t="s">
        <v>98</v>
      </c>
      <c r="B3165" s="5" t="s">
        <v>99</v>
      </c>
      <c r="C3165" s="5" t="s">
        <v>666</v>
      </c>
      <c r="D3165" s="5" t="s">
        <v>14</v>
      </c>
      <c r="E3165" s="5" t="s">
        <v>39</v>
      </c>
      <c r="F3165" s="5" t="s">
        <v>494</v>
      </c>
      <c r="G3165" s="5" t="s">
        <v>664</v>
      </c>
      <c r="H3165" s="5" t="s">
        <v>667</v>
      </c>
      <c r="I3165" s="5" t="s">
        <v>31</v>
      </c>
      <c r="J3165" s="5">
        <v>16.544912</v>
      </c>
      <c r="K3165" s="5">
        <v>-97.496509000000003</v>
      </c>
      <c r="L3165" s="5" t="str">
        <f>HYPERLINK("https://maps.google.com/?q=16.544912,-97.496509000000003", "🔗 Ver Mapa")</f>
        <v>🔗 Ver Mapa</v>
      </c>
    </row>
    <row r="3166" spans="1:12" ht="43.5" x14ac:dyDescent="0.35">
      <c r="A3166" s="6" t="s">
        <v>98</v>
      </c>
      <c r="B3166" s="6" t="s">
        <v>99</v>
      </c>
      <c r="C3166" s="6" t="s">
        <v>666</v>
      </c>
      <c r="D3166" s="6" t="s">
        <v>14</v>
      </c>
      <c r="E3166" s="6" t="s">
        <v>39</v>
      </c>
      <c r="F3166" s="6" t="s">
        <v>494</v>
      </c>
      <c r="G3166" s="6" t="s">
        <v>664</v>
      </c>
      <c r="H3166" s="6" t="s">
        <v>667</v>
      </c>
      <c r="I3166" s="6" t="s">
        <v>31</v>
      </c>
      <c r="J3166" s="6">
        <v>16.545176999999999</v>
      </c>
      <c r="K3166" s="6">
        <v>-97.495906000000005</v>
      </c>
      <c r="L3166" s="6" t="str">
        <f>HYPERLINK("https://maps.google.com/?q=16.545177,-97.495906000000005", "🔗 Ver Mapa")</f>
        <v>🔗 Ver Mapa</v>
      </c>
    </row>
    <row r="3167" spans="1:12" ht="43.5" x14ac:dyDescent="0.35">
      <c r="A3167" s="5" t="s">
        <v>98</v>
      </c>
      <c r="B3167" s="5" t="s">
        <v>99</v>
      </c>
      <c r="C3167" s="5" t="s">
        <v>666</v>
      </c>
      <c r="D3167" s="5" t="s">
        <v>14</v>
      </c>
      <c r="E3167" s="5" t="s">
        <v>39</v>
      </c>
      <c r="F3167" s="5" t="s">
        <v>494</v>
      </c>
      <c r="G3167" s="5" t="s">
        <v>664</v>
      </c>
      <c r="H3167" s="5" t="s">
        <v>667</v>
      </c>
      <c r="I3167" s="5" t="s">
        <v>31</v>
      </c>
      <c r="J3167" s="5">
        <v>16.545195</v>
      </c>
      <c r="K3167" s="5">
        <v>-97.495180000000005</v>
      </c>
      <c r="L3167" s="5" t="str">
        <f>HYPERLINK("https://maps.google.com/?q=16.545195,-97.495180000000005", "🔗 Ver Mapa")</f>
        <v>🔗 Ver Mapa</v>
      </c>
    </row>
    <row r="3168" spans="1:12" ht="43.5" x14ac:dyDescent="0.35">
      <c r="A3168" s="6" t="s">
        <v>98</v>
      </c>
      <c r="B3168" s="6" t="s">
        <v>99</v>
      </c>
      <c r="C3168" s="6" t="s">
        <v>666</v>
      </c>
      <c r="D3168" s="6" t="s">
        <v>14</v>
      </c>
      <c r="E3168" s="6" t="s">
        <v>39</v>
      </c>
      <c r="F3168" s="6" t="s">
        <v>494</v>
      </c>
      <c r="G3168" s="6" t="s">
        <v>664</v>
      </c>
      <c r="H3168" s="6" t="s">
        <v>667</v>
      </c>
      <c r="I3168" s="6" t="s">
        <v>31</v>
      </c>
      <c r="J3168" s="6">
        <v>16.545390999999999</v>
      </c>
      <c r="K3168" s="6">
        <v>-97.495981999999998</v>
      </c>
      <c r="L3168" s="6" t="str">
        <f>HYPERLINK("https://maps.google.com/?q=16.545391,-97.495981999999998", "🔗 Ver Mapa")</f>
        <v>🔗 Ver Mapa</v>
      </c>
    </row>
    <row r="3169" spans="1:12" ht="43.5" x14ac:dyDescent="0.35">
      <c r="A3169" s="5" t="s">
        <v>98</v>
      </c>
      <c r="B3169" s="5" t="s">
        <v>99</v>
      </c>
      <c r="C3169" s="5" t="s">
        <v>666</v>
      </c>
      <c r="D3169" s="5" t="s">
        <v>14</v>
      </c>
      <c r="E3169" s="5" t="s">
        <v>39</v>
      </c>
      <c r="F3169" s="5" t="s">
        <v>494</v>
      </c>
      <c r="G3169" s="5" t="s">
        <v>664</v>
      </c>
      <c r="H3169" s="5" t="s">
        <v>667</v>
      </c>
      <c r="I3169" s="5" t="s">
        <v>31</v>
      </c>
      <c r="J3169" s="5">
        <v>16.547494</v>
      </c>
      <c r="K3169" s="5">
        <v>-97.497378999999995</v>
      </c>
      <c r="L3169" s="5" t="str">
        <f>HYPERLINK("https://maps.google.com/?q=16.547494,-97.497378999999995", "🔗 Ver Mapa")</f>
        <v>🔗 Ver Mapa</v>
      </c>
    </row>
    <row r="3170" spans="1:12" ht="43.5" x14ac:dyDescent="0.35">
      <c r="A3170" s="6" t="s">
        <v>98</v>
      </c>
      <c r="B3170" s="6" t="s">
        <v>99</v>
      </c>
      <c r="C3170" s="6" t="s">
        <v>666</v>
      </c>
      <c r="D3170" s="6" t="s">
        <v>14</v>
      </c>
      <c r="E3170" s="6" t="s">
        <v>39</v>
      </c>
      <c r="F3170" s="6" t="s">
        <v>494</v>
      </c>
      <c r="G3170" s="6" t="s">
        <v>664</v>
      </c>
      <c r="H3170" s="6" t="s">
        <v>667</v>
      </c>
      <c r="I3170" s="6" t="s">
        <v>31</v>
      </c>
      <c r="J3170" s="6">
        <v>16.547550999999999</v>
      </c>
      <c r="K3170" s="6">
        <v>-97.498168000000007</v>
      </c>
      <c r="L3170" s="6" t="str">
        <f>HYPERLINK("https://maps.google.com/?q=16.547551,-97.498168000000007", "🔗 Ver Mapa")</f>
        <v>🔗 Ver Mapa</v>
      </c>
    </row>
    <row r="3171" spans="1:12" ht="43.5" x14ac:dyDescent="0.35">
      <c r="A3171" s="5" t="s">
        <v>98</v>
      </c>
      <c r="B3171" s="5" t="s">
        <v>99</v>
      </c>
      <c r="C3171" s="5" t="s">
        <v>666</v>
      </c>
      <c r="D3171" s="5" t="s">
        <v>14</v>
      </c>
      <c r="E3171" s="5" t="s">
        <v>39</v>
      </c>
      <c r="F3171" s="5" t="s">
        <v>494</v>
      </c>
      <c r="G3171" s="5" t="s">
        <v>664</v>
      </c>
      <c r="H3171" s="5" t="s">
        <v>667</v>
      </c>
      <c r="I3171" s="5" t="s">
        <v>31</v>
      </c>
      <c r="J3171" s="5">
        <v>16.549043000000001</v>
      </c>
      <c r="K3171" s="5">
        <v>-97.503328999999994</v>
      </c>
      <c r="L3171" s="5" t="str">
        <f>HYPERLINK("https://maps.google.com/?q=16.549043,-97.503328999999994", "🔗 Ver Mapa")</f>
        <v>🔗 Ver Mapa</v>
      </c>
    </row>
    <row r="3172" spans="1:12" ht="43.5" x14ac:dyDescent="0.35">
      <c r="A3172" s="6" t="s">
        <v>98</v>
      </c>
      <c r="B3172" s="6" t="s">
        <v>99</v>
      </c>
      <c r="C3172" s="6" t="s">
        <v>666</v>
      </c>
      <c r="D3172" s="6" t="s">
        <v>14</v>
      </c>
      <c r="E3172" s="6" t="s">
        <v>39</v>
      </c>
      <c r="F3172" s="6" t="s">
        <v>494</v>
      </c>
      <c r="G3172" s="6" t="s">
        <v>664</v>
      </c>
      <c r="H3172" s="6" t="s">
        <v>667</v>
      </c>
      <c r="I3172" s="6" t="s">
        <v>31</v>
      </c>
      <c r="J3172" s="6">
        <v>16.549212000000001</v>
      </c>
      <c r="K3172" s="6">
        <v>-97.501330999999993</v>
      </c>
      <c r="L3172" s="6" t="str">
        <f>HYPERLINK("https://maps.google.com/?q=16.549212,-97.501330999999993", "🔗 Ver Mapa")</f>
        <v>🔗 Ver Mapa</v>
      </c>
    </row>
    <row r="3173" spans="1:12" ht="43.5" x14ac:dyDescent="0.35">
      <c r="A3173" s="5" t="s">
        <v>98</v>
      </c>
      <c r="B3173" s="5" t="s">
        <v>99</v>
      </c>
      <c r="C3173" s="5" t="s">
        <v>666</v>
      </c>
      <c r="D3173" s="5" t="s">
        <v>14</v>
      </c>
      <c r="E3173" s="5" t="s">
        <v>39</v>
      </c>
      <c r="F3173" s="5" t="s">
        <v>494</v>
      </c>
      <c r="G3173" s="5" t="s">
        <v>664</v>
      </c>
      <c r="H3173" s="5" t="s">
        <v>667</v>
      </c>
      <c r="I3173" s="5" t="s">
        <v>31</v>
      </c>
      <c r="J3173" s="5">
        <v>16.549547</v>
      </c>
      <c r="K3173" s="5">
        <v>-97.501769999999993</v>
      </c>
      <c r="L3173" s="5" t="str">
        <f>HYPERLINK("https://maps.google.com/?q=16.549547,-97.501769999999993", "🔗 Ver Mapa")</f>
        <v>🔗 Ver Mapa</v>
      </c>
    </row>
    <row r="3174" spans="1:12" ht="43.5" x14ac:dyDescent="0.35">
      <c r="A3174" s="6" t="s">
        <v>98</v>
      </c>
      <c r="B3174" s="6" t="s">
        <v>99</v>
      </c>
      <c r="C3174" s="6" t="s">
        <v>666</v>
      </c>
      <c r="D3174" s="6" t="s">
        <v>14</v>
      </c>
      <c r="E3174" s="6" t="s">
        <v>39</v>
      </c>
      <c r="F3174" s="6" t="s">
        <v>494</v>
      </c>
      <c r="G3174" s="6" t="s">
        <v>664</v>
      </c>
      <c r="H3174" s="6" t="s">
        <v>667</v>
      </c>
      <c r="I3174" s="6" t="s">
        <v>31</v>
      </c>
      <c r="J3174" s="6">
        <v>16.549602</v>
      </c>
      <c r="K3174" s="6">
        <v>-97.498790999999997</v>
      </c>
      <c r="L3174" s="6" t="str">
        <f>HYPERLINK("https://maps.google.com/?q=16.549602,-97.498790999999997", "🔗 Ver Mapa")</f>
        <v>🔗 Ver Mapa</v>
      </c>
    </row>
    <row r="3175" spans="1:12" ht="43.5" x14ac:dyDescent="0.35">
      <c r="A3175" s="5" t="s">
        <v>98</v>
      </c>
      <c r="B3175" s="5" t="s">
        <v>99</v>
      </c>
      <c r="C3175" s="5" t="s">
        <v>666</v>
      </c>
      <c r="D3175" s="5" t="s">
        <v>14</v>
      </c>
      <c r="E3175" s="5" t="s">
        <v>39</v>
      </c>
      <c r="F3175" s="5" t="s">
        <v>494</v>
      </c>
      <c r="G3175" s="5" t="s">
        <v>664</v>
      </c>
      <c r="H3175" s="5" t="s">
        <v>667</v>
      </c>
      <c r="I3175" s="5" t="s">
        <v>31</v>
      </c>
      <c r="J3175" s="5">
        <v>16.549620999999998</v>
      </c>
      <c r="K3175" s="5">
        <v>-97.500459000000006</v>
      </c>
      <c r="L3175" s="5" t="str">
        <f>HYPERLINK("https://maps.google.com/?q=16.549621,-97.500459000000006", "🔗 Ver Mapa")</f>
        <v>🔗 Ver Mapa</v>
      </c>
    </row>
    <row r="3176" spans="1:12" ht="43.5" x14ac:dyDescent="0.35">
      <c r="A3176" s="6" t="s">
        <v>98</v>
      </c>
      <c r="B3176" s="6" t="s">
        <v>99</v>
      </c>
      <c r="C3176" s="6" t="s">
        <v>666</v>
      </c>
      <c r="D3176" s="6" t="s">
        <v>14</v>
      </c>
      <c r="E3176" s="6" t="s">
        <v>39</v>
      </c>
      <c r="F3176" s="6" t="s">
        <v>494</v>
      </c>
      <c r="G3176" s="6" t="s">
        <v>664</v>
      </c>
      <c r="H3176" s="6" t="s">
        <v>667</v>
      </c>
      <c r="I3176" s="6" t="s">
        <v>31</v>
      </c>
      <c r="J3176" s="6">
        <v>16.549662000000001</v>
      </c>
      <c r="K3176" s="6">
        <v>-97.501124000000004</v>
      </c>
      <c r="L3176" s="6" t="str">
        <f>HYPERLINK("https://maps.google.com/?q=16.549662,-97.501124000000004", "🔗 Ver Mapa")</f>
        <v>🔗 Ver Mapa</v>
      </c>
    </row>
    <row r="3177" spans="1:12" ht="43.5" x14ac:dyDescent="0.35">
      <c r="A3177" s="5" t="s">
        <v>98</v>
      </c>
      <c r="B3177" s="5" t="s">
        <v>99</v>
      </c>
      <c r="C3177" s="5" t="s">
        <v>666</v>
      </c>
      <c r="D3177" s="5" t="s">
        <v>14</v>
      </c>
      <c r="E3177" s="5" t="s">
        <v>39</v>
      </c>
      <c r="F3177" s="5" t="s">
        <v>494</v>
      </c>
      <c r="G3177" s="5" t="s">
        <v>664</v>
      </c>
      <c r="H3177" s="5" t="s">
        <v>667</v>
      </c>
      <c r="I3177" s="5" t="s">
        <v>31</v>
      </c>
      <c r="J3177" s="5">
        <v>16.549809</v>
      </c>
      <c r="K3177" s="5">
        <v>-97.500639000000007</v>
      </c>
      <c r="L3177" s="5" t="str">
        <f>HYPERLINK("https://maps.google.com/?q=16.549809,-97.500639000000007", "🔗 Ver Mapa")</f>
        <v>🔗 Ver Mapa</v>
      </c>
    </row>
    <row r="3178" spans="1:12" ht="43.5" x14ac:dyDescent="0.35">
      <c r="A3178" s="6" t="s">
        <v>98</v>
      </c>
      <c r="B3178" s="6" t="s">
        <v>99</v>
      </c>
      <c r="C3178" s="6" t="s">
        <v>666</v>
      </c>
      <c r="D3178" s="6" t="s">
        <v>14</v>
      </c>
      <c r="E3178" s="6" t="s">
        <v>39</v>
      </c>
      <c r="F3178" s="6" t="s">
        <v>494</v>
      </c>
      <c r="G3178" s="6" t="s">
        <v>664</v>
      </c>
      <c r="H3178" s="6" t="s">
        <v>667</v>
      </c>
      <c r="I3178" s="6" t="s">
        <v>31</v>
      </c>
      <c r="J3178" s="6">
        <v>16.549837</v>
      </c>
      <c r="K3178" s="6">
        <v>-97.500225</v>
      </c>
      <c r="L3178" s="6" t="str">
        <f>HYPERLINK("https://maps.google.com/?q=16.549837,-97.500225", "🔗 Ver Mapa")</f>
        <v>🔗 Ver Mapa</v>
      </c>
    </row>
    <row r="3179" spans="1:12" ht="43.5" x14ac:dyDescent="0.35">
      <c r="A3179" s="5" t="s">
        <v>98</v>
      </c>
      <c r="B3179" s="5" t="s">
        <v>99</v>
      </c>
      <c r="C3179" s="5" t="s">
        <v>666</v>
      </c>
      <c r="D3179" s="5" t="s">
        <v>14</v>
      </c>
      <c r="E3179" s="5" t="s">
        <v>39</v>
      </c>
      <c r="F3179" s="5" t="s">
        <v>494</v>
      </c>
      <c r="G3179" s="5" t="s">
        <v>664</v>
      </c>
      <c r="H3179" s="5" t="s">
        <v>667</v>
      </c>
      <c r="I3179" s="5" t="s">
        <v>31</v>
      </c>
      <c r="J3179" s="5">
        <v>16.550608</v>
      </c>
      <c r="K3179" s="5">
        <v>-97.499099000000001</v>
      </c>
      <c r="L3179" s="5" t="str">
        <f>HYPERLINK("https://maps.google.com/?q=16.550608,-97.499099000000001", "🔗 Ver Mapa")</f>
        <v>🔗 Ver Mapa</v>
      </c>
    </row>
    <row r="3180" spans="1:12" ht="43.5" x14ac:dyDescent="0.35">
      <c r="A3180" s="6" t="s">
        <v>98</v>
      </c>
      <c r="B3180" s="6" t="s">
        <v>99</v>
      </c>
      <c r="C3180" s="6" t="s">
        <v>666</v>
      </c>
      <c r="D3180" s="6" t="s">
        <v>14</v>
      </c>
      <c r="E3180" s="6" t="s">
        <v>39</v>
      </c>
      <c r="F3180" s="6" t="s">
        <v>494</v>
      </c>
      <c r="G3180" s="6" t="s">
        <v>664</v>
      </c>
      <c r="H3180" s="6" t="s">
        <v>667</v>
      </c>
      <c r="I3180" s="6" t="s">
        <v>31</v>
      </c>
      <c r="J3180" s="6">
        <v>16.551027999999999</v>
      </c>
      <c r="K3180" s="6">
        <v>-97.495705000000001</v>
      </c>
      <c r="L3180" s="6" t="str">
        <f>HYPERLINK("https://maps.google.com/?q=16.551028,-97.495705000000001", "🔗 Ver Mapa")</f>
        <v>🔗 Ver Mapa</v>
      </c>
    </row>
    <row r="3181" spans="1:12" ht="43.5" x14ac:dyDescent="0.35">
      <c r="A3181" s="5" t="s">
        <v>98</v>
      </c>
      <c r="B3181" s="5" t="s">
        <v>99</v>
      </c>
      <c r="C3181" s="5" t="s">
        <v>666</v>
      </c>
      <c r="D3181" s="5" t="s">
        <v>14</v>
      </c>
      <c r="E3181" s="5" t="s">
        <v>39</v>
      </c>
      <c r="F3181" s="5" t="s">
        <v>494</v>
      </c>
      <c r="G3181" s="5" t="s">
        <v>664</v>
      </c>
      <c r="H3181" s="5" t="s">
        <v>667</v>
      </c>
      <c r="I3181" s="5" t="s">
        <v>31</v>
      </c>
      <c r="J3181" s="5">
        <v>16.551082000000001</v>
      </c>
      <c r="K3181" s="5">
        <v>-97.500405000000001</v>
      </c>
      <c r="L3181" s="5" t="str">
        <f>HYPERLINK("https://maps.google.com/?q=16.551082,-97.500405000000001", "🔗 Ver Mapa")</f>
        <v>🔗 Ver Mapa</v>
      </c>
    </row>
    <row r="3182" spans="1:12" ht="43.5" x14ac:dyDescent="0.35">
      <c r="A3182" s="6" t="s">
        <v>98</v>
      </c>
      <c r="B3182" s="6" t="s">
        <v>99</v>
      </c>
      <c r="C3182" s="6" t="s">
        <v>666</v>
      </c>
      <c r="D3182" s="6" t="s">
        <v>14</v>
      </c>
      <c r="E3182" s="6" t="s">
        <v>39</v>
      </c>
      <c r="F3182" s="6" t="s">
        <v>494</v>
      </c>
      <c r="G3182" s="6" t="s">
        <v>664</v>
      </c>
      <c r="H3182" s="6" t="s">
        <v>667</v>
      </c>
      <c r="I3182" s="6" t="s">
        <v>31</v>
      </c>
      <c r="J3182" s="6">
        <v>16.551105</v>
      </c>
      <c r="K3182" s="6">
        <v>-97.500606000000005</v>
      </c>
      <c r="L3182" s="6" t="str">
        <f>HYPERLINK("https://maps.google.com/?q=16.551105,-97.500606000000005", "🔗 Ver Mapa")</f>
        <v>🔗 Ver Mapa</v>
      </c>
    </row>
    <row r="3183" spans="1:12" ht="43.5" x14ac:dyDescent="0.35">
      <c r="A3183" s="5" t="s">
        <v>98</v>
      </c>
      <c r="B3183" s="5" t="s">
        <v>99</v>
      </c>
      <c r="C3183" s="5" t="s">
        <v>666</v>
      </c>
      <c r="D3183" s="5" t="s">
        <v>14</v>
      </c>
      <c r="E3183" s="5" t="s">
        <v>39</v>
      </c>
      <c r="F3183" s="5" t="s">
        <v>494</v>
      </c>
      <c r="G3183" s="5" t="s">
        <v>664</v>
      </c>
      <c r="H3183" s="5" t="s">
        <v>667</v>
      </c>
      <c r="I3183" s="5" t="s">
        <v>31</v>
      </c>
      <c r="J3183" s="5">
        <v>16.551335000000002</v>
      </c>
      <c r="K3183" s="5">
        <v>-97.495969000000002</v>
      </c>
      <c r="L3183" s="5" t="str">
        <f>HYPERLINK("https://maps.google.com/?q=16.551335,-97.495969000000002", "🔗 Ver Mapa")</f>
        <v>🔗 Ver Mapa</v>
      </c>
    </row>
    <row r="3184" spans="1:12" ht="43.5" x14ac:dyDescent="0.35">
      <c r="A3184" s="6" t="s">
        <v>98</v>
      </c>
      <c r="B3184" s="6" t="s">
        <v>99</v>
      </c>
      <c r="C3184" s="6" t="s">
        <v>666</v>
      </c>
      <c r="D3184" s="6" t="s">
        <v>14</v>
      </c>
      <c r="E3184" s="6" t="s">
        <v>39</v>
      </c>
      <c r="F3184" s="6" t="s">
        <v>494</v>
      </c>
      <c r="G3184" s="6" t="s">
        <v>664</v>
      </c>
      <c r="H3184" s="6" t="s">
        <v>667</v>
      </c>
      <c r="I3184" s="6" t="s">
        <v>31</v>
      </c>
      <c r="J3184" s="6">
        <v>16.551338999999999</v>
      </c>
      <c r="K3184" s="6">
        <v>-97.499438999999995</v>
      </c>
      <c r="L3184" s="6" t="str">
        <f>HYPERLINK("https://maps.google.com/?q=16.551339,-97.499438999999995", "🔗 Ver Mapa")</f>
        <v>🔗 Ver Mapa</v>
      </c>
    </row>
    <row r="3185" spans="1:12" ht="43.5" x14ac:dyDescent="0.35">
      <c r="A3185" s="5" t="s">
        <v>98</v>
      </c>
      <c r="B3185" s="5" t="s">
        <v>99</v>
      </c>
      <c r="C3185" s="5" t="s">
        <v>666</v>
      </c>
      <c r="D3185" s="5" t="s">
        <v>14</v>
      </c>
      <c r="E3185" s="5" t="s">
        <v>39</v>
      </c>
      <c r="F3185" s="5" t="s">
        <v>494</v>
      </c>
      <c r="G3185" s="5" t="s">
        <v>664</v>
      </c>
      <c r="H3185" s="5" t="s">
        <v>667</v>
      </c>
      <c r="I3185" s="5" t="s">
        <v>31</v>
      </c>
      <c r="J3185" s="5">
        <v>16.551673000000001</v>
      </c>
      <c r="K3185" s="5">
        <v>-97.499279999999999</v>
      </c>
      <c r="L3185" s="5" t="str">
        <f>HYPERLINK("https://maps.google.com/?q=16.551673,-97.499279999999999", "🔗 Ver Mapa")</f>
        <v>🔗 Ver Mapa</v>
      </c>
    </row>
    <row r="3186" spans="1:12" ht="43.5" x14ac:dyDescent="0.35">
      <c r="A3186" s="6" t="s">
        <v>98</v>
      </c>
      <c r="B3186" s="6" t="s">
        <v>99</v>
      </c>
      <c r="C3186" s="6" t="s">
        <v>666</v>
      </c>
      <c r="D3186" s="6" t="s">
        <v>14</v>
      </c>
      <c r="E3186" s="6" t="s">
        <v>39</v>
      </c>
      <c r="F3186" s="6" t="s">
        <v>494</v>
      </c>
      <c r="G3186" s="6" t="s">
        <v>664</v>
      </c>
      <c r="H3186" s="6" t="s">
        <v>667</v>
      </c>
      <c r="I3186" s="6" t="s">
        <v>31</v>
      </c>
      <c r="J3186" s="6">
        <v>16.551835000000001</v>
      </c>
      <c r="K3186" s="6">
        <v>-97.499009000000001</v>
      </c>
      <c r="L3186" s="6" t="str">
        <f>HYPERLINK("https://maps.google.com/?q=16.551835,-97.499009000000001", "🔗 Ver Mapa")</f>
        <v>🔗 Ver Mapa</v>
      </c>
    </row>
    <row r="3187" spans="1:12" ht="43.5" x14ac:dyDescent="0.35">
      <c r="A3187" s="5" t="s">
        <v>98</v>
      </c>
      <c r="B3187" s="5" t="s">
        <v>99</v>
      </c>
      <c r="C3187" s="5" t="s">
        <v>666</v>
      </c>
      <c r="D3187" s="5" t="s">
        <v>14</v>
      </c>
      <c r="E3187" s="5" t="s">
        <v>39</v>
      </c>
      <c r="F3187" s="5" t="s">
        <v>494</v>
      </c>
      <c r="G3187" s="5" t="s">
        <v>664</v>
      </c>
      <c r="H3187" s="5" t="s">
        <v>667</v>
      </c>
      <c r="I3187" s="5" t="s">
        <v>31</v>
      </c>
      <c r="J3187" s="5">
        <v>16.551870999999998</v>
      </c>
      <c r="K3187" s="5">
        <v>-97.500206000000006</v>
      </c>
      <c r="L3187" s="5" t="str">
        <f>HYPERLINK("https://maps.google.com/?q=16.551871,-97.500206000000006", "🔗 Ver Mapa")</f>
        <v>🔗 Ver Mapa</v>
      </c>
    </row>
    <row r="3188" spans="1:12" ht="43.5" x14ac:dyDescent="0.35">
      <c r="A3188" s="6" t="s">
        <v>98</v>
      </c>
      <c r="B3188" s="6" t="s">
        <v>99</v>
      </c>
      <c r="C3188" s="6" t="s">
        <v>668</v>
      </c>
      <c r="D3188" s="6" t="s">
        <v>14</v>
      </c>
      <c r="E3188" s="6" t="s">
        <v>52</v>
      </c>
      <c r="F3188" s="6" t="s">
        <v>83</v>
      </c>
      <c r="G3188" s="6" t="s">
        <v>669</v>
      </c>
      <c r="H3188" s="6" t="s">
        <v>670</v>
      </c>
      <c r="I3188" s="6" t="s">
        <v>31</v>
      </c>
      <c r="J3188" s="6">
        <v>17.033828</v>
      </c>
      <c r="K3188" s="6">
        <v>-97.051563999999999</v>
      </c>
      <c r="L3188" s="6" t="str">
        <f>HYPERLINK("https://maps.google.com/?q=17.033828,-97.051563999999999", "🔗 Ver Mapa")</f>
        <v>🔗 Ver Mapa</v>
      </c>
    </row>
    <row r="3189" spans="1:12" ht="43.5" x14ac:dyDescent="0.35">
      <c r="A3189" s="5" t="s">
        <v>98</v>
      </c>
      <c r="B3189" s="5" t="s">
        <v>99</v>
      </c>
      <c r="C3189" s="5" t="s">
        <v>668</v>
      </c>
      <c r="D3189" s="5" t="s">
        <v>14</v>
      </c>
      <c r="E3189" s="5" t="s">
        <v>52</v>
      </c>
      <c r="F3189" s="5" t="s">
        <v>83</v>
      </c>
      <c r="G3189" s="5" t="s">
        <v>669</v>
      </c>
      <c r="H3189" s="5" t="s">
        <v>670</v>
      </c>
      <c r="I3189" s="5" t="s">
        <v>31</v>
      </c>
      <c r="J3189" s="5">
        <v>17.034276999999999</v>
      </c>
      <c r="K3189" s="5">
        <v>-97.051333999999997</v>
      </c>
      <c r="L3189" s="5" t="str">
        <f>HYPERLINK("https://maps.google.com/?q=17.034277,-97.051333999999997", "🔗 Ver Mapa")</f>
        <v>🔗 Ver Mapa</v>
      </c>
    </row>
    <row r="3190" spans="1:12" ht="43.5" x14ac:dyDescent="0.35">
      <c r="A3190" s="6" t="s">
        <v>98</v>
      </c>
      <c r="B3190" s="6" t="s">
        <v>99</v>
      </c>
      <c r="C3190" s="6" t="s">
        <v>668</v>
      </c>
      <c r="D3190" s="6" t="s">
        <v>14</v>
      </c>
      <c r="E3190" s="6" t="s">
        <v>52</v>
      </c>
      <c r="F3190" s="6" t="s">
        <v>83</v>
      </c>
      <c r="G3190" s="6" t="s">
        <v>669</v>
      </c>
      <c r="H3190" s="6" t="s">
        <v>670</v>
      </c>
      <c r="I3190" s="6" t="s">
        <v>31</v>
      </c>
      <c r="J3190" s="6">
        <v>17.035143999999999</v>
      </c>
      <c r="K3190" s="6">
        <v>-97.051046999999997</v>
      </c>
      <c r="L3190" s="6" t="str">
        <f>HYPERLINK("https://maps.google.com/?q=17.035144,-97.051046999999997", "🔗 Ver Mapa")</f>
        <v>🔗 Ver Mapa</v>
      </c>
    </row>
    <row r="3191" spans="1:12" ht="43.5" x14ac:dyDescent="0.35">
      <c r="A3191" s="5" t="s">
        <v>98</v>
      </c>
      <c r="B3191" s="5" t="s">
        <v>99</v>
      </c>
      <c r="C3191" s="5" t="s">
        <v>668</v>
      </c>
      <c r="D3191" s="5" t="s">
        <v>14</v>
      </c>
      <c r="E3191" s="5" t="s">
        <v>52</v>
      </c>
      <c r="F3191" s="5" t="s">
        <v>83</v>
      </c>
      <c r="G3191" s="5" t="s">
        <v>669</v>
      </c>
      <c r="H3191" s="5" t="s">
        <v>670</v>
      </c>
      <c r="I3191" s="5" t="s">
        <v>31</v>
      </c>
      <c r="J3191" s="5">
        <v>17.035340999999999</v>
      </c>
      <c r="K3191" s="5">
        <v>-97.054107000000002</v>
      </c>
      <c r="L3191" s="5" t="str">
        <f>HYPERLINK("https://maps.google.com/?q=17.035341,-97.054107000000002", "🔗 Ver Mapa")</f>
        <v>🔗 Ver Mapa</v>
      </c>
    </row>
    <row r="3192" spans="1:12" ht="43.5" x14ac:dyDescent="0.35">
      <c r="A3192" s="6" t="s">
        <v>98</v>
      </c>
      <c r="B3192" s="6" t="s">
        <v>99</v>
      </c>
      <c r="C3192" s="6" t="s">
        <v>668</v>
      </c>
      <c r="D3192" s="6" t="s">
        <v>14</v>
      </c>
      <c r="E3192" s="6" t="s">
        <v>52</v>
      </c>
      <c r="F3192" s="6" t="s">
        <v>83</v>
      </c>
      <c r="G3192" s="6" t="s">
        <v>669</v>
      </c>
      <c r="H3192" s="6" t="s">
        <v>670</v>
      </c>
      <c r="I3192" s="6" t="s">
        <v>31</v>
      </c>
      <c r="J3192" s="6">
        <v>17.035350999999999</v>
      </c>
      <c r="K3192" s="6">
        <v>-97.052132999999998</v>
      </c>
      <c r="L3192" s="6" t="str">
        <f>HYPERLINK("https://maps.google.com/?q=17.035351,-97.052132999999998", "🔗 Ver Mapa")</f>
        <v>🔗 Ver Mapa</v>
      </c>
    </row>
    <row r="3193" spans="1:12" ht="43.5" x14ac:dyDescent="0.35">
      <c r="A3193" s="5" t="s">
        <v>98</v>
      </c>
      <c r="B3193" s="5" t="s">
        <v>99</v>
      </c>
      <c r="C3193" s="5" t="s">
        <v>668</v>
      </c>
      <c r="D3193" s="5" t="s">
        <v>14</v>
      </c>
      <c r="E3193" s="5" t="s">
        <v>52</v>
      </c>
      <c r="F3193" s="5" t="s">
        <v>83</v>
      </c>
      <c r="G3193" s="5" t="s">
        <v>669</v>
      </c>
      <c r="H3193" s="5" t="s">
        <v>670</v>
      </c>
      <c r="I3193" s="5" t="s">
        <v>31</v>
      </c>
      <c r="J3193" s="5">
        <v>17.035944000000001</v>
      </c>
      <c r="K3193" s="5">
        <v>-97.051422000000002</v>
      </c>
      <c r="L3193" s="5" t="str">
        <f>HYPERLINK("https://maps.google.com/?q=17.035944,-97.051422000000002", "🔗 Ver Mapa")</f>
        <v>🔗 Ver Mapa</v>
      </c>
    </row>
    <row r="3194" spans="1:12" ht="43.5" x14ac:dyDescent="0.35">
      <c r="A3194" s="6" t="s">
        <v>98</v>
      </c>
      <c r="B3194" s="6" t="s">
        <v>99</v>
      </c>
      <c r="C3194" s="6" t="s">
        <v>668</v>
      </c>
      <c r="D3194" s="6" t="s">
        <v>14</v>
      </c>
      <c r="E3194" s="6" t="s">
        <v>52</v>
      </c>
      <c r="F3194" s="6" t="s">
        <v>83</v>
      </c>
      <c r="G3194" s="6" t="s">
        <v>669</v>
      </c>
      <c r="H3194" s="6" t="s">
        <v>670</v>
      </c>
      <c r="I3194" s="6" t="s">
        <v>31</v>
      </c>
      <c r="J3194" s="6">
        <v>17.035974</v>
      </c>
      <c r="K3194" s="6">
        <v>-97.053669999999997</v>
      </c>
      <c r="L3194" s="6" t="str">
        <f>HYPERLINK("https://maps.google.com/?q=17.035974,-97.053669999999997", "🔗 Ver Mapa")</f>
        <v>🔗 Ver Mapa</v>
      </c>
    </row>
    <row r="3195" spans="1:12" ht="43.5" x14ac:dyDescent="0.35">
      <c r="A3195" s="5" t="s">
        <v>98</v>
      </c>
      <c r="B3195" s="5" t="s">
        <v>99</v>
      </c>
      <c r="C3195" s="5" t="s">
        <v>668</v>
      </c>
      <c r="D3195" s="5" t="s">
        <v>14</v>
      </c>
      <c r="E3195" s="5" t="s">
        <v>52</v>
      </c>
      <c r="F3195" s="5" t="s">
        <v>83</v>
      </c>
      <c r="G3195" s="5" t="s">
        <v>669</v>
      </c>
      <c r="H3195" s="5" t="s">
        <v>670</v>
      </c>
      <c r="I3195" s="5" t="s">
        <v>31</v>
      </c>
      <c r="J3195" s="5">
        <v>17.036128000000001</v>
      </c>
      <c r="K3195" s="5">
        <v>-97.052336999999994</v>
      </c>
      <c r="L3195" s="5" t="str">
        <f>HYPERLINK("https://maps.google.com/?q=17.036128,-97.052336999999994", "🔗 Ver Mapa")</f>
        <v>🔗 Ver Mapa</v>
      </c>
    </row>
    <row r="3196" spans="1:12" ht="43.5" x14ac:dyDescent="0.35">
      <c r="A3196" s="6" t="s">
        <v>98</v>
      </c>
      <c r="B3196" s="6" t="s">
        <v>99</v>
      </c>
      <c r="C3196" s="6" t="s">
        <v>668</v>
      </c>
      <c r="D3196" s="6" t="s">
        <v>14</v>
      </c>
      <c r="E3196" s="6" t="s">
        <v>52</v>
      </c>
      <c r="F3196" s="6" t="s">
        <v>83</v>
      </c>
      <c r="G3196" s="6" t="s">
        <v>669</v>
      </c>
      <c r="H3196" s="6" t="s">
        <v>670</v>
      </c>
      <c r="I3196" s="6" t="s">
        <v>31</v>
      </c>
      <c r="J3196" s="6">
        <v>17.036349000000001</v>
      </c>
      <c r="K3196" s="6">
        <v>-97.051760000000002</v>
      </c>
      <c r="L3196" s="6" t="str">
        <f>HYPERLINK("https://maps.google.com/?q=17.036349,-97.051760000000002", "🔗 Ver Mapa")</f>
        <v>🔗 Ver Mapa</v>
      </c>
    </row>
    <row r="3197" spans="1:12" ht="43.5" x14ac:dyDescent="0.35">
      <c r="A3197" s="5" t="s">
        <v>98</v>
      </c>
      <c r="B3197" s="5" t="s">
        <v>99</v>
      </c>
      <c r="C3197" s="5" t="s">
        <v>668</v>
      </c>
      <c r="D3197" s="5" t="s">
        <v>14</v>
      </c>
      <c r="E3197" s="5" t="s">
        <v>52</v>
      </c>
      <c r="F3197" s="5" t="s">
        <v>83</v>
      </c>
      <c r="G3197" s="5" t="s">
        <v>669</v>
      </c>
      <c r="H3197" s="5" t="s">
        <v>670</v>
      </c>
      <c r="I3197" s="5" t="s">
        <v>31</v>
      </c>
      <c r="J3197" s="5">
        <v>17.036602999999999</v>
      </c>
      <c r="K3197" s="5">
        <v>-97.051218000000006</v>
      </c>
      <c r="L3197" s="5" t="str">
        <f>HYPERLINK("https://maps.google.com/?q=17.036603,-97.051218000000006", "🔗 Ver Mapa")</f>
        <v>🔗 Ver Mapa</v>
      </c>
    </row>
    <row r="3198" spans="1:12" ht="43.5" x14ac:dyDescent="0.35">
      <c r="A3198" s="6" t="s">
        <v>98</v>
      </c>
      <c r="B3198" s="6" t="s">
        <v>99</v>
      </c>
      <c r="C3198" s="6" t="s">
        <v>668</v>
      </c>
      <c r="D3198" s="6" t="s">
        <v>14</v>
      </c>
      <c r="E3198" s="6" t="s">
        <v>52</v>
      </c>
      <c r="F3198" s="6" t="s">
        <v>83</v>
      </c>
      <c r="G3198" s="6" t="s">
        <v>669</v>
      </c>
      <c r="H3198" s="6" t="s">
        <v>670</v>
      </c>
      <c r="I3198" s="6" t="s">
        <v>31</v>
      </c>
      <c r="J3198" s="6">
        <v>17.036715999999998</v>
      </c>
      <c r="K3198" s="6">
        <v>-97.052145999999993</v>
      </c>
      <c r="L3198" s="6" t="str">
        <f>HYPERLINK("https://maps.google.com/?q=17.036716,-97.052145999999993", "🔗 Ver Mapa")</f>
        <v>🔗 Ver Mapa</v>
      </c>
    </row>
    <row r="3199" spans="1:12" ht="43.5" x14ac:dyDescent="0.35">
      <c r="A3199" s="5" t="s">
        <v>98</v>
      </c>
      <c r="B3199" s="5" t="s">
        <v>99</v>
      </c>
      <c r="C3199" s="5" t="s">
        <v>668</v>
      </c>
      <c r="D3199" s="5" t="s">
        <v>14</v>
      </c>
      <c r="E3199" s="5" t="s">
        <v>52</v>
      </c>
      <c r="F3199" s="5" t="s">
        <v>83</v>
      </c>
      <c r="G3199" s="5" t="s">
        <v>669</v>
      </c>
      <c r="H3199" s="5" t="s">
        <v>670</v>
      </c>
      <c r="I3199" s="5" t="s">
        <v>31</v>
      </c>
      <c r="J3199" s="5">
        <v>17.036921</v>
      </c>
      <c r="K3199" s="5">
        <v>-97.050798</v>
      </c>
      <c r="L3199" s="5" t="str">
        <f>HYPERLINK("https://maps.google.com/?q=17.036921,-97.050798", "🔗 Ver Mapa")</f>
        <v>🔗 Ver Mapa</v>
      </c>
    </row>
    <row r="3200" spans="1:12" ht="43.5" x14ac:dyDescent="0.35">
      <c r="A3200" s="6" t="s">
        <v>98</v>
      </c>
      <c r="B3200" s="6" t="s">
        <v>99</v>
      </c>
      <c r="C3200" s="6" t="s">
        <v>668</v>
      </c>
      <c r="D3200" s="6" t="s">
        <v>14</v>
      </c>
      <c r="E3200" s="6" t="s">
        <v>52</v>
      </c>
      <c r="F3200" s="6" t="s">
        <v>83</v>
      </c>
      <c r="G3200" s="6" t="s">
        <v>669</v>
      </c>
      <c r="H3200" s="6" t="s">
        <v>670</v>
      </c>
      <c r="I3200" s="6" t="s">
        <v>31</v>
      </c>
      <c r="J3200" s="6">
        <v>17.037298</v>
      </c>
      <c r="K3200" s="6">
        <v>-97.051382000000004</v>
      </c>
      <c r="L3200" s="6" t="str">
        <f>HYPERLINK("https://maps.google.com/?q=17.037298,-97.051382000000004", "🔗 Ver Mapa")</f>
        <v>🔗 Ver Mapa</v>
      </c>
    </row>
    <row r="3201" spans="1:12" ht="43.5" x14ac:dyDescent="0.35">
      <c r="A3201" s="5" t="s">
        <v>98</v>
      </c>
      <c r="B3201" s="5" t="s">
        <v>99</v>
      </c>
      <c r="C3201" s="5" t="s">
        <v>668</v>
      </c>
      <c r="D3201" s="5" t="s">
        <v>14</v>
      </c>
      <c r="E3201" s="5" t="s">
        <v>52</v>
      </c>
      <c r="F3201" s="5" t="s">
        <v>83</v>
      </c>
      <c r="G3201" s="5" t="s">
        <v>669</v>
      </c>
      <c r="H3201" s="5" t="s">
        <v>670</v>
      </c>
      <c r="I3201" s="5" t="s">
        <v>31</v>
      </c>
      <c r="J3201" s="5">
        <v>17.038060000000002</v>
      </c>
      <c r="K3201" s="5">
        <v>-97.053535999999994</v>
      </c>
      <c r="L3201" s="5" t="str">
        <f>HYPERLINK("https://maps.google.com/?q=17.03806,-97.053535999999994", "🔗 Ver Mapa")</f>
        <v>🔗 Ver Mapa</v>
      </c>
    </row>
    <row r="3202" spans="1:12" ht="43.5" x14ac:dyDescent="0.35">
      <c r="A3202" s="6" t="s">
        <v>98</v>
      </c>
      <c r="B3202" s="6" t="s">
        <v>99</v>
      </c>
      <c r="C3202" s="6" t="s">
        <v>671</v>
      </c>
      <c r="D3202" s="6" t="s">
        <v>14</v>
      </c>
      <c r="E3202" s="6" t="s">
        <v>39</v>
      </c>
      <c r="F3202" s="6" t="s">
        <v>494</v>
      </c>
      <c r="G3202" s="6" t="s">
        <v>495</v>
      </c>
      <c r="H3202" s="6" t="s">
        <v>672</v>
      </c>
      <c r="I3202" s="6" t="s">
        <v>31</v>
      </c>
      <c r="J3202" s="6">
        <v>16.488874182545999</v>
      </c>
      <c r="K3202" s="6">
        <v>-96.946235657071</v>
      </c>
      <c r="L3202" s="6" t="str">
        <f>HYPERLINK("https://maps.google.com/?q=16.4888741825455,-96.9462356570708", "🔗 Ver Mapa")</f>
        <v>🔗 Ver Mapa</v>
      </c>
    </row>
    <row r="3203" spans="1:12" ht="43.5" x14ac:dyDescent="0.35">
      <c r="A3203" s="5" t="s">
        <v>98</v>
      </c>
      <c r="B3203" s="5" t="s">
        <v>99</v>
      </c>
      <c r="C3203" s="5" t="s">
        <v>671</v>
      </c>
      <c r="D3203" s="5" t="s">
        <v>14</v>
      </c>
      <c r="E3203" s="5" t="s">
        <v>39</v>
      </c>
      <c r="F3203" s="5" t="s">
        <v>494</v>
      </c>
      <c r="G3203" s="5" t="s">
        <v>495</v>
      </c>
      <c r="H3203" s="5" t="s">
        <v>672</v>
      </c>
      <c r="I3203" s="5" t="s">
        <v>31</v>
      </c>
      <c r="J3203" s="5">
        <v>16.488927586222001</v>
      </c>
      <c r="K3203" s="5">
        <v>-96.941693000000001</v>
      </c>
      <c r="L3203" s="5" t="str">
        <f>HYPERLINK("https://maps.google.com/?q=16.4889275862224,-96.941693000000001", "🔗 Ver Mapa")</f>
        <v>🔗 Ver Mapa</v>
      </c>
    </row>
    <row r="3204" spans="1:12" ht="43.5" x14ac:dyDescent="0.35">
      <c r="A3204" s="6" t="s">
        <v>98</v>
      </c>
      <c r="B3204" s="6" t="s">
        <v>99</v>
      </c>
      <c r="C3204" s="6" t="s">
        <v>671</v>
      </c>
      <c r="D3204" s="6" t="s">
        <v>14</v>
      </c>
      <c r="E3204" s="6" t="s">
        <v>39</v>
      </c>
      <c r="F3204" s="6" t="s">
        <v>494</v>
      </c>
      <c r="G3204" s="6" t="s">
        <v>495</v>
      </c>
      <c r="H3204" s="6" t="s">
        <v>672</v>
      </c>
      <c r="I3204" s="6" t="s">
        <v>31</v>
      </c>
      <c r="J3204" s="6">
        <v>16.489425945097999</v>
      </c>
      <c r="K3204" s="6">
        <v>-96.943293298051998</v>
      </c>
      <c r="L3204" s="6" t="str">
        <f>HYPERLINK("https://maps.google.com/?q=16.4894259450979,-96.943293298052097", "🔗 Ver Mapa")</f>
        <v>🔗 Ver Mapa</v>
      </c>
    </row>
    <row r="3205" spans="1:12" ht="43.5" x14ac:dyDescent="0.35">
      <c r="A3205" s="5" t="s">
        <v>98</v>
      </c>
      <c r="B3205" s="5" t="s">
        <v>99</v>
      </c>
      <c r="C3205" s="5" t="s">
        <v>671</v>
      </c>
      <c r="D3205" s="5" t="s">
        <v>14</v>
      </c>
      <c r="E3205" s="5" t="s">
        <v>39</v>
      </c>
      <c r="F3205" s="5" t="s">
        <v>494</v>
      </c>
      <c r="G3205" s="5" t="s">
        <v>495</v>
      </c>
      <c r="H3205" s="5" t="s">
        <v>672</v>
      </c>
      <c r="I3205" s="5" t="s">
        <v>31</v>
      </c>
      <c r="J3205" s="5">
        <v>16.490117273435001</v>
      </c>
      <c r="K3205" s="5">
        <v>-96.943549768761997</v>
      </c>
      <c r="L3205" s="5" t="str">
        <f>HYPERLINK("https://maps.google.com/?q=16.4901172734348,-96.943549768762395", "🔗 Ver Mapa")</f>
        <v>🔗 Ver Mapa</v>
      </c>
    </row>
    <row r="3206" spans="1:12" ht="43.5" x14ac:dyDescent="0.35">
      <c r="A3206" s="6" t="s">
        <v>98</v>
      </c>
      <c r="B3206" s="6" t="s">
        <v>99</v>
      </c>
      <c r="C3206" s="6" t="s">
        <v>671</v>
      </c>
      <c r="D3206" s="6" t="s">
        <v>14</v>
      </c>
      <c r="E3206" s="6" t="s">
        <v>39</v>
      </c>
      <c r="F3206" s="6" t="s">
        <v>494</v>
      </c>
      <c r="G3206" s="6" t="s">
        <v>495</v>
      </c>
      <c r="H3206" s="6" t="s">
        <v>672</v>
      </c>
      <c r="I3206" s="6" t="s">
        <v>31</v>
      </c>
      <c r="J3206" s="6">
        <v>16.490889605932001</v>
      </c>
      <c r="K3206" s="6">
        <v>-96.944529107107002</v>
      </c>
      <c r="L3206" s="6" t="str">
        <f>HYPERLINK("https://maps.google.com/?q=16.4908896059321,-96.944529107107201", "🔗 Ver Mapa")</f>
        <v>🔗 Ver Mapa</v>
      </c>
    </row>
    <row r="3207" spans="1:12" ht="29" x14ac:dyDescent="0.35">
      <c r="A3207" s="5" t="s">
        <v>282</v>
      </c>
      <c r="B3207" s="5" t="s">
        <v>283</v>
      </c>
      <c r="C3207" s="5" t="s">
        <v>673</v>
      </c>
      <c r="D3207" s="5" t="s">
        <v>76</v>
      </c>
      <c r="E3207" s="5" t="s">
        <v>52</v>
      </c>
      <c r="F3207" s="5" t="s">
        <v>70</v>
      </c>
      <c r="G3207" s="5" t="s">
        <v>71</v>
      </c>
      <c r="H3207" s="5" t="s">
        <v>72</v>
      </c>
      <c r="I3207" s="5" t="s">
        <v>31</v>
      </c>
      <c r="J3207" s="5">
        <v>17.048030000000001</v>
      </c>
      <c r="K3207" s="5">
        <v>-96.716430000000003</v>
      </c>
      <c r="L3207" s="5" t="str">
        <f>HYPERLINK("https://maps.google.com/?q=17.04803,-96.71643", "🔗 Ver Mapa")</f>
        <v>🔗 Ver Mapa</v>
      </c>
    </row>
    <row r="3208" spans="1:12" ht="72.5" x14ac:dyDescent="0.35">
      <c r="A3208" s="6" t="s">
        <v>674</v>
      </c>
      <c r="B3208" s="6" t="s">
        <v>675</v>
      </c>
      <c r="C3208" s="6" t="s">
        <v>676</v>
      </c>
      <c r="D3208" s="6" t="s">
        <v>677</v>
      </c>
      <c r="E3208" s="6" t="s">
        <v>90</v>
      </c>
      <c r="F3208" s="6" t="s">
        <v>678</v>
      </c>
      <c r="G3208" s="6" t="s">
        <v>679</v>
      </c>
      <c r="H3208" s="6" t="s">
        <v>680</v>
      </c>
      <c r="I3208" s="6" t="s">
        <v>31</v>
      </c>
      <c r="J3208" s="6">
        <v>17.230506999999999</v>
      </c>
      <c r="K3208" s="6">
        <v>-96.206283999999997</v>
      </c>
      <c r="L3208" s="6" t="str">
        <f>HYPERLINK("https://maps.google.com/?q=17.230507,-96.206284", "🔗 Ver Mapa")</f>
        <v>🔗 Ver Mapa</v>
      </c>
    </row>
    <row r="3209" spans="1:12" ht="72.5" x14ac:dyDescent="0.35">
      <c r="A3209" s="5" t="s">
        <v>674</v>
      </c>
      <c r="B3209" s="5" t="s">
        <v>675</v>
      </c>
      <c r="C3209" s="5" t="s">
        <v>676</v>
      </c>
      <c r="D3209" s="5" t="s">
        <v>677</v>
      </c>
      <c r="E3209" s="5" t="s">
        <v>90</v>
      </c>
      <c r="F3209" s="5" t="s">
        <v>678</v>
      </c>
      <c r="G3209" s="5" t="s">
        <v>679</v>
      </c>
      <c r="H3209" s="5" t="s">
        <v>680</v>
      </c>
      <c r="I3209" s="5" t="s">
        <v>31</v>
      </c>
      <c r="J3209" s="5">
        <v>17.233025000000001</v>
      </c>
      <c r="K3209" s="5">
        <v>-96.205428999999995</v>
      </c>
      <c r="L3209" s="5" t="str">
        <f>HYPERLINK("https://maps.google.com/?q=17.233025,-96.205429", "🔗 Ver Mapa")</f>
        <v>🔗 Ver Mapa</v>
      </c>
    </row>
    <row r="3210" spans="1:12" ht="72.5" x14ac:dyDescent="0.35">
      <c r="A3210" s="6" t="s">
        <v>674</v>
      </c>
      <c r="B3210" s="6" t="s">
        <v>675</v>
      </c>
      <c r="C3210" s="6" t="s">
        <v>676</v>
      </c>
      <c r="D3210" s="6" t="s">
        <v>677</v>
      </c>
      <c r="E3210" s="6" t="s">
        <v>90</v>
      </c>
      <c r="F3210" s="6" t="s">
        <v>678</v>
      </c>
      <c r="G3210" s="6" t="s">
        <v>679</v>
      </c>
      <c r="H3210" s="6" t="s">
        <v>680</v>
      </c>
      <c r="I3210" s="6" t="s">
        <v>31</v>
      </c>
      <c r="J3210" s="6">
        <v>17.234831</v>
      </c>
      <c r="K3210" s="6">
        <v>-96.205146999999997</v>
      </c>
      <c r="L3210" s="6" t="str">
        <f>HYPERLINK("https://maps.google.com/?q=17.234831,-96.205147", "🔗 Ver Mapa")</f>
        <v>🔗 Ver Mapa</v>
      </c>
    </row>
    <row r="3211" spans="1:12" ht="43.5" x14ac:dyDescent="0.35">
      <c r="A3211" s="5" t="s">
        <v>98</v>
      </c>
      <c r="B3211" s="5" t="s">
        <v>99</v>
      </c>
      <c r="C3211" s="5" t="s">
        <v>681</v>
      </c>
      <c r="D3211" s="5" t="s">
        <v>14</v>
      </c>
      <c r="E3211" s="5" t="s">
        <v>140</v>
      </c>
      <c r="F3211" s="5" t="s">
        <v>141</v>
      </c>
      <c r="G3211" s="5" t="s">
        <v>682</v>
      </c>
      <c r="H3211" s="5" t="s">
        <v>683</v>
      </c>
      <c r="I3211" s="5" t="s">
        <v>31</v>
      </c>
      <c r="J3211" s="5">
        <v>17.799612</v>
      </c>
      <c r="K3211" s="5">
        <v>-96.003332999999998</v>
      </c>
      <c r="L3211" s="5" t="str">
        <f>HYPERLINK("https://maps.google.com/?q=17.799612,-96.003332999999998", "🔗 Ver Mapa")</f>
        <v>🔗 Ver Mapa</v>
      </c>
    </row>
    <row r="3212" spans="1:12" ht="43.5" x14ac:dyDescent="0.35">
      <c r="A3212" s="6" t="s">
        <v>98</v>
      </c>
      <c r="B3212" s="6" t="s">
        <v>99</v>
      </c>
      <c r="C3212" s="6" t="s">
        <v>681</v>
      </c>
      <c r="D3212" s="6" t="s">
        <v>14</v>
      </c>
      <c r="E3212" s="6" t="s">
        <v>140</v>
      </c>
      <c r="F3212" s="6" t="s">
        <v>141</v>
      </c>
      <c r="G3212" s="6" t="s">
        <v>682</v>
      </c>
      <c r="H3212" s="6" t="s">
        <v>683</v>
      </c>
      <c r="I3212" s="6" t="s">
        <v>31</v>
      </c>
      <c r="J3212" s="6">
        <v>17.800186540877</v>
      </c>
      <c r="K3212" s="6">
        <v>-96.003506612267998</v>
      </c>
      <c r="L3212" s="6" t="str">
        <f>HYPERLINK("https://maps.google.com/?q=17.8001865408774,-96.003506612268495", "🔗 Ver Mapa")</f>
        <v>🔗 Ver Mapa</v>
      </c>
    </row>
    <row r="3213" spans="1:12" ht="43.5" x14ac:dyDescent="0.35">
      <c r="A3213" s="5" t="s">
        <v>98</v>
      </c>
      <c r="B3213" s="5" t="s">
        <v>99</v>
      </c>
      <c r="C3213" s="5" t="s">
        <v>681</v>
      </c>
      <c r="D3213" s="5" t="s">
        <v>14</v>
      </c>
      <c r="E3213" s="5" t="s">
        <v>140</v>
      </c>
      <c r="F3213" s="5" t="s">
        <v>141</v>
      </c>
      <c r="G3213" s="5" t="s">
        <v>682</v>
      </c>
      <c r="H3213" s="5" t="s">
        <v>683</v>
      </c>
      <c r="I3213" s="5" t="s">
        <v>31</v>
      </c>
      <c r="J3213" s="5">
        <v>17.800430096001001</v>
      </c>
      <c r="K3213" s="5">
        <v>-96.004906535478</v>
      </c>
      <c r="L3213" s="5" t="str">
        <f>HYPERLINK("https://maps.google.com/?q=17.8004300960012,-96.004906535478497", "🔗 Ver Mapa")</f>
        <v>🔗 Ver Mapa</v>
      </c>
    </row>
    <row r="3214" spans="1:12" ht="43.5" x14ac:dyDescent="0.35">
      <c r="A3214" s="6" t="s">
        <v>98</v>
      </c>
      <c r="B3214" s="6" t="s">
        <v>99</v>
      </c>
      <c r="C3214" s="6" t="s">
        <v>681</v>
      </c>
      <c r="D3214" s="6" t="s">
        <v>14</v>
      </c>
      <c r="E3214" s="6" t="s">
        <v>140</v>
      </c>
      <c r="F3214" s="6" t="s">
        <v>141</v>
      </c>
      <c r="G3214" s="6" t="s">
        <v>682</v>
      </c>
      <c r="H3214" s="6" t="s">
        <v>683</v>
      </c>
      <c r="I3214" s="6" t="s">
        <v>31</v>
      </c>
      <c r="J3214" s="6">
        <v>17.800432364351</v>
      </c>
      <c r="K3214" s="6">
        <v>-96.003519055224999</v>
      </c>
      <c r="L3214" s="6" t="str">
        <f>HYPERLINK("https://maps.google.com/?q=17.800432364351,-96.003519055225397", "🔗 Ver Mapa")</f>
        <v>🔗 Ver Mapa</v>
      </c>
    </row>
    <row r="3215" spans="1:12" ht="43.5" x14ac:dyDescent="0.35">
      <c r="A3215" s="5" t="s">
        <v>98</v>
      </c>
      <c r="B3215" s="5" t="s">
        <v>99</v>
      </c>
      <c r="C3215" s="5" t="s">
        <v>681</v>
      </c>
      <c r="D3215" s="5" t="s">
        <v>14</v>
      </c>
      <c r="E3215" s="5" t="s">
        <v>140</v>
      </c>
      <c r="F3215" s="5" t="s">
        <v>141</v>
      </c>
      <c r="G3215" s="5" t="s">
        <v>682</v>
      </c>
      <c r="H3215" s="5" t="s">
        <v>683</v>
      </c>
      <c r="I3215" s="5" t="s">
        <v>31</v>
      </c>
      <c r="J3215" s="5">
        <v>17.800527002801999</v>
      </c>
      <c r="K3215" s="5">
        <v>-96.003453775463001</v>
      </c>
      <c r="L3215" s="5" t="str">
        <f>HYPERLINK("https://maps.google.com/?q=17.8005270028019,-96.0034537754631", "🔗 Ver Mapa")</f>
        <v>🔗 Ver Mapa</v>
      </c>
    </row>
    <row r="3216" spans="1:12" ht="43.5" x14ac:dyDescent="0.35">
      <c r="A3216" s="6" t="s">
        <v>98</v>
      </c>
      <c r="B3216" s="6" t="s">
        <v>99</v>
      </c>
      <c r="C3216" s="6" t="s">
        <v>681</v>
      </c>
      <c r="D3216" s="6" t="s">
        <v>14</v>
      </c>
      <c r="E3216" s="6" t="s">
        <v>140</v>
      </c>
      <c r="F3216" s="6" t="s">
        <v>141</v>
      </c>
      <c r="G3216" s="6" t="s">
        <v>682</v>
      </c>
      <c r="H3216" s="6" t="s">
        <v>683</v>
      </c>
      <c r="I3216" s="6" t="s">
        <v>31</v>
      </c>
      <c r="J3216" s="6">
        <v>17.800924348525001</v>
      </c>
      <c r="K3216" s="6">
        <v>-96.002431124072999</v>
      </c>
      <c r="L3216" s="6" t="str">
        <f>HYPERLINK("https://maps.google.com/?q=17.8009243485255,-96.002431124073098", "🔗 Ver Mapa")</f>
        <v>🔗 Ver Mapa</v>
      </c>
    </row>
    <row r="3217" spans="1:12" ht="43.5" x14ac:dyDescent="0.35">
      <c r="A3217" s="5" t="s">
        <v>98</v>
      </c>
      <c r="B3217" s="5" t="s">
        <v>99</v>
      </c>
      <c r="C3217" s="5" t="s">
        <v>681</v>
      </c>
      <c r="D3217" s="5" t="s">
        <v>14</v>
      </c>
      <c r="E3217" s="5" t="s">
        <v>140</v>
      </c>
      <c r="F3217" s="5" t="s">
        <v>141</v>
      </c>
      <c r="G3217" s="5" t="s">
        <v>682</v>
      </c>
      <c r="H3217" s="5" t="s">
        <v>683</v>
      </c>
      <c r="I3217" s="5" t="s">
        <v>31</v>
      </c>
      <c r="J3217" s="5">
        <v>17.801804879293002</v>
      </c>
      <c r="K3217" s="5">
        <v>-96.003401883432005</v>
      </c>
      <c r="L3217" s="5" t="str">
        <f>HYPERLINK("https://maps.google.com/?q=17.8018048792925,-96.003401883432403", "🔗 Ver Mapa")</f>
        <v>🔗 Ver Mapa</v>
      </c>
    </row>
    <row r="3218" spans="1:12" ht="43.5" x14ac:dyDescent="0.35">
      <c r="A3218" s="6" t="s">
        <v>98</v>
      </c>
      <c r="B3218" s="6" t="s">
        <v>99</v>
      </c>
      <c r="C3218" s="6" t="s">
        <v>681</v>
      </c>
      <c r="D3218" s="6" t="s">
        <v>14</v>
      </c>
      <c r="E3218" s="6" t="s">
        <v>140</v>
      </c>
      <c r="F3218" s="6" t="s">
        <v>141</v>
      </c>
      <c r="G3218" s="6" t="s">
        <v>682</v>
      </c>
      <c r="H3218" s="6" t="s">
        <v>683</v>
      </c>
      <c r="I3218" s="6" t="s">
        <v>31</v>
      </c>
      <c r="J3218" s="6">
        <v>17.802371140112999</v>
      </c>
      <c r="K3218" s="6">
        <v>-96.001322658896001</v>
      </c>
      <c r="L3218" s="6" t="str">
        <f>HYPERLINK("https://maps.google.com/?q=17.8023711401129,-96.001322658895504", "🔗 Ver Mapa")</f>
        <v>🔗 Ver Mapa</v>
      </c>
    </row>
    <row r="3219" spans="1:12" ht="43.5" x14ac:dyDescent="0.35">
      <c r="A3219" s="5" t="s">
        <v>98</v>
      </c>
      <c r="B3219" s="5" t="s">
        <v>99</v>
      </c>
      <c r="C3219" s="5" t="s">
        <v>681</v>
      </c>
      <c r="D3219" s="5" t="s">
        <v>14</v>
      </c>
      <c r="E3219" s="5" t="s">
        <v>140</v>
      </c>
      <c r="F3219" s="5" t="s">
        <v>141</v>
      </c>
      <c r="G3219" s="5" t="s">
        <v>682</v>
      </c>
      <c r="H3219" s="5" t="s">
        <v>683</v>
      </c>
      <c r="I3219" s="5" t="s">
        <v>31</v>
      </c>
      <c r="J3219" s="5">
        <v>17.802611094304002</v>
      </c>
      <c r="K3219" s="5">
        <v>-96.001130303075996</v>
      </c>
      <c r="L3219" s="5" t="str">
        <f>HYPERLINK("https://maps.google.com/?q=17.8026110943038,-96.001130303075698", "🔗 Ver Mapa")</f>
        <v>🔗 Ver Mapa</v>
      </c>
    </row>
    <row r="3220" spans="1:12" ht="43.5" x14ac:dyDescent="0.35">
      <c r="A3220" s="6" t="s">
        <v>98</v>
      </c>
      <c r="B3220" s="6" t="s">
        <v>99</v>
      </c>
      <c r="C3220" s="6" t="s">
        <v>681</v>
      </c>
      <c r="D3220" s="6" t="s">
        <v>14</v>
      </c>
      <c r="E3220" s="6" t="s">
        <v>140</v>
      </c>
      <c r="F3220" s="6" t="s">
        <v>141</v>
      </c>
      <c r="G3220" s="6" t="s">
        <v>682</v>
      </c>
      <c r="H3220" s="6" t="s">
        <v>683</v>
      </c>
      <c r="I3220" s="6" t="s">
        <v>31</v>
      </c>
      <c r="J3220" s="6">
        <v>17.803252746851001</v>
      </c>
      <c r="K3220" s="6">
        <v>-96.005174581252007</v>
      </c>
      <c r="L3220" s="6" t="str">
        <f>HYPERLINK("https://maps.google.com/?q=17.8032527468509,-96.005174581251893", "🔗 Ver Mapa")</f>
        <v>🔗 Ver Mapa</v>
      </c>
    </row>
    <row r="3221" spans="1:12" ht="43.5" x14ac:dyDescent="0.35">
      <c r="A3221" s="5" t="s">
        <v>98</v>
      </c>
      <c r="B3221" s="5" t="s">
        <v>99</v>
      </c>
      <c r="C3221" s="5" t="s">
        <v>681</v>
      </c>
      <c r="D3221" s="5" t="s">
        <v>14</v>
      </c>
      <c r="E3221" s="5" t="s">
        <v>140</v>
      </c>
      <c r="F3221" s="5" t="s">
        <v>141</v>
      </c>
      <c r="G3221" s="5" t="s">
        <v>682</v>
      </c>
      <c r="H3221" s="5" t="s">
        <v>683</v>
      </c>
      <c r="I3221" s="5" t="s">
        <v>31</v>
      </c>
      <c r="J3221" s="5">
        <v>17.803532506574001</v>
      </c>
      <c r="K3221" s="5">
        <v>-96.003924026434007</v>
      </c>
      <c r="L3221" s="5" t="str">
        <f>HYPERLINK("https://maps.google.com/?q=17.8035325065736,-96.003924026434106", "🔗 Ver Mapa")</f>
        <v>🔗 Ver Mapa</v>
      </c>
    </row>
    <row r="3222" spans="1:12" ht="43.5" x14ac:dyDescent="0.35">
      <c r="A3222" s="6" t="s">
        <v>98</v>
      </c>
      <c r="B3222" s="6" t="s">
        <v>99</v>
      </c>
      <c r="C3222" s="6" t="s">
        <v>681</v>
      </c>
      <c r="D3222" s="6" t="s">
        <v>14</v>
      </c>
      <c r="E3222" s="6" t="s">
        <v>140</v>
      </c>
      <c r="F3222" s="6" t="s">
        <v>141</v>
      </c>
      <c r="G3222" s="6" t="s">
        <v>682</v>
      </c>
      <c r="H3222" s="6" t="s">
        <v>683</v>
      </c>
      <c r="I3222" s="6" t="s">
        <v>31</v>
      </c>
      <c r="J3222" s="6">
        <v>17.803761302510001</v>
      </c>
      <c r="K3222" s="6">
        <v>-96.005028492641998</v>
      </c>
      <c r="L3222" s="6" t="str">
        <f>HYPERLINK("https://maps.google.com/?q=17.8037613025103,-96.005028492642396", "🔗 Ver Mapa")</f>
        <v>🔗 Ver Mapa</v>
      </c>
    </row>
    <row r="3223" spans="1:12" ht="43.5" x14ac:dyDescent="0.35">
      <c r="A3223" s="5" t="s">
        <v>98</v>
      </c>
      <c r="B3223" s="5" t="s">
        <v>99</v>
      </c>
      <c r="C3223" s="5" t="s">
        <v>681</v>
      </c>
      <c r="D3223" s="5" t="s">
        <v>14</v>
      </c>
      <c r="E3223" s="5" t="s">
        <v>140</v>
      </c>
      <c r="F3223" s="5" t="s">
        <v>141</v>
      </c>
      <c r="G3223" s="5" t="s">
        <v>682</v>
      </c>
      <c r="H3223" s="5" t="s">
        <v>683</v>
      </c>
      <c r="I3223" s="5" t="s">
        <v>31</v>
      </c>
      <c r="J3223" s="5">
        <v>17.804447528396999</v>
      </c>
      <c r="K3223" s="5">
        <v>-96.005507579202003</v>
      </c>
      <c r="L3223" s="5" t="str">
        <f>HYPERLINK("https://maps.google.com/?q=17.8044475283965,-96.005507579202302", "🔗 Ver Mapa")</f>
        <v>🔗 Ver Mapa</v>
      </c>
    </row>
    <row r="3224" spans="1:12" ht="43.5" x14ac:dyDescent="0.35">
      <c r="A3224" s="6" t="s">
        <v>98</v>
      </c>
      <c r="B3224" s="6" t="s">
        <v>99</v>
      </c>
      <c r="C3224" s="6" t="s">
        <v>681</v>
      </c>
      <c r="D3224" s="6" t="s">
        <v>14</v>
      </c>
      <c r="E3224" s="6" t="s">
        <v>140</v>
      </c>
      <c r="F3224" s="6" t="s">
        <v>141</v>
      </c>
      <c r="G3224" s="6" t="s">
        <v>682</v>
      </c>
      <c r="H3224" s="6" t="s">
        <v>683</v>
      </c>
      <c r="I3224" s="6" t="s">
        <v>31</v>
      </c>
      <c r="J3224" s="6">
        <v>17.804524000000001</v>
      </c>
      <c r="K3224" s="6">
        <v>-96.005168574240002</v>
      </c>
      <c r="L3224" s="6" t="str">
        <f>HYPERLINK("https://maps.google.com/?q=17.804524,-96.005168574239704", "🔗 Ver Mapa")</f>
        <v>🔗 Ver Mapa</v>
      </c>
    </row>
    <row r="3225" spans="1:12" ht="43.5" x14ac:dyDescent="0.35">
      <c r="A3225" s="5" t="s">
        <v>98</v>
      </c>
      <c r="B3225" s="5" t="s">
        <v>99</v>
      </c>
      <c r="C3225" s="5" t="s">
        <v>681</v>
      </c>
      <c r="D3225" s="5" t="s">
        <v>14</v>
      </c>
      <c r="E3225" s="5" t="s">
        <v>140</v>
      </c>
      <c r="F3225" s="5" t="s">
        <v>141</v>
      </c>
      <c r="G3225" s="5" t="s">
        <v>682</v>
      </c>
      <c r="H3225" s="5" t="s">
        <v>683</v>
      </c>
      <c r="I3225" s="5" t="s">
        <v>31</v>
      </c>
      <c r="J3225" s="5">
        <v>17.804736443416999</v>
      </c>
      <c r="K3225" s="5">
        <v>-96.004496218341998</v>
      </c>
      <c r="L3225" s="5" t="str">
        <f>HYPERLINK("https://maps.google.com/?q=17.8047364434173,-96.004496218342396", "🔗 Ver Mapa")</f>
        <v>🔗 Ver Mapa</v>
      </c>
    </row>
    <row r="3226" spans="1:12" ht="43.5" x14ac:dyDescent="0.35">
      <c r="A3226" s="6" t="s">
        <v>98</v>
      </c>
      <c r="B3226" s="6" t="s">
        <v>99</v>
      </c>
      <c r="C3226" s="6" t="s">
        <v>684</v>
      </c>
      <c r="D3226" s="6" t="s">
        <v>14</v>
      </c>
      <c r="E3226" s="6" t="s">
        <v>140</v>
      </c>
      <c r="F3226" s="6" t="s">
        <v>141</v>
      </c>
      <c r="G3226" s="6" t="s">
        <v>682</v>
      </c>
      <c r="H3226" s="6" t="s">
        <v>685</v>
      </c>
      <c r="I3226" s="6" t="s">
        <v>31</v>
      </c>
      <c r="J3226" s="6">
        <v>17.931495127603</v>
      </c>
      <c r="K3226" s="6">
        <v>-96.211886655247</v>
      </c>
      <c r="L3226" s="6" t="str">
        <f>HYPERLINK("https://maps.google.com/?q=17.9314951276034,-96.2118866552469", "🔗 Ver Mapa")</f>
        <v>🔗 Ver Mapa</v>
      </c>
    </row>
    <row r="3227" spans="1:12" ht="43.5" x14ac:dyDescent="0.35">
      <c r="A3227" s="5" t="s">
        <v>98</v>
      </c>
      <c r="B3227" s="5" t="s">
        <v>99</v>
      </c>
      <c r="C3227" s="5" t="s">
        <v>684</v>
      </c>
      <c r="D3227" s="5" t="s">
        <v>14</v>
      </c>
      <c r="E3227" s="5" t="s">
        <v>140</v>
      </c>
      <c r="F3227" s="5" t="s">
        <v>141</v>
      </c>
      <c r="G3227" s="5" t="s">
        <v>682</v>
      </c>
      <c r="H3227" s="5" t="s">
        <v>685</v>
      </c>
      <c r="I3227" s="5" t="s">
        <v>31</v>
      </c>
      <c r="J3227" s="5">
        <v>17.932411265066001</v>
      </c>
      <c r="K3227" s="5">
        <v>-96.211403857624006</v>
      </c>
      <c r="L3227" s="5" t="str">
        <f>HYPERLINK("https://maps.google.com/?q=17.9324112650657,-96.211403857624205", "🔗 Ver Mapa")</f>
        <v>🔗 Ver Mapa</v>
      </c>
    </row>
    <row r="3228" spans="1:12" ht="43.5" x14ac:dyDescent="0.35">
      <c r="A3228" s="6" t="s">
        <v>98</v>
      </c>
      <c r="B3228" s="6" t="s">
        <v>99</v>
      </c>
      <c r="C3228" s="6" t="s">
        <v>684</v>
      </c>
      <c r="D3228" s="6" t="s">
        <v>14</v>
      </c>
      <c r="E3228" s="6" t="s">
        <v>140</v>
      </c>
      <c r="F3228" s="6" t="s">
        <v>141</v>
      </c>
      <c r="G3228" s="6" t="s">
        <v>682</v>
      </c>
      <c r="H3228" s="6" t="s">
        <v>685</v>
      </c>
      <c r="I3228" s="6" t="s">
        <v>31</v>
      </c>
      <c r="J3228" s="6">
        <v>17.933619542976</v>
      </c>
      <c r="K3228" s="6">
        <v>-96.210897761964006</v>
      </c>
      <c r="L3228" s="6" t="str">
        <f>HYPERLINK("https://maps.google.com/?q=17.9336195429758,-96.210897761963693", "🔗 Ver Mapa")</f>
        <v>🔗 Ver Mapa</v>
      </c>
    </row>
    <row r="3229" spans="1:12" ht="43.5" x14ac:dyDescent="0.35">
      <c r="A3229" s="5" t="s">
        <v>98</v>
      </c>
      <c r="B3229" s="5" t="s">
        <v>99</v>
      </c>
      <c r="C3229" s="5" t="s">
        <v>684</v>
      </c>
      <c r="D3229" s="5" t="s">
        <v>14</v>
      </c>
      <c r="E3229" s="5" t="s">
        <v>140</v>
      </c>
      <c r="F3229" s="5" t="s">
        <v>141</v>
      </c>
      <c r="G3229" s="5" t="s">
        <v>682</v>
      </c>
      <c r="H3229" s="5" t="s">
        <v>685</v>
      </c>
      <c r="I3229" s="5" t="s">
        <v>31</v>
      </c>
      <c r="J3229" s="5">
        <v>17.933881</v>
      </c>
      <c r="K3229" s="5">
        <v>-96.210728000000003</v>
      </c>
      <c r="L3229" s="5" t="str">
        <f>HYPERLINK("https://maps.google.com/?q=17.933881,-96.210728000000003", "🔗 Ver Mapa")</f>
        <v>🔗 Ver Mapa</v>
      </c>
    </row>
    <row r="3230" spans="1:12" ht="43.5" x14ac:dyDescent="0.35">
      <c r="A3230" s="6" t="s">
        <v>98</v>
      </c>
      <c r="B3230" s="6" t="s">
        <v>99</v>
      </c>
      <c r="C3230" s="6" t="s">
        <v>684</v>
      </c>
      <c r="D3230" s="6" t="s">
        <v>14</v>
      </c>
      <c r="E3230" s="6" t="s">
        <v>140</v>
      </c>
      <c r="F3230" s="6" t="s">
        <v>141</v>
      </c>
      <c r="G3230" s="6" t="s">
        <v>682</v>
      </c>
      <c r="H3230" s="6" t="s">
        <v>685</v>
      </c>
      <c r="I3230" s="6" t="s">
        <v>31</v>
      </c>
      <c r="J3230" s="6">
        <v>17.933972393567998</v>
      </c>
      <c r="K3230" s="6">
        <v>-96.210703476351995</v>
      </c>
      <c r="L3230" s="6" t="str">
        <f>HYPERLINK("https://maps.google.com/?q=17.9339723935685,-96.210703476351995", "🔗 Ver Mapa")</f>
        <v>🔗 Ver Mapa</v>
      </c>
    </row>
    <row r="3231" spans="1:12" ht="43.5" x14ac:dyDescent="0.35">
      <c r="A3231" s="5" t="s">
        <v>98</v>
      </c>
      <c r="B3231" s="5" t="s">
        <v>99</v>
      </c>
      <c r="C3231" s="5" t="s">
        <v>684</v>
      </c>
      <c r="D3231" s="5" t="s">
        <v>14</v>
      </c>
      <c r="E3231" s="5" t="s">
        <v>140</v>
      </c>
      <c r="F3231" s="5" t="s">
        <v>141</v>
      </c>
      <c r="G3231" s="5" t="s">
        <v>682</v>
      </c>
      <c r="H3231" s="5" t="s">
        <v>685</v>
      </c>
      <c r="I3231" s="5" t="s">
        <v>31</v>
      </c>
      <c r="J3231" s="5">
        <v>17.934066278766998</v>
      </c>
      <c r="K3231" s="5">
        <v>-96.210707093254001</v>
      </c>
      <c r="L3231" s="5" t="str">
        <f>HYPERLINK("https://maps.google.com/?q=17.9340662787666,-96.210707093254101", "🔗 Ver Mapa")</f>
        <v>🔗 Ver Mapa</v>
      </c>
    </row>
    <row r="3232" spans="1:12" ht="43.5" x14ac:dyDescent="0.35">
      <c r="A3232" s="6" t="s">
        <v>98</v>
      </c>
      <c r="B3232" s="6" t="s">
        <v>99</v>
      </c>
      <c r="C3232" s="6" t="s">
        <v>684</v>
      </c>
      <c r="D3232" s="6" t="s">
        <v>14</v>
      </c>
      <c r="E3232" s="6" t="s">
        <v>140</v>
      </c>
      <c r="F3232" s="6" t="s">
        <v>141</v>
      </c>
      <c r="G3232" s="6" t="s">
        <v>682</v>
      </c>
      <c r="H3232" s="6" t="s">
        <v>685</v>
      </c>
      <c r="I3232" s="6" t="s">
        <v>31</v>
      </c>
      <c r="J3232" s="6">
        <v>17.934878943227002</v>
      </c>
      <c r="K3232" s="6">
        <v>-96.210516046440006</v>
      </c>
      <c r="L3232" s="6" t="str">
        <f>HYPERLINK("https://maps.google.com/?q=17.9348789432269,-96.210516046440105", "🔗 Ver Mapa")</f>
        <v>🔗 Ver Mapa</v>
      </c>
    </row>
    <row r="3233" spans="1:12" ht="43.5" x14ac:dyDescent="0.35">
      <c r="A3233" s="5" t="s">
        <v>98</v>
      </c>
      <c r="B3233" s="5" t="s">
        <v>99</v>
      </c>
      <c r="C3233" s="5" t="s">
        <v>684</v>
      </c>
      <c r="D3233" s="5" t="s">
        <v>14</v>
      </c>
      <c r="E3233" s="5" t="s">
        <v>140</v>
      </c>
      <c r="F3233" s="5" t="s">
        <v>141</v>
      </c>
      <c r="G3233" s="5" t="s">
        <v>682</v>
      </c>
      <c r="H3233" s="5" t="s">
        <v>685</v>
      </c>
      <c r="I3233" s="5" t="s">
        <v>31</v>
      </c>
      <c r="J3233" s="5">
        <v>17.935081919440002</v>
      </c>
      <c r="K3233" s="5">
        <v>-96.210264173387998</v>
      </c>
      <c r="L3233" s="5" t="str">
        <f>HYPERLINK("https://maps.google.com/?q=17.9350819194397,-96.210264173387699", "🔗 Ver Mapa")</f>
        <v>🔗 Ver Mapa</v>
      </c>
    </row>
    <row r="3234" spans="1:12" ht="43.5" x14ac:dyDescent="0.35">
      <c r="A3234" s="6" t="s">
        <v>98</v>
      </c>
      <c r="B3234" s="6" t="s">
        <v>99</v>
      </c>
      <c r="C3234" s="6" t="s">
        <v>684</v>
      </c>
      <c r="D3234" s="6" t="s">
        <v>14</v>
      </c>
      <c r="E3234" s="6" t="s">
        <v>140</v>
      </c>
      <c r="F3234" s="6" t="s">
        <v>141</v>
      </c>
      <c r="G3234" s="6" t="s">
        <v>682</v>
      </c>
      <c r="H3234" s="6" t="s">
        <v>685</v>
      </c>
      <c r="I3234" s="6" t="s">
        <v>31</v>
      </c>
      <c r="J3234" s="6">
        <v>17.935162999999999</v>
      </c>
      <c r="K3234" s="6">
        <v>-96.208948000000007</v>
      </c>
      <c r="L3234" s="6" t="str">
        <f>HYPERLINK("https://maps.google.com/?q=17.935163,-96.208948000000007", "🔗 Ver Mapa")</f>
        <v>🔗 Ver Mapa</v>
      </c>
    </row>
    <row r="3235" spans="1:12" ht="43.5" x14ac:dyDescent="0.35">
      <c r="A3235" s="5" t="s">
        <v>98</v>
      </c>
      <c r="B3235" s="5" t="s">
        <v>99</v>
      </c>
      <c r="C3235" s="5" t="s">
        <v>684</v>
      </c>
      <c r="D3235" s="5" t="s">
        <v>14</v>
      </c>
      <c r="E3235" s="5" t="s">
        <v>140</v>
      </c>
      <c r="F3235" s="5" t="s">
        <v>141</v>
      </c>
      <c r="G3235" s="5" t="s">
        <v>682</v>
      </c>
      <c r="H3235" s="5" t="s">
        <v>685</v>
      </c>
      <c r="I3235" s="5" t="s">
        <v>31</v>
      </c>
      <c r="J3235" s="5">
        <v>17.935273160567998</v>
      </c>
      <c r="K3235" s="5">
        <v>-96.208778816841999</v>
      </c>
      <c r="L3235" s="5" t="str">
        <f>HYPERLINK("https://maps.google.com/?q=17.9352731605677,-96.208778816841701", "🔗 Ver Mapa")</f>
        <v>🔗 Ver Mapa</v>
      </c>
    </row>
    <row r="3236" spans="1:12" ht="43.5" x14ac:dyDescent="0.35">
      <c r="A3236" s="6" t="s">
        <v>98</v>
      </c>
      <c r="B3236" s="6" t="s">
        <v>99</v>
      </c>
      <c r="C3236" s="6" t="s">
        <v>684</v>
      </c>
      <c r="D3236" s="6" t="s">
        <v>14</v>
      </c>
      <c r="E3236" s="6" t="s">
        <v>140</v>
      </c>
      <c r="F3236" s="6" t="s">
        <v>141</v>
      </c>
      <c r="G3236" s="6" t="s">
        <v>682</v>
      </c>
      <c r="H3236" s="6" t="s">
        <v>685</v>
      </c>
      <c r="I3236" s="6" t="s">
        <v>31</v>
      </c>
      <c r="J3236" s="6">
        <v>17.935382278757</v>
      </c>
      <c r="K3236" s="6">
        <v>-96.208273915343995</v>
      </c>
      <c r="L3236" s="6" t="str">
        <f>HYPERLINK("https://maps.google.com/?q=17.9353822787573,-96.208273915343895", "🔗 Ver Mapa")</f>
        <v>🔗 Ver Mapa</v>
      </c>
    </row>
    <row r="3237" spans="1:12" ht="43.5" x14ac:dyDescent="0.35">
      <c r="A3237" s="5" t="s">
        <v>98</v>
      </c>
      <c r="B3237" s="5" t="s">
        <v>99</v>
      </c>
      <c r="C3237" s="5" t="s">
        <v>684</v>
      </c>
      <c r="D3237" s="5" t="s">
        <v>14</v>
      </c>
      <c r="E3237" s="5" t="s">
        <v>140</v>
      </c>
      <c r="F3237" s="5" t="s">
        <v>141</v>
      </c>
      <c r="G3237" s="5" t="s">
        <v>682</v>
      </c>
      <c r="H3237" s="5" t="s">
        <v>685</v>
      </c>
      <c r="I3237" s="5" t="s">
        <v>31</v>
      </c>
      <c r="J3237" s="5">
        <v>17.935495828596999</v>
      </c>
      <c r="K3237" s="5">
        <v>-96.208002690807007</v>
      </c>
      <c r="L3237" s="5" t="str">
        <f>HYPERLINK("https://maps.google.com/?q=17.9354958285974,-96.208002690807405", "🔗 Ver Mapa")</f>
        <v>🔗 Ver Mapa</v>
      </c>
    </row>
    <row r="3238" spans="1:12" ht="43.5" x14ac:dyDescent="0.35">
      <c r="A3238" s="6" t="s">
        <v>98</v>
      </c>
      <c r="B3238" s="6" t="s">
        <v>99</v>
      </c>
      <c r="C3238" s="6" t="s">
        <v>684</v>
      </c>
      <c r="D3238" s="6" t="s">
        <v>14</v>
      </c>
      <c r="E3238" s="6" t="s">
        <v>140</v>
      </c>
      <c r="F3238" s="6" t="s">
        <v>141</v>
      </c>
      <c r="G3238" s="6" t="s">
        <v>682</v>
      </c>
      <c r="H3238" s="6" t="s">
        <v>685</v>
      </c>
      <c r="I3238" s="6" t="s">
        <v>31</v>
      </c>
      <c r="J3238" s="6">
        <v>17.935507932183</v>
      </c>
      <c r="K3238" s="6">
        <v>-96.209165054940001</v>
      </c>
      <c r="L3238" s="6" t="str">
        <f>HYPERLINK("https://maps.google.com/?q=17.9355079321834,-96.209165054939902", "🔗 Ver Mapa")</f>
        <v>🔗 Ver Mapa</v>
      </c>
    </row>
    <row r="3239" spans="1:12" ht="43.5" x14ac:dyDescent="0.35">
      <c r="A3239" s="5" t="s">
        <v>98</v>
      </c>
      <c r="B3239" s="5" t="s">
        <v>99</v>
      </c>
      <c r="C3239" s="5" t="s">
        <v>684</v>
      </c>
      <c r="D3239" s="5" t="s">
        <v>14</v>
      </c>
      <c r="E3239" s="5" t="s">
        <v>140</v>
      </c>
      <c r="F3239" s="5" t="s">
        <v>141</v>
      </c>
      <c r="G3239" s="5" t="s">
        <v>682</v>
      </c>
      <c r="H3239" s="5" t="s">
        <v>685</v>
      </c>
      <c r="I3239" s="5" t="s">
        <v>31</v>
      </c>
      <c r="J3239" s="5">
        <v>17.935523243365001</v>
      </c>
      <c r="K3239" s="5">
        <v>-96.20878418126</v>
      </c>
      <c r="L3239" s="5" t="str">
        <f>HYPERLINK("https://maps.google.com/?q=17.9355232433649,-96.208784181259801", "🔗 Ver Mapa")</f>
        <v>🔗 Ver Mapa</v>
      </c>
    </row>
    <row r="3240" spans="1:12" ht="43.5" x14ac:dyDescent="0.35">
      <c r="A3240" s="6" t="s">
        <v>98</v>
      </c>
      <c r="B3240" s="6" t="s">
        <v>99</v>
      </c>
      <c r="C3240" s="6" t="s">
        <v>684</v>
      </c>
      <c r="D3240" s="6" t="s">
        <v>14</v>
      </c>
      <c r="E3240" s="6" t="s">
        <v>140</v>
      </c>
      <c r="F3240" s="6" t="s">
        <v>141</v>
      </c>
      <c r="G3240" s="6" t="s">
        <v>682</v>
      </c>
      <c r="H3240" s="6" t="s">
        <v>685</v>
      </c>
      <c r="I3240" s="6" t="s">
        <v>31</v>
      </c>
      <c r="J3240" s="6">
        <v>17.937130476547001</v>
      </c>
      <c r="K3240" s="6">
        <v>-96.203487635669006</v>
      </c>
      <c r="L3240" s="6" t="str">
        <f>HYPERLINK("https://maps.google.com/?q=17.9371304765473,-96.203487635668793", "🔗 Ver Mapa")</f>
        <v>🔗 Ver Mapa</v>
      </c>
    </row>
    <row r="3241" spans="1:12" ht="43.5" x14ac:dyDescent="0.35">
      <c r="A3241" s="5" t="s">
        <v>98</v>
      </c>
      <c r="B3241" s="5" t="s">
        <v>99</v>
      </c>
      <c r="C3241" s="5" t="s">
        <v>686</v>
      </c>
      <c r="D3241" s="5" t="s">
        <v>14</v>
      </c>
      <c r="E3241" s="5" t="s">
        <v>140</v>
      </c>
      <c r="F3241" s="5" t="s">
        <v>141</v>
      </c>
      <c r="G3241" s="5" t="s">
        <v>682</v>
      </c>
      <c r="H3241" s="5" t="s">
        <v>687</v>
      </c>
      <c r="I3241" s="5" t="s">
        <v>31</v>
      </c>
      <c r="J3241" s="5">
        <v>17.951293861798</v>
      </c>
      <c r="K3241" s="5">
        <v>-96.205063854420004</v>
      </c>
      <c r="L3241" s="5" t="str">
        <f>HYPERLINK("https://maps.google.com/?q=17.9512938617984,-96.205063854420303", "🔗 Ver Mapa")</f>
        <v>🔗 Ver Mapa</v>
      </c>
    </row>
    <row r="3242" spans="1:12" ht="43.5" x14ac:dyDescent="0.35">
      <c r="A3242" s="6" t="s">
        <v>98</v>
      </c>
      <c r="B3242" s="6" t="s">
        <v>99</v>
      </c>
      <c r="C3242" s="6" t="s">
        <v>686</v>
      </c>
      <c r="D3242" s="6" t="s">
        <v>14</v>
      </c>
      <c r="E3242" s="6" t="s">
        <v>140</v>
      </c>
      <c r="F3242" s="6" t="s">
        <v>141</v>
      </c>
      <c r="G3242" s="6" t="s">
        <v>682</v>
      </c>
      <c r="H3242" s="6" t="s">
        <v>687</v>
      </c>
      <c r="I3242" s="6" t="s">
        <v>31</v>
      </c>
      <c r="J3242" s="6">
        <v>17.951669918377</v>
      </c>
      <c r="K3242" s="6">
        <v>-96.205547839399003</v>
      </c>
      <c r="L3242" s="6" t="str">
        <f>HYPERLINK("https://maps.google.com/?q=17.9516699183771,-96.205547839398605", "🔗 Ver Mapa")</f>
        <v>🔗 Ver Mapa</v>
      </c>
    </row>
    <row r="3243" spans="1:12" ht="43.5" x14ac:dyDescent="0.35">
      <c r="A3243" s="5" t="s">
        <v>98</v>
      </c>
      <c r="B3243" s="5" t="s">
        <v>99</v>
      </c>
      <c r="C3243" s="5" t="s">
        <v>686</v>
      </c>
      <c r="D3243" s="5" t="s">
        <v>14</v>
      </c>
      <c r="E3243" s="5" t="s">
        <v>140</v>
      </c>
      <c r="F3243" s="5" t="s">
        <v>141</v>
      </c>
      <c r="G3243" s="5" t="s">
        <v>682</v>
      </c>
      <c r="H3243" s="5" t="s">
        <v>687</v>
      </c>
      <c r="I3243" s="5" t="s">
        <v>31</v>
      </c>
      <c r="J3243" s="5">
        <v>17.951927204804999</v>
      </c>
      <c r="K3243" s="5">
        <v>-96.205725570425003</v>
      </c>
      <c r="L3243" s="5" t="str">
        <f>HYPERLINK("https://maps.google.com/?q=17.9519272048053,-96.2057255704255", "🔗 Ver Mapa")</f>
        <v>🔗 Ver Mapa</v>
      </c>
    </row>
    <row r="3244" spans="1:12" ht="43.5" x14ac:dyDescent="0.35">
      <c r="A3244" s="6" t="s">
        <v>98</v>
      </c>
      <c r="B3244" s="6" t="s">
        <v>99</v>
      </c>
      <c r="C3244" s="6" t="s">
        <v>686</v>
      </c>
      <c r="D3244" s="6" t="s">
        <v>14</v>
      </c>
      <c r="E3244" s="6" t="s">
        <v>140</v>
      </c>
      <c r="F3244" s="6" t="s">
        <v>141</v>
      </c>
      <c r="G3244" s="6" t="s">
        <v>682</v>
      </c>
      <c r="H3244" s="6" t="s">
        <v>687</v>
      </c>
      <c r="I3244" s="6" t="s">
        <v>31</v>
      </c>
      <c r="J3244" s="6">
        <v>17.951980001852998</v>
      </c>
      <c r="K3244" s="6">
        <v>-96.205125995383995</v>
      </c>
      <c r="L3244" s="6" t="str">
        <f>HYPERLINK("https://maps.google.com/?q=17.9519800018529,-96.205125995384407", "🔗 Ver Mapa")</f>
        <v>🔗 Ver Mapa</v>
      </c>
    </row>
    <row r="3245" spans="1:12" ht="43.5" x14ac:dyDescent="0.35">
      <c r="A3245" s="5" t="s">
        <v>98</v>
      </c>
      <c r="B3245" s="5" t="s">
        <v>99</v>
      </c>
      <c r="C3245" s="5" t="s">
        <v>686</v>
      </c>
      <c r="D3245" s="5" t="s">
        <v>14</v>
      </c>
      <c r="E3245" s="5" t="s">
        <v>140</v>
      </c>
      <c r="F3245" s="5" t="s">
        <v>141</v>
      </c>
      <c r="G3245" s="5" t="s">
        <v>682</v>
      </c>
      <c r="H3245" s="5" t="s">
        <v>687</v>
      </c>
      <c r="I3245" s="5" t="s">
        <v>31</v>
      </c>
      <c r="J3245" s="5">
        <v>17.952711549741998</v>
      </c>
      <c r="K3245" s="5">
        <v>-96.205272496819006</v>
      </c>
      <c r="L3245" s="5" t="str">
        <f>HYPERLINK("https://maps.google.com/?q=17.9527115497425,-96.205272496818594", "🔗 Ver Mapa")</f>
        <v>🔗 Ver Mapa</v>
      </c>
    </row>
    <row r="3246" spans="1:12" ht="43.5" x14ac:dyDescent="0.35">
      <c r="A3246" s="6" t="s">
        <v>98</v>
      </c>
      <c r="B3246" s="6" t="s">
        <v>99</v>
      </c>
      <c r="C3246" s="6" t="s">
        <v>686</v>
      </c>
      <c r="D3246" s="6" t="s">
        <v>14</v>
      </c>
      <c r="E3246" s="6" t="s">
        <v>140</v>
      </c>
      <c r="F3246" s="6" t="s">
        <v>141</v>
      </c>
      <c r="G3246" s="6" t="s">
        <v>682</v>
      </c>
      <c r="H3246" s="6" t="s">
        <v>687</v>
      </c>
      <c r="I3246" s="6" t="s">
        <v>31</v>
      </c>
      <c r="J3246" s="6">
        <v>17.953044172201999</v>
      </c>
      <c r="K3246" s="6">
        <v>-96.205199413893993</v>
      </c>
      <c r="L3246" s="6" t="str">
        <f>HYPERLINK("https://maps.google.com/?q=17.9530441722019,-96.205199413894306", "🔗 Ver Mapa")</f>
        <v>🔗 Ver Mapa</v>
      </c>
    </row>
    <row r="3247" spans="1:12" ht="43.5" x14ac:dyDescent="0.35">
      <c r="A3247" s="5" t="s">
        <v>98</v>
      </c>
      <c r="B3247" s="5" t="s">
        <v>99</v>
      </c>
      <c r="C3247" s="5" t="s">
        <v>686</v>
      </c>
      <c r="D3247" s="5" t="s">
        <v>14</v>
      </c>
      <c r="E3247" s="5" t="s">
        <v>140</v>
      </c>
      <c r="F3247" s="5" t="s">
        <v>141</v>
      </c>
      <c r="G3247" s="5" t="s">
        <v>682</v>
      </c>
      <c r="H3247" s="5" t="s">
        <v>687</v>
      </c>
      <c r="I3247" s="5" t="s">
        <v>31</v>
      </c>
      <c r="J3247" s="5">
        <v>17.953118817271001</v>
      </c>
      <c r="K3247" s="5">
        <v>-96.205203496943</v>
      </c>
      <c r="L3247" s="5" t="str">
        <f>HYPERLINK("https://maps.google.com/?q=17.9531188172711,-96.2052034969429", "🔗 Ver Mapa")</f>
        <v>🔗 Ver Mapa</v>
      </c>
    </row>
    <row r="3248" spans="1:12" ht="43.5" x14ac:dyDescent="0.35">
      <c r="A3248" s="6" t="s">
        <v>98</v>
      </c>
      <c r="B3248" s="6" t="s">
        <v>99</v>
      </c>
      <c r="C3248" s="6" t="s">
        <v>686</v>
      </c>
      <c r="D3248" s="6" t="s">
        <v>14</v>
      </c>
      <c r="E3248" s="6" t="s">
        <v>140</v>
      </c>
      <c r="F3248" s="6" t="s">
        <v>141</v>
      </c>
      <c r="G3248" s="6" t="s">
        <v>682</v>
      </c>
      <c r="H3248" s="6" t="s">
        <v>687</v>
      </c>
      <c r="I3248" s="6" t="s">
        <v>31</v>
      </c>
      <c r="J3248" s="6">
        <v>17.953224283535</v>
      </c>
      <c r="K3248" s="6">
        <v>-96.205268549492999</v>
      </c>
      <c r="L3248" s="6" t="str">
        <f>HYPERLINK("https://maps.google.com/?q=17.9532242835354,-96.205268549492502", "🔗 Ver Mapa")</f>
        <v>🔗 Ver Mapa</v>
      </c>
    </row>
    <row r="3249" spans="1:12" ht="43.5" x14ac:dyDescent="0.35">
      <c r="A3249" s="5" t="s">
        <v>98</v>
      </c>
      <c r="B3249" s="5" t="s">
        <v>99</v>
      </c>
      <c r="C3249" s="5" t="s">
        <v>688</v>
      </c>
      <c r="D3249" s="5" t="s">
        <v>14</v>
      </c>
      <c r="E3249" s="5" t="s">
        <v>52</v>
      </c>
      <c r="F3249" s="5" t="s">
        <v>70</v>
      </c>
      <c r="G3249" s="5" t="s">
        <v>689</v>
      </c>
      <c r="H3249" s="5" t="s">
        <v>690</v>
      </c>
      <c r="I3249" s="5" t="s">
        <v>31</v>
      </c>
      <c r="J3249" s="5">
        <v>17.054674338700998</v>
      </c>
      <c r="K3249" s="5">
        <v>-96.817754895541995</v>
      </c>
      <c r="L3249" s="5" t="str">
        <f>HYPERLINK("https://maps.google.com/?q=17.0546743387008,-96.817754895541697", "🔗 Ver Mapa")</f>
        <v>🔗 Ver Mapa</v>
      </c>
    </row>
    <row r="3250" spans="1:12" ht="43.5" x14ac:dyDescent="0.35">
      <c r="A3250" s="6" t="s">
        <v>98</v>
      </c>
      <c r="B3250" s="6" t="s">
        <v>99</v>
      </c>
      <c r="C3250" s="6" t="s">
        <v>688</v>
      </c>
      <c r="D3250" s="6" t="s">
        <v>14</v>
      </c>
      <c r="E3250" s="6" t="s">
        <v>52</v>
      </c>
      <c r="F3250" s="6" t="s">
        <v>70</v>
      </c>
      <c r="G3250" s="6" t="s">
        <v>689</v>
      </c>
      <c r="H3250" s="6" t="s">
        <v>690</v>
      </c>
      <c r="I3250" s="6" t="s">
        <v>31</v>
      </c>
      <c r="J3250" s="6">
        <v>17.055480297100999</v>
      </c>
      <c r="K3250" s="6">
        <v>-96.819620516298002</v>
      </c>
      <c r="L3250" s="6" t="str">
        <f>HYPERLINK("https://maps.google.com/?q=17.0554802971011,-96.819620516298301", "🔗 Ver Mapa")</f>
        <v>🔗 Ver Mapa</v>
      </c>
    </row>
    <row r="3251" spans="1:12" ht="43.5" x14ac:dyDescent="0.35">
      <c r="A3251" s="5" t="s">
        <v>98</v>
      </c>
      <c r="B3251" s="5" t="s">
        <v>99</v>
      </c>
      <c r="C3251" s="5" t="s">
        <v>688</v>
      </c>
      <c r="D3251" s="5" t="s">
        <v>14</v>
      </c>
      <c r="E3251" s="5" t="s">
        <v>52</v>
      </c>
      <c r="F3251" s="5" t="s">
        <v>70</v>
      </c>
      <c r="G3251" s="5" t="s">
        <v>689</v>
      </c>
      <c r="H3251" s="5" t="s">
        <v>690</v>
      </c>
      <c r="I3251" s="5" t="s">
        <v>31</v>
      </c>
      <c r="J3251" s="5">
        <v>17.056378788336001</v>
      </c>
      <c r="K3251" s="5">
        <v>-96.825154717179004</v>
      </c>
      <c r="L3251" s="5" t="str">
        <f>HYPERLINK("https://maps.google.com/?q=17.0563787883365,-96.825154717179203", "🔗 Ver Mapa")</f>
        <v>🔗 Ver Mapa</v>
      </c>
    </row>
    <row r="3252" spans="1:12" ht="43.5" x14ac:dyDescent="0.35">
      <c r="A3252" s="6" t="s">
        <v>98</v>
      </c>
      <c r="B3252" s="6" t="s">
        <v>99</v>
      </c>
      <c r="C3252" s="6" t="s">
        <v>688</v>
      </c>
      <c r="D3252" s="6" t="s">
        <v>14</v>
      </c>
      <c r="E3252" s="6" t="s">
        <v>52</v>
      </c>
      <c r="F3252" s="6" t="s">
        <v>70</v>
      </c>
      <c r="G3252" s="6" t="s">
        <v>689</v>
      </c>
      <c r="H3252" s="6" t="s">
        <v>690</v>
      </c>
      <c r="I3252" s="6" t="s">
        <v>31</v>
      </c>
      <c r="J3252" s="6">
        <v>17.056578633261001</v>
      </c>
      <c r="K3252" s="6">
        <v>-96.824522781699002</v>
      </c>
      <c r="L3252" s="6" t="str">
        <f>HYPERLINK("https://maps.google.com/?q=17.0565786332615,-96.824522781698803", "🔗 Ver Mapa")</f>
        <v>🔗 Ver Mapa</v>
      </c>
    </row>
    <row r="3253" spans="1:12" ht="43.5" x14ac:dyDescent="0.35">
      <c r="A3253" s="5" t="s">
        <v>98</v>
      </c>
      <c r="B3253" s="5" t="s">
        <v>99</v>
      </c>
      <c r="C3253" s="5" t="s">
        <v>688</v>
      </c>
      <c r="D3253" s="5" t="s">
        <v>14</v>
      </c>
      <c r="E3253" s="5" t="s">
        <v>52</v>
      </c>
      <c r="F3253" s="5" t="s">
        <v>70</v>
      </c>
      <c r="G3253" s="5" t="s">
        <v>689</v>
      </c>
      <c r="H3253" s="5" t="s">
        <v>690</v>
      </c>
      <c r="I3253" s="5" t="s">
        <v>31</v>
      </c>
      <c r="J3253" s="5">
        <v>17.057254436086001</v>
      </c>
      <c r="K3253" s="5">
        <v>-96.820488364417997</v>
      </c>
      <c r="L3253" s="5" t="str">
        <f>HYPERLINK("https://maps.google.com/?q=17.0572544360864,-96.820488364417997", "🔗 Ver Mapa")</f>
        <v>🔗 Ver Mapa</v>
      </c>
    </row>
    <row r="3254" spans="1:12" ht="43.5" x14ac:dyDescent="0.35">
      <c r="A3254" s="6" t="s">
        <v>98</v>
      </c>
      <c r="B3254" s="6" t="s">
        <v>99</v>
      </c>
      <c r="C3254" s="6" t="s">
        <v>688</v>
      </c>
      <c r="D3254" s="6" t="s">
        <v>14</v>
      </c>
      <c r="E3254" s="6" t="s">
        <v>52</v>
      </c>
      <c r="F3254" s="6" t="s">
        <v>70</v>
      </c>
      <c r="G3254" s="6" t="s">
        <v>689</v>
      </c>
      <c r="H3254" s="6" t="s">
        <v>690</v>
      </c>
      <c r="I3254" s="6" t="s">
        <v>31</v>
      </c>
      <c r="J3254" s="6">
        <v>17.057768975205999</v>
      </c>
      <c r="K3254" s="6">
        <v>-96.824182043568996</v>
      </c>
      <c r="L3254" s="6" t="str">
        <f>HYPERLINK("https://maps.google.com/?q=17.057768975206,-96.824182043568598", "🔗 Ver Mapa")</f>
        <v>🔗 Ver Mapa</v>
      </c>
    </row>
    <row r="3255" spans="1:12" ht="43.5" x14ac:dyDescent="0.35">
      <c r="A3255" s="5" t="s">
        <v>98</v>
      </c>
      <c r="B3255" s="5" t="s">
        <v>99</v>
      </c>
      <c r="C3255" s="5" t="s">
        <v>688</v>
      </c>
      <c r="D3255" s="5" t="s">
        <v>14</v>
      </c>
      <c r="E3255" s="5" t="s">
        <v>52</v>
      </c>
      <c r="F3255" s="5" t="s">
        <v>70</v>
      </c>
      <c r="G3255" s="5" t="s">
        <v>689</v>
      </c>
      <c r="H3255" s="5" t="s">
        <v>690</v>
      </c>
      <c r="I3255" s="5" t="s">
        <v>31</v>
      </c>
      <c r="J3255" s="5">
        <v>17.057816147112</v>
      </c>
      <c r="K3255" s="5">
        <v>-96.815266470476004</v>
      </c>
      <c r="L3255" s="5" t="str">
        <f>HYPERLINK("https://maps.google.com/?q=17.0578161471121,-96.815266470475507", "🔗 Ver Mapa")</f>
        <v>🔗 Ver Mapa</v>
      </c>
    </row>
    <row r="3256" spans="1:12" ht="43.5" x14ac:dyDescent="0.35">
      <c r="A3256" s="6" t="s">
        <v>98</v>
      </c>
      <c r="B3256" s="6" t="s">
        <v>99</v>
      </c>
      <c r="C3256" s="6" t="s">
        <v>688</v>
      </c>
      <c r="D3256" s="6" t="s">
        <v>14</v>
      </c>
      <c r="E3256" s="6" t="s">
        <v>52</v>
      </c>
      <c r="F3256" s="6" t="s">
        <v>70</v>
      </c>
      <c r="G3256" s="6" t="s">
        <v>689</v>
      </c>
      <c r="H3256" s="6" t="s">
        <v>690</v>
      </c>
      <c r="I3256" s="6" t="s">
        <v>31</v>
      </c>
      <c r="J3256" s="6">
        <v>17.057952212633001</v>
      </c>
      <c r="K3256" s="6">
        <v>-96.823097546116998</v>
      </c>
      <c r="L3256" s="6" t="str">
        <f>HYPERLINK("https://maps.google.com/?q=17.0579522126327,-96.823097546116898", "🔗 Ver Mapa")</f>
        <v>🔗 Ver Mapa</v>
      </c>
    </row>
    <row r="3257" spans="1:12" ht="43.5" x14ac:dyDescent="0.35">
      <c r="A3257" s="5" t="s">
        <v>98</v>
      </c>
      <c r="B3257" s="5" t="s">
        <v>99</v>
      </c>
      <c r="C3257" s="5" t="s">
        <v>688</v>
      </c>
      <c r="D3257" s="5" t="s">
        <v>14</v>
      </c>
      <c r="E3257" s="5" t="s">
        <v>52</v>
      </c>
      <c r="F3257" s="5" t="s">
        <v>70</v>
      </c>
      <c r="G3257" s="5" t="s">
        <v>689</v>
      </c>
      <c r="H3257" s="5" t="s">
        <v>690</v>
      </c>
      <c r="I3257" s="5" t="s">
        <v>31</v>
      </c>
      <c r="J3257" s="5">
        <v>17.058500926855</v>
      </c>
      <c r="K3257" s="5">
        <v>-96.821081184026994</v>
      </c>
      <c r="L3257" s="5" t="str">
        <f>HYPERLINK("https://maps.google.com/?q=17.0585009268553,-96.821081184026696", "🔗 Ver Mapa")</f>
        <v>🔗 Ver Mapa</v>
      </c>
    </row>
    <row r="3258" spans="1:12" ht="43.5" x14ac:dyDescent="0.35">
      <c r="A3258" s="6" t="s">
        <v>98</v>
      </c>
      <c r="B3258" s="6" t="s">
        <v>99</v>
      </c>
      <c r="C3258" s="6" t="s">
        <v>688</v>
      </c>
      <c r="D3258" s="6" t="s">
        <v>14</v>
      </c>
      <c r="E3258" s="6" t="s">
        <v>52</v>
      </c>
      <c r="F3258" s="6" t="s">
        <v>70</v>
      </c>
      <c r="G3258" s="6" t="s">
        <v>689</v>
      </c>
      <c r="H3258" s="6" t="s">
        <v>690</v>
      </c>
      <c r="I3258" s="6" t="s">
        <v>31</v>
      </c>
      <c r="J3258" s="6">
        <v>17.058521826258001</v>
      </c>
      <c r="K3258" s="6">
        <v>-96.823213282210006</v>
      </c>
      <c r="L3258" s="6" t="str">
        <f>HYPERLINK("https://maps.google.com/?q=17.0585218262579,-96.823213282209906", "🔗 Ver Mapa")</f>
        <v>🔗 Ver Mapa</v>
      </c>
    </row>
    <row r="3259" spans="1:12" ht="43.5" x14ac:dyDescent="0.35">
      <c r="A3259" s="5" t="s">
        <v>98</v>
      </c>
      <c r="B3259" s="5" t="s">
        <v>99</v>
      </c>
      <c r="C3259" s="5" t="s">
        <v>688</v>
      </c>
      <c r="D3259" s="5" t="s">
        <v>14</v>
      </c>
      <c r="E3259" s="5" t="s">
        <v>52</v>
      </c>
      <c r="F3259" s="5" t="s">
        <v>70</v>
      </c>
      <c r="G3259" s="5" t="s">
        <v>689</v>
      </c>
      <c r="H3259" s="5" t="s">
        <v>690</v>
      </c>
      <c r="I3259" s="5" t="s">
        <v>31</v>
      </c>
      <c r="J3259" s="5">
        <v>17.058672105805002</v>
      </c>
      <c r="K3259" s="5">
        <v>-96.817987480984996</v>
      </c>
      <c r="L3259" s="5" t="str">
        <f>HYPERLINK("https://maps.google.com/?q=17.0586721058049,-96.8179874809854", "🔗 Ver Mapa")</f>
        <v>🔗 Ver Mapa</v>
      </c>
    </row>
    <row r="3260" spans="1:12" ht="43.5" x14ac:dyDescent="0.35">
      <c r="A3260" s="6" t="s">
        <v>98</v>
      </c>
      <c r="B3260" s="6" t="s">
        <v>99</v>
      </c>
      <c r="C3260" s="6" t="s">
        <v>688</v>
      </c>
      <c r="D3260" s="6" t="s">
        <v>14</v>
      </c>
      <c r="E3260" s="6" t="s">
        <v>52</v>
      </c>
      <c r="F3260" s="6" t="s">
        <v>70</v>
      </c>
      <c r="G3260" s="6" t="s">
        <v>689</v>
      </c>
      <c r="H3260" s="6" t="s">
        <v>690</v>
      </c>
      <c r="I3260" s="6" t="s">
        <v>31</v>
      </c>
      <c r="J3260" s="6">
        <v>17.059094239214001</v>
      </c>
      <c r="K3260" s="6">
        <v>-96.822050566732997</v>
      </c>
      <c r="L3260" s="6" t="str">
        <f>HYPERLINK("https://maps.google.com/?q=17.0590942392145,-96.822050566733296", "🔗 Ver Mapa")</f>
        <v>🔗 Ver Mapa</v>
      </c>
    </row>
    <row r="3261" spans="1:12" ht="43.5" x14ac:dyDescent="0.35">
      <c r="A3261" s="5" t="s">
        <v>98</v>
      </c>
      <c r="B3261" s="5" t="s">
        <v>99</v>
      </c>
      <c r="C3261" s="5" t="s">
        <v>688</v>
      </c>
      <c r="D3261" s="5" t="s">
        <v>14</v>
      </c>
      <c r="E3261" s="5" t="s">
        <v>52</v>
      </c>
      <c r="F3261" s="5" t="s">
        <v>70</v>
      </c>
      <c r="G3261" s="5" t="s">
        <v>689</v>
      </c>
      <c r="H3261" s="5" t="s">
        <v>690</v>
      </c>
      <c r="I3261" s="5" t="s">
        <v>31</v>
      </c>
      <c r="J3261" s="5">
        <v>17.059199107628999</v>
      </c>
      <c r="K3261" s="5">
        <v>-96.819106291995993</v>
      </c>
      <c r="L3261" s="5" t="str">
        <f>HYPERLINK("https://maps.google.com/?q=17.0591991076292,-96.819106291996107", "🔗 Ver Mapa")</f>
        <v>🔗 Ver Mapa</v>
      </c>
    </row>
    <row r="3262" spans="1:12" ht="43.5" x14ac:dyDescent="0.35">
      <c r="A3262" s="6" t="s">
        <v>98</v>
      </c>
      <c r="B3262" s="6" t="s">
        <v>99</v>
      </c>
      <c r="C3262" s="6" t="s">
        <v>688</v>
      </c>
      <c r="D3262" s="6" t="s">
        <v>14</v>
      </c>
      <c r="E3262" s="6" t="s">
        <v>52</v>
      </c>
      <c r="F3262" s="6" t="s">
        <v>70</v>
      </c>
      <c r="G3262" s="6" t="s">
        <v>689</v>
      </c>
      <c r="H3262" s="6" t="s">
        <v>690</v>
      </c>
      <c r="I3262" s="6" t="s">
        <v>31</v>
      </c>
      <c r="J3262" s="6">
        <v>17.059362926731001</v>
      </c>
      <c r="K3262" s="6">
        <v>-96.815416069940994</v>
      </c>
      <c r="L3262" s="6" t="str">
        <f>HYPERLINK("https://maps.google.com/?q=17.0593629267312,-96.815416069940596", "🔗 Ver Mapa")</f>
        <v>🔗 Ver Mapa</v>
      </c>
    </row>
    <row r="3263" spans="1:12" ht="43.5" x14ac:dyDescent="0.35">
      <c r="A3263" s="5" t="s">
        <v>98</v>
      </c>
      <c r="B3263" s="5" t="s">
        <v>99</v>
      </c>
      <c r="C3263" s="5" t="s">
        <v>688</v>
      </c>
      <c r="D3263" s="5" t="s">
        <v>14</v>
      </c>
      <c r="E3263" s="5" t="s">
        <v>52</v>
      </c>
      <c r="F3263" s="5" t="s">
        <v>70</v>
      </c>
      <c r="G3263" s="5" t="s">
        <v>689</v>
      </c>
      <c r="H3263" s="5" t="s">
        <v>690</v>
      </c>
      <c r="I3263" s="5" t="s">
        <v>31</v>
      </c>
      <c r="J3263" s="5">
        <v>17.059765281181999</v>
      </c>
      <c r="K3263" s="5">
        <v>-96.820264435038993</v>
      </c>
      <c r="L3263" s="5" t="str">
        <f>HYPERLINK("https://maps.google.com/?q=17.0597652811823,-96.820264435038695", "🔗 Ver Mapa")</f>
        <v>🔗 Ver Mapa</v>
      </c>
    </row>
    <row r="3264" spans="1:12" ht="43.5" x14ac:dyDescent="0.35">
      <c r="A3264" s="6" t="s">
        <v>98</v>
      </c>
      <c r="B3264" s="6" t="s">
        <v>99</v>
      </c>
      <c r="C3264" s="6" t="s">
        <v>688</v>
      </c>
      <c r="D3264" s="6" t="s">
        <v>14</v>
      </c>
      <c r="E3264" s="6" t="s">
        <v>52</v>
      </c>
      <c r="F3264" s="6" t="s">
        <v>70</v>
      </c>
      <c r="G3264" s="6" t="s">
        <v>689</v>
      </c>
      <c r="H3264" s="6" t="s">
        <v>690</v>
      </c>
      <c r="I3264" s="6" t="s">
        <v>31</v>
      </c>
      <c r="J3264" s="6">
        <v>17.059882739852</v>
      </c>
      <c r="K3264" s="6">
        <v>-96.819119232608003</v>
      </c>
      <c r="L3264" s="6" t="str">
        <f>HYPERLINK("https://maps.google.com/?q=17.0598827398522,-96.819119232607704", "🔗 Ver Mapa")</f>
        <v>🔗 Ver Mapa</v>
      </c>
    </row>
    <row r="3265" spans="1:12" ht="43.5" x14ac:dyDescent="0.35">
      <c r="A3265" s="5" t="s">
        <v>98</v>
      </c>
      <c r="B3265" s="5" t="s">
        <v>99</v>
      </c>
      <c r="C3265" s="5" t="s">
        <v>688</v>
      </c>
      <c r="D3265" s="5" t="s">
        <v>14</v>
      </c>
      <c r="E3265" s="5" t="s">
        <v>52</v>
      </c>
      <c r="F3265" s="5" t="s">
        <v>70</v>
      </c>
      <c r="G3265" s="5" t="s">
        <v>689</v>
      </c>
      <c r="H3265" s="5" t="s">
        <v>690</v>
      </c>
      <c r="I3265" s="5" t="s">
        <v>31</v>
      </c>
      <c r="J3265" s="5">
        <v>17.059904428239001</v>
      </c>
      <c r="K3265" s="5">
        <v>-96.822111852139997</v>
      </c>
      <c r="L3265" s="5" t="str">
        <f>HYPERLINK("https://maps.google.com/?q=17.059904428239,-96.822111852139699", "🔗 Ver Mapa")</f>
        <v>🔗 Ver Mapa</v>
      </c>
    </row>
    <row r="3266" spans="1:12" ht="43.5" x14ac:dyDescent="0.35">
      <c r="A3266" s="6" t="s">
        <v>98</v>
      </c>
      <c r="B3266" s="6" t="s">
        <v>99</v>
      </c>
      <c r="C3266" s="6" t="s">
        <v>688</v>
      </c>
      <c r="D3266" s="6" t="s">
        <v>14</v>
      </c>
      <c r="E3266" s="6" t="s">
        <v>52</v>
      </c>
      <c r="F3266" s="6" t="s">
        <v>70</v>
      </c>
      <c r="G3266" s="6" t="s">
        <v>689</v>
      </c>
      <c r="H3266" s="6" t="s">
        <v>690</v>
      </c>
      <c r="I3266" s="6" t="s">
        <v>31</v>
      </c>
      <c r="J3266" s="6">
        <v>17.059932590561001</v>
      </c>
      <c r="K3266" s="6">
        <v>-96.819707195106005</v>
      </c>
      <c r="L3266" s="6" t="str">
        <f>HYPERLINK("https://maps.google.com/?q=17.0599325905606,-96.819707195106403", "🔗 Ver Mapa")</f>
        <v>🔗 Ver Mapa</v>
      </c>
    </row>
    <row r="3267" spans="1:12" ht="43.5" x14ac:dyDescent="0.35">
      <c r="A3267" s="5" t="s">
        <v>98</v>
      </c>
      <c r="B3267" s="5" t="s">
        <v>99</v>
      </c>
      <c r="C3267" s="5" t="s">
        <v>688</v>
      </c>
      <c r="D3267" s="5" t="s">
        <v>14</v>
      </c>
      <c r="E3267" s="5" t="s">
        <v>52</v>
      </c>
      <c r="F3267" s="5" t="s">
        <v>70</v>
      </c>
      <c r="G3267" s="5" t="s">
        <v>689</v>
      </c>
      <c r="H3267" s="5" t="s">
        <v>690</v>
      </c>
      <c r="I3267" s="5" t="s">
        <v>31</v>
      </c>
      <c r="J3267" s="5">
        <v>17.059984668252</v>
      </c>
      <c r="K3267" s="5">
        <v>-96.820098294477006</v>
      </c>
      <c r="L3267" s="5" t="str">
        <f>HYPERLINK("https://maps.google.com/?q=17.0599846682521,-96.820098294477305", "🔗 Ver Mapa")</f>
        <v>🔗 Ver Mapa</v>
      </c>
    </row>
    <row r="3268" spans="1:12" ht="43.5" x14ac:dyDescent="0.35">
      <c r="A3268" s="6" t="s">
        <v>98</v>
      </c>
      <c r="B3268" s="6" t="s">
        <v>99</v>
      </c>
      <c r="C3268" s="6" t="s">
        <v>688</v>
      </c>
      <c r="D3268" s="6" t="s">
        <v>14</v>
      </c>
      <c r="E3268" s="6" t="s">
        <v>52</v>
      </c>
      <c r="F3268" s="6" t="s">
        <v>70</v>
      </c>
      <c r="G3268" s="6" t="s">
        <v>689</v>
      </c>
      <c r="H3268" s="6" t="s">
        <v>690</v>
      </c>
      <c r="I3268" s="6" t="s">
        <v>31</v>
      </c>
      <c r="J3268" s="6">
        <v>17.060008</v>
      </c>
      <c r="K3268" s="6">
        <v>-96.822118000000003</v>
      </c>
      <c r="L3268" s="6" t="str">
        <f>HYPERLINK("https://maps.google.com/?q=17.060008,-96.822118000000003", "🔗 Ver Mapa")</f>
        <v>🔗 Ver Mapa</v>
      </c>
    </row>
    <row r="3269" spans="1:12" ht="43.5" x14ac:dyDescent="0.35">
      <c r="A3269" s="5" t="s">
        <v>98</v>
      </c>
      <c r="B3269" s="5" t="s">
        <v>99</v>
      </c>
      <c r="C3269" s="5" t="s">
        <v>688</v>
      </c>
      <c r="D3269" s="5" t="s">
        <v>14</v>
      </c>
      <c r="E3269" s="5" t="s">
        <v>52</v>
      </c>
      <c r="F3269" s="5" t="s">
        <v>70</v>
      </c>
      <c r="G3269" s="5" t="s">
        <v>689</v>
      </c>
      <c r="H3269" s="5" t="s">
        <v>690</v>
      </c>
      <c r="I3269" s="5" t="s">
        <v>31</v>
      </c>
      <c r="J3269" s="5">
        <v>17.060136</v>
      </c>
      <c r="K3269" s="5">
        <v>-96.822819999999993</v>
      </c>
      <c r="L3269" s="5" t="str">
        <f>HYPERLINK("https://maps.google.com/?q=17.060136,-96.822819999999993", "🔗 Ver Mapa")</f>
        <v>🔗 Ver Mapa</v>
      </c>
    </row>
    <row r="3270" spans="1:12" ht="43.5" x14ac:dyDescent="0.35">
      <c r="A3270" s="6" t="s">
        <v>98</v>
      </c>
      <c r="B3270" s="6" t="s">
        <v>99</v>
      </c>
      <c r="C3270" s="6" t="s">
        <v>688</v>
      </c>
      <c r="D3270" s="6" t="s">
        <v>14</v>
      </c>
      <c r="E3270" s="6" t="s">
        <v>52</v>
      </c>
      <c r="F3270" s="6" t="s">
        <v>70</v>
      </c>
      <c r="G3270" s="6" t="s">
        <v>689</v>
      </c>
      <c r="H3270" s="6" t="s">
        <v>690</v>
      </c>
      <c r="I3270" s="6" t="s">
        <v>31</v>
      </c>
      <c r="J3270" s="6">
        <v>17.060144130222</v>
      </c>
      <c r="K3270" s="6">
        <v>-96.819486986591997</v>
      </c>
      <c r="L3270" s="6" t="str">
        <f>HYPERLINK("https://maps.google.com/?q=17.0601441302221,-96.819486986592395", "🔗 Ver Mapa")</f>
        <v>🔗 Ver Mapa</v>
      </c>
    </row>
    <row r="3271" spans="1:12" ht="43.5" x14ac:dyDescent="0.35">
      <c r="A3271" s="5" t="s">
        <v>98</v>
      </c>
      <c r="B3271" s="5" t="s">
        <v>99</v>
      </c>
      <c r="C3271" s="5" t="s">
        <v>688</v>
      </c>
      <c r="D3271" s="5" t="s">
        <v>14</v>
      </c>
      <c r="E3271" s="5" t="s">
        <v>52</v>
      </c>
      <c r="F3271" s="5" t="s">
        <v>70</v>
      </c>
      <c r="G3271" s="5" t="s">
        <v>689</v>
      </c>
      <c r="H3271" s="5" t="s">
        <v>690</v>
      </c>
      <c r="I3271" s="5" t="s">
        <v>31</v>
      </c>
      <c r="J3271" s="5">
        <v>17.060324771312999</v>
      </c>
      <c r="K3271" s="5">
        <v>-96.819273061342003</v>
      </c>
      <c r="L3271" s="5" t="str">
        <f>HYPERLINK("https://maps.google.com/?q=17.0603247713129,-96.819273061342301", "🔗 Ver Mapa")</f>
        <v>🔗 Ver Mapa</v>
      </c>
    </row>
    <row r="3272" spans="1:12" ht="43.5" x14ac:dyDescent="0.35">
      <c r="A3272" s="6" t="s">
        <v>98</v>
      </c>
      <c r="B3272" s="6" t="s">
        <v>99</v>
      </c>
      <c r="C3272" s="6" t="s">
        <v>688</v>
      </c>
      <c r="D3272" s="6" t="s">
        <v>14</v>
      </c>
      <c r="E3272" s="6" t="s">
        <v>52</v>
      </c>
      <c r="F3272" s="6" t="s">
        <v>70</v>
      </c>
      <c r="G3272" s="6" t="s">
        <v>689</v>
      </c>
      <c r="H3272" s="6" t="s">
        <v>690</v>
      </c>
      <c r="I3272" s="6" t="s">
        <v>31</v>
      </c>
      <c r="J3272" s="6">
        <v>17.060567195588</v>
      </c>
      <c r="K3272" s="6">
        <v>-96.821171165254</v>
      </c>
      <c r="L3272" s="6" t="str">
        <f>HYPERLINK("https://maps.google.com/?q=17.0605671955877,-96.821171165253801", "🔗 Ver Mapa")</f>
        <v>🔗 Ver Mapa</v>
      </c>
    </row>
    <row r="3273" spans="1:12" ht="43.5" x14ac:dyDescent="0.35">
      <c r="A3273" s="5" t="s">
        <v>98</v>
      </c>
      <c r="B3273" s="5" t="s">
        <v>99</v>
      </c>
      <c r="C3273" s="5" t="s">
        <v>688</v>
      </c>
      <c r="D3273" s="5" t="s">
        <v>14</v>
      </c>
      <c r="E3273" s="5" t="s">
        <v>52</v>
      </c>
      <c r="F3273" s="5" t="s">
        <v>70</v>
      </c>
      <c r="G3273" s="5" t="s">
        <v>689</v>
      </c>
      <c r="H3273" s="5" t="s">
        <v>690</v>
      </c>
      <c r="I3273" s="5" t="s">
        <v>31</v>
      </c>
      <c r="J3273" s="5">
        <v>17.060629398627</v>
      </c>
      <c r="K3273" s="5">
        <v>-96.813372991506</v>
      </c>
      <c r="L3273" s="5" t="str">
        <f>HYPERLINK("https://maps.google.com/?q=17.0606293986266,-96.813372991505503", "🔗 Ver Mapa")</f>
        <v>🔗 Ver Mapa</v>
      </c>
    </row>
    <row r="3274" spans="1:12" ht="43.5" x14ac:dyDescent="0.35">
      <c r="A3274" s="6" t="s">
        <v>98</v>
      </c>
      <c r="B3274" s="6" t="s">
        <v>99</v>
      </c>
      <c r="C3274" s="6" t="s">
        <v>688</v>
      </c>
      <c r="D3274" s="6" t="s">
        <v>14</v>
      </c>
      <c r="E3274" s="6" t="s">
        <v>52</v>
      </c>
      <c r="F3274" s="6" t="s">
        <v>70</v>
      </c>
      <c r="G3274" s="6" t="s">
        <v>689</v>
      </c>
      <c r="H3274" s="6" t="s">
        <v>690</v>
      </c>
      <c r="I3274" s="6" t="s">
        <v>31</v>
      </c>
      <c r="J3274" s="6">
        <v>17.060679753388001</v>
      </c>
      <c r="K3274" s="6">
        <v>-96.820643395581996</v>
      </c>
      <c r="L3274" s="6" t="str">
        <f>HYPERLINK("https://maps.google.com/?q=17.0606797533884,-96.820643395581996", "🔗 Ver Mapa")</f>
        <v>🔗 Ver Mapa</v>
      </c>
    </row>
    <row r="3275" spans="1:12" ht="43.5" x14ac:dyDescent="0.35">
      <c r="A3275" s="5" t="s">
        <v>98</v>
      </c>
      <c r="B3275" s="5" t="s">
        <v>99</v>
      </c>
      <c r="C3275" s="5" t="s">
        <v>688</v>
      </c>
      <c r="D3275" s="5" t="s">
        <v>14</v>
      </c>
      <c r="E3275" s="5" t="s">
        <v>52</v>
      </c>
      <c r="F3275" s="5" t="s">
        <v>70</v>
      </c>
      <c r="G3275" s="5" t="s">
        <v>689</v>
      </c>
      <c r="H3275" s="5" t="s">
        <v>690</v>
      </c>
      <c r="I3275" s="5" t="s">
        <v>31</v>
      </c>
      <c r="J3275" s="5">
        <v>17.060943044889001</v>
      </c>
      <c r="K3275" s="5">
        <v>-96.815588774282006</v>
      </c>
      <c r="L3275" s="5" t="str">
        <f>HYPERLINK("https://maps.google.com/?q=17.060943044889,-96.815588774281906", "🔗 Ver Mapa")</f>
        <v>🔗 Ver Mapa</v>
      </c>
    </row>
    <row r="3276" spans="1:12" ht="43.5" x14ac:dyDescent="0.35">
      <c r="A3276" s="6" t="s">
        <v>98</v>
      </c>
      <c r="B3276" s="6" t="s">
        <v>99</v>
      </c>
      <c r="C3276" s="6" t="s">
        <v>688</v>
      </c>
      <c r="D3276" s="6" t="s">
        <v>14</v>
      </c>
      <c r="E3276" s="6" t="s">
        <v>52</v>
      </c>
      <c r="F3276" s="6" t="s">
        <v>70</v>
      </c>
      <c r="G3276" s="6" t="s">
        <v>689</v>
      </c>
      <c r="H3276" s="6" t="s">
        <v>690</v>
      </c>
      <c r="I3276" s="6" t="s">
        <v>31</v>
      </c>
      <c r="J3276" s="6">
        <v>17.060951722056998</v>
      </c>
      <c r="K3276" s="6">
        <v>-96.820420023636004</v>
      </c>
      <c r="L3276" s="6" t="str">
        <f>HYPERLINK("https://maps.google.com/?q=17.0609517220575,-96.820420023635506", "🔗 Ver Mapa")</f>
        <v>🔗 Ver Mapa</v>
      </c>
    </row>
    <row r="3277" spans="1:12" ht="43.5" x14ac:dyDescent="0.35">
      <c r="A3277" s="5" t="s">
        <v>98</v>
      </c>
      <c r="B3277" s="5" t="s">
        <v>99</v>
      </c>
      <c r="C3277" s="5" t="s">
        <v>688</v>
      </c>
      <c r="D3277" s="5" t="s">
        <v>14</v>
      </c>
      <c r="E3277" s="5" t="s">
        <v>52</v>
      </c>
      <c r="F3277" s="5" t="s">
        <v>70</v>
      </c>
      <c r="G3277" s="5" t="s">
        <v>689</v>
      </c>
      <c r="H3277" s="5" t="s">
        <v>690</v>
      </c>
      <c r="I3277" s="5" t="s">
        <v>31</v>
      </c>
      <c r="J3277" s="5">
        <v>17.061258862628002</v>
      </c>
      <c r="K3277" s="5">
        <v>-96.819032669056</v>
      </c>
      <c r="L3277" s="5" t="str">
        <f>HYPERLINK("https://maps.google.com/?q=17.0612588626285,-96.819032669056099", "🔗 Ver Mapa")</f>
        <v>🔗 Ver Mapa</v>
      </c>
    </row>
    <row r="3278" spans="1:12" ht="43.5" x14ac:dyDescent="0.35">
      <c r="A3278" s="6" t="s">
        <v>98</v>
      </c>
      <c r="B3278" s="6" t="s">
        <v>99</v>
      </c>
      <c r="C3278" s="6" t="s">
        <v>688</v>
      </c>
      <c r="D3278" s="6" t="s">
        <v>14</v>
      </c>
      <c r="E3278" s="6" t="s">
        <v>52</v>
      </c>
      <c r="F3278" s="6" t="s">
        <v>70</v>
      </c>
      <c r="G3278" s="6" t="s">
        <v>689</v>
      </c>
      <c r="H3278" s="6" t="s">
        <v>690</v>
      </c>
      <c r="I3278" s="6" t="s">
        <v>31</v>
      </c>
      <c r="J3278" s="6">
        <v>17.061294318163998</v>
      </c>
      <c r="K3278" s="6">
        <v>-96.823499782796006</v>
      </c>
      <c r="L3278" s="6" t="str">
        <f>HYPERLINK("https://maps.google.com/?q=17.0612943181643,-96.823499782795807", "🔗 Ver Mapa")</f>
        <v>🔗 Ver Mapa</v>
      </c>
    </row>
    <row r="3279" spans="1:12" ht="43.5" x14ac:dyDescent="0.35">
      <c r="A3279" s="5" t="s">
        <v>98</v>
      </c>
      <c r="B3279" s="5" t="s">
        <v>99</v>
      </c>
      <c r="C3279" s="5" t="s">
        <v>688</v>
      </c>
      <c r="D3279" s="5" t="s">
        <v>14</v>
      </c>
      <c r="E3279" s="5" t="s">
        <v>52</v>
      </c>
      <c r="F3279" s="5" t="s">
        <v>70</v>
      </c>
      <c r="G3279" s="5" t="s">
        <v>689</v>
      </c>
      <c r="H3279" s="5" t="s">
        <v>690</v>
      </c>
      <c r="I3279" s="5" t="s">
        <v>31</v>
      </c>
      <c r="J3279" s="5">
        <v>17.061329797468002</v>
      </c>
      <c r="K3279" s="5">
        <v>-96.812807309193005</v>
      </c>
      <c r="L3279" s="5" t="str">
        <f>HYPERLINK("https://maps.google.com/?q=17.0613297974678,-96.812807309192706", "🔗 Ver Mapa")</f>
        <v>🔗 Ver Mapa</v>
      </c>
    </row>
    <row r="3280" spans="1:12" ht="43.5" x14ac:dyDescent="0.35">
      <c r="A3280" s="6" t="s">
        <v>98</v>
      </c>
      <c r="B3280" s="6" t="s">
        <v>99</v>
      </c>
      <c r="C3280" s="6" t="s">
        <v>688</v>
      </c>
      <c r="D3280" s="6" t="s">
        <v>14</v>
      </c>
      <c r="E3280" s="6" t="s">
        <v>52</v>
      </c>
      <c r="F3280" s="6" t="s">
        <v>70</v>
      </c>
      <c r="G3280" s="6" t="s">
        <v>689</v>
      </c>
      <c r="H3280" s="6" t="s">
        <v>690</v>
      </c>
      <c r="I3280" s="6" t="s">
        <v>31</v>
      </c>
      <c r="J3280" s="6">
        <v>17.061483543943002</v>
      </c>
      <c r="K3280" s="6">
        <v>-96.820382294477</v>
      </c>
      <c r="L3280" s="6" t="str">
        <f>HYPERLINK("https://maps.google.com/?q=17.061483543943,-96.820382294477398", "🔗 Ver Mapa")</f>
        <v>🔗 Ver Mapa</v>
      </c>
    </row>
    <row r="3281" spans="1:12" ht="43.5" x14ac:dyDescent="0.35">
      <c r="A3281" s="5" t="s">
        <v>98</v>
      </c>
      <c r="B3281" s="5" t="s">
        <v>99</v>
      </c>
      <c r="C3281" s="5" t="s">
        <v>688</v>
      </c>
      <c r="D3281" s="5" t="s">
        <v>14</v>
      </c>
      <c r="E3281" s="5" t="s">
        <v>52</v>
      </c>
      <c r="F3281" s="5" t="s">
        <v>70</v>
      </c>
      <c r="G3281" s="5" t="s">
        <v>689</v>
      </c>
      <c r="H3281" s="5" t="s">
        <v>690</v>
      </c>
      <c r="I3281" s="5" t="s">
        <v>31</v>
      </c>
      <c r="J3281" s="5">
        <v>17.061798719447001</v>
      </c>
      <c r="K3281" s="5">
        <v>-96.818681326388997</v>
      </c>
      <c r="L3281" s="5" t="str">
        <f>HYPERLINK("https://maps.google.com/?q=17.0617987194471,-96.818681326389196", "🔗 Ver Mapa")</f>
        <v>🔗 Ver Mapa</v>
      </c>
    </row>
    <row r="3282" spans="1:12" ht="43.5" x14ac:dyDescent="0.35">
      <c r="A3282" s="6" t="s">
        <v>98</v>
      </c>
      <c r="B3282" s="6" t="s">
        <v>99</v>
      </c>
      <c r="C3282" s="6" t="s">
        <v>688</v>
      </c>
      <c r="D3282" s="6" t="s">
        <v>14</v>
      </c>
      <c r="E3282" s="6" t="s">
        <v>52</v>
      </c>
      <c r="F3282" s="6" t="s">
        <v>70</v>
      </c>
      <c r="G3282" s="6" t="s">
        <v>689</v>
      </c>
      <c r="H3282" s="6" t="s">
        <v>690</v>
      </c>
      <c r="I3282" s="6" t="s">
        <v>31</v>
      </c>
      <c r="J3282" s="6">
        <v>17.061888310529</v>
      </c>
      <c r="K3282" s="6">
        <v>-96.814380665879</v>
      </c>
      <c r="L3282" s="6" t="str">
        <f>HYPERLINK("https://maps.google.com/?q=17.0618883105294,-96.814380665879199", "🔗 Ver Mapa")</f>
        <v>🔗 Ver Mapa</v>
      </c>
    </row>
    <row r="3283" spans="1:12" ht="43.5" x14ac:dyDescent="0.35">
      <c r="A3283" s="5" t="s">
        <v>98</v>
      </c>
      <c r="B3283" s="5" t="s">
        <v>99</v>
      </c>
      <c r="C3283" s="5" t="s">
        <v>688</v>
      </c>
      <c r="D3283" s="5" t="s">
        <v>14</v>
      </c>
      <c r="E3283" s="5" t="s">
        <v>52</v>
      </c>
      <c r="F3283" s="5" t="s">
        <v>70</v>
      </c>
      <c r="G3283" s="5" t="s">
        <v>689</v>
      </c>
      <c r="H3283" s="5" t="s">
        <v>690</v>
      </c>
      <c r="I3283" s="5" t="s">
        <v>31</v>
      </c>
      <c r="J3283" s="5">
        <v>17.061969837644</v>
      </c>
      <c r="K3283" s="5">
        <v>-96.813907948969003</v>
      </c>
      <c r="L3283" s="5" t="str">
        <f>HYPERLINK("https://maps.google.com/?q=17.0619698376441,-96.813907948968804", "🔗 Ver Mapa")</f>
        <v>🔗 Ver Mapa</v>
      </c>
    </row>
    <row r="3284" spans="1:12" ht="43.5" x14ac:dyDescent="0.35">
      <c r="A3284" s="6" t="s">
        <v>98</v>
      </c>
      <c r="B3284" s="6" t="s">
        <v>99</v>
      </c>
      <c r="C3284" s="6" t="s">
        <v>688</v>
      </c>
      <c r="D3284" s="6" t="s">
        <v>14</v>
      </c>
      <c r="E3284" s="6" t="s">
        <v>52</v>
      </c>
      <c r="F3284" s="6" t="s">
        <v>70</v>
      </c>
      <c r="G3284" s="6" t="s">
        <v>689</v>
      </c>
      <c r="H3284" s="6" t="s">
        <v>690</v>
      </c>
      <c r="I3284" s="6" t="s">
        <v>31</v>
      </c>
      <c r="J3284" s="6">
        <v>17.062174002151998</v>
      </c>
      <c r="K3284" s="6">
        <v>-96.814117553985</v>
      </c>
      <c r="L3284" s="6" t="str">
        <f>HYPERLINK("https://maps.google.com/?q=17.0621740021517,-96.814117553984602", "🔗 Ver Mapa")</f>
        <v>🔗 Ver Mapa</v>
      </c>
    </row>
    <row r="3285" spans="1:12" ht="43.5" x14ac:dyDescent="0.35">
      <c r="A3285" s="5" t="s">
        <v>98</v>
      </c>
      <c r="B3285" s="5" t="s">
        <v>99</v>
      </c>
      <c r="C3285" s="5" t="s">
        <v>688</v>
      </c>
      <c r="D3285" s="5" t="s">
        <v>14</v>
      </c>
      <c r="E3285" s="5" t="s">
        <v>52</v>
      </c>
      <c r="F3285" s="5" t="s">
        <v>70</v>
      </c>
      <c r="G3285" s="5" t="s">
        <v>689</v>
      </c>
      <c r="H3285" s="5" t="s">
        <v>690</v>
      </c>
      <c r="I3285" s="5" t="s">
        <v>31</v>
      </c>
      <c r="J3285" s="5">
        <v>17.062212814909</v>
      </c>
      <c r="K3285" s="5">
        <v>-96.813778256006003</v>
      </c>
      <c r="L3285" s="5" t="str">
        <f>HYPERLINK("https://maps.google.com/?q=17.0622128149091,-96.813778256005506", "🔗 Ver Mapa")</f>
        <v>🔗 Ver Mapa</v>
      </c>
    </row>
    <row r="3286" spans="1:12" ht="43.5" x14ac:dyDescent="0.35">
      <c r="A3286" s="6" t="s">
        <v>98</v>
      </c>
      <c r="B3286" s="6" t="s">
        <v>99</v>
      </c>
      <c r="C3286" s="6" t="s">
        <v>688</v>
      </c>
      <c r="D3286" s="6" t="s">
        <v>14</v>
      </c>
      <c r="E3286" s="6" t="s">
        <v>52</v>
      </c>
      <c r="F3286" s="6" t="s">
        <v>70</v>
      </c>
      <c r="G3286" s="6" t="s">
        <v>689</v>
      </c>
      <c r="H3286" s="6" t="s">
        <v>690</v>
      </c>
      <c r="I3286" s="6" t="s">
        <v>31</v>
      </c>
      <c r="J3286" s="6">
        <v>17.062218000000001</v>
      </c>
      <c r="K3286" s="6">
        <v>-96.814053000000001</v>
      </c>
      <c r="L3286" s="6" t="str">
        <f>HYPERLINK("https://maps.google.com/?q=17.062218,-96.814053000000001", "🔗 Ver Mapa")</f>
        <v>🔗 Ver Mapa</v>
      </c>
    </row>
    <row r="3287" spans="1:12" ht="43.5" x14ac:dyDescent="0.35">
      <c r="A3287" s="5" t="s">
        <v>98</v>
      </c>
      <c r="B3287" s="5" t="s">
        <v>99</v>
      </c>
      <c r="C3287" s="5" t="s">
        <v>688</v>
      </c>
      <c r="D3287" s="5" t="s">
        <v>14</v>
      </c>
      <c r="E3287" s="5" t="s">
        <v>52</v>
      </c>
      <c r="F3287" s="5" t="s">
        <v>70</v>
      </c>
      <c r="G3287" s="5" t="s">
        <v>689</v>
      </c>
      <c r="H3287" s="5" t="s">
        <v>690</v>
      </c>
      <c r="I3287" s="5" t="s">
        <v>31</v>
      </c>
      <c r="J3287" s="5">
        <v>17.062359114681001</v>
      </c>
      <c r="K3287" s="5">
        <v>-96.814576626269996</v>
      </c>
      <c r="L3287" s="5" t="str">
        <f>HYPERLINK("https://maps.google.com/?q=17.0623591146808,-96.814576626270494", "🔗 Ver Mapa")</f>
        <v>🔗 Ver Mapa</v>
      </c>
    </row>
    <row r="3288" spans="1:12" ht="43.5" x14ac:dyDescent="0.35">
      <c r="A3288" s="6" t="s">
        <v>98</v>
      </c>
      <c r="B3288" s="6" t="s">
        <v>99</v>
      </c>
      <c r="C3288" s="6" t="s">
        <v>688</v>
      </c>
      <c r="D3288" s="6" t="s">
        <v>14</v>
      </c>
      <c r="E3288" s="6" t="s">
        <v>52</v>
      </c>
      <c r="F3288" s="6" t="s">
        <v>70</v>
      </c>
      <c r="G3288" s="6" t="s">
        <v>689</v>
      </c>
      <c r="H3288" s="6" t="s">
        <v>690</v>
      </c>
      <c r="I3288" s="6" t="s">
        <v>31</v>
      </c>
      <c r="J3288" s="6">
        <v>17.062379414007001</v>
      </c>
      <c r="K3288" s="6">
        <v>-96.813868342858996</v>
      </c>
      <c r="L3288" s="6" t="str">
        <f>HYPERLINK("https://maps.google.com/?q=17.0623794140075,-96.813868342859195", "🔗 Ver Mapa")</f>
        <v>🔗 Ver Mapa</v>
      </c>
    </row>
    <row r="3289" spans="1:12" ht="43.5" x14ac:dyDescent="0.35">
      <c r="A3289" s="5" t="s">
        <v>98</v>
      </c>
      <c r="B3289" s="5" t="s">
        <v>99</v>
      </c>
      <c r="C3289" s="5" t="s">
        <v>688</v>
      </c>
      <c r="D3289" s="5" t="s">
        <v>14</v>
      </c>
      <c r="E3289" s="5" t="s">
        <v>52</v>
      </c>
      <c r="F3289" s="5" t="s">
        <v>70</v>
      </c>
      <c r="G3289" s="5" t="s">
        <v>689</v>
      </c>
      <c r="H3289" s="5" t="s">
        <v>690</v>
      </c>
      <c r="I3289" s="5" t="s">
        <v>31</v>
      </c>
      <c r="J3289" s="5">
        <v>17.062396557473001</v>
      </c>
      <c r="K3289" s="5">
        <v>-96.810514992953998</v>
      </c>
      <c r="L3289" s="5" t="str">
        <f>HYPERLINK("https://maps.google.com/?q=17.0623965574727,-96.810514992954296", "🔗 Ver Mapa")</f>
        <v>🔗 Ver Mapa</v>
      </c>
    </row>
    <row r="3290" spans="1:12" ht="43.5" x14ac:dyDescent="0.35">
      <c r="A3290" s="6" t="s">
        <v>98</v>
      </c>
      <c r="B3290" s="6" t="s">
        <v>99</v>
      </c>
      <c r="C3290" s="6" t="s">
        <v>688</v>
      </c>
      <c r="D3290" s="6" t="s">
        <v>14</v>
      </c>
      <c r="E3290" s="6" t="s">
        <v>52</v>
      </c>
      <c r="F3290" s="6" t="s">
        <v>70</v>
      </c>
      <c r="G3290" s="6" t="s">
        <v>689</v>
      </c>
      <c r="H3290" s="6" t="s">
        <v>690</v>
      </c>
      <c r="I3290" s="6" t="s">
        <v>31</v>
      </c>
      <c r="J3290" s="6">
        <v>17.062437106868</v>
      </c>
      <c r="K3290" s="6">
        <v>-96.811790064266006</v>
      </c>
      <c r="L3290" s="6" t="str">
        <f>HYPERLINK("https://maps.google.com/?q=17.0624371068683,-96.811790064265693", "🔗 Ver Mapa")</f>
        <v>🔗 Ver Mapa</v>
      </c>
    </row>
    <row r="3291" spans="1:12" ht="43.5" x14ac:dyDescent="0.35">
      <c r="A3291" s="5" t="s">
        <v>98</v>
      </c>
      <c r="B3291" s="5" t="s">
        <v>99</v>
      </c>
      <c r="C3291" s="5" t="s">
        <v>688</v>
      </c>
      <c r="D3291" s="5" t="s">
        <v>14</v>
      </c>
      <c r="E3291" s="5" t="s">
        <v>52</v>
      </c>
      <c r="F3291" s="5" t="s">
        <v>70</v>
      </c>
      <c r="G3291" s="5" t="s">
        <v>689</v>
      </c>
      <c r="H3291" s="5" t="s">
        <v>690</v>
      </c>
      <c r="I3291" s="5" t="s">
        <v>31</v>
      </c>
      <c r="J3291" s="5">
        <v>17.062462500900001</v>
      </c>
      <c r="K3291" s="5">
        <v>-96.813069879360995</v>
      </c>
      <c r="L3291" s="5" t="str">
        <f>HYPERLINK("https://maps.google.com/?q=17.0624625008997,-96.813069879360796", "🔗 Ver Mapa")</f>
        <v>🔗 Ver Mapa</v>
      </c>
    </row>
    <row r="3292" spans="1:12" ht="43.5" x14ac:dyDescent="0.35">
      <c r="A3292" s="6" t="s">
        <v>98</v>
      </c>
      <c r="B3292" s="6" t="s">
        <v>99</v>
      </c>
      <c r="C3292" s="6" t="s">
        <v>688</v>
      </c>
      <c r="D3292" s="6" t="s">
        <v>14</v>
      </c>
      <c r="E3292" s="6" t="s">
        <v>52</v>
      </c>
      <c r="F3292" s="6" t="s">
        <v>70</v>
      </c>
      <c r="G3292" s="6" t="s">
        <v>689</v>
      </c>
      <c r="H3292" s="6" t="s">
        <v>690</v>
      </c>
      <c r="I3292" s="6" t="s">
        <v>31</v>
      </c>
      <c r="J3292" s="6">
        <v>17.062507131469001</v>
      </c>
      <c r="K3292" s="6">
        <v>-96.812493378555999</v>
      </c>
      <c r="L3292" s="6" t="str">
        <f>HYPERLINK("https://maps.google.com/?q=17.062507131469,-96.812493378556198", "🔗 Ver Mapa")</f>
        <v>🔗 Ver Mapa</v>
      </c>
    </row>
    <row r="3293" spans="1:12" ht="43.5" x14ac:dyDescent="0.35">
      <c r="A3293" s="5" t="s">
        <v>98</v>
      </c>
      <c r="B3293" s="5" t="s">
        <v>99</v>
      </c>
      <c r="C3293" s="5" t="s">
        <v>688</v>
      </c>
      <c r="D3293" s="5" t="s">
        <v>14</v>
      </c>
      <c r="E3293" s="5" t="s">
        <v>52</v>
      </c>
      <c r="F3293" s="5" t="s">
        <v>70</v>
      </c>
      <c r="G3293" s="5" t="s">
        <v>689</v>
      </c>
      <c r="H3293" s="5" t="s">
        <v>690</v>
      </c>
      <c r="I3293" s="5" t="s">
        <v>31</v>
      </c>
      <c r="J3293" s="5">
        <v>17.062575771544999</v>
      </c>
      <c r="K3293" s="5">
        <v>-96.810434775462994</v>
      </c>
      <c r="L3293" s="5" t="str">
        <f>HYPERLINK("https://maps.google.com/?q=17.0625757715451,-96.810434775462994", "🔗 Ver Mapa")</f>
        <v>🔗 Ver Mapa</v>
      </c>
    </row>
    <row r="3294" spans="1:12" ht="43.5" x14ac:dyDescent="0.35">
      <c r="A3294" s="6" t="s">
        <v>98</v>
      </c>
      <c r="B3294" s="6" t="s">
        <v>99</v>
      </c>
      <c r="C3294" s="6" t="s">
        <v>688</v>
      </c>
      <c r="D3294" s="6" t="s">
        <v>14</v>
      </c>
      <c r="E3294" s="6" t="s">
        <v>52</v>
      </c>
      <c r="F3294" s="6" t="s">
        <v>70</v>
      </c>
      <c r="G3294" s="6" t="s">
        <v>689</v>
      </c>
      <c r="H3294" s="6" t="s">
        <v>690</v>
      </c>
      <c r="I3294" s="6" t="s">
        <v>31</v>
      </c>
      <c r="J3294" s="6">
        <v>17.062578463059999</v>
      </c>
      <c r="K3294" s="6">
        <v>-96.814353394422994</v>
      </c>
      <c r="L3294" s="6" t="str">
        <f>HYPERLINK("https://maps.google.com/?q=17.0625784630598,-96.814353394422596", "🔗 Ver Mapa")</f>
        <v>🔗 Ver Mapa</v>
      </c>
    </row>
    <row r="3295" spans="1:12" ht="43.5" x14ac:dyDescent="0.35">
      <c r="A3295" s="5" t="s">
        <v>98</v>
      </c>
      <c r="B3295" s="5" t="s">
        <v>99</v>
      </c>
      <c r="C3295" s="5" t="s">
        <v>688</v>
      </c>
      <c r="D3295" s="5" t="s">
        <v>14</v>
      </c>
      <c r="E3295" s="5" t="s">
        <v>52</v>
      </c>
      <c r="F3295" s="5" t="s">
        <v>70</v>
      </c>
      <c r="G3295" s="5" t="s">
        <v>689</v>
      </c>
      <c r="H3295" s="5" t="s">
        <v>690</v>
      </c>
      <c r="I3295" s="5" t="s">
        <v>31</v>
      </c>
      <c r="J3295" s="5">
        <v>17.062729629900002</v>
      </c>
      <c r="K3295" s="5">
        <v>-96.813711798249003</v>
      </c>
      <c r="L3295" s="5" t="str">
        <f>HYPERLINK("https://maps.google.com/?q=17.0627296299003,-96.813711798248505", "🔗 Ver Mapa")</f>
        <v>🔗 Ver Mapa</v>
      </c>
    </row>
    <row r="3296" spans="1:12" ht="43.5" x14ac:dyDescent="0.35">
      <c r="A3296" s="6" t="s">
        <v>98</v>
      </c>
      <c r="B3296" s="6" t="s">
        <v>99</v>
      </c>
      <c r="C3296" s="6" t="s">
        <v>688</v>
      </c>
      <c r="D3296" s="6" t="s">
        <v>14</v>
      </c>
      <c r="E3296" s="6" t="s">
        <v>52</v>
      </c>
      <c r="F3296" s="6" t="s">
        <v>70</v>
      </c>
      <c r="G3296" s="6" t="s">
        <v>689</v>
      </c>
      <c r="H3296" s="6" t="s">
        <v>690</v>
      </c>
      <c r="I3296" s="6" t="s">
        <v>31</v>
      </c>
      <c r="J3296" s="6">
        <v>17.062812989937001</v>
      </c>
      <c r="K3296" s="6">
        <v>-96.813445238797996</v>
      </c>
      <c r="L3296" s="6" t="str">
        <f>HYPERLINK("https://maps.google.com/?q=17.0628129899375,-96.813445238798494", "🔗 Ver Mapa")</f>
        <v>🔗 Ver Mapa</v>
      </c>
    </row>
    <row r="3297" spans="1:12" ht="43.5" x14ac:dyDescent="0.35">
      <c r="A3297" s="5" t="s">
        <v>98</v>
      </c>
      <c r="B3297" s="5" t="s">
        <v>99</v>
      </c>
      <c r="C3297" s="5" t="s">
        <v>688</v>
      </c>
      <c r="D3297" s="5" t="s">
        <v>14</v>
      </c>
      <c r="E3297" s="5" t="s">
        <v>52</v>
      </c>
      <c r="F3297" s="5" t="s">
        <v>70</v>
      </c>
      <c r="G3297" s="5" t="s">
        <v>689</v>
      </c>
      <c r="H3297" s="5" t="s">
        <v>690</v>
      </c>
      <c r="I3297" s="5" t="s">
        <v>31</v>
      </c>
      <c r="J3297" s="5">
        <v>17.062868569382001</v>
      </c>
      <c r="K3297" s="5">
        <v>-96.813284030350005</v>
      </c>
      <c r="L3297" s="5" t="str">
        <f>HYPERLINK("https://maps.google.com/?q=17.0628685693824,-96.813284030349607", "🔗 Ver Mapa")</f>
        <v>🔗 Ver Mapa</v>
      </c>
    </row>
    <row r="3298" spans="1:12" ht="43.5" x14ac:dyDescent="0.35">
      <c r="A3298" s="6" t="s">
        <v>98</v>
      </c>
      <c r="B3298" s="6" t="s">
        <v>99</v>
      </c>
      <c r="C3298" s="6" t="s">
        <v>688</v>
      </c>
      <c r="D3298" s="6" t="s">
        <v>14</v>
      </c>
      <c r="E3298" s="6" t="s">
        <v>52</v>
      </c>
      <c r="F3298" s="6" t="s">
        <v>70</v>
      </c>
      <c r="G3298" s="6" t="s">
        <v>689</v>
      </c>
      <c r="H3298" s="6" t="s">
        <v>690</v>
      </c>
      <c r="I3298" s="6" t="s">
        <v>31</v>
      </c>
      <c r="J3298" s="6">
        <v>17.062962695542002</v>
      </c>
      <c r="K3298" s="6">
        <v>-96.815727326388995</v>
      </c>
      <c r="L3298" s="6" t="str">
        <f>HYPERLINK("https://maps.google.com/?q=17.0629626955419,-96.815727326389293", "🔗 Ver Mapa")</f>
        <v>🔗 Ver Mapa</v>
      </c>
    </row>
    <row r="3299" spans="1:12" ht="43.5" x14ac:dyDescent="0.35">
      <c r="A3299" s="5" t="s">
        <v>98</v>
      </c>
      <c r="B3299" s="5" t="s">
        <v>99</v>
      </c>
      <c r="C3299" s="5" t="s">
        <v>688</v>
      </c>
      <c r="D3299" s="5" t="s">
        <v>14</v>
      </c>
      <c r="E3299" s="5" t="s">
        <v>52</v>
      </c>
      <c r="F3299" s="5" t="s">
        <v>70</v>
      </c>
      <c r="G3299" s="5" t="s">
        <v>689</v>
      </c>
      <c r="H3299" s="5" t="s">
        <v>690</v>
      </c>
      <c r="I3299" s="5" t="s">
        <v>31</v>
      </c>
      <c r="J3299" s="5">
        <v>17.063010873563002</v>
      </c>
      <c r="K3299" s="5">
        <v>-96.811774752150001</v>
      </c>
      <c r="L3299" s="5" t="str">
        <f>HYPERLINK("https://maps.google.com/?q=17.0630108735635,-96.811774752149503", "🔗 Ver Mapa")</f>
        <v>🔗 Ver Mapa</v>
      </c>
    </row>
    <row r="3300" spans="1:12" ht="43.5" x14ac:dyDescent="0.35">
      <c r="A3300" s="6" t="s">
        <v>98</v>
      </c>
      <c r="B3300" s="6" t="s">
        <v>99</v>
      </c>
      <c r="C3300" s="6" t="s">
        <v>688</v>
      </c>
      <c r="D3300" s="6" t="s">
        <v>14</v>
      </c>
      <c r="E3300" s="6" t="s">
        <v>52</v>
      </c>
      <c r="F3300" s="6" t="s">
        <v>70</v>
      </c>
      <c r="G3300" s="6" t="s">
        <v>689</v>
      </c>
      <c r="H3300" s="6" t="s">
        <v>690</v>
      </c>
      <c r="I3300" s="6" t="s">
        <v>31</v>
      </c>
      <c r="J3300" s="6">
        <v>17.063071465221999</v>
      </c>
      <c r="K3300" s="6">
        <v>-96.823509730143996</v>
      </c>
      <c r="L3300" s="6" t="str">
        <f>HYPERLINK("https://maps.google.com/?q=17.0630714652223,-96.823509730143698", "🔗 Ver Mapa")</f>
        <v>🔗 Ver Mapa</v>
      </c>
    </row>
    <row r="3301" spans="1:12" ht="43.5" x14ac:dyDescent="0.35">
      <c r="A3301" s="5" t="s">
        <v>98</v>
      </c>
      <c r="B3301" s="5" t="s">
        <v>99</v>
      </c>
      <c r="C3301" s="5" t="s">
        <v>688</v>
      </c>
      <c r="D3301" s="5" t="s">
        <v>14</v>
      </c>
      <c r="E3301" s="5" t="s">
        <v>52</v>
      </c>
      <c r="F3301" s="5" t="s">
        <v>70</v>
      </c>
      <c r="G3301" s="5" t="s">
        <v>689</v>
      </c>
      <c r="H3301" s="5" t="s">
        <v>690</v>
      </c>
      <c r="I3301" s="5" t="s">
        <v>31</v>
      </c>
      <c r="J3301" s="5">
        <v>17.063074142598001</v>
      </c>
      <c r="K3301" s="5">
        <v>-96.81038372239</v>
      </c>
      <c r="L3301" s="5" t="str">
        <f>HYPERLINK("https://maps.google.com/?q=17.063074142598,-96.810383722390497", "🔗 Ver Mapa")</f>
        <v>🔗 Ver Mapa</v>
      </c>
    </row>
    <row r="3302" spans="1:12" ht="43.5" x14ac:dyDescent="0.35">
      <c r="A3302" s="6" t="s">
        <v>98</v>
      </c>
      <c r="B3302" s="6" t="s">
        <v>99</v>
      </c>
      <c r="C3302" s="6" t="s">
        <v>688</v>
      </c>
      <c r="D3302" s="6" t="s">
        <v>14</v>
      </c>
      <c r="E3302" s="6" t="s">
        <v>52</v>
      </c>
      <c r="F3302" s="6" t="s">
        <v>70</v>
      </c>
      <c r="G3302" s="6" t="s">
        <v>689</v>
      </c>
      <c r="H3302" s="6" t="s">
        <v>690</v>
      </c>
      <c r="I3302" s="6" t="s">
        <v>31</v>
      </c>
      <c r="J3302" s="6">
        <v>17.063119694310998</v>
      </c>
      <c r="K3302" s="6">
        <v>-96.810970539268993</v>
      </c>
      <c r="L3302" s="6" t="str">
        <f>HYPERLINK("https://maps.google.com/?q=17.0631196943112,-96.810970539269405", "🔗 Ver Mapa")</f>
        <v>🔗 Ver Mapa</v>
      </c>
    </row>
    <row r="3303" spans="1:12" ht="43.5" x14ac:dyDescent="0.35">
      <c r="A3303" s="5" t="s">
        <v>98</v>
      </c>
      <c r="B3303" s="5" t="s">
        <v>99</v>
      </c>
      <c r="C3303" s="5" t="s">
        <v>688</v>
      </c>
      <c r="D3303" s="5" t="s">
        <v>14</v>
      </c>
      <c r="E3303" s="5" t="s">
        <v>52</v>
      </c>
      <c r="F3303" s="5" t="s">
        <v>70</v>
      </c>
      <c r="G3303" s="5" t="s">
        <v>689</v>
      </c>
      <c r="H3303" s="5" t="s">
        <v>690</v>
      </c>
      <c r="I3303" s="5" t="s">
        <v>31</v>
      </c>
      <c r="J3303" s="5">
        <v>17.063181817844001</v>
      </c>
      <c r="K3303" s="5">
        <v>-96.813067881604994</v>
      </c>
      <c r="L3303" s="5" t="str">
        <f>HYPERLINK("https://maps.google.com/?q=17.0631818178441,-96.813067881605093", "🔗 Ver Mapa")</f>
        <v>🔗 Ver Mapa</v>
      </c>
    </row>
    <row r="3304" spans="1:12" ht="43.5" x14ac:dyDescent="0.35">
      <c r="A3304" s="6" t="s">
        <v>98</v>
      </c>
      <c r="B3304" s="6" t="s">
        <v>99</v>
      </c>
      <c r="C3304" s="6" t="s">
        <v>688</v>
      </c>
      <c r="D3304" s="6" t="s">
        <v>14</v>
      </c>
      <c r="E3304" s="6" t="s">
        <v>52</v>
      </c>
      <c r="F3304" s="6" t="s">
        <v>70</v>
      </c>
      <c r="G3304" s="6" t="s">
        <v>689</v>
      </c>
      <c r="H3304" s="6" t="s">
        <v>690</v>
      </c>
      <c r="I3304" s="6" t="s">
        <v>31</v>
      </c>
      <c r="J3304" s="6">
        <v>17.063270715588001</v>
      </c>
      <c r="K3304" s="6">
        <v>-96.812841203337996</v>
      </c>
      <c r="L3304" s="6" t="str">
        <f>HYPERLINK("https://maps.google.com/?q=17.0632707155879,-96.812841203338294", "🔗 Ver Mapa")</f>
        <v>🔗 Ver Mapa</v>
      </c>
    </row>
    <row r="3305" spans="1:12" ht="43.5" x14ac:dyDescent="0.35">
      <c r="A3305" s="5" t="s">
        <v>98</v>
      </c>
      <c r="B3305" s="5" t="s">
        <v>99</v>
      </c>
      <c r="C3305" s="5" t="s">
        <v>688</v>
      </c>
      <c r="D3305" s="5" t="s">
        <v>14</v>
      </c>
      <c r="E3305" s="5" t="s">
        <v>52</v>
      </c>
      <c r="F3305" s="5" t="s">
        <v>70</v>
      </c>
      <c r="G3305" s="5" t="s">
        <v>689</v>
      </c>
      <c r="H3305" s="5" t="s">
        <v>690</v>
      </c>
      <c r="I3305" s="5" t="s">
        <v>31</v>
      </c>
      <c r="J3305" s="5">
        <v>17.063314522239999</v>
      </c>
      <c r="K3305" s="5">
        <v>-96.810524380686005</v>
      </c>
      <c r="L3305" s="5" t="str">
        <f>HYPERLINK("https://maps.google.com/?q=17.0633145222403,-96.810524380685806", "🔗 Ver Mapa")</f>
        <v>🔗 Ver Mapa</v>
      </c>
    </row>
    <row r="3306" spans="1:12" ht="43.5" x14ac:dyDescent="0.35">
      <c r="A3306" s="6" t="s">
        <v>98</v>
      </c>
      <c r="B3306" s="6" t="s">
        <v>99</v>
      </c>
      <c r="C3306" s="6" t="s">
        <v>688</v>
      </c>
      <c r="D3306" s="6" t="s">
        <v>14</v>
      </c>
      <c r="E3306" s="6" t="s">
        <v>52</v>
      </c>
      <c r="F3306" s="6" t="s">
        <v>70</v>
      </c>
      <c r="G3306" s="6" t="s">
        <v>689</v>
      </c>
      <c r="H3306" s="6" t="s">
        <v>690</v>
      </c>
      <c r="I3306" s="6" t="s">
        <v>31</v>
      </c>
      <c r="J3306" s="6">
        <v>17.063520028271999</v>
      </c>
      <c r="K3306" s="6">
        <v>-96.813504766958999</v>
      </c>
      <c r="L3306" s="6" t="str">
        <f>HYPERLINK("https://maps.google.com/?q=17.063520028272,-96.8135047669589", "🔗 Ver Mapa")</f>
        <v>🔗 Ver Mapa</v>
      </c>
    </row>
    <row r="3307" spans="1:12" ht="43.5" x14ac:dyDescent="0.35">
      <c r="A3307" s="5" t="s">
        <v>98</v>
      </c>
      <c r="B3307" s="5" t="s">
        <v>99</v>
      </c>
      <c r="C3307" s="5" t="s">
        <v>688</v>
      </c>
      <c r="D3307" s="5" t="s">
        <v>14</v>
      </c>
      <c r="E3307" s="5" t="s">
        <v>52</v>
      </c>
      <c r="F3307" s="5" t="s">
        <v>70</v>
      </c>
      <c r="G3307" s="5" t="s">
        <v>689</v>
      </c>
      <c r="H3307" s="5" t="s">
        <v>690</v>
      </c>
      <c r="I3307" s="5" t="s">
        <v>31</v>
      </c>
      <c r="J3307" s="5">
        <v>17.063536093059</v>
      </c>
      <c r="K3307" s="5">
        <v>-96.817852813254007</v>
      </c>
      <c r="L3307" s="5" t="str">
        <f>HYPERLINK("https://maps.google.com/?q=17.0635360930591,-96.817852813254007", "🔗 Ver Mapa")</f>
        <v>🔗 Ver Mapa</v>
      </c>
    </row>
    <row r="3308" spans="1:12" ht="43.5" x14ac:dyDescent="0.35">
      <c r="A3308" s="6" t="s">
        <v>98</v>
      </c>
      <c r="B3308" s="6" t="s">
        <v>99</v>
      </c>
      <c r="C3308" s="6" t="s">
        <v>688</v>
      </c>
      <c r="D3308" s="6" t="s">
        <v>14</v>
      </c>
      <c r="E3308" s="6" t="s">
        <v>52</v>
      </c>
      <c r="F3308" s="6" t="s">
        <v>70</v>
      </c>
      <c r="G3308" s="6" t="s">
        <v>689</v>
      </c>
      <c r="H3308" s="6" t="s">
        <v>690</v>
      </c>
      <c r="I3308" s="6" t="s">
        <v>31</v>
      </c>
      <c r="J3308" s="6">
        <v>17.063703246974001</v>
      </c>
      <c r="K3308" s="6">
        <v>-96.809978354205001</v>
      </c>
      <c r="L3308" s="6" t="str">
        <f>HYPERLINK("https://maps.google.com/?q=17.0637032469744,-96.809978354205001", "🔗 Ver Mapa")</f>
        <v>🔗 Ver Mapa</v>
      </c>
    </row>
    <row r="3309" spans="1:12" ht="43.5" x14ac:dyDescent="0.35">
      <c r="A3309" s="5" t="s">
        <v>98</v>
      </c>
      <c r="B3309" s="5" t="s">
        <v>99</v>
      </c>
      <c r="C3309" s="5" t="s">
        <v>688</v>
      </c>
      <c r="D3309" s="5" t="s">
        <v>14</v>
      </c>
      <c r="E3309" s="5" t="s">
        <v>52</v>
      </c>
      <c r="F3309" s="5" t="s">
        <v>70</v>
      </c>
      <c r="G3309" s="5" t="s">
        <v>689</v>
      </c>
      <c r="H3309" s="5" t="s">
        <v>690</v>
      </c>
      <c r="I3309" s="5" t="s">
        <v>31</v>
      </c>
      <c r="J3309" s="5">
        <v>17.063860669244999</v>
      </c>
      <c r="K3309" s="5">
        <v>-96.812160262565996</v>
      </c>
      <c r="L3309" s="5" t="str">
        <f>HYPERLINK("https://maps.google.com/?q=17.0638606692447,-96.812160262565598", "🔗 Ver Mapa")</f>
        <v>🔗 Ver Mapa</v>
      </c>
    </row>
    <row r="3310" spans="1:12" ht="43.5" x14ac:dyDescent="0.35">
      <c r="A3310" s="6" t="s">
        <v>98</v>
      </c>
      <c r="B3310" s="6" t="s">
        <v>99</v>
      </c>
      <c r="C3310" s="6" t="s">
        <v>688</v>
      </c>
      <c r="D3310" s="6" t="s">
        <v>14</v>
      </c>
      <c r="E3310" s="6" t="s">
        <v>52</v>
      </c>
      <c r="F3310" s="6" t="s">
        <v>70</v>
      </c>
      <c r="G3310" s="6" t="s">
        <v>689</v>
      </c>
      <c r="H3310" s="6" t="s">
        <v>690</v>
      </c>
      <c r="I3310" s="6" t="s">
        <v>31</v>
      </c>
      <c r="J3310" s="6">
        <v>17.063861579539001</v>
      </c>
      <c r="K3310" s="6">
        <v>-96.812029451642005</v>
      </c>
      <c r="L3310" s="6" t="str">
        <f>HYPERLINK("https://maps.google.com/?q=17.0638615795391,-96.812029451642402", "🔗 Ver Mapa")</f>
        <v>🔗 Ver Mapa</v>
      </c>
    </row>
    <row r="3311" spans="1:12" ht="43.5" x14ac:dyDescent="0.35">
      <c r="A3311" s="5" t="s">
        <v>98</v>
      </c>
      <c r="B3311" s="5" t="s">
        <v>99</v>
      </c>
      <c r="C3311" s="5" t="s">
        <v>688</v>
      </c>
      <c r="D3311" s="5" t="s">
        <v>14</v>
      </c>
      <c r="E3311" s="5" t="s">
        <v>52</v>
      </c>
      <c r="F3311" s="5" t="s">
        <v>70</v>
      </c>
      <c r="G3311" s="5" t="s">
        <v>689</v>
      </c>
      <c r="H3311" s="5" t="s">
        <v>690</v>
      </c>
      <c r="I3311" s="5" t="s">
        <v>31</v>
      </c>
      <c r="J3311" s="5">
        <v>17.063887155888999</v>
      </c>
      <c r="K3311" s="5">
        <v>-96.819886947255995</v>
      </c>
      <c r="L3311" s="5" t="str">
        <f>HYPERLINK("https://maps.google.com/?q=17.0638871558887,-96.819886947255995", "🔗 Ver Mapa")</f>
        <v>🔗 Ver Mapa</v>
      </c>
    </row>
    <row r="3312" spans="1:12" ht="43.5" x14ac:dyDescent="0.35">
      <c r="A3312" s="6" t="s">
        <v>98</v>
      </c>
      <c r="B3312" s="6" t="s">
        <v>99</v>
      </c>
      <c r="C3312" s="6" t="s">
        <v>688</v>
      </c>
      <c r="D3312" s="6" t="s">
        <v>14</v>
      </c>
      <c r="E3312" s="6" t="s">
        <v>52</v>
      </c>
      <c r="F3312" s="6" t="s">
        <v>70</v>
      </c>
      <c r="G3312" s="6" t="s">
        <v>689</v>
      </c>
      <c r="H3312" s="6" t="s">
        <v>690</v>
      </c>
      <c r="I3312" s="6" t="s">
        <v>31</v>
      </c>
      <c r="J3312" s="6">
        <v>17.063948585999</v>
      </c>
      <c r="K3312" s="6">
        <v>-96.809534888136994</v>
      </c>
      <c r="L3312" s="6" t="str">
        <f>HYPERLINK("https://maps.google.com/?q=17.0639485859987,-96.809534888136895", "🔗 Ver Mapa")</f>
        <v>🔗 Ver Mapa</v>
      </c>
    </row>
    <row r="3313" spans="1:12" ht="43.5" x14ac:dyDescent="0.35">
      <c r="A3313" s="5" t="s">
        <v>98</v>
      </c>
      <c r="B3313" s="5" t="s">
        <v>99</v>
      </c>
      <c r="C3313" s="5" t="s">
        <v>688</v>
      </c>
      <c r="D3313" s="5" t="s">
        <v>14</v>
      </c>
      <c r="E3313" s="5" t="s">
        <v>52</v>
      </c>
      <c r="F3313" s="5" t="s">
        <v>70</v>
      </c>
      <c r="G3313" s="5" t="s">
        <v>689</v>
      </c>
      <c r="H3313" s="5" t="s">
        <v>690</v>
      </c>
      <c r="I3313" s="5" t="s">
        <v>31</v>
      </c>
      <c r="J3313" s="5">
        <v>17.063969180474</v>
      </c>
      <c r="K3313" s="5">
        <v>-96.810161529235998</v>
      </c>
      <c r="L3313" s="5" t="str">
        <f>HYPERLINK("https://maps.google.com/?q=17.0639691804741,-96.810161529236495", "🔗 Ver Mapa")</f>
        <v>🔗 Ver Mapa</v>
      </c>
    </row>
    <row r="3314" spans="1:12" ht="43.5" x14ac:dyDescent="0.35">
      <c r="A3314" s="6" t="s">
        <v>98</v>
      </c>
      <c r="B3314" s="6" t="s">
        <v>99</v>
      </c>
      <c r="C3314" s="6" t="s">
        <v>688</v>
      </c>
      <c r="D3314" s="6" t="s">
        <v>14</v>
      </c>
      <c r="E3314" s="6" t="s">
        <v>52</v>
      </c>
      <c r="F3314" s="6" t="s">
        <v>70</v>
      </c>
      <c r="G3314" s="6" t="s">
        <v>689</v>
      </c>
      <c r="H3314" s="6" t="s">
        <v>690</v>
      </c>
      <c r="I3314" s="6" t="s">
        <v>31</v>
      </c>
      <c r="J3314" s="6">
        <v>17.064399156036998</v>
      </c>
      <c r="K3314" s="6">
        <v>-96.812322119629997</v>
      </c>
      <c r="L3314" s="6" t="str">
        <f>HYPERLINK("https://maps.google.com/?q=17.0643991560365,-96.812322119630196", "🔗 Ver Mapa")</f>
        <v>🔗 Ver Mapa</v>
      </c>
    </row>
    <row r="3315" spans="1:12" ht="43.5" x14ac:dyDescent="0.35">
      <c r="A3315" s="5" t="s">
        <v>98</v>
      </c>
      <c r="B3315" s="5" t="s">
        <v>99</v>
      </c>
      <c r="C3315" s="5" t="s">
        <v>688</v>
      </c>
      <c r="D3315" s="5" t="s">
        <v>14</v>
      </c>
      <c r="E3315" s="5" t="s">
        <v>52</v>
      </c>
      <c r="F3315" s="5" t="s">
        <v>70</v>
      </c>
      <c r="G3315" s="5" t="s">
        <v>689</v>
      </c>
      <c r="H3315" s="5" t="s">
        <v>690</v>
      </c>
      <c r="I3315" s="5" t="s">
        <v>31</v>
      </c>
      <c r="J3315" s="5">
        <v>17.064460886077999</v>
      </c>
      <c r="K3315" s="5">
        <v>-96.808566041402003</v>
      </c>
      <c r="L3315" s="5" t="str">
        <f>HYPERLINK("https://maps.google.com/?q=17.0644608860785,-96.808566041401704", "🔗 Ver Mapa")</f>
        <v>🔗 Ver Mapa</v>
      </c>
    </row>
    <row r="3316" spans="1:12" ht="43.5" x14ac:dyDescent="0.35">
      <c r="A3316" s="6" t="s">
        <v>98</v>
      </c>
      <c r="B3316" s="6" t="s">
        <v>99</v>
      </c>
      <c r="C3316" s="6" t="s">
        <v>688</v>
      </c>
      <c r="D3316" s="6" t="s">
        <v>14</v>
      </c>
      <c r="E3316" s="6" t="s">
        <v>52</v>
      </c>
      <c r="F3316" s="6" t="s">
        <v>70</v>
      </c>
      <c r="G3316" s="6" t="s">
        <v>689</v>
      </c>
      <c r="H3316" s="6" t="s">
        <v>690</v>
      </c>
      <c r="I3316" s="6" t="s">
        <v>31</v>
      </c>
      <c r="J3316" s="6">
        <v>17.064615959845</v>
      </c>
      <c r="K3316" s="6">
        <v>-96.807844703773</v>
      </c>
      <c r="L3316" s="6" t="str">
        <f>HYPERLINK("https://maps.google.com/?q=17.0646159598446,-96.807844703773497", "🔗 Ver Mapa")</f>
        <v>🔗 Ver Mapa</v>
      </c>
    </row>
    <row r="3317" spans="1:12" ht="43.5" x14ac:dyDescent="0.35">
      <c r="A3317" s="5" t="s">
        <v>98</v>
      </c>
      <c r="B3317" s="5" t="s">
        <v>99</v>
      </c>
      <c r="C3317" s="5" t="s">
        <v>688</v>
      </c>
      <c r="D3317" s="5" t="s">
        <v>14</v>
      </c>
      <c r="E3317" s="5" t="s">
        <v>52</v>
      </c>
      <c r="F3317" s="5" t="s">
        <v>70</v>
      </c>
      <c r="G3317" s="5" t="s">
        <v>689</v>
      </c>
      <c r="H3317" s="5" t="s">
        <v>690</v>
      </c>
      <c r="I3317" s="5" t="s">
        <v>31</v>
      </c>
      <c r="J3317" s="5">
        <v>17.064646048787001</v>
      </c>
      <c r="K3317" s="5">
        <v>-96.811413477569999</v>
      </c>
      <c r="L3317" s="5" t="str">
        <f>HYPERLINK("https://maps.google.com/?q=17.0646460487867,-96.811413477569502", "🔗 Ver Mapa")</f>
        <v>🔗 Ver Mapa</v>
      </c>
    </row>
    <row r="3318" spans="1:12" ht="43.5" x14ac:dyDescent="0.35">
      <c r="A3318" s="6" t="s">
        <v>98</v>
      </c>
      <c r="B3318" s="6" t="s">
        <v>99</v>
      </c>
      <c r="C3318" s="6" t="s">
        <v>688</v>
      </c>
      <c r="D3318" s="6" t="s">
        <v>14</v>
      </c>
      <c r="E3318" s="6" t="s">
        <v>52</v>
      </c>
      <c r="F3318" s="6" t="s">
        <v>70</v>
      </c>
      <c r="G3318" s="6" t="s">
        <v>689</v>
      </c>
      <c r="H3318" s="6" t="s">
        <v>690</v>
      </c>
      <c r="I3318" s="6" t="s">
        <v>31</v>
      </c>
      <c r="J3318" s="6">
        <v>17.064647847377</v>
      </c>
      <c r="K3318" s="6">
        <v>-96.808086884413001</v>
      </c>
      <c r="L3318" s="6" t="str">
        <f>HYPERLINK("https://maps.google.com/?q=17.0646478473769,-96.8080868844132", "🔗 Ver Mapa")</f>
        <v>🔗 Ver Mapa</v>
      </c>
    </row>
    <row r="3319" spans="1:12" ht="43.5" x14ac:dyDescent="0.35">
      <c r="A3319" s="5" t="s">
        <v>98</v>
      </c>
      <c r="B3319" s="5" t="s">
        <v>99</v>
      </c>
      <c r="C3319" s="5" t="s">
        <v>688</v>
      </c>
      <c r="D3319" s="5" t="s">
        <v>14</v>
      </c>
      <c r="E3319" s="5" t="s">
        <v>52</v>
      </c>
      <c r="F3319" s="5" t="s">
        <v>70</v>
      </c>
      <c r="G3319" s="5" t="s">
        <v>689</v>
      </c>
      <c r="H3319" s="5" t="s">
        <v>690</v>
      </c>
      <c r="I3319" s="5" t="s">
        <v>31</v>
      </c>
      <c r="J3319" s="5">
        <v>17.064749848152001</v>
      </c>
      <c r="K3319" s="5">
        <v>-96.817380393847998</v>
      </c>
      <c r="L3319" s="5" t="str">
        <f>HYPERLINK("https://maps.google.com/?q=17.0647498481521,-96.817380393848296", "🔗 Ver Mapa")</f>
        <v>🔗 Ver Mapa</v>
      </c>
    </row>
    <row r="3320" spans="1:12" ht="43.5" x14ac:dyDescent="0.35">
      <c r="A3320" s="6" t="s">
        <v>98</v>
      </c>
      <c r="B3320" s="6" t="s">
        <v>99</v>
      </c>
      <c r="C3320" s="6" t="s">
        <v>688</v>
      </c>
      <c r="D3320" s="6" t="s">
        <v>14</v>
      </c>
      <c r="E3320" s="6" t="s">
        <v>52</v>
      </c>
      <c r="F3320" s="6" t="s">
        <v>70</v>
      </c>
      <c r="G3320" s="6" t="s">
        <v>689</v>
      </c>
      <c r="H3320" s="6" t="s">
        <v>690</v>
      </c>
      <c r="I3320" s="6" t="s">
        <v>31</v>
      </c>
      <c r="J3320" s="6">
        <v>17.064820951009001</v>
      </c>
      <c r="K3320" s="6">
        <v>-96.808413586474003</v>
      </c>
      <c r="L3320" s="6" t="str">
        <f>HYPERLINK("https://maps.google.com/?q=17.0648209510087,-96.808413586473606", "🔗 Ver Mapa")</f>
        <v>🔗 Ver Mapa</v>
      </c>
    </row>
    <row r="3321" spans="1:12" ht="43.5" x14ac:dyDescent="0.35">
      <c r="A3321" s="5" t="s">
        <v>98</v>
      </c>
      <c r="B3321" s="5" t="s">
        <v>99</v>
      </c>
      <c r="C3321" s="5" t="s">
        <v>688</v>
      </c>
      <c r="D3321" s="5" t="s">
        <v>14</v>
      </c>
      <c r="E3321" s="5" t="s">
        <v>52</v>
      </c>
      <c r="F3321" s="5" t="s">
        <v>70</v>
      </c>
      <c r="G3321" s="5" t="s">
        <v>689</v>
      </c>
      <c r="H3321" s="5" t="s">
        <v>690</v>
      </c>
      <c r="I3321" s="5" t="s">
        <v>31</v>
      </c>
      <c r="J3321" s="5">
        <v>17.064825643203999</v>
      </c>
      <c r="K3321" s="5">
        <v>-96.816264738976997</v>
      </c>
      <c r="L3321" s="5" t="str">
        <f>HYPERLINK("https://maps.google.com/?q=17.0648256432041,-96.816264738976699", "🔗 Ver Mapa")</f>
        <v>🔗 Ver Mapa</v>
      </c>
    </row>
    <row r="3322" spans="1:12" ht="43.5" x14ac:dyDescent="0.35">
      <c r="A3322" s="6" t="s">
        <v>98</v>
      </c>
      <c r="B3322" s="6" t="s">
        <v>99</v>
      </c>
      <c r="C3322" s="6" t="s">
        <v>688</v>
      </c>
      <c r="D3322" s="6" t="s">
        <v>14</v>
      </c>
      <c r="E3322" s="6" t="s">
        <v>52</v>
      </c>
      <c r="F3322" s="6" t="s">
        <v>70</v>
      </c>
      <c r="G3322" s="6" t="s">
        <v>689</v>
      </c>
      <c r="H3322" s="6" t="s">
        <v>690</v>
      </c>
      <c r="I3322" s="6" t="s">
        <v>31</v>
      </c>
      <c r="J3322" s="6">
        <v>17.064925079750999</v>
      </c>
      <c r="K3322" s="6">
        <v>-96.817138205419994</v>
      </c>
      <c r="L3322" s="6" t="str">
        <f>HYPERLINK("https://maps.google.com/?q=17.064925079751,-96.817138205419894", "🔗 Ver Mapa")</f>
        <v>🔗 Ver Mapa</v>
      </c>
    </row>
    <row r="3323" spans="1:12" ht="43.5" x14ac:dyDescent="0.35">
      <c r="A3323" s="5" t="s">
        <v>98</v>
      </c>
      <c r="B3323" s="5" t="s">
        <v>99</v>
      </c>
      <c r="C3323" s="5" t="s">
        <v>688</v>
      </c>
      <c r="D3323" s="5" t="s">
        <v>14</v>
      </c>
      <c r="E3323" s="5" t="s">
        <v>52</v>
      </c>
      <c r="F3323" s="5" t="s">
        <v>70</v>
      </c>
      <c r="G3323" s="5" t="s">
        <v>689</v>
      </c>
      <c r="H3323" s="5" t="s">
        <v>690</v>
      </c>
      <c r="I3323" s="5" t="s">
        <v>31</v>
      </c>
      <c r="J3323" s="5">
        <v>17.064965130916001</v>
      </c>
      <c r="K3323" s="5">
        <v>-96.808220733498999</v>
      </c>
      <c r="L3323" s="5" t="str">
        <f>HYPERLINK("https://maps.google.com/?q=17.0649651309157,-96.808220733498501", "🔗 Ver Mapa")</f>
        <v>🔗 Ver Mapa</v>
      </c>
    </row>
    <row r="3324" spans="1:12" ht="43.5" x14ac:dyDescent="0.35">
      <c r="A3324" s="6" t="s">
        <v>98</v>
      </c>
      <c r="B3324" s="6" t="s">
        <v>99</v>
      </c>
      <c r="C3324" s="6" t="s">
        <v>688</v>
      </c>
      <c r="D3324" s="6" t="s">
        <v>14</v>
      </c>
      <c r="E3324" s="6" t="s">
        <v>52</v>
      </c>
      <c r="F3324" s="6" t="s">
        <v>70</v>
      </c>
      <c r="G3324" s="6" t="s">
        <v>689</v>
      </c>
      <c r="H3324" s="6" t="s">
        <v>690</v>
      </c>
      <c r="I3324" s="6" t="s">
        <v>31</v>
      </c>
      <c r="J3324" s="6">
        <v>17.065021954075</v>
      </c>
      <c r="K3324" s="6">
        <v>-96.809030179489994</v>
      </c>
      <c r="L3324" s="6" t="str">
        <f>HYPERLINK("https://maps.google.com/?q=17.0650219540749,-96.809030179489895", "🔗 Ver Mapa")</f>
        <v>🔗 Ver Mapa</v>
      </c>
    </row>
    <row r="3325" spans="1:12" ht="43.5" x14ac:dyDescent="0.35">
      <c r="A3325" s="5" t="s">
        <v>98</v>
      </c>
      <c r="B3325" s="5" t="s">
        <v>99</v>
      </c>
      <c r="C3325" s="5" t="s">
        <v>688</v>
      </c>
      <c r="D3325" s="5" t="s">
        <v>14</v>
      </c>
      <c r="E3325" s="5" t="s">
        <v>52</v>
      </c>
      <c r="F3325" s="5" t="s">
        <v>70</v>
      </c>
      <c r="G3325" s="5" t="s">
        <v>689</v>
      </c>
      <c r="H3325" s="5" t="s">
        <v>690</v>
      </c>
      <c r="I3325" s="5" t="s">
        <v>31</v>
      </c>
      <c r="J3325" s="5">
        <v>17.065260700810999</v>
      </c>
      <c r="K3325" s="5">
        <v>-96.819309892031995</v>
      </c>
      <c r="L3325" s="5" t="str">
        <f>HYPERLINK("https://maps.google.com/?q=17.0652607008113,-96.819309892032095", "🔗 Ver Mapa")</f>
        <v>🔗 Ver Mapa</v>
      </c>
    </row>
    <row r="3326" spans="1:12" ht="43.5" x14ac:dyDescent="0.35">
      <c r="A3326" s="6" t="s">
        <v>98</v>
      </c>
      <c r="B3326" s="6" t="s">
        <v>99</v>
      </c>
      <c r="C3326" s="6" t="s">
        <v>688</v>
      </c>
      <c r="D3326" s="6" t="s">
        <v>14</v>
      </c>
      <c r="E3326" s="6" t="s">
        <v>52</v>
      </c>
      <c r="F3326" s="6" t="s">
        <v>70</v>
      </c>
      <c r="G3326" s="6" t="s">
        <v>689</v>
      </c>
      <c r="H3326" s="6" t="s">
        <v>690</v>
      </c>
      <c r="I3326" s="6" t="s">
        <v>31</v>
      </c>
      <c r="J3326" s="6">
        <v>17.065282463951998</v>
      </c>
      <c r="K3326" s="6">
        <v>-96.819065557043004</v>
      </c>
      <c r="L3326" s="6" t="str">
        <f>HYPERLINK("https://maps.google.com/?q=17.0652824639517,-96.819065557043103", "🔗 Ver Mapa")</f>
        <v>🔗 Ver Mapa</v>
      </c>
    </row>
    <row r="3327" spans="1:12" ht="43.5" x14ac:dyDescent="0.35">
      <c r="A3327" s="5" t="s">
        <v>98</v>
      </c>
      <c r="B3327" s="5" t="s">
        <v>99</v>
      </c>
      <c r="C3327" s="5" t="s">
        <v>688</v>
      </c>
      <c r="D3327" s="5" t="s">
        <v>14</v>
      </c>
      <c r="E3327" s="5" t="s">
        <v>52</v>
      </c>
      <c r="F3327" s="5" t="s">
        <v>70</v>
      </c>
      <c r="G3327" s="5" t="s">
        <v>689</v>
      </c>
      <c r="H3327" s="5" t="s">
        <v>690</v>
      </c>
      <c r="I3327" s="5" t="s">
        <v>31</v>
      </c>
      <c r="J3327" s="5">
        <v>17.065416246428999</v>
      </c>
      <c r="K3327" s="5">
        <v>-96.816373662673996</v>
      </c>
      <c r="L3327" s="5" t="str">
        <f>HYPERLINK("https://maps.google.com/?q=17.0654162464292,-96.816373662674195", "🔗 Ver Mapa")</f>
        <v>🔗 Ver Mapa</v>
      </c>
    </row>
    <row r="3328" spans="1:12" ht="43.5" x14ac:dyDescent="0.35">
      <c r="A3328" s="6" t="s">
        <v>98</v>
      </c>
      <c r="B3328" s="6" t="s">
        <v>99</v>
      </c>
      <c r="C3328" s="6" t="s">
        <v>688</v>
      </c>
      <c r="D3328" s="6" t="s">
        <v>14</v>
      </c>
      <c r="E3328" s="6" t="s">
        <v>52</v>
      </c>
      <c r="F3328" s="6" t="s">
        <v>70</v>
      </c>
      <c r="G3328" s="6" t="s">
        <v>689</v>
      </c>
      <c r="H3328" s="6" t="s">
        <v>690</v>
      </c>
      <c r="I3328" s="6" t="s">
        <v>31</v>
      </c>
      <c r="J3328" s="6">
        <v>17.065434284735002</v>
      </c>
      <c r="K3328" s="6">
        <v>-96.811086099370996</v>
      </c>
      <c r="L3328" s="6" t="str">
        <f>HYPERLINK("https://maps.google.com/?q=17.0654342847349,-96.811086099370996", "🔗 Ver Mapa")</f>
        <v>🔗 Ver Mapa</v>
      </c>
    </row>
    <row r="3329" spans="1:12" ht="43.5" x14ac:dyDescent="0.35">
      <c r="A3329" s="5" t="s">
        <v>98</v>
      </c>
      <c r="B3329" s="5" t="s">
        <v>99</v>
      </c>
      <c r="C3329" s="5" t="s">
        <v>688</v>
      </c>
      <c r="D3329" s="5" t="s">
        <v>14</v>
      </c>
      <c r="E3329" s="5" t="s">
        <v>52</v>
      </c>
      <c r="F3329" s="5" t="s">
        <v>70</v>
      </c>
      <c r="G3329" s="5" t="s">
        <v>689</v>
      </c>
      <c r="H3329" s="5" t="s">
        <v>690</v>
      </c>
      <c r="I3329" s="5" t="s">
        <v>31</v>
      </c>
      <c r="J3329" s="5">
        <v>17.065656540942001</v>
      </c>
      <c r="K3329" s="5">
        <v>-96.815025874834006</v>
      </c>
      <c r="L3329" s="5" t="str">
        <f>HYPERLINK("https://maps.google.com/?q=17.0656565409423,-96.815025874834106", "🔗 Ver Mapa")</f>
        <v>🔗 Ver Mapa</v>
      </c>
    </row>
    <row r="3330" spans="1:12" ht="43.5" x14ac:dyDescent="0.35">
      <c r="A3330" s="6" t="s">
        <v>98</v>
      </c>
      <c r="B3330" s="6" t="s">
        <v>99</v>
      </c>
      <c r="C3330" s="6" t="s">
        <v>688</v>
      </c>
      <c r="D3330" s="6" t="s">
        <v>14</v>
      </c>
      <c r="E3330" s="6" t="s">
        <v>52</v>
      </c>
      <c r="F3330" s="6" t="s">
        <v>70</v>
      </c>
      <c r="G3330" s="6" t="s">
        <v>689</v>
      </c>
      <c r="H3330" s="6" t="s">
        <v>690</v>
      </c>
      <c r="I3330" s="6" t="s">
        <v>31</v>
      </c>
      <c r="J3330" s="6">
        <v>17.065860079635002</v>
      </c>
      <c r="K3330" s="6">
        <v>-96.816510254313997</v>
      </c>
      <c r="L3330" s="6" t="str">
        <f>HYPERLINK("https://maps.google.com/?q=17.0658600796355,-96.816510254314494", "🔗 Ver Mapa")</f>
        <v>🔗 Ver Mapa</v>
      </c>
    </row>
    <row r="3331" spans="1:12" ht="43.5" x14ac:dyDescent="0.35">
      <c r="A3331" s="5" t="s">
        <v>98</v>
      </c>
      <c r="B3331" s="5" t="s">
        <v>99</v>
      </c>
      <c r="C3331" s="5" t="s">
        <v>688</v>
      </c>
      <c r="D3331" s="5" t="s">
        <v>14</v>
      </c>
      <c r="E3331" s="5" t="s">
        <v>52</v>
      </c>
      <c r="F3331" s="5" t="s">
        <v>70</v>
      </c>
      <c r="G3331" s="5" t="s">
        <v>689</v>
      </c>
      <c r="H3331" s="5" t="s">
        <v>690</v>
      </c>
      <c r="I3331" s="5" t="s">
        <v>31</v>
      </c>
      <c r="J3331" s="5">
        <v>17.066390927471002</v>
      </c>
      <c r="K3331" s="5">
        <v>-96.806561373015995</v>
      </c>
      <c r="L3331" s="5" t="str">
        <f>HYPERLINK("https://maps.google.com/?q=17.0663909274706,-96.806561373016194", "🔗 Ver Mapa")</f>
        <v>🔗 Ver Mapa</v>
      </c>
    </row>
    <row r="3332" spans="1:12" ht="43.5" x14ac:dyDescent="0.35">
      <c r="A3332" s="6" t="s">
        <v>98</v>
      </c>
      <c r="B3332" s="6" t="s">
        <v>99</v>
      </c>
      <c r="C3332" s="6" t="s">
        <v>688</v>
      </c>
      <c r="D3332" s="6" t="s">
        <v>14</v>
      </c>
      <c r="E3332" s="6" t="s">
        <v>52</v>
      </c>
      <c r="F3332" s="6" t="s">
        <v>70</v>
      </c>
      <c r="G3332" s="6" t="s">
        <v>689</v>
      </c>
      <c r="H3332" s="6" t="s">
        <v>690</v>
      </c>
      <c r="I3332" s="6" t="s">
        <v>31</v>
      </c>
      <c r="J3332" s="6">
        <v>17.066423404790001</v>
      </c>
      <c r="K3332" s="6">
        <v>-96.815828778143</v>
      </c>
      <c r="L3332" s="6" t="str">
        <f>HYPERLINK("https://maps.google.com/?q=17.0664234047897,-96.815828778143498", "🔗 Ver Mapa")</f>
        <v>🔗 Ver Mapa</v>
      </c>
    </row>
    <row r="3333" spans="1:12" ht="43.5" x14ac:dyDescent="0.35">
      <c r="A3333" s="5" t="s">
        <v>98</v>
      </c>
      <c r="B3333" s="5" t="s">
        <v>99</v>
      </c>
      <c r="C3333" s="5" t="s">
        <v>688</v>
      </c>
      <c r="D3333" s="5" t="s">
        <v>14</v>
      </c>
      <c r="E3333" s="5" t="s">
        <v>52</v>
      </c>
      <c r="F3333" s="5" t="s">
        <v>70</v>
      </c>
      <c r="G3333" s="5" t="s">
        <v>689</v>
      </c>
      <c r="H3333" s="5" t="s">
        <v>690</v>
      </c>
      <c r="I3333" s="5" t="s">
        <v>31</v>
      </c>
      <c r="J3333" s="5">
        <v>17.066495744106</v>
      </c>
      <c r="K3333" s="5">
        <v>-96.816112042867999</v>
      </c>
      <c r="L3333" s="5" t="str">
        <f>HYPERLINK("https://maps.google.com/?q=17.0664957441063,-96.8161120428679", "🔗 Ver Mapa")</f>
        <v>🔗 Ver Mapa</v>
      </c>
    </row>
    <row r="3334" spans="1:12" ht="43.5" x14ac:dyDescent="0.35">
      <c r="A3334" s="6" t="s">
        <v>98</v>
      </c>
      <c r="B3334" s="6" t="s">
        <v>99</v>
      </c>
      <c r="C3334" s="6" t="s">
        <v>688</v>
      </c>
      <c r="D3334" s="6" t="s">
        <v>14</v>
      </c>
      <c r="E3334" s="6" t="s">
        <v>52</v>
      </c>
      <c r="F3334" s="6" t="s">
        <v>70</v>
      </c>
      <c r="G3334" s="6" t="s">
        <v>689</v>
      </c>
      <c r="H3334" s="6" t="s">
        <v>690</v>
      </c>
      <c r="I3334" s="6" t="s">
        <v>31</v>
      </c>
      <c r="J3334" s="6">
        <v>17.066500925804998</v>
      </c>
      <c r="K3334" s="6">
        <v>-96.815053151537995</v>
      </c>
      <c r="L3334" s="6" t="str">
        <f>HYPERLINK("https://maps.google.com/?q=17.0665009258047,-96.815053151537995", "🔗 Ver Mapa")</f>
        <v>🔗 Ver Mapa</v>
      </c>
    </row>
    <row r="3335" spans="1:12" ht="43.5" x14ac:dyDescent="0.35">
      <c r="A3335" s="5" t="s">
        <v>98</v>
      </c>
      <c r="B3335" s="5" t="s">
        <v>99</v>
      </c>
      <c r="C3335" s="5" t="s">
        <v>688</v>
      </c>
      <c r="D3335" s="5" t="s">
        <v>14</v>
      </c>
      <c r="E3335" s="5" t="s">
        <v>52</v>
      </c>
      <c r="F3335" s="5" t="s">
        <v>70</v>
      </c>
      <c r="G3335" s="5" t="s">
        <v>689</v>
      </c>
      <c r="H3335" s="5" t="s">
        <v>690</v>
      </c>
      <c r="I3335" s="5" t="s">
        <v>31</v>
      </c>
      <c r="J3335" s="5">
        <v>17.066825213154999</v>
      </c>
      <c r="K3335" s="5">
        <v>-96.819453654943004</v>
      </c>
      <c r="L3335" s="5" t="str">
        <f>HYPERLINK("https://maps.google.com/?q=17.0668252131553,-96.819453654942706", "🔗 Ver Mapa")</f>
        <v>🔗 Ver Mapa</v>
      </c>
    </row>
    <row r="3336" spans="1:12" ht="43.5" x14ac:dyDescent="0.35">
      <c r="A3336" s="6" t="s">
        <v>98</v>
      </c>
      <c r="B3336" s="6" t="s">
        <v>99</v>
      </c>
      <c r="C3336" s="6" t="s">
        <v>688</v>
      </c>
      <c r="D3336" s="6" t="s">
        <v>14</v>
      </c>
      <c r="E3336" s="6" t="s">
        <v>52</v>
      </c>
      <c r="F3336" s="6" t="s">
        <v>70</v>
      </c>
      <c r="G3336" s="6" t="s">
        <v>689</v>
      </c>
      <c r="H3336" s="6" t="s">
        <v>690</v>
      </c>
      <c r="I3336" s="6" t="s">
        <v>31</v>
      </c>
      <c r="J3336" s="6">
        <v>17.067149541502001</v>
      </c>
      <c r="K3336" s="6">
        <v>-96.814762396329996</v>
      </c>
      <c r="L3336" s="6" t="str">
        <f>HYPERLINK("https://maps.google.com/?q=17.0671495415019,-96.814762396329897", "🔗 Ver Mapa")</f>
        <v>🔗 Ver Mapa</v>
      </c>
    </row>
    <row r="3337" spans="1:12" ht="43.5" x14ac:dyDescent="0.35">
      <c r="A3337" s="5" t="s">
        <v>98</v>
      </c>
      <c r="B3337" s="5" t="s">
        <v>99</v>
      </c>
      <c r="C3337" s="5" t="s">
        <v>688</v>
      </c>
      <c r="D3337" s="5" t="s">
        <v>14</v>
      </c>
      <c r="E3337" s="5" t="s">
        <v>52</v>
      </c>
      <c r="F3337" s="5" t="s">
        <v>70</v>
      </c>
      <c r="G3337" s="5" t="s">
        <v>689</v>
      </c>
      <c r="H3337" s="5" t="s">
        <v>690</v>
      </c>
      <c r="I3337" s="5" t="s">
        <v>31</v>
      </c>
      <c r="J3337" s="5">
        <v>17.067245874505002</v>
      </c>
      <c r="K3337" s="5">
        <v>-96.813142760747994</v>
      </c>
      <c r="L3337" s="5" t="str">
        <f>HYPERLINK("https://maps.google.com/?q=17.0672458745051,-96.813142760747894", "🔗 Ver Mapa")</f>
        <v>🔗 Ver Mapa</v>
      </c>
    </row>
    <row r="3338" spans="1:12" ht="43.5" x14ac:dyDescent="0.35">
      <c r="A3338" s="6" t="s">
        <v>98</v>
      </c>
      <c r="B3338" s="6" t="s">
        <v>99</v>
      </c>
      <c r="C3338" s="6" t="s">
        <v>688</v>
      </c>
      <c r="D3338" s="6" t="s">
        <v>14</v>
      </c>
      <c r="E3338" s="6" t="s">
        <v>52</v>
      </c>
      <c r="F3338" s="6" t="s">
        <v>70</v>
      </c>
      <c r="G3338" s="6" t="s">
        <v>689</v>
      </c>
      <c r="H3338" s="6" t="s">
        <v>690</v>
      </c>
      <c r="I3338" s="6" t="s">
        <v>31</v>
      </c>
      <c r="J3338" s="6">
        <v>17.067349848486</v>
      </c>
      <c r="K3338" s="6">
        <v>-96.813781550925995</v>
      </c>
      <c r="L3338" s="6" t="str">
        <f>HYPERLINK("https://maps.google.com/?q=17.0673498484857,-96.813781550926194", "🔗 Ver Mapa")</f>
        <v>🔗 Ver Mapa</v>
      </c>
    </row>
    <row r="3339" spans="1:12" ht="43.5" x14ac:dyDescent="0.35">
      <c r="A3339" s="5" t="s">
        <v>98</v>
      </c>
      <c r="B3339" s="5" t="s">
        <v>99</v>
      </c>
      <c r="C3339" s="5" t="s">
        <v>688</v>
      </c>
      <c r="D3339" s="5" t="s">
        <v>14</v>
      </c>
      <c r="E3339" s="5" t="s">
        <v>52</v>
      </c>
      <c r="F3339" s="5" t="s">
        <v>70</v>
      </c>
      <c r="G3339" s="5" t="s">
        <v>689</v>
      </c>
      <c r="H3339" s="5" t="s">
        <v>690</v>
      </c>
      <c r="I3339" s="5" t="s">
        <v>31</v>
      </c>
      <c r="J3339" s="5">
        <v>17.067768808259</v>
      </c>
      <c r="K3339" s="5">
        <v>-96.812286427890996</v>
      </c>
      <c r="L3339" s="5" t="str">
        <f>HYPERLINK("https://maps.google.com/?q=17.0677688082594,-96.812286427891493", "🔗 Ver Mapa")</f>
        <v>🔗 Ver Mapa</v>
      </c>
    </row>
    <row r="3340" spans="1:12" ht="43.5" x14ac:dyDescent="0.35">
      <c r="A3340" s="6" t="s">
        <v>98</v>
      </c>
      <c r="B3340" s="6" t="s">
        <v>99</v>
      </c>
      <c r="C3340" s="6" t="s">
        <v>688</v>
      </c>
      <c r="D3340" s="6" t="s">
        <v>14</v>
      </c>
      <c r="E3340" s="6" t="s">
        <v>52</v>
      </c>
      <c r="F3340" s="6" t="s">
        <v>70</v>
      </c>
      <c r="G3340" s="6" t="s">
        <v>689</v>
      </c>
      <c r="H3340" s="6" t="s">
        <v>690</v>
      </c>
      <c r="I3340" s="6" t="s">
        <v>31</v>
      </c>
      <c r="J3340" s="6">
        <v>17.067877856289002</v>
      </c>
      <c r="K3340" s="6">
        <v>-96.812449450906001</v>
      </c>
      <c r="L3340" s="6" t="str">
        <f>HYPERLINK("https://maps.google.com/?q=17.0678778562895,-96.812449450906399", "🔗 Ver Mapa")</f>
        <v>🔗 Ver Mapa</v>
      </c>
    </row>
    <row r="3341" spans="1:12" ht="43.5" x14ac:dyDescent="0.35">
      <c r="A3341" s="5" t="s">
        <v>98</v>
      </c>
      <c r="B3341" s="5" t="s">
        <v>99</v>
      </c>
      <c r="C3341" s="5" t="s">
        <v>688</v>
      </c>
      <c r="D3341" s="5" t="s">
        <v>14</v>
      </c>
      <c r="E3341" s="5" t="s">
        <v>52</v>
      </c>
      <c r="F3341" s="5" t="s">
        <v>70</v>
      </c>
      <c r="G3341" s="5" t="s">
        <v>689</v>
      </c>
      <c r="H3341" s="5" t="s">
        <v>690</v>
      </c>
      <c r="I3341" s="5" t="s">
        <v>31</v>
      </c>
      <c r="J3341" s="5">
        <v>17.068932566577001</v>
      </c>
      <c r="K3341" s="5">
        <v>-96.811947941545</v>
      </c>
      <c r="L3341" s="5" t="str">
        <f>HYPERLINK("https://maps.google.com/?q=17.0689325665773,-96.811947941545398", "🔗 Ver Mapa")</f>
        <v>🔗 Ver Mapa</v>
      </c>
    </row>
    <row r="3342" spans="1:12" ht="43.5" x14ac:dyDescent="0.35">
      <c r="A3342" s="6" t="s">
        <v>98</v>
      </c>
      <c r="B3342" s="6" t="s">
        <v>99</v>
      </c>
      <c r="C3342" s="6" t="s">
        <v>688</v>
      </c>
      <c r="D3342" s="6" t="s">
        <v>14</v>
      </c>
      <c r="E3342" s="6" t="s">
        <v>52</v>
      </c>
      <c r="F3342" s="6" t="s">
        <v>70</v>
      </c>
      <c r="G3342" s="6" t="s">
        <v>689</v>
      </c>
      <c r="H3342" s="6" t="s">
        <v>690</v>
      </c>
      <c r="I3342" s="6" t="s">
        <v>31</v>
      </c>
      <c r="J3342" s="6">
        <v>17.068953135592</v>
      </c>
      <c r="K3342" s="6">
        <v>-96.812318474869002</v>
      </c>
      <c r="L3342" s="6" t="str">
        <f>HYPERLINK("https://maps.google.com/?q=17.0689531355923,-96.812318474868604", "🔗 Ver Mapa")</f>
        <v>🔗 Ver Mapa</v>
      </c>
    </row>
    <row r="3343" spans="1:12" ht="43.5" x14ac:dyDescent="0.35">
      <c r="A3343" s="5" t="s">
        <v>98</v>
      </c>
      <c r="B3343" s="5" t="s">
        <v>99</v>
      </c>
      <c r="C3343" s="5" t="s">
        <v>691</v>
      </c>
      <c r="D3343" s="5" t="s">
        <v>14</v>
      </c>
      <c r="E3343" s="5" t="s">
        <v>39</v>
      </c>
      <c r="F3343" s="5" t="s">
        <v>40</v>
      </c>
      <c r="G3343" s="5" t="s">
        <v>184</v>
      </c>
      <c r="H3343" s="5" t="s">
        <v>692</v>
      </c>
      <c r="I3343" s="5" t="s">
        <v>31</v>
      </c>
      <c r="J3343" s="5">
        <v>17.137668862445</v>
      </c>
      <c r="K3343" s="5">
        <v>-97.813806279358005</v>
      </c>
      <c r="L3343" s="5" t="str">
        <f>HYPERLINK("https://maps.google.com/?q=17.1376688624448,-97.813806279358403", "🔗 Ver Mapa")</f>
        <v>🔗 Ver Mapa</v>
      </c>
    </row>
    <row r="3344" spans="1:12" ht="43.5" x14ac:dyDescent="0.35">
      <c r="A3344" s="6" t="s">
        <v>98</v>
      </c>
      <c r="B3344" s="6" t="s">
        <v>99</v>
      </c>
      <c r="C3344" s="6" t="s">
        <v>691</v>
      </c>
      <c r="D3344" s="6" t="s">
        <v>14</v>
      </c>
      <c r="E3344" s="6" t="s">
        <v>39</v>
      </c>
      <c r="F3344" s="6" t="s">
        <v>40</v>
      </c>
      <c r="G3344" s="6" t="s">
        <v>184</v>
      </c>
      <c r="H3344" s="6" t="s">
        <v>692</v>
      </c>
      <c r="I3344" s="6" t="s">
        <v>31</v>
      </c>
      <c r="J3344" s="6">
        <v>17.140096759702999</v>
      </c>
      <c r="K3344" s="6">
        <v>-97.812456457671999</v>
      </c>
      <c r="L3344" s="6" t="str">
        <f>HYPERLINK("https://maps.google.com/?q=17.1400967597029,-97.812456457672099", "🔗 Ver Mapa")</f>
        <v>🔗 Ver Mapa</v>
      </c>
    </row>
    <row r="3345" spans="1:12" ht="43.5" x14ac:dyDescent="0.35">
      <c r="A3345" s="5" t="s">
        <v>98</v>
      </c>
      <c r="B3345" s="5" t="s">
        <v>99</v>
      </c>
      <c r="C3345" s="5" t="s">
        <v>691</v>
      </c>
      <c r="D3345" s="5" t="s">
        <v>14</v>
      </c>
      <c r="E3345" s="5" t="s">
        <v>39</v>
      </c>
      <c r="F3345" s="5" t="s">
        <v>40</v>
      </c>
      <c r="G3345" s="5" t="s">
        <v>184</v>
      </c>
      <c r="H3345" s="5" t="s">
        <v>692</v>
      </c>
      <c r="I3345" s="5" t="s">
        <v>31</v>
      </c>
      <c r="J3345" s="5">
        <v>17.141212320695999</v>
      </c>
      <c r="K3345" s="5">
        <v>-97.813438626983995</v>
      </c>
      <c r="L3345" s="5" t="str">
        <f>HYPERLINK("https://maps.google.com/?q=17.1412123206955,-97.813438626983697", "🔗 Ver Mapa")</f>
        <v>🔗 Ver Mapa</v>
      </c>
    </row>
    <row r="3346" spans="1:12" ht="43.5" x14ac:dyDescent="0.35">
      <c r="A3346" s="6" t="s">
        <v>98</v>
      </c>
      <c r="B3346" s="6" t="s">
        <v>99</v>
      </c>
      <c r="C3346" s="6" t="s">
        <v>691</v>
      </c>
      <c r="D3346" s="6" t="s">
        <v>14</v>
      </c>
      <c r="E3346" s="6" t="s">
        <v>39</v>
      </c>
      <c r="F3346" s="6" t="s">
        <v>40</v>
      </c>
      <c r="G3346" s="6" t="s">
        <v>184</v>
      </c>
      <c r="H3346" s="6" t="s">
        <v>692</v>
      </c>
      <c r="I3346" s="6" t="s">
        <v>31</v>
      </c>
      <c r="J3346" s="6">
        <v>17.141263099566</v>
      </c>
      <c r="K3346" s="6">
        <v>-97.810347860118995</v>
      </c>
      <c r="L3346" s="6" t="str">
        <f>HYPERLINK("https://maps.google.com/?q=17.1412630995659,-97.810347860118796", "🔗 Ver Mapa")</f>
        <v>🔗 Ver Mapa</v>
      </c>
    </row>
    <row r="3347" spans="1:12" ht="43.5" x14ac:dyDescent="0.35">
      <c r="A3347" s="5" t="s">
        <v>98</v>
      </c>
      <c r="B3347" s="5" t="s">
        <v>99</v>
      </c>
      <c r="C3347" s="5" t="s">
        <v>691</v>
      </c>
      <c r="D3347" s="5" t="s">
        <v>14</v>
      </c>
      <c r="E3347" s="5" t="s">
        <v>39</v>
      </c>
      <c r="F3347" s="5" t="s">
        <v>40</v>
      </c>
      <c r="G3347" s="5" t="s">
        <v>184</v>
      </c>
      <c r="H3347" s="5" t="s">
        <v>692</v>
      </c>
      <c r="I3347" s="5" t="s">
        <v>31</v>
      </c>
      <c r="J3347" s="5">
        <v>17.142848553897998</v>
      </c>
      <c r="K3347" s="5">
        <v>-97.812027789024</v>
      </c>
      <c r="L3347" s="5" t="str">
        <f>HYPERLINK("https://maps.google.com/?q=17.1428485538985,-97.812027789024498", "🔗 Ver Mapa")</f>
        <v>🔗 Ver Mapa</v>
      </c>
    </row>
    <row r="3348" spans="1:12" ht="58" x14ac:dyDescent="0.35">
      <c r="A3348" s="6" t="s">
        <v>98</v>
      </c>
      <c r="B3348" s="6" t="s">
        <v>99</v>
      </c>
      <c r="C3348" s="6" t="s">
        <v>693</v>
      </c>
      <c r="D3348" s="6" t="s">
        <v>14</v>
      </c>
      <c r="E3348" s="6" t="s">
        <v>39</v>
      </c>
      <c r="F3348" s="6" t="s">
        <v>40</v>
      </c>
      <c r="G3348" s="6" t="s">
        <v>184</v>
      </c>
      <c r="H3348" s="6" t="s">
        <v>694</v>
      </c>
      <c r="I3348" s="6" t="s">
        <v>31</v>
      </c>
      <c r="J3348" s="6">
        <v>17.155867528801998</v>
      </c>
      <c r="K3348" s="6">
        <v>-97.840622041664005</v>
      </c>
      <c r="L3348" s="6" t="str">
        <f>HYPERLINK("https://maps.google.com/?q=17.1558675288017,-97.840622041664204", "🔗 Ver Mapa")</f>
        <v>🔗 Ver Mapa</v>
      </c>
    </row>
    <row r="3349" spans="1:12" ht="58" x14ac:dyDescent="0.35">
      <c r="A3349" s="5" t="s">
        <v>98</v>
      </c>
      <c r="B3349" s="5" t="s">
        <v>99</v>
      </c>
      <c r="C3349" s="5" t="s">
        <v>693</v>
      </c>
      <c r="D3349" s="5" t="s">
        <v>14</v>
      </c>
      <c r="E3349" s="5" t="s">
        <v>39</v>
      </c>
      <c r="F3349" s="5" t="s">
        <v>40</v>
      </c>
      <c r="G3349" s="5" t="s">
        <v>184</v>
      </c>
      <c r="H3349" s="5" t="s">
        <v>694</v>
      </c>
      <c r="I3349" s="5" t="s">
        <v>31</v>
      </c>
      <c r="J3349" s="5">
        <v>17.155905971793999</v>
      </c>
      <c r="K3349" s="5">
        <v>-97.839989040337002</v>
      </c>
      <c r="L3349" s="5" t="str">
        <f>HYPERLINK("https://maps.google.com/?q=17.1559059717938,-97.839989040336903", "🔗 Ver Mapa")</f>
        <v>🔗 Ver Mapa</v>
      </c>
    </row>
    <row r="3350" spans="1:12" ht="58" x14ac:dyDescent="0.35">
      <c r="A3350" s="6" t="s">
        <v>98</v>
      </c>
      <c r="B3350" s="6" t="s">
        <v>99</v>
      </c>
      <c r="C3350" s="6" t="s">
        <v>693</v>
      </c>
      <c r="D3350" s="6" t="s">
        <v>14</v>
      </c>
      <c r="E3350" s="6" t="s">
        <v>39</v>
      </c>
      <c r="F3350" s="6" t="s">
        <v>40</v>
      </c>
      <c r="G3350" s="6" t="s">
        <v>184</v>
      </c>
      <c r="H3350" s="6" t="s">
        <v>694</v>
      </c>
      <c r="I3350" s="6" t="s">
        <v>31</v>
      </c>
      <c r="J3350" s="6">
        <v>17.156390352812</v>
      </c>
      <c r="K3350" s="6">
        <v>-97.841137025795007</v>
      </c>
      <c r="L3350" s="6" t="str">
        <f>HYPERLINK("https://maps.google.com/?q=17.1563903528116,-97.841137025794893", "🔗 Ver Mapa")</f>
        <v>🔗 Ver Mapa</v>
      </c>
    </row>
    <row r="3351" spans="1:12" ht="58" x14ac:dyDescent="0.35">
      <c r="A3351" s="5" t="s">
        <v>98</v>
      </c>
      <c r="B3351" s="5" t="s">
        <v>99</v>
      </c>
      <c r="C3351" s="5" t="s">
        <v>693</v>
      </c>
      <c r="D3351" s="5" t="s">
        <v>14</v>
      </c>
      <c r="E3351" s="5" t="s">
        <v>39</v>
      </c>
      <c r="F3351" s="5" t="s">
        <v>40</v>
      </c>
      <c r="G3351" s="5" t="s">
        <v>184</v>
      </c>
      <c r="H3351" s="5" t="s">
        <v>694</v>
      </c>
      <c r="I3351" s="5" t="s">
        <v>31</v>
      </c>
      <c r="J3351" s="5">
        <v>17.156761967021001</v>
      </c>
      <c r="K3351" s="5">
        <v>-97.840935860119004</v>
      </c>
      <c r="L3351" s="5" t="str">
        <f>HYPERLINK("https://maps.google.com/?q=17.1567619670213,-97.840935860118904", "🔗 Ver Mapa")</f>
        <v>🔗 Ver Mapa</v>
      </c>
    </row>
    <row r="3352" spans="1:12" ht="58" x14ac:dyDescent="0.35">
      <c r="A3352" s="6" t="s">
        <v>98</v>
      </c>
      <c r="B3352" s="6" t="s">
        <v>99</v>
      </c>
      <c r="C3352" s="6" t="s">
        <v>693</v>
      </c>
      <c r="D3352" s="6" t="s">
        <v>14</v>
      </c>
      <c r="E3352" s="6" t="s">
        <v>39</v>
      </c>
      <c r="F3352" s="6" t="s">
        <v>40</v>
      </c>
      <c r="G3352" s="6" t="s">
        <v>184</v>
      </c>
      <c r="H3352" s="6" t="s">
        <v>694</v>
      </c>
      <c r="I3352" s="6" t="s">
        <v>31</v>
      </c>
      <c r="J3352" s="6">
        <v>17.156900361087999</v>
      </c>
      <c r="K3352" s="6">
        <v>-97.840479884586998</v>
      </c>
      <c r="L3352" s="6" t="str">
        <f>HYPERLINK("https://maps.google.com/?q=17.1569003610885,-97.8404798845865", "🔗 Ver Mapa")</f>
        <v>🔗 Ver Mapa</v>
      </c>
    </row>
    <row r="3353" spans="1:12" ht="58" x14ac:dyDescent="0.35">
      <c r="A3353" s="5" t="s">
        <v>98</v>
      </c>
      <c r="B3353" s="5" t="s">
        <v>99</v>
      </c>
      <c r="C3353" s="5" t="s">
        <v>693</v>
      </c>
      <c r="D3353" s="5" t="s">
        <v>14</v>
      </c>
      <c r="E3353" s="5" t="s">
        <v>39</v>
      </c>
      <c r="F3353" s="5" t="s">
        <v>40</v>
      </c>
      <c r="G3353" s="5" t="s">
        <v>184</v>
      </c>
      <c r="H3353" s="5" t="s">
        <v>694</v>
      </c>
      <c r="I3353" s="5" t="s">
        <v>31</v>
      </c>
      <c r="J3353" s="5">
        <v>17.157633335353001</v>
      </c>
      <c r="K3353" s="5">
        <v>-97.841096792659997</v>
      </c>
      <c r="L3353" s="5" t="str">
        <f>HYPERLINK("https://maps.google.com/?q=17.1576333353534,-97.841096792659698", "🔗 Ver Mapa")</f>
        <v>🔗 Ver Mapa</v>
      </c>
    </row>
    <row r="3354" spans="1:12" ht="58" x14ac:dyDescent="0.35">
      <c r="A3354" s="6" t="s">
        <v>98</v>
      </c>
      <c r="B3354" s="6" t="s">
        <v>99</v>
      </c>
      <c r="C3354" s="6" t="s">
        <v>695</v>
      </c>
      <c r="D3354" s="6" t="s">
        <v>14</v>
      </c>
      <c r="E3354" s="6" t="s">
        <v>39</v>
      </c>
      <c r="F3354" s="6" t="s">
        <v>40</v>
      </c>
      <c r="G3354" s="6" t="s">
        <v>184</v>
      </c>
      <c r="H3354" s="6" t="s">
        <v>696</v>
      </c>
      <c r="I3354" s="6" t="s">
        <v>31</v>
      </c>
      <c r="J3354" s="6">
        <v>17.152407827223001</v>
      </c>
      <c r="K3354" s="6">
        <v>-97.850936953372994</v>
      </c>
      <c r="L3354" s="6" t="str">
        <f>HYPERLINK("https://maps.google.com/?q=17.1524078272226,-97.850936953372994", "🔗 Ver Mapa")</f>
        <v>🔗 Ver Mapa</v>
      </c>
    </row>
    <row r="3355" spans="1:12" ht="58" x14ac:dyDescent="0.35">
      <c r="A3355" s="5" t="s">
        <v>98</v>
      </c>
      <c r="B3355" s="5" t="s">
        <v>99</v>
      </c>
      <c r="C3355" s="5" t="s">
        <v>695</v>
      </c>
      <c r="D3355" s="5" t="s">
        <v>14</v>
      </c>
      <c r="E3355" s="5" t="s">
        <v>39</v>
      </c>
      <c r="F3355" s="5" t="s">
        <v>40</v>
      </c>
      <c r="G3355" s="5" t="s">
        <v>184</v>
      </c>
      <c r="H3355" s="5" t="s">
        <v>696</v>
      </c>
      <c r="I3355" s="5" t="s">
        <v>31</v>
      </c>
      <c r="J3355" s="5">
        <v>17.153199264828999</v>
      </c>
      <c r="K3355" s="5">
        <v>-97.849354478503997</v>
      </c>
      <c r="L3355" s="5" t="str">
        <f>HYPERLINK("https://maps.google.com/?q=17.1531992648293,-97.849354478504196", "🔗 Ver Mapa")</f>
        <v>🔗 Ver Mapa</v>
      </c>
    </row>
    <row r="3356" spans="1:12" ht="58" x14ac:dyDescent="0.35">
      <c r="A3356" s="6" t="s">
        <v>98</v>
      </c>
      <c r="B3356" s="6" t="s">
        <v>99</v>
      </c>
      <c r="C3356" s="6" t="s">
        <v>695</v>
      </c>
      <c r="D3356" s="6" t="s">
        <v>14</v>
      </c>
      <c r="E3356" s="6" t="s">
        <v>39</v>
      </c>
      <c r="F3356" s="6" t="s">
        <v>40</v>
      </c>
      <c r="G3356" s="6" t="s">
        <v>184</v>
      </c>
      <c r="H3356" s="6" t="s">
        <v>696</v>
      </c>
      <c r="I3356" s="6" t="s">
        <v>31</v>
      </c>
      <c r="J3356" s="6">
        <v>17.155055401097002</v>
      </c>
      <c r="K3356" s="6">
        <v>-97.848410811183996</v>
      </c>
      <c r="L3356" s="6" t="str">
        <f>HYPERLINK("https://maps.google.com/?q=17.1550554010975,-97.848410811183697", "🔗 Ver Mapa")</f>
        <v>🔗 Ver Mapa</v>
      </c>
    </row>
    <row r="3357" spans="1:12" ht="58" x14ac:dyDescent="0.35">
      <c r="A3357" s="5" t="s">
        <v>98</v>
      </c>
      <c r="B3357" s="5" t="s">
        <v>99</v>
      </c>
      <c r="C3357" s="5" t="s">
        <v>695</v>
      </c>
      <c r="D3357" s="5" t="s">
        <v>14</v>
      </c>
      <c r="E3357" s="5" t="s">
        <v>39</v>
      </c>
      <c r="F3357" s="5" t="s">
        <v>40</v>
      </c>
      <c r="G3357" s="5" t="s">
        <v>184</v>
      </c>
      <c r="H3357" s="5" t="s">
        <v>696</v>
      </c>
      <c r="I3357" s="5" t="s">
        <v>31</v>
      </c>
      <c r="J3357" s="5">
        <v>17.155690390067999</v>
      </c>
      <c r="K3357" s="5">
        <v>-97.851543161059993</v>
      </c>
      <c r="L3357" s="5" t="str">
        <f>HYPERLINK("https://maps.google.com/?q=17.1556903900681,-97.851543161059695", "🔗 Ver Mapa")</f>
        <v>🔗 Ver Mapa</v>
      </c>
    </row>
    <row r="3358" spans="1:12" ht="58" x14ac:dyDescent="0.35">
      <c r="A3358" s="6" t="s">
        <v>98</v>
      </c>
      <c r="B3358" s="6" t="s">
        <v>99</v>
      </c>
      <c r="C3358" s="6" t="s">
        <v>695</v>
      </c>
      <c r="D3358" s="6" t="s">
        <v>14</v>
      </c>
      <c r="E3358" s="6" t="s">
        <v>39</v>
      </c>
      <c r="F3358" s="6" t="s">
        <v>40</v>
      </c>
      <c r="G3358" s="6" t="s">
        <v>184</v>
      </c>
      <c r="H3358" s="6" t="s">
        <v>696</v>
      </c>
      <c r="I3358" s="6" t="s">
        <v>31</v>
      </c>
      <c r="J3358" s="6">
        <v>17.156646941274001</v>
      </c>
      <c r="K3358" s="6">
        <v>-97.847284283397997</v>
      </c>
      <c r="L3358" s="6" t="str">
        <f>HYPERLINK("https://maps.google.com/?q=17.1566469412745,-97.847284283397698", "🔗 Ver Mapa")</f>
        <v>🔗 Ver Mapa</v>
      </c>
    </row>
    <row r="3359" spans="1:12" ht="43.5" x14ac:dyDescent="0.35">
      <c r="A3359" s="5" t="s">
        <v>98</v>
      </c>
      <c r="B3359" s="5" t="s">
        <v>99</v>
      </c>
      <c r="C3359" s="5" t="s">
        <v>697</v>
      </c>
      <c r="D3359" s="5" t="s">
        <v>14</v>
      </c>
      <c r="E3359" s="5" t="s">
        <v>52</v>
      </c>
      <c r="F3359" s="5" t="s">
        <v>70</v>
      </c>
      <c r="G3359" s="5" t="s">
        <v>689</v>
      </c>
      <c r="H3359" s="5" t="s">
        <v>690</v>
      </c>
      <c r="I3359" s="5" t="s">
        <v>31</v>
      </c>
      <c r="J3359" s="5">
        <v>17.05744</v>
      </c>
      <c r="K3359" s="5">
        <v>-96.824194000000006</v>
      </c>
      <c r="L3359" s="5" t="str">
        <f>HYPERLINK("https://maps.google.com/?q=17.05744,-96.824194000000006", "🔗 Ver Mapa")</f>
        <v>🔗 Ver Mapa</v>
      </c>
    </row>
    <row r="3360" spans="1:12" ht="43.5" x14ac:dyDescent="0.35">
      <c r="A3360" s="6" t="s">
        <v>98</v>
      </c>
      <c r="B3360" s="6" t="s">
        <v>99</v>
      </c>
      <c r="C3360" s="6" t="s">
        <v>697</v>
      </c>
      <c r="D3360" s="6" t="s">
        <v>14</v>
      </c>
      <c r="E3360" s="6" t="s">
        <v>52</v>
      </c>
      <c r="F3360" s="6" t="s">
        <v>70</v>
      </c>
      <c r="G3360" s="6" t="s">
        <v>689</v>
      </c>
      <c r="H3360" s="6" t="s">
        <v>690</v>
      </c>
      <c r="I3360" s="6" t="s">
        <v>31</v>
      </c>
      <c r="J3360" s="6">
        <v>17.057528000000001</v>
      </c>
      <c r="K3360" s="6">
        <v>-96.824415999999999</v>
      </c>
      <c r="L3360" s="6" t="str">
        <f>HYPERLINK("https://maps.google.com/?q=17.057528,-96.824415999999999", "🔗 Ver Mapa")</f>
        <v>🔗 Ver Mapa</v>
      </c>
    </row>
    <row r="3361" spans="1:12" ht="43.5" x14ac:dyDescent="0.35">
      <c r="A3361" s="5" t="s">
        <v>98</v>
      </c>
      <c r="B3361" s="5" t="s">
        <v>99</v>
      </c>
      <c r="C3361" s="5" t="s">
        <v>697</v>
      </c>
      <c r="D3361" s="5" t="s">
        <v>14</v>
      </c>
      <c r="E3361" s="5" t="s">
        <v>52</v>
      </c>
      <c r="F3361" s="5" t="s">
        <v>70</v>
      </c>
      <c r="G3361" s="5" t="s">
        <v>689</v>
      </c>
      <c r="H3361" s="5" t="s">
        <v>690</v>
      </c>
      <c r="I3361" s="5" t="s">
        <v>31</v>
      </c>
      <c r="J3361" s="5">
        <v>17.057856999999998</v>
      </c>
      <c r="K3361" s="5">
        <v>-96.824805999999995</v>
      </c>
      <c r="L3361" s="5" t="str">
        <f>HYPERLINK("https://maps.google.com/?q=17.057857,-96.824805999999995", "🔗 Ver Mapa")</f>
        <v>🔗 Ver Mapa</v>
      </c>
    </row>
    <row r="3362" spans="1:12" ht="43.5" x14ac:dyDescent="0.35">
      <c r="A3362" s="6" t="s">
        <v>98</v>
      </c>
      <c r="B3362" s="6" t="s">
        <v>99</v>
      </c>
      <c r="C3362" s="6" t="s">
        <v>697</v>
      </c>
      <c r="D3362" s="6" t="s">
        <v>14</v>
      </c>
      <c r="E3362" s="6" t="s">
        <v>52</v>
      </c>
      <c r="F3362" s="6" t="s">
        <v>70</v>
      </c>
      <c r="G3362" s="6" t="s">
        <v>689</v>
      </c>
      <c r="H3362" s="6" t="s">
        <v>690</v>
      </c>
      <c r="I3362" s="6" t="s">
        <v>31</v>
      </c>
      <c r="J3362" s="6">
        <v>17.058083</v>
      </c>
      <c r="K3362" s="6">
        <v>-96.825379999999996</v>
      </c>
      <c r="L3362" s="6" t="str">
        <f>HYPERLINK("https://maps.google.com/?q=17.058083,-96.825379999999996", "🔗 Ver Mapa")</f>
        <v>🔗 Ver Mapa</v>
      </c>
    </row>
    <row r="3363" spans="1:12" ht="43.5" x14ac:dyDescent="0.35">
      <c r="A3363" s="5" t="s">
        <v>98</v>
      </c>
      <c r="B3363" s="5" t="s">
        <v>99</v>
      </c>
      <c r="C3363" s="5" t="s">
        <v>697</v>
      </c>
      <c r="D3363" s="5" t="s">
        <v>14</v>
      </c>
      <c r="E3363" s="5" t="s">
        <v>52</v>
      </c>
      <c r="F3363" s="5" t="s">
        <v>70</v>
      </c>
      <c r="G3363" s="5" t="s">
        <v>689</v>
      </c>
      <c r="H3363" s="5" t="s">
        <v>690</v>
      </c>
      <c r="I3363" s="5" t="s">
        <v>31</v>
      </c>
      <c r="J3363" s="5">
        <v>17.058551999999999</v>
      </c>
      <c r="K3363" s="5">
        <v>-96.824769000000003</v>
      </c>
      <c r="L3363" s="5" t="str">
        <f>HYPERLINK("https://maps.google.com/?q=17.058552,-96.824769000000003", "🔗 Ver Mapa")</f>
        <v>🔗 Ver Mapa</v>
      </c>
    </row>
    <row r="3364" spans="1:12" ht="43.5" x14ac:dyDescent="0.35">
      <c r="A3364" s="6" t="s">
        <v>98</v>
      </c>
      <c r="B3364" s="6" t="s">
        <v>99</v>
      </c>
      <c r="C3364" s="6" t="s">
        <v>697</v>
      </c>
      <c r="D3364" s="6" t="s">
        <v>14</v>
      </c>
      <c r="E3364" s="6" t="s">
        <v>52</v>
      </c>
      <c r="F3364" s="6" t="s">
        <v>70</v>
      </c>
      <c r="G3364" s="6" t="s">
        <v>689</v>
      </c>
      <c r="H3364" s="6" t="s">
        <v>690</v>
      </c>
      <c r="I3364" s="6" t="s">
        <v>31</v>
      </c>
      <c r="J3364" s="6">
        <v>17.058706999999998</v>
      </c>
      <c r="K3364" s="6">
        <v>-96.824539999999999</v>
      </c>
      <c r="L3364" s="6" t="str">
        <f>HYPERLINK("https://maps.google.com/?q=17.058707,-96.824539999999999", "🔗 Ver Mapa")</f>
        <v>🔗 Ver Mapa</v>
      </c>
    </row>
    <row r="3365" spans="1:12" ht="43.5" x14ac:dyDescent="0.35">
      <c r="A3365" s="5" t="s">
        <v>98</v>
      </c>
      <c r="B3365" s="5" t="s">
        <v>99</v>
      </c>
      <c r="C3365" s="5" t="s">
        <v>697</v>
      </c>
      <c r="D3365" s="5" t="s">
        <v>14</v>
      </c>
      <c r="E3365" s="5" t="s">
        <v>52</v>
      </c>
      <c r="F3365" s="5" t="s">
        <v>70</v>
      </c>
      <c r="G3365" s="5" t="s">
        <v>689</v>
      </c>
      <c r="H3365" s="5" t="s">
        <v>690</v>
      </c>
      <c r="I3365" s="5" t="s">
        <v>31</v>
      </c>
      <c r="J3365" s="5">
        <v>17.058824999999999</v>
      </c>
      <c r="K3365" s="5">
        <v>-96.824359000000001</v>
      </c>
      <c r="L3365" s="5" t="str">
        <f>HYPERLINK("https://maps.google.com/?q=17.058825,-96.824359000000001", "🔗 Ver Mapa")</f>
        <v>🔗 Ver Mapa</v>
      </c>
    </row>
    <row r="3366" spans="1:12" ht="43.5" x14ac:dyDescent="0.35">
      <c r="A3366" s="6" t="s">
        <v>98</v>
      </c>
      <c r="B3366" s="6" t="s">
        <v>99</v>
      </c>
      <c r="C3366" s="6" t="s">
        <v>697</v>
      </c>
      <c r="D3366" s="6" t="s">
        <v>14</v>
      </c>
      <c r="E3366" s="6" t="s">
        <v>52</v>
      </c>
      <c r="F3366" s="6" t="s">
        <v>70</v>
      </c>
      <c r="G3366" s="6" t="s">
        <v>689</v>
      </c>
      <c r="H3366" s="6" t="s">
        <v>690</v>
      </c>
      <c r="I3366" s="6" t="s">
        <v>31</v>
      </c>
      <c r="J3366" s="6">
        <v>17.058937</v>
      </c>
      <c r="K3366" s="6">
        <v>-96.824582000000007</v>
      </c>
      <c r="L3366" s="6" t="str">
        <f>HYPERLINK("https://maps.google.com/?q=17.058937,-96.824582000000007", "🔗 Ver Mapa")</f>
        <v>🔗 Ver Mapa</v>
      </c>
    </row>
    <row r="3367" spans="1:12" ht="43.5" x14ac:dyDescent="0.35">
      <c r="A3367" s="5" t="s">
        <v>98</v>
      </c>
      <c r="B3367" s="5" t="s">
        <v>99</v>
      </c>
      <c r="C3367" s="5" t="s">
        <v>697</v>
      </c>
      <c r="D3367" s="5" t="s">
        <v>14</v>
      </c>
      <c r="E3367" s="5" t="s">
        <v>52</v>
      </c>
      <c r="F3367" s="5" t="s">
        <v>70</v>
      </c>
      <c r="G3367" s="5" t="s">
        <v>689</v>
      </c>
      <c r="H3367" s="5" t="s">
        <v>690</v>
      </c>
      <c r="I3367" s="5" t="s">
        <v>31</v>
      </c>
      <c r="J3367" s="5">
        <v>17.058955000000001</v>
      </c>
      <c r="K3367" s="5">
        <v>-96.824352000000005</v>
      </c>
      <c r="L3367" s="5" t="str">
        <f>HYPERLINK("https://maps.google.com/?q=17.058955,-96.824352000000005", "🔗 Ver Mapa")</f>
        <v>🔗 Ver Mapa</v>
      </c>
    </row>
    <row r="3368" spans="1:12" ht="43.5" x14ac:dyDescent="0.35">
      <c r="A3368" s="6" t="s">
        <v>98</v>
      </c>
      <c r="B3368" s="6" t="s">
        <v>99</v>
      </c>
      <c r="C3368" s="6" t="s">
        <v>697</v>
      </c>
      <c r="D3368" s="6" t="s">
        <v>14</v>
      </c>
      <c r="E3368" s="6" t="s">
        <v>52</v>
      </c>
      <c r="F3368" s="6" t="s">
        <v>70</v>
      </c>
      <c r="G3368" s="6" t="s">
        <v>689</v>
      </c>
      <c r="H3368" s="6" t="s">
        <v>690</v>
      </c>
      <c r="I3368" s="6" t="s">
        <v>31</v>
      </c>
      <c r="J3368" s="6">
        <v>17.059183999999998</v>
      </c>
      <c r="K3368" s="6">
        <v>-96.824611000000004</v>
      </c>
      <c r="L3368" s="6" t="str">
        <f>HYPERLINK("https://maps.google.com/?q=17.059184,-96.824611000000004", "🔗 Ver Mapa")</f>
        <v>🔗 Ver Mapa</v>
      </c>
    </row>
    <row r="3369" spans="1:12" ht="43.5" x14ac:dyDescent="0.35">
      <c r="A3369" s="5" t="s">
        <v>98</v>
      </c>
      <c r="B3369" s="5" t="s">
        <v>99</v>
      </c>
      <c r="C3369" s="5" t="s">
        <v>698</v>
      </c>
      <c r="D3369" s="5" t="s">
        <v>14</v>
      </c>
      <c r="E3369" s="5" t="s">
        <v>16</v>
      </c>
      <c r="F3369" s="5" t="s">
        <v>21</v>
      </c>
      <c r="G3369" s="5" t="s">
        <v>699</v>
      </c>
      <c r="H3369" s="5" t="s">
        <v>700</v>
      </c>
      <c r="I3369" s="5" t="s">
        <v>31</v>
      </c>
      <c r="J3369" s="5">
        <v>17.067259705908</v>
      </c>
      <c r="K3369" s="5">
        <v>-97.788070320360006</v>
      </c>
      <c r="L3369" s="5" t="str">
        <f>HYPERLINK("https://maps.google.com/?q=17.0672597059082,-97.78807032036003", "🔗 Ver Mapa")</f>
        <v>🔗 Ver Mapa</v>
      </c>
    </row>
    <row r="3370" spans="1:12" ht="43.5" x14ac:dyDescent="0.35">
      <c r="A3370" s="6" t="s">
        <v>98</v>
      </c>
      <c r="B3370" s="6" t="s">
        <v>99</v>
      </c>
      <c r="C3370" s="6" t="s">
        <v>698</v>
      </c>
      <c r="D3370" s="6" t="s">
        <v>14</v>
      </c>
      <c r="E3370" s="6" t="s">
        <v>16</v>
      </c>
      <c r="F3370" s="6" t="s">
        <v>21</v>
      </c>
      <c r="G3370" s="6" t="s">
        <v>699</v>
      </c>
      <c r="H3370" s="6" t="s">
        <v>700</v>
      </c>
      <c r="I3370" s="6" t="s">
        <v>31</v>
      </c>
      <c r="J3370" s="6">
        <v>17.068057753362002</v>
      </c>
      <c r="K3370" s="6">
        <v>-97.788161342468001</v>
      </c>
      <c r="L3370" s="6" t="str">
        <f>HYPERLINK("https://maps.google.com/?q=17.0680577533618,-97.78816134246814", "🔗 Ver Mapa")</f>
        <v>🔗 Ver Mapa</v>
      </c>
    </row>
    <row r="3371" spans="1:12" ht="43.5" x14ac:dyDescent="0.35">
      <c r="A3371" s="5" t="s">
        <v>98</v>
      </c>
      <c r="B3371" s="5" t="s">
        <v>99</v>
      </c>
      <c r="C3371" s="5" t="s">
        <v>698</v>
      </c>
      <c r="D3371" s="5" t="s">
        <v>14</v>
      </c>
      <c r="E3371" s="5" t="s">
        <v>16</v>
      </c>
      <c r="F3371" s="5" t="s">
        <v>21</v>
      </c>
      <c r="G3371" s="5" t="s">
        <v>699</v>
      </c>
      <c r="H3371" s="5" t="s">
        <v>700</v>
      </c>
      <c r="I3371" s="5" t="s">
        <v>31</v>
      </c>
      <c r="J3371" s="5">
        <v>17.068229002679001</v>
      </c>
      <c r="K3371" s="5">
        <v>-97.788274711639005</v>
      </c>
      <c r="L3371" s="5" t="str">
        <f>HYPERLINK("https://maps.google.com/?q=17.0682290026793,-97.78827471163939", "🔗 Ver Mapa")</f>
        <v>🔗 Ver Mapa</v>
      </c>
    </row>
    <row r="3372" spans="1:12" ht="43.5" x14ac:dyDescent="0.35">
      <c r="A3372" s="6" t="s">
        <v>98</v>
      </c>
      <c r="B3372" s="6" t="s">
        <v>99</v>
      </c>
      <c r="C3372" s="6" t="s">
        <v>698</v>
      </c>
      <c r="D3372" s="6" t="s">
        <v>14</v>
      </c>
      <c r="E3372" s="6" t="s">
        <v>16</v>
      </c>
      <c r="F3372" s="6" t="s">
        <v>21</v>
      </c>
      <c r="G3372" s="6" t="s">
        <v>699</v>
      </c>
      <c r="H3372" s="6" t="s">
        <v>700</v>
      </c>
      <c r="I3372" s="6" t="s">
        <v>31</v>
      </c>
      <c r="J3372" s="6">
        <v>17.069119229315</v>
      </c>
      <c r="K3372" s="6">
        <v>-97.788496550925998</v>
      </c>
      <c r="L3372" s="6" t="str">
        <f>HYPERLINK("https://maps.google.com/?q=17.0691192293146,-97.78849655092631", "🔗 Ver Mapa")</f>
        <v>🔗 Ver Mapa</v>
      </c>
    </row>
    <row r="3373" spans="1:12" ht="43.5" x14ac:dyDescent="0.35">
      <c r="A3373" s="5" t="s">
        <v>98</v>
      </c>
      <c r="B3373" s="5" t="s">
        <v>99</v>
      </c>
      <c r="C3373" s="5" t="s">
        <v>698</v>
      </c>
      <c r="D3373" s="5" t="s">
        <v>14</v>
      </c>
      <c r="E3373" s="5" t="s">
        <v>16</v>
      </c>
      <c r="F3373" s="5" t="s">
        <v>21</v>
      </c>
      <c r="G3373" s="5" t="s">
        <v>699</v>
      </c>
      <c r="H3373" s="5" t="s">
        <v>700</v>
      </c>
      <c r="I3373" s="5" t="s">
        <v>31</v>
      </c>
      <c r="J3373" s="5">
        <v>17.069540132648001</v>
      </c>
      <c r="K3373" s="5">
        <v>-97.791248597552993</v>
      </c>
      <c r="L3373" s="5" t="str">
        <f>HYPERLINK("https://maps.google.com/?q=17.069540132648,-97.79124859755323", "🔗 Ver Mapa")</f>
        <v>🔗 Ver Mapa</v>
      </c>
    </row>
    <row r="3374" spans="1:12" ht="43.5" x14ac:dyDescent="0.35">
      <c r="A3374" s="6" t="s">
        <v>98</v>
      </c>
      <c r="B3374" s="6" t="s">
        <v>99</v>
      </c>
      <c r="C3374" s="6" t="s">
        <v>698</v>
      </c>
      <c r="D3374" s="6" t="s">
        <v>14</v>
      </c>
      <c r="E3374" s="6" t="s">
        <v>16</v>
      </c>
      <c r="F3374" s="6" t="s">
        <v>21</v>
      </c>
      <c r="G3374" s="6" t="s">
        <v>699</v>
      </c>
      <c r="H3374" s="6" t="s">
        <v>700</v>
      </c>
      <c r="I3374" s="6" t="s">
        <v>31</v>
      </c>
      <c r="J3374" s="6">
        <v>17.069607351795</v>
      </c>
      <c r="K3374" s="6" t="s">
        <v>701</v>
      </c>
      <c r="L3374" s="6" t="str">
        <f>HYPERLINK("https://maps.google.com/?q=17.0696073517947,  -97.78895173785705", "🔗 Ver Mapa")</f>
        <v>🔗 Ver Mapa</v>
      </c>
    </row>
    <row r="3375" spans="1:12" ht="43.5" x14ac:dyDescent="0.35">
      <c r="A3375" s="5" t="s">
        <v>98</v>
      </c>
      <c r="B3375" s="5" t="s">
        <v>99</v>
      </c>
      <c r="C3375" s="5" t="s">
        <v>698</v>
      </c>
      <c r="D3375" s="5" t="s">
        <v>14</v>
      </c>
      <c r="E3375" s="5" t="s">
        <v>16</v>
      </c>
      <c r="F3375" s="5" t="s">
        <v>21</v>
      </c>
      <c r="G3375" s="5" t="s">
        <v>699</v>
      </c>
      <c r="H3375" s="5" t="s">
        <v>700</v>
      </c>
      <c r="I3375" s="5" t="s">
        <v>31</v>
      </c>
      <c r="J3375" s="5">
        <v>17.069629847828001</v>
      </c>
      <c r="K3375" s="5">
        <v>-97.788586101852005</v>
      </c>
      <c r="L3375" s="5" t="str">
        <f>HYPERLINK("https://maps.google.com/?q=17.0696298478282,-97.78858610185247", "🔗 Ver Mapa")</f>
        <v>🔗 Ver Mapa</v>
      </c>
    </row>
    <row r="3376" spans="1:12" ht="43.5" x14ac:dyDescent="0.35">
      <c r="A3376" s="6" t="s">
        <v>98</v>
      </c>
      <c r="B3376" s="6" t="s">
        <v>99</v>
      </c>
      <c r="C3376" s="6" t="s">
        <v>698</v>
      </c>
      <c r="D3376" s="6" t="s">
        <v>14</v>
      </c>
      <c r="E3376" s="6" t="s">
        <v>16</v>
      </c>
      <c r="F3376" s="6" t="s">
        <v>21</v>
      </c>
      <c r="G3376" s="6" t="s">
        <v>699</v>
      </c>
      <c r="H3376" s="6" t="s">
        <v>700</v>
      </c>
      <c r="I3376" s="6" t="s">
        <v>31</v>
      </c>
      <c r="J3376" s="6">
        <v>17.069689539504999</v>
      </c>
      <c r="K3376" s="6">
        <v>-97.787901670552003</v>
      </c>
      <c r="L3376" s="6" t="str">
        <f>HYPERLINK("https://maps.google.com/?q=17.0696895395054,-97.7879016705524", "🔗 Ver Mapa")</f>
        <v>🔗 Ver Mapa</v>
      </c>
    </row>
    <row r="3377" spans="1:12" ht="43.5" x14ac:dyDescent="0.35">
      <c r="A3377" s="5" t="s">
        <v>98</v>
      </c>
      <c r="B3377" s="5" t="s">
        <v>99</v>
      </c>
      <c r="C3377" s="5" t="s">
        <v>698</v>
      </c>
      <c r="D3377" s="5" t="s">
        <v>14</v>
      </c>
      <c r="E3377" s="5" t="s">
        <v>16</v>
      </c>
      <c r="F3377" s="5" t="s">
        <v>21</v>
      </c>
      <c r="G3377" s="5" t="s">
        <v>699</v>
      </c>
      <c r="H3377" s="5" t="s">
        <v>700</v>
      </c>
      <c r="I3377" s="5" t="s">
        <v>31</v>
      </c>
      <c r="J3377" s="5">
        <v>17.069772771309999</v>
      </c>
      <c r="K3377" s="5" t="s">
        <v>702</v>
      </c>
      <c r="L3377" s="5" t="str">
        <f>HYPERLINK("https://maps.google.com/?q=17.0697727713104, -97.79048711045071", "🔗 Ver Mapa")</f>
        <v>🔗 Ver Mapa</v>
      </c>
    </row>
    <row r="3378" spans="1:12" ht="43.5" x14ac:dyDescent="0.35">
      <c r="A3378" s="6" t="s">
        <v>98</v>
      </c>
      <c r="B3378" s="6" t="s">
        <v>99</v>
      </c>
      <c r="C3378" s="6" t="s">
        <v>698</v>
      </c>
      <c r="D3378" s="6" t="s">
        <v>14</v>
      </c>
      <c r="E3378" s="6" t="s">
        <v>16</v>
      </c>
      <c r="F3378" s="6" t="s">
        <v>21</v>
      </c>
      <c r="G3378" s="6" t="s">
        <v>699</v>
      </c>
      <c r="H3378" s="6" t="s">
        <v>700</v>
      </c>
      <c r="I3378" s="6" t="s">
        <v>31</v>
      </c>
      <c r="J3378" s="6">
        <v>17.070989480341002</v>
      </c>
      <c r="K3378" s="6">
        <v>-97.789769271164005</v>
      </c>
      <c r="L3378" s="6" t="str">
        <f>HYPERLINK("https://maps.google.com/?q=17.0709894803408,-97.789769271164", "🔗 Ver Mapa")</f>
        <v>🔗 Ver Mapa</v>
      </c>
    </row>
    <row r="3379" spans="1:12" ht="43.5" x14ac:dyDescent="0.35">
      <c r="A3379" s="5" t="s">
        <v>98</v>
      </c>
      <c r="B3379" s="5" t="s">
        <v>99</v>
      </c>
      <c r="C3379" s="5" t="s">
        <v>698</v>
      </c>
      <c r="D3379" s="5" t="s">
        <v>14</v>
      </c>
      <c r="E3379" s="5" t="s">
        <v>16</v>
      </c>
      <c r="F3379" s="5" t="s">
        <v>21</v>
      </c>
      <c r="G3379" s="5" t="s">
        <v>699</v>
      </c>
      <c r="H3379" s="5" t="s">
        <v>700</v>
      </c>
      <c r="I3379" s="5" t="s">
        <v>31</v>
      </c>
      <c r="J3379" s="5">
        <v>17.071103989107002</v>
      </c>
      <c r="K3379" s="5">
        <v>-97.789530941128007</v>
      </c>
      <c r="L3379" s="5" t="str">
        <f>HYPERLINK("https://maps.google.com/?q=17.0711039891073,-97.78953094112836", "🔗 Ver Mapa")</f>
        <v>🔗 Ver Mapa</v>
      </c>
    </row>
    <row r="3380" spans="1:12" ht="43.5" x14ac:dyDescent="0.35">
      <c r="A3380" s="6" t="s">
        <v>98</v>
      </c>
      <c r="B3380" s="6" t="s">
        <v>99</v>
      </c>
      <c r="C3380" s="6" t="s">
        <v>698</v>
      </c>
      <c r="D3380" s="6" t="s">
        <v>14</v>
      </c>
      <c r="E3380" s="6" t="s">
        <v>16</v>
      </c>
      <c r="F3380" s="6" t="s">
        <v>21</v>
      </c>
      <c r="G3380" s="6" t="s">
        <v>699</v>
      </c>
      <c r="H3380" s="6" t="s">
        <v>700</v>
      </c>
      <c r="I3380" s="6" t="s">
        <v>31</v>
      </c>
      <c r="J3380" s="6">
        <v>17.071289494662</v>
      </c>
      <c r="K3380" s="6" t="s">
        <v>703</v>
      </c>
      <c r="L3380" s="6" t="str">
        <f>HYPERLINK("https://maps.google.com/?q=17.0712894946617, -97.78784413988107", "🔗 Ver Mapa")</f>
        <v>🔗 Ver Mapa</v>
      </c>
    </row>
    <row r="3381" spans="1:12" ht="43.5" x14ac:dyDescent="0.35">
      <c r="A3381" s="5" t="s">
        <v>98</v>
      </c>
      <c r="B3381" s="5" t="s">
        <v>99</v>
      </c>
      <c r="C3381" s="5" t="s">
        <v>698</v>
      </c>
      <c r="D3381" s="5" t="s">
        <v>14</v>
      </c>
      <c r="E3381" s="5" t="s">
        <v>16</v>
      </c>
      <c r="F3381" s="5" t="s">
        <v>21</v>
      </c>
      <c r="G3381" s="5" t="s">
        <v>699</v>
      </c>
      <c r="H3381" s="5" t="s">
        <v>700</v>
      </c>
      <c r="I3381" s="5" t="s">
        <v>31</v>
      </c>
      <c r="J3381" s="5">
        <v>17.071920743501</v>
      </c>
      <c r="K3381" s="5" t="s">
        <v>704</v>
      </c>
      <c r="L3381" s="5" t="str">
        <f>HYPERLINK("https://maps.google.com/?q=17.071920743501, -97.79038435333833", "🔗 Ver Mapa")</f>
        <v>🔗 Ver Mapa</v>
      </c>
    </row>
    <row r="3382" spans="1:12" ht="43.5" x14ac:dyDescent="0.35">
      <c r="A3382" s="6" t="s">
        <v>98</v>
      </c>
      <c r="B3382" s="6" t="s">
        <v>99</v>
      </c>
      <c r="C3382" s="6" t="s">
        <v>698</v>
      </c>
      <c r="D3382" s="6" t="s">
        <v>14</v>
      </c>
      <c r="E3382" s="6" t="s">
        <v>16</v>
      </c>
      <c r="F3382" s="6" t="s">
        <v>21</v>
      </c>
      <c r="G3382" s="6" t="s">
        <v>699</v>
      </c>
      <c r="H3382" s="6" t="s">
        <v>700</v>
      </c>
      <c r="I3382" s="6" t="s">
        <v>31</v>
      </c>
      <c r="J3382" s="6">
        <v>17.072721709448999</v>
      </c>
      <c r="K3382" s="6">
        <v>-97.787682500490007</v>
      </c>
      <c r="L3382" s="6" t="str">
        <f>HYPERLINK("https://maps.google.com/?q=17.0727217094493,-97.78768250049004", "🔗 Ver Mapa")</f>
        <v>🔗 Ver Mapa</v>
      </c>
    </row>
    <row r="3383" spans="1:12" ht="43.5" x14ac:dyDescent="0.35">
      <c r="A3383" s="5" t="s">
        <v>98</v>
      </c>
      <c r="B3383" s="5" t="s">
        <v>99</v>
      </c>
      <c r="C3383" s="5" t="s">
        <v>698</v>
      </c>
      <c r="D3383" s="5" t="s">
        <v>14</v>
      </c>
      <c r="E3383" s="5" t="s">
        <v>16</v>
      </c>
      <c r="F3383" s="5" t="s">
        <v>21</v>
      </c>
      <c r="G3383" s="5" t="s">
        <v>699</v>
      </c>
      <c r="H3383" s="5" t="s">
        <v>700</v>
      </c>
      <c r="I3383" s="5" t="s">
        <v>31</v>
      </c>
      <c r="J3383" s="5">
        <v>17.073195961071999</v>
      </c>
      <c r="K3383" s="5" t="s">
        <v>705</v>
      </c>
      <c r="L3383" s="5" t="str">
        <f>HYPERLINK("https://maps.google.com/?q=17.0731959610717, -97.79008910548788", "🔗 Ver Mapa")</f>
        <v>🔗 Ver Mapa</v>
      </c>
    </row>
    <row r="3384" spans="1:12" ht="43.5" x14ac:dyDescent="0.35">
      <c r="A3384" s="6" t="s">
        <v>98</v>
      </c>
      <c r="B3384" s="6" t="s">
        <v>99</v>
      </c>
      <c r="C3384" s="6" t="s">
        <v>706</v>
      </c>
      <c r="D3384" s="6" t="s">
        <v>14</v>
      </c>
      <c r="E3384" s="6" t="s">
        <v>52</v>
      </c>
      <c r="F3384" s="6" t="s">
        <v>421</v>
      </c>
      <c r="G3384" s="6" t="s">
        <v>707</v>
      </c>
      <c r="H3384" s="6" t="s">
        <v>708</v>
      </c>
      <c r="I3384" s="6" t="s">
        <v>31</v>
      </c>
      <c r="J3384" s="6">
        <v>16.384882000000001</v>
      </c>
      <c r="K3384" s="6">
        <v>-96.840540000000004</v>
      </c>
      <c r="L3384" s="6" t="str">
        <f>HYPERLINK("https://maps.google.com/?q=16.384882,-96.840540000000004", "🔗 Ver Mapa")</f>
        <v>🔗 Ver Mapa</v>
      </c>
    </row>
    <row r="3385" spans="1:12" ht="43.5" x14ac:dyDescent="0.35">
      <c r="A3385" s="5" t="s">
        <v>98</v>
      </c>
      <c r="B3385" s="5" t="s">
        <v>99</v>
      </c>
      <c r="C3385" s="5" t="s">
        <v>706</v>
      </c>
      <c r="D3385" s="5" t="s">
        <v>14</v>
      </c>
      <c r="E3385" s="5" t="s">
        <v>52</v>
      </c>
      <c r="F3385" s="5" t="s">
        <v>421</v>
      </c>
      <c r="G3385" s="5" t="s">
        <v>707</v>
      </c>
      <c r="H3385" s="5" t="s">
        <v>708</v>
      </c>
      <c r="I3385" s="5" t="s">
        <v>31</v>
      </c>
      <c r="J3385" s="5">
        <v>16.385802999999999</v>
      </c>
      <c r="K3385" s="5">
        <v>-96.837928000000005</v>
      </c>
      <c r="L3385" s="5" t="str">
        <f>HYPERLINK("https://maps.google.com/?q=16.385803,-96.837928000000005", "🔗 Ver Mapa")</f>
        <v>🔗 Ver Mapa</v>
      </c>
    </row>
    <row r="3386" spans="1:12" ht="43.5" x14ac:dyDescent="0.35">
      <c r="A3386" s="6" t="s">
        <v>98</v>
      </c>
      <c r="B3386" s="6" t="s">
        <v>99</v>
      </c>
      <c r="C3386" s="6" t="s">
        <v>706</v>
      </c>
      <c r="D3386" s="6" t="s">
        <v>14</v>
      </c>
      <c r="E3386" s="6" t="s">
        <v>52</v>
      </c>
      <c r="F3386" s="6" t="s">
        <v>421</v>
      </c>
      <c r="G3386" s="6" t="s">
        <v>707</v>
      </c>
      <c r="H3386" s="6" t="s">
        <v>708</v>
      </c>
      <c r="I3386" s="6" t="s">
        <v>31</v>
      </c>
      <c r="J3386" s="6">
        <v>16.386614399999999</v>
      </c>
      <c r="K3386" s="6">
        <v>-96.841235299999994</v>
      </c>
      <c r="L3386" s="6" t="str">
        <f>HYPERLINK("https://maps.google.com/?q=16.3866144,-96.841235299999994", "🔗 Ver Mapa")</f>
        <v>🔗 Ver Mapa</v>
      </c>
    </row>
    <row r="3387" spans="1:12" ht="43.5" x14ac:dyDescent="0.35">
      <c r="A3387" s="5" t="s">
        <v>98</v>
      </c>
      <c r="B3387" s="5" t="s">
        <v>99</v>
      </c>
      <c r="C3387" s="5" t="s">
        <v>706</v>
      </c>
      <c r="D3387" s="5" t="s">
        <v>14</v>
      </c>
      <c r="E3387" s="5" t="s">
        <v>52</v>
      </c>
      <c r="F3387" s="5" t="s">
        <v>421</v>
      </c>
      <c r="G3387" s="5" t="s">
        <v>707</v>
      </c>
      <c r="H3387" s="5" t="s">
        <v>708</v>
      </c>
      <c r="I3387" s="5" t="s">
        <v>31</v>
      </c>
      <c r="J3387" s="5">
        <v>16.387236000000001</v>
      </c>
      <c r="K3387" s="5">
        <v>-96.837980000000002</v>
      </c>
      <c r="L3387" s="5" t="str">
        <f>HYPERLINK("https://maps.google.com/?q=16.387236,-96.837980000000002", "🔗 Ver Mapa")</f>
        <v>🔗 Ver Mapa</v>
      </c>
    </row>
    <row r="3388" spans="1:12" ht="43.5" x14ac:dyDescent="0.35">
      <c r="A3388" s="6" t="s">
        <v>98</v>
      </c>
      <c r="B3388" s="6" t="s">
        <v>99</v>
      </c>
      <c r="C3388" s="6" t="s">
        <v>706</v>
      </c>
      <c r="D3388" s="6" t="s">
        <v>14</v>
      </c>
      <c r="E3388" s="6" t="s">
        <v>52</v>
      </c>
      <c r="F3388" s="6" t="s">
        <v>421</v>
      </c>
      <c r="G3388" s="6" t="s">
        <v>707</v>
      </c>
      <c r="H3388" s="6" t="s">
        <v>708</v>
      </c>
      <c r="I3388" s="6" t="s">
        <v>31</v>
      </c>
      <c r="J3388" s="6">
        <v>16.388142999999999</v>
      </c>
      <c r="K3388" s="6">
        <v>-96.847397000000001</v>
      </c>
      <c r="L3388" s="6" t="str">
        <f>HYPERLINK("https://maps.google.com/?q=16.388143,-96.847397000000001", "🔗 Ver Mapa")</f>
        <v>🔗 Ver Mapa</v>
      </c>
    </row>
    <row r="3389" spans="1:12" ht="43.5" x14ac:dyDescent="0.35">
      <c r="A3389" s="5" t="s">
        <v>98</v>
      </c>
      <c r="B3389" s="5" t="s">
        <v>99</v>
      </c>
      <c r="C3389" s="5" t="s">
        <v>706</v>
      </c>
      <c r="D3389" s="5" t="s">
        <v>14</v>
      </c>
      <c r="E3389" s="5" t="s">
        <v>52</v>
      </c>
      <c r="F3389" s="5" t="s">
        <v>421</v>
      </c>
      <c r="G3389" s="5" t="s">
        <v>707</v>
      </c>
      <c r="H3389" s="5" t="s">
        <v>708</v>
      </c>
      <c r="I3389" s="5" t="s">
        <v>31</v>
      </c>
      <c r="J3389" s="5">
        <v>16.390571000000001</v>
      </c>
      <c r="K3389" s="5">
        <v>-96.842175999999995</v>
      </c>
      <c r="L3389" s="5" t="str">
        <f>HYPERLINK("https://maps.google.com/?q=16.390571,-96.842175999999995", "🔗 Ver Mapa")</f>
        <v>🔗 Ver Mapa</v>
      </c>
    </row>
    <row r="3390" spans="1:12" ht="43.5" x14ac:dyDescent="0.35">
      <c r="A3390" s="6" t="s">
        <v>98</v>
      </c>
      <c r="B3390" s="6" t="s">
        <v>99</v>
      </c>
      <c r="C3390" s="6" t="s">
        <v>706</v>
      </c>
      <c r="D3390" s="6" t="s">
        <v>14</v>
      </c>
      <c r="E3390" s="6" t="s">
        <v>52</v>
      </c>
      <c r="F3390" s="6" t="s">
        <v>421</v>
      </c>
      <c r="G3390" s="6" t="s">
        <v>707</v>
      </c>
      <c r="H3390" s="6" t="s">
        <v>708</v>
      </c>
      <c r="I3390" s="6" t="s">
        <v>31</v>
      </c>
      <c r="J3390" s="6">
        <v>16.391832000000001</v>
      </c>
      <c r="K3390" s="6">
        <v>-96.847296</v>
      </c>
      <c r="L3390" s="6" t="str">
        <f>HYPERLINK("https://maps.google.com/?q=16.391832,-96.847296", "🔗 Ver Mapa")</f>
        <v>🔗 Ver Mapa</v>
      </c>
    </row>
    <row r="3391" spans="1:12" ht="43.5" x14ac:dyDescent="0.35">
      <c r="A3391" s="5" t="s">
        <v>98</v>
      </c>
      <c r="B3391" s="5" t="s">
        <v>99</v>
      </c>
      <c r="C3391" s="5" t="s">
        <v>706</v>
      </c>
      <c r="D3391" s="5" t="s">
        <v>14</v>
      </c>
      <c r="E3391" s="5" t="s">
        <v>52</v>
      </c>
      <c r="F3391" s="5" t="s">
        <v>421</v>
      </c>
      <c r="G3391" s="5" t="s">
        <v>707</v>
      </c>
      <c r="H3391" s="5" t="s">
        <v>708</v>
      </c>
      <c r="I3391" s="5" t="s">
        <v>31</v>
      </c>
      <c r="J3391" s="5">
        <v>16.393201999999999</v>
      </c>
      <c r="K3391" s="5">
        <v>-96.848382999999998</v>
      </c>
      <c r="L3391" s="5" t="str">
        <f>HYPERLINK("https://maps.google.com/?q=16.393202,-96.848382999999998", "🔗 Ver Mapa")</f>
        <v>🔗 Ver Mapa</v>
      </c>
    </row>
    <row r="3392" spans="1:12" ht="43.5" x14ac:dyDescent="0.35">
      <c r="A3392" s="6" t="s">
        <v>98</v>
      </c>
      <c r="B3392" s="6" t="s">
        <v>99</v>
      </c>
      <c r="C3392" s="6" t="s">
        <v>706</v>
      </c>
      <c r="D3392" s="6" t="s">
        <v>14</v>
      </c>
      <c r="E3392" s="6" t="s">
        <v>52</v>
      </c>
      <c r="F3392" s="6" t="s">
        <v>421</v>
      </c>
      <c r="G3392" s="6" t="s">
        <v>707</v>
      </c>
      <c r="H3392" s="6" t="s">
        <v>708</v>
      </c>
      <c r="I3392" s="6" t="s">
        <v>31</v>
      </c>
      <c r="J3392" s="6">
        <v>16.396523999999999</v>
      </c>
      <c r="K3392" s="6">
        <v>-96.841009</v>
      </c>
      <c r="L3392" s="6" t="str">
        <f>HYPERLINK("https://maps.google.com/?q=16.396524,-96.841009", "🔗 Ver Mapa")</f>
        <v>🔗 Ver Mapa</v>
      </c>
    </row>
    <row r="3393" spans="1:12" ht="43.5" x14ac:dyDescent="0.35">
      <c r="A3393" s="5" t="s">
        <v>98</v>
      </c>
      <c r="B3393" s="5" t="s">
        <v>99</v>
      </c>
      <c r="C3393" s="5" t="s">
        <v>706</v>
      </c>
      <c r="D3393" s="5" t="s">
        <v>14</v>
      </c>
      <c r="E3393" s="5" t="s">
        <v>52</v>
      </c>
      <c r="F3393" s="5" t="s">
        <v>421</v>
      </c>
      <c r="G3393" s="5" t="s">
        <v>707</v>
      </c>
      <c r="H3393" s="5" t="s">
        <v>708</v>
      </c>
      <c r="I3393" s="5" t="s">
        <v>31</v>
      </c>
      <c r="J3393" s="5">
        <v>16.396623000000002</v>
      </c>
      <c r="K3393" s="5">
        <v>-96.841024000000004</v>
      </c>
      <c r="L3393" s="5" t="str">
        <f>HYPERLINK("https://maps.google.com/?q=16.396623,-96.841024000000004", "🔗 Ver Mapa")</f>
        <v>🔗 Ver Mapa</v>
      </c>
    </row>
    <row r="3394" spans="1:12" ht="43.5" x14ac:dyDescent="0.35">
      <c r="A3394" s="6" t="s">
        <v>98</v>
      </c>
      <c r="B3394" s="6" t="s">
        <v>99</v>
      </c>
      <c r="C3394" s="6" t="s">
        <v>709</v>
      </c>
      <c r="D3394" s="6" t="s">
        <v>14</v>
      </c>
      <c r="E3394" s="6" t="s">
        <v>110</v>
      </c>
      <c r="F3394" s="6" t="s">
        <v>126</v>
      </c>
      <c r="G3394" s="6" t="s">
        <v>609</v>
      </c>
      <c r="H3394" s="6" t="s">
        <v>710</v>
      </c>
      <c r="I3394" s="6" t="s">
        <v>31</v>
      </c>
      <c r="J3394" s="6">
        <v>18.004862119430999</v>
      </c>
      <c r="K3394" s="6">
        <v>-96.641590766503001</v>
      </c>
      <c r="L3394" s="6" t="str">
        <f>HYPERLINK("https://maps.google.com/?q=18.0048621194312,-96.641590766503398", "🔗 Ver Mapa")</f>
        <v>🔗 Ver Mapa</v>
      </c>
    </row>
    <row r="3395" spans="1:12" ht="43.5" x14ac:dyDescent="0.35">
      <c r="A3395" s="5" t="s">
        <v>98</v>
      </c>
      <c r="B3395" s="5" t="s">
        <v>99</v>
      </c>
      <c r="C3395" s="5" t="s">
        <v>709</v>
      </c>
      <c r="D3395" s="5" t="s">
        <v>14</v>
      </c>
      <c r="E3395" s="5" t="s">
        <v>110</v>
      </c>
      <c r="F3395" s="5" t="s">
        <v>126</v>
      </c>
      <c r="G3395" s="5" t="s">
        <v>609</v>
      </c>
      <c r="H3395" s="5" t="s">
        <v>710</v>
      </c>
      <c r="I3395" s="5" t="s">
        <v>31</v>
      </c>
      <c r="J3395" s="5">
        <v>18.005027481705</v>
      </c>
      <c r="K3395" s="5">
        <v>-96.643481166252997</v>
      </c>
      <c r="L3395" s="5" t="str">
        <f>HYPERLINK("https://maps.google.com/?q=18.0050274817049,-96.643481166253096", "🔗 Ver Mapa")</f>
        <v>🔗 Ver Mapa</v>
      </c>
    </row>
    <row r="3396" spans="1:12" ht="43.5" x14ac:dyDescent="0.35">
      <c r="A3396" s="6" t="s">
        <v>98</v>
      </c>
      <c r="B3396" s="6" t="s">
        <v>99</v>
      </c>
      <c r="C3396" s="6" t="s">
        <v>709</v>
      </c>
      <c r="D3396" s="6" t="s">
        <v>14</v>
      </c>
      <c r="E3396" s="6" t="s">
        <v>110</v>
      </c>
      <c r="F3396" s="6" t="s">
        <v>126</v>
      </c>
      <c r="G3396" s="6" t="s">
        <v>609</v>
      </c>
      <c r="H3396" s="6" t="s">
        <v>710</v>
      </c>
      <c r="I3396" s="6" t="s">
        <v>31</v>
      </c>
      <c r="J3396" s="6">
        <v>18.005033640551002</v>
      </c>
      <c r="K3396" s="6">
        <v>-96.643633944775004</v>
      </c>
      <c r="L3396" s="6" t="str">
        <f>HYPERLINK("https://maps.google.com/?q=18.0050336405511,-96.643633944774606", "🔗 Ver Mapa")</f>
        <v>🔗 Ver Mapa</v>
      </c>
    </row>
    <row r="3397" spans="1:12" ht="43.5" x14ac:dyDescent="0.35">
      <c r="A3397" s="5" t="s">
        <v>98</v>
      </c>
      <c r="B3397" s="5" t="s">
        <v>99</v>
      </c>
      <c r="C3397" s="5" t="s">
        <v>709</v>
      </c>
      <c r="D3397" s="5" t="s">
        <v>14</v>
      </c>
      <c r="E3397" s="5" t="s">
        <v>110</v>
      </c>
      <c r="F3397" s="5" t="s">
        <v>126</v>
      </c>
      <c r="G3397" s="5" t="s">
        <v>609</v>
      </c>
      <c r="H3397" s="5" t="s">
        <v>710</v>
      </c>
      <c r="I3397" s="5" t="s">
        <v>31</v>
      </c>
      <c r="J3397" s="5">
        <v>18.005075464527</v>
      </c>
      <c r="K3397" s="5">
        <v>-96.642973312251002</v>
      </c>
      <c r="L3397" s="5" t="str">
        <f>HYPERLINK("https://maps.google.com/?q=18.0050754645273,-96.642973312251101", "🔗 Ver Mapa")</f>
        <v>🔗 Ver Mapa</v>
      </c>
    </row>
    <row r="3398" spans="1:12" ht="43.5" x14ac:dyDescent="0.35">
      <c r="A3398" s="6" t="s">
        <v>98</v>
      </c>
      <c r="B3398" s="6" t="s">
        <v>99</v>
      </c>
      <c r="C3398" s="6" t="s">
        <v>709</v>
      </c>
      <c r="D3398" s="6" t="s">
        <v>14</v>
      </c>
      <c r="E3398" s="6" t="s">
        <v>110</v>
      </c>
      <c r="F3398" s="6" t="s">
        <v>126</v>
      </c>
      <c r="G3398" s="6" t="s">
        <v>609</v>
      </c>
      <c r="H3398" s="6" t="s">
        <v>710</v>
      </c>
      <c r="I3398" s="6" t="s">
        <v>31</v>
      </c>
      <c r="J3398" s="6">
        <v>18.005426308147999</v>
      </c>
      <c r="K3398" s="6">
        <v>-96.641127909803998</v>
      </c>
      <c r="L3398" s="6" t="str">
        <f>HYPERLINK("https://maps.google.com/?q=18.0054263081478,-96.641127909804297", "🔗 Ver Mapa")</f>
        <v>🔗 Ver Mapa</v>
      </c>
    </row>
    <row r="3399" spans="1:12" ht="43.5" x14ac:dyDescent="0.35">
      <c r="A3399" s="5" t="s">
        <v>98</v>
      </c>
      <c r="B3399" s="5" t="s">
        <v>99</v>
      </c>
      <c r="C3399" s="5" t="s">
        <v>709</v>
      </c>
      <c r="D3399" s="5" t="s">
        <v>14</v>
      </c>
      <c r="E3399" s="5" t="s">
        <v>110</v>
      </c>
      <c r="F3399" s="5" t="s">
        <v>126</v>
      </c>
      <c r="G3399" s="5" t="s">
        <v>609</v>
      </c>
      <c r="H3399" s="5" t="s">
        <v>710</v>
      </c>
      <c r="I3399" s="5" t="s">
        <v>31</v>
      </c>
      <c r="J3399" s="5">
        <v>18.005509553688999</v>
      </c>
      <c r="K3399" s="5">
        <v>-96.645681817712003</v>
      </c>
      <c r="L3399" s="5" t="str">
        <f>HYPERLINK("https://maps.google.com/?q=18.005509553689,-96.645681817711804", "🔗 Ver Mapa")</f>
        <v>🔗 Ver Mapa</v>
      </c>
    </row>
    <row r="3400" spans="1:12" ht="43.5" x14ac:dyDescent="0.35">
      <c r="A3400" s="6" t="s">
        <v>98</v>
      </c>
      <c r="B3400" s="6" t="s">
        <v>99</v>
      </c>
      <c r="C3400" s="6" t="s">
        <v>709</v>
      </c>
      <c r="D3400" s="6" t="s">
        <v>14</v>
      </c>
      <c r="E3400" s="6" t="s">
        <v>110</v>
      </c>
      <c r="F3400" s="6" t="s">
        <v>126</v>
      </c>
      <c r="G3400" s="6" t="s">
        <v>609</v>
      </c>
      <c r="H3400" s="6" t="s">
        <v>710</v>
      </c>
      <c r="I3400" s="6" t="s">
        <v>31</v>
      </c>
      <c r="J3400" s="6">
        <v>18.005537520356</v>
      </c>
      <c r="K3400" s="6">
        <v>-96.645155332727995</v>
      </c>
      <c r="L3400" s="6" t="str">
        <f>HYPERLINK("https://maps.google.com/?q=18.0055375203564,-96.645155332728393", "🔗 Ver Mapa")</f>
        <v>🔗 Ver Mapa</v>
      </c>
    </row>
    <row r="3401" spans="1:12" ht="43.5" x14ac:dyDescent="0.35">
      <c r="A3401" s="5" t="s">
        <v>98</v>
      </c>
      <c r="B3401" s="5" t="s">
        <v>99</v>
      </c>
      <c r="C3401" s="5" t="s">
        <v>709</v>
      </c>
      <c r="D3401" s="5" t="s">
        <v>14</v>
      </c>
      <c r="E3401" s="5" t="s">
        <v>110</v>
      </c>
      <c r="F3401" s="5" t="s">
        <v>126</v>
      </c>
      <c r="G3401" s="5" t="s">
        <v>609</v>
      </c>
      <c r="H3401" s="5" t="s">
        <v>710</v>
      </c>
      <c r="I3401" s="5" t="s">
        <v>31</v>
      </c>
      <c r="J3401" s="5">
        <v>18.005606843066001</v>
      </c>
      <c r="K3401" s="5">
        <v>-96.642193173541997</v>
      </c>
      <c r="L3401" s="5" t="str">
        <f>HYPERLINK("https://maps.google.com/?q=18.0056068430661,-96.642193173541799", "🔗 Ver Mapa")</f>
        <v>🔗 Ver Mapa</v>
      </c>
    </row>
    <row r="3402" spans="1:12" ht="43.5" x14ac:dyDescent="0.35">
      <c r="A3402" s="6" t="s">
        <v>98</v>
      </c>
      <c r="B3402" s="6" t="s">
        <v>99</v>
      </c>
      <c r="C3402" s="6" t="s">
        <v>709</v>
      </c>
      <c r="D3402" s="6" t="s">
        <v>14</v>
      </c>
      <c r="E3402" s="6" t="s">
        <v>110</v>
      </c>
      <c r="F3402" s="6" t="s">
        <v>126</v>
      </c>
      <c r="G3402" s="6" t="s">
        <v>609</v>
      </c>
      <c r="H3402" s="6" t="s">
        <v>710</v>
      </c>
      <c r="I3402" s="6" t="s">
        <v>31</v>
      </c>
      <c r="J3402" s="6">
        <v>18.005660680257002</v>
      </c>
      <c r="K3402" s="6">
        <v>-96.642668075342996</v>
      </c>
      <c r="L3402" s="6" t="str">
        <f>HYPERLINK("https://maps.google.com/?q=18.0056606802567,-96.642668075343195", "🔗 Ver Mapa")</f>
        <v>🔗 Ver Mapa</v>
      </c>
    </row>
    <row r="3403" spans="1:12" ht="43.5" x14ac:dyDescent="0.35">
      <c r="A3403" s="5" t="s">
        <v>98</v>
      </c>
      <c r="B3403" s="5" t="s">
        <v>99</v>
      </c>
      <c r="C3403" s="5" t="s">
        <v>709</v>
      </c>
      <c r="D3403" s="5" t="s">
        <v>14</v>
      </c>
      <c r="E3403" s="5" t="s">
        <v>110</v>
      </c>
      <c r="F3403" s="5" t="s">
        <v>126</v>
      </c>
      <c r="G3403" s="5" t="s">
        <v>609</v>
      </c>
      <c r="H3403" s="5" t="s">
        <v>710</v>
      </c>
      <c r="I3403" s="5" t="s">
        <v>31</v>
      </c>
      <c r="J3403" s="5">
        <v>18.005762000000001</v>
      </c>
      <c r="K3403" s="5">
        <v>-96.642459000000002</v>
      </c>
      <c r="L3403" s="5" t="str">
        <f>HYPERLINK("https://maps.google.com/?q=18.005762,-96.642459000000002", "🔗 Ver Mapa")</f>
        <v>🔗 Ver Mapa</v>
      </c>
    </row>
    <row r="3404" spans="1:12" ht="43.5" x14ac:dyDescent="0.35">
      <c r="A3404" s="6" t="s">
        <v>98</v>
      </c>
      <c r="B3404" s="6" t="s">
        <v>99</v>
      </c>
      <c r="C3404" s="6" t="s">
        <v>709</v>
      </c>
      <c r="D3404" s="6" t="s">
        <v>14</v>
      </c>
      <c r="E3404" s="6" t="s">
        <v>110</v>
      </c>
      <c r="F3404" s="6" t="s">
        <v>126</v>
      </c>
      <c r="G3404" s="6" t="s">
        <v>609</v>
      </c>
      <c r="H3404" s="6" t="s">
        <v>710</v>
      </c>
      <c r="I3404" s="6" t="s">
        <v>31</v>
      </c>
      <c r="J3404" s="6">
        <v>18.005936422335001</v>
      </c>
      <c r="K3404" s="6">
        <v>-96.642749510415996</v>
      </c>
      <c r="L3404" s="6" t="str">
        <f>HYPERLINK("https://maps.google.com/?q=18.0059364223351,-96.642749510415996", "🔗 Ver Mapa")</f>
        <v>🔗 Ver Mapa</v>
      </c>
    </row>
    <row r="3405" spans="1:12" ht="43.5" x14ac:dyDescent="0.35">
      <c r="A3405" s="5" t="s">
        <v>98</v>
      </c>
      <c r="B3405" s="5" t="s">
        <v>99</v>
      </c>
      <c r="C3405" s="5" t="s">
        <v>709</v>
      </c>
      <c r="D3405" s="5" t="s">
        <v>14</v>
      </c>
      <c r="E3405" s="5" t="s">
        <v>110</v>
      </c>
      <c r="F3405" s="5" t="s">
        <v>126</v>
      </c>
      <c r="G3405" s="5" t="s">
        <v>609</v>
      </c>
      <c r="H3405" s="5" t="s">
        <v>710</v>
      </c>
      <c r="I3405" s="5" t="s">
        <v>31</v>
      </c>
      <c r="J3405" s="5">
        <v>18.005986659878999</v>
      </c>
      <c r="K3405" s="5">
        <v>-96.644764048952993</v>
      </c>
      <c r="L3405" s="5" t="str">
        <f>HYPERLINK("https://maps.google.com/?q=18.0059866598791,-96.644764048952794", "🔗 Ver Mapa")</f>
        <v>🔗 Ver Mapa</v>
      </c>
    </row>
    <row r="3406" spans="1:12" ht="43.5" x14ac:dyDescent="0.35">
      <c r="A3406" s="6" t="s">
        <v>98</v>
      </c>
      <c r="B3406" s="6" t="s">
        <v>99</v>
      </c>
      <c r="C3406" s="6" t="s">
        <v>709</v>
      </c>
      <c r="D3406" s="6" t="s">
        <v>14</v>
      </c>
      <c r="E3406" s="6" t="s">
        <v>110</v>
      </c>
      <c r="F3406" s="6" t="s">
        <v>126</v>
      </c>
      <c r="G3406" s="6" t="s">
        <v>609</v>
      </c>
      <c r="H3406" s="6" t="s">
        <v>710</v>
      </c>
      <c r="I3406" s="6" t="s">
        <v>31</v>
      </c>
      <c r="J3406" s="6">
        <v>18.006342070203001</v>
      </c>
      <c r="K3406" s="6">
        <v>-96.644107423278996</v>
      </c>
      <c r="L3406" s="6" t="str">
        <f>HYPERLINK("https://maps.google.com/?q=18.0063420702026,-96.644107423278797", "🔗 Ver Mapa")</f>
        <v>🔗 Ver Mapa</v>
      </c>
    </row>
    <row r="3407" spans="1:12" ht="43.5" x14ac:dyDescent="0.35">
      <c r="A3407" s="5" t="s">
        <v>98</v>
      </c>
      <c r="B3407" s="5" t="s">
        <v>99</v>
      </c>
      <c r="C3407" s="5" t="s">
        <v>709</v>
      </c>
      <c r="D3407" s="5" t="s">
        <v>14</v>
      </c>
      <c r="E3407" s="5" t="s">
        <v>110</v>
      </c>
      <c r="F3407" s="5" t="s">
        <v>126</v>
      </c>
      <c r="G3407" s="5" t="s">
        <v>609</v>
      </c>
      <c r="H3407" s="5" t="s">
        <v>710</v>
      </c>
      <c r="I3407" s="5" t="s">
        <v>31</v>
      </c>
      <c r="J3407" s="5">
        <v>18.007002781617</v>
      </c>
      <c r="K3407" s="5">
        <v>-96.644187428503997</v>
      </c>
      <c r="L3407" s="5" t="str">
        <f>HYPERLINK("https://maps.google.com/?q=18.0070027816171,-96.644187428503997", "🔗 Ver Mapa")</f>
        <v>🔗 Ver Mapa</v>
      </c>
    </row>
    <row r="3408" spans="1:12" ht="43.5" x14ac:dyDescent="0.35">
      <c r="A3408" s="6" t="s">
        <v>98</v>
      </c>
      <c r="B3408" s="6" t="s">
        <v>99</v>
      </c>
      <c r="C3408" s="6" t="s">
        <v>709</v>
      </c>
      <c r="D3408" s="6" t="s">
        <v>14</v>
      </c>
      <c r="E3408" s="6" t="s">
        <v>110</v>
      </c>
      <c r="F3408" s="6" t="s">
        <v>126</v>
      </c>
      <c r="G3408" s="6" t="s">
        <v>609</v>
      </c>
      <c r="H3408" s="6" t="s">
        <v>710</v>
      </c>
      <c r="I3408" s="6" t="s">
        <v>31</v>
      </c>
      <c r="J3408" s="6">
        <v>18.007681842164001</v>
      </c>
      <c r="K3408" s="6">
        <v>-96.642938245368995</v>
      </c>
      <c r="L3408" s="6" t="str">
        <f>HYPERLINK("https://maps.google.com/?q=18.0076818421641,-96.642938245368995", "🔗 Ver Mapa")</f>
        <v>🔗 Ver Mapa</v>
      </c>
    </row>
    <row r="3409" spans="1:12" ht="43.5" x14ac:dyDescent="0.35">
      <c r="A3409" s="5" t="s">
        <v>98</v>
      </c>
      <c r="B3409" s="5" t="s">
        <v>99</v>
      </c>
      <c r="C3409" s="5" t="s">
        <v>709</v>
      </c>
      <c r="D3409" s="5" t="s">
        <v>14</v>
      </c>
      <c r="E3409" s="5" t="s">
        <v>110</v>
      </c>
      <c r="F3409" s="5" t="s">
        <v>126</v>
      </c>
      <c r="G3409" s="5" t="s">
        <v>609</v>
      </c>
      <c r="H3409" s="5" t="s">
        <v>710</v>
      </c>
      <c r="I3409" s="5" t="s">
        <v>31</v>
      </c>
      <c r="J3409" s="5">
        <v>18.008631200250001</v>
      </c>
      <c r="K3409" s="5">
        <v>-96.642962605796001</v>
      </c>
      <c r="L3409" s="5" t="str">
        <f>HYPERLINK("https://maps.google.com/?q=18.0086312002504,-96.642962605796299", "🔗 Ver Mapa")</f>
        <v>🔗 Ver Mapa</v>
      </c>
    </row>
    <row r="3410" spans="1:12" ht="43.5" x14ac:dyDescent="0.35">
      <c r="A3410" s="6" t="s">
        <v>98</v>
      </c>
      <c r="B3410" s="6" t="s">
        <v>99</v>
      </c>
      <c r="C3410" s="6" t="s">
        <v>709</v>
      </c>
      <c r="D3410" s="6" t="s">
        <v>14</v>
      </c>
      <c r="E3410" s="6" t="s">
        <v>110</v>
      </c>
      <c r="F3410" s="6" t="s">
        <v>126</v>
      </c>
      <c r="G3410" s="6" t="s">
        <v>609</v>
      </c>
      <c r="H3410" s="6" t="s">
        <v>710</v>
      </c>
      <c r="I3410" s="6" t="s">
        <v>31</v>
      </c>
      <c r="J3410" s="6">
        <v>18.008695353002</v>
      </c>
      <c r="K3410" s="6">
        <v>-96.642909580356999</v>
      </c>
      <c r="L3410" s="6" t="str">
        <f>HYPERLINK("https://maps.google.com/?q=18.0086953530019,-96.642909580356601", "🔗 Ver Mapa")</f>
        <v>🔗 Ver Mapa</v>
      </c>
    </row>
    <row r="3411" spans="1:12" ht="58" x14ac:dyDescent="0.35">
      <c r="A3411" s="5" t="s">
        <v>98</v>
      </c>
      <c r="B3411" s="5" t="s">
        <v>99</v>
      </c>
      <c r="C3411" s="5" t="s">
        <v>711</v>
      </c>
      <c r="D3411" s="5" t="s">
        <v>14</v>
      </c>
      <c r="E3411" s="5" t="s">
        <v>140</v>
      </c>
      <c r="F3411" s="5" t="s">
        <v>141</v>
      </c>
      <c r="G3411" s="5" t="s">
        <v>142</v>
      </c>
      <c r="H3411" s="5" t="s">
        <v>712</v>
      </c>
      <c r="I3411" s="5" t="s">
        <v>31</v>
      </c>
      <c r="J3411" s="5">
        <v>17.816223099999998</v>
      </c>
      <c r="K3411" s="5">
        <v>-96.242368099999993</v>
      </c>
      <c r="L3411" s="5" t="str">
        <f>HYPERLINK("https://maps.google.com/?q=17.8162231,-96.242368099999993", "🔗 Ver Mapa")</f>
        <v>🔗 Ver Mapa</v>
      </c>
    </row>
    <row r="3412" spans="1:12" ht="58" x14ac:dyDescent="0.35">
      <c r="A3412" s="6" t="s">
        <v>98</v>
      </c>
      <c r="B3412" s="6" t="s">
        <v>99</v>
      </c>
      <c r="C3412" s="6" t="s">
        <v>711</v>
      </c>
      <c r="D3412" s="6" t="s">
        <v>14</v>
      </c>
      <c r="E3412" s="6" t="s">
        <v>140</v>
      </c>
      <c r="F3412" s="6" t="s">
        <v>141</v>
      </c>
      <c r="G3412" s="6" t="s">
        <v>142</v>
      </c>
      <c r="H3412" s="6" t="s">
        <v>712</v>
      </c>
      <c r="I3412" s="6" t="s">
        <v>31</v>
      </c>
      <c r="J3412" s="6">
        <v>17.818063599999999</v>
      </c>
      <c r="K3412" s="6">
        <v>-96.243409700000001</v>
      </c>
      <c r="L3412" s="6" t="str">
        <f>HYPERLINK("https://maps.google.com/?q=17.8180636,-96.243409700000001", "🔗 Ver Mapa")</f>
        <v>🔗 Ver Mapa</v>
      </c>
    </row>
    <row r="3413" spans="1:12" ht="58" x14ac:dyDescent="0.35">
      <c r="A3413" s="5" t="s">
        <v>98</v>
      </c>
      <c r="B3413" s="5" t="s">
        <v>99</v>
      </c>
      <c r="C3413" s="5" t="s">
        <v>711</v>
      </c>
      <c r="D3413" s="5" t="s">
        <v>14</v>
      </c>
      <c r="E3413" s="5" t="s">
        <v>140</v>
      </c>
      <c r="F3413" s="5" t="s">
        <v>141</v>
      </c>
      <c r="G3413" s="5" t="s">
        <v>142</v>
      </c>
      <c r="H3413" s="5" t="s">
        <v>712</v>
      </c>
      <c r="I3413" s="5" t="s">
        <v>31</v>
      </c>
      <c r="J3413" s="5">
        <v>17.818140209330998</v>
      </c>
      <c r="K3413" s="5">
        <v>-96.242406553828005</v>
      </c>
      <c r="L3413" s="5" t="str">
        <f>HYPERLINK("https://maps.google.com/?q=17.8181402093307,-96.242406553828303", "🔗 Ver Mapa")</f>
        <v>🔗 Ver Mapa</v>
      </c>
    </row>
    <row r="3414" spans="1:12" ht="58" x14ac:dyDescent="0.35">
      <c r="A3414" s="6" t="s">
        <v>98</v>
      </c>
      <c r="B3414" s="6" t="s">
        <v>99</v>
      </c>
      <c r="C3414" s="6" t="s">
        <v>711</v>
      </c>
      <c r="D3414" s="6" t="s">
        <v>14</v>
      </c>
      <c r="E3414" s="6" t="s">
        <v>140</v>
      </c>
      <c r="F3414" s="6" t="s">
        <v>141</v>
      </c>
      <c r="G3414" s="6" t="s">
        <v>142</v>
      </c>
      <c r="H3414" s="6" t="s">
        <v>712</v>
      </c>
      <c r="I3414" s="6" t="s">
        <v>31</v>
      </c>
      <c r="J3414" s="6">
        <v>17.818161574927</v>
      </c>
      <c r="K3414" s="6">
        <v>-96.241959084103001</v>
      </c>
      <c r="L3414" s="6" t="str">
        <f>HYPERLINK("https://maps.google.com/?q=17.8181615749271,-96.241959084103399", "🔗 Ver Mapa")</f>
        <v>🔗 Ver Mapa</v>
      </c>
    </row>
    <row r="3415" spans="1:12" ht="58" x14ac:dyDescent="0.35">
      <c r="A3415" s="5" t="s">
        <v>98</v>
      </c>
      <c r="B3415" s="5" t="s">
        <v>99</v>
      </c>
      <c r="C3415" s="5" t="s">
        <v>711</v>
      </c>
      <c r="D3415" s="5" t="s">
        <v>14</v>
      </c>
      <c r="E3415" s="5" t="s">
        <v>140</v>
      </c>
      <c r="F3415" s="5" t="s">
        <v>141</v>
      </c>
      <c r="G3415" s="5" t="s">
        <v>142</v>
      </c>
      <c r="H3415" s="5" t="s">
        <v>712</v>
      </c>
      <c r="I3415" s="5" t="s">
        <v>31</v>
      </c>
      <c r="J3415" s="5">
        <v>17.818304999999999</v>
      </c>
      <c r="K3415" s="5">
        <v>-96.242227999999997</v>
      </c>
      <c r="L3415" s="5" t="str">
        <f>HYPERLINK("https://maps.google.com/?q=17.818305,-96.242227999999997", "🔗 Ver Mapa")</f>
        <v>🔗 Ver Mapa</v>
      </c>
    </row>
    <row r="3416" spans="1:12" ht="43.5" x14ac:dyDescent="0.35">
      <c r="A3416" s="6" t="s">
        <v>98</v>
      </c>
      <c r="B3416" s="6" t="s">
        <v>99</v>
      </c>
      <c r="C3416" s="6" t="s">
        <v>713</v>
      </c>
      <c r="D3416" s="6" t="s">
        <v>14</v>
      </c>
      <c r="E3416" s="6" t="s">
        <v>16</v>
      </c>
      <c r="F3416" s="6" t="s">
        <v>19</v>
      </c>
      <c r="G3416" s="6" t="s">
        <v>714</v>
      </c>
      <c r="H3416" s="6" t="s">
        <v>715</v>
      </c>
      <c r="I3416" s="6" t="s">
        <v>31</v>
      </c>
      <c r="J3416" s="6">
        <v>17.633886797683999</v>
      </c>
      <c r="K3416" s="6">
        <v>-97.087551081295999</v>
      </c>
      <c r="L3416" s="6" t="str">
        <f>HYPERLINK("https://maps.google.com/?q=17.6338867976841,-97.0875510812957", "🔗 Ver Mapa")</f>
        <v>🔗 Ver Mapa</v>
      </c>
    </row>
    <row r="3417" spans="1:12" ht="43.5" x14ac:dyDescent="0.35">
      <c r="A3417" s="5" t="s">
        <v>98</v>
      </c>
      <c r="B3417" s="5" t="s">
        <v>99</v>
      </c>
      <c r="C3417" s="5" t="s">
        <v>713</v>
      </c>
      <c r="D3417" s="5" t="s">
        <v>14</v>
      </c>
      <c r="E3417" s="5" t="s">
        <v>16</v>
      </c>
      <c r="F3417" s="5" t="s">
        <v>19</v>
      </c>
      <c r="G3417" s="5" t="s">
        <v>714</v>
      </c>
      <c r="H3417" s="5" t="s">
        <v>715</v>
      </c>
      <c r="I3417" s="5" t="s">
        <v>31</v>
      </c>
      <c r="J3417" s="5">
        <v>17.633963779546999</v>
      </c>
      <c r="K3417" s="5">
        <v>-97.082522600296997</v>
      </c>
      <c r="L3417" s="5" t="str">
        <f>HYPERLINK("https://maps.google.com/?q=17.633963779547,-97.082522600297196", "🔗 Ver Mapa")</f>
        <v>🔗 Ver Mapa</v>
      </c>
    </row>
    <row r="3418" spans="1:12" ht="43.5" x14ac:dyDescent="0.35">
      <c r="A3418" s="6" t="s">
        <v>98</v>
      </c>
      <c r="B3418" s="6" t="s">
        <v>99</v>
      </c>
      <c r="C3418" s="6" t="s">
        <v>713</v>
      </c>
      <c r="D3418" s="6" t="s">
        <v>14</v>
      </c>
      <c r="E3418" s="6" t="s">
        <v>16</v>
      </c>
      <c r="F3418" s="6" t="s">
        <v>19</v>
      </c>
      <c r="G3418" s="6" t="s">
        <v>714</v>
      </c>
      <c r="H3418" s="6" t="s">
        <v>715</v>
      </c>
      <c r="I3418" s="6" t="s">
        <v>31</v>
      </c>
      <c r="J3418" s="6">
        <v>17.634019465083</v>
      </c>
      <c r="K3418" s="6">
        <v>-97.087341026627001</v>
      </c>
      <c r="L3418" s="6" t="str">
        <f>HYPERLINK("https://maps.google.com/?q=17.6340194650833,-97.087341026627001", "🔗 Ver Mapa")</f>
        <v>🔗 Ver Mapa</v>
      </c>
    </row>
    <row r="3419" spans="1:12" ht="43.5" x14ac:dyDescent="0.35">
      <c r="A3419" s="5" t="s">
        <v>98</v>
      </c>
      <c r="B3419" s="5" t="s">
        <v>99</v>
      </c>
      <c r="C3419" s="5" t="s">
        <v>713</v>
      </c>
      <c r="D3419" s="5" t="s">
        <v>14</v>
      </c>
      <c r="E3419" s="5" t="s">
        <v>16</v>
      </c>
      <c r="F3419" s="5" t="s">
        <v>19</v>
      </c>
      <c r="G3419" s="5" t="s">
        <v>714</v>
      </c>
      <c r="H3419" s="5" t="s">
        <v>715</v>
      </c>
      <c r="I3419" s="5" t="s">
        <v>31</v>
      </c>
      <c r="J3419" s="5">
        <v>17.634454207013</v>
      </c>
      <c r="K3419" s="5">
        <v>-97.081019721060997</v>
      </c>
      <c r="L3419" s="5" t="str">
        <f>HYPERLINK("https://maps.google.com/?q=17.634454207013,-97.081019721061196", "🔗 Ver Mapa")</f>
        <v>🔗 Ver Mapa</v>
      </c>
    </row>
    <row r="3420" spans="1:12" ht="43.5" x14ac:dyDescent="0.35">
      <c r="A3420" s="6" t="s">
        <v>98</v>
      </c>
      <c r="B3420" s="6" t="s">
        <v>99</v>
      </c>
      <c r="C3420" s="6" t="s">
        <v>713</v>
      </c>
      <c r="D3420" s="6" t="s">
        <v>14</v>
      </c>
      <c r="E3420" s="6" t="s">
        <v>16</v>
      </c>
      <c r="F3420" s="6" t="s">
        <v>19</v>
      </c>
      <c r="G3420" s="6" t="s">
        <v>714</v>
      </c>
      <c r="H3420" s="6" t="s">
        <v>715</v>
      </c>
      <c r="I3420" s="6" t="s">
        <v>31</v>
      </c>
      <c r="J3420" s="6">
        <v>17.634811518460999</v>
      </c>
      <c r="K3420" s="6">
        <v>-97.080429648290007</v>
      </c>
      <c r="L3420" s="6" t="str">
        <f>HYPERLINK("https://maps.google.com/?q=17.6348115184608,-97.080429648289694", "🔗 Ver Mapa")</f>
        <v>🔗 Ver Mapa</v>
      </c>
    </row>
    <row r="3421" spans="1:12" ht="43.5" x14ac:dyDescent="0.35">
      <c r="A3421" s="5" t="s">
        <v>98</v>
      </c>
      <c r="B3421" s="5" t="s">
        <v>99</v>
      </c>
      <c r="C3421" s="5" t="s">
        <v>716</v>
      </c>
      <c r="D3421" s="5" t="s">
        <v>14</v>
      </c>
      <c r="E3421" s="5" t="s">
        <v>39</v>
      </c>
      <c r="F3421" s="5" t="s">
        <v>353</v>
      </c>
      <c r="G3421" s="5" t="s">
        <v>717</v>
      </c>
      <c r="H3421" s="5" t="s">
        <v>718</v>
      </c>
      <c r="I3421" s="5" t="s">
        <v>31</v>
      </c>
      <c r="J3421" s="5">
        <v>16.193417</v>
      </c>
      <c r="K3421" s="5">
        <v>-96.630330999999998</v>
      </c>
      <c r="L3421" s="5" t="str">
        <f>HYPERLINK("https://maps.google.com/?q=16.193417,-96.630330999999998", "🔗 Ver Mapa")</f>
        <v>🔗 Ver Mapa</v>
      </c>
    </row>
    <row r="3422" spans="1:12" ht="43.5" x14ac:dyDescent="0.35">
      <c r="A3422" s="6" t="s">
        <v>98</v>
      </c>
      <c r="B3422" s="6" t="s">
        <v>99</v>
      </c>
      <c r="C3422" s="6" t="s">
        <v>716</v>
      </c>
      <c r="D3422" s="6" t="s">
        <v>14</v>
      </c>
      <c r="E3422" s="6" t="s">
        <v>39</v>
      </c>
      <c r="F3422" s="6" t="s">
        <v>353</v>
      </c>
      <c r="G3422" s="6" t="s">
        <v>717</v>
      </c>
      <c r="H3422" s="6" t="s">
        <v>718</v>
      </c>
      <c r="I3422" s="6" t="s">
        <v>31</v>
      </c>
      <c r="J3422" s="6">
        <v>16.194331999999999</v>
      </c>
      <c r="K3422" s="6">
        <v>-96.629301999999996</v>
      </c>
      <c r="L3422" s="6" t="str">
        <f>HYPERLINK("https://maps.google.com/?q=16.194332,-96.629301999999996", "🔗 Ver Mapa")</f>
        <v>🔗 Ver Mapa</v>
      </c>
    </row>
    <row r="3423" spans="1:12" ht="43.5" x14ac:dyDescent="0.35">
      <c r="A3423" s="5" t="s">
        <v>98</v>
      </c>
      <c r="B3423" s="5" t="s">
        <v>99</v>
      </c>
      <c r="C3423" s="5" t="s">
        <v>716</v>
      </c>
      <c r="D3423" s="5" t="s">
        <v>14</v>
      </c>
      <c r="E3423" s="5" t="s">
        <v>39</v>
      </c>
      <c r="F3423" s="5" t="s">
        <v>353</v>
      </c>
      <c r="G3423" s="5" t="s">
        <v>717</v>
      </c>
      <c r="H3423" s="5" t="s">
        <v>718</v>
      </c>
      <c r="I3423" s="5" t="s">
        <v>31</v>
      </c>
      <c r="J3423" s="5">
        <v>16.194504999999999</v>
      </c>
      <c r="K3423" s="5">
        <v>-96.629741899999999</v>
      </c>
      <c r="L3423" s="5" t="str">
        <f>HYPERLINK("https://maps.google.com/?q=16.194505,-96.629741899999999", "🔗 Ver Mapa")</f>
        <v>🔗 Ver Mapa</v>
      </c>
    </row>
    <row r="3424" spans="1:12" ht="43.5" x14ac:dyDescent="0.35">
      <c r="A3424" s="6" t="s">
        <v>98</v>
      </c>
      <c r="B3424" s="6" t="s">
        <v>99</v>
      </c>
      <c r="C3424" s="6" t="s">
        <v>716</v>
      </c>
      <c r="D3424" s="6" t="s">
        <v>14</v>
      </c>
      <c r="E3424" s="6" t="s">
        <v>39</v>
      </c>
      <c r="F3424" s="6" t="s">
        <v>353</v>
      </c>
      <c r="G3424" s="6" t="s">
        <v>717</v>
      </c>
      <c r="H3424" s="6" t="s">
        <v>718</v>
      </c>
      <c r="I3424" s="6" t="s">
        <v>31</v>
      </c>
      <c r="J3424" s="6">
        <v>16.195366</v>
      </c>
      <c r="K3424" s="6">
        <v>-96.630150999999998</v>
      </c>
      <c r="L3424" s="6" t="str">
        <f>HYPERLINK("https://maps.google.com/?q=16.195366,-96.630150999999998", "🔗 Ver Mapa")</f>
        <v>🔗 Ver Mapa</v>
      </c>
    </row>
    <row r="3425" spans="1:12" ht="43.5" x14ac:dyDescent="0.35">
      <c r="A3425" s="5" t="s">
        <v>98</v>
      </c>
      <c r="B3425" s="5" t="s">
        <v>99</v>
      </c>
      <c r="C3425" s="5" t="s">
        <v>716</v>
      </c>
      <c r="D3425" s="5" t="s">
        <v>14</v>
      </c>
      <c r="E3425" s="5" t="s">
        <v>39</v>
      </c>
      <c r="F3425" s="5" t="s">
        <v>353</v>
      </c>
      <c r="G3425" s="5" t="s">
        <v>717</v>
      </c>
      <c r="H3425" s="5" t="s">
        <v>718</v>
      </c>
      <c r="I3425" s="5" t="s">
        <v>31</v>
      </c>
      <c r="J3425" s="5">
        <v>16.196546999999999</v>
      </c>
      <c r="K3425" s="5">
        <v>-96.631877000000003</v>
      </c>
      <c r="L3425" s="5" t="str">
        <f>HYPERLINK("https://maps.google.com/?q=16.196547,-96.631877000000003", "🔗 Ver Mapa")</f>
        <v>🔗 Ver Mapa</v>
      </c>
    </row>
    <row r="3426" spans="1:12" ht="43.5" x14ac:dyDescent="0.35">
      <c r="A3426" s="6" t="s">
        <v>98</v>
      </c>
      <c r="B3426" s="6" t="s">
        <v>99</v>
      </c>
      <c r="C3426" s="6" t="s">
        <v>719</v>
      </c>
      <c r="D3426" s="6" t="s">
        <v>14</v>
      </c>
      <c r="E3426" s="6" t="s">
        <v>52</v>
      </c>
      <c r="F3426" s="6" t="s">
        <v>83</v>
      </c>
      <c r="G3426" s="6" t="s">
        <v>669</v>
      </c>
      <c r="H3426" s="6" t="s">
        <v>720</v>
      </c>
      <c r="I3426" s="6" t="s">
        <v>31</v>
      </c>
      <c r="J3426" s="6">
        <v>17.065858919795001</v>
      </c>
      <c r="K3426" s="6">
        <v>-96.960999786347998</v>
      </c>
      <c r="L3426" s="6" t="str">
        <f>HYPERLINK("https://maps.google.com/?q=17.065858919795,-96.960999786347799", "🔗 Ver Mapa")</f>
        <v>🔗 Ver Mapa</v>
      </c>
    </row>
    <row r="3427" spans="1:12" ht="43.5" x14ac:dyDescent="0.35">
      <c r="A3427" s="5" t="s">
        <v>98</v>
      </c>
      <c r="B3427" s="5" t="s">
        <v>99</v>
      </c>
      <c r="C3427" s="5" t="s">
        <v>719</v>
      </c>
      <c r="D3427" s="5" t="s">
        <v>14</v>
      </c>
      <c r="E3427" s="5" t="s">
        <v>52</v>
      </c>
      <c r="F3427" s="5" t="s">
        <v>83</v>
      </c>
      <c r="G3427" s="5" t="s">
        <v>669</v>
      </c>
      <c r="H3427" s="5" t="s">
        <v>720</v>
      </c>
      <c r="I3427" s="5" t="s">
        <v>31</v>
      </c>
      <c r="J3427" s="5">
        <v>17.065956865810001</v>
      </c>
      <c r="K3427" s="5">
        <v>-96.969771861070001</v>
      </c>
      <c r="L3427" s="5" t="str">
        <f>HYPERLINK("https://maps.google.com/?q=17.0659568658104,-96.969771861069702", "🔗 Ver Mapa")</f>
        <v>🔗 Ver Mapa</v>
      </c>
    </row>
    <row r="3428" spans="1:12" ht="43.5" x14ac:dyDescent="0.35">
      <c r="A3428" s="6" t="s">
        <v>98</v>
      </c>
      <c r="B3428" s="6" t="s">
        <v>99</v>
      </c>
      <c r="C3428" s="6" t="s">
        <v>719</v>
      </c>
      <c r="D3428" s="6" t="s">
        <v>14</v>
      </c>
      <c r="E3428" s="6" t="s">
        <v>52</v>
      </c>
      <c r="F3428" s="6" t="s">
        <v>83</v>
      </c>
      <c r="G3428" s="6" t="s">
        <v>669</v>
      </c>
      <c r="H3428" s="6" t="s">
        <v>720</v>
      </c>
      <c r="I3428" s="6" t="s">
        <v>31</v>
      </c>
      <c r="J3428" s="6">
        <v>17.066167611966002</v>
      </c>
      <c r="K3428" s="6">
        <v>-96.973254770680995</v>
      </c>
      <c r="L3428" s="6" t="str">
        <f>HYPERLINK("https://maps.google.com/?q=17.0661676119664,-96.973254770681393", "🔗 Ver Mapa")</f>
        <v>🔗 Ver Mapa</v>
      </c>
    </row>
    <row r="3429" spans="1:12" ht="43.5" x14ac:dyDescent="0.35">
      <c r="A3429" s="5" t="s">
        <v>98</v>
      </c>
      <c r="B3429" s="5" t="s">
        <v>99</v>
      </c>
      <c r="C3429" s="5" t="s">
        <v>719</v>
      </c>
      <c r="D3429" s="5" t="s">
        <v>14</v>
      </c>
      <c r="E3429" s="5" t="s">
        <v>52</v>
      </c>
      <c r="F3429" s="5" t="s">
        <v>83</v>
      </c>
      <c r="G3429" s="5" t="s">
        <v>669</v>
      </c>
      <c r="H3429" s="5" t="s">
        <v>720</v>
      </c>
      <c r="I3429" s="5" t="s">
        <v>31</v>
      </c>
      <c r="J3429" s="5">
        <v>17.066170363521</v>
      </c>
      <c r="K3429" s="5" t="s">
        <v>721</v>
      </c>
      <c r="L3429" s="5" t="str">
        <f>HYPERLINK("https://maps.google.com/?q=17.0661703635211, -96.96251333093542", "🔗 Ver Mapa")</f>
        <v>🔗 Ver Mapa</v>
      </c>
    </row>
    <row r="3430" spans="1:12" ht="43.5" x14ac:dyDescent="0.35">
      <c r="A3430" s="6" t="s">
        <v>98</v>
      </c>
      <c r="B3430" s="6" t="s">
        <v>99</v>
      </c>
      <c r="C3430" s="6" t="s">
        <v>719</v>
      </c>
      <c r="D3430" s="6" t="s">
        <v>14</v>
      </c>
      <c r="E3430" s="6" t="s">
        <v>52</v>
      </c>
      <c r="F3430" s="6" t="s">
        <v>83</v>
      </c>
      <c r="G3430" s="6" t="s">
        <v>669</v>
      </c>
      <c r="H3430" s="6" t="s">
        <v>720</v>
      </c>
      <c r="I3430" s="6" t="s">
        <v>31</v>
      </c>
      <c r="J3430" s="6">
        <v>17.066549999999999</v>
      </c>
      <c r="K3430" s="6">
        <v>-96.969759999999994</v>
      </c>
      <c r="L3430" s="6" t="str">
        <f>HYPERLINK("https://maps.google.com/?q=17.06655,-96.969759999999994", "🔗 Ver Mapa")</f>
        <v>🔗 Ver Mapa</v>
      </c>
    </row>
    <row r="3431" spans="1:12" ht="43.5" x14ac:dyDescent="0.35">
      <c r="A3431" s="5" t="s">
        <v>98</v>
      </c>
      <c r="B3431" s="5" t="s">
        <v>99</v>
      </c>
      <c r="C3431" s="5" t="s">
        <v>719</v>
      </c>
      <c r="D3431" s="5" t="s">
        <v>14</v>
      </c>
      <c r="E3431" s="5" t="s">
        <v>52</v>
      </c>
      <c r="F3431" s="5" t="s">
        <v>83</v>
      </c>
      <c r="G3431" s="5" t="s">
        <v>669</v>
      </c>
      <c r="H3431" s="5" t="s">
        <v>720</v>
      </c>
      <c r="I3431" s="5" t="s">
        <v>31</v>
      </c>
      <c r="J3431" s="5">
        <v>17.066785539076999</v>
      </c>
      <c r="K3431" s="5">
        <v>-96.971080729798999</v>
      </c>
      <c r="L3431" s="5" t="str">
        <f>HYPERLINK("https://maps.google.com/?q=17.0667855390769,-96.971080729798501", "🔗 Ver Mapa")</f>
        <v>🔗 Ver Mapa</v>
      </c>
    </row>
    <row r="3432" spans="1:12" ht="43.5" x14ac:dyDescent="0.35">
      <c r="A3432" s="6" t="s">
        <v>98</v>
      </c>
      <c r="B3432" s="6" t="s">
        <v>99</v>
      </c>
      <c r="C3432" s="6" t="s">
        <v>719</v>
      </c>
      <c r="D3432" s="6" t="s">
        <v>14</v>
      </c>
      <c r="E3432" s="6" t="s">
        <v>52</v>
      </c>
      <c r="F3432" s="6" t="s">
        <v>83</v>
      </c>
      <c r="G3432" s="6" t="s">
        <v>669</v>
      </c>
      <c r="H3432" s="6" t="s">
        <v>720</v>
      </c>
      <c r="I3432" s="6" t="s">
        <v>31</v>
      </c>
      <c r="J3432" s="6">
        <v>17.066875157897002</v>
      </c>
      <c r="K3432" s="6">
        <v>-96.961773608909994</v>
      </c>
      <c r="L3432" s="6" t="str">
        <f>HYPERLINK("https://maps.google.com/?q=17.0668751578965,-96.961773608910406", "🔗 Ver Mapa")</f>
        <v>🔗 Ver Mapa</v>
      </c>
    </row>
    <row r="3433" spans="1:12" ht="43.5" x14ac:dyDescent="0.35">
      <c r="A3433" s="5" t="s">
        <v>98</v>
      </c>
      <c r="B3433" s="5" t="s">
        <v>99</v>
      </c>
      <c r="C3433" s="5" t="s">
        <v>719</v>
      </c>
      <c r="D3433" s="5" t="s">
        <v>14</v>
      </c>
      <c r="E3433" s="5" t="s">
        <v>52</v>
      </c>
      <c r="F3433" s="5" t="s">
        <v>83</v>
      </c>
      <c r="G3433" s="5" t="s">
        <v>669</v>
      </c>
      <c r="H3433" s="5" t="s">
        <v>720</v>
      </c>
      <c r="I3433" s="5" t="s">
        <v>31</v>
      </c>
      <c r="J3433" s="5">
        <v>17.066900569691001</v>
      </c>
      <c r="K3433" s="5">
        <v>-96.968271459806999</v>
      </c>
      <c r="L3433" s="5" t="str">
        <f>HYPERLINK("https://maps.google.com/?q=17.0669005696913,-96.968271459807397", "🔗 Ver Mapa")</f>
        <v>🔗 Ver Mapa</v>
      </c>
    </row>
    <row r="3434" spans="1:12" ht="43.5" x14ac:dyDescent="0.35">
      <c r="A3434" s="6" t="s">
        <v>98</v>
      </c>
      <c r="B3434" s="6" t="s">
        <v>99</v>
      </c>
      <c r="C3434" s="6" t="s">
        <v>719</v>
      </c>
      <c r="D3434" s="6" t="s">
        <v>14</v>
      </c>
      <c r="E3434" s="6" t="s">
        <v>52</v>
      </c>
      <c r="F3434" s="6" t="s">
        <v>83</v>
      </c>
      <c r="G3434" s="6" t="s">
        <v>669</v>
      </c>
      <c r="H3434" s="6" t="s">
        <v>720</v>
      </c>
      <c r="I3434" s="6" t="s">
        <v>31</v>
      </c>
      <c r="J3434" s="6">
        <v>17.067038447102998</v>
      </c>
      <c r="K3434" s="6">
        <v>-96.967701653782996</v>
      </c>
      <c r="L3434" s="6" t="str">
        <f>HYPERLINK("https://maps.google.com/?q=17.0670384471031,-96.967701653783095", "🔗 Ver Mapa")</f>
        <v>🔗 Ver Mapa</v>
      </c>
    </row>
    <row r="3435" spans="1:12" ht="43.5" x14ac:dyDescent="0.35">
      <c r="A3435" s="5" t="s">
        <v>98</v>
      </c>
      <c r="B3435" s="5" t="s">
        <v>99</v>
      </c>
      <c r="C3435" s="5" t="s">
        <v>719</v>
      </c>
      <c r="D3435" s="5" t="s">
        <v>14</v>
      </c>
      <c r="E3435" s="5" t="s">
        <v>52</v>
      </c>
      <c r="F3435" s="5" t="s">
        <v>83</v>
      </c>
      <c r="G3435" s="5" t="s">
        <v>669</v>
      </c>
      <c r="H3435" s="5" t="s">
        <v>720</v>
      </c>
      <c r="I3435" s="5" t="s">
        <v>31</v>
      </c>
      <c r="J3435" s="5">
        <v>17.067131670292</v>
      </c>
      <c r="K3435" s="5">
        <v>-96.974643306041003</v>
      </c>
      <c r="L3435" s="5" t="str">
        <f>HYPERLINK("https://maps.google.com/?q=17.0671316702917,-96.974643306041202", "🔗 Ver Mapa")</f>
        <v>🔗 Ver Mapa</v>
      </c>
    </row>
    <row r="3436" spans="1:12" ht="43.5" x14ac:dyDescent="0.35">
      <c r="A3436" s="6" t="s">
        <v>98</v>
      </c>
      <c r="B3436" s="6" t="s">
        <v>99</v>
      </c>
      <c r="C3436" s="6" t="s">
        <v>719</v>
      </c>
      <c r="D3436" s="6" t="s">
        <v>14</v>
      </c>
      <c r="E3436" s="6" t="s">
        <v>52</v>
      </c>
      <c r="F3436" s="6" t="s">
        <v>83</v>
      </c>
      <c r="G3436" s="6" t="s">
        <v>669</v>
      </c>
      <c r="H3436" s="6" t="s">
        <v>720</v>
      </c>
      <c r="I3436" s="6" t="s">
        <v>31</v>
      </c>
      <c r="J3436" s="6">
        <v>17.067168289000001</v>
      </c>
      <c r="K3436" s="6">
        <v>-96.975022305541003</v>
      </c>
      <c r="L3436" s="6" t="str">
        <f>HYPERLINK("https://maps.google.com/?q=17.0671682890003,-96.975022305540605", "🔗 Ver Mapa")</f>
        <v>🔗 Ver Mapa</v>
      </c>
    </row>
    <row r="3437" spans="1:12" ht="43.5" x14ac:dyDescent="0.35">
      <c r="A3437" s="5" t="s">
        <v>98</v>
      </c>
      <c r="B3437" s="5" t="s">
        <v>99</v>
      </c>
      <c r="C3437" s="5" t="s">
        <v>719</v>
      </c>
      <c r="D3437" s="5" t="s">
        <v>14</v>
      </c>
      <c r="E3437" s="5" t="s">
        <v>52</v>
      </c>
      <c r="F3437" s="5" t="s">
        <v>83</v>
      </c>
      <c r="G3437" s="5" t="s">
        <v>669</v>
      </c>
      <c r="H3437" s="5" t="s">
        <v>720</v>
      </c>
      <c r="I3437" s="5" t="s">
        <v>31</v>
      </c>
      <c r="J3437" s="5">
        <v>17.067219999999999</v>
      </c>
      <c r="K3437" s="5">
        <v>-96.973380000000006</v>
      </c>
      <c r="L3437" s="5" t="str">
        <f>HYPERLINK("https://maps.google.com/?q=17.06722,-96.973380000000006", "🔗 Ver Mapa")</f>
        <v>🔗 Ver Mapa</v>
      </c>
    </row>
    <row r="3438" spans="1:12" ht="43.5" x14ac:dyDescent="0.35">
      <c r="A3438" s="6" t="s">
        <v>98</v>
      </c>
      <c r="B3438" s="6" t="s">
        <v>99</v>
      </c>
      <c r="C3438" s="6" t="s">
        <v>719</v>
      </c>
      <c r="D3438" s="6" t="s">
        <v>14</v>
      </c>
      <c r="E3438" s="6" t="s">
        <v>52</v>
      </c>
      <c r="F3438" s="6" t="s">
        <v>83</v>
      </c>
      <c r="G3438" s="6" t="s">
        <v>669</v>
      </c>
      <c r="H3438" s="6" t="s">
        <v>720</v>
      </c>
      <c r="I3438" s="6" t="s">
        <v>31</v>
      </c>
      <c r="J3438" s="6">
        <v>17.067257467843</v>
      </c>
      <c r="K3438" s="6">
        <v>-96.960813134050994</v>
      </c>
      <c r="L3438" s="6" t="str">
        <f>HYPERLINK("https://maps.google.com/?q=17.0672574678426,-96.960813134051094", "🔗 Ver Mapa")</f>
        <v>🔗 Ver Mapa</v>
      </c>
    </row>
    <row r="3439" spans="1:12" ht="43.5" x14ac:dyDescent="0.35">
      <c r="A3439" s="5" t="s">
        <v>98</v>
      </c>
      <c r="B3439" s="5" t="s">
        <v>99</v>
      </c>
      <c r="C3439" s="5" t="s">
        <v>719</v>
      </c>
      <c r="D3439" s="5" t="s">
        <v>14</v>
      </c>
      <c r="E3439" s="5" t="s">
        <v>52</v>
      </c>
      <c r="F3439" s="5" t="s">
        <v>83</v>
      </c>
      <c r="G3439" s="5" t="s">
        <v>669</v>
      </c>
      <c r="H3439" s="5" t="s">
        <v>720</v>
      </c>
      <c r="I3439" s="5" t="s">
        <v>31</v>
      </c>
      <c r="J3439" s="5">
        <v>17.06728</v>
      </c>
      <c r="K3439" s="5">
        <v>-96.968149999999994</v>
      </c>
      <c r="L3439" s="5" t="str">
        <f>HYPERLINK("https://maps.google.com/?q=17.06728,-96.968149999999994", "🔗 Ver Mapa")</f>
        <v>🔗 Ver Mapa</v>
      </c>
    </row>
    <row r="3440" spans="1:12" ht="43.5" x14ac:dyDescent="0.35">
      <c r="A3440" s="6" t="s">
        <v>98</v>
      </c>
      <c r="B3440" s="6" t="s">
        <v>99</v>
      </c>
      <c r="C3440" s="6" t="s">
        <v>719</v>
      </c>
      <c r="D3440" s="6" t="s">
        <v>14</v>
      </c>
      <c r="E3440" s="6" t="s">
        <v>52</v>
      </c>
      <c r="F3440" s="6" t="s">
        <v>83</v>
      </c>
      <c r="G3440" s="6" t="s">
        <v>669</v>
      </c>
      <c r="H3440" s="6" t="s">
        <v>720</v>
      </c>
      <c r="I3440" s="6" t="s">
        <v>31</v>
      </c>
      <c r="J3440" s="6">
        <v>17.067296442728999</v>
      </c>
      <c r="K3440" s="6" t="s">
        <v>722</v>
      </c>
      <c r="L3440" s="6" t="str">
        <f>HYPERLINK("https://maps.google.com/?q=17.0672964427288, -96.9712725809613", "🔗 Ver Mapa")</f>
        <v>🔗 Ver Mapa</v>
      </c>
    </row>
    <row r="3441" spans="1:12" ht="43.5" x14ac:dyDescent="0.35">
      <c r="A3441" s="5" t="s">
        <v>98</v>
      </c>
      <c r="B3441" s="5" t="s">
        <v>99</v>
      </c>
      <c r="C3441" s="5" t="s">
        <v>719</v>
      </c>
      <c r="D3441" s="5" t="s">
        <v>14</v>
      </c>
      <c r="E3441" s="5" t="s">
        <v>52</v>
      </c>
      <c r="F3441" s="5" t="s">
        <v>83</v>
      </c>
      <c r="G3441" s="5" t="s">
        <v>669</v>
      </c>
      <c r="H3441" s="5" t="s">
        <v>720</v>
      </c>
      <c r="I3441" s="5" t="s">
        <v>31</v>
      </c>
      <c r="J3441" s="5">
        <v>17.067407041311</v>
      </c>
      <c r="K3441" s="5">
        <v>-96.972194487582001</v>
      </c>
      <c r="L3441" s="5" t="str">
        <f>HYPERLINK("https://maps.google.com/?q=17.0674070413113,-96.972194487581802", "🔗 Ver Mapa")</f>
        <v>🔗 Ver Mapa</v>
      </c>
    </row>
    <row r="3442" spans="1:12" ht="43.5" x14ac:dyDescent="0.35">
      <c r="A3442" s="6" t="s">
        <v>98</v>
      </c>
      <c r="B3442" s="6" t="s">
        <v>99</v>
      </c>
      <c r="C3442" s="6" t="s">
        <v>719</v>
      </c>
      <c r="D3442" s="6" t="s">
        <v>14</v>
      </c>
      <c r="E3442" s="6" t="s">
        <v>52</v>
      </c>
      <c r="F3442" s="6" t="s">
        <v>83</v>
      </c>
      <c r="G3442" s="6" t="s">
        <v>669</v>
      </c>
      <c r="H3442" s="6" t="s">
        <v>720</v>
      </c>
      <c r="I3442" s="6" t="s">
        <v>31</v>
      </c>
      <c r="J3442" s="6">
        <v>17.067760206849002</v>
      </c>
      <c r="K3442" s="6">
        <v>-96.975946317668999</v>
      </c>
      <c r="L3442" s="6" t="str">
        <f>HYPERLINK("https://maps.google.com/?q=17.0677602068485,-96.9759463176689", "🔗 Ver Mapa")</f>
        <v>🔗 Ver Mapa</v>
      </c>
    </row>
    <row r="3443" spans="1:12" ht="43.5" x14ac:dyDescent="0.35">
      <c r="A3443" s="5" t="s">
        <v>98</v>
      </c>
      <c r="B3443" s="5" t="s">
        <v>99</v>
      </c>
      <c r="C3443" s="5" t="s">
        <v>719</v>
      </c>
      <c r="D3443" s="5" t="s">
        <v>14</v>
      </c>
      <c r="E3443" s="5" t="s">
        <v>52</v>
      </c>
      <c r="F3443" s="5" t="s">
        <v>83</v>
      </c>
      <c r="G3443" s="5" t="s">
        <v>669</v>
      </c>
      <c r="H3443" s="5" t="s">
        <v>720</v>
      </c>
      <c r="I3443" s="5" t="s">
        <v>31</v>
      </c>
      <c r="J3443" s="5">
        <v>17.067923869333999</v>
      </c>
      <c r="K3443" s="5">
        <v>-96.973622647580996</v>
      </c>
      <c r="L3443" s="5" t="str">
        <f>HYPERLINK("https://maps.google.com/?q=17.0679238693336,-96.973622647581095", "🔗 Ver Mapa")</f>
        <v>🔗 Ver Mapa</v>
      </c>
    </row>
    <row r="3444" spans="1:12" ht="43.5" x14ac:dyDescent="0.35">
      <c r="A3444" s="6" t="s">
        <v>98</v>
      </c>
      <c r="B3444" s="6" t="s">
        <v>99</v>
      </c>
      <c r="C3444" s="6" t="s">
        <v>719</v>
      </c>
      <c r="D3444" s="6" t="s">
        <v>14</v>
      </c>
      <c r="E3444" s="6" t="s">
        <v>52</v>
      </c>
      <c r="F3444" s="6" t="s">
        <v>83</v>
      </c>
      <c r="G3444" s="6" t="s">
        <v>669</v>
      </c>
      <c r="H3444" s="6" t="s">
        <v>720</v>
      </c>
      <c r="I3444" s="6" t="s">
        <v>31</v>
      </c>
      <c r="J3444" s="6">
        <v>17.068106832379002</v>
      </c>
      <c r="K3444" s="6">
        <v>-96.976040483877</v>
      </c>
      <c r="L3444" s="6" t="str">
        <f>HYPERLINK("https://maps.google.com/?q=17.0681068323789,-96.976040483876602", "🔗 Ver Mapa")</f>
        <v>🔗 Ver Mapa</v>
      </c>
    </row>
    <row r="3445" spans="1:12" ht="43.5" x14ac:dyDescent="0.35">
      <c r="A3445" s="5" t="s">
        <v>98</v>
      </c>
      <c r="B3445" s="5" t="s">
        <v>99</v>
      </c>
      <c r="C3445" s="5" t="s">
        <v>719</v>
      </c>
      <c r="D3445" s="5" t="s">
        <v>14</v>
      </c>
      <c r="E3445" s="5" t="s">
        <v>52</v>
      </c>
      <c r="F3445" s="5" t="s">
        <v>83</v>
      </c>
      <c r="G3445" s="5" t="s">
        <v>669</v>
      </c>
      <c r="H3445" s="5" t="s">
        <v>720</v>
      </c>
      <c r="I3445" s="5" t="s">
        <v>31</v>
      </c>
      <c r="J3445" s="5">
        <v>17.068164065737999</v>
      </c>
      <c r="K3445" s="5">
        <v>-96.976086579341995</v>
      </c>
      <c r="L3445" s="5" t="str">
        <f>HYPERLINK("https://maps.google.com/?q=17.0681640657376,-96.976086579342393", "🔗 Ver Mapa")</f>
        <v>🔗 Ver Mapa</v>
      </c>
    </row>
    <row r="3446" spans="1:12" ht="43.5" x14ac:dyDescent="0.35">
      <c r="A3446" s="6" t="s">
        <v>98</v>
      </c>
      <c r="B3446" s="6" t="s">
        <v>99</v>
      </c>
      <c r="C3446" s="6" t="s">
        <v>723</v>
      </c>
      <c r="D3446" s="6" t="s">
        <v>14</v>
      </c>
      <c r="E3446" s="6" t="s">
        <v>39</v>
      </c>
      <c r="F3446" s="6" t="s">
        <v>494</v>
      </c>
      <c r="G3446" s="6" t="s">
        <v>639</v>
      </c>
      <c r="H3446" s="6" t="s">
        <v>724</v>
      </c>
      <c r="I3446" s="6" t="s">
        <v>31</v>
      </c>
      <c r="J3446" s="6">
        <v>16.456023889825001</v>
      </c>
      <c r="K3446" s="6">
        <v>-96.923280730412998</v>
      </c>
      <c r="L3446" s="6" t="str">
        <f>HYPERLINK("https://maps.google.com/?q=16.4560238898246,-96.923280730412998", "🔗 Ver Mapa")</f>
        <v>🔗 Ver Mapa</v>
      </c>
    </row>
    <row r="3447" spans="1:12" ht="43.5" x14ac:dyDescent="0.35">
      <c r="A3447" s="5" t="s">
        <v>98</v>
      </c>
      <c r="B3447" s="5" t="s">
        <v>99</v>
      </c>
      <c r="C3447" s="5" t="s">
        <v>723</v>
      </c>
      <c r="D3447" s="5" t="s">
        <v>14</v>
      </c>
      <c r="E3447" s="5" t="s">
        <v>39</v>
      </c>
      <c r="F3447" s="5" t="s">
        <v>494</v>
      </c>
      <c r="G3447" s="5" t="s">
        <v>639</v>
      </c>
      <c r="H3447" s="5" t="s">
        <v>724</v>
      </c>
      <c r="I3447" s="5" t="s">
        <v>31</v>
      </c>
      <c r="J3447" s="5">
        <v>16.456398316024</v>
      </c>
      <c r="K3447" s="5">
        <v>-96.931567220901002</v>
      </c>
      <c r="L3447" s="5" t="str">
        <f>HYPERLINK("https://maps.google.com/?q=16.4563983160241,-96.931567220901499", "🔗 Ver Mapa")</f>
        <v>🔗 Ver Mapa</v>
      </c>
    </row>
    <row r="3448" spans="1:12" ht="43.5" x14ac:dyDescent="0.35">
      <c r="A3448" s="6" t="s">
        <v>98</v>
      </c>
      <c r="B3448" s="6" t="s">
        <v>99</v>
      </c>
      <c r="C3448" s="6" t="s">
        <v>723</v>
      </c>
      <c r="D3448" s="6" t="s">
        <v>14</v>
      </c>
      <c r="E3448" s="6" t="s">
        <v>39</v>
      </c>
      <c r="F3448" s="6" t="s">
        <v>494</v>
      </c>
      <c r="G3448" s="6" t="s">
        <v>639</v>
      </c>
      <c r="H3448" s="6" t="s">
        <v>724</v>
      </c>
      <c r="I3448" s="6" t="s">
        <v>31</v>
      </c>
      <c r="J3448" s="6">
        <v>16.456812874794998</v>
      </c>
      <c r="K3448" s="6">
        <v>-96.92965579266</v>
      </c>
      <c r="L3448" s="6" t="str">
        <f>HYPERLINK("https://maps.google.com/?q=16.4568128747946,-96.9296557926601", "🔗 Ver Mapa")</f>
        <v>🔗 Ver Mapa</v>
      </c>
    </row>
    <row r="3449" spans="1:12" ht="43.5" x14ac:dyDescent="0.35">
      <c r="A3449" s="5" t="s">
        <v>98</v>
      </c>
      <c r="B3449" s="5" t="s">
        <v>99</v>
      </c>
      <c r="C3449" s="5" t="s">
        <v>723</v>
      </c>
      <c r="D3449" s="5" t="s">
        <v>14</v>
      </c>
      <c r="E3449" s="5" t="s">
        <v>39</v>
      </c>
      <c r="F3449" s="5" t="s">
        <v>494</v>
      </c>
      <c r="G3449" s="5" t="s">
        <v>639</v>
      </c>
      <c r="H3449" s="5" t="s">
        <v>724</v>
      </c>
      <c r="I3449" s="5" t="s">
        <v>31</v>
      </c>
      <c r="J3449" s="5">
        <v>16.456832175662999</v>
      </c>
      <c r="K3449" s="5">
        <v>-96.930182872353001</v>
      </c>
      <c r="L3449" s="5" t="str">
        <f>HYPERLINK("https://maps.google.com/?q=16.4568321756633,-96.930182872352702", "🔗 Ver Mapa")</f>
        <v>🔗 Ver Mapa</v>
      </c>
    </row>
    <row r="3450" spans="1:12" ht="43.5" x14ac:dyDescent="0.35">
      <c r="A3450" s="6" t="s">
        <v>98</v>
      </c>
      <c r="B3450" s="6" t="s">
        <v>99</v>
      </c>
      <c r="C3450" s="6" t="s">
        <v>723</v>
      </c>
      <c r="D3450" s="6" t="s">
        <v>14</v>
      </c>
      <c r="E3450" s="6" t="s">
        <v>39</v>
      </c>
      <c r="F3450" s="6" t="s">
        <v>494</v>
      </c>
      <c r="G3450" s="6" t="s">
        <v>639</v>
      </c>
      <c r="H3450" s="6" t="s">
        <v>724</v>
      </c>
      <c r="I3450" s="6" t="s">
        <v>31</v>
      </c>
      <c r="J3450" s="6">
        <v>16.457100090914</v>
      </c>
      <c r="K3450" s="6">
        <v>-96.930352053898005</v>
      </c>
      <c r="L3450" s="6" t="str">
        <f>HYPERLINK("https://maps.google.com/?q=16.4571000909136,-96.930352053898304", "🔗 Ver Mapa")</f>
        <v>🔗 Ver Mapa</v>
      </c>
    </row>
    <row r="3451" spans="1:12" ht="43.5" x14ac:dyDescent="0.35">
      <c r="A3451" s="5" t="s">
        <v>98</v>
      </c>
      <c r="B3451" s="5" t="s">
        <v>99</v>
      </c>
      <c r="C3451" s="5" t="s">
        <v>723</v>
      </c>
      <c r="D3451" s="5" t="s">
        <v>14</v>
      </c>
      <c r="E3451" s="5" t="s">
        <v>39</v>
      </c>
      <c r="F3451" s="5" t="s">
        <v>494</v>
      </c>
      <c r="G3451" s="5" t="s">
        <v>639</v>
      </c>
      <c r="H3451" s="5" t="s">
        <v>724</v>
      </c>
      <c r="I3451" s="5" t="s">
        <v>31</v>
      </c>
      <c r="J3451" s="5">
        <v>16.457443929806001</v>
      </c>
      <c r="K3451" s="5">
        <v>-96.927706054878001</v>
      </c>
      <c r="L3451" s="5" t="str">
        <f>HYPERLINK("https://maps.google.com/?q=16.4574439298063,-96.927706054878101", "🔗 Ver Mapa")</f>
        <v>🔗 Ver Mapa</v>
      </c>
    </row>
    <row r="3452" spans="1:12" ht="43.5" x14ac:dyDescent="0.35">
      <c r="A3452" s="6" t="s">
        <v>98</v>
      </c>
      <c r="B3452" s="6" t="s">
        <v>99</v>
      </c>
      <c r="C3452" s="6" t="s">
        <v>723</v>
      </c>
      <c r="D3452" s="6" t="s">
        <v>14</v>
      </c>
      <c r="E3452" s="6" t="s">
        <v>39</v>
      </c>
      <c r="F3452" s="6" t="s">
        <v>494</v>
      </c>
      <c r="G3452" s="6" t="s">
        <v>639</v>
      </c>
      <c r="H3452" s="6" t="s">
        <v>724</v>
      </c>
      <c r="I3452" s="6" t="s">
        <v>31</v>
      </c>
      <c r="J3452" s="6">
        <v>16.457455993221</v>
      </c>
      <c r="K3452" s="6">
        <v>-96.929131825726003</v>
      </c>
      <c r="L3452" s="6" t="str">
        <f>HYPERLINK("https://maps.google.com/?q=16.457455993221,-96.929131825725904", "🔗 Ver Mapa")</f>
        <v>🔗 Ver Mapa</v>
      </c>
    </row>
    <row r="3453" spans="1:12" ht="43.5" x14ac:dyDescent="0.35">
      <c r="A3453" s="5" t="s">
        <v>98</v>
      </c>
      <c r="B3453" s="5" t="s">
        <v>99</v>
      </c>
      <c r="C3453" s="5" t="s">
        <v>723</v>
      </c>
      <c r="D3453" s="5" t="s">
        <v>14</v>
      </c>
      <c r="E3453" s="5" t="s">
        <v>39</v>
      </c>
      <c r="F3453" s="5" t="s">
        <v>494</v>
      </c>
      <c r="G3453" s="5" t="s">
        <v>639</v>
      </c>
      <c r="H3453" s="5" t="s">
        <v>724</v>
      </c>
      <c r="I3453" s="5" t="s">
        <v>31</v>
      </c>
      <c r="J3453" s="5">
        <v>16.457596534764001</v>
      </c>
      <c r="K3453" s="5">
        <v>-96.928304798385</v>
      </c>
      <c r="L3453" s="5" t="str">
        <f>HYPERLINK("https://maps.google.com/?q=16.4575965347639,-96.928304798385099", "🔗 Ver Mapa")</f>
        <v>🔗 Ver Mapa</v>
      </c>
    </row>
    <row r="3454" spans="1:12" ht="43.5" x14ac:dyDescent="0.35">
      <c r="A3454" s="6" t="s">
        <v>98</v>
      </c>
      <c r="B3454" s="6" t="s">
        <v>99</v>
      </c>
      <c r="C3454" s="6" t="s">
        <v>723</v>
      </c>
      <c r="D3454" s="6" t="s">
        <v>14</v>
      </c>
      <c r="E3454" s="6" t="s">
        <v>39</v>
      </c>
      <c r="F3454" s="6" t="s">
        <v>494</v>
      </c>
      <c r="G3454" s="6" t="s">
        <v>639</v>
      </c>
      <c r="H3454" s="6" t="s">
        <v>724</v>
      </c>
      <c r="I3454" s="6" t="s">
        <v>31</v>
      </c>
      <c r="J3454" s="6">
        <v>16.458034193644</v>
      </c>
      <c r="K3454" s="6">
        <v>-96.930937478504006</v>
      </c>
      <c r="L3454" s="6" t="str">
        <f>HYPERLINK("https://maps.google.com/?q=16.4580341936442,-96.930937478504404", "🔗 Ver Mapa")</f>
        <v>🔗 Ver Mapa</v>
      </c>
    </row>
    <row r="3455" spans="1:12" ht="43.5" x14ac:dyDescent="0.35">
      <c r="A3455" s="5" t="s">
        <v>98</v>
      </c>
      <c r="B3455" s="5" t="s">
        <v>99</v>
      </c>
      <c r="C3455" s="5" t="s">
        <v>723</v>
      </c>
      <c r="D3455" s="5" t="s">
        <v>14</v>
      </c>
      <c r="E3455" s="5" t="s">
        <v>39</v>
      </c>
      <c r="F3455" s="5" t="s">
        <v>494</v>
      </c>
      <c r="G3455" s="5" t="s">
        <v>639</v>
      </c>
      <c r="H3455" s="5" t="s">
        <v>724</v>
      </c>
      <c r="I3455" s="5" t="s">
        <v>31</v>
      </c>
      <c r="J3455" s="5">
        <v>16.458231891901001</v>
      </c>
      <c r="K3455" s="5">
        <v>-96.929120185181006</v>
      </c>
      <c r="L3455" s="5" t="str">
        <f>HYPERLINK("https://maps.google.com/?q=16.4582318919008,-96.929120185180807", "🔗 Ver Mapa")</f>
        <v>🔗 Ver Mapa</v>
      </c>
    </row>
    <row r="3456" spans="1:12" ht="43.5" x14ac:dyDescent="0.35">
      <c r="A3456" s="6" t="s">
        <v>98</v>
      </c>
      <c r="B3456" s="6" t="s">
        <v>99</v>
      </c>
      <c r="C3456" s="6" t="s">
        <v>723</v>
      </c>
      <c r="D3456" s="6" t="s">
        <v>14</v>
      </c>
      <c r="E3456" s="6" t="s">
        <v>39</v>
      </c>
      <c r="F3456" s="6" t="s">
        <v>494</v>
      </c>
      <c r="G3456" s="6" t="s">
        <v>639</v>
      </c>
      <c r="H3456" s="6" t="s">
        <v>724</v>
      </c>
      <c r="I3456" s="6" t="s">
        <v>31</v>
      </c>
      <c r="J3456" s="6">
        <v>16.459733370315</v>
      </c>
      <c r="K3456" s="6">
        <v>-96.931221126666998</v>
      </c>
      <c r="L3456" s="6" t="str">
        <f>HYPERLINK("https://maps.google.com/?q=16.4597333703151,-96.931221126667396", "🔗 Ver Mapa")</f>
        <v>🔗 Ver Mapa</v>
      </c>
    </row>
    <row r="3457" spans="1:12" ht="43.5" x14ac:dyDescent="0.35">
      <c r="A3457" s="5" t="s">
        <v>98</v>
      </c>
      <c r="B3457" s="5" t="s">
        <v>99</v>
      </c>
      <c r="C3457" s="5" t="s">
        <v>723</v>
      </c>
      <c r="D3457" s="5" t="s">
        <v>14</v>
      </c>
      <c r="E3457" s="5" t="s">
        <v>39</v>
      </c>
      <c r="F3457" s="5" t="s">
        <v>494</v>
      </c>
      <c r="G3457" s="5" t="s">
        <v>639</v>
      </c>
      <c r="H3457" s="5" t="s">
        <v>724</v>
      </c>
      <c r="I3457" s="5" t="s">
        <v>31</v>
      </c>
      <c r="J3457" s="5">
        <v>16.459992357440999</v>
      </c>
      <c r="K3457" s="5">
        <v>-96.931017602108</v>
      </c>
      <c r="L3457" s="5" t="str">
        <f>HYPERLINK("https://maps.google.com/?q=16.4599923574411,-96.931017602108497", "🔗 Ver Mapa")</f>
        <v>🔗 Ver Mapa</v>
      </c>
    </row>
    <row r="3458" spans="1:12" ht="43.5" x14ac:dyDescent="0.35">
      <c r="A3458" s="6" t="s">
        <v>98</v>
      </c>
      <c r="B3458" s="6" t="s">
        <v>99</v>
      </c>
      <c r="C3458" s="6" t="s">
        <v>725</v>
      </c>
      <c r="D3458" s="6" t="s">
        <v>14</v>
      </c>
      <c r="E3458" s="6" t="s">
        <v>39</v>
      </c>
      <c r="F3458" s="6" t="s">
        <v>494</v>
      </c>
      <c r="G3458" s="6" t="s">
        <v>639</v>
      </c>
      <c r="H3458" s="6" t="s">
        <v>726</v>
      </c>
      <c r="I3458" s="6" t="s">
        <v>31</v>
      </c>
      <c r="J3458" s="6">
        <v>16.567708894700001</v>
      </c>
      <c r="K3458" s="6">
        <v>-96.989517295355</v>
      </c>
      <c r="L3458" s="6" t="str">
        <f>HYPERLINK("https://maps.google.com/?q=16.5677088946997,-96.989517295355398", "🔗 Ver Mapa")</f>
        <v>🔗 Ver Mapa</v>
      </c>
    </row>
    <row r="3459" spans="1:12" ht="43.5" x14ac:dyDescent="0.35">
      <c r="A3459" s="5" t="s">
        <v>98</v>
      </c>
      <c r="B3459" s="5" t="s">
        <v>99</v>
      </c>
      <c r="C3459" s="5" t="s">
        <v>725</v>
      </c>
      <c r="D3459" s="5" t="s">
        <v>14</v>
      </c>
      <c r="E3459" s="5" t="s">
        <v>39</v>
      </c>
      <c r="F3459" s="5" t="s">
        <v>494</v>
      </c>
      <c r="G3459" s="5" t="s">
        <v>639</v>
      </c>
      <c r="H3459" s="5" t="s">
        <v>726</v>
      </c>
      <c r="I3459" s="5" t="s">
        <v>31</v>
      </c>
      <c r="J3459" s="5">
        <v>16.569787021621</v>
      </c>
      <c r="K3459" s="5">
        <v>-96.987855419642997</v>
      </c>
      <c r="L3459" s="5" t="str">
        <f>HYPERLINK("https://maps.google.com/?q=16.569787021621,-96.987855419643395", "🔗 Ver Mapa")</f>
        <v>🔗 Ver Mapa</v>
      </c>
    </row>
    <row r="3460" spans="1:12" ht="43.5" x14ac:dyDescent="0.35">
      <c r="A3460" s="6" t="s">
        <v>98</v>
      </c>
      <c r="B3460" s="6" t="s">
        <v>99</v>
      </c>
      <c r="C3460" s="6" t="s">
        <v>725</v>
      </c>
      <c r="D3460" s="6" t="s">
        <v>14</v>
      </c>
      <c r="E3460" s="6" t="s">
        <v>39</v>
      </c>
      <c r="F3460" s="6" t="s">
        <v>494</v>
      </c>
      <c r="G3460" s="6" t="s">
        <v>639</v>
      </c>
      <c r="H3460" s="6" t="s">
        <v>726</v>
      </c>
      <c r="I3460" s="6" t="s">
        <v>31</v>
      </c>
      <c r="J3460" s="6">
        <v>16.572496715242</v>
      </c>
      <c r="K3460" s="6">
        <v>-96.984765798602993</v>
      </c>
      <c r="L3460" s="6" t="str">
        <f>HYPERLINK("https://maps.google.com/?q=16.5724967152423,-96.984765798602794", "🔗 Ver Mapa")</f>
        <v>🔗 Ver Mapa</v>
      </c>
    </row>
    <row r="3461" spans="1:12" ht="43.5" x14ac:dyDescent="0.35">
      <c r="A3461" s="5" t="s">
        <v>98</v>
      </c>
      <c r="B3461" s="5" t="s">
        <v>99</v>
      </c>
      <c r="C3461" s="5" t="s">
        <v>725</v>
      </c>
      <c r="D3461" s="5" t="s">
        <v>14</v>
      </c>
      <c r="E3461" s="5" t="s">
        <v>39</v>
      </c>
      <c r="F3461" s="5" t="s">
        <v>494</v>
      </c>
      <c r="G3461" s="5" t="s">
        <v>639</v>
      </c>
      <c r="H3461" s="5" t="s">
        <v>726</v>
      </c>
      <c r="I3461" s="5" t="s">
        <v>31</v>
      </c>
      <c r="J3461" s="5">
        <v>16.572758935540001</v>
      </c>
      <c r="K3461" s="5">
        <v>-96.985530228171996</v>
      </c>
      <c r="L3461" s="5" t="str">
        <f>HYPERLINK("https://maps.google.com/?q=16.5727589355397,-96.985530228171797", "🔗 Ver Mapa")</f>
        <v>🔗 Ver Mapa</v>
      </c>
    </row>
    <row r="3462" spans="1:12" ht="43.5" x14ac:dyDescent="0.35">
      <c r="A3462" s="6" t="s">
        <v>98</v>
      </c>
      <c r="B3462" s="6" t="s">
        <v>99</v>
      </c>
      <c r="C3462" s="6" t="s">
        <v>725</v>
      </c>
      <c r="D3462" s="6" t="s">
        <v>14</v>
      </c>
      <c r="E3462" s="6" t="s">
        <v>39</v>
      </c>
      <c r="F3462" s="6" t="s">
        <v>494</v>
      </c>
      <c r="G3462" s="6" t="s">
        <v>639</v>
      </c>
      <c r="H3462" s="6" t="s">
        <v>726</v>
      </c>
      <c r="I3462" s="6" t="s">
        <v>31</v>
      </c>
      <c r="J3462" s="6">
        <v>16.573375923067001</v>
      </c>
      <c r="K3462" s="6">
        <v>-96.986578971897003</v>
      </c>
      <c r="L3462" s="6" t="str">
        <f>HYPERLINK("https://maps.google.com/?q=16.5733759230665,-96.986578971896506", "🔗 Ver Mapa")</f>
        <v>🔗 Ver Mapa</v>
      </c>
    </row>
    <row r="3463" spans="1:12" ht="43.5" x14ac:dyDescent="0.35">
      <c r="A3463" s="5" t="s">
        <v>98</v>
      </c>
      <c r="B3463" s="5" t="s">
        <v>99</v>
      </c>
      <c r="C3463" s="5" t="s">
        <v>727</v>
      </c>
      <c r="D3463" s="5" t="s">
        <v>14</v>
      </c>
      <c r="E3463" s="5" t="s">
        <v>39</v>
      </c>
      <c r="F3463" s="5" t="s">
        <v>494</v>
      </c>
      <c r="G3463" s="5" t="s">
        <v>639</v>
      </c>
      <c r="H3463" s="5" t="s">
        <v>728</v>
      </c>
      <c r="I3463" s="5" t="s">
        <v>31</v>
      </c>
      <c r="J3463" s="5">
        <v>16.402618242942999</v>
      </c>
      <c r="K3463" s="5">
        <v>-96.961996901437004</v>
      </c>
      <c r="L3463" s="5" t="str">
        <f>HYPERLINK("https://maps.google.com/?q=16.4026182429428,-96.961996901436706", "🔗 Ver Mapa")</f>
        <v>🔗 Ver Mapa</v>
      </c>
    </row>
    <row r="3464" spans="1:12" ht="43.5" x14ac:dyDescent="0.35">
      <c r="A3464" s="6" t="s">
        <v>98</v>
      </c>
      <c r="B3464" s="6" t="s">
        <v>99</v>
      </c>
      <c r="C3464" s="6" t="s">
        <v>727</v>
      </c>
      <c r="D3464" s="6" t="s">
        <v>14</v>
      </c>
      <c r="E3464" s="6" t="s">
        <v>39</v>
      </c>
      <c r="F3464" s="6" t="s">
        <v>494</v>
      </c>
      <c r="G3464" s="6" t="s">
        <v>639</v>
      </c>
      <c r="H3464" s="6" t="s">
        <v>728</v>
      </c>
      <c r="I3464" s="6" t="s">
        <v>31</v>
      </c>
      <c r="J3464" s="6">
        <v>16.402945019508</v>
      </c>
      <c r="K3464" s="6">
        <v>-96.964502084656004</v>
      </c>
      <c r="L3464" s="6" t="str">
        <f>HYPERLINK("https://maps.google.com/?q=16.4029450195082,-96.964502084655805", "🔗 Ver Mapa")</f>
        <v>🔗 Ver Mapa</v>
      </c>
    </row>
    <row r="3465" spans="1:12" ht="43.5" x14ac:dyDescent="0.35">
      <c r="A3465" s="5" t="s">
        <v>98</v>
      </c>
      <c r="B3465" s="5" t="s">
        <v>99</v>
      </c>
      <c r="C3465" s="5" t="s">
        <v>727</v>
      </c>
      <c r="D3465" s="5" t="s">
        <v>14</v>
      </c>
      <c r="E3465" s="5" t="s">
        <v>39</v>
      </c>
      <c r="F3465" s="5" t="s">
        <v>494</v>
      </c>
      <c r="G3465" s="5" t="s">
        <v>639</v>
      </c>
      <c r="H3465" s="5" t="s">
        <v>728</v>
      </c>
      <c r="I3465" s="5" t="s">
        <v>31</v>
      </c>
      <c r="J3465" s="5">
        <v>16.405226943879999</v>
      </c>
      <c r="K3465" s="5">
        <v>-96.962627890877002</v>
      </c>
      <c r="L3465" s="5" t="str">
        <f>HYPERLINK("https://maps.google.com/?q=16.4052269438803,-96.962627890876803", "🔗 Ver Mapa")</f>
        <v>🔗 Ver Mapa</v>
      </c>
    </row>
    <row r="3466" spans="1:12" ht="43.5" x14ac:dyDescent="0.35">
      <c r="A3466" s="6" t="s">
        <v>98</v>
      </c>
      <c r="B3466" s="6" t="s">
        <v>99</v>
      </c>
      <c r="C3466" s="6" t="s">
        <v>727</v>
      </c>
      <c r="D3466" s="6" t="s">
        <v>14</v>
      </c>
      <c r="E3466" s="6" t="s">
        <v>39</v>
      </c>
      <c r="F3466" s="6" t="s">
        <v>494</v>
      </c>
      <c r="G3466" s="6" t="s">
        <v>639</v>
      </c>
      <c r="H3466" s="6" t="s">
        <v>728</v>
      </c>
      <c r="I3466" s="6" t="s">
        <v>31</v>
      </c>
      <c r="J3466" s="6">
        <v>16.405827118423002</v>
      </c>
      <c r="K3466" s="6">
        <v>-96.962226801257998</v>
      </c>
      <c r="L3466" s="6" t="str">
        <f>HYPERLINK("https://maps.google.com/?q=16.4058271184228,-96.962226801258296", "🔗 Ver Mapa")</f>
        <v>🔗 Ver Mapa</v>
      </c>
    </row>
    <row r="3467" spans="1:12" ht="43.5" x14ac:dyDescent="0.35">
      <c r="A3467" s="5" t="s">
        <v>98</v>
      </c>
      <c r="B3467" s="5" t="s">
        <v>99</v>
      </c>
      <c r="C3467" s="5" t="s">
        <v>727</v>
      </c>
      <c r="D3467" s="5" t="s">
        <v>14</v>
      </c>
      <c r="E3467" s="5" t="s">
        <v>39</v>
      </c>
      <c r="F3467" s="5" t="s">
        <v>494</v>
      </c>
      <c r="G3467" s="5" t="s">
        <v>639</v>
      </c>
      <c r="H3467" s="5" t="s">
        <v>728</v>
      </c>
      <c r="I3467" s="5" t="s">
        <v>31</v>
      </c>
      <c r="J3467" s="5">
        <v>16.406049829063999</v>
      </c>
      <c r="K3467" s="5">
        <v>-96.961901504298993</v>
      </c>
      <c r="L3467" s="5" t="str">
        <f>HYPERLINK("https://maps.google.com/?q=16.4060498290639,-96.961901504299107", "🔗 Ver Mapa")</f>
        <v>🔗 Ver Mapa</v>
      </c>
    </row>
    <row r="3468" spans="1:12" ht="43.5" x14ac:dyDescent="0.35">
      <c r="A3468" s="6" t="s">
        <v>98</v>
      </c>
      <c r="B3468" s="6" t="s">
        <v>99</v>
      </c>
      <c r="C3468" s="6" t="s">
        <v>729</v>
      </c>
      <c r="D3468" s="6" t="s">
        <v>14</v>
      </c>
      <c r="E3468" s="6" t="s">
        <v>16</v>
      </c>
      <c r="F3468" s="6" t="s">
        <v>145</v>
      </c>
      <c r="G3468" s="6" t="s">
        <v>537</v>
      </c>
      <c r="H3468" s="6" t="s">
        <v>646</v>
      </c>
      <c r="I3468" s="6" t="s">
        <v>31</v>
      </c>
      <c r="J3468" s="6">
        <v>17.911033793956001</v>
      </c>
      <c r="K3468" s="6">
        <v>-97.996195256448999</v>
      </c>
      <c r="L3468" s="6" t="str">
        <f>HYPERLINK("https://maps.google.com/?q=17.9110337939556,-97.996195256448701", "🔗 Ver Mapa")</f>
        <v>🔗 Ver Mapa</v>
      </c>
    </row>
    <row r="3469" spans="1:12" ht="43.5" x14ac:dyDescent="0.35">
      <c r="A3469" s="5" t="s">
        <v>98</v>
      </c>
      <c r="B3469" s="5" t="s">
        <v>99</v>
      </c>
      <c r="C3469" s="5" t="s">
        <v>729</v>
      </c>
      <c r="D3469" s="5" t="s">
        <v>14</v>
      </c>
      <c r="E3469" s="5" t="s">
        <v>16</v>
      </c>
      <c r="F3469" s="5" t="s">
        <v>145</v>
      </c>
      <c r="G3469" s="5" t="s">
        <v>537</v>
      </c>
      <c r="H3469" s="5" t="s">
        <v>646</v>
      </c>
      <c r="I3469" s="5" t="s">
        <v>31</v>
      </c>
      <c r="J3469" s="5">
        <v>17.911262500410999</v>
      </c>
      <c r="K3469" s="5">
        <v>-97.996285766865</v>
      </c>
      <c r="L3469" s="5" t="str">
        <f>HYPERLINK("https://maps.google.com/?q=17.9112625004115,-97.996285766864901", "🔗 Ver Mapa")</f>
        <v>🔗 Ver Mapa</v>
      </c>
    </row>
    <row r="3470" spans="1:12" ht="43.5" x14ac:dyDescent="0.35">
      <c r="A3470" s="6" t="s">
        <v>98</v>
      </c>
      <c r="B3470" s="6" t="s">
        <v>99</v>
      </c>
      <c r="C3470" s="6" t="s">
        <v>729</v>
      </c>
      <c r="D3470" s="6" t="s">
        <v>14</v>
      </c>
      <c r="E3470" s="6" t="s">
        <v>16</v>
      </c>
      <c r="F3470" s="6" t="s">
        <v>145</v>
      </c>
      <c r="G3470" s="6" t="s">
        <v>537</v>
      </c>
      <c r="H3470" s="6" t="s">
        <v>646</v>
      </c>
      <c r="I3470" s="6" t="s">
        <v>31</v>
      </c>
      <c r="J3470" s="6">
        <v>17.913286013598999</v>
      </c>
      <c r="K3470" s="6">
        <v>-97.996861172826996</v>
      </c>
      <c r="L3470" s="6" t="str">
        <f>HYPERLINK("https://maps.google.com/?q=17.9132860135989,-97.996861172827494", "🔗 Ver Mapa")</f>
        <v>🔗 Ver Mapa</v>
      </c>
    </row>
    <row r="3471" spans="1:12" ht="43.5" x14ac:dyDescent="0.35">
      <c r="A3471" s="5" t="s">
        <v>98</v>
      </c>
      <c r="B3471" s="5" t="s">
        <v>99</v>
      </c>
      <c r="C3471" s="5" t="s">
        <v>729</v>
      </c>
      <c r="D3471" s="5" t="s">
        <v>14</v>
      </c>
      <c r="E3471" s="5" t="s">
        <v>16</v>
      </c>
      <c r="F3471" s="5" t="s">
        <v>145</v>
      </c>
      <c r="G3471" s="5" t="s">
        <v>537</v>
      </c>
      <c r="H3471" s="5" t="s">
        <v>646</v>
      </c>
      <c r="I3471" s="5" t="s">
        <v>31</v>
      </c>
      <c r="J3471" s="5">
        <v>17.914632738156001</v>
      </c>
      <c r="K3471" s="5">
        <v>-97.998667947257005</v>
      </c>
      <c r="L3471" s="5" t="str">
        <f>HYPERLINK("https://maps.google.com/?q=17.9146327381562,-97.998667947256607", "🔗 Ver Mapa")</f>
        <v>🔗 Ver Mapa</v>
      </c>
    </row>
    <row r="3472" spans="1:12" ht="43.5" x14ac:dyDescent="0.35">
      <c r="A3472" s="6" t="s">
        <v>98</v>
      </c>
      <c r="B3472" s="6" t="s">
        <v>99</v>
      </c>
      <c r="C3472" s="6" t="s">
        <v>729</v>
      </c>
      <c r="D3472" s="6" t="s">
        <v>14</v>
      </c>
      <c r="E3472" s="6" t="s">
        <v>16</v>
      </c>
      <c r="F3472" s="6" t="s">
        <v>145</v>
      </c>
      <c r="G3472" s="6" t="s">
        <v>537</v>
      </c>
      <c r="H3472" s="6" t="s">
        <v>646</v>
      </c>
      <c r="I3472" s="6" t="s">
        <v>31</v>
      </c>
      <c r="J3472" s="6">
        <v>17.914675638239</v>
      </c>
      <c r="K3472" s="6">
        <v>-97.996235543308998</v>
      </c>
      <c r="L3472" s="6" t="str">
        <f>HYPERLINK("https://maps.google.com/?q=17.914675638239,-97.996235543309098", "🔗 Ver Mapa")</f>
        <v>🔗 Ver Mapa</v>
      </c>
    </row>
    <row r="3473" spans="1:12" ht="43.5" x14ac:dyDescent="0.35">
      <c r="A3473" s="5" t="s">
        <v>98</v>
      </c>
      <c r="B3473" s="5" t="s">
        <v>99</v>
      </c>
      <c r="C3473" s="5" t="s">
        <v>729</v>
      </c>
      <c r="D3473" s="5" t="s">
        <v>14</v>
      </c>
      <c r="E3473" s="5" t="s">
        <v>16</v>
      </c>
      <c r="F3473" s="5" t="s">
        <v>145</v>
      </c>
      <c r="G3473" s="5" t="s">
        <v>537</v>
      </c>
      <c r="H3473" s="5" t="s">
        <v>646</v>
      </c>
      <c r="I3473" s="5" t="s">
        <v>31</v>
      </c>
      <c r="J3473" s="5">
        <v>17.915140131449999</v>
      </c>
      <c r="K3473" s="5">
        <v>-97.998115771827997</v>
      </c>
      <c r="L3473" s="5" t="str">
        <f>HYPERLINK("https://maps.google.com/?q=17.9151401314505,-97.998115771827997", "🔗 Ver Mapa")</f>
        <v>🔗 Ver Mapa</v>
      </c>
    </row>
    <row r="3474" spans="1:12" ht="58" x14ac:dyDescent="0.35">
      <c r="A3474" s="6" t="s">
        <v>98</v>
      </c>
      <c r="B3474" s="6" t="s">
        <v>99</v>
      </c>
      <c r="C3474" s="6" t="s">
        <v>730</v>
      </c>
      <c r="D3474" s="6" t="s">
        <v>14</v>
      </c>
      <c r="E3474" s="6" t="s">
        <v>39</v>
      </c>
      <c r="F3474" s="6" t="s">
        <v>494</v>
      </c>
      <c r="G3474" s="6" t="s">
        <v>731</v>
      </c>
      <c r="H3474" s="6" t="s">
        <v>732</v>
      </c>
      <c r="I3474" s="6" t="s">
        <v>31</v>
      </c>
      <c r="J3474" s="6">
        <v>16.744765032711001</v>
      </c>
      <c r="K3474" s="6">
        <v>-97.260417557143001</v>
      </c>
      <c r="L3474" s="6" t="str">
        <f>HYPERLINK("https://maps.google.com/?q=16.7447650327115,-97.260417557142901", "🔗 Ver Mapa")</f>
        <v>🔗 Ver Mapa</v>
      </c>
    </row>
    <row r="3475" spans="1:12" ht="58" x14ac:dyDescent="0.35">
      <c r="A3475" s="5" t="s">
        <v>98</v>
      </c>
      <c r="B3475" s="5" t="s">
        <v>99</v>
      </c>
      <c r="C3475" s="5" t="s">
        <v>730</v>
      </c>
      <c r="D3475" s="5" t="s">
        <v>14</v>
      </c>
      <c r="E3475" s="5" t="s">
        <v>39</v>
      </c>
      <c r="F3475" s="5" t="s">
        <v>494</v>
      </c>
      <c r="G3475" s="5" t="s">
        <v>731</v>
      </c>
      <c r="H3475" s="5" t="s">
        <v>732</v>
      </c>
      <c r="I3475" s="5" t="s">
        <v>31</v>
      </c>
      <c r="J3475" s="5">
        <v>16.74543687333</v>
      </c>
      <c r="K3475" s="5">
        <v>-97.263822043979005</v>
      </c>
      <c r="L3475" s="5" t="str">
        <f>HYPERLINK("https://maps.google.com/?q=16.7454368733298,-97.263822043979005", "🔗 Ver Mapa")</f>
        <v>🔗 Ver Mapa</v>
      </c>
    </row>
    <row r="3476" spans="1:12" ht="58" x14ac:dyDescent="0.35">
      <c r="A3476" s="6" t="s">
        <v>98</v>
      </c>
      <c r="B3476" s="6" t="s">
        <v>99</v>
      </c>
      <c r="C3476" s="6" t="s">
        <v>730</v>
      </c>
      <c r="D3476" s="6" t="s">
        <v>14</v>
      </c>
      <c r="E3476" s="6" t="s">
        <v>39</v>
      </c>
      <c r="F3476" s="6" t="s">
        <v>494</v>
      </c>
      <c r="G3476" s="6" t="s">
        <v>731</v>
      </c>
      <c r="H3476" s="6" t="s">
        <v>732</v>
      </c>
      <c r="I3476" s="6" t="s">
        <v>31</v>
      </c>
      <c r="J3476" s="6">
        <v>16.746397149858002</v>
      </c>
      <c r="K3476" s="6">
        <v>-97.263448309547002</v>
      </c>
      <c r="L3476" s="6" t="str">
        <f>HYPERLINK("https://maps.google.com/?q=16.7463971498576,-97.263448309546703", "🔗 Ver Mapa")</f>
        <v>🔗 Ver Mapa</v>
      </c>
    </row>
    <row r="3477" spans="1:12" ht="58" x14ac:dyDescent="0.35">
      <c r="A3477" s="5" t="s">
        <v>98</v>
      </c>
      <c r="B3477" s="5" t="s">
        <v>99</v>
      </c>
      <c r="C3477" s="5" t="s">
        <v>730</v>
      </c>
      <c r="D3477" s="5" t="s">
        <v>14</v>
      </c>
      <c r="E3477" s="5" t="s">
        <v>39</v>
      </c>
      <c r="F3477" s="5" t="s">
        <v>494</v>
      </c>
      <c r="G3477" s="5" t="s">
        <v>731</v>
      </c>
      <c r="H3477" s="5" t="s">
        <v>732</v>
      </c>
      <c r="I3477" s="5" t="s">
        <v>31</v>
      </c>
      <c r="J3477" s="5">
        <v>16.746538000000001</v>
      </c>
      <c r="K3477" s="5">
        <v>-97.263938999999993</v>
      </c>
      <c r="L3477" s="5" t="str">
        <f>HYPERLINK("https://maps.google.com/?q=16.746538,-97.263938999999993", "🔗 Ver Mapa")</f>
        <v>🔗 Ver Mapa</v>
      </c>
    </row>
    <row r="3478" spans="1:12" ht="58" x14ac:dyDescent="0.35">
      <c r="A3478" s="6" t="s">
        <v>98</v>
      </c>
      <c r="B3478" s="6" t="s">
        <v>99</v>
      </c>
      <c r="C3478" s="6" t="s">
        <v>730</v>
      </c>
      <c r="D3478" s="6" t="s">
        <v>14</v>
      </c>
      <c r="E3478" s="6" t="s">
        <v>39</v>
      </c>
      <c r="F3478" s="6" t="s">
        <v>494</v>
      </c>
      <c r="G3478" s="6" t="s">
        <v>731</v>
      </c>
      <c r="H3478" s="6" t="s">
        <v>732</v>
      </c>
      <c r="I3478" s="6" t="s">
        <v>31</v>
      </c>
      <c r="J3478" s="6">
        <v>16.746628950639</v>
      </c>
      <c r="K3478" s="6">
        <v>-97.263104038674001</v>
      </c>
      <c r="L3478" s="6" t="str">
        <f>HYPERLINK("https://maps.google.com/?q=16.7466289506394,-97.2631040386743", "🔗 Ver Mapa")</f>
        <v>🔗 Ver Mapa</v>
      </c>
    </row>
    <row r="3479" spans="1:12" ht="58" x14ac:dyDescent="0.35">
      <c r="A3479" s="5" t="s">
        <v>98</v>
      </c>
      <c r="B3479" s="5" t="s">
        <v>99</v>
      </c>
      <c r="C3479" s="5" t="s">
        <v>730</v>
      </c>
      <c r="D3479" s="5" t="s">
        <v>14</v>
      </c>
      <c r="E3479" s="5" t="s">
        <v>39</v>
      </c>
      <c r="F3479" s="5" t="s">
        <v>494</v>
      </c>
      <c r="G3479" s="5" t="s">
        <v>731</v>
      </c>
      <c r="H3479" s="5" t="s">
        <v>732</v>
      </c>
      <c r="I3479" s="5" t="s">
        <v>31</v>
      </c>
      <c r="J3479" s="5">
        <v>16.746639999999999</v>
      </c>
      <c r="K3479" s="5">
        <v>-97.267313000000001</v>
      </c>
      <c r="L3479" s="5" t="str">
        <f>HYPERLINK("https://maps.google.com/?q=16.74664,-97.267313000000001", "🔗 Ver Mapa")</f>
        <v>🔗 Ver Mapa</v>
      </c>
    </row>
    <row r="3480" spans="1:12" ht="58" x14ac:dyDescent="0.35">
      <c r="A3480" s="6" t="s">
        <v>98</v>
      </c>
      <c r="B3480" s="6" t="s">
        <v>99</v>
      </c>
      <c r="C3480" s="6" t="s">
        <v>730</v>
      </c>
      <c r="D3480" s="6" t="s">
        <v>14</v>
      </c>
      <c r="E3480" s="6" t="s">
        <v>39</v>
      </c>
      <c r="F3480" s="6" t="s">
        <v>494</v>
      </c>
      <c r="G3480" s="6" t="s">
        <v>731</v>
      </c>
      <c r="H3480" s="6" t="s">
        <v>732</v>
      </c>
      <c r="I3480" s="6" t="s">
        <v>31</v>
      </c>
      <c r="J3480" s="6">
        <v>16.746760344931999</v>
      </c>
      <c r="K3480" s="6">
        <v>-97.263256955768995</v>
      </c>
      <c r="L3480" s="6" t="str">
        <f>HYPERLINK("https://maps.google.com/?q=16.7467603449316,-97.263256955769293", "🔗 Ver Mapa")</f>
        <v>🔗 Ver Mapa</v>
      </c>
    </row>
    <row r="3481" spans="1:12" ht="58" x14ac:dyDescent="0.35">
      <c r="A3481" s="5" t="s">
        <v>98</v>
      </c>
      <c r="B3481" s="5" t="s">
        <v>99</v>
      </c>
      <c r="C3481" s="5" t="s">
        <v>730</v>
      </c>
      <c r="D3481" s="5" t="s">
        <v>14</v>
      </c>
      <c r="E3481" s="5" t="s">
        <v>39</v>
      </c>
      <c r="F3481" s="5" t="s">
        <v>494</v>
      </c>
      <c r="G3481" s="5" t="s">
        <v>731</v>
      </c>
      <c r="H3481" s="5" t="s">
        <v>732</v>
      </c>
      <c r="I3481" s="5" t="s">
        <v>31</v>
      </c>
      <c r="J3481" s="5">
        <v>16.746950999999999</v>
      </c>
      <c r="K3481" s="5">
        <v>-97.263445000000004</v>
      </c>
      <c r="L3481" s="5" t="str">
        <f>HYPERLINK("https://maps.google.com/?q=16.746951,-97.263445000000004", "🔗 Ver Mapa")</f>
        <v>🔗 Ver Mapa</v>
      </c>
    </row>
    <row r="3482" spans="1:12" ht="58" x14ac:dyDescent="0.35">
      <c r="A3482" s="6" t="s">
        <v>98</v>
      </c>
      <c r="B3482" s="6" t="s">
        <v>99</v>
      </c>
      <c r="C3482" s="6" t="s">
        <v>730</v>
      </c>
      <c r="D3482" s="6" t="s">
        <v>14</v>
      </c>
      <c r="E3482" s="6" t="s">
        <v>39</v>
      </c>
      <c r="F3482" s="6" t="s">
        <v>494</v>
      </c>
      <c r="G3482" s="6" t="s">
        <v>731</v>
      </c>
      <c r="H3482" s="6" t="s">
        <v>732</v>
      </c>
      <c r="I3482" s="6" t="s">
        <v>31</v>
      </c>
      <c r="J3482" s="6">
        <v>16.747120462190001</v>
      </c>
      <c r="K3482" s="6">
        <v>-97.265148272283994</v>
      </c>
      <c r="L3482" s="6" t="str">
        <f>HYPERLINK("https://maps.google.com/?q=16.7471204621904,-97.265148272284307", "🔗 Ver Mapa")</f>
        <v>🔗 Ver Mapa</v>
      </c>
    </row>
    <row r="3483" spans="1:12" ht="58" x14ac:dyDescent="0.35">
      <c r="A3483" s="5" t="s">
        <v>98</v>
      </c>
      <c r="B3483" s="5" t="s">
        <v>99</v>
      </c>
      <c r="C3483" s="5" t="s">
        <v>730</v>
      </c>
      <c r="D3483" s="5" t="s">
        <v>14</v>
      </c>
      <c r="E3483" s="5" t="s">
        <v>39</v>
      </c>
      <c r="F3483" s="5" t="s">
        <v>494</v>
      </c>
      <c r="G3483" s="5" t="s">
        <v>731</v>
      </c>
      <c r="H3483" s="5" t="s">
        <v>732</v>
      </c>
      <c r="I3483" s="5" t="s">
        <v>31</v>
      </c>
      <c r="J3483" s="5">
        <v>16.747370345955002</v>
      </c>
      <c r="K3483" s="5">
        <v>-97.263130896174999</v>
      </c>
      <c r="L3483" s="5" t="str">
        <f>HYPERLINK("https://maps.google.com/?q=16.7473703459545,-97.2631308961749", "🔗 Ver Mapa")</f>
        <v>🔗 Ver Mapa</v>
      </c>
    </row>
    <row r="3484" spans="1:12" ht="58" x14ac:dyDescent="0.35">
      <c r="A3484" s="6" t="s">
        <v>98</v>
      </c>
      <c r="B3484" s="6" t="s">
        <v>99</v>
      </c>
      <c r="C3484" s="6" t="s">
        <v>730</v>
      </c>
      <c r="D3484" s="6" t="s">
        <v>14</v>
      </c>
      <c r="E3484" s="6" t="s">
        <v>39</v>
      </c>
      <c r="F3484" s="6" t="s">
        <v>494</v>
      </c>
      <c r="G3484" s="6" t="s">
        <v>731</v>
      </c>
      <c r="H3484" s="6" t="s">
        <v>732</v>
      </c>
      <c r="I3484" s="6" t="s">
        <v>31</v>
      </c>
      <c r="J3484" s="6">
        <v>16.747517775656</v>
      </c>
      <c r="K3484" s="6">
        <v>-97.259903680641003</v>
      </c>
      <c r="L3484" s="6" t="str">
        <f>HYPERLINK("https://maps.google.com/?q=16.7475177756561,-97.259903680641202", "🔗 Ver Mapa")</f>
        <v>🔗 Ver Mapa</v>
      </c>
    </row>
    <row r="3485" spans="1:12" ht="58" x14ac:dyDescent="0.35">
      <c r="A3485" s="5" t="s">
        <v>98</v>
      </c>
      <c r="B3485" s="5" t="s">
        <v>99</v>
      </c>
      <c r="C3485" s="5" t="s">
        <v>730</v>
      </c>
      <c r="D3485" s="5" t="s">
        <v>14</v>
      </c>
      <c r="E3485" s="5" t="s">
        <v>39</v>
      </c>
      <c r="F3485" s="5" t="s">
        <v>494</v>
      </c>
      <c r="G3485" s="5" t="s">
        <v>731</v>
      </c>
      <c r="H3485" s="5" t="s">
        <v>732</v>
      </c>
      <c r="I3485" s="5" t="s">
        <v>31</v>
      </c>
      <c r="J3485" s="5">
        <v>16.747606000000001</v>
      </c>
      <c r="K3485" s="5">
        <v>-97.259159999999994</v>
      </c>
      <c r="L3485" s="5" t="str">
        <f>HYPERLINK("https://maps.google.com/?q=16.747606,-97.259159999999994", "🔗 Ver Mapa")</f>
        <v>🔗 Ver Mapa</v>
      </c>
    </row>
    <row r="3486" spans="1:12" ht="58" x14ac:dyDescent="0.35">
      <c r="A3486" s="6" t="s">
        <v>98</v>
      </c>
      <c r="B3486" s="6" t="s">
        <v>99</v>
      </c>
      <c r="C3486" s="6" t="s">
        <v>730</v>
      </c>
      <c r="D3486" s="6" t="s">
        <v>14</v>
      </c>
      <c r="E3486" s="6" t="s">
        <v>39</v>
      </c>
      <c r="F3486" s="6" t="s">
        <v>494</v>
      </c>
      <c r="G3486" s="6" t="s">
        <v>731</v>
      </c>
      <c r="H3486" s="6" t="s">
        <v>732</v>
      </c>
      <c r="I3486" s="6" t="s">
        <v>31</v>
      </c>
      <c r="J3486" s="6">
        <v>16.74813</v>
      </c>
      <c r="K3486" s="6">
        <v>-97.260816000000005</v>
      </c>
      <c r="L3486" s="6" t="str">
        <f>HYPERLINK("https://maps.google.com/?q=16.74813,-97.260816000000005", "🔗 Ver Mapa")</f>
        <v>🔗 Ver Mapa</v>
      </c>
    </row>
    <row r="3487" spans="1:12" ht="58" x14ac:dyDescent="0.35">
      <c r="A3487" s="5" t="s">
        <v>98</v>
      </c>
      <c r="B3487" s="5" t="s">
        <v>99</v>
      </c>
      <c r="C3487" s="5" t="s">
        <v>730</v>
      </c>
      <c r="D3487" s="5" t="s">
        <v>14</v>
      </c>
      <c r="E3487" s="5" t="s">
        <v>39</v>
      </c>
      <c r="F3487" s="5" t="s">
        <v>494</v>
      </c>
      <c r="G3487" s="5" t="s">
        <v>731</v>
      </c>
      <c r="H3487" s="5" t="s">
        <v>732</v>
      </c>
      <c r="I3487" s="5" t="s">
        <v>31</v>
      </c>
      <c r="J3487" s="5">
        <v>16.748304741977002</v>
      </c>
      <c r="K3487" s="5">
        <v>-97.267311758003004</v>
      </c>
      <c r="L3487" s="5" t="str">
        <f>HYPERLINK("https://maps.google.com/?q=16.7483047419769,-97.267311758003302", "🔗 Ver Mapa")</f>
        <v>🔗 Ver Mapa</v>
      </c>
    </row>
    <row r="3488" spans="1:12" ht="58" x14ac:dyDescent="0.35">
      <c r="A3488" s="6" t="s">
        <v>98</v>
      </c>
      <c r="B3488" s="6" t="s">
        <v>99</v>
      </c>
      <c r="C3488" s="6" t="s">
        <v>730</v>
      </c>
      <c r="D3488" s="6" t="s">
        <v>14</v>
      </c>
      <c r="E3488" s="6" t="s">
        <v>39</v>
      </c>
      <c r="F3488" s="6" t="s">
        <v>494</v>
      </c>
      <c r="G3488" s="6" t="s">
        <v>731</v>
      </c>
      <c r="H3488" s="6" t="s">
        <v>732</v>
      </c>
      <c r="I3488" s="6" t="s">
        <v>31</v>
      </c>
      <c r="J3488" s="6">
        <v>16.748610859151</v>
      </c>
      <c r="K3488" s="6">
        <v>-97.265514072754002</v>
      </c>
      <c r="L3488" s="6" t="str">
        <f>HYPERLINK("https://maps.google.com/?q=16.7486108591511,-97.265514072753902", "🔗 Ver Mapa")</f>
        <v>🔗 Ver Mapa</v>
      </c>
    </row>
    <row r="3489" spans="1:12" ht="43.5" x14ac:dyDescent="0.35">
      <c r="A3489" s="5" t="s">
        <v>98</v>
      </c>
      <c r="B3489" s="5" t="s">
        <v>99</v>
      </c>
      <c r="C3489" s="5" t="s">
        <v>733</v>
      </c>
      <c r="D3489" s="5" t="s">
        <v>14</v>
      </c>
      <c r="E3489" s="5" t="s">
        <v>39</v>
      </c>
      <c r="F3489" s="5" t="s">
        <v>353</v>
      </c>
      <c r="G3489" s="5" t="s">
        <v>734</v>
      </c>
      <c r="H3489" s="5" t="s">
        <v>735</v>
      </c>
      <c r="I3489" s="5" t="s">
        <v>31</v>
      </c>
      <c r="J3489" s="5">
        <v>16.492791</v>
      </c>
      <c r="K3489" s="5">
        <v>-96.552263999999994</v>
      </c>
      <c r="L3489" s="5" t="str">
        <f>HYPERLINK("https://maps.google.com/?q=16.492791,-96.552263999999994", "🔗 Ver Mapa")</f>
        <v>🔗 Ver Mapa</v>
      </c>
    </row>
    <row r="3490" spans="1:12" ht="43.5" x14ac:dyDescent="0.35">
      <c r="A3490" s="6" t="s">
        <v>98</v>
      </c>
      <c r="B3490" s="6" t="s">
        <v>99</v>
      </c>
      <c r="C3490" s="6" t="s">
        <v>733</v>
      </c>
      <c r="D3490" s="6" t="s">
        <v>14</v>
      </c>
      <c r="E3490" s="6" t="s">
        <v>39</v>
      </c>
      <c r="F3490" s="6" t="s">
        <v>353</v>
      </c>
      <c r="G3490" s="6" t="s">
        <v>734</v>
      </c>
      <c r="H3490" s="6" t="s">
        <v>735</v>
      </c>
      <c r="I3490" s="6" t="s">
        <v>31</v>
      </c>
      <c r="J3490" s="6">
        <v>16.495965999999999</v>
      </c>
      <c r="K3490" s="6">
        <v>-96.549633</v>
      </c>
      <c r="L3490" s="6" t="str">
        <f>HYPERLINK("https://maps.google.com/?q=16.495966,-96.549633", "🔗 Ver Mapa")</f>
        <v>🔗 Ver Mapa</v>
      </c>
    </row>
    <row r="3491" spans="1:12" ht="43.5" x14ac:dyDescent="0.35">
      <c r="A3491" s="5" t="s">
        <v>98</v>
      </c>
      <c r="B3491" s="5" t="s">
        <v>99</v>
      </c>
      <c r="C3491" s="5" t="s">
        <v>733</v>
      </c>
      <c r="D3491" s="5" t="s">
        <v>14</v>
      </c>
      <c r="E3491" s="5" t="s">
        <v>39</v>
      </c>
      <c r="F3491" s="5" t="s">
        <v>353</v>
      </c>
      <c r="G3491" s="5" t="s">
        <v>734</v>
      </c>
      <c r="H3491" s="5" t="s">
        <v>735</v>
      </c>
      <c r="I3491" s="5" t="s">
        <v>31</v>
      </c>
      <c r="J3491" s="5">
        <v>16.49607</v>
      </c>
      <c r="K3491" s="5">
        <v>-96.550099000000003</v>
      </c>
      <c r="L3491" s="5" t="str">
        <f>HYPERLINK("https://maps.google.com/?q=16.49607,-96.550099000000003", "🔗 Ver Mapa")</f>
        <v>🔗 Ver Mapa</v>
      </c>
    </row>
    <row r="3492" spans="1:12" ht="43.5" x14ac:dyDescent="0.35">
      <c r="A3492" s="6" t="s">
        <v>98</v>
      </c>
      <c r="B3492" s="6" t="s">
        <v>99</v>
      </c>
      <c r="C3492" s="6" t="s">
        <v>733</v>
      </c>
      <c r="D3492" s="6" t="s">
        <v>14</v>
      </c>
      <c r="E3492" s="6" t="s">
        <v>39</v>
      </c>
      <c r="F3492" s="6" t="s">
        <v>353</v>
      </c>
      <c r="G3492" s="6" t="s">
        <v>734</v>
      </c>
      <c r="H3492" s="6" t="s">
        <v>735</v>
      </c>
      <c r="I3492" s="6" t="s">
        <v>31</v>
      </c>
      <c r="J3492" s="6">
        <v>16.496255000000001</v>
      </c>
      <c r="K3492" s="6">
        <v>-96.549824999999998</v>
      </c>
      <c r="L3492" s="6" t="str">
        <f>HYPERLINK("https://maps.google.com/?q=16.496255,-96.549824999999998", "🔗 Ver Mapa")</f>
        <v>🔗 Ver Mapa</v>
      </c>
    </row>
    <row r="3493" spans="1:12" ht="43.5" x14ac:dyDescent="0.35">
      <c r="A3493" s="5" t="s">
        <v>98</v>
      </c>
      <c r="B3493" s="5" t="s">
        <v>99</v>
      </c>
      <c r="C3493" s="5" t="s">
        <v>733</v>
      </c>
      <c r="D3493" s="5" t="s">
        <v>14</v>
      </c>
      <c r="E3493" s="5" t="s">
        <v>39</v>
      </c>
      <c r="F3493" s="5" t="s">
        <v>353</v>
      </c>
      <c r="G3493" s="5" t="s">
        <v>734</v>
      </c>
      <c r="H3493" s="5" t="s">
        <v>735</v>
      </c>
      <c r="I3493" s="5" t="s">
        <v>31</v>
      </c>
      <c r="J3493" s="5">
        <v>16.496908000000001</v>
      </c>
      <c r="K3493" s="5">
        <v>-96.5504581</v>
      </c>
      <c r="L3493" s="5" t="str">
        <f>HYPERLINK("https://maps.google.com/?q=16.496908,-96.5504581", "🔗 Ver Mapa")</f>
        <v>🔗 Ver Mapa</v>
      </c>
    </row>
    <row r="3494" spans="1:12" ht="58" x14ac:dyDescent="0.35">
      <c r="A3494" s="6" t="s">
        <v>73</v>
      </c>
      <c r="B3494" s="6" t="s">
        <v>74</v>
      </c>
      <c r="C3494" s="6" t="s">
        <v>736</v>
      </c>
      <c r="D3494" s="6" t="s">
        <v>76</v>
      </c>
      <c r="E3494" s="6" t="s">
        <v>158</v>
      </c>
      <c r="F3494" s="6" t="s">
        <v>159</v>
      </c>
      <c r="G3494" s="6" t="s">
        <v>278</v>
      </c>
      <c r="H3494" s="6" t="s">
        <v>279</v>
      </c>
      <c r="I3494" s="6" t="s">
        <v>31</v>
      </c>
      <c r="J3494" s="6">
        <v>16.444791980659001</v>
      </c>
      <c r="K3494" s="6">
        <v>-95.014763268408998</v>
      </c>
      <c r="L3494" s="6" t="str">
        <f>HYPERLINK("https://maps.google.com/?q=16.444791980658856,-95.0147632684085", "🔗 Ver Mapa")</f>
        <v>🔗 Ver Mapa</v>
      </c>
    </row>
    <row r="3495" spans="1:12" ht="43.5" x14ac:dyDescent="0.35">
      <c r="A3495" s="5" t="s">
        <v>333</v>
      </c>
      <c r="B3495" s="5" t="s">
        <v>334</v>
      </c>
      <c r="C3495" s="5" t="s">
        <v>737</v>
      </c>
      <c r="D3495" s="5" t="s">
        <v>336</v>
      </c>
      <c r="E3495" s="5" t="s">
        <v>52</v>
      </c>
      <c r="F3495" s="5" t="s">
        <v>70</v>
      </c>
      <c r="G3495" s="5" t="s">
        <v>71</v>
      </c>
      <c r="H3495" s="5" t="s">
        <v>72</v>
      </c>
      <c r="I3495" s="5" t="s">
        <v>31</v>
      </c>
      <c r="J3495" s="5">
        <v>17.071544120502999</v>
      </c>
      <c r="K3495" s="5">
        <v>-96.715912270784997</v>
      </c>
      <c r="L3495" s="5" t="str">
        <f>HYPERLINK("https://maps.google.com/?q=17.07154412050349,-96.7159122707850", "🔗 Ver Mapa")</f>
        <v>🔗 Ver Mapa</v>
      </c>
    </row>
    <row r="3496" spans="1:12" ht="43.5" x14ac:dyDescent="0.35">
      <c r="A3496" s="6" t="s">
        <v>333</v>
      </c>
      <c r="B3496" s="6" t="s">
        <v>334</v>
      </c>
      <c r="C3496" s="6" t="s">
        <v>737</v>
      </c>
      <c r="D3496" s="6" t="s">
        <v>336</v>
      </c>
      <c r="E3496" s="6" t="s">
        <v>52</v>
      </c>
      <c r="F3496" s="6" t="s">
        <v>70</v>
      </c>
      <c r="G3496" s="6" t="s">
        <v>71</v>
      </c>
      <c r="H3496" s="6" t="s">
        <v>72</v>
      </c>
      <c r="I3496" s="6" t="s">
        <v>31</v>
      </c>
      <c r="J3496" s="6">
        <v>17.071544120502999</v>
      </c>
      <c r="K3496" s="6">
        <v>-96.715912270784997</v>
      </c>
      <c r="L3496" s="6" t="str">
        <f>HYPERLINK("https://maps.google.com/?q=17.07154412050349,-96.7159122707850", "🔗 Ver Mapa")</f>
        <v>🔗 Ver Mapa</v>
      </c>
    </row>
    <row r="3497" spans="1:12" ht="43.5" x14ac:dyDescent="0.35">
      <c r="A3497" s="5" t="s">
        <v>333</v>
      </c>
      <c r="B3497" s="5" t="s">
        <v>334</v>
      </c>
      <c r="C3497" s="5" t="s">
        <v>737</v>
      </c>
      <c r="D3497" s="5" t="s">
        <v>336</v>
      </c>
      <c r="E3497" s="5" t="s">
        <v>52</v>
      </c>
      <c r="F3497" s="5" t="s">
        <v>70</v>
      </c>
      <c r="G3497" s="5" t="s">
        <v>71</v>
      </c>
      <c r="H3497" s="5" t="s">
        <v>72</v>
      </c>
      <c r="I3497" s="5" t="s">
        <v>31</v>
      </c>
      <c r="J3497" s="5">
        <v>17.071544120502999</v>
      </c>
      <c r="K3497" s="5">
        <v>-96.715912270784997</v>
      </c>
      <c r="L3497" s="5" t="str">
        <f>HYPERLINK("https://maps.google.com/?q=17.07154412050349,-96.7159122707850", "🔗 Ver Mapa")</f>
        <v>🔗 Ver Mapa</v>
      </c>
    </row>
    <row r="3498" spans="1:12" ht="43.5" x14ac:dyDescent="0.35">
      <c r="A3498" s="6" t="s">
        <v>333</v>
      </c>
      <c r="B3498" s="6" t="s">
        <v>334</v>
      </c>
      <c r="C3498" s="6" t="s">
        <v>737</v>
      </c>
      <c r="D3498" s="6" t="s">
        <v>336</v>
      </c>
      <c r="E3498" s="6" t="s">
        <v>52</v>
      </c>
      <c r="F3498" s="6" t="s">
        <v>70</v>
      </c>
      <c r="G3498" s="6" t="s">
        <v>71</v>
      </c>
      <c r="H3498" s="6" t="s">
        <v>72</v>
      </c>
      <c r="I3498" s="6" t="s">
        <v>31</v>
      </c>
      <c r="J3498" s="6">
        <v>17.071544120502999</v>
      </c>
      <c r="K3498" s="6">
        <v>-96.715912270784997</v>
      </c>
      <c r="L3498" s="6" t="str">
        <f>HYPERLINK("https://maps.google.com/?q=17.07154412050349,-96.7159122707850", "🔗 Ver Mapa")</f>
        <v>🔗 Ver Mapa</v>
      </c>
    </row>
    <row r="3499" spans="1:12" ht="29" x14ac:dyDescent="0.35">
      <c r="A3499" s="5" t="s">
        <v>396</v>
      </c>
      <c r="B3499" s="5" t="s">
        <v>397</v>
      </c>
      <c r="C3499" s="5" t="s">
        <v>738</v>
      </c>
      <c r="D3499" s="5" t="s">
        <v>399</v>
      </c>
      <c r="E3499" s="5" t="s">
        <v>158</v>
      </c>
      <c r="F3499" s="5" t="s">
        <v>159</v>
      </c>
      <c r="G3499" s="5" t="s">
        <v>739</v>
      </c>
      <c r="H3499" s="5" t="s">
        <v>740</v>
      </c>
      <c r="I3499" s="5" t="s">
        <v>31</v>
      </c>
      <c r="J3499" s="5">
        <v>16.50376</v>
      </c>
      <c r="K3499" s="5">
        <v>-95.055880000000002</v>
      </c>
      <c r="L3499" s="5" t="str">
        <f>HYPERLINK("https://maps.google.com/?q=16.50376,-95.05588", "🔗 Ver Mapa")</f>
        <v>🔗 Ver Mapa</v>
      </c>
    </row>
    <row r="3500" spans="1:12" ht="43.5" x14ac:dyDescent="0.35">
      <c r="A3500" s="6" t="s">
        <v>66</v>
      </c>
      <c r="B3500" s="6" t="s">
        <v>67</v>
      </c>
      <c r="C3500" s="6" t="s">
        <v>68</v>
      </c>
      <c r="D3500" s="6" t="s">
        <v>69</v>
      </c>
      <c r="E3500" s="6" t="s">
        <v>52</v>
      </c>
      <c r="F3500" s="6" t="s">
        <v>70</v>
      </c>
      <c r="G3500" s="6" t="s">
        <v>71</v>
      </c>
      <c r="H3500" s="6" t="s">
        <v>72</v>
      </c>
      <c r="I3500" s="6" t="s">
        <v>31</v>
      </c>
      <c r="J3500" s="6">
        <v>17.078447594107999</v>
      </c>
      <c r="K3500" s="6">
        <v>-96.711226860438998</v>
      </c>
      <c r="L3500" s="6" t="str">
        <f>HYPERLINK("https://maps.google.com/?q=17.0784475941075,-96.71122686043876", "🔗 Ver Mapa")</f>
        <v>🔗 Ver Mapa</v>
      </c>
    </row>
    <row r="3501" spans="1:12" ht="43.5" x14ac:dyDescent="0.35">
      <c r="A3501" s="5" t="s">
        <v>339</v>
      </c>
      <c r="B3501" s="5" t="s">
        <v>340</v>
      </c>
      <c r="C3501" s="5" t="s">
        <v>741</v>
      </c>
      <c r="D3501" s="5" t="s">
        <v>342</v>
      </c>
      <c r="E3501" s="5" t="s">
        <v>39</v>
      </c>
      <c r="F3501" s="5" t="s">
        <v>353</v>
      </c>
      <c r="G3501" s="5" t="s">
        <v>742</v>
      </c>
      <c r="H3501" s="5" t="s">
        <v>743</v>
      </c>
      <c r="I3501" s="5" t="s">
        <v>31</v>
      </c>
      <c r="J3501" s="5">
        <v>16.143746</v>
      </c>
      <c r="K3501" s="5">
        <v>-96.448530000000005</v>
      </c>
      <c r="L3501" s="5" t="str">
        <f>HYPERLINK("https://maps.google.com/?q=16.143746,-96.448530", "🔗 Ver Mapa")</f>
        <v>🔗 Ver Mapa</v>
      </c>
    </row>
    <row r="3502" spans="1:12" ht="43.5" x14ac:dyDescent="0.35">
      <c r="A3502" s="6" t="s">
        <v>288</v>
      </c>
      <c r="B3502" s="6" t="s">
        <v>289</v>
      </c>
      <c r="C3502" s="6" t="s">
        <v>744</v>
      </c>
      <c r="D3502" s="6" t="s">
        <v>745</v>
      </c>
      <c r="E3502" s="6" t="s">
        <v>17</v>
      </c>
      <c r="F3502" s="6" t="s">
        <v>20</v>
      </c>
      <c r="G3502" s="6" t="s">
        <v>208</v>
      </c>
      <c r="H3502" s="6" t="s">
        <v>468</v>
      </c>
      <c r="I3502" s="6" t="s">
        <v>469</v>
      </c>
      <c r="J3502" s="6">
        <v>15.770099907818</v>
      </c>
      <c r="K3502" s="6">
        <v>-96.152604487923</v>
      </c>
      <c r="L3502" s="6" t="str">
        <f>HYPERLINK("https://maps.google.com/?q=15.770099907817526,-96.152604487923114", "🔗 Ver Mapa")</f>
        <v>🔗 Ver Mapa</v>
      </c>
    </row>
    <row r="3503" spans="1:12" ht="43.5" x14ac:dyDescent="0.35">
      <c r="A3503" s="5" t="s">
        <v>288</v>
      </c>
      <c r="B3503" s="5" t="s">
        <v>289</v>
      </c>
      <c r="C3503" s="5" t="s">
        <v>744</v>
      </c>
      <c r="D3503" s="5" t="s">
        <v>745</v>
      </c>
      <c r="E3503" s="5" t="s">
        <v>17</v>
      </c>
      <c r="F3503" s="5" t="s">
        <v>20</v>
      </c>
      <c r="G3503" s="5" t="s">
        <v>208</v>
      </c>
      <c r="H3503" s="5" t="s">
        <v>468</v>
      </c>
      <c r="I3503" s="5" t="s">
        <v>469</v>
      </c>
      <c r="J3503" s="5">
        <v>15.770372011232</v>
      </c>
      <c r="K3503" s="5">
        <v>-96.153384078241999</v>
      </c>
      <c r="L3503" s="5" t="str">
        <f>HYPERLINK("https://maps.google.com/?q=15.770372011231588,-96.15338407824197", "🔗 Ver Mapa")</f>
        <v>🔗 Ver Mapa</v>
      </c>
    </row>
    <row r="3504" spans="1:12" ht="43.5" x14ac:dyDescent="0.35">
      <c r="A3504" s="6" t="s">
        <v>288</v>
      </c>
      <c r="B3504" s="6" t="s">
        <v>289</v>
      </c>
      <c r="C3504" s="6" t="s">
        <v>744</v>
      </c>
      <c r="D3504" s="6" t="s">
        <v>745</v>
      </c>
      <c r="E3504" s="6" t="s">
        <v>17</v>
      </c>
      <c r="F3504" s="6" t="s">
        <v>20</v>
      </c>
      <c r="G3504" s="6" t="s">
        <v>208</v>
      </c>
      <c r="H3504" s="6" t="s">
        <v>468</v>
      </c>
      <c r="I3504" s="6" t="s">
        <v>469</v>
      </c>
      <c r="J3504" s="6">
        <v>15.770577366285</v>
      </c>
      <c r="K3504" s="6">
        <v>-96.152513888258994</v>
      </c>
      <c r="L3504" s="6" t="str">
        <f>HYPERLINK("https://maps.google.com/?q=15.770577366285025,-96.152513888259065", "🔗 Ver Mapa")</f>
        <v>🔗 Ver Mapa</v>
      </c>
    </row>
    <row r="3505" spans="1:12" ht="43.5" x14ac:dyDescent="0.35">
      <c r="A3505" s="5" t="s">
        <v>288</v>
      </c>
      <c r="B3505" s="5" t="s">
        <v>289</v>
      </c>
      <c r="C3505" s="5" t="s">
        <v>744</v>
      </c>
      <c r="D3505" s="5" t="s">
        <v>745</v>
      </c>
      <c r="E3505" s="5" t="s">
        <v>17</v>
      </c>
      <c r="F3505" s="5" t="s">
        <v>20</v>
      </c>
      <c r="G3505" s="5" t="s">
        <v>208</v>
      </c>
      <c r="H3505" s="5" t="s">
        <v>468</v>
      </c>
      <c r="I3505" s="5" t="s">
        <v>469</v>
      </c>
      <c r="J3505" s="5">
        <v>15.770726946356</v>
      </c>
      <c r="K3505" s="5">
        <v>-96.150833108666006</v>
      </c>
      <c r="L3505" s="5" t="str">
        <f>HYPERLINK("https://maps.google.com/?q=15.770726946355866,-96.150833108665992", "🔗 Ver Mapa")</f>
        <v>🔗 Ver Mapa</v>
      </c>
    </row>
    <row r="3506" spans="1:12" ht="43.5" x14ac:dyDescent="0.35">
      <c r="A3506" s="6" t="s">
        <v>288</v>
      </c>
      <c r="B3506" s="6" t="s">
        <v>289</v>
      </c>
      <c r="C3506" s="6" t="s">
        <v>744</v>
      </c>
      <c r="D3506" s="6" t="s">
        <v>745</v>
      </c>
      <c r="E3506" s="6" t="s">
        <v>17</v>
      </c>
      <c r="F3506" s="6" t="s">
        <v>20</v>
      </c>
      <c r="G3506" s="6" t="s">
        <v>208</v>
      </c>
      <c r="H3506" s="6" t="s">
        <v>468</v>
      </c>
      <c r="I3506" s="6" t="s">
        <v>469</v>
      </c>
      <c r="J3506" s="6">
        <v>15.770983778688</v>
      </c>
      <c r="K3506" s="6">
        <v>-96.149757023502005</v>
      </c>
      <c r="L3506" s="6" t="str">
        <f>HYPERLINK("https://maps.google.com/?q=15.770983778687938,-96.149757023502104", "🔗 Ver Mapa")</f>
        <v>🔗 Ver Mapa</v>
      </c>
    </row>
    <row r="3507" spans="1:12" ht="43.5" x14ac:dyDescent="0.35">
      <c r="A3507" s="5" t="s">
        <v>288</v>
      </c>
      <c r="B3507" s="5" t="s">
        <v>289</v>
      </c>
      <c r="C3507" s="5" t="s">
        <v>744</v>
      </c>
      <c r="D3507" s="5" t="s">
        <v>745</v>
      </c>
      <c r="E3507" s="5" t="s">
        <v>17</v>
      </c>
      <c r="F3507" s="5" t="s">
        <v>20</v>
      </c>
      <c r="G3507" s="5" t="s">
        <v>208</v>
      </c>
      <c r="H3507" s="5" t="s">
        <v>468</v>
      </c>
      <c r="I3507" s="5" t="s">
        <v>469</v>
      </c>
      <c r="J3507" s="5">
        <v>15.771040737291999</v>
      </c>
      <c r="K3507" s="5">
        <v>-96.148590469997998</v>
      </c>
      <c r="L3507" s="5" t="str">
        <f>HYPERLINK("https://maps.google.com/?q=15.771040737292195,-96.148590469997757", "🔗 Ver Mapa")</f>
        <v>🔗 Ver Mapa</v>
      </c>
    </row>
    <row r="3508" spans="1:12" ht="43.5" x14ac:dyDescent="0.35">
      <c r="A3508" s="6" t="s">
        <v>288</v>
      </c>
      <c r="B3508" s="6" t="s">
        <v>289</v>
      </c>
      <c r="C3508" s="6" t="s">
        <v>744</v>
      </c>
      <c r="D3508" s="6" t="s">
        <v>745</v>
      </c>
      <c r="E3508" s="6" t="s">
        <v>17</v>
      </c>
      <c r="F3508" s="6" t="s">
        <v>20</v>
      </c>
      <c r="G3508" s="6" t="s">
        <v>208</v>
      </c>
      <c r="H3508" s="6" t="s">
        <v>468</v>
      </c>
      <c r="I3508" s="6" t="s">
        <v>469</v>
      </c>
      <c r="J3508" s="6">
        <v>15.771579441904001</v>
      </c>
      <c r="K3508" s="6">
        <v>-96.148349786815004</v>
      </c>
      <c r="L3508" s="6" t="str">
        <f>HYPERLINK("https://maps.google.com/?q=15.771579441904228,-96.148349786814606", "🔗 Ver Mapa")</f>
        <v>🔗 Ver Mapa</v>
      </c>
    </row>
    <row r="3509" spans="1:12" ht="43.5" x14ac:dyDescent="0.35">
      <c r="A3509" s="5" t="s">
        <v>288</v>
      </c>
      <c r="B3509" s="5" t="s">
        <v>289</v>
      </c>
      <c r="C3509" s="5" t="s">
        <v>744</v>
      </c>
      <c r="D3509" s="5" t="s">
        <v>745</v>
      </c>
      <c r="E3509" s="5" t="s">
        <v>17</v>
      </c>
      <c r="F3509" s="5" t="s">
        <v>20</v>
      </c>
      <c r="G3509" s="5" t="s">
        <v>208</v>
      </c>
      <c r="H3509" s="5" t="s">
        <v>468</v>
      </c>
      <c r="I3509" s="5" t="s">
        <v>469</v>
      </c>
      <c r="J3509" s="5">
        <v>15.772147993772</v>
      </c>
      <c r="K3509" s="5">
        <v>-96.153834924782998</v>
      </c>
      <c r="L3509" s="5" t="str">
        <f>HYPERLINK("https://maps.google.com/?q=15.772147993771743,-96.153834924782785", "🔗 Ver Mapa")</f>
        <v>🔗 Ver Mapa</v>
      </c>
    </row>
    <row r="3510" spans="1:12" ht="43.5" x14ac:dyDescent="0.35">
      <c r="A3510" s="6" t="s">
        <v>288</v>
      </c>
      <c r="B3510" s="6" t="s">
        <v>289</v>
      </c>
      <c r="C3510" s="6" t="s">
        <v>744</v>
      </c>
      <c r="D3510" s="6" t="s">
        <v>745</v>
      </c>
      <c r="E3510" s="6" t="s">
        <v>17</v>
      </c>
      <c r="F3510" s="6" t="s">
        <v>20</v>
      </c>
      <c r="G3510" s="6" t="s">
        <v>208</v>
      </c>
      <c r="H3510" s="6" t="s">
        <v>468</v>
      </c>
      <c r="I3510" s="6" t="s">
        <v>469</v>
      </c>
      <c r="J3510" s="6">
        <v>15.772505750324999</v>
      </c>
      <c r="K3510" s="6">
        <v>-96.152878664178999</v>
      </c>
      <c r="L3510" s="6" t="str">
        <f>HYPERLINK("https://maps.google.com/?q=15.772505750325173,-96.152878664178658", "🔗 Ver Mapa")</f>
        <v>🔗 Ver Mapa</v>
      </c>
    </row>
    <row r="3511" spans="1:12" ht="43.5" x14ac:dyDescent="0.35">
      <c r="A3511" s="5" t="s">
        <v>288</v>
      </c>
      <c r="B3511" s="5" t="s">
        <v>289</v>
      </c>
      <c r="C3511" s="5" t="s">
        <v>744</v>
      </c>
      <c r="D3511" s="5" t="s">
        <v>745</v>
      </c>
      <c r="E3511" s="5" t="s">
        <v>17</v>
      </c>
      <c r="F3511" s="5" t="s">
        <v>20</v>
      </c>
      <c r="G3511" s="5" t="s">
        <v>208</v>
      </c>
      <c r="H3511" s="5" t="s">
        <v>468</v>
      </c>
      <c r="I3511" s="5" t="s">
        <v>469</v>
      </c>
      <c r="J3511" s="5">
        <v>15.77267943232</v>
      </c>
      <c r="K3511" s="5">
        <v>-96.148213166928002</v>
      </c>
      <c r="L3511" s="5" t="str">
        <f>HYPERLINK("https://maps.google.com/?q=15.772679432319741,-96.148213166927562", "🔗 Ver Mapa")</f>
        <v>🔗 Ver Mapa</v>
      </c>
    </row>
    <row r="3512" spans="1:12" ht="43.5" x14ac:dyDescent="0.35">
      <c r="A3512" s="6" t="s">
        <v>288</v>
      </c>
      <c r="B3512" s="6" t="s">
        <v>289</v>
      </c>
      <c r="C3512" s="6" t="s">
        <v>744</v>
      </c>
      <c r="D3512" s="6" t="s">
        <v>745</v>
      </c>
      <c r="E3512" s="6" t="s">
        <v>17</v>
      </c>
      <c r="F3512" s="6" t="s">
        <v>20</v>
      </c>
      <c r="G3512" s="6" t="s">
        <v>208</v>
      </c>
      <c r="H3512" s="6" t="s">
        <v>468</v>
      </c>
      <c r="I3512" s="6" t="s">
        <v>469</v>
      </c>
      <c r="J3512" s="6">
        <v>15.773479149290001</v>
      </c>
      <c r="K3512" s="6">
        <v>-96.148593682959998</v>
      </c>
      <c r="L3512" s="6" t="str">
        <f>HYPERLINK("https://maps.google.com/?q=15.773479149290313,-96.148593682960069", "🔗 Ver Mapa")</f>
        <v>🔗 Ver Mapa</v>
      </c>
    </row>
    <row r="3513" spans="1:12" ht="43.5" x14ac:dyDescent="0.35">
      <c r="A3513" s="5" t="s">
        <v>288</v>
      </c>
      <c r="B3513" s="5" t="s">
        <v>289</v>
      </c>
      <c r="C3513" s="5" t="s">
        <v>744</v>
      </c>
      <c r="D3513" s="5" t="s">
        <v>745</v>
      </c>
      <c r="E3513" s="5" t="s">
        <v>17</v>
      </c>
      <c r="F3513" s="5" t="s">
        <v>20</v>
      </c>
      <c r="G3513" s="5" t="s">
        <v>208</v>
      </c>
      <c r="H3513" s="5" t="s">
        <v>468</v>
      </c>
      <c r="I3513" s="5" t="s">
        <v>469</v>
      </c>
      <c r="J3513" s="5">
        <v>15.774300402699</v>
      </c>
      <c r="K3513" s="5">
        <v>-96.153375878166003</v>
      </c>
      <c r="L3513" s="5" t="str">
        <f>HYPERLINK("https://maps.google.com/?q=15.774300402699422,-96.153375878166031", "🔗 Ver Mapa")</f>
        <v>🔗 Ver Mapa</v>
      </c>
    </row>
    <row r="3514" spans="1:12" ht="43.5" x14ac:dyDescent="0.35">
      <c r="A3514" s="6" t="s">
        <v>288</v>
      </c>
      <c r="B3514" s="6" t="s">
        <v>289</v>
      </c>
      <c r="C3514" s="6" t="s">
        <v>744</v>
      </c>
      <c r="D3514" s="6" t="s">
        <v>745</v>
      </c>
      <c r="E3514" s="6" t="s">
        <v>17</v>
      </c>
      <c r="F3514" s="6" t="s">
        <v>20</v>
      </c>
      <c r="G3514" s="6" t="s">
        <v>208</v>
      </c>
      <c r="H3514" s="6" t="s">
        <v>468</v>
      </c>
      <c r="I3514" s="6" t="s">
        <v>469</v>
      </c>
      <c r="J3514" s="6">
        <v>15.774454212983001</v>
      </c>
      <c r="K3514" s="6">
        <v>-96.149260862719998</v>
      </c>
      <c r="L3514" s="6" t="str">
        <f>HYPERLINK("https://maps.google.com/?q=15.7744542129831,-96.149260862719515", "🔗 Ver Mapa")</f>
        <v>🔗 Ver Mapa</v>
      </c>
    </row>
    <row r="3515" spans="1:12" ht="43.5" x14ac:dyDescent="0.35">
      <c r="A3515" s="5" t="s">
        <v>288</v>
      </c>
      <c r="B3515" s="5" t="s">
        <v>289</v>
      </c>
      <c r="C3515" s="5" t="s">
        <v>744</v>
      </c>
      <c r="D3515" s="5" t="s">
        <v>745</v>
      </c>
      <c r="E3515" s="5" t="s">
        <v>17</v>
      </c>
      <c r="F3515" s="5" t="s">
        <v>20</v>
      </c>
      <c r="G3515" s="5" t="s">
        <v>208</v>
      </c>
      <c r="H3515" s="5" t="s">
        <v>468</v>
      </c>
      <c r="I3515" s="5" t="s">
        <v>469</v>
      </c>
      <c r="J3515" s="5">
        <v>15.775051875859999</v>
      </c>
      <c r="K3515" s="5">
        <v>-96.150073217165996</v>
      </c>
      <c r="L3515" s="5" t="str">
        <f>HYPERLINK("https://maps.google.com/?q=15.775051875860163,-96.150073217165726", "🔗 Ver Mapa")</f>
        <v>🔗 Ver Mapa</v>
      </c>
    </row>
    <row r="3516" spans="1:12" ht="43.5" x14ac:dyDescent="0.35">
      <c r="A3516" s="6" t="s">
        <v>288</v>
      </c>
      <c r="B3516" s="6" t="s">
        <v>289</v>
      </c>
      <c r="C3516" s="6" t="s">
        <v>744</v>
      </c>
      <c r="D3516" s="6" t="s">
        <v>745</v>
      </c>
      <c r="E3516" s="6" t="s">
        <v>17</v>
      </c>
      <c r="F3516" s="6" t="s">
        <v>20</v>
      </c>
      <c r="G3516" s="6" t="s">
        <v>208</v>
      </c>
      <c r="H3516" s="6" t="s">
        <v>468</v>
      </c>
      <c r="I3516" s="6" t="s">
        <v>469</v>
      </c>
      <c r="J3516" s="6">
        <v>15.775609264974999</v>
      </c>
      <c r="K3516" s="6">
        <v>-96.150569045763007</v>
      </c>
      <c r="L3516" s="6" t="str">
        <f>HYPERLINK("https://maps.google.com/?q=15.775609264974845,-96.150569045762964", "🔗 Ver Mapa")</f>
        <v>🔗 Ver Mapa</v>
      </c>
    </row>
    <row r="3517" spans="1:12" ht="43.5" x14ac:dyDescent="0.35">
      <c r="A3517" s="5" t="s">
        <v>288</v>
      </c>
      <c r="B3517" s="5" t="s">
        <v>289</v>
      </c>
      <c r="C3517" s="5" t="s">
        <v>744</v>
      </c>
      <c r="D3517" s="5" t="s">
        <v>745</v>
      </c>
      <c r="E3517" s="5" t="s">
        <v>17</v>
      </c>
      <c r="F3517" s="5" t="s">
        <v>20</v>
      </c>
      <c r="G3517" s="5" t="s">
        <v>208</v>
      </c>
      <c r="H3517" s="5" t="s">
        <v>468</v>
      </c>
      <c r="I3517" s="5" t="s">
        <v>469</v>
      </c>
      <c r="J3517" s="5">
        <v>15.775933355953001</v>
      </c>
      <c r="K3517" s="5">
        <v>-96.151180052314999</v>
      </c>
      <c r="L3517" s="5" t="str">
        <f>HYPERLINK("https://maps.google.com/?q=15.775933355953166,-96.151180052314857", "🔗 Ver Mapa")</f>
        <v>🔗 Ver Mapa</v>
      </c>
    </row>
    <row r="3518" spans="1:12" ht="43.5" x14ac:dyDescent="0.35">
      <c r="A3518" s="6" t="s">
        <v>288</v>
      </c>
      <c r="B3518" s="6" t="s">
        <v>289</v>
      </c>
      <c r="C3518" s="6" t="s">
        <v>746</v>
      </c>
      <c r="D3518" s="6" t="s">
        <v>745</v>
      </c>
      <c r="E3518" s="6" t="s">
        <v>17</v>
      </c>
      <c r="F3518" s="6" t="s">
        <v>20</v>
      </c>
      <c r="G3518" s="6" t="s">
        <v>208</v>
      </c>
      <c r="H3518" s="6" t="s">
        <v>468</v>
      </c>
      <c r="I3518" s="6" t="s">
        <v>469</v>
      </c>
      <c r="J3518" s="6">
        <v>15.760835999999999</v>
      </c>
      <c r="K3518" s="6">
        <v>-96.150662999999994</v>
      </c>
      <c r="L3518" s="6" t="str">
        <f>HYPERLINK("https://maps.google.com/?q=15.760836,-96.150663", "🔗 Ver Mapa")</f>
        <v>🔗 Ver Mapa</v>
      </c>
    </row>
    <row r="3519" spans="1:12" ht="43.5" x14ac:dyDescent="0.35">
      <c r="A3519" s="5" t="s">
        <v>288</v>
      </c>
      <c r="B3519" s="5" t="s">
        <v>289</v>
      </c>
      <c r="C3519" s="5" t="s">
        <v>746</v>
      </c>
      <c r="D3519" s="5" t="s">
        <v>745</v>
      </c>
      <c r="E3519" s="5" t="s">
        <v>17</v>
      </c>
      <c r="F3519" s="5" t="s">
        <v>20</v>
      </c>
      <c r="G3519" s="5" t="s">
        <v>208</v>
      </c>
      <c r="H3519" s="5" t="s">
        <v>468</v>
      </c>
      <c r="I3519" s="5" t="s">
        <v>469</v>
      </c>
      <c r="J3519" s="5">
        <v>15.761112000000001</v>
      </c>
      <c r="K3519" s="5">
        <v>-96.149670999999998</v>
      </c>
      <c r="L3519" s="5" t="str">
        <f>HYPERLINK("https://maps.google.com/?q=15.761112,-96.149671", "🔗 Ver Mapa")</f>
        <v>🔗 Ver Mapa</v>
      </c>
    </row>
    <row r="3520" spans="1:12" ht="43.5" x14ac:dyDescent="0.35">
      <c r="A3520" s="6" t="s">
        <v>288</v>
      </c>
      <c r="B3520" s="6" t="s">
        <v>289</v>
      </c>
      <c r="C3520" s="6" t="s">
        <v>746</v>
      </c>
      <c r="D3520" s="6" t="s">
        <v>745</v>
      </c>
      <c r="E3520" s="6" t="s">
        <v>17</v>
      </c>
      <c r="F3520" s="6" t="s">
        <v>20</v>
      </c>
      <c r="G3520" s="6" t="s">
        <v>208</v>
      </c>
      <c r="H3520" s="6" t="s">
        <v>468</v>
      </c>
      <c r="I3520" s="6" t="s">
        <v>469</v>
      </c>
      <c r="J3520" s="6">
        <v>15.762282000000001</v>
      </c>
      <c r="K3520" s="6">
        <v>-96.150056000000006</v>
      </c>
      <c r="L3520" s="6" t="str">
        <f>HYPERLINK("https://maps.google.com/?q=15.762282,-96.150056", "🔗 Ver Mapa")</f>
        <v>🔗 Ver Mapa</v>
      </c>
    </row>
    <row r="3521" spans="1:12" ht="43.5" x14ac:dyDescent="0.35">
      <c r="A3521" s="5" t="s">
        <v>288</v>
      </c>
      <c r="B3521" s="5" t="s">
        <v>289</v>
      </c>
      <c r="C3521" s="5" t="s">
        <v>746</v>
      </c>
      <c r="D3521" s="5" t="s">
        <v>745</v>
      </c>
      <c r="E3521" s="5" t="s">
        <v>17</v>
      </c>
      <c r="F3521" s="5" t="s">
        <v>20</v>
      </c>
      <c r="G3521" s="5" t="s">
        <v>208</v>
      </c>
      <c r="H3521" s="5" t="s">
        <v>468</v>
      </c>
      <c r="I3521" s="5" t="s">
        <v>469</v>
      </c>
      <c r="J3521" s="5">
        <v>15.762328</v>
      </c>
      <c r="K3521" s="5">
        <v>-96.150166999999996</v>
      </c>
      <c r="L3521" s="5" t="str">
        <f>HYPERLINK("https://maps.google.com/?q=15.762328,-96.150167", "🔗 Ver Mapa")</f>
        <v>🔗 Ver Mapa</v>
      </c>
    </row>
    <row r="3522" spans="1:12" ht="43.5" x14ac:dyDescent="0.35">
      <c r="A3522" s="6" t="s">
        <v>288</v>
      </c>
      <c r="B3522" s="6" t="s">
        <v>289</v>
      </c>
      <c r="C3522" s="6" t="s">
        <v>746</v>
      </c>
      <c r="D3522" s="6" t="s">
        <v>745</v>
      </c>
      <c r="E3522" s="6" t="s">
        <v>17</v>
      </c>
      <c r="F3522" s="6" t="s">
        <v>20</v>
      </c>
      <c r="G3522" s="6" t="s">
        <v>208</v>
      </c>
      <c r="H3522" s="6" t="s">
        <v>468</v>
      </c>
      <c r="I3522" s="6" t="s">
        <v>469</v>
      </c>
      <c r="J3522" s="6">
        <v>15.762971</v>
      </c>
      <c r="K3522" s="6">
        <v>-96.150289000000001</v>
      </c>
      <c r="L3522" s="6" t="str">
        <f>HYPERLINK("https://maps.google.com/?q=15.762971,-96.150289", "🔗 Ver Mapa")</f>
        <v>🔗 Ver Mapa</v>
      </c>
    </row>
    <row r="3523" spans="1:12" ht="43.5" x14ac:dyDescent="0.35">
      <c r="A3523" s="5" t="s">
        <v>288</v>
      </c>
      <c r="B3523" s="5" t="s">
        <v>289</v>
      </c>
      <c r="C3523" s="5" t="s">
        <v>746</v>
      </c>
      <c r="D3523" s="5" t="s">
        <v>745</v>
      </c>
      <c r="E3523" s="5" t="s">
        <v>17</v>
      </c>
      <c r="F3523" s="5" t="s">
        <v>20</v>
      </c>
      <c r="G3523" s="5" t="s">
        <v>208</v>
      </c>
      <c r="H3523" s="5" t="s">
        <v>468</v>
      </c>
      <c r="I3523" s="5" t="s">
        <v>469</v>
      </c>
      <c r="J3523" s="5">
        <v>15.762972</v>
      </c>
      <c r="K3523" s="5">
        <v>-96.150345000000002</v>
      </c>
      <c r="L3523" s="5" t="str">
        <f>HYPERLINK("https://maps.google.com/?q=15.762972,-96.150345", "🔗 Ver Mapa")</f>
        <v>🔗 Ver Mapa</v>
      </c>
    </row>
    <row r="3524" spans="1:12" ht="43.5" x14ac:dyDescent="0.35">
      <c r="A3524" s="6" t="s">
        <v>288</v>
      </c>
      <c r="B3524" s="6" t="s">
        <v>289</v>
      </c>
      <c r="C3524" s="6" t="s">
        <v>746</v>
      </c>
      <c r="D3524" s="6" t="s">
        <v>745</v>
      </c>
      <c r="E3524" s="6" t="s">
        <v>17</v>
      </c>
      <c r="F3524" s="6" t="s">
        <v>20</v>
      </c>
      <c r="G3524" s="6" t="s">
        <v>208</v>
      </c>
      <c r="H3524" s="6" t="s">
        <v>468</v>
      </c>
      <c r="I3524" s="6" t="s">
        <v>469</v>
      </c>
      <c r="J3524" s="6">
        <v>15.763861</v>
      </c>
      <c r="K3524" s="6">
        <v>-96.150631000000004</v>
      </c>
      <c r="L3524" s="6" t="str">
        <f>HYPERLINK("https://maps.google.com/?q=15.763861,-96.150631", "🔗 Ver Mapa")</f>
        <v>🔗 Ver Mapa</v>
      </c>
    </row>
    <row r="3525" spans="1:12" ht="43.5" x14ac:dyDescent="0.35">
      <c r="A3525" s="5" t="s">
        <v>288</v>
      </c>
      <c r="B3525" s="5" t="s">
        <v>289</v>
      </c>
      <c r="C3525" s="5" t="s">
        <v>746</v>
      </c>
      <c r="D3525" s="5" t="s">
        <v>745</v>
      </c>
      <c r="E3525" s="5" t="s">
        <v>17</v>
      </c>
      <c r="F3525" s="5" t="s">
        <v>20</v>
      </c>
      <c r="G3525" s="5" t="s">
        <v>208</v>
      </c>
      <c r="H3525" s="5" t="s">
        <v>468</v>
      </c>
      <c r="I3525" s="5" t="s">
        <v>469</v>
      </c>
      <c r="J3525" s="5">
        <v>15.763866</v>
      </c>
      <c r="K3525" s="5">
        <v>-96.151722000000007</v>
      </c>
      <c r="L3525" s="5" t="str">
        <f>HYPERLINK("https://maps.google.com/?q=15.763866,-96.151722", "🔗 Ver Mapa")</f>
        <v>🔗 Ver Mapa</v>
      </c>
    </row>
    <row r="3526" spans="1:12" ht="43.5" x14ac:dyDescent="0.35">
      <c r="A3526" s="6" t="s">
        <v>288</v>
      </c>
      <c r="B3526" s="6" t="s">
        <v>289</v>
      </c>
      <c r="C3526" s="6" t="s">
        <v>746</v>
      </c>
      <c r="D3526" s="6" t="s">
        <v>745</v>
      </c>
      <c r="E3526" s="6" t="s">
        <v>17</v>
      </c>
      <c r="F3526" s="6" t="s">
        <v>20</v>
      </c>
      <c r="G3526" s="6" t="s">
        <v>208</v>
      </c>
      <c r="H3526" s="6" t="s">
        <v>468</v>
      </c>
      <c r="I3526" s="6" t="s">
        <v>469</v>
      </c>
      <c r="J3526" s="6">
        <v>15.763878</v>
      </c>
      <c r="K3526" s="6">
        <v>-96.150574000000006</v>
      </c>
      <c r="L3526" s="6" t="str">
        <f>HYPERLINK("https://maps.google.com/?q=15.763878,-96.150574", "🔗 Ver Mapa")</f>
        <v>🔗 Ver Mapa</v>
      </c>
    </row>
    <row r="3527" spans="1:12" ht="43.5" x14ac:dyDescent="0.35">
      <c r="A3527" s="5" t="s">
        <v>288</v>
      </c>
      <c r="B3527" s="5" t="s">
        <v>289</v>
      </c>
      <c r="C3527" s="5" t="s">
        <v>746</v>
      </c>
      <c r="D3527" s="5" t="s">
        <v>745</v>
      </c>
      <c r="E3527" s="5" t="s">
        <v>17</v>
      </c>
      <c r="F3527" s="5" t="s">
        <v>20</v>
      </c>
      <c r="G3527" s="5" t="s">
        <v>208</v>
      </c>
      <c r="H3527" s="5" t="s">
        <v>468</v>
      </c>
      <c r="I3527" s="5" t="s">
        <v>469</v>
      </c>
      <c r="J3527" s="5">
        <v>15.763923999999999</v>
      </c>
      <c r="K3527" s="5">
        <v>-96.150648000000004</v>
      </c>
      <c r="L3527" s="5" t="str">
        <f>HYPERLINK("https://maps.google.com/?q=15.763924,-96.150648", "🔗 Ver Mapa")</f>
        <v>🔗 Ver Mapa</v>
      </c>
    </row>
    <row r="3528" spans="1:12" ht="43.5" x14ac:dyDescent="0.35">
      <c r="A3528" s="6" t="s">
        <v>288</v>
      </c>
      <c r="B3528" s="6" t="s">
        <v>289</v>
      </c>
      <c r="C3528" s="6" t="s">
        <v>746</v>
      </c>
      <c r="D3528" s="6" t="s">
        <v>745</v>
      </c>
      <c r="E3528" s="6" t="s">
        <v>17</v>
      </c>
      <c r="F3528" s="6" t="s">
        <v>20</v>
      </c>
      <c r="G3528" s="6" t="s">
        <v>208</v>
      </c>
      <c r="H3528" s="6" t="s">
        <v>468</v>
      </c>
      <c r="I3528" s="6" t="s">
        <v>469</v>
      </c>
      <c r="J3528" s="6">
        <v>15.763933</v>
      </c>
      <c r="K3528" s="6">
        <v>-96.150610999999998</v>
      </c>
      <c r="L3528" s="6" t="str">
        <f>HYPERLINK("https://maps.google.com/?q=15.763933,-96.150611", "🔗 Ver Mapa")</f>
        <v>🔗 Ver Mapa</v>
      </c>
    </row>
    <row r="3529" spans="1:12" ht="43.5" x14ac:dyDescent="0.35">
      <c r="A3529" s="5" t="s">
        <v>288</v>
      </c>
      <c r="B3529" s="5" t="s">
        <v>289</v>
      </c>
      <c r="C3529" s="5" t="s">
        <v>746</v>
      </c>
      <c r="D3529" s="5" t="s">
        <v>745</v>
      </c>
      <c r="E3529" s="5" t="s">
        <v>17</v>
      </c>
      <c r="F3529" s="5" t="s">
        <v>20</v>
      </c>
      <c r="G3529" s="5" t="s">
        <v>208</v>
      </c>
      <c r="H3529" s="5" t="s">
        <v>468</v>
      </c>
      <c r="I3529" s="5" t="s">
        <v>469</v>
      </c>
      <c r="J3529" s="5">
        <v>15.764177</v>
      </c>
      <c r="K3529" s="5">
        <v>-96.150690999999995</v>
      </c>
      <c r="L3529" s="5" t="str">
        <f>HYPERLINK("https://maps.google.com/?q=15.764177,-96.150691", "🔗 Ver Mapa")</f>
        <v>🔗 Ver Mapa</v>
      </c>
    </row>
    <row r="3530" spans="1:12" ht="43.5" x14ac:dyDescent="0.35">
      <c r="A3530" s="6" t="s">
        <v>288</v>
      </c>
      <c r="B3530" s="6" t="s">
        <v>289</v>
      </c>
      <c r="C3530" s="6" t="s">
        <v>746</v>
      </c>
      <c r="D3530" s="6" t="s">
        <v>745</v>
      </c>
      <c r="E3530" s="6" t="s">
        <v>17</v>
      </c>
      <c r="F3530" s="6" t="s">
        <v>20</v>
      </c>
      <c r="G3530" s="6" t="s">
        <v>208</v>
      </c>
      <c r="H3530" s="6" t="s">
        <v>468</v>
      </c>
      <c r="I3530" s="6" t="s">
        <v>469</v>
      </c>
      <c r="J3530" s="6">
        <v>15.764201999999999</v>
      </c>
      <c r="K3530" s="6">
        <v>-96.150495000000006</v>
      </c>
      <c r="L3530" s="6" t="str">
        <f>HYPERLINK("https://maps.google.com/?q=15.764202,-96.150495", "🔗 Ver Mapa")</f>
        <v>🔗 Ver Mapa</v>
      </c>
    </row>
    <row r="3531" spans="1:12" ht="43.5" x14ac:dyDescent="0.35">
      <c r="A3531" s="5" t="s">
        <v>288</v>
      </c>
      <c r="B3531" s="5" t="s">
        <v>289</v>
      </c>
      <c r="C3531" s="5" t="s">
        <v>746</v>
      </c>
      <c r="D3531" s="5" t="s">
        <v>745</v>
      </c>
      <c r="E3531" s="5" t="s">
        <v>17</v>
      </c>
      <c r="F3531" s="5" t="s">
        <v>20</v>
      </c>
      <c r="G3531" s="5" t="s">
        <v>208</v>
      </c>
      <c r="H3531" s="5" t="s">
        <v>468</v>
      </c>
      <c r="I3531" s="5" t="s">
        <v>469</v>
      </c>
      <c r="J3531" s="5">
        <v>15.765045000000001</v>
      </c>
      <c r="K3531" s="5">
        <v>-96.150734999999997</v>
      </c>
      <c r="L3531" s="5" t="str">
        <f>HYPERLINK("https://maps.google.com/?q=15.765045,-96.150735", "🔗 Ver Mapa")</f>
        <v>🔗 Ver Mapa</v>
      </c>
    </row>
    <row r="3532" spans="1:12" ht="43.5" x14ac:dyDescent="0.35">
      <c r="A3532" s="6" t="s">
        <v>288</v>
      </c>
      <c r="B3532" s="6" t="s">
        <v>289</v>
      </c>
      <c r="C3532" s="6" t="s">
        <v>746</v>
      </c>
      <c r="D3532" s="6" t="s">
        <v>745</v>
      </c>
      <c r="E3532" s="6" t="s">
        <v>17</v>
      </c>
      <c r="F3532" s="6" t="s">
        <v>20</v>
      </c>
      <c r="G3532" s="6" t="s">
        <v>208</v>
      </c>
      <c r="H3532" s="6" t="s">
        <v>468</v>
      </c>
      <c r="I3532" s="6" t="s">
        <v>469</v>
      </c>
      <c r="J3532" s="6">
        <v>15.765326999999999</v>
      </c>
      <c r="K3532" s="6">
        <v>-96.149490999999998</v>
      </c>
      <c r="L3532" s="6" t="str">
        <f>HYPERLINK("https://maps.google.com/?q=15.765327,-96.149491", "🔗 Ver Mapa")</f>
        <v>🔗 Ver Mapa</v>
      </c>
    </row>
    <row r="3533" spans="1:12" ht="43.5" x14ac:dyDescent="0.35">
      <c r="A3533" s="5" t="s">
        <v>288</v>
      </c>
      <c r="B3533" s="5" t="s">
        <v>289</v>
      </c>
      <c r="C3533" s="5" t="s">
        <v>746</v>
      </c>
      <c r="D3533" s="5" t="s">
        <v>745</v>
      </c>
      <c r="E3533" s="5" t="s">
        <v>17</v>
      </c>
      <c r="F3533" s="5" t="s">
        <v>20</v>
      </c>
      <c r="G3533" s="5" t="s">
        <v>208</v>
      </c>
      <c r="H3533" s="5" t="s">
        <v>468</v>
      </c>
      <c r="I3533" s="5" t="s">
        <v>469</v>
      </c>
      <c r="J3533" s="5">
        <v>15.766636999999999</v>
      </c>
      <c r="K3533" s="5">
        <v>-96.150274999999993</v>
      </c>
      <c r="L3533" s="5" t="str">
        <f>HYPERLINK("https://maps.google.com/?q=15.766637,-96.150275", "🔗 Ver Mapa")</f>
        <v>🔗 Ver Mapa</v>
      </c>
    </row>
    <row r="3534" spans="1:12" ht="43.5" x14ac:dyDescent="0.35">
      <c r="A3534" s="6" t="s">
        <v>288</v>
      </c>
      <c r="B3534" s="6" t="s">
        <v>289</v>
      </c>
      <c r="C3534" s="6" t="s">
        <v>746</v>
      </c>
      <c r="D3534" s="6" t="s">
        <v>745</v>
      </c>
      <c r="E3534" s="6" t="s">
        <v>17</v>
      </c>
      <c r="F3534" s="6" t="s">
        <v>20</v>
      </c>
      <c r="G3534" s="6" t="s">
        <v>208</v>
      </c>
      <c r="H3534" s="6" t="s">
        <v>468</v>
      </c>
      <c r="I3534" s="6" t="s">
        <v>469</v>
      </c>
      <c r="J3534" s="6">
        <v>15.766651</v>
      </c>
      <c r="K3534" s="6">
        <v>-96.152028000000001</v>
      </c>
      <c r="L3534" s="6" t="str">
        <f>HYPERLINK("https://maps.google.com/?q=15.766651,-96.152028", "🔗 Ver Mapa")</f>
        <v>🔗 Ver Mapa</v>
      </c>
    </row>
    <row r="3535" spans="1:12" ht="43.5" x14ac:dyDescent="0.35">
      <c r="A3535" s="5" t="s">
        <v>288</v>
      </c>
      <c r="B3535" s="5" t="s">
        <v>289</v>
      </c>
      <c r="C3535" s="5" t="s">
        <v>746</v>
      </c>
      <c r="D3535" s="5" t="s">
        <v>745</v>
      </c>
      <c r="E3535" s="5" t="s">
        <v>17</v>
      </c>
      <c r="F3535" s="5" t="s">
        <v>20</v>
      </c>
      <c r="G3535" s="5" t="s">
        <v>208</v>
      </c>
      <c r="H3535" s="5" t="s">
        <v>468</v>
      </c>
      <c r="I3535" s="5" t="s">
        <v>469</v>
      </c>
      <c r="J3535" s="5">
        <v>15.766916</v>
      </c>
      <c r="K3535" s="5">
        <v>-96.150159000000002</v>
      </c>
      <c r="L3535" s="5" t="str">
        <f>HYPERLINK("https://maps.google.com/?q=15.766916,-96.150159", "🔗 Ver Mapa")</f>
        <v>🔗 Ver Mapa</v>
      </c>
    </row>
    <row r="3536" spans="1:12" ht="43.5" x14ac:dyDescent="0.35">
      <c r="A3536" s="6" t="s">
        <v>288</v>
      </c>
      <c r="B3536" s="6" t="s">
        <v>289</v>
      </c>
      <c r="C3536" s="6" t="s">
        <v>746</v>
      </c>
      <c r="D3536" s="6" t="s">
        <v>745</v>
      </c>
      <c r="E3536" s="6" t="s">
        <v>17</v>
      </c>
      <c r="F3536" s="6" t="s">
        <v>20</v>
      </c>
      <c r="G3536" s="6" t="s">
        <v>208</v>
      </c>
      <c r="H3536" s="6" t="s">
        <v>468</v>
      </c>
      <c r="I3536" s="6" t="s">
        <v>469</v>
      </c>
      <c r="J3536" s="6">
        <v>15.767049999999999</v>
      </c>
      <c r="K3536" s="6">
        <v>-96.152106000000003</v>
      </c>
      <c r="L3536" s="6" t="str">
        <f>HYPERLINK("https://maps.google.com/?q=15.76705,-96.152106", "🔗 Ver Mapa")</f>
        <v>🔗 Ver Mapa</v>
      </c>
    </row>
    <row r="3537" spans="1:12" ht="43.5" x14ac:dyDescent="0.35">
      <c r="A3537" s="5" t="s">
        <v>288</v>
      </c>
      <c r="B3537" s="5" t="s">
        <v>289</v>
      </c>
      <c r="C3537" s="5" t="s">
        <v>746</v>
      </c>
      <c r="D3537" s="5" t="s">
        <v>745</v>
      </c>
      <c r="E3537" s="5" t="s">
        <v>17</v>
      </c>
      <c r="F3537" s="5" t="s">
        <v>20</v>
      </c>
      <c r="G3537" s="5" t="s">
        <v>208</v>
      </c>
      <c r="H3537" s="5" t="s">
        <v>468</v>
      </c>
      <c r="I3537" s="5" t="s">
        <v>469</v>
      </c>
      <c r="J3537" s="5">
        <v>15.768921000000001</v>
      </c>
      <c r="K3537" s="5">
        <v>-96.151567</v>
      </c>
      <c r="L3537" s="5" t="str">
        <f>HYPERLINK("https://maps.google.com/?q=15.768921,-96.151567", "🔗 Ver Mapa")</f>
        <v>🔗 Ver Mapa</v>
      </c>
    </row>
    <row r="3538" spans="1:12" ht="43.5" x14ac:dyDescent="0.35">
      <c r="A3538" s="6" t="s">
        <v>288</v>
      </c>
      <c r="B3538" s="6" t="s">
        <v>289</v>
      </c>
      <c r="C3538" s="6" t="s">
        <v>746</v>
      </c>
      <c r="D3538" s="6" t="s">
        <v>745</v>
      </c>
      <c r="E3538" s="6" t="s">
        <v>17</v>
      </c>
      <c r="F3538" s="6" t="s">
        <v>20</v>
      </c>
      <c r="G3538" s="6" t="s">
        <v>208</v>
      </c>
      <c r="H3538" s="6" t="s">
        <v>468</v>
      </c>
      <c r="I3538" s="6" t="s">
        <v>469</v>
      </c>
      <c r="J3538" s="6">
        <v>15.769558</v>
      </c>
      <c r="K3538" s="6">
        <v>-96.151931000000005</v>
      </c>
      <c r="L3538" s="6" t="str">
        <f>HYPERLINK("https://maps.google.com/?q=15.769558,-96.151931", "🔗 Ver Mapa")</f>
        <v>🔗 Ver Mapa</v>
      </c>
    </row>
    <row r="3539" spans="1:12" ht="43.5" x14ac:dyDescent="0.35">
      <c r="A3539" s="5" t="s">
        <v>288</v>
      </c>
      <c r="B3539" s="5" t="s">
        <v>289</v>
      </c>
      <c r="C3539" s="5" t="s">
        <v>746</v>
      </c>
      <c r="D3539" s="5" t="s">
        <v>745</v>
      </c>
      <c r="E3539" s="5" t="s">
        <v>17</v>
      </c>
      <c r="F3539" s="5" t="s">
        <v>20</v>
      </c>
      <c r="G3539" s="5" t="s">
        <v>208</v>
      </c>
      <c r="H3539" s="5" t="s">
        <v>468</v>
      </c>
      <c r="I3539" s="5" t="s">
        <v>469</v>
      </c>
      <c r="J3539" s="5">
        <v>15.770066</v>
      </c>
      <c r="K3539" s="5">
        <v>-96.151392999999999</v>
      </c>
      <c r="L3539" s="5" t="str">
        <f>HYPERLINK("https://maps.google.com/?q=15.770066,-96.151393", "🔗 Ver Mapa")</f>
        <v>🔗 Ver Mapa</v>
      </c>
    </row>
    <row r="3540" spans="1:12" ht="43.5" x14ac:dyDescent="0.35">
      <c r="A3540" s="6" t="s">
        <v>288</v>
      </c>
      <c r="B3540" s="6" t="s">
        <v>289</v>
      </c>
      <c r="C3540" s="6" t="s">
        <v>746</v>
      </c>
      <c r="D3540" s="6" t="s">
        <v>745</v>
      </c>
      <c r="E3540" s="6" t="s">
        <v>17</v>
      </c>
      <c r="F3540" s="6" t="s">
        <v>20</v>
      </c>
      <c r="G3540" s="6" t="s">
        <v>208</v>
      </c>
      <c r="H3540" s="6" t="s">
        <v>468</v>
      </c>
      <c r="I3540" s="6" t="s">
        <v>469</v>
      </c>
      <c r="J3540" s="6">
        <v>15.770187999999999</v>
      </c>
      <c r="K3540" s="6">
        <v>-96.151036000000005</v>
      </c>
      <c r="L3540" s="6" t="str">
        <f>HYPERLINK("https://maps.google.com/?q=15.770188,-96.151036", "🔗 Ver Mapa")</f>
        <v>🔗 Ver Mapa</v>
      </c>
    </row>
    <row r="3541" spans="1:12" ht="43.5" x14ac:dyDescent="0.35">
      <c r="A3541" s="5" t="s">
        <v>288</v>
      </c>
      <c r="B3541" s="5" t="s">
        <v>289</v>
      </c>
      <c r="C3541" s="5" t="s">
        <v>746</v>
      </c>
      <c r="D3541" s="5" t="s">
        <v>745</v>
      </c>
      <c r="E3541" s="5" t="s">
        <v>17</v>
      </c>
      <c r="F3541" s="5" t="s">
        <v>20</v>
      </c>
      <c r="G3541" s="5" t="s">
        <v>208</v>
      </c>
      <c r="H3541" s="5" t="s">
        <v>468</v>
      </c>
      <c r="I3541" s="5" t="s">
        <v>469</v>
      </c>
      <c r="J3541" s="5">
        <v>15.770274000000001</v>
      </c>
      <c r="K3541" s="5">
        <v>-96.151426999999998</v>
      </c>
      <c r="L3541" s="5" t="str">
        <f>HYPERLINK("https://maps.google.com/?q=15.770274,-96.151427", "🔗 Ver Mapa")</f>
        <v>🔗 Ver Mapa</v>
      </c>
    </row>
    <row r="3542" spans="1:12" ht="43.5" x14ac:dyDescent="0.35">
      <c r="A3542" s="6" t="s">
        <v>288</v>
      </c>
      <c r="B3542" s="6" t="s">
        <v>289</v>
      </c>
      <c r="C3542" s="6" t="s">
        <v>746</v>
      </c>
      <c r="D3542" s="6" t="s">
        <v>745</v>
      </c>
      <c r="E3542" s="6" t="s">
        <v>17</v>
      </c>
      <c r="F3542" s="6" t="s">
        <v>20</v>
      </c>
      <c r="G3542" s="6" t="s">
        <v>208</v>
      </c>
      <c r="H3542" s="6" t="s">
        <v>468</v>
      </c>
      <c r="I3542" s="6" t="s">
        <v>469</v>
      </c>
      <c r="J3542" s="6">
        <v>15.770322</v>
      </c>
      <c r="K3542" s="6">
        <v>-96.151658999999995</v>
      </c>
      <c r="L3542" s="6" t="str">
        <f>HYPERLINK("https://maps.google.com/?q=15.770322,-96.151659", "🔗 Ver Mapa")</f>
        <v>🔗 Ver Mapa</v>
      </c>
    </row>
    <row r="3543" spans="1:12" ht="43.5" x14ac:dyDescent="0.35">
      <c r="A3543" s="5" t="s">
        <v>288</v>
      </c>
      <c r="B3543" s="5" t="s">
        <v>289</v>
      </c>
      <c r="C3543" s="5" t="s">
        <v>746</v>
      </c>
      <c r="D3543" s="5" t="s">
        <v>745</v>
      </c>
      <c r="E3543" s="5" t="s">
        <v>17</v>
      </c>
      <c r="F3543" s="5" t="s">
        <v>20</v>
      </c>
      <c r="G3543" s="5" t="s">
        <v>208</v>
      </c>
      <c r="H3543" s="5" t="s">
        <v>468</v>
      </c>
      <c r="I3543" s="5" t="s">
        <v>469</v>
      </c>
      <c r="J3543" s="5">
        <v>15.770486</v>
      </c>
      <c r="K3543" s="5">
        <v>-96.150369999999995</v>
      </c>
      <c r="L3543" s="5" t="str">
        <f>HYPERLINK("https://maps.google.com/?q=15.770486,-96.150370", "🔗 Ver Mapa")</f>
        <v>🔗 Ver Mapa</v>
      </c>
    </row>
    <row r="3544" spans="1:12" ht="43.5" x14ac:dyDescent="0.35">
      <c r="A3544" s="6" t="s">
        <v>288</v>
      </c>
      <c r="B3544" s="6" t="s">
        <v>289</v>
      </c>
      <c r="C3544" s="6" t="s">
        <v>747</v>
      </c>
      <c r="D3544" s="6" t="s">
        <v>745</v>
      </c>
      <c r="E3544" s="6" t="s">
        <v>17</v>
      </c>
      <c r="F3544" s="6" t="s">
        <v>20</v>
      </c>
      <c r="G3544" s="6" t="s">
        <v>208</v>
      </c>
      <c r="H3544" s="6" t="s">
        <v>468</v>
      </c>
      <c r="I3544" s="6" t="s">
        <v>469</v>
      </c>
      <c r="J3544" s="6">
        <v>15.757354296879999</v>
      </c>
      <c r="K3544" s="6">
        <v>-96.147560080299996</v>
      </c>
      <c r="L3544" s="6" t="str">
        <f>HYPERLINK("https://maps.google.com/?q=15.757354296880038,-96.147560080299925", "🔗 Ver Mapa")</f>
        <v>🔗 Ver Mapa</v>
      </c>
    </row>
    <row r="3545" spans="1:12" ht="43.5" x14ac:dyDescent="0.35">
      <c r="A3545" s="5" t="s">
        <v>288</v>
      </c>
      <c r="B3545" s="5" t="s">
        <v>289</v>
      </c>
      <c r="C3545" s="5" t="s">
        <v>747</v>
      </c>
      <c r="D3545" s="5" t="s">
        <v>745</v>
      </c>
      <c r="E3545" s="5" t="s">
        <v>17</v>
      </c>
      <c r="F3545" s="5" t="s">
        <v>20</v>
      </c>
      <c r="G3545" s="5" t="s">
        <v>208</v>
      </c>
      <c r="H3545" s="5" t="s">
        <v>468</v>
      </c>
      <c r="I3545" s="5" t="s">
        <v>469</v>
      </c>
      <c r="J3545" s="5">
        <v>15.757528882396</v>
      </c>
      <c r="K3545" s="5">
        <v>-96.146410613626998</v>
      </c>
      <c r="L3545" s="5" t="str">
        <f>HYPERLINK("https://maps.google.com/?q=15.757528882396326,-96.146410613626955", "🔗 Ver Mapa")</f>
        <v>🔗 Ver Mapa</v>
      </c>
    </row>
    <row r="3546" spans="1:12" ht="43.5" x14ac:dyDescent="0.35">
      <c r="A3546" s="6" t="s">
        <v>288</v>
      </c>
      <c r="B3546" s="6" t="s">
        <v>289</v>
      </c>
      <c r="C3546" s="6" t="s">
        <v>747</v>
      </c>
      <c r="D3546" s="6" t="s">
        <v>745</v>
      </c>
      <c r="E3546" s="6" t="s">
        <v>17</v>
      </c>
      <c r="F3546" s="6" t="s">
        <v>20</v>
      </c>
      <c r="G3546" s="6" t="s">
        <v>208</v>
      </c>
      <c r="H3546" s="6" t="s">
        <v>468</v>
      </c>
      <c r="I3546" s="6" t="s">
        <v>469</v>
      </c>
      <c r="J3546" s="6">
        <v>15.757868736303999</v>
      </c>
      <c r="K3546" s="6">
        <v>-96.148224324534993</v>
      </c>
      <c r="L3546" s="6" t="str">
        <f>HYPERLINK("https://maps.google.com/?q=15.757868736304358,-96.148224324534851", "🔗 Ver Mapa")</f>
        <v>🔗 Ver Mapa</v>
      </c>
    </row>
    <row r="3547" spans="1:12" ht="43.5" x14ac:dyDescent="0.35">
      <c r="A3547" s="5" t="s">
        <v>288</v>
      </c>
      <c r="B3547" s="5" t="s">
        <v>289</v>
      </c>
      <c r="C3547" s="5" t="s">
        <v>747</v>
      </c>
      <c r="D3547" s="5" t="s">
        <v>745</v>
      </c>
      <c r="E3547" s="5" t="s">
        <v>17</v>
      </c>
      <c r="F3547" s="5" t="s">
        <v>20</v>
      </c>
      <c r="G3547" s="5" t="s">
        <v>208</v>
      </c>
      <c r="H3547" s="5" t="s">
        <v>468</v>
      </c>
      <c r="I3547" s="5" t="s">
        <v>469</v>
      </c>
      <c r="J3547" s="5">
        <v>15.757935718242001</v>
      </c>
      <c r="K3547" s="5">
        <v>-96.147822394431998</v>
      </c>
      <c r="L3547" s="5" t="str">
        <f>HYPERLINK("https://maps.google.com/?q=15.757935718242084,-96.147822394432325", "🔗 Ver Mapa")</f>
        <v>🔗 Ver Mapa</v>
      </c>
    </row>
    <row r="3548" spans="1:12" ht="43.5" x14ac:dyDescent="0.35">
      <c r="A3548" s="6" t="s">
        <v>288</v>
      </c>
      <c r="B3548" s="6" t="s">
        <v>289</v>
      </c>
      <c r="C3548" s="6" t="s">
        <v>747</v>
      </c>
      <c r="D3548" s="6" t="s">
        <v>745</v>
      </c>
      <c r="E3548" s="6" t="s">
        <v>17</v>
      </c>
      <c r="F3548" s="6" t="s">
        <v>20</v>
      </c>
      <c r="G3548" s="6" t="s">
        <v>208</v>
      </c>
      <c r="H3548" s="6" t="s">
        <v>468</v>
      </c>
      <c r="I3548" s="6" t="s">
        <v>469</v>
      </c>
      <c r="J3548" s="6">
        <v>15.758039332738999</v>
      </c>
      <c r="K3548" s="6">
        <v>-96.149527506061006</v>
      </c>
      <c r="L3548" s="6" t="str">
        <f>HYPERLINK("https://maps.google.com/?q=15.758039332738857,-96.149527506061418", "🔗 Ver Mapa")</f>
        <v>🔗 Ver Mapa</v>
      </c>
    </row>
    <row r="3549" spans="1:12" ht="43.5" x14ac:dyDescent="0.35">
      <c r="A3549" s="5" t="s">
        <v>288</v>
      </c>
      <c r="B3549" s="5" t="s">
        <v>289</v>
      </c>
      <c r="C3549" s="5" t="s">
        <v>747</v>
      </c>
      <c r="D3549" s="5" t="s">
        <v>745</v>
      </c>
      <c r="E3549" s="5" t="s">
        <v>17</v>
      </c>
      <c r="F3549" s="5" t="s">
        <v>20</v>
      </c>
      <c r="G3549" s="5" t="s">
        <v>208</v>
      </c>
      <c r="H3549" s="5" t="s">
        <v>468</v>
      </c>
      <c r="I3549" s="5" t="s">
        <v>469</v>
      </c>
      <c r="J3549" s="5">
        <v>15.758177688726001</v>
      </c>
      <c r="K3549" s="5">
        <v>-96.148369216038006</v>
      </c>
      <c r="L3549" s="5" t="str">
        <f>HYPERLINK("https://maps.google.com/?q=15.758177688725652,-96.148369216038333", "🔗 Ver Mapa")</f>
        <v>🔗 Ver Mapa</v>
      </c>
    </row>
    <row r="3550" spans="1:12" ht="43.5" x14ac:dyDescent="0.35">
      <c r="A3550" s="6" t="s">
        <v>288</v>
      </c>
      <c r="B3550" s="6" t="s">
        <v>289</v>
      </c>
      <c r="C3550" s="6" t="s">
        <v>747</v>
      </c>
      <c r="D3550" s="6" t="s">
        <v>745</v>
      </c>
      <c r="E3550" s="6" t="s">
        <v>17</v>
      </c>
      <c r="F3550" s="6" t="s">
        <v>20</v>
      </c>
      <c r="G3550" s="6" t="s">
        <v>208</v>
      </c>
      <c r="H3550" s="6" t="s">
        <v>468</v>
      </c>
      <c r="I3550" s="6" t="s">
        <v>469</v>
      </c>
      <c r="J3550" s="6">
        <v>15.758384157905001</v>
      </c>
      <c r="K3550" s="6">
        <v>-96.149653247912994</v>
      </c>
      <c r="L3550" s="6" t="str">
        <f>HYPERLINK("https://maps.google.com/?q=15.758384157904617,-96.149653247912909", "🔗 Ver Mapa")</f>
        <v>🔗 Ver Mapa</v>
      </c>
    </row>
    <row r="3551" spans="1:12" ht="43.5" x14ac:dyDescent="0.35">
      <c r="A3551" s="5" t="s">
        <v>288</v>
      </c>
      <c r="B3551" s="5" t="s">
        <v>289</v>
      </c>
      <c r="C3551" s="5" t="s">
        <v>747</v>
      </c>
      <c r="D3551" s="5" t="s">
        <v>745</v>
      </c>
      <c r="E3551" s="5" t="s">
        <v>17</v>
      </c>
      <c r="F3551" s="5" t="s">
        <v>20</v>
      </c>
      <c r="G3551" s="5" t="s">
        <v>208</v>
      </c>
      <c r="H3551" s="5" t="s">
        <v>468</v>
      </c>
      <c r="I3551" s="5" t="s">
        <v>469</v>
      </c>
      <c r="J3551" s="5">
        <v>15.758656366647999</v>
      </c>
      <c r="K3551" s="5">
        <v>-96.148371854774993</v>
      </c>
      <c r="L3551" s="5" t="str">
        <f>HYPERLINK("https://maps.google.com/?q=15.758656366648419,-96.148371854774567", "🔗 Ver Mapa")</f>
        <v>🔗 Ver Mapa</v>
      </c>
    </row>
    <row r="3552" spans="1:12" ht="43.5" x14ac:dyDescent="0.35">
      <c r="A3552" s="6" t="s">
        <v>288</v>
      </c>
      <c r="B3552" s="6" t="s">
        <v>289</v>
      </c>
      <c r="C3552" s="6" t="s">
        <v>747</v>
      </c>
      <c r="D3552" s="6" t="s">
        <v>745</v>
      </c>
      <c r="E3552" s="6" t="s">
        <v>17</v>
      </c>
      <c r="F3552" s="6" t="s">
        <v>20</v>
      </c>
      <c r="G3552" s="6" t="s">
        <v>208</v>
      </c>
      <c r="H3552" s="6" t="s">
        <v>468</v>
      </c>
      <c r="I3552" s="6" t="s">
        <v>469</v>
      </c>
      <c r="J3552" s="6">
        <v>15.759485314938001</v>
      </c>
      <c r="K3552" s="6">
        <v>-96.146159452508996</v>
      </c>
      <c r="L3552" s="6" t="str">
        <f>HYPERLINK("https://maps.google.com/?q=15.759485314938383,-96.146159452508698", "🔗 Ver Mapa")</f>
        <v>🔗 Ver Mapa</v>
      </c>
    </row>
    <row r="3553" spans="1:12" ht="43.5" x14ac:dyDescent="0.35">
      <c r="A3553" s="5" t="s">
        <v>288</v>
      </c>
      <c r="B3553" s="5" t="s">
        <v>289</v>
      </c>
      <c r="C3553" s="5" t="s">
        <v>747</v>
      </c>
      <c r="D3553" s="5" t="s">
        <v>745</v>
      </c>
      <c r="E3553" s="5" t="s">
        <v>17</v>
      </c>
      <c r="F3553" s="5" t="s">
        <v>20</v>
      </c>
      <c r="G3553" s="5" t="s">
        <v>208</v>
      </c>
      <c r="H3553" s="5" t="s">
        <v>468</v>
      </c>
      <c r="I3553" s="5" t="s">
        <v>469</v>
      </c>
      <c r="J3553" s="5">
        <v>15.760058603892</v>
      </c>
      <c r="K3553" s="5">
        <v>-96.148557427512003</v>
      </c>
      <c r="L3553" s="5" t="str">
        <f>HYPERLINK("https://maps.google.com/?q=15.76005860389238,-96.148557427511619", "🔗 Ver Mapa")</f>
        <v>🔗 Ver Mapa</v>
      </c>
    </row>
    <row r="3554" spans="1:12" ht="43.5" x14ac:dyDescent="0.35">
      <c r="A3554" s="6" t="s">
        <v>288</v>
      </c>
      <c r="B3554" s="6" t="s">
        <v>289</v>
      </c>
      <c r="C3554" s="6" t="s">
        <v>747</v>
      </c>
      <c r="D3554" s="6" t="s">
        <v>745</v>
      </c>
      <c r="E3554" s="6" t="s">
        <v>17</v>
      </c>
      <c r="F3554" s="6" t="s">
        <v>20</v>
      </c>
      <c r="G3554" s="6" t="s">
        <v>208</v>
      </c>
      <c r="H3554" s="6" t="s">
        <v>468</v>
      </c>
      <c r="I3554" s="6" t="s">
        <v>469</v>
      </c>
      <c r="J3554" s="6">
        <v>15.760125680971999</v>
      </c>
      <c r="K3554" s="6">
        <v>-96.146784636104002</v>
      </c>
      <c r="L3554" s="6" t="str">
        <f>HYPERLINK("https://maps.google.com/?q=15.76012568097185,-96.146784636103774", "🔗 Ver Mapa")</f>
        <v>🔗 Ver Mapa</v>
      </c>
    </row>
    <row r="3555" spans="1:12" ht="43.5" x14ac:dyDescent="0.35">
      <c r="A3555" s="5" t="s">
        <v>288</v>
      </c>
      <c r="B3555" s="5" t="s">
        <v>289</v>
      </c>
      <c r="C3555" s="5" t="s">
        <v>747</v>
      </c>
      <c r="D3555" s="5" t="s">
        <v>745</v>
      </c>
      <c r="E3555" s="5" t="s">
        <v>17</v>
      </c>
      <c r="F3555" s="5" t="s">
        <v>20</v>
      </c>
      <c r="G3555" s="5" t="s">
        <v>208</v>
      </c>
      <c r="H3555" s="5" t="s">
        <v>468</v>
      </c>
      <c r="I3555" s="5" t="s">
        <v>469</v>
      </c>
      <c r="J3555" s="5">
        <v>15.760192343398</v>
      </c>
      <c r="K3555" s="5">
        <v>-96.149115092811996</v>
      </c>
      <c r="L3555" s="5" t="str">
        <f>HYPERLINK("https://maps.google.com/?q=15.760192343398451,-96.149115092811627", "🔗 Ver Mapa")</f>
        <v>🔗 Ver Mapa</v>
      </c>
    </row>
    <row r="3556" spans="1:12" ht="43.5" x14ac:dyDescent="0.35">
      <c r="A3556" s="6" t="s">
        <v>288</v>
      </c>
      <c r="B3556" s="6" t="s">
        <v>289</v>
      </c>
      <c r="C3556" s="6" t="s">
        <v>747</v>
      </c>
      <c r="D3556" s="6" t="s">
        <v>745</v>
      </c>
      <c r="E3556" s="6" t="s">
        <v>17</v>
      </c>
      <c r="F3556" s="6" t="s">
        <v>20</v>
      </c>
      <c r="G3556" s="6" t="s">
        <v>208</v>
      </c>
      <c r="H3556" s="6" t="s">
        <v>468</v>
      </c>
      <c r="I3556" s="6" t="s">
        <v>469</v>
      </c>
      <c r="J3556" s="6">
        <v>15.760368703407</v>
      </c>
      <c r="K3556" s="6">
        <v>-96.145345104396</v>
      </c>
      <c r="L3556" s="6" t="str">
        <f>HYPERLINK("https://maps.google.com/?q=15.760368703406533,-96.145345104396114", "🔗 Ver Mapa")</f>
        <v>🔗 Ver Mapa</v>
      </c>
    </row>
    <row r="3557" spans="1:12" ht="43.5" x14ac:dyDescent="0.35">
      <c r="A3557" s="5" t="s">
        <v>288</v>
      </c>
      <c r="B3557" s="5" t="s">
        <v>289</v>
      </c>
      <c r="C3557" s="5" t="s">
        <v>747</v>
      </c>
      <c r="D3557" s="5" t="s">
        <v>745</v>
      </c>
      <c r="E3557" s="5" t="s">
        <v>17</v>
      </c>
      <c r="F3557" s="5" t="s">
        <v>20</v>
      </c>
      <c r="G3557" s="5" t="s">
        <v>208</v>
      </c>
      <c r="H3557" s="5" t="s">
        <v>468</v>
      </c>
      <c r="I3557" s="5" t="s">
        <v>469</v>
      </c>
      <c r="J3557" s="5">
        <v>15.76080621763</v>
      </c>
      <c r="K3557" s="5">
        <v>-96.149097192937006</v>
      </c>
      <c r="L3557" s="5" t="str">
        <f>HYPERLINK("https://maps.google.com/?q=15.760806217630273,-96.149097192936509", "🔗 Ver Mapa")</f>
        <v>🔗 Ver Mapa</v>
      </c>
    </row>
    <row r="3558" spans="1:12" ht="43.5" x14ac:dyDescent="0.35">
      <c r="A3558" s="6" t="s">
        <v>288</v>
      </c>
      <c r="B3558" s="6" t="s">
        <v>289</v>
      </c>
      <c r="C3558" s="6" t="s">
        <v>747</v>
      </c>
      <c r="D3558" s="6" t="s">
        <v>745</v>
      </c>
      <c r="E3558" s="6" t="s">
        <v>17</v>
      </c>
      <c r="F3558" s="6" t="s">
        <v>20</v>
      </c>
      <c r="G3558" s="6" t="s">
        <v>208</v>
      </c>
      <c r="H3558" s="6" t="s">
        <v>468</v>
      </c>
      <c r="I3558" s="6" t="s">
        <v>469</v>
      </c>
      <c r="J3558" s="6">
        <v>15.760985328855</v>
      </c>
      <c r="K3558" s="6">
        <v>-96.148292689886006</v>
      </c>
      <c r="L3558" s="6" t="str">
        <f>HYPERLINK("https://maps.google.com/?q=15.76098532885463,-96.148292689886304", "🔗 Ver Mapa")</f>
        <v>🔗 Ver Mapa</v>
      </c>
    </row>
    <row r="3559" spans="1:12" ht="43.5" x14ac:dyDescent="0.35">
      <c r="A3559" s="5" t="s">
        <v>288</v>
      </c>
      <c r="B3559" s="5" t="s">
        <v>289</v>
      </c>
      <c r="C3559" s="5" t="s">
        <v>747</v>
      </c>
      <c r="D3559" s="5" t="s">
        <v>745</v>
      </c>
      <c r="E3559" s="5" t="s">
        <v>17</v>
      </c>
      <c r="F3559" s="5" t="s">
        <v>20</v>
      </c>
      <c r="G3559" s="5" t="s">
        <v>208</v>
      </c>
      <c r="H3559" s="5" t="s">
        <v>468</v>
      </c>
      <c r="I3559" s="5" t="s">
        <v>469</v>
      </c>
      <c r="J3559" s="5">
        <v>15.761431554310001</v>
      </c>
      <c r="K3559" s="5">
        <v>-96.148575549187996</v>
      </c>
      <c r="L3559" s="5" t="str">
        <f>HYPERLINK("https://maps.google.com/?q=15.761431554309501,-96.148575549187569", "🔗 Ver Mapa")</f>
        <v>🔗 Ver Mapa</v>
      </c>
    </row>
    <row r="3560" spans="1:12" ht="43.5" x14ac:dyDescent="0.35">
      <c r="A3560" s="6" t="s">
        <v>288</v>
      </c>
      <c r="B3560" s="6" t="s">
        <v>289</v>
      </c>
      <c r="C3560" s="6" t="s">
        <v>747</v>
      </c>
      <c r="D3560" s="6" t="s">
        <v>745</v>
      </c>
      <c r="E3560" s="6" t="s">
        <v>17</v>
      </c>
      <c r="F3560" s="6" t="s">
        <v>20</v>
      </c>
      <c r="G3560" s="6" t="s">
        <v>208</v>
      </c>
      <c r="H3560" s="6" t="s">
        <v>468</v>
      </c>
      <c r="I3560" s="6" t="s">
        <v>469</v>
      </c>
      <c r="J3560" s="6">
        <v>15.761508864094999</v>
      </c>
      <c r="K3560" s="6">
        <v>-96.146205763970002</v>
      </c>
      <c r="L3560" s="6" t="str">
        <f>HYPERLINK("https://maps.google.com/?q=15.761508864094752,-96.146205763969874", "🔗 Ver Mapa")</f>
        <v>🔗 Ver Mapa</v>
      </c>
    </row>
    <row r="3561" spans="1:12" ht="43.5" x14ac:dyDescent="0.35">
      <c r="A3561" s="5" t="s">
        <v>288</v>
      </c>
      <c r="B3561" s="5" t="s">
        <v>289</v>
      </c>
      <c r="C3561" s="5" t="s">
        <v>747</v>
      </c>
      <c r="D3561" s="5" t="s">
        <v>745</v>
      </c>
      <c r="E3561" s="5" t="s">
        <v>17</v>
      </c>
      <c r="F3561" s="5" t="s">
        <v>20</v>
      </c>
      <c r="G3561" s="5" t="s">
        <v>208</v>
      </c>
      <c r="H3561" s="5" t="s">
        <v>468</v>
      </c>
      <c r="I3561" s="5" t="s">
        <v>469</v>
      </c>
      <c r="J3561" s="5">
        <v>15.761599627195</v>
      </c>
      <c r="K3561" s="5">
        <v>-96.145551702548005</v>
      </c>
      <c r="L3561" s="5" t="str">
        <f>HYPERLINK("https://maps.google.com/?q=15.761599627195036,-96.145551702548488", "🔗 Ver Mapa")</f>
        <v>🔗 Ver Mapa</v>
      </c>
    </row>
    <row r="3562" spans="1:12" ht="43.5" x14ac:dyDescent="0.35">
      <c r="A3562" s="6" t="s">
        <v>288</v>
      </c>
      <c r="B3562" s="6" t="s">
        <v>289</v>
      </c>
      <c r="C3562" s="6" t="s">
        <v>747</v>
      </c>
      <c r="D3562" s="6" t="s">
        <v>745</v>
      </c>
      <c r="E3562" s="6" t="s">
        <v>17</v>
      </c>
      <c r="F3562" s="6" t="s">
        <v>20</v>
      </c>
      <c r="G3562" s="6" t="s">
        <v>208</v>
      </c>
      <c r="H3562" s="6" t="s">
        <v>468</v>
      </c>
      <c r="I3562" s="6" t="s">
        <v>469</v>
      </c>
      <c r="J3562" s="6">
        <v>15.762097115767</v>
      </c>
      <c r="K3562" s="6">
        <v>-96.146300120380005</v>
      </c>
      <c r="L3562" s="6" t="str">
        <f>HYPERLINK("https://maps.google.com/?q=15.762097115766958,-96.146300120380317", "🔗 Ver Mapa")</f>
        <v>🔗 Ver Mapa</v>
      </c>
    </row>
    <row r="3563" spans="1:12" ht="43.5" x14ac:dyDescent="0.35">
      <c r="A3563" s="5" t="s">
        <v>288</v>
      </c>
      <c r="B3563" s="5" t="s">
        <v>289</v>
      </c>
      <c r="C3563" s="5" t="s">
        <v>748</v>
      </c>
      <c r="D3563" s="5" t="s">
        <v>745</v>
      </c>
      <c r="E3563" s="5" t="s">
        <v>17</v>
      </c>
      <c r="F3563" s="5" t="s">
        <v>20</v>
      </c>
      <c r="G3563" s="5" t="s">
        <v>208</v>
      </c>
      <c r="H3563" s="5" t="s">
        <v>468</v>
      </c>
      <c r="I3563" s="5" t="s">
        <v>469</v>
      </c>
      <c r="J3563" s="5">
        <v>15.775228435323999</v>
      </c>
      <c r="K3563" s="5">
        <v>-96.136016151004</v>
      </c>
      <c r="L3563" s="5" t="str">
        <f>HYPERLINK("https://maps.google.com/?q=15.775228435324351,-96.136016151003531", "🔗 Ver Mapa")</f>
        <v>🔗 Ver Mapa</v>
      </c>
    </row>
    <row r="3564" spans="1:12" ht="43.5" x14ac:dyDescent="0.35">
      <c r="A3564" s="6" t="s">
        <v>288</v>
      </c>
      <c r="B3564" s="6" t="s">
        <v>289</v>
      </c>
      <c r="C3564" s="6" t="s">
        <v>748</v>
      </c>
      <c r="D3564" s="6" t="s">
        <v>745</v>
      </c>
      <c r="E3564" s="6" t="s">
        <v>17</v>
      </c>
      <c r="F3564" s="6" t="s">
        <v>20</v>
      </c>
      <c r="G3564" s="6" t="s">
        <v>208</v>
      </c>
      <c r="H3564" s="6" t="s">
        <v>468</v>
      </c>
      <c r="I3564" s="6" t="s">
        <v>469</v>
      </c>
      <c r="J3564" s="6">
        <v>15.775322657332</v>
      </c>
      <c r="K3564" s="6">
        <v>-96.136313264921</v>
      </c>
      <c r="L3564" s="6" t="str">
        <f>HYPERLINK("https://maps.google.com/?q=15.775322657332042,-96.136313264921213", "🔗 Ver Mapa")</f>
        <v>🔗 Ver Mapa</v>
      </c>
    </row>
    <row r="3565" spans="1:12" ht="43.5" x14ac:dyDescent="0.35">
      <c r="A3565" s="5" t="s">
        <v>288</v>
      </c>
      <c r="B3565" s="5" t="s">
        <v>289</v>
      </c>
      <c r="C3565" s="5" t="s">
        <v>748</v>
      </c>
      <c r="D3565" s="5" t="s">
        <v>745</v>
      </c>
      <c r="E3565" s="5" t="s">
        <v>17</v>
      </c>
      <c r="F3565" s="5" t="s">
        <v>20</v>
      </c>
      <c r="G3565" s="5" t="s">
        <v>208</v>
      </c>
      <c r="H3565" s="5" t="s">
        <v>468</v>
      </c>
      <c r="I3565" s="5" t="s">
        <v>469</v>
      </c>
      <c r="J3565" s="5">
        <v>15.775341820945</v>
      </c>
      <c r="K3565" s="5">
        <v>-96.136396931300993</v>
      </c>
      <c r="L3565" s="5" t="str">
        <f>HYPERLINK("https://maps.google.com/?q=15.775341820944572,-96.136396931300723", "🔗 Ver Mapa")</f>
        <v>🔗 Ver Mapa</v>
      </c>
    </row>
    <row r="3566" spans="1:12" ht="43.5" x14ac:dyDescent="0.35">
      <c r="A3566" s="6" t="s">
        <v>288</v>
      </c>
      <c r="B3566" s="6" t="s">
        <v>289</v>
      </c>
      <c r="C3566" s="6" t="s">
        <v>748</v>
      </c>
      <c r="D3566" s="6" t="s">
        <v>745</v>
      </c>
      <c r="E3566" s="6" t="s">
        <v>17</v>
      </c>
      <c r="F3566" s="6" t="s">
        <v>20</v>
      </c>
      <c r="G3566" s="6" t="s">
        <v>208</v>
      </c>
      <c r="H3566" s="6" t="s">
        <v>468</v>
      </c>
      <c r="I3566" s="6" t="s">
        <v>469</v>
      </c>
      <c r="J3566" s="6">
        <v>15.775359265482001</v>
      </c>
      <c r="K3566" s="6">
        <v>-96.136350055465002</v>
      </c>
      <c r="L3566" s="6" t="str">
        <f>HYPERLINK("https://maps.google.com/?q=15.77535926548166,-96.136350055465272", "🔗 Ver Mapa")</f>
        <v>🔗 Ver Mapa</v>
      </c>
    </row>
    <row r="3567" spans="1:12" ht="43.5" x14ac:dyDescent="0.35">
      <c r="A3567" s="5" t="s">
        <v>288</v>
      </c>
      <c r="B3567" s="5" t="s">
        <v>289</v>
      </c>
      <c r="C3567" s="5" t="s">
        <v>748</v>
      </c>
      <c r="D3567" s="5" t="s">
        <v>745</v>
      </c>
      <c r="E3567" s="5" t="s">
        <v>17</v>
      </c>
      <c r="F3567" s="5" t="s">
        <v>20</v>
      </c>
      <c r="G3567" s="5" t="s">
        <v>208</v>
      </c>
      <c r="H3567" s="5" t="s">
        <v>468</v>
      </c>
      <c r="I3567" s="5" t="s">
        <v>469</v>
      </c>
      <c r="J3567" s="5">
        <v>15.775427627121999</v>
      </c>
      <c r="K3567" s="5">
        <v>-96.136740794689999</v>
      </c>
      <c r="L3567" s="5" t="str">
        <f>HYPERLINK("https://maps.google.com/?q=15.775427627121921,-96.136740794690326", "🔗 Ver Mapa")</f>
        <v>🔗 Ver Mapa</v>
      </c>
    </row>
    <row r="3568" spans="1:12" ht="43.5" x14ac:dyDescent="0.35">
      <c r="A3568" s="6" t="s">
        <v>288</v>
      </c>
      <c r="B3568" s="6" t="s">
        <v>289</v>
      </c>
      <c r="C3568" s="6" t="s">
        <v>748</v>
      </c>
      <c r="D3568" s="6" t="s">
        <v>745</v>
      </c>
      <c r="E3568" s="6" t="s">
        <v>17</v>
      </c>
      <c r="F3568" s="6" t="s">
        <v>20</v>
      </c>
      <c r="G3568" s="6" t="s">
        <v>208</v>
      </c>
      <c r="H3568" s="6" t="s">
        <v>468</v>
      </c>
      <c r="I3568" s="6" t="s">
        <v>469</v>
      </c>
      <c r="J3568" s="6">
        <v>15.775457236435001</v>
      </c>
      <c r="K3568" s="6">
        <v>-96.136246091643002</v>
      </c>
      <c r="L3568" s="6" t="str">
        <f>HYPERLINK("https://maps.google.com/?q=15.775457236434793,-96.136246091642832", "🔗 Ver Mapa")</f>
        <v>🔗 Ver Mapa</v>
      </c>
    </row>
    <row r="3569" spans="1:12" ht="43.5" x14ac:dyDescent="0.35">
      <c r="A3569" s="5" t="s">
        <v>288</v>
      </c>
      <c r="B3569" s="5" t="s">
        <v>289</v>
      </c>
      <c r="C3569" s="5" t="s">
        <v>748</v>
      </c>
      <c r="D3569" s="5" t="s">
        <v>745</v>
      </c>
      <c r="E3569" s="5" t="s">
        <v>17</v>
      </c>
      <c r="F3569" s="5" t="s">
        <v>20</v>
      </c>
      <c r="G3569" s="5" t="s">
        <v>208</v>
      </c>
      <c r="H3569" s="5" t="s">
        <v>468</v>
      </c>
      <c r="I3569" s="5" t="s">
        <v>469</v>
      </c>
      <c r="J3569" s="5">
        <v>15.775466076783999</v>
      </c>
      <c r="K3569" s="5">
        <v>-96.136917452145994</v>
      </c>
      <c r="L3569" s="5" t="str">
        <f>HYPERLINK("https://maps.google.com/?q=15.775466076783605,-96.136917452146292", "🔗 Ver Mapa")</f>
        <v>🔗 Ver Mapa</v>
      </c>
    </row>
    <row r="3570" spans="1:12" ht="43.5" x14ac:dyDescent="0.35">
      <c r="A3570" s="6" t="s">
        <v>288</v>
      </c>
      <c r="B3570" s="6" t="s">
        <v>289</v>
      </c>
      <c r="C3570" s="6" t="s">
        <v>748</v>
      </c>
      <c r="D3570" s="6" t="s">
        <v>745</v>
      </c>
      <c r="E3570" s="6" t="s">
        <v>17</v>
      </c>
      <c r="F3570" s="6" t="s">
        <v>20</v>
      </c>
      <c r="G3570" s="6" t="s">
        <v>208</v>
      </c>
      <c r="H3570" s="6" t="s">
        <v>468</v>
      </c>
      <c r="I3570" s="6" t="s">
        <v>469</v>
      </c>
      <c r="J3570" s="6">
        <v>15.775467739214999</v>
      </c>
      <c r="K3570" s="6">
        <v>-96.136357858222993</v>
      </c>
      <c r="L3570" s="6" t="str">
        <f>HYPERLINK("https://maps.google.com/?q=15.77546773921483,-96.136357858222851", "🔗 Ver Mapa")</f>
        <v>🔗 Ver Mapa</v>
      </c>
    </row>
    <row r="3571" spans="1:12" ht="43.5" x14ac:dyDescent="0.35">
      <c r="A3571" s="5" t="s">
        <v>288</v>
      </c>
      <c r="B3571" s="5" t="s">
        <v>289</v>
      </c>
      <c r="C3571" s="5" t="s">
        <v>748</v>
      </c>
      <c r="D3571" s="5" t="s">
        <v>745</v>
      </c>
      <c r="E3571" s="5" t="s">
        <v>17</v>
      </c>
      <c r="F3571" s="5" t="s">
        <v>20</v>
      </c>
      <c r="G3571" s="5" t="s">
        <v>208</v>
      </c>
      <c r="H3571" s="5" t="s">
        <v>468</v>
      </c>
      <c r="I3571" s="5" t="s">
        <v>469</v>
      </c>
      <c r="J3571" s="5">
        <v>15.775495382560001</v>
      </c>
      <c r="K3571" s="5">
        <v>-96.135713964030998</v>
      </c>
      <c r="L3571" s="5" t="str">
        <f>HYPERLINK("https://maps.google.com/?q=15.775495382559859,-96.135713964030813", "🔗 Ver Mapa")</f>
        <v>🔗 Ver Mapa</v>
      </c>
    </row>
    <row r="3572" spans="1:12" ht="43.5" x14ac:dyDescent="0.35">
      <c r="A3572" s="6" t="s">
        <v>288</v>
      </c>
      <c r="B3572" s="6" t="s">
        <v>289</v>
      </c>
      <c r="C3572" s="6" t="s">
        <v>748</v>
      </c>
      <c r="D3572" s="6" t="s">
        <v>745</v>
      </c>
      <c r="E3572" s="6" t="s">
        <v>17</v>
      </c>
      <c r="F3572" s="6" t="s">
        <v>20</v>
      </c>
      <c r="G3572" s="6" t="s">
        <v>208</v>
      </c>
      <c r="H3572" s="6" t="s">
        <v>468</v>
      </c>
      <c r="I3572" s="6" t="s">
        <v>469</v>
      </c>
      <c r="J3572" s="6">
        <v>15.775495751017999</v>
      </c>
      <c r="K3572" s="6">
        <v>-96.135741937369005</v>
      </c>
      <c r="L3572" s="6" t="str">
        <f>HYPERLINK("https://maps.google.com/?q=15.775495751018237,-96.135741937368806", "🔗 Ver Mapa")</f>
        <v>🔗 Ver Mapa</v>
      </c>
    </row>
    <row r="3573" spans="1:12" ht="43.5" x14ac:dyDescent="0.35">
      <c r="A3573" s="5" t="s">
        <v>288</v>
      </c>
      <c r="B3573" s="5" t="s">
        <v>289</v>
      </c>
      <c r="C3573" s="5" t="s">
        <v>748</v>
      </c>
      <c r="D3573" s="5" t="s">
        <v>745</v>
      </c>
      <c r="E3573" s="5" t="s">
        <v>17</v>
      </c>
      <c r="F3573" s="5" t="s">
        <v>20</v>
      </c>
      <c r="G3573" s="5" t="s">
        <v>208</v>
      </c>
      <c r="H3573" s="5" t="s">
        <v>468</v>
      </c>
      <c r="I3573" s="5" t="s">
        <v>469</v>
      </c>
      <c r="J3573" s="5">
        <v>15.775553668263999</v>
      </c>
      <c r="K3573" s="5">
        <v>-96.136711046244997</v>
      </c>
      <c r="L3573" s="5" t="str">
        <f>HYPERLINK("https://maps.google.com/?q=15.775553668263662,-96.136711046245011", "🔗 Ver Mapa")</f>
        <v>🔗 Ver Mapa</v>
      </c>
    </row>
    <row r="3574" spans="1:12" ht="43.5" x14ac:dyDescent="0.35">
      <c r="A3574" s="6" t="s">
        <v>288</v>
      </c>
      <c r="B3574" s="6" t="s">
        <v>289</v>
      </c>
      <c r="C3574" s="6" t="s">
        <v>748</v>
      </c>
      <c r="D3574" s="6" t="s">
        <v>745</v>
      </c>
      <c r="E3574" s="6" t="s">
        <v>17</v>
      </c>
      <c r="F3574" s="6" t="s">
        <v>20</v>
      </c>
      <c r="G3574" s="6" t="s">
        <v>208</v>
      </c>
      <c r="H3574" s="6" t="s">
        <v>468</v>
      </c>
      <c r="I3574" s="6" t="s">
        <v>469</v>
      </c>
      <c r="J3574" s="6">
        <v>15.775610176464999</v>
      </c>
      <c r="K3574" s="6">
        <v>-96.136887450225004</v>
      </c>
      <c r="L3574" s="6" t="str">
        <f>HYPERLINK("https://maps.google.com/?q=15.775610176464685,-96.136887450225316", "🔗 Ver Mapa")</f>
        <v>🔗 Ver Mapa</v>
      </c>
    </row>
    <row r="3575" spans="1:12" ht="43.5" x14ac:dyDescent="0.35">
      <c r="A3575" s="5" t="s">
        <v>288</v>
      </c>
      <c r="B3575" s="5" t="s">
        <v>289</v>
      </c>
      <c r="C3575" s="5" t="s">
        <v>748</v>
      </c>
      <c r="D3575" s="5" t="s">
        <v>745</v>
      </c>
      <c r="E3575" s="5" t="s">
        <v>17</v>
      </c>
      <c r="F3575" s="5" t="s">
        <v>20</v>
      </c>
      <c r="G3575" s="5" t="s">
        <v>208</v>
      </c>
      <c r="H3575" s="5" t="s">
        <v>468</v>
      </c>
      <c r="I3575" s="5" t="s">
        <v>469</v>
      </c>
      <c r="J3575" s="5">
        <v>15.775620433401</v>
      </c>
      <c r="K3575" s="5">
        <v>-96.136980568054994</v>
      </c>
      <c r="L3575" s="5" t="str">
        <f>HYPERLINK("https://maps.google.com/?q=15.77562043340116,-96.136980568055193", "🔗 Ver Mapa")</f>
        <v>🔗 Ver Mapa</v>
      </c>
    </row>
    <row r="3576" spans="1:12" ht="43.5" x14ac:dyDescent="0.35">
      <c r="A3576" s="6" t="s">
        <v>288</v>
      </c>
      <c r="B3576" s="6" t="s">
        <v>289</v>
      </c>
      <c r="C3576" s="6" t="s">
        <v>748</v>
      </c>
      <c r="D3576" s="6" t="s">
        <v>745</v>
      </c>
      <c r="E3576" s="6" t="s">
        <v>17</v>
      </c>
      <c r="F3576" s="6" t="s">
        <v>20</v>
      </c>
      <c r="G3576" s="6" t="s">
        <v>208</v>
      </c>
      <c r="H3576" s="6" t="s">
        <v>468</v>
      </c>
      <c r="I3576" s="6" t="s">
        <v>469</v>
      </c>
      <c r="J3576" s="6">
        <v>15.775757844620999</v>
      </c>
      <c r="K3576" s="6">
        <v>-96.135756908028</v>
      </c>
      <c r="L3576" s="6" t="str">
        <f>HYPERLINK("https://maps.google.com/?q=15.775757844620973,-96.1357569080281", "🔗 Ver Mapa")</f>
        <v>🔗 Ver Mapa</v>
      </c>
    </row>
    <row r="3577" spans="1:12" ht="43.5" x14ac:dyDescent="0.35">
      <c r="A3577" s="5" t="s">
        <v>288</v>
      </c>
      <c r="B3577" s="5" t="s">
        <v>289</v>
      </c>
      <c r="C3577" s="5" t="s">
        <v>748</v>
      </c>
      <c r="D3577" s="5" t="s">
        <v>745</v>
      </c>
      <c r="E3577" s="5" t="s">
        <v>17</v>
      </c>
      <c r="F3577" s="5" t="s">
        <v>20</v>
      </c>
      <c r="G3577" s="5" t="s">
        <v>208</v>
      </c>
      <c r="H3577" s="5" t="s">
        <v>468</v>
      </c>
      <c r="I3577" s="5" t="s">
        <v>469</v>
      </c>
      <c r="J3577" s="5">
        <v>15.775825779569001</v>
      </c>
      <c r="K3577" s="5">
        <v>-96.135429537228006</v>
      </c>
      <c r="L3577" s="5" t="str">
        <f>HYPERLINK("https://maps.google.com/?q=15.775825779569278,-96.13542953722839", "🔗 Ver Mapa")</f>
        <v>🔗 Ver Mapa</v>
      </c>
    </row>
    <row r="3578" spans="1:12" ht="43.5" x14ac:dyDescent="0.35">
      <c r="A3578" s="6" t="s">
        <v>288</v>
      </c>
      <c r="B3578" s="6" t="s">
        <v>289</v>
      </c>
      <c r="C3578" s="6" t="s">
        <v>748</v>
      </c>
      <c r="D3578" s="6" t="s">
        <v>745</v>
      </c>
      <c r="E3578" s="6" t="s">
        <v>17</v>
      </c>
      <c r="F3578" s="6" t="s">
        <v>20</v>
      </c>
      <c r="G3578" s="6" t="s">
        <v>208</v>
      </c>
      <c r="H3578" s="6" t="s">
        <v>468</v>
      </c>
      <c r="I3578" s="6" t="s">
        <v>469</v>
      </c>
      <c r="J3578" s="6">
        <v>15.775830070390001</v>
      </c>
      <c r="K3578" s="6">
        <v>-96.137126843611995</v>
      </c>
      <c r="L3578" s="6" t="str">
        <f>HYPERLINK("https://maps.google.com/?q=15.775830070390418,-96.137126843612066", "🔗 Ver Mapa")</f>
        <v>🔗 Ver Mapa</v>
      </c>
    </row>
    <row r="3579" spans="1:12" ht="43.5" x14ac:dyDescent="0.35">
      <c r="A3579" s="5" t="s">
        <v>288</v>
      </c>
      <c r="B3579" s="5" t="s">
        <v>289</v>
      </c>
      <c r="C3579" s="5" t="s">
        <v>748</v>
      </c>
      <c r="D3579" s="5" t="s">
        <v>745</v>
      </c>
      <c r="E3579" s="5" t="s">
        <v>17</v>
      </c>
      <c r="F3579" s="5" t="s">
        <v>20</v>
      </c>
      <c r="G3579" s="5" t="s">
        <v>208</v>
      </c>
      <c r="H3579" s="5" t="s">
        <v>468</v>
      </c>
      <c r="I3579" s="5" t="s">
        <v>469</v>
      </c>
      <c r="J3579" s="5">
        <v>15.775975152215</v>
      </c>
      <c r="K3579" s="5">
        <v>-96.137171437570004</v>
      </c>
      <c r="L3579" s="5" t="str">
        <f>HYPERLINK("https://maps.google.com/?q=15.775975152214615,-96.13717143757026", "🔗 Ver Mapa")</f>
        <v>🔗 Ver Mapa</v>
      </c>
    </row>
    <row r="3580" spans="1:12" ht="43.5" x14ac:dyDescent="0.35">
      <c r="A3580" s="6" t="s">
        <v>288</v>
      </c>
      <c r="B3580" s="6" t="s">
        <v>289</v>
      </c>
      <c r="C3580" s="6" t="s">
        <v>748</v>
      </c>
      <c r="D3580" s="6" t="s">
        <v>745</v>
      </c>
      <c r="E3580" s="6" t="s">
        <v>17</v>
      </c>
      <c r="F3580" s="6" t="s">
        <v>20</v>
      </c>
      <c r="G3580" s="6" t="s">
        <v>208</v>
      </c>
      <c r="H3580" s="6" t="s">
        <v>468</v>
      </c>
      <c r="I3580" s="6" t="s">
        <v>469</v>
      </c>
      <c r="J3580" s="6">
        <v>15.775998622666</v>
      </c>
      <c r="K3580" s="6">
        <v>-96.136210509319</v>
      </c>
      <c r="L3580" s="6" t="str">
        <f>HYPERLINK("https://maps.google.com/?q=15.775998622665842,-96.136210509318573", "🔗 Ver Mapa")</f>
        <v>🔗 Ver Mapa</v>
      </c>
    </row>
    <row r="3581" spans="1:12" ht="43.5" x14ac:dyDescent="0.35">
      <c r="A3581" s="5" t="s">
        <v>288</v>
      </c>
      <c r="B3581" s="5" t="s">
        <v>289</v>
      </c>
      <c r="C3581" s="5" t="s">
        <v>748</v>
      </c>
      <c r="D3581" s="5" t="s">
        <v>745</v>
      </c>
      <c r="E3581" s="5" t="s">
        <v>17</v>
      </c>
      <c r="F3581" s="5" t="s">
        <v>20</v>
      </c>
      <c r="G3581" s="5" t="s">
        <v>208</v>
      </c>
      <c r="H3581" s="5" t="s">
        <v>468</v>
      </c>
      <c r="I3581" s="5" t="s">
        <v>469</v>
      </c>
      <c r="J3581" s="5">
        <v>15.776027240715001</v>
      </c>
      <c r="K3581" s="5">
        <v>-96.137012160726997</v>
      </c>
      <c r="L3581" s="5" t="str">
        <f>HYPERLINK("https://maps.google.com/?q=15.7760272407148,-96.137012160726911", "🔗 Ver Mapa")</f>
        <v>🔗 Ver Mapa</v>
      </c>
    </row>
    <row r="3582" spans="1:12" ht="43.5" x14ac:dyDescent="0.35">
      <c r="A3582" s="6" t="s">
        <v>288</v>
      </c>
      <c r="B3582" s="6" t="s">
        <v>289</v>
      </c>
      <c r="C3582" s="6" t="s">
        <v>748</v>
      </c>
      <c r="D3582" s="6" t="s">
        <v>745</v>
      </c>
      <c r="E3582" s="6" t="s">
        <v>17</v>
      </c>
      <c r="F3582" s="6" t="s">
        <v>20</v>
      </c>
      <c r="G3582" s="6" t="s">
        <v>208</v>
      </c>
      <c r="H3582" s="6" t="s">
        <v>468</v>
      </c>
      <c r="I3582" s="6" t="s">
        <v>469</v>
      </c>
      <c r="J3582" s="6">
        <v>15.77602927151</v>
      </c>
      <c r="K3582" s="6">
        <v>-96.136480538647007</v>
      </c>
      <c r="L3582" s="6" t="str">
        <f>HYPERLINK("https://maps.google.com/?q=15.77602927151034,-96.136480538647177", "🔗 Ver Mapa")</f>
        <v>🔗 Ver Mapa</v>
      </c>
    </row>
    <row r="3583" spans="1:12" ht="43.5" x14ac:dyDescent="0.35">
      <c r="A3583" s="5" t="s">
        <v>288</v>
      </c>
      <c r="B3583" s="5" t="s">
        <v>289</v>
      </c>
      <c r="C3583" s="5" t="s">
        <v>748</v>
      </c>
      <c r="D3583" s="5" t="s">
        <v>745</v>
      </c>
      <c r="E3583" s="5" t="s">
        <v>17</v>
      </c>
      <c r="F3583" s="5" t="s">
        <v>20</v>
      </c>
      <c r="G3583" s="5" t="s">
        <v>208</v>
      </c>
      <c r="H3583" s="5" t="s">
        <v>468</v>
      </c>
      <c r="I3583" s="5" t="s">
        <v>469</v>
      </c>
      <c r="J3583" s="5">
        <v>15.776049540181999</v>
      </c>
      <c r="K3583" s="5">
        <v>-96.136648125638999</v>
      </c>
      <c r="L3583" s="5" t="str">
        <f>HYPERLINK("https://maps.google.com/?q=15.776049540182251,-96.136648125638729", "🔗 Ver Mapa")</f>
        <v>🔗 Ver Mapa</v>
      </c>
    </row>
    <row r="3584" spans="1:12" ht="43.5" x14ac:dyDescent="0.35">
      <c r="A3584" s="6" t="s">
        <v>288</v>
      </c>
      <c r="B3584" s="6" t="s">
        <v>289</v>
      </c>
      <c r="C3584" s="6" t="s">
        <v>748</v>
      </c>
      <c r="D3584" s="6" t="s">
        <v>745</v>
      </c>
      <c r="E3584" s="6" t="s">
        <v>17</v>
      </c>
      <c r="F3584" s="6" t="s">
        <v>20</v>
      </c>
      <c r="G3584" s="6" t="s">
        <v>208</v>
      </c>
      <c r="H3584" s="6" t="s">
        <v>468</v>
      </c>
      <c r="I3584" s="6" t="s">
        <v>469</v>
      </c>
      <c r="J3584" s="6">
        <v>15.776208194017</v>
      </c>
      <c r="K3584" s="6">
        <v>-96.137037598507007</v>
      </c>
      <c r="L3584" s="6" t="str">
        <f>HYPERLINK("https://maps.google.com/?q=15.776208194017277,-96.137037598507007", "🔗 Ver Mapa")</f>
        <v>🔗 Ver Mapa</v>
      </c>
    </row>
    <row r="3585" spans="1:12" ht="43.5" x14ac:dyDescent="0.35">
      <c r="A3585" s="5" t="s">
        <v>288</v>
      </c>
      <c r="B3585" s="5" t="s">
        <v>289</v>
      </c>
      <c r="C3585" s="5" t="s">
        <v>748</v>
      </c>
      <c r="D3585" s="5" t="s">
        <v>745</v>
      </c>
      <c r="E3585" s="5" t="s">
        <v>17</v>
      </c>
      <c r="F3585" s="5" t="s">
        <v>20</v>
      </c>
      <c r="G3585" s="5" t="s">
        <v>208</v>
      </c>
      <c r="H3585" s="5" t="s">
        <v>468</v>
      </c>
      <c r="I3585" s="5" t="s">
        <v>469</v>
      </c>
      <c r="J3585" s="5">
        <v>15.776208439554001</v>
      </c>
      <c r="K3585" s="5">
        <v>-96.137056247486001</v>
      </c>
      <c r="L3585" s="5" t="str">
        <f>HYPERLINK("https://maps.google.com/?q=15.776208439553974,-96.137056247485731", "🔗 Ver Mapa")</f>
        <v>🔗 Ver Mapa</v>
      </c>
    </row>
    <row r="3586" spans="1:12" ht="43.5" x14ac:dyDescent="0.35">
      <c r="A3586" s="6" t="s">
        <v>288</v>
      </c>
      <c r="B3586" s="6" t="s">
        <v>289</v>
      </c>
      <c r="C3586" s="6" t="s">
        <v>748</v>
      </c>
      <c r="D3586" s="6" t="s">
        <v>745</v>
      </c>
      <c r="E3586" s="6" t="s">
        <v>17</v>
      </c>
      <c r="F3586" s="6" t="s">
        <v>20</v>
      </c>
      <c r="G3586" s="6" t="s">
        <v>208</v>
      </c>
      <c r="H3586" s="6" t="s">
        <v>468</v>
      </c>
      <c r="I3586" s="6" t="s">
        <v>469</v>
      </c>
      <c r="J3586" s="6">
        <v>15.776260839135</v>
      </c>
      <c r="K3586" s="6">
        <v>-96.136234804994999</v>
      </c>
      <c r="L3586" s="6" t="str">
        <f>HYPERLINK("https://maps.google.com/?q=15.776260839135468,-96.136234804994501", "🔗 Ver Mapa")</f>
        <v>🔗 Ver Mapa</v>
      </c>
    </row>
    <row r="3587" spans="1:12" ht="43.5" x14ac:dyDescent="0.35">
      <c r="A3587" s="5" t="s">
        <v>288</v>
      </c>
      <c r="B3587" s="5" t="s">
        <v>289</v>
      </c>
      <c r="C3587" s="5" t="s">
        <v>748</v>
      </c>
      <c r="D3587" s="5" t="s">
        <v>745</v>
      </c>
      <c r="E3587" s="5" t="s">
        <v>17</v>
      </c>
      <c r="F3587" s="5" t="s">
        <v>20</v>
      </c>
      <c r="G3587" s="5" t="s">
        <v>208</v>
      </c>
      <c r="H3587" s="5" t="s">
        <v>468</v>
      </c>
      <c r="I3587" s="5" t="s">
        <v>469</v>
      </c>
      <c r="J3587" s="5">
        <v>15.776370663681</v>
      </c>
      <c r="K3587" s="5">
        <v>-96.136345177036006</v>
      </c>
      <c r="L3587" s="5" t="str">
        <f>HYPERLINK("https://maps.google.com/?q=15.776370663680698,-96.136345177036077", "🔗 Ver Mapa")</f>
        <v>🔗 Ver Mapa</v>
      </c>
    </row>
    <row r="3588" spans="1:12" ht="43.5" x14ac:dyDescent="0.35">
      <c r="A3588" s="6" t="s">
        <v>288</v>
      </c>
      <c r="B3588" s="6" t="s">
        <v>289</v>
      </c>
      <c r="C3588" s="6" t="s">
        <v>748</v>
      </c>
      <c r="D3588" s="6" t="s">
        <v>745</v>
      </c>
      <c r="E3588" s="6" t="s">
        <v>17</v>
      </c>
      <c r="F3588" s="6" t="s">
        <v>20</v>
      </c>
      <c r="G3588" s="6" t="s">
        <v>208</v>
      </c>
      <c r="H3588" s="6" t="s">
        <v>468</v>
      </c>
      <c r="I3588" s="6" t="s">
        <v>469</v>
      </c>
      <c r="J3588" s="6">
        <v>15.776410100266</v>
      </c>
      <c r="K3588" s="6">
        <v>-96.135225477508001</v>
      </c>
      <c r="L3588" s="6" t="str">
        <f>HYPERLINK("https://maps.google.com/?q=15.776410100265586,-96.135225477508385", "🔗 Ver Mapa")</f>
        <v>🔗 Ver Mapa</v>
      </c>
    </row>
    <row r="3589" spans="1:12" ht="43.5" x14ac:dyDescent="0.35">
      <c r="A3589" s="5" t="s">
        <v>288</v>
      </c>
      <c r="B3589" s="5" t="s">
        <v>289</v>
      </c>
      <c r="C3589" s="5" t="s">
        <v>748</v>
      </c>
      <c r="D3589" s="5" t="s">
        <v>745</v>
      </c>
      <c r="E3589" s="5" t="s">
        <v>17</v>
      </c>
      <c r="F3589" s="5" t="s">
        <v>20</v>
      </c>
      <c r="G3589" s="5" t="s">
        <v>208</v>
      </c>
      <c r="H3589" s="5" t="s">
        <v>468</v>
      </c>
      <c r="I3589" s="5" t="s">
        <v>469</v>
      </c>
      <c r="J3589" s="5">
        <v>15.776446335885</v>
      </c>
      <c r="K3589" s="5">
        <v>-96.136605248378999</v>
      </c>
      <c r="L3589" s="5" t="str">
        <f>HYPERLINK("https://maps.google.com/?q=15.776446335884645,-96.136605248379041", "🔗 Ver Mapa")</f>
        <v>🔗 Ver Mapa</v>
      </c>
    </row>
    <row r="3590" spans="1:12" ht="43.5" x14ac:dyDescent="0.35">
      <c r="A3590" s="6" t="s">
        <v>288</v>
      </c>
      <c r="B3590" s="6" t="s">
        <v>289</v>
      </c>
      <c r="C3590" s="6" t="s">
        <v>748</v>
      </c>
      <c r="D3590" s="6" t="s">
        <v>745</v>
      </c>
      <c r="E3590" s="6" t="s">
        <v>17</v>
      </c>
      <c r="F3590" s="6" t="s">
        <v>20</v>
      </c>
      <c r="G3590" s="6" t="s">
        <v>208</v>
      </c>
      <c r="H3590" s="6" t="s">
        <v>468</v>
      </c>
      <c r="I3590" s="6" t="s">
        <v>469</v>
      </c>
      <c r="J3590" s="6">
        <v>15.776480979367999</v>
      </c>
      <c r="K3590" s="6">
        <v>-96.136492847184996</v>
      </c>
      <c r="L3590" s="6" t="str">
        <f>HYPERLINK("https://maps.google.com/?q=15.776480979368383,-96.13649284718467", "🔗 Ver Mapa")</f>
        <v>🔗 Ver Mapa</v>
      </c>
    </row>
    <row r="3591" spans="1:12" ht="43.5" x14ac:dyDescent="0.35">
      <c r="A3591" s="5" t="s">
        <v>288</v>
      </c>
      <c r="B3591" s="5" t="s">
        <v>289</v>
      </c>
      <c r="C3591" s="5" t="s">
        <v>748</v>
      </c>
      <c r="D3591" s="5" t="s">
        <v>745</v>
      </c>
      <c r="E3591" s="5" t="s">
        <v>17</v>
      </c>
      <c r="F3591" s="5" t="s">
        <v>20</v>
      </c>
      <c r="G3591" s="5" t="s">
        <v>208</v>
      </c>
      <c r="H3591" s="5" t="s">
        <v>468</v>
      </c>
      <c r="I3591" s="5" t="s">
        <v>469</v>
      </c>
      <c r="J3591" s="5">
        <v>15.776497809896</v>
      </c>
      <c r="K3591" s="5">
        <v>-96.136399348587005</v>
      </c>
      <c r="L3591" s="5" t="str">
        <f>HYPERLINK("https://maps.google.com/?q=15.776497809896055,-96.136399348586778", "🔗 Ver Mapa")</f>
        <v>🔗 Ver Mapa</v>
      </c>
    </row>
    <row r="3592" spans="1:12" ht="43.5" x14ac:dyDescent="0.35">
      <c r="A3592" s="6" t="s">
        <v>288</v>
      </c>
      <c r="B3592" s="6" t="s">
        <v>289</v>
      </c>
      <c r="C3592" s="6" t="s">
        <v>748</v>
      </c>
      <c r="D3592" s="6" t="s">
        <v>745</v>
      </c>
      <c r="E3592" s="6" t="s">
        <v>17</v>
      </c>
      <c r="F3592" s="6" t="s">
        <v>20</v>
      </c>
      <c r="G3592" s="6" t="s">
        <v>208</v>
      </c>
      <c r="H3592" s="6" t="s">
        <v>468</v>
      </c>
      <c r="I3592" s="6" t="s">
        <v>469</v>
      </c>
      <c r="J3592" s="6">
        <v>15.776498301086001</v>
      </c>
      <c r="K3592" s="6">
        <v>-96.136436646576996</v>
      </c>
      <c r="L3592" s="6" t="str">
        <f>HYPERLINK("https://maps.google.com/?q=15.776498301086013,-96.136436646576598", "🔗 Ver Mapa")</f>
        <v>🔗 Ver Mapa</v>
      </c>
    </row>
    <row r="3593" spans="1:12" ht="43.5" x14ac:dyDescent="0.35">
      <c r="A3593" s="5" t="s">
        <v>288</v>
      </c>
      <c r="B3593" s="5" t="s">
        <v>289</v>
      </c>
      <c r="C3593" s="5" t="s">
        <v>748</v>
      </c>
      <c r="D3593" s="5" t="s">
        <v>745</v>
      </c>
      <c r="E3593" s="5" t="s">
        <v>17</v>
      </c>
      <c r="F3593" s="5" t="s">
        <v>20</v>
      </c>
      <c r="G3593" s="5" t="s">
        <v>208</v>
      </c>
      <c r="H3593" s="5" t="s">
        <v>468</v>
      </c>
      <c r="I3593" s="5" t="s">
        <v>469</v>
      </c>
      <c r="J3593" s="5">
        <v>15.776517341938</v>
      </c>
      <c r="K3593" s="5">
        <v>-96.136510988940998</v>
      </c>
      <c r="L3593" s="5" t="str">
        <f>HYPERLINK("https://maps.google.com/?q=15.776517341937673,-96.136510988940586", "🔗 Ver Mapa")</f>
        <v>🔗 Ver Mapa</v>
      </c>
    </row>
    <row r="3594" spans="1:12" ht="43.5" x14ac:dyDescent="0.35">
      <c r="A3594" s="6" t="s">
        <v>288</v>
      </c>
      <c r="B3594" s="6" t="s">
        <v>289</v>
      </c>
      <c r="C3594" s="6" t="s">
        <v>748</v>
      </c>
      <c r="D3594" s="6" t="s">
        <v>745</v>
      </c>
      <c r="E3594" s="6" t="s">
        <v>17</v>
      </c>
      <c r="F3594" s="6" t="s">
        <v>20</v>
      </c>
      <c r="G3594" s="6" t="s">
        <v>208</v>
      </c>
      <c r="H3594" s="6" t="s">
        <v>468</v>
      </c>
      <c r="I3594" s="6" t="s">
        <v>469</v>
      </c>
      <c r="J3594" s="6">
        <v>15.776534540862</v>
      </c>
      <c r="K3594" s="6">
        <v>-96.136445463822994</v>
      </c>
      <c r="L3594" s="6" t="str">
        <f>HYPERLINK("https://maps.google.com/?q=15.776534540862151,-96.13644546382325", "🔗 Ver Mapa")</f>
        <v>🔗 Ver Mapa</v>
      </c>
    </row>
    <row r="3595" spans="1:12" ht="43.5" x14ac:dyDescent="0.35">
      <c r="A3595" s="5" t="s">
        <v>288</v>
      </c>
      <c r="B3595" s="5" t="s">
        <v>289</v>
      </c>
      <c r="C3595" s="5" t="s">
        <v>748</v>
      </c>
      <c r="D3595" s="5" t="s">
        <v>745</v>
      </c>
      <c r="E3595" s="5" t="s">
        <v>17</v>
      </c>
      <c r="F3595" s="5" t="s">
        <v>20</v>
      </c>
      <c r="G3595" s="5" t="s">
        <v>208</v>
      </c>
      <c r="H3595" s="5" t="s">
        <v>468</v>
      </c>
      <c r="I3595" s="5" t="s">
        <v>469</v>
      </c>
      <c r="J3595" s="5">
        <v>15.776544675261</v>
      </c>
      <c r="K3595" s="5">
        <v>-96.136529257511</v>
      </c>
      <c r="L3595" s="5" t="str">
        <f>HYPERLINK("https://maps.google.com/?q=15.776544675260858,-96.136529257511427", "🔗 Ver Mapa")</f>
        <v>🔗 Ver Mapa</v>
      </c>
    </row>
    <row r="3596" spans="1:12" ht="43.5" x14ac:dyDescent="0.35">
      <c r="A3596" s="6" t="s">
        <v>288</v>
      </c>
      <c r="B3596" s="6" t="s">
        <v>289</v>
      </c>
      <c r="C3596" s="6" t="s">
        <v>748</v>
      </c>
      <c r="D3596" s="6" t="s">
        <v>745</v>
      </c>
      <c r="E3596" s="6" t="s">
        <v>17</v>
      </c>
      <c r="F3596" s="6" t="s">
        <v>20</v>
      </c>
      <c r="G3596" s="6" t="s">
        <v>208</v>
      </c>
      <c r="H3596" s="6" t="s">
        <v>468</v>
      </c>
      <c r="I3596" s="6" t="s">
        <v>469</v>
      </c>
      <c r="J3596" s="6">
        <v>15.776554072884</v>
      </c>
      <c r="K3596" s="6">
        <v>-96.136557104204996</v>
      </c>
      <c r="L3596" s="6" t="str">
        <f>HYPERLINK("https://maps.google.com/?q=15.776554072884066,-96.136557104205181", "🔗 Ver Mapa")</f>
        <v>🔗 Ver Mapa</v>
      </c>
    </row>
    <row r="3597" spans="1:12" ht="43.5" x14ac:dyDescent="0.35">
      <c r="A3597" s="5" t="s">
        <v>288</v>
      </c>
      <c r="B3597" s="5" t="s">
        <v>289</v>
      </c>
      <c r="C3597" s="5" t="s">
        <v>748</v>
      </c>
      <c r="D3597" s="5" t="s">
        <v>745</v>
      </c>
      <c r="E3597" s="5" t="s">
        <v>17</v>
      </c>
      <c r="F3597" s="5" t="s">
        <v>20</v>
      </c>
      <c r="G3597" s="5" t="s">
        <v>208</v>
      </c>
      <c r="H3597" s="5" t="s">
        <v>468</v>
      </c>
      <c r="I3597" s="5" t="s">
        <v>469</v>
      </c>
      <c r="J3597" s="5">
        <v>15.776554809628999</v>
      </c>
      <c r="K3597" s="5">
        <v>-96.136613051213999</v>
      </c>
      <c r="L3597" s="5" t="str">
        <f>HYPERLINK("https://maps.google.com/?q=15.77655480962861,-96.136613051213573", "🔗 Ver Mapa")</f>
        <v>🔗 Ver Mapa</v>
      </c>
    </row>
    <row r="3598" spans="1:12" ht="43.5" x14ac:dyDescent="0.35">
      <c r="A3598" s="6" t="s">
        <v>288</v>
      </c>
      <c r="B3598" s="6" t="s">
        <v>289</v>
      </c>
      <c r="C3598" s="6" t="s">
        <v>748</v>
      </c>
      <c r="D3598" s="6" t="s">
        <v>745</v>
      </c>
      <c r="E3598" s="6" t="s">
        <v>17</v>
      </c>
      <c r="F3598" s="6" t="s">
        <v>20</v>
      </c>
      <c r="G3598" s="6" t="s">
        <v>208</v>
      </c>
      <c r="H3598" s="6" t="s">
        <v>468</v>
      </c>
      <c r="I3598" s="6" t="s">
        <v>469</v>
      </c>
      <c r="J3598" s="6">
        <v>15.776573604852</v>
      </c>
      <c r="K3598" s="6">
        <v>-96.136668744618007</v>
      </c>
      <c r="L3598" s="6" t="str">
        <f>HYPERLINK("https://maps.google.com/?q=15.77657360485209,-96.136668744618348", "🔗 Ver Mapa")</f>
        <v>🔗 Ver Mapa</v>
      </c>
    </row>
    <row r="3599" spans="1:12" ht="43.5" x14ac:dyDescent="0.35">
      <c r="A3599" s="5" t="s">
        <v>288</v>
      </c>
      <c r="B3599" s="5" t="s">
        <v>289</v>
      </c>
      <c r="C3599" s="5" t="s">
        <v>748</v>
      </c>
      <c r="D3599" s="5" t="s">
        <v>745</v>
      </c>
      <c r="E3599" s="5" t="s">
        <v>17</v>
      </c>
      <c r="F3599" s="5" t="s">
        <v>20</v>
      </c>
      <c r="G3599" s="5" t="s">
        <v>208</v>
      </c>
      <c r="H3599" s="5" t="s">
        <v>468</v>
      </c>
      <c r="I3599" s="5" t="s">
        <v>469</v>
      </c>
      <c r="J3599" s="5">
        <v>15.776580055476</v>
      </c>
      <c r="K3599" s="5">
        <v>-96.136472803261995</v>
      </c>
      <c r="L3599" s="5" t="str">
        <f>HYPERLINK("https://maps.google.com/?q=15.776580055475598,-96.136472803262237", "🔗 Ver Mapa")</f>
        <v>🔗 Ver Mapa</v>
      </c>
    </row>
    <row r="3600" spans="1:12" ht="43.5" x14ac:dyDescent="0.35">
      <c r="A3600" s="6" t="s">
        <v>288</v>
      </c>
      <c r="B3600" s="6" t="s">
        <v>289</v>
      </c>
      <c r="C3600" s="6" t="s">
        <v>748</v>
      </c>
      <c r="D3600" s="6" t="s">
        <v>745</v>
      </c>
      <c r="E3600" s="6" t="s">
        <v>17</v>
      </c>
      <c r="F3600" s="6" t="s">
        <v>20</v>
      </c>
      <c r="G3600" s="6" t="s">
        <v>208</v>
      </c>
      <c r="H3600" s="6" t="s">
        <v>468</v>
      </c>
      <c r="I3600" s="6" t="s">
        <v>469</v>
      </c>
      <c r="J3600" s="6">
        <v>15.776592400063</v>
      </c>
      <c r="K3600" s="6">
        <v>-96.136724438035998</v>
      </c>
      <c r="L3600" s="6" t="str">
        <f>HYPERLINK("https://maps.google.com/?q=15.77659240006296,-96.136724438035614", "🔗 Ver Mapa")</f>
        <v>🔗 Ver Mapa</v>
      </c>
    </row>
    <row r="3601" spans="1:12" ht="43.5" x14ac:dyDescent="0.35">
      <c r="A3601" s="5" t="s">
        <v>288</v>
      </c>
      <c r="B3601" s="5" t="s">
        <v>289</v>
      </c>
      <c r="C3601" s="5" t="s">
        <v>748</v>
      </c>
      <c r="D3601" s="5" t="s">
        <v>745</v>
      </c>
      <c r="E3601" s="5" t="s">
        <v>17</v>
      </c>
      <c r="F3601" s="5" t="s">
        <v>20</v>
      </c>
      <c r="G3601" s="5" t="s">
        <v>208</v>
      </c>
      <c r="H3601" s="5" t="s">
        <v>468</v>
      </c>
      <c r="I3601" s="5" t="s">
        <v>469</v>
      </c>
      <c r="J3601" s="5">
        <v>15.776607511597</v>
      </c>
      <c r="K3601" s="5">
        <v>-96.136500396334995</v>
      </c>
      <c r="L3601" s="5" t="str">
        <f>HYPERLINK("https://maps.google.com/?q=15.776607511596938,-96.136500396334625", "🔗 Ver Mapa")</f>
        <v>🔗 Ver Mapa</v>
      </c>
    </row>
    <row r="3602" spans="1:12" ht="43.5" x14ac:dyDescent="0.35">
      <c r="A3602" s="6" t="s">
        <v>288</v>
      </c>
      <c r="B3602" s="6" t="s">
        <v>289</v>
      </c>
      <c r="C3602" s="6" t="s">
        <v>748</v>
      </c>
      <c r="D3602" s="6" t="s">
        <v>745</v>
      </c>
      <c r="E3602" s="6" t="s">
        <v>17</v>
      </c>
      <c r="F3602" s="6" t="s">
        <v>20</v>
      </c>
      <c r="G3602" s="6" t="s">
        <v>208</v>
      </c>
      <c r="H3602" s="6" t="s">
        <v>468</v>
      </c>
      <c r="I3602" s="6" t="s">
        <v>469</v>
      </c>
      <c r="J3602" s="6">
        <v>15.776617032018001</v>
      </c>
      <c r="K3602" s="6">
        <v>-96.136537567537999</v>
      </c>
      <c r="L3602" s="6" t="str">
        <f>HYPERLINK("https://maps.google.com/?q=15.776617032018464,-96.136537567538298", "🔗 Ver Mapa")</f>
        <v>🔗 Ver Mapa</v>
      </c>
    </row>
    <row r="3603" spans="1:12" ht="43.5" x14ac:dyDescent="0.35">
      <c r="A3603" s="5" t="s">
        <v>288</v>
      </c>
      <c r="B3603" s="5" t="s">
        <v>289</v>
      </c>
      <c r="C3603" s="5" t="s">
        <v>748</v>
      </c>
      <c r="D3603" s="5" t="s">
        <v>745</v>
      </c>
      <c r="E3603" s="5" t="s">
        <v>17</v>
      </c>
      <c r="F3603" s="5" t="s">
        <v>20</v>
      </c>
      <c r="G3603" s="5" t="s">
        <v>208</v>
      </c>
      <c r="H3603" s="5" t="s">
        <v>468</v>
      </c>
      <c r="I3603" s="5" t="s">
        <v>469</v>
      </c>
      <c r="J3603" s="5">
        <v>15.77661764598</v>
      </c>
      <c r="K3603" s="5">
        <v>-96.136584190058997</v>
      </c>
      <c r="L3603" s="5" t="str">
        <f>HYPERLINK("https://maps.google.com/?q=15.776617645979819,-96.13658419005867", "🔗 Ver Mapa")</f>
        <v>🔗 Ver Mapa</v>
      </c>
    </row>
    <row r="3604" spans="1:12" ht="43.5" x14ac:dyDescent="0.35">
      <c r="A3604" s="6" t="s">
        <v>288</v>
      </c>
      <c r="B3604" s="6" t="s">
        <v>289</v>
      </c>
      <c r="C3604" s="6" t="s">
        <v>748</v>
      </c>
      <c r="D3604" s="6" t="s">
        <v>745</v>
      </c>
      <c r="E3604" s="6" t="s">
        <v>17</v>
      </c>
      <c r="F3604" s="6" t="s">
        <v>20</v>
      </c>
      <c r="G3604" s="6" t="s">
        <v>208</v>
      </c>
      <c r="H3604" s="6" t="s">
        <v>468</v>
      </c>
      <c r="I3604" s="6" t="s">
        <v>469</v>
      </c>
      <c r="J3604" s="6">
        <v>15.776620470074</v>
      </c>
      <c r="K3604" s="6">
        <v>-96.136798653678994</v>
      </c>
      <c r="L3604" s="6" t="str">
        <f>HYPERLINK("https://maps.google.com/?q=15.776620470073704,-96.136798653678753", "🔗 Ver Mapa")</f>
        <v>🔗 Ver Mapa</v>
      </c>
    </row>
    <row r="3605" spans="1:12" ht="43.5" x14ac:dyDescent="0.35">
      <c r="A3605" s="5" t="s">
        <v>288</v>
      </c>
      <c r="B3605" s="5" t="s">
        <v>289</v>
      </c>
      <c r="C3605" s="5" t="s">
        <v>748</v>
      </c>
      <c r="D3605" s="5" t="s">
        <v>745</v>
      </c>
      <c r="E3605" s="5" t="s">
        <v>17</v>
      </c>
      <c r="F3605" s="5" t="s">
        <v>20</v>
      </c>
      <c r="G3605" s="5" t="s">
        <v>208</v>
      </c>
      <c r="H3605" s="5" t="s">
        <v>468</v>
      </c>
      <c r="I3605" s="5" t="s">
        <v>469</v>
      </c>
      <c r="J3605" s="5">
        <v>15.776627411967</v>
      </c>
      <c r="K3605" s="5">
        <v>-96.136640010280999</v>
      </c>
      <c r="L3605" s="5" t="str">
        <f>HYPERLINK("https://maps.google.com/?q=15.776627411966654,-96.136640010280772", "🔗 Ver Mapa")</f>
        <v>🔗 Ver Mapa</v>
      </c>
    </row>
    <row r="3606" spans="1:12" ht="43.5" x14ac:dyDescent="0.35">
      <c r="A3606" s="6" t="s">
        <v>288</v>
      </c>
      <c r="B3606" s="6" t="s">
        <v>289</v>
      </c>
      <c r="C3606" s="6" t="s">
        <v>748</v>
      </c>
      <c r="D3606" s="6" t="s">
        <v>745</v>
      </c>
      <c r="E3606" s="6" t="s">
        <v>17</v>
      </c>
      <c r="F3606" s="6" t="s">
        <v>20</v>
      </c>
      <c r="G3606" s="6" t="s">
        <v>208</v>
      </c>
      <c r="H3606" s="6" t="s">
        <v>468</v>
      </c>
      <c r="I3606" s="6" t="s">
        <v>469</v>
      </c>
      <c r="J3606" s="6">
        <v>15.776646329973</v>
      </c>
      <c r="K3606" s="6">
        <v>-96.136705028213996</v>
      </c>
      <c r="L3606" s="6" t="str">
        <f>HYPERLINK("https://maps.google.com/?q=15.776646329973321,-96.136705028214465", "🔗 Ver Mapa")</f>
        <v>🔗 Ver Mapa</v>
      </c>
    </row>
    <row r="3607" spans="1:12" ht="43.5" x14ac:dyDescent="0.35">
      <c r="A3607" s="5" t="s">
        <v>288</v>
      </c>
      <c r="B3607" s="5" t="s">
        <v>289</v>
      </c>
      <c r="C3607" s="5" t="s">
        <v>748</v>
      </c>
      <c r="D3607" s="5" t="s">
        <v>745</v>
      </c>
      <c r="E3607" s="5" t="s">
        <v>17</v>
      </c>
      <c r="F3607" s="5" t="s">
        <v>20</v>
      </c>
      <c r="G3607" s="5" t="s">
        <v>208</v>
      </c>
      <c r="H3607" s="5" t="s">
        <v>468</v>
      </c>
      <c r="I3607" s="5" t="s">
        <v>469</v>
      </c>
      <c r="J3607" s="5">
        <v>15.776666352998999</v>
      </c>
      <c r="K3607" s="5">
        <v>-96.136853966738002</v>
      </c>
      <c r="L3607" s="5" t="str">
        <f>HYPERLINK("https://maps.google.com/?q=15.776666352999394,-96.136853966738471", "🔗 Ver Mapa")</f>
        <v>🔗 Ver Mapa</v>
      </c>
    </row>
    <row r="3608" spans="1:12" ht="43.5" x14ac:dyDescent="0.35">
      <c r="A3608" s="6" t="s">
        <v>288</v>
      </c>
      <c r="B3608" s="6" t="s">
        <v>289</v>
      </c>
      <c r="C3608" s="6" t="s">
        <v>748</v>
      </c>
      <c r="D3608" s="6" t="s">
        <v>745</v>
      </c>
      <c r="E3608" s="6" t="s">
        <v>17</v>
      </c>
      <c r="F3608" s="6" t="s">
        <v>20</v>
      </c>
      <c r="G3608" s="6" t="s">
        <v>208</v>
      </c>
      <c r="H3608" s="6" t="s">
        <v>468</v>
      </c>
      <c r="I3608" s="6" t="s">
        <v>469</v>
      </c>
      <c r="J3608" s="6">
        <v>15.776692581272</v>
      </c>
      <c r="K3608" s="6">
        <v>-96.136788314783004</v>
      </c>
      <c r="L3608" s="6" t="str">
        <f>HYPERLINK("https://maps.google.com/?q=15.776692581271526,-96.136788314782621", "🔗 Ver Mapa")</f>
        <v>🔗 Ver Mapa</v>
      </c>
    </row>
    <row r="3609" spans="1:12" ht="43.5" x14ac:dyDescent="0.35">
      <c r="A3609" s="5" t="s">
        <v>288</v>
      </c>
      <c r="B3609" s="5" t="s">
        <v>289</v>
      </c>
      <c r="C3609" s="5" t="s">
        <v>748</v>
      </c>
      <c r="D3609" s="5" t="s">
        <v>745</v>
      </c>
      <c r="E3609" s="5" t="s">
        <v>17</v>
      </c>
      <c r="F3609" s="5" t="s">
        <v>20</v>
      </c>
      <c r="G3609" s="5" t="s">
        <v>208</v>
      </c>
      <c r="H3609" s="5" t="s">
        <v>468</v>
      </c>
      <c r="I3609" s="5" t="s">
        <v>469</v>
      </c>
      <c r="J3609" s="5">
        <v>15.776711990358001</v>
      </c>
      <c r="K3609" s="5">
        <v>-96.136890630801005</v>
      </c>
      <c r="L3609" s="5" t="str">
        <f>HYPERLINK("https://maps.google.com/?q=15.77671199035803,-96.136890630801432", "🔗 Ver Mapa")</f>
        <v>🔗 Ver Mapa</v>
      </c>
    </row>
    <row r="3610" spans="1:12" ht="43.5" x14ac:dyDescent="0.35">
      <c r="A3610" s="6" t="s">
        <v>288</v>
      </c>
      <c r="B3610" s="6" t="s">
        <v>289</v>
      </c>
      <c r="C3610" s="6" t="s">
        <v>748</v>
      </c>
      <c r="D3610" s="6" t="s">
        <v>745</v>
      </c>
      <c r="E3610" s="6" t="s">
        <v>17</v>
      </c>
      <c r="F3610" s="6" t="s">
        <v>20</v>
      </c>
      <c r="G3610" s="6" t="s">
        <v>208</v>
      </c>
      <c r="H3610" s="6" t="s">
        <v>468</v>
      </c>
      <c r="I3610" s="6" t="s">
        <v>469</v>
      </c>
      <c r="J3610" s="6">
        <v>15.776752158846</v>
      </c>
      <c r="K3610" s="6">
        <v>-96.137197832587006</v>
      </c>
      <c r="L3610" s="6" t="str">
        <f>HYPERLINK("https://maps.google.com/?q=15.776752158846119,-96.137197832587105", "🔗 Ver Mapa")</f>
        <v>🔗 Ver Mapa</v>
      </c>
    </row>
    <row r="3611" spans="1:12" ht="43.5" x14ac:dyDescent="0.35">
      <c r="A3611" s="5" t="s">
        <v>288</v>
      </c>
      <c r="B3611" s="5" t="s">
        <v>289</v>
      </c>
      <c r="C3611" s="5" t="s">
        <v>748</v>
      </c>
      <c r="D3611" s="5" t="s">
        <v>745</v>
      </c>
      <c r="E3611" s="5" t="s">
        <v>17</v>
      </c>
      <c r="F3611" s="5" t="s">
        <v>20</v>
      </c>
      <c r="G3611" s="5" t="s">
        <v>208</v>
      </c>
      <c r="H3611" s="5" t="s">
        <v>468</v>
      </c>
      <c r="I3611" s="5" t="s">
        <v>469</v>
      </c>
      <c r="J3611" s="5">
        <v>15.776756522697999</v>
      </c>
      <c r="K3611" s="5">
        <v>-96.136843374262</v>
      </c>
      <c r="L3611" s="5" t="str">
        <f>HYPERLINK("https://maps.google.com/?q=15.776756522698193,-96.136843374262071", "🔗 Ver Mapa")</f>
        <v>🔗 Ver Mapa</v>
      </c>
    </row>
    <row r="3612" spans="1:12" ht="43.5" x14ac:dyDescent="0.35">
      <c r="A3612" s="6" t="s">
        <v>288</v>
      </c>
      <c r="B3612" s="6" t="s">
        <v>289</v>
      </c>
      <c r="C3612" s="6" t="s">
        <v>748</v>
      </c>
      <c r="D3612" s="6" t="s">
        <v>745</v>
      </c>
      <c r="E3612" s="6" t="s">
        <v>17</v>
      </c>
      <c r="F3612" s="6" t="s">
        <v>20</v>
      </c>
      <c r="G3612" s="6" t="s">
        <v>208</v>
      </c>
      <c r="H3612" s="6" t="s">
        <v>468</v>
      </c>
      <c r="I3612" s="6" t="s">
        <v>469</v>
      </c>
      <c r="J3612" s="6">
        <v>15.776766534184</v>
      </c>
      <c r="K3612" s="6">
        <v>-96.136917843573002</v>
      </c>
      <c r="L3612" s="6" t="str">
        <f>HYPERLINK("https://maps.google.com/?q=15.776766534183649,-96.136917843572732", "🔗 Ver Mapa")</f>
        <v>🔗 Ver Mapa</v>
      </c>
    </row>
    <row r="3613" spans="1:12" ht="43.5" x14ac:dyDescent="0.35">
      <c r="A3613" s="5" t="s">
        <v>288</v>
      </c>
      <c r="B3613" s="5" t="s">
        <v>289</v>
      </c>
      <c r="C3613" s="5" t="s">
        <v>748</v>
      </c>
      <c r="D3613" s="5" t="s">
        <v>745</v>
      </c>
      <c r="E3613" s="5" t="s">
        <v>17</v>
      </c>
      <c r="F3613" s="5" t="s">
        <v>20</v>
      </c>
      <c r="G3613" s="5" t="s">
        <v>208</v>
      </c>
      <c r="H3613" s="5" t="s">
        <v>468</v>
      </c>
      <c r="I3613" s="5" t="s">
        <v>469</v>
      </c>
      <c r="J3613" s="5">
        <v>15.776778141686</v>
      </c>
      <c r="K3613" s="5">
        <v>-96.137113531596</v>
      </c>
      <c r="L3613" s="5" t="str">
        <f>HYPERLINK("https://maps.google.com/?q=15.776778141685979,-96.137113531595531", "🔗 Ver Mapa")</f>
        <v>🔗 Ver Mapa</v>
      </c>
    </row>
    <row r="3614" spans="1:12" ht="43.5" x14ac:dyDescent="0.35">
      <c r="A3614" s="6" t="s">
        <v>288</v>
      </c>
      <c r="B3614" s="6" t="s">
        <v>289</v>
      </c>
      <c r="C3614" s="6" t="s">
        <v>748</v>
      </c>
      <c r="D3614" s="6" t="s">
        <v>745</v>
      </c>
      <c r="E3614" s="6" t="s">
        <v>17</v>
      </c>
      <c r="F3614" s="6" t="s">
        <v>20</v>
      </c>
      <c r="G3614" s="6" t="s">
        <v>208</v>
      </c>
      <c r="H3614" s="6" t="s">
        <v>468</v>
      </c>
      <c r="I3614" s="6" t="s">
        <v>469</v>
      </c>
      <c r="J3614" s="6">
        <v>15.776829125023999</v>
      </c>
      <c r="K3614" s="6">
        <v>-96.136870333429997</v>
      </c>
      <c r="L3614" s="6" t="str">
        <f>HYPERLINK("https://maps.google.com/?q=15.776829125024479,-96.136870333430466", "🔗 Ver Mapa")</f>
        <v>🔗 Ver Mapa</v>
      </c>
    </row>
    <row r="3615" spans="1:12" ht="43.5" x14ac:dyDescent="0.35">
      <c r="A3615" s="5" t="s">
        <v>288</v>
      </c>
      <c r="B3615" s="5" t="s">
        <v>289</v>
      </c>
      <c r="C3615" s="5" t="s">
        <v>748</v>
      </c>
      <c r="D3615" s="5" t="s">
        <v>745</v>
      </c>
      <c r="E3615" s="5" t="s">
        <v>17</v>
      </c>
      <c r="F3615" s="5" t="s">
        <v>20</v>
      </c>
      <c r="G3615" s="5" t="s">
        <v>208</v>
      </c>
      <c r="H3615" s="5" t="s">
        <v>468</v>
      </c>
      <c r="I3615" s="5" t="s">
        <v>469</v>
      </c>
      <c r="J3615" s="5">
        <v>15.776905165034</v>
      </c>
      <c r="K3615" s="5">
        <v>-96.137158379200997</v>
      </c>
      <c r="L3615" s="5" t="str">
        <f>HYPERLINK("https://maps.google.com/?q=15.776905165034224,-96.137158379201296", "🔗 Ver Mapa")</f>
        <v>🔗 Ver Mapa</v>
      </c>
    </row>
    <row r="3616" spans="1:12" ht="43.5" x14ac:dyDescent="0.35">
      <c r="A3616" s="6" t="s">
        <v>288</v>
      </c>
      <c r="B3616" s="6" t="s">
        <v>289</v>
      </c>
      <c r="C3616" s="6" t="s">
        <v>748</v>
      </c>
      <c r="D3616" s="6" t="s">
        <v>745</v>
      </c>
      <c r="E3616" s="6" t="s">
        <v>17</v>
      </c>
      <c r="F3616" s="6" t="s">
        <v>20</v>
      </c>
      <c r="G3616" s="6" t="s">
        <v>208</v>
      </c>
      <c r="H3616" s="6" t="s">
        <v>468</v>
      </c>
      <c r="I3616" s="6" t="s">
        <v>469</v>
      </c>
      <c r="J3616" s="6">
        <v>15.776913948746</v>
      </c>
      <c r="K3616" s="6">
        <v>-96.137139603372006</v>
      </c>
      <c r="L3616" s="6" t="str">
        <f>HYPERLINK("https://maps.google.com/?q=15.776913948745813,-96.13713960337185", "🔗 Ver Mapa")</f>
        <v>🔗 Ver Mapa</v>
      </c>
    </row>
    <row r="3617" spans="1:12" ht="43.5" x14ac:dyDescent="0.35">
      <c r="A3617" s="5" t="s">
        <v>288</v>
      </c>
      <c r="B3617" s="5" t="s">
        <v>289</v>
      </c>
      <c r="C3617" s="5" t="s">
        <v>748</v>
      </c>
      <c r="D3617" s="5" t="s">
        <v>745</v>
      </c>
      <c r="E3617" s="5" t="s">
        <v>17</v>
      </c>
      <c r="F3617" s="5" t="s">
        <v>20</v>
      </c>
      <c r="G3617" s="5" t="s">
        <v>208</v>
      </c>
      <c r="H3617" s="5" t="s">
        <v>468</v>
      </c>
      <c r="I3617" s="5" t="s">
        <v>469</v>
      </c>
      <c r="J3617" s="5">
        <v>15.776920645298</v>
      </c>
      <c r="K3617" s="5">
        <v>-96.136962310667997</v>
      </c>
      <c r="L3617" s="5" t="str">
        <f>HYPERLINK("https://maps.google.com/?q=15.776920645297855,-96.136962310668437", "🔗 Ver Mapa")</f>
        <v>🔗 Ver Mapa</v>
      </c>
    </row>
    <row r="3618" spans="1:12" ht="43.5" x14ac:dyDescent="0.35">
      <c r="A3618" s="6" t="s">
        <v>288</v>
      </c>
      <c r="B3618" s="6" t="s">
        <v>289</v>
      </c>
      <c r="C3618" s="6" t="s">
        <v>748</v>
      </c>
      <c r="D3618" s="6" t="s">
        <v>745</v>
      </c>
      <c r="E3618" s="6" t="s">
        <v>17</v>
      </c>
      <c r="F3618" s="6" t="s">
        <v>20</v>
      </c>
      <c r="G3618" s="6" t="s">
        <v>208</v>
      </c>
      <c r="H3618" s="6" t="s">
        <v>468</v>
      </c>
      <c r="I3618" s="6" t="s">
        <v>469</v>
      </c>
      <c r="J3618" s="6">
        <v>15.776940668184</v>
      </c>
      <c r="K3618" s="6">
        <v>-96.137111249444999</v>
      </c>
      <c r="L3618" s="6" t="str">
        <f>HYPERLINK("https://maps.google.com/?q=15.77694066818441,-96.137111249444828", "🔗 Ver Mapa")</f>
        <v>🔗 Ver Mapa</v>
      </c>
    </row>
    <row r="3619" spans="1:12" ht="43.5" x14ac:dyDescent="0.35">
      <c r="A3619" s="5" t="s">
        <v>288</v>
      </c>
      <c r="B3619" s="5" t="s">
        <v>289</v>
      </c>
      <c r="C3619" s="5" t="s">
        <v>748</v>
      </c>
      <c r="D3619" s="5" t="s">
        <v>745</v>
      </c>
      <c r="E3619" s="5" t="s">
        <v>17</v>
      </c>
      <c r="F3619" s="5" t="s">
        <v>20</v>
      </c>
      <c r="G3619" s="5" t="s">
        <v>208</v>
      </c>
      <c r="H3619" s="5" t="s">
        <v>468</v>
      </c>
      <c r="I3619" s="5" t="s">
        <v>469</v>
      </c>
      <c r="J3619" s="5">
        <v>15.776974084116</v>
      </c>
      <c r="K3619" s="5">
        <v>-96.136905602766006</v>
      </c>
      <c r="L3619" s="5" t="str">
        <f>HYPERLINK("https://maps.google.com/?q=15.7769740841157,-96.136905602766447", "🔗 Ver Mapa")</f>
        <v>🔗 Ver Mapa</v>
      </c>
    </row>
    <row r="3620" spans="1:12" ht="43.5" x14ac:dyDescent="0.35">
      <c r="A3620" s="6" t="s">
        <v>288</v>
      </c>
      <c r="B3620" s="6" t="s">
        <v>289</v>
      </c>
      <c r="C3620" s="6" t="s">
        <v>748</v>
      </c>
      <c r="D3620" s="6" t="s">
        <v>745</v>
      </c>
      <c r="E3620" s="6" t="s">
        <v>17</v>
      </c>
      <c r="F3620" s="6" t="s">
        <v>20</v>
      </c>
      <c r="G3620" s="6" t="s">
        <v>208</v>
      </c>
      <c r="H3620" s="6" t="s">
        <v>468</v>
      </c>
      <c r="I3620" s="6" t="s">
        <v>469</v>
      </c>
      <c r="J3620" s="6">
        <v>15.776976416867999</v>
      </c>
      <c r="K3620" s="6">
        <v>-96.137082768721996</v>
      </c>
      <c r="L3620" s="6" t="str">
        <f>HYPERLINK("https://maps.google.com/?q=15.776976416867589,-96.137082768721996", "🔗 Ver Mapa")</f>
        <v>🔗 Ver Mapa</v>
      </c>
    </row>
    <row r="3621" spans="1:12" ht="43.5" x14ac:dyDescent="0.35">
      <c r="A3621" s="5" t="s">
        <v>288</v>
      </c>
      <c r="B3621" s="5" t="s">
        <v>289</v>
      </c>
      <c r="C3621" s="5" t="s">
        <v>748</v>
      </c>
      <c r="D3621" s="5" t="s">
        <v>745</v>
      </c>
      <c r="E3621" s="5" t="s">
        <v>17</v>
      </c>
      <c r="F3621" s="5" t="s">
        <v>20</v>
      </c>
      <c r="G3621" s="5" t="s">
        <v>208</v>
      </c>
      <c r="H3621" s="5" t="s">
        <v>468</v>
      </c>
      <c r="I3621" s="5" t="s">
        <v>469</v>
      </c>
      <c r="J3621" s="5">
        <v>15.777020335365</v>
      </c>
      <c r="K3621" s="5">
        <v>-96.136988889514996</v>
      </c>
      <c r="L3621" s="5" t="str">
        <f>HYPERLINK("https://maps.google.com/?q=15.777020335365483,-96.136988889514697", "🔗 Ver Mapa")</f>
        <v>🔗 Ver Mapa</v>
      </c>
    </row>
    <row r="3622" spans="1:12" ht="43.5" x14ac:dyDescent="0.35">
      <c r="A3622" s="6" t="s">
        <v>288</v>
      </c>
      <c r="B3622" s="6" t="s">
        <v>289</v>
      </c>
      <c r="C3622" s="6" t="s">
        <v>748</v>
      </c>
      <c r="D3622" s="6" t="s">
        <v>745</v>
      </c>
      <c r="E3622" s="6" t="s">
        <v>17</v>
      </c>
      <c r="F3622" s="6" t="s">
        <v>20</v>
      </c>
      <c r="G3622" s="6" t="s">
        <v>208</v>
      </c>
      <c r="H3622" s="6" t="s">
        <v>468</v>
      </c>
      <c r="I3622" s="6" t="s">
        <v>469</v>
      </c>
      <c r="J3622" s="6">
        <v>15.777028505164999</v>
      </c>
      <c r="K3622" s="6">
        <v>-96.136923491038999</v>
      </c>
      <c r="L3622" s="6" t="str">
        <f>HYPERLINK("https://maps.google.com/?q=15.777028505165115,-96.136923491038857", "🔗 Ver Mapa")</f>
        <v>🔗 Ver Mapa</v>
      </c>
    </row>
    <row r="3623" spans="1:12" ht="43.5" x14ac:dyDescent="0.35">
      <c r="A3623" s="5" t="s">
        <v>288</v>
      </c>
      <c r="B3623" s="5" t="s">
        <v>289</v>
      </c>
      <c r="C3623" s="5" t="s">
        <v>748</v>
      </c>
      <c r="D3623" s="5" t="s">
        <v>745</v>
      </c>
      <c r="E3623" s="5" t="s">
        <v>17</v>
      </c>
      <c r="F3623" s="5" t="s">
        <v>20</v>
      </c>
      <c r="G3623" s="5" t="s">
        <v>208</v>
      </c>
      <c r="H3623" s="5" t="s">
        <v>468</v>
      </c>
      <c r="I3623" s="5" t="s">
        <v>469</v>
      </c>
      <c r="J3623" s="5">
        <v>15.777030469592001</v>
      </c>
      <c r="K3623" s="5">
        <v>-96.137072683463003</v>
      </c>
      <c r="L3623" s="5" t="str">
        <f>HYPERLINK("https://maps.google.com/?q=15.777030469591661,-96.137072683462648", "🔗 Ver Mapa")</f>
        <v>🔗 Ver Mapa</v>
      </c>
    </row>
    <row r="3624" spans="1:12" ht="43.5" x14ac:dyDescent="0.35">
      <c r="A3624" s="6" t="s">
        <v>288</v>
      </c>
      <c r="B3624" s="6" t="s">
        <v>289</v>
      </c>
      <c r="C3624" s="6" t="s">
        <v>748</v>
      </c>
      <c r="D3624" s="6" t="s">
        <v>745</v>
      </c>
      <c r="E3624" s="6" t="s">
        <v>17</v>
      </c>
      <c r="F3624" s="6" t="s">
        <v>20</v>
      </c>
      <c r="G3624" s="6" t="s">
        <v>208</v>
      </c>
      <c r="H3624" s="6" t="s">
        <v>468</v>
      </c>
      <c r="I3624" s="6" t="s">
        <v>469</v>
      </c>
      <c r="J3624" s="6">
        <v>15.777066586588999</v>
      </c>
      <c r="K3624" s="6">
        <v>-96.137072176304997</v>
      </c>
      <c r="L3624" s="6" t="str">
        <f>HYPERLINK("https://maps.google.com/?q=15.777066586589411,-96.137072176304585", "🔗 Ver Mapa")</f>
        <v>🔗 Ver Mapa</v>
      </c>
    </row>
    <row r="3625" spans="1:12" ht="43.5" x14ac:dyDescent="0.35">
      <c r="A3625" s="5" t="s">
        <v>288</v>
      </c>
      <c r="B3625" s="5" t="s">
        <v>289</v>
      </c>
      <c r="C3625" s="5" t="s">
        <v>748</v>
      </c>
      <c r="D3625" s="5" t="s">
        <v>745</v>
      </c>
      <c r="E3625" s="5" t="s">
        <v>17</v>
      </c>
      <c r="F3625" s="5" t="s">
        <v>20</v>
      </c>
      <c r="G3625" s="5" t="s">
        <v>208</v>
      </c>
      <c r="H3625" s="5" t="s">
        <v>468</v>
      </c>
      <c r="I3625" s="5" t="s">
        <v>469</v>
      </c>
      <c r="J3625" s="5">
        <v>15.777102703587</v>
      </c>
      <c r="K3625" s="5">
        <v>-96.137071669145001</v>
      </c>
      <c r="L3625" s="5" t="str">
        <f>HYPERLINK("https://maps.google.com/?q=15.777102703587039,-96.137071669145215", "🔗 Ver Mapa")</f>
        <v>🔗 Ver Mapa</v>
      </c>
    </row>
    <row r="3626" spans="1:12" ht="43.5" x14ac:dyDescent="0.35">
      <c r="A3626" s="6" t="s">
        <v>288</v>
      </c>
      <c r="B3626" s="6" t="s">
        <v>289</v>
      </c>
      <c r="C3626" s="6" t="s">
        <v>748</v>
      </c>
      <c r="D3626" s="6" t="s">
        <v>745</v>
      </c>
      <c r="E3626" s="6" t="s">
        <v>17</v>
      </c>
      <c r="F3626" s="6" t="s">
        <v>20</v>
      </c>
      <c r="G3626" s="6" t="s">
        <v>208</v>
      </c>
      <c r="H3626" s="6" t="s">
        <v>468</v>
      </c>
      <c r="I3626" s="6" t="s">
        <v>469</v>
      </c>
      <c r="J3626" s="6">
        <v>15.77710989118</v>
      </c>
      <c r="K3626" s="6">
        <v>-96.136931674402007</v>
      </c>
      <c r="L3626" s="6" t="str">
        <f>HYPERLINK("https://maps.google.com/?q=15.777109891179562,-96.13693167440168", "🔗 Ver Mapa")</f>
        <v>🔗 Ver Mapa</v>
      </c>
    </row>
    <row r="3627" spans="1:12" ht="43.5" x14ac:dyDescent="0.35">
      <c r="A3627" s="5" t="s">
        <v>288</v>
      </c>
      <c r="B3627" s="5" t="s">
        <v>289</v>
      </c>
      <c r="C3627" s="5" t="s">
        <v>748</v>
      </c>
      <c r="D3627" s="5" t="s">
        <v>745</v>
      </c>
      <c r="E3627" s="5" t="s">
        <v>17</v>
      </c>
      <c r="F3627" s="5" t="s">
        <v>20</v>
      </c>
      <c r="G3627" s="5" t="s">
        <v>208</v>
      </c>
      <c r="H3627" s="5" t="s">
        <v>468</v>
      </c>
      <c r="I3627" s="5" t="s">
        <v>469</v>
      </c>
      <c r="J3627" s="5">
        <v>15.777183352952999</v>
      </c>
      <c r="K3627" s="5">
        <v>-96.137023905362</v>
      </c>
      <c r="L3627" s="5" t="str">
        <f>HYPERLINK("https://maps.google.com/?q=15.777183352952584,-96.137023905362142", "🔗 Ver Mapa")</f>
        <v>🔗 Ver Mapa</v>
      </c>
    </row>
    <row r="3628" spans="1:12" ht="43.5" x14ac:dyDescent="0.35">
      <c r="A3628" s="6" t="s">
        <v>288</v>
      </c>
      <c r="B3628" s="6" t="s">
        <v>289</v>
      </c>
      <c r="C3628" s="6" t="s">
        <v>748</v>
      </c>
      <c r="D3628" s="6" t="s">
        <v>745</v>
      </c>
      <c r="E3628" s="6" t="s">
        <v>17</v>
      </c>
      <c r="F3628" s="6" t="s">
        <v>20</v>
      </c>
      <c r="G3628" s="6" t="s">
        <v>208</v>
      </c>
      <c r="H3628" s="6" t="s">
        <v>468</v>
      </c>
      <c r="I3628" s="6" t="s">
        <v>469</v>
      </c>
      <c r="J3628" s="6">
        <v>15.777200552003</v>
      </c>
      <c r="K3628" s="6">
        <v>-96.136958380037001</v>
      </c>
      <c r="L3628" s="6" t="str">
        <f>HYPERLINK("https://maps.google.com/?q=15.777200552002629,-96.136958380036518", "🔗 Ver Mapa")</f>
        <v>🔗 Ver Mapa</v>
      </c>
    </row>
    <row r="3629" spans="1:12" ht="43.5" x14ac:dyDescent="0.35">
      <c r="A3629" s="5" t="s">
        <v>288</v>
      </c>
      <c r="B3629" s="5" t="s">
        <v>289</v>
      </c>
      <c r="C3629" s="5" t="s">
        <v>748</v>
      </c>
      <c r="D3629" s="5" t="s">
        <v>745</v>
      </c>
      <c r="E3629" s="5" t="s">
        <v>17</v>
      </c>
      <c r="F3629" s="5" t="s">
        <v>20</v>
      </c>
      <c r="G3629" s="5" t="s">
        <v>208</v>
      </c>
      <c r="H3629" s="5" t="s">
        <v>468</v>
      </c>
      <c r="I3629" s="5" t="s">
        <v>469</v>
      </c>
      <c r="J3629" s="5">
        <v>15.777219592725</v>
      </c>
      <c r="K3629" s="5">
        <v>-96.137032722726005</v>
      </c>
      <c r="L3629" s="5" t="str">
        <f>HYPERLINK("https://maps.google.com/?q=15.777219592725107,-96.137032722725692", "🔗 Ver Mapa")</f>
        <v>🔗 Ver Mapa</v>
      </c>
    </row>
    <row r="3630" spans="1:12" ht="43.5" x14ac:dyDescent="0.35">
      <c r="A3630" s="6" t="s">
        <v>288</v>
      </c>
      <c r="B3630" s="6" t="s">
        <v>289</v>
      </c>
      <c r="C3630" s="6" t="s">
        <v>748</v>
      </c>
      <c r="D3630" s="6" t="s">
        <v>745</v>
      </c>
      <c r="E3630" s="6" t="s">
        <v>17</v>
      </c>
      <c r="F3630" s="6" t="s">
        <v>20</v>
      </c>
      <c r="G3630" s="6" t="s">
        <v>208</v>
      </c>
      <c r="H3630" s="6" t="s">
        <v>468</v>
      </c>
      <c r="I3630" s="6" t="s">
        <v>469</v>
      </c>
      <c r="J3630" s="6">
        <v>15.777300487632001</v>
      </c>
      <c r="K3630" s="6">
        <v>-96.137003607970996</v>
      </c>
      <c r="L3630" s="6" t="str">
        <f>HYPERLINK("https://maps.google.com/?q=15.777300487631983,-96.137003607970797", "🔗 Ver Mapa")</f>
        <v>🔗 Ver Mapa</v>
      </c>
    </row>
    <row r="3631" spans="1:12" ht="43.5" x14ac:dyDescent="0.35">
      <c r="A3631" s="5" t="s">
        <v>288</v>
      </c>
      <c r="B3631" s="5" t="s">
        <v>289</v>
      </c>
      <c r="C3631" s="5" t="s">
        <v>748</v>
      </c>
      <c r="D3631" s="5" t="s">
        <v>745</v>
      </c>
      <c r="E3631" s="5" t="s">
        <v>17</v>
      </c>
      <c r="F3631" s="5" t="s">
        <v>20</v>
      </c>
      <c r="G3631" s="5" t="s">
        <v>208</v>
      </c>
      <c r="H3631" s="5" t="s">
        <v>468</v>
      </c>
      <c r="I3631" s="5" t="s">
        <v>469</v>
      </c>
      <c r="J3631" s="5">
        <v>15.777374317714999</v>
      </c>
      <c r="K3631" s="5">
        <v>-96.137123812666005</v>
      </c>
      <c r="L3631" s="5" t="str">
        <f>HYPERLINK("https://maps.google.com/?q=15.777374317715358,-96.137123812666275", "🔗 Ver Mapa")</f>
        <v>🔗 Ver Mapa</v>
      </c>
    </row>
    <row r="3632" spans="1:12" ht="43.5" x14ac:dyDescent="0.35">
      <c r="A3632" s="6" t="s">
        <v>288</v>
      </c>
      <c r="B3632" s="6" t="s">
        <v>289</v>
      </c>
      <c r="C3632" s="6" t="s">
        <v>748</v>
      </c>
      <c r="D3632" s="6" t="s">
        <v>745</v>
      </c>
      <c r="E3632" s="6" t="s">
        <v>17</v>
      </c>
      <c r="F3632" s="6" t="s">
        <v>20</v>
      </c>
      <c r="G3632" s="6" t="s">
        <v>208</v>
      </c>
      <c r="H3632" s="6" t="s">
        <v>468</v>
      </c>
      <c r="I3632" s="6" t="s">
        <v>469</v>
      </c>
      <c r="J3632" s="6">
        <v>15.777382364760999</v>
      </c>
      <c r="K3632" s="6">
        <v>-96.137049089529</v>
      </c>
      <c r="L3632" s="6" t="str">
        <f>HYPERLINK("https://maps.google.com/?q=15.777382364760527,-96.13704908952937", "🔗 Ver Mapa")</f>
        <v>🔗 Ver Mapa</v>
      </c>
    </row>
    <row r="3633" spans="1:12" ht="43.5" x14ac:dyDescent="0.35">
      <c r="A3633" s="5" t="s">
        <v>288</v>
      </c>
      <c r="B3633" s="5" t="s">
        <v>289</v>
      </c>
      <c r="C3633" s="5" t="s">
        <v>748</v>
      </c>
      <c r="D3633" s="5" t="s">
        <v>745</v>
      </c>
      <c r="E3633" s="5" t="s">
        <v>17</v>
      </c>
      <c r="F3633" s="5" t="s">
        <v>20</v>
      </c>
      <c r="G3633" s="5" t="s">
        <v>208</v>
      </c>
      <c r="H3633" s="5" t="s">
        <v>468</v>
      </c>
      <c r="I3633" s="5" t="s">
        <v>469</v>
      </c>
      <c r="J3633" s="5">
        <v>15.777410803034</v>
      </c>
      <c r="K3633" s="5">
        <v>-96.137151279140994</v>
      </c>
      <c r="L3633" s="5" t="str">
        <f>HYPERLINK("https://maps.google.com/?q=15.777410803034341,-96.137151279140767", "🔗 Ver Mapa")</f>
        <v>🔗 Ver Mapa</v>
      </c>
    </row>
    <row r="3634" spans="1:12" ht="43.5" x14ac:dyDescent="0.35">
      <c r="A3634" s="6" t="s">
        <v>288</v>
      </c>
      <c r="B3634" s="6" t="s">
        <v>289</v>
      </c>
      <c r="C3634" s="6" t="s">
        <v>748</v>
      </c>
      <c r="D3634" s="6" t="s">
        <v>745</v>
      </c>
      <c r="E3634" s="6" t="s">
        <v>17</v>
      </c>
      <c r="F3634" s="6" t="s">
        <v>20</v>
      </c>
      <c r="G3634" s="6" t="s">
        <v>208</v>
      </c>
      <c r="H3634" s="6" t="s">
        <v>468</v>
      </c>
      <c r="I3634" s="6" t="s">
        <v>469</v>
      </c>
      <c r="J3634" s="6">
        <v>15.777420323373001</v>
      </c>
      <c r="K3634" s="6">
        <v>-96.137188450535007</v>
      </c>
      <c r="L3634" s="6" t="str">
        <f>HYPERLINK("https://maps.google.com/?q=15.777420323373146,-96.137188450534595", "🔗 Ver Mapa")</f>
        <v>🔗 Ver Mapa</v>
      </c>
    </row>
    <row r="3635" spans="1:12" ht="43.5" x14ac:dyDescent="0.35">
      <c r="A3635" s="5" t="s">
        <v>288</v>
      </c>
      <c r="B3635" s="5" t="s">
        <v>289</v>
      </c>
      <c r="C3635" s="5" t="s">
        <v>748</v>
      </c>
      <c r="D3635" s="5" t="s">
        <v>745</v>
      </c>
      <c r="E3635" s="5" t="s">
        <v>17</v>
      </c>
      <c r="F3635" s="5" t="s">
        <v>20</v>
      </c>
      <c r="G3635" s="5" t="s">
        <v>208</v>
      </c>
      <c r="H3635" s="5" t="s">
        <v>468</v>
      </c>
      <c r="I3635" s="5" t="s">
        <v>469</v>
      </c>
      <c r="J3635" s="5">
        <v>15.777420568915</v>
      </c>
      <c r="K3635" s="5">
        <v>-96.137207099627005</v>
      </c>
      <c r="L3635" s="5" t="str">
        <f>HYPERLINK("https://maps.google.com/?q=15.77742056891527,-96.137207099626565", "🔗 Ver Mapa")</f>
        <v>🔗 Ver Mapa</v>
      </c>
    </row>
    <row r="3636" spans="1:12" ht="43.5" x14ac:dyDescent="0.35">
      <c r="A3636" s="6" t="s">
        <v>288</v>
      </c>
      <c r="B3636" s="6" t="s">
        <v>289</v>
      </c>
      <c r="C3636" s="6" t="s">
        <v>748</v>
      </c>
      <c r="D3636" s="6" t="s">
        <v>745</v>
      </c>
      <c r="E3636" s="6" t="s">
        <v>17</v>
      </c>
      <c r="F3636" s="6" t="s">
        <v>20</v>
      </c>
      <c r="G3636" s="6" t="s">
        <v>208</v>
      </c>
      <c r="H3636" s="6" t="s">
        <v>468</v>
      </c>
      <c r="I3636" s="6" t="s">
        <v>469</v>
      </c>
      <c r="J3636" s="6">
        <v>15.777437031361</v>
      </c>
      <c r="K3636" s="6">
        <v>-96.137085626949997</v>
      </c>
      <c r="L3636" s="6" t="str">
        <f>HYPERLINK("https://maps.google.com/?q=15.777437031361409,-96.137085626950324", "🔗 Ver Mapa")</f>
        <v>🔗 Ver Mapa</v>
      </c>
    </row>
    <row r="3637" spans="1:12" ht="43.5" x14ac:dyDescent="0.35">
      <c r="A3637" s="5" t="s">
        <v>288</v>
      </c>
      <c r="B3637" s="5" t="s">
        <v>289</v>
      </c>
      <c r="C3637" s="5" t="s">
        <v>748</v>
      </c>
      <c r="D3637" s="5" t="s">
        <v>745</v>
      </c>
      <c r="E3637" s="5" t="s">
        <v>17</v>
      </c>
      <c r="F3637" s="5" t="s">
        <v>20</v>
      </c>
      <c r="G3637" s="5" t="s">
        <v>208</v>
      </c>
      <c r="H3637" s="5" t="s">
        <v>468</v>
      </c>
      <c r="I3637" s="5" t="s">
        <v>469</v>
      </c>
      <c r="J3637" s="5">
        <v>15.777473762234999</v>
      </c>
      <c r="K3637" s="5">
        <v>-96.137131742519003</v>
      </c>
      <c r="L3637" s="5" t="str">
        <f>HYPERLINK("https://maps.google.com/?q=15.777473762234697,-96.137131742519202", "🔗 Ver Mapa")</f>
        <v>🔗 Ver Mapa</v>
      </c>
    </row>
    <row r="3638" spans="1:12" ht="43.5" x14ac:dyDescent="0.35">
      <c r="A3638" s="6" t="s">
        <v>288</v>
      </c>
      <c r="B3638" s="6" t="s">
        <v>289</v>
      </c>
      <c r="C3638" s="6" t="s">
        <v>748</v>
      </c>
      <c r="D3638" s="6" t="s">
        <v>745</v>
      </c>
      <c r="E3638" s="6" t="s">
        <v>17</v>
      </c>
      <c r="F3638" s="6" t="s">
        <v>20</v>
      </c>
      <c r="G3638" s="6" t="s">
        <v>208</v>
      </c>
      <c r="H3638" s="6" t="s">
        <v>468</v>
      </c>
      <c r="I3638" s="6" t="s">
        <v>469</v>
      </c>
      <c r="J3638" s="6">
        <v>15.777483405350999</v>
      </c>
      <c r="K3638" s="6">
        <v>-96.137178238470995</v>
      </c>
      <c r="L3638" s="6" t="str">
        <f>HYPERLINK("https://maps.google.com/?q=15.777483405351116,-96.137178238471165", "🔗 Ver Mapa")</f>
        <v>🔗 Ver Mapa</v>
      </c>
    </row>
    <row r="3639" spans="1:12" ht="43.5" x14ac:dyDescent="0.35">
      <c r="A3639" s="5" t="s">
        <v>288</v>
      </c>
      <c r="B3639" s="5" t="s">
        <v>289</v>
      </c>
      <c r="C3639" s="5" t="s">
        <v>748</v>
      </c>
      <c r="D3639" s="5" t="s">
        <v>745</v>
      </c>
      <c r="E3639" s="5" t="s">
        <v>17</v>
      </c>
      <c r="F3639" s="5" t="s">
        <v>20</v>
      </c>
      <c r="G3639" s="5" t="s">
        <v>208</v>
      </c>
      <c r="H3639" s="5" t="s">
        <v>468</v>
      </c>
      <c r="I3639" s="5" t="s">
        <v>469</v>
      </c>
      <c r="J3639" s="5">
        <v>15.777484141978</v>
      </c>
      <c r="K3639" s="5">
        <v>-96.137234185764996</v>
      </c>
      <c r="L3639" s="5" t="str">
        <f>HYPERLINK("https://maps.google.com/?q=15.777484141978206,-96.137234185764868", "🔗 Ver Mapa")</f>
        <v>🔗 Ver Mapa</v>
      </c>
    </row>
    <row r="3640" spans="1:12" ht="43.5" x14ac:dyDescent="0.35">
      <c r="A3640" s="6" t="s">
        <v>288</v>
      </c>
      <c r="B3640" s="6" t="s">
        <v>289</v>
      </c>
      <c r="C3640" s="6" t="s">
        <v>748</v>
      </c>
      <c r="D3640" s="6" t="s">
        <v>745</v>
      </c>
      <c r="E3640" s="6" t="s">
        <v>17</v>
      </c>
      <c r="F3640" s="6" t="s">
        <v>20</v>
      </c>
      <c r="G3640" s="6" t="s">
        <v>208</v>
      </c>
      <c r="H3640" s="6" t="s">
        <v>468</v>
      </c>
      <c r="I3640" s="6" t="s">
        <v>469</v>
      </c>
      <c r="J3640" s="6">
        <v>15.777974545180999</v>
      </c>
      <c r="K3640" s="6">
        <v>-96.137441804364002</v>
      </c>
      <c r="L3640" s="6" t="str">
        <f>HYPERLINK("https://maps.google.com/?q=15.777974545181257,-96.137441804363618", "🔗 Ver Mapa")</f>
        <v>🔗 Ver Mapa</v>
      </c>
    </row>
    <row r="3641" spans="1:12" ht="43.5" x14ac:dyDescent="0.35">
      <c r="A3641" s="5" t="s">
        <v>288</v>
      </c>
      <c r="B3641" s="5" t="s">
        <v>289</v>
      </c>
      <c r="C3641" s="5" t="s">
        <v>748</v>
      </c>
      <c r="D3641" s="5" t="s">
        <v>745</v>
      </c>
      <c r="E3641" s="5" t="s">
        <v>17</v>
      </c>
      <c r="F3641" s="5" t="s">
        <v>20</v>
      </c>
      <c r="G3641" s="5" t="s">
        <v>208</v>
      </c>
      <c r="H3641" s="5" t="s">
        <v>468</v>
      </c>
      <c r="I3641" s="5" t="s">
        <v>469</v>
      </c>
      <c r="J3641" s="5">
        <v>15.778002246755999</v>
      </c>
      <c r="K3641" s="5">
        <v>-96.137488046894006</v>
      </c>
      <c r="L3641" s="5" t="str">
        <f>HYPERLINK("https://maps.google.com/?q=15.778002246756156,-96.137488046893978", "🔗 Ver Mapa")</f>
        <v>🔗 Ver Mapa</v>
      </c>
    </row>
    <row r="3642" spans="1:12" ht="43.5" x14ac:dyDescent="0.35">
      <c r="A3642" s="6" t="s">
        <v>288</v>
      </c>
      <c r="B3642" s="6" t="s">
        <v>289</v>
      </c>
      <c r="C3642" s="6" t="s">
        <v>748</v>
      </c>
      <c r="D3642" s="6" t="s">
        <v>745</v>
      </c>
      <c r="E3642" s="6" t="s">
        <v>17</v>
      </c>
      <c r="F3642" s="6" t="s">
        <v>20</v>
      </c>
      <c r="G3642" s="6" t="s">
        <v>208</v>
      </c>
      <c r="H3642" s="6" t="s">
        <v>468</v>
      </c>
      <c r="I3642" s="6" t="s">
        <v>469</v>
      </c>
      <c r="J3642" s="6">
        <v>15.778011398771</v>
      </c>
      <c r="K3642" s="6">
        <v>-96.137497244689996</v>
      </c>
      <c r="L3642" s="6" t="str">
        <f>HYPERLINK("https://maps.google.com/?q=15.778011398771005,-96.137497244690152", "🔗 Ver Mapa")</f>
        <v>🔗 Ver Mapa</v>
      </c>
    </row>
    <row r="3643" spans="1:12" ht="43.5" x14ac:dyDescent="0.35">
      <c r="A3643" s="5" t="s">
        <v>288</v>
      </c>
      <c r="B3643" s="5" t="s">
        <v>289</v>
      </c>
      <c r="C3643" s="5" t="s">
        <v>748</v>
      </c>
      <c r="D3643" s="5" t="s">
        <v>745</v>
      </c>
      <c r="E3643" s="5" t="s">
        <v>17</v>
      </c>
      <c r="F3643" s="5" t="s">
        <v>20</v>
      </c>
      <c r="G3643" s="5" t="s">
        <v>208</v>
      </c>
      <c r="H3643" s="5" t="s">
        <v>468</v>
      </c>
      <c r="I3643" s="5" t="s">
        <v>469</v>
      </c>
      <c r="J3643" s="5">
        <v>15.77801201258</v>
      </c>
      <c r="K3643" s="5">
        <v>-96.137543867567999</v>
      </c>
      <c r="L3643" s="5" t="str">
        <f>HYPERLINK("https://maps.google.com/?q=15.778012012579548,-96.137543867568411", "🔗 Ver Mapa")</f>
        <v>🔗 Ver Mapa</v>
      </c>
    </row>
    <row r="3644" spans="1:12" ht="43.5" x14ac:dyDescent="0.35">
      <c r="A3644" s="6" t="s">
        <v>288</v>
      </c>
      <c r="B3644" s="6" t="s">
        <v>289</v>
      </c>
      <c r="C3644" s="6" t="s">
        <v>748</v>
      </c>
      <c r="D3644" s="6" t="s">
        <v>745</v>
      </c>
      <c r="E3644" s="6" t="s">
        <v>17</v>
      </c>
      <c r="F3644" s="6" t="s">
        <v>20</v>
      </c>
      <c r="G3644" s="6" t="s">
        <v>208</v>
      </c>
      <c r="H3644" s="6" t="s">
        <v>468</v>
      </c>
      <c r="I3644" s="6" t="s">
        <v>469</v>
      </c>
      <c r="J3644" s="6">
        <v>15.778338907065001</v>
      </c>
      <c r="K3644" s="6">
        <v>-96.137679172419993</v>
      </c>
      <c r="L3644" s="6" t="str">
        <f>HYPERLINK("https://maps.google.com/?q=15.778338907065399,-96.13767917241988", "🔗 Ver Mapa")</f>
        <v>🔗 Ver Mapa</v>
      </c>
    </row>
    <row r="3645" spans="1:12" ht="43.5" x14ac:dyDescent="0.35">
      <c r="A3645" s="5" t="s">
        <v>288</v>
      </c>
      <c r="B3645" s="5" t="s">
        <v>289</v>
      </c>
      <c r="C3645" s="5" t="s">
        <v>748</v>
      </c>
      <c r="D3645" s="5" t="s">
        <v>745</v>
      </c>
      <c r="E3645" s="5" t="s">
        <v>17</v>
      </c>
      <c r="F3645" s="5" t="s">
        <v>20</v>
      </c>
      <c r="G3645" s="5" t="s">
        <v>208</v>
      </c>
      <c r="H3645" s="5" t="s">
        <v>468</v>
      </c>
      <c r="I3645" s="5" t="s">
        <v>469</v>
      </c>
      <c r="J3645" s="5">
        <v>15.778474836893</v>
      </c>
      <c r="K3645" s="5">
        <v>-96.1377145692</v>
      </c>
      <c r="L3645" s="5" t="str">
        <f>HYPERLINK("https://maps.google.com/?q=15.778474836892956,-96.137714569200028", "🔗 Ver Mapa")</f>
        <v>🔗 Ver Mapa</v>
      </c>
    </row>
    <row r="3646" spans="1:12" ht="43.5" x14ac:dyDescent="0.35">
      <c r="A3646" s="6" t="s">
        <v>288</v>
      </c>
      <c r="B3646" s="6" t="s">
        <v>289</v>
      </c>
      <c r="C3646" s="6" t="s">
        <v>748</v>
      </c>
      <c r="D3646" s="6" t="s">
        <v>745</v>
      </c>
      <c r="E3646" s="6" t="s">
        <v>17</v>
      </c>
      <c r="F3646" s="6" t="s">
        <v>20</v>
      </c>
      <c r="G3646" s="6" t="s">
        <v>208</v>
      </c>
      <c r="H3646" s="6" t="s">
        <v>468</v>
      </c>
      <c r="I3646" s="6" t="s">
        <v>469</v>
      </c>
      <c r="J3646" s="6">
        <v>15.778492036091</v>
      </c>
      <c r="K3646" s="6">
        <v>-96.137649043460996</v>
      </c>
      <c r="L3646" s="6" t="str">
        <f>HYPERLINK("https://maps.google.com/?q=15.778492036090526,-96.137649043460968", "🔗 Ver Mapa")</f>
        <v>🔗 Ver Mapa</v>
      </c>
    </row>
    <row r="3647" spans="1:12" ht="43.5" x14ac:dyDescent="0.35">
      <c r="A3647" s="5" t="s">
        <v>288</v>
      </c>
      <c r="B3647" s="5" t="s">
        <v>289</v>
      </c>
      <c r="C3647" s="5" t="s">
        <v>748</v>
      </c>
      <c r="D3647" s="5" t="s">
        <v>745</v>
      </c>
      <c r="E3647" s="5" t="s">
        <v>17</v>
      </c>
      <c r="F3647" s="5" t="s">
        <v>20</v>
      </c>
      <c r="G3647" s="5" t="s">
        <v>208</v>
      </c>
      <c r="H3647" s="5" t="s">
        <v>468</v>
      </c>
      <c r="I3647" s="5" t="s">
        <v>469</v>
      </c>
      <c r="J3647" s="5">
        <v>15.77858367896</v>
      </c>
      <c r="K3647" s="5">
        <v>-96.137750346329994</v>
      </c>
      <c r="L3647" s="5" t="str">
        <f>HYPERLINK("https://maps.google.com/?q=15.778583678960496,-96.137750346330279", "🔗 Ver Mapa")</f>
        <v>🔗 Ver Mapa</v>
      </c>
    </row>
    <row r="3648" spans="1:12" ht="43.5" x14ac:dyDescent="0.35">
      <c r="A3648" s="6" t="s">
        <v>288</v>
      </c>
      <c r="B3648" s="6" t="s">
        <v>289</v>
      </c>
      <c r="C3648" s="6" t="s">
        <v>748</v>
      </c>
      <c r="D3648" s="6" t="s">
        <v>745</v>
      </c>
      <c r="E3648" s="6" t="s">
        <v>17</v>
      </c>
      <c r="F3648" s="6" t="s">
        <v>20</v>
      </c>
      <c r="G3648" s="6" t="s">
        <v>208</v>
      </c>
      <c r="H3648" s="6" t="s">
        <v>468</v>
      </c>
      <c r="I3648" s="6" t="s">
        <v>469</v>
      </c>
      <c r="J3648" s="6">
        <v>15.778600755404</v>
      </c>
      <c r="K3648" s="6">
        <v>-96.137675495951996</v>
      </c>
      <c r="L3648" s="6" t="str">
        <f>HYPERLINK("https://maps.google.com/?q=15.778600755404083,-96.137675495951797", "🔗 Ver Mapa")</f>
        <v>🔗 Ver Mapa</v>
      </c>
    </row>
    <row r="3649" spans="1:12" ht="43.5" x14ac:dyDescent="0.35">
      <c r="A3649" s="5" t="s">
        <v>288</v>
      </c>
      <c r="B3649" s="5" t="s">
        <v>289</v>
      </c>
      <c r="C3649" s="5" t="s">
        <v>748</v>
      </c>
      <c r="D3649" s="5" t="s">
        <v>745</v>
      </c>
      <c r="E3649" s="5" t="s">
        <v>17</v>
      </c>
      <c r="F3649" s="5" t="s">
        <v>20</v>
      </c>
      <c r="G3649" s="5" t="s">
        <v>208</v>
      </c>
      <c r="H3649" s="5" t="s">
        <v>468</v>
      </c>
      <c r="I3649" s="5" t="s">
        <v>469</v>
      </c>
      <c r="J3649" s="5">
        <v>15.778855661372001</v>
      </c>
      <c r="K3649" s="5">
        <v>-96.137830464665996</v>
      </c>
      <c r="L3649" s="5" t="str">
        <f>HYPERLINK("https://maps.google.com/?q=15.77885566137247,-96.137830464666138", "🔗 Ver Mapa")</f>
        <v>🔗 Ver Mapa</v>
      </c>
    </row>
    <row r="3650" spans="1:12" ht="43.5" x14ac:dyDescent="0.35">
      <c r="A3650" s="6" t="s">
        <v>288</v>
      </c>
      <c r="B3650" s="6" t="s">
        <v>289</v>
      </c>
      <c r="C3650" s="6" t="s">
        <v>748</v>
      </c>
      <c r="D3650" s="6" t="s">
        <v>745</v>
      </c>
      <c r="E3650" s="6" t="s">
        <v>17</v>
      </c>
      <c r="F3650" s="6" t="s">
        <v>20</v>
      </c>
      <c r="G3650" s="6" t="s">
        <v>208</v>
      </c>
      <c r="H3650" s="6" t="s">
        <v>468</v>
      </c>
      <c r="I3650" s="6" t="s">
        <v>469</v>
      </c>
      <c r="J3650" s="6">
        <v>15.778863708575001</v>
      </c>
      <c r="K3650" s="6">
        <v>-96.137755740960003</v>
      </c>
      <c r="L3650" s="6" t="str">
        <f>HYPERLINK("https://maps.google.com/?q=15.778863708574523,-96.137755740960131", "🔗 Ver Mapa")</f>
        <v>🔗 Ver Mapa</v>
      </c>
    </row>
    <row r="3651" spans="1:12" ht="43.5" x14ac:dyDescent="0.35">
      <c r="A3651" s="5" t="s">
        <v>288</v>
      </c>
      <c r="B3651" s="5" t="s">
        <v>289</v>
      </c>
      <c r="C3651" s="5" t="s">
        <v>748</v>
      </c>
      <c r="D3651" s="5" t="s">
        <v>745</v>
      </c>
      <c r="E3651" s="5" t="s">
        <v>17</v>
      </c>
      <c r="F3651" s="5" t="s">
        <v>20</v>
      </c>
      <c r="G3651" s="5" t="s">
        <v>208</v>
      </c>
      <c r="H3651" s="5" t="s">
        <v>468</v>
      </c>
      <c r="I3651" s="5" t="s">
        <v>469</v>
      </c>
      <c r="J3651" s="5">
        <v>15.778964380685</v>
      </c>
      <c r="K3651" s="5">
        <v>-96.137856917270994</v>
      </c>
      <c r="L3651" s="5" t="str">
        <f>HYPERLINK("https://maps.google.com/?q=15.77896438068461,-96.137856917270753", "🔗 Ver Mapa")</f>
        <v>🔗 Ver Mapa</v>
      </c>
    </row>
    <row r="3652" spans="1:12" ht="43.5" x14ac:dyDescent="0.35">
      <c r="A3652" s="6" t="s">
        <v>288</v>
      </c>
      <c r="B3652" s="6" t="s">
        <v>289</v>
      </c>
      <c r="C3652" s="6" t="s">
        <v>748</v>
      </c>
      <c r="D3652" s="6" t="s">
        <v>745</v>
      </c>
      <c r="E3652" s="6" t="s">
        <v>17</v>
      </c>
      <c r="F3652" s="6" t="s">
        <v>20</v>
      </c>
      <c r="G3652" s="6" t="s">
        <v>208</v>
      </c>
      <c r="H3652" s="6" t="s">
        <v>468</v>
      </c>
      <c r="I3652" s="6" t="s">
        <v>469</v>
      </c>
      <c r="J3652" s="6">
        <v>15.7789815799</v>
      </c>
      <c r="K3652" s="6">
        <v>-96.137791391370996</v>
      </c>
      <c r="L3652" s="6" t="str">
        <f>HYPERLINK("https://maps.google.com/?q=15.778981579900377,-96.137791391371252", "🔗 Ver Mapa")</f>
        <v>🔗 Ver Mapa</v>
      </c>
    </row>
    <row r="3653" spans="1:12" ht="43.5" x14ac:dyDescent="0.35">
      <c r="A3653" s="5" t="s">
        <v>288</v>
      </c>
      <c r="B3653" s="5" t="s">
        <v>289</v>
      </c>
      <c r="C3653" s="5" t="s">
        <v>748</v>
      </c>
      <c r="D3653" s="5" t="s">
        <v>745</v>
      </c>
      <c r="E3653" s="5" t="s">
        <v>17</v>
      </c>
      <c r="F3653" s="5" t="s">
        <v>20</v>
      </c>
      <c r="G3653" s="5" t="s">
        <v>208</v>
      </c>
      <c r="H3653" s="5" t="s">
        <v>468</v>
      </c>
      <c r="I3653" s="5" t="s">
        <v>469</v>
      </c>
      <c r="J3653" s="5">
        <v>15.779013700389999</v>
      </c>
      <c r="K3653" s="5">
        <v>-96.138173320678007</v>
      </c>
      <c r="L3653" s="5" t="str">
        <f>HYPERLINK("https://maps.google.com/?q=15.779013700390266,-96.138173320678121", "🔗 Ver Mapa")</f>
        <v>🔗 Ver Mapa</v>
      </c>
    </row>
    <row r="3654" spans="1:12" ht="43.5" x14ac:dyDescent="0.35">
      <c r="A3654" s="6" t="s">
        <v>288</v>
      </c>
      <c r="B3654" s="6" t="s">
        <v>289</v>
      </c>
      <c r="C3654" s="6" t="s">
        <v>748</v>
      </c>
      <c r="D3654" s="6" t="s">
        <v>745</v>
      </c>
      <c r="E3654" s="6" t="s">
        <v>17</v>
      </c>
      <c r="F3654" s="6" t="s">
        <v>20</v>
      </c>
      <c r="G3654" s="6" t="s">
        <v>208</v>
      </c>
      <c r="H3654" s="6" t="s">
        <v>468</v>
      </c>
      <c r="I3654" s="6" t="s">
        <v>469</v>
      </c>
      <c r="J3654" s="6">
        <v>15.779100433268001</v>
      </c>
      <c r="K3654" s="6">
        <v>-96.137901638838002</v>
      </c>
      <c r="L3654" s="6" t="str">
        <f>HYPERLINK("https://maps.google.com/?q=15.779100433267832,-96.13790163883823", "🔗 Ver Mapa")</f>
        <v>🔗 Ver Mapa</v>
      </c>
    </row>
    <row r="3655" spans="1:12" ht="43.5" x14ac:dyDescent="0.35">
      <c r="A3655" s="5" t="s">
        <v>288</v>
      </c>
      <c r="B3655" s="5" t="s">
        <v>289</v>
      </c>
      <c r="C3655" s="5" t="s">
        <v>748</v>
      </c>
      <c r="D3655" s="5" t="s">
        <v>745</v>
      </c>
      <c r="E3655" s="5" t="s">
        <v>17</v>
      </c>
      <c r="F3655" s="5" t="s">
        <v>20</v>
      </c>
      <c r="G3655" s="5" t="s">
        <v>208</v>
      </c>
      <c r="H3655" s="5" t="s">
        <v>468</v>
      </c>
      <c r="I3655" s="5" t="s">
        <v>469</v>
      </c>
      <c r="J3655" s="5">
        <v>15.779777681143999</v>
      </c>
      <c r="K3655" s="5">
        <v>-96.138582282610997</v>
      </c>
      <c r="L3655" s="5" t="str">
        <f>HYPERLINK("https://maps.google.com/?q=15.779777681144346,-96.138582282611196", "🔗 Ver Mapa")</f>
        <v>🔗 Ver Mapa</v>
      </c>
    </row>
    <row r="3656" spans="1:12" ht="43.5" x14ac:dyDescent="0.35">
      <c r="A3656" s="6" t="s">
        <v>288</v>
      </c>
      <c r="B3656" s="6" t="s">
        <v>289</v>
      </c>
      <c r="C3656" s="6" t="s">
        <v>748</v>
      </c>
      <c r="D3656" s="6" t="s">
        <v>745</v>
      </c>
      <c r="E3656" s="6" t="s">
        <v>17</v>
      </c>
      <c r="F3656" s="6" t="s">
        <v>20</v>
      </c>
      <c r="G3656" s="6" t="s">
        <v>208</v>
      </c>
      <c r="H3656" s="6" t="s">
        <v>468</v>
      </c>
      <c r="I3656" s="6" t="s">
        <v>469</v>
      </c>
      <c r="J3656" s="6">
        <v>15.779820618236</v>
      </c>
      <c r="K3656" s="6">
        <v>-96.138413804886994</v>
      </c>
      <c r="L3656" s="6" t="str">
        <f>HYPERLINK("https://maps.google.com/?q=15.779820618236311,-96.138413804886682", "🔗 Ver Mapa")</f>
        <v>🔗 Ver Mapa</v>
      </c>
    </row>
    <row r="3657" spans="1:12" ht="43.5" x14ac:dyDescent="0.35">
      <c r="A3657" s="5" t="s">
        <v>288</v>
      </c>
      <c r="B3657" s="5" t="s">
        <v>289</v>
      </c>
      <c r="C3657" s="5" t="s">
        <v>748</v>
      </c>
      <c r="D3657" s="5" t="s">
        <v>745</v>
      </c>
      <c r="E3657" s="5" t="s">
        <v>17</v>
      </c>
      <c r="F3657" s="5" t="s">
        <v>20</v>
      </c>
      <c r="G3657" s="5" t="s">
        <v>208</v>
      </c>
      <c r="H3657" s="5" t="s">
        <v>468</v>
      </c>
      <c r="I3657" s="5" t="s">
        <v>469</v>
      </c>
      <c r="J3657" s="5">
        <v>15.780003832493</v>
      </c>
      <c r="K3657" s="5">
        <v>-96.139297240901996</v>
      </c>
      <c r="L3657" s="5" t="str">
        <f>HYPERLINK("https://maps.google.com/?q=15.780003832493458,-96.139297240901627", "🔗 Ver Mapa")</f>
        <v>🔗 Ver Mapa</v>
      </c>
    </row>
    <row r="3658" spans="1:12" ht="43.5" x14ac:dyDescent="0.35">
      <c r="A3658" s="6" t="s">
        <v>288</v>
      </c>
      <c r="B3658" s="6" t="s">
        <v>289</v>
      </c>
      <c r="C3658" s="6" t="s">
        <v>748</v>
      </c>
      <c r="D3658" s="6" t="s">
        <v>745</v>
      </c>
      <c r="E3658" s="6" t="s">
        <v>17</v>
      </c>
      <c r="F3658" s="6" t="s">
        <v>20</v>
      </c>
      <c r="G3658" s="6" t="s">
        <v>208</v>
      </c>
      <c r="H3658" s="6" t="s">
        <v>468</v>
      </c>
      <c r="I3658" s="6" t="s">
        <v>469</v>
      </c>
      <c r="J3658" s="6">
        <v>15.780167534772</v>
      </c>
      <c r="K3658" s="6">
        <v>-96.138698053349998</v>
      </c>
      <c r="L3658" s="6" t="str">
        <f>HYPERLINK("https://maps.google.com/?q=15.780167534771891,-96.138698053350339", "🔗 Ver Mapa")</f>
        <v>🔗 Ver Mapa</v>
      </c>
    </row>
    <row r="3659" spans="1:12" ht="43.5" x14ac:dyDescent="0.35">
      <c r="A3659" s="5" t="s">
        <v>288</v>
      </c>
      <c r="B3659" s="5" t="s">
        <v>289</v>
      </c>
      <c r="C3659" s="5" t="s">
        <v>748</v>
      </c>
      <c r="D3659" s="5" t="s">
        <v>745</v>
      </c>
      <c r="E3659" s="5" t="s">
        <v>17</v>
      </c>
      <c r="F3659" s="5" t="s">
        <v>20</v>
      </c>
      <c r="G3659" s="5" t="s">
        <v>208</v>
      </c>
      <c r="H3659" s="5" t="s">
        <v>468</v>
      </c>
      <c r="I3659" s="5" t="s">
        <v>469</v>
      </c>
      <c r="J3659" s="5">
        <v>15.780711673426</v>
      </c>
      <c r="K3659" s="5">
        <v>-96.139557773524004</v>
      </c>
      <c r="L3659" s="5" t="str">
        <f>HYPERLINK("https://maps.google.com/?q=15.7807116734263,-96.139557773523606", "🔗 Ver Mapa")</f>
        <v>🔗 Ver Mapa</v>
      </c>
    </row>
    <row r="3660" spans="1:12" ht="43.5" x14ac:dyDescent="0.35">
      <c r="A3660" s="6" t="s">
        <v>288</v>
      </c>
      <c r="B3660" s="6" t="s">
        <v>289</v>
      </c>
      <c r="C3660" s="6" t="s">
        <v>748</v>
      </c>
      <c r="D3660" s="6" t="s">
        <v>745</v>
      </c>
      <c r="E3660" s="6" t="s">
        <v>17</v>
      </c>
      <c r="F3660" s="6" t="s">
        <v>20</v>
      </c>
      <c r="G3660" s="6" t="s">
        <v>208</v>
      </c>
      <c r="H3660" s="6" t="s">
        <v>468</v>
      </c>
      <c r="I3660" s="6" t="s">
        <v>469</v>
      </c>
      <c r="J3660" s="6">
        <v>15.780816343568</v>
      </c>
      <c r="K3660" s="6">
        <v>-96.139276511408994</v>
      </c>
      <c r="L3660" s="6" t="str">
        <f>HYPERLINK("https://maps.google.com/?q=15.780816343567707,-96.139276511408994", "🔗 Ver Mapa")</f>
        <v>🔗 Ver Mapa</v>
      </c>
    </row>
    <row r="3661" spans="1:12" ht="43.5" x14ac:dyDescent="0.35">
      <c r="A3661" s="5" t="s">
        <v>288</v>
      </c>
      <c r="B3661" s="5" t="s">
        <v>289</v>
      </c>
      <c r="C3661" s="5" t="s">
        <v>748</v>
      </c>
      <c r="D3661" s="5" t="s">
        <v>745</v>
      </c>
      <c r="E3661" s="5" t="s">
        <v>17</v>
      </c>
      <c r="F3661" s="5" t="s">
        <v>20</v>
      </c>
      <c r="G3661" s="5" t="s">
        <v>208</v>
      </c>
      <c r="H3661" s="5" t="s">
        <v>468</v>
      </c>
      <c r="I3661" s="5" t="s">
        <v>469</v>
      </c>
      <c r="J3661" s="5">
        <v>15.781333833858</v>
      </c>
      <c r="K3661" s="5">
        <v>-96.139483757099001</v>
      </c>
      <c r="L3661" s="5" t="str">
        <f>HYPERLINK("https://maps.google.com/?q=15.78133383385781,-96.139483757098787", "🔗 Ver Mapa")</f>
        <v>🔗 Ver Mapa</v>
      </c>
    </row>
    <row r="3662" spans="1:12" ht="43.5" x14ac:dyDescent="0.35">
      <c r="A3662" s="6" t="s">
        <v>288</v>
      </c>
      <c r="B3662" s="6" t="s">
        <v>289</v>
      </c>
      <c r="C3662" s="6" t="s">
        <v>748</v>
      </c>
      <c r="D3662" s="6" t="s">
        <v>745</v>
      </c>
      <c r="E3662" s="6" t="s">
        <v>17</v>
      </c>
      <c r="F3662" s="6" t="s">
        <v>20</v>
      </c>
      <c r="G3662" s="6" t="s">
        <v>208</v>
      </c>
      <c r="H3662" s="6" t="s">
        <v>468</v>
      </c>
      <c r="I3662" s="6" t="s">
        <v>469</v>
      </c>
      <c r="J3662" s="6">
        <v>15.781661728995999</v>
      </c>
      <c r="K3662" s="6">
        <v>-96.134209704116003</v>
      </c>
      <c r="L3662" s="6" t="str">
        <f>HYPERLINK("https://maps.google.com/?q=15.78166172899591,-96.134209704116415", "🔗 Ver Mapa")</f>
        <v>🔗 Ver Mapa</v>
      </c>
    </row>
    <row r="3663" spans="1:12" ht="43.5" x14ac:dyDescent="0.35">
      <c r="A3663" s="5" t="s">
        <v>288</v>
      </c>
      <c r="B3663" s="5" t="s">
        <v>289</v>
      </c>
      <c r="C3663" s="5" t="s">
        <v>748</v>
      </c>
      <c r="D3663" s="5" t="s">
        <v>745</v>
      </c>
      <c r="E3663" s="5" t="s">
        <v>17</v>
      </c>
      <c r="F3663" s="5" t="s">
        <v>20</v>
      </c>
      <c r="G3663" s="5" t="s">
        <v>208</v>
      </c>
      <c r="H3663" s="5" t="s">
        <v>468</v>
      </c>
      <c r="I3663" s="5" t="s">
        <v>469</v>
      </c>
      <c r="J3663" s="5">
        <v>15.783732562407</v>
      </c>
      <c r="K3663" s="5">
        <v>-96.137845919803993</v>
      </c>
      <c r="L3663" s="5" t="str">
        <f>HYPERLINK("https://maps.google.com/?q=15.783732562406893,-96.13784591980415", "🔗 Ver Mapa")</f>
        <v>🔗 Ver Mapa</v>
      </c>
    </row>
    <row r="3664" spans="1:12" ht="43.5" x14ac:dyDescent="0.35">
      <c r="A3664" s="6" t="s">
        <v>288</v>
      </c>
      <c r="B3664" s="6" t="s">
        <v>289</v>
      </c>
      <c r="C3664" s="6" t="s">
        <v>748</v>
      </c>
      <c r="D3664" s="6" t="s">
        <v>745</v>
      </c>
      <c r="E3664" s="6" t="s">
        <v>17</v>
      </c>
      <c r="F3664" s="6" t="s">
        <v>20</v>
      </c>
      <c r="G3664" s="6" t="s">
        <v>208</v>
      </c>
      <c r="H3664" s="6" t="s">
        <v>468</v>
      </c>
      <c r="I3664" s="6" t="s">
        <v>469</v>
      </c>
      <c r="J3664" s="6">
        <v>15.784613316409001</v>
      </c>
      <c r="K3664" s="6">
        <v>-96.136835603283004</v>
      </c>
      <c r="L3664" s="6" t="str">
        <f>HYPERLINK("https://maps.google.com/?q=15.784613316409274,-96.136835603283473", "🔗 Ver Mapa")</f>
        <v>🔗 Ver Mapa</v>
      </c>
    </row>
    <row r="3665" spans="1:12" ht="43.5" x14ac:dyDescent="0.35">
      <c r="A3665" s="5" t="s">
        <v>288</v>
      </c>
      <c r="B3665" s="5" t="s">
        <v>289</v>
      </c>
      <c r="C3665" s="5" t="s">
        <v>748</v>
      </c>
      <c r="D3665" s="5" t="s">
        <v>745</v>
      </c>
      <c r="E3665" s="5" t="s">
        <v>17</v>
      </c>
      <c r="F3665" s="5" t="s">
        <v>20</v>
      </c>
      <c r="G3665" s="5" t="s">
        <v>208</v>
      </c>
      <c r="H3665" s="5" t="s">
        <v>468</v>
      </c>
      <c r="I3665" s="5" t="s">
        <v>469</v>
      </c>
      <c r="J3665" s="5">
        <v>15.784713248958001</v>
      </c>
      <c r="K3665" s="5">
        <v>-96.135509822314006</v>
      </c>
      <c r="L3665" s="5" t="str">
        <f>HYPERLINK("https://maps.google.com/?q=15.784713248958457,-96.135509822313992", "🔗 Ver Mapa")</f>
        <v>🔗 Ver Mapa</v>
      </c>
    </row>
    <row r="3666" spans="1:12" ht="43.5" x14ac:dyDescent="0.35">
      <c r="A3666" s="6" t="s">
        <v>288</v>
      </c>
      <c r="B3666" s="6" t="s">
        <v>289</v>
      </c>
      <c r="C3666" s="6" t="s">
        <v>748</v>
      </c>
      <c r="D3666" s="6" t="s">
        <v>745</v>
      </c>
      <c r="E3666" s="6" t="s">
        <v>17</v>
      </c>
      <c r="F3666" s="6" t="s">
        <v>20</v>
      </c>
      <c r="G3666" s="6" t="s">
        <v>208</v>
      </c>
      <c r="H3666" s="6" t="s">
        <v>468</v>
      </c>
      <c r="I3666" s="6" t="s">
        <v>469</v>
      </c>
      <c r="J3666" s="6">
        <v>15.784899978079</v>
      </c>
      <c r="K3666" s="6">
        <v>-96.135973527618006</v>
      </c>
      <c r="L3666" s="6" t="str">
        <f>HYPERLINK("https://maps.google.com/?q=15.784899978078608,-96.13597352761829", "🔗 Ver Mapa")</f>
        <v>🔗 Ver Mapa</v>
      </c>
    </row>
    <row r="3667" spans="1:12" ht="43.5" x14ac:dyDescent="0.35">
      <c r="A3667" s="5" t="s">
        <v>288</v>
      </c>
      <c r="B3667" s="5" t="s">
        <v>289</v>
      </c>
      <c r="C3667" s="5" t="s">
        <v>749</v>
      </c>
      <c r="D3667" s="5" t="s">
        <v>745</v>
      </c>
      <c r="E3667" s="5" t="s">
        <v>17</v>
      </c>
      <c r="F3667" s="5" t="s">
        <v>20</v>
      </c>
      <c r="G3667" s="5" t="s">
        <v>208</v>
      </c>
      <c r="H3667" s="5" t="s">
        <v>468</v>
      </c>
      <c r="I3667" s="5" t="s">
        <v>469</v>
      </c>
      <c r="J3667" s="5">
        <v>15.773401</v>
      </c>
      <c r="K3667" s="5">
        <v>-96.144667999999996</v>
      </c>
      <c r="L3667" s="5" t="str">
        <f>HYPERLINK("https://maps.google.com/?q=15.773401,-96.144668", "🔗 Ver Mapa")</f>
        <v>🔗 Ver Mapa</v>
      </c>
    </row>
    <row r="3668" spans="1:12" ht="43.5" x14ac:dyDescent="0.35">
      <c r="A3668" s="6" t="s">
        <v>288</v>
      </c>
      <c r="B3668" s="6" t="s">
        <v>289</v>
      </c>
      <c r="C3668" s="6" t="s">
        <v>749</v>
      </c>
      <c r="D3668" s="6" t="s">
        <v>745</v>
      </c>
      <c r="E3668" s="6" t="s">
        <v>17</v>
      </c>
      <c r="F3668" s="6" t="s">
        <v>20</v>
      </c>
      <c r="G3668" s="6" t="s">
        <v>208</v>
      </c>
      <c r="H3668" s="6" t="s">
        <v>468</v>
      </c>
      <c r="I3668" s="6" t="s">
        <v>469</v>
      </c>
      <c r="J3668" s="6">
        <v>15.773417</v>
      </c>
      <c r="K3668" s="6">
        <v>-96.144547000000003</v>
      </c>
      <c r="L3668" s="6" t="str">
        <f>HYPERLINK("https://maps.google.com/?q=15.773417,-96.144547", "🔗 Ver Mapa")</f>
        <v>🔗 Ver Mapa</v>
      </c>
    </row>
    <row r="3669" spans="1:12" ht="43.5" x14ac:dyDescent="0.35">
      <c r="A3669" s="5" t="s">
        <v>288</v>
      </c>
      <c r="B3669" s="5" t="s">
        <v>289</v>
      </c>
      <c r="C3669" s="5" t="s">
        <v>749</v>
      </c>
      <c r="D3669" s="5" t="s">
        <v>745</v>
      </c>
      <c r="E3669" s="5" t="s">
        <v>17</v>
      </c>
      <c r="F3669" s="5" t="s">
        <v>20</v>
      </c>
      <c r="G3669" s="5" t="s">
        <v>208</v>
      </c>
      <c r="H3669" s="5" t="s">
        <v>468</v>
      </c>
      <c r="I3669" s="5" t="s">
        <v>469</v>
      </c>
      <c r="J3669" s="5">
        <v>15.773631</v>
      </c>
      <c r="K3669" s="5">
        <v>-96.144311000000002</v>
      </c>
      <c r="L3669" s="5" t="str">
        <f>HYPERLINK("https://maps.google.com/?q=15.773631,-96.144311", "🔗 Ver Mapa")</f>
        <v>🔗 Ver Mapa</v>
      </c>
    </row>
    <row r="3670" spans="1:12" ht="43.5" x14ac:dyDescent="0.35">
      <c r="A3670" s="6" t="s">
        <v>288</v>
      </c>
      <c r="B3670" s="6" t="s">
        <v>289</v>
      </c>
      <c r="C3670" s="6" t="s">
        <v>749</v>
      </c>
      <c r="D3670" s="6" t="s">
        <v>745</v>
      </c>
      <c r="E3670" s="6" t="s">
        <v>17</v>
      </c>
      <c r="F3670" s="6" t="s">
        <v>20</v>
      </c>
      <c r="G3670" s="6" t="s">
        <v>208</v>
      </c>
      <c r="H3670" s="6" t="s">
        <v>468</v>
      </c>
      <c r="I3670" s="6" t="s">
        <v>469</v>
      </c>
      <c r="J3670" s="6">
        <v>15.773809999999999</v>
      </c>
      <c r="K3670" s="6">
        <v>-96.144195999999994</v>
      </c>
      <c r="L3670" s="6" t="str">
        <f>HYPERLINK("https://maps.google.com/?q=15.77381,-96.144196", "🔗 Ver Mapa")</f>
        <v>🔗 Ver Mapa</v>
      </c>
    </row>
    <row r="3671" spans="1:12" ht="43.5" x14ac:dyDescent="0.35">
      <c r="A3671" s="5" t="s">
        <v>288</v>
      </c>
      <c r="B3671" s="5" t="s">
        <v>289</v>
      </c>
      <c r="C3671" s="5" t="s">
        <v>749</v>
      </c>
      <c r="D3671" s="5" t="s">
        <v>745</v>
      </c>
      <c r="E3671" s="5" t="s">
        <v>17</v>
      </c>
      <c r="F3671" s="5" t="s">
        <v>20</v>
      </c>
      <c r="G3671" s="5" t="s">
        <v>208</v>
      </c>
      <c r="H3671" s="5" t="s">
        <v>468</v>
      </c>
      <c r="I3671" s="5" t="s">
        <v>469</v>
      </c>
      <c r="J3671" s="5">
        <v>15.773860000000001</v>
      </c>
      <c r="K3671" s="5">
        <v>-96.145306000000005</v>
      </c>
      <c r="L3671" s="5" t="str">
        <f>HYPERLINK("https://maps.google.com/?q=15.77386,-96.145306", "🔗 Ver Mapa")</f>
        <v>🔗 Ver Mapa</v>
      </c>
    </row>
    <row r="3672" spans="1:12" ht="43.5" x14ac:dyDescent="0.35">
      <c r="A3672" s="6" t="s">
        <v>288</v>
      </c>
      <c r="B3672" s="6" t="s">
        <v>289</v>
      </c>
      <c r="C3672" s="6" t="s">
        <v>749</v>
      </c>
      <c r="D3672" s="6" t="s">
        <v>745</v>
      </c>
      <c r="E3672" s="6" t="s">
        <v>17</v>
      </c>
      <c r="F3672" s="6" t="s">
        <v>20</v>
      </c>
      <c r="G3672" s="6" t="s">
        <v>208</v>
      </c>
      <c r="H3672" s="6" t="s">
        <v>468</v>
      </c>
      <c r="I3672" s="6" t="s">
        <v>469</v>
      </c>
      <c r="J3672" s="6">
        <v>15.774462</v>
      </c>
      <c r="K3672" s="6">
        <v>-96.145036000000005</v>
      </c>
      <c r="L3672" s="6" t="str">
        <f>HYPERLINK("https://maps.google.com/?q=15.774462,-96.145036", "🔗 Ver Mapa")</f>
        <v>🔗 Ver Mapa</v>
      </c>
    </row>
    <row r="3673" spans="1:12" ht="43.5" x14ac:dyDescent="0.35">
      <c r="A3673" s="5" t="s">
        <v>288</v>
      </c>
      <c r="B3673" s="5" t="s">
        <v>289</v>
      </c>
      <c r="C3673" s="5" t="s">
        <v>749</v>
      </c>
      <c r="D3673" s="5" t="s">
        <v>745</v>
      </c>
      <c r="E3673" s="5" t="s">
        <v>17</v>
      </c>
      <c r="F3673" s="5" t="s">
        <v>20</v>
      </c>
      <c r="G3673" s="5" t="s">
        <v>208</v>
      </c>
      <c r="H3673" s="5" t="s">
        <v>468</v>
      </c>
      <c r="I3673" s="5" t="s">
        <v>469</v>
      </c>
      <c r="J3673" s="5">
        <v>15.774686000000001</v>
      </c>
      <c r="K3673" s="5">
        <v>-96.146300999999994</v>
      </c>
      <c r="L3673" s="5" t="str">
        <f>HYPERLINK("https://maps.google.com/?q=15.774686,-96.146301", "🔗 Ver Mapa")</f>
        <v>🔗 Ver Mapa</v>
      </c>
    </row>
    <row r="3674" spans="1:12" ht="43.5" x14ac:dyDescent="0.35">
      <c r="A3674" s="6" t="s">
        <v>288</v>
      </c>
      <c r="B3674" s="6" t="s">
        <v>289</v>
      </c>
      <c r="C3674" s="6" t="s">
        <v>749</v>
      </c>
      <c r="D3674" s="6" t="s">
        <v>745</v>
      </c>
      <c r="E3674" s="6" t="s">
        <v>17</v>
      </c>
      <c r="F3674" s="6" t="s">
        <v>20</v>
      </c>
      <c r="G3674" s="6" t="s">
        <v>208</v>
      </c>
      <c r="H3674" s="6" t="s">
        <v>468</v>
      </c>
      <c r="I3674" s="6" t="s">
        <v>469</v>
      </c>
      <c r="J3674" s="6">
        <v>15.774699</v>
      </c>
      <c r="K3674" s="6">
        <v>-96.144537999999997</v>
      </c>
      <c r="L3674" s="6" t="str">
        <f>HYPERLINK("https://maps.google.com/?q=15.774699,-96.144537999999997", "🔗 Ver Mapa")</f>
        <v>🔗 Ver Mapa</v>
      </c>
    </row>
    <row r="3675" spans="1:12" ht="43.5" x14ac:dyDescent="0.35">
      <c r="A3675" s="5" t="s">
        <v>288</v>
      </c>
      <c r="B3675" s="5" t="s">
        <v>289</v>
      </c>
      <c r="C3675" s="5" t="s">
        <v>749</v>
      </c>
      <c r="D3675" s="5" t="s">
        <v>745</v>
      </c>
      <c r="E3675" s="5" t="s">
        <v>17</v>
      </c>
      <c r="F3675" s="5" t="s">
        <v>20</v>
      </c>
      <c r="G3675" s="5" t="s">
        <v>208</v>
      </c>
      <c r="H3675" s="5" t="s">
        <v>468</v>
      </c>
      <c r="I3675" s="5" t="s">
        <v>469</v>
      </c>
      <c r="J3675" s="5">
        <v>15.774842</v>
      </c>
      <c r="K3675" s="5">
        <v>-96.146448000000007</v>
      </c>
      <c r="L3675" s="5" t="str">
        <f>HYPERLINK("https://maps.google.com/?q=15.774842,-96.146448", "🔗 Ver Mapa")</f>
        <v>🔗 Ver Mapa</v>
      </c>
    </row>
    <row r="3676" spans="1:12" ht="43.5" x14ac:dyDescent="0.35">
      <c r="A3676" s="6" t="s">
        <v>288</v>
      </c>
      <c r="B3676" s="6" t="s">
        <v>289</v>
      </c>
      <c r="C3676" s="6" t="s">
        <v>749</v>
      </c>
      <c r="D3676" s="6" t="s">
        <v>745</v>
      </c>
      <c r="E3676" s="6" t="s">
        <v>17</v>
      </c>
      <c r="F3676" s="6" t="s">
        <v>20</v>
      </c>
      <c r="G3676" s="6" t="s">
        <v>208</v>
      </c>
      <c r="H3676" s="6" t="s">
        <v>468</v>
      </c>
      <c r="I3676" s="6" t="s">
        <v>469</v>
      </c>
      <c r="J3676" s="6">
        <v>15.774889999999999</v>
      </c>
      <c r="K3676" s="6">
        <v>-96.145328000000006</v>
      </c>
      <c r="L3676" s="6" t="str">
        <f>HYPERLINK("https://maps.google.com/?q=15.77489,-96.145328", "🔗 Ver Mapa")</f>
        <v>🔗 Ver Mapa</v>
      </c>
    </row>
    <row r="3677" spans="1:12" ht="43.5" x14ac:dyDescent="0.35">
      <c r="A3677" s="5" t="s">
        <v>288</v>
      </c>
      <c r="B3677" s="5" t="s">
        <v>289</v>
      </c>
      <c r="C3677" s="5" t="s">
        <v>749</v>
      </c>
      <c r="D3677" s="5" t="s">
        <v>745</v>
      </c>
      <c r="E3677" s="5" t="s">
        <v>17</v>
      </c>
      <c r="F3677" s="5" t="s">
        <v>20</v>
      </c>
      <c r="G3677" s="5" t="s">
        <v>208</v>
      </c>
      <c r="H3677" s="5" t="s">
        <v>468</v>
      </c>
      <c r="I3677" s="5" t="s">
        <v>469</v>
      </c>
      <c r="J3677" s="5">
        <v>15.775134</v>
      </c>
      <c r="K3677" s="5">
        <v>-96.141920999999996</v>
      </c>
      <c r="L3677" s="5" t="str">
        <f>HYPERLINK("https://maps.google.com/?q=15.775134,-96.141921", "🔗 Ver Mapa")</f>
        <v>🔗 Ver Mapa</v>
      </c>
    </row>
    <row r="3678" spans="1:12" ht="43.5" x14ac:dyDescent="0.35">
      <c r="A3678" s="6" t="s">
        <v>288</v>
      </c>
      <c r="B3678" s="6" t="s">
        <v>289</v>
      </c>
      <c r="C3678" s="6" t="s">
        <v>749</v>
      </c>
      <c r="D3678" s="6" t="s">
        <v>745</v>
      </c>
      <c r="E3678" s="6" t="s">
        <v>17</v>
      </c>
      <c r="F3678" s="6" t="s">
        <v>20</v>
      </c>
      <c r="G3678" s="6" t="s">
        <v>208</v>
      </c>
      <c r="H3678" s="6" t="s">
        <v>468</v>
      </c>
      <c r="I3678" s="6" t="s">
        <v>469</v>
      </c>
      <c r="J3678" s="6">
        <v>15.775145</v>
      </c>
      <c r="K3678" s="6">
        <v>-96.144084000000007</v>
      </c>
      <c r="L3678" s="6" t="str">
        <f>HYPERLINK("https://maps.google.com/?q=15.775145,-96.144084", "🔗 Ver Mapa")</f>
        <v>🔗 Ver Mapa</v>
      </c>
    </row>
    <row r="3679" spans="1:12" ht="43.5" x14ac:dyDescent="0.35">
      <c r="A3679" s="5" t="s">
        <v>288</v>
      </c>
      <c r="B3679" s="5" t="s">
        <v>289</v>
      </c>
      <c r="C3679" s="5" t="s">
        <v>749</v>
      </c>
      <c r="D3679" s="5" t="s">
        <v>745</v>
      </c>
      <c r="E3679" s="5" t="s">
        <v>17</v>
      </c>
      <c r="F3679" s="5" t="s">
        <v>20</v>
      </c>
      <c r="G3679" s="5" t="s">
        <v>208</v>
      </c>
      <c r="H3679" s="5" t="s">
        <v>468</v>
      </c>
      <c r="I3679" s="5" t="s">
        <v>469</v>
      </c>
      <c r="J3679" s="5">
        <v>15.775304</v>
      </c>
      <c r="K3679" s="5">
        <v>-96.145900999999995</v>
      </c>
      <c r="L3679" s="5" t="str">
        <f>HYPERLINK("https://maps.google.com/?q=15.775304,-96.145901", "🔗 Ver Mapa")</f>
        <v>🔗 Ver Mapa</v>
      </c>
    </row>
    <row r="3680" spans="1:12" ht="43.5" x14ac:dyDescent="0.35">
      <c r="A3680" s="6" t="s">
        <v>288</v>
      </c>
      <c r="B3680" s="6" t="s">
        <v>289</v>
      </c>
      <c r="C3680" s="6" t="s">
        <v>749</v>
      </c>
      <c r="D3680" s="6" t="s">
        <v>745</v>
      </c>
      <c r="E3680" s="6" t="s">
        <v>17</v>
      </c>
      <c r="F3680" s="6" t="s">
        <v>20</v>
      </c>
      <c r="G3680" s="6" t="s">
        <v>208</v>
      </c>
      <c r="H3680" s="6" t="s">
        <v>468</v>
      </c>
      <c r="I3680" s="6" t="s">
        <v>469</v>
      </c>
      <c r="J3680" s="6">
        <v>15.775418999999999</v>
      </c>
      <c r="K3680" s="6">
        <v>-96.144332000000006</v>
      </c>
      <c r="L3680" s="6" t="str">
        <f>HYPERLINK("https://maps.google.com/?q=15.775419,-96.144332", "🔗 Ver Mapa")</f>
        <v>🔗 Ver Mapa</v>
      </c>
    </row>
    <row r="3681" spans="1:12" ht="43.5" x14ac:dyDescent="0.35">
      <c r="A3681" s="5" t="s">
        <v>288</v>
      </c>
      <c r="B3681" s="5" t="s">
        <v>289</v>
      </c>
      <c r="C3681" s="5" t="s">
        <v>749</v>
      </c>
      <c r="D3681" s="5" t="s">
        <v>745</v>
      </c>
      <c r="E3681" s="5" t="s">
        <v>17</v>
      </c>
      <c r="F3681" s="5" t="s">
        <v>20</v>
      </c>
      <c r="G3681" s="5" t="s">
        <v>208</v>
      </c>
      <c r="H3681" s="5" t="s">
        <v>468</v>
      </c>
      <c r="I3681" s="5" t="s">
        <v>469</v>
      </c>
      <c r="J3681" s="5">
        <v>15.775532999999999</v>
      </c>
      <c r="K3681" s="5">
        <v>-96.146867999999998</v>
      </c>
      <c r="L3681" s="5" t="str">
        <f>HYPERLINK("https://maps.google.com/?q=15.775533,-96.146868", "🔗 Ver Mapa")</f>
        <v>🔗 Ver Mapa</v>
      </c>
    </row>
    <row r="3682" spans="1:12" ht="43.5" x14ac:dyDescent="0.35">
      <c r="A3682" s="6" t="s">
        <v>288</v>
      </c>
      <c r="B3682" s="6" t="s">
        <v>289</v>
      </c>
      <c r="C3682" s="6" t="s">
        <v>749</v>
      </c>
      <c r="D3682" s="6" t="s">
        <v>745</v>
      </c>
      <c r="E3682" s="6" t="s">
        <v>17</v>
      </c>
      <c r="F3682" s="6" t="s">
        <v>20</v>
      </c>
      <c r="G3682" s="6" t="s">
        <v>208</v>
      </c>
      <c r="H3682" s="6" t="s">
        <v>468</v>
      </c>
      <c r="I3682" s="6" t="s">
        <v>469</v>
      </c>
      <c r="J3682" s="6">
        <v>15.775669000000001</v>
      </c>
      <c r="K3682" s="6">
        <v>-96.142742999999996</v>
      </c>
      <c r="L3682" s="6" t="str">
        <f>HYPERLINK("https://maps.google.com/?q=15.775669,-96.142743", "🔗 Ver Mapa")</f>
        <v>🔗 Ver Mapa</v>
      </c>
    </row>
    <row r="3683" spans="1:12" ht="43.5" x14ac:dyDescent="0.35">
      <c r="A3683" s="5" t="s">
        <v>288</v>
      </c>
      <c r="B3683" s="5" t="s">
        <v>289</v>
      </c>
      <c r="C3683" s="5" t="s">
        <v>749</v>
      </c>
      <c r="D3683" s="5" t="s">
        <v>745</v>
      </c>
      <c r="E3683" s="5" t="s">
        <v>17</v>
      </c>
      <c r="F3683" s="5" t="s">
        <v>20</v>
      </c>
      <c r="G3683" s="5" t="s">
        <v>208</v>
      </c>
      <c r="H3683" s="5" t="s">
        <v>468</v>
      </c>
      <c r="I3683" s="5" t="s">
        <v>469</v>
      </c>
      <c r="J3683" s="5">
        <v>15.775696999999999</v>
      </c>
      <c r="K3683" s="5">
        <v>-96.142128</v>
      </c>
      <c r="L3683" s="5" t="str">
        <f>HYPERLINK("https://maps.google.com/?q=15.775697,-96.142128", "🔗 Ver Mapa")</f>
        <v>🔗 Ver Mapa</v>
      </c>
    </row>
    <row r="3684" spans="1:12" ht="43.5" x14ac:dyDescent="0.35">
      <c r="A3684" s="6" t="s">
        <v>288</v>
      </c>
      <c r="B3684" s="6" t="s">
        <v>289</v>
      </c>
      <c r="C3684" s="6" t="s">
        <v>749</v>
      </c>
      <c r="D3684" s="6" t="s">
        <v>745</v>
      </c>
      <c r="E3684" s="6" t="s">
        <v>17</v>
      </c>
      <c r="F3684" s="6" t="s">
        <v>20</v>
      </c>
      <c r="G3684" s="6" t="s">
        <v>208</v>
      </c>
      <c r="H3684" s="6" t="s">
        <v>468</v>
      </c>
      <c r="I3684" s="6" t="s">
        <v>469</v>
      </c>
      <c r="J3684" s="6">
        <v>15.775762</v>
      </c>
      <c r="K3684" s="6">
        <v>-96.147107000000005</v>
      </c>
      <c r="L3684" s="6" t="str">
        <f>HYPERLINK("https://maps.google.com/?q=15.775762,-96.147107", "🔗 Ver Mapa")</f>
        <v>🔗 Ver Mapa</v>
      </c>
    </row>
    <row r="3685" spans="1:12" ht="43.5" x14ac:dyDescent="0.35">
      <c r="A3685" s="5" t="s">
        <v>288</v>
      </c>
      <c r="B3685" s="5" t="s">
        <v>289</v>
      </c>
      <c r="C3685" s="5" t="s">
        <v>749</v>
      </c>
      <c r="D3685" s="5" t="s">
        <v>745</v>
      </c>
      <c r="E3685" s="5" t="s">
        <v>17</v>
      </c>
      <c r="F3685" s="5" t="s">
        <v>20</v>
      </c>
      <c r="G3685" s="5" t="s">
        <v>208</v>
      </c>
      <c r="H3685" s="5" t="s">
        <v>468</v>
      </c>
      <c r="I3685" s="5" t="s">
        <v>469</v>
      </c>
      <c r="J3685" s="5">
        <v>15.775864</v>
      </c>
      <c r="K3685" s="5">
        <v>-96.143822999999998</v>
      </c>
      <c r="L3685" s="5" t="str">
        <f>HYPERLINK("https://maps.google.com/?q=15.775864,-96.143823", "🔗 Ver Mapa")</f>
        <v>🔗 Ver Mapa</v>
      </c>
    </row>
    <row r="3686" spans="1:12" ht="43.5" x14ac:dyDescent="0.35">
      <c r="A3686" s="6" t="s">
        <v>288</v>
      </c>
      <c r="B3686" s="6" t="s">
        <v>289</v>
      </c>
      <c r="C3686" s="6" t="s">
        <v>749</v>
      </c>
      <c r="D3686" s="6" t="s">
        <v>745</v>
      </c>
      <c r="E3686" s="6" t="s">
        <v>17</v>
      </c>
      <c r="F3686" s="6" t="s">
        <v>20</v>
      </c>
      <c r="G3686" s="6" t="s">
        <v>208</v>
      </c>
      <c r="H3686" s="6" t="s">
        <v>468</v>
      </c>
      <c r="I3686" s="6" t="s">
        <v>469</v>
      </c>
      <c r="J3686" s="6">
        <v>15.776154999999999</v>
      </c>
      <c r="K3686" s="6">
        <v>-96.146737999999999</v>
      </c>
      <c r="L3686" s="6" t="str">
        <f>HYPERLINK("https://maps.google.com/?q=15.776155,-96.146738", "🔗 Ver Mapa")</f>
        <v>🔗 Ver Mapa</v>
      </c>
    </row>
    <row r="3687" spans="1:12" ht="43.5" x14ac:dyDescent="0.35">
      <c r="A3687" s="5" t="s">
        <v>288</v>
      </c>
      <c r="B3687" s="5" t="s">
        <v>289</v>
      </c>
      <c r="C3687" s="5" t="s">
        <v>749</v>
      </c>
      <c r="D3687" s="5" t="s">
        <v>745</v>
      </c>
      <c r="E3687" s="5" t="s">
        <v>17</v>
      </c>
      <c r="F3687" s="5" t="s">
        <v>20</v>
      </c>
      <c r="G3687" s="5" t="s">
        <v>208</v>
      </c>
      <c r="H3687" s="5" t="s">
        <v>468</v>
      </c>
      <c r="I3687" s="5" t="s">
        <v>469</v>
      </c>
      <c r="J3687" s="5">
        <v>15.776348</v>
      </c>
      <c r="K3687" s="5">
        <v>-96.143563999999998</v>
      </c>
      <c r="L3687" s="5" t="str">
        <f>HYPERLINK("https://maps.google.com/?q=15.776348,-96.143564", "🔗 Ver Mapa")</f>
        <v>🔗 Ver Mapa</v>
      </c>
    </row>
    <row r="3688" spans="1:12" ht="43.5" x14ac:dyDescent="0.35">
      <c r="A3688" s="6" t="s">
        <v>288</v>
      </c>
      <c r="B3688" s="6" t="s">
        <v>289</v>
      </c>
      <c r="C3688" s="6" t="s">
        <v>749</v>
      </c>
      <c r="D3688" s="6" t="s">
        <v>745</v>
      </c>
      <c r="E3688" s="6" t="s">
        <v>17</v>
      </c>
      <c r="F3688" s="6" t="s">
        <v>20</v>
      </c>
      <c r="G3688" s="6" t="s">
        <v>208</v>
      </c>
      <c r="H3688" s="6" t="s">
        <v>468</v>
      </c>
      <c r="I3688" s="6" t="s">
        <v>469</v>
      </c>
      <c r="J3688" s="6">
        <v>15.776498</v>
      </c>
      <c r="K3688" s="6">
        <v>-96.143272999999994</v>
      </c>
      <c r="L3688" s="6" t="str">
        <f>HYPERLINK("https://maps.google.com/?q=15.776498,-96.143273", "🔗 Ver Mapa")</f>
        <v>🔗 Ver Mapa</v>
      </c>
    </row>
    <row r="3689" spans="1:12" ht="43.5" x14ac:dyDescent="0.35">
      <c r="A3689" s="5" t="s">
        <v>288</v>
      </c>
      <c r="B3689" s="5" t="s">
        <v>289</v>
      </c>
      <c r="C3689" s="5" t="s">
        <v>750</v>
      </c>
      <c r="D3689" s="5" t="s">
        <v>745</v>
      </c>
      <c r="E3689" s="5" t="s">
        <v>17</v>
      </c>
      <c r="F3689" s="5" t="s">
        <v>20</v>
      </c>
      <c r="G3689" s="5" t="s">
        <v>208</v>
      </c>
      <c r="H3689" s="5" t="s">
        <v>468</v>
      </c>
      <c r="I3689" s="5" t="s">
        <v>469</v>
      </c>
      <c r="J3689" s="5">
        <v>15.756305915024001</v>
      </c>
      <c r="K3689" s="5">
        <v>-96.147500124931</v>
      </c>
      <c r="L3689" s="5" t="str">
        <f>HYPERLINK("https://maps.google.com/?q=15.756305915024228,-96.14750012493063", "🔗 Ver Mapa")</f>
        <v>🔗 Ver Mapa</v>
      </c>
    </row>
    <row r="3690" spans="1:12" ht="43.5" x14ac:dyDescent="0.35">
      <c r="A3690" s="6" t="s">
        <v>288</v>
      </c>
      <c r="B3690" s="6" t="s">
        <v>289</v>
      </c>
      <c r="C3690" s="6" t="s">
        <v>750</v>
      </c>
      <c r="D3690" s="6" t="s">
        <v>745</v>
      </c>
      <c r="E3690" s="6" t="s">
        <v>17</v>
      </c>
      <c r="F3690" s="6" t="s">
        <v>20</v>
      </c>
      <c r="G3690" s="6" t="s">
        <v>208</v>
      </c>
      <c r="H3690" s="6" t="s">
        <v>468</v>
      </c>
      <c r="I3690" s="6" t="s">
        <v>469</v>
      </c>
      <c r="J3690" s="6">
        <v>15.756364708612001</v>
      </c>
      <c r="K3690" s="6">
        <v>-96.146473512575</v>
      </c>
      <c r="L3690" s="6" t="str">
        <f>HYPERLINK("https://maps.google.com/?q=15.756364708611724,-96.146473512575383", "🔗 Ver Mapa")</f>
        <v>🔗 Ver Mapa</v>
      </c>
    </row>
    <row r="3691" spans="1:12" ht="43.5" x14ac:dyDescent="0.35">
      <c r="A3691" s="5" t="s">
        <v>288</v>
      </c>
      <c r="B3691" s="5" t="s">
        <v>289</v>
      </c>
      <c r="C3691" s="5" t="s">
        <v>750</v>
      </c>
      <c r="D3691" s="5" t="s">
        <v>745</v>
      </c>
      <c r="E3691" s="5" t="s">
        <v>17</v>
      </c>
      <c r="F3691" s="5" t="s">
        <v>20</v>
      </c>
      <c r="G3691" s="5" t="s">
        <v>208</v>
      </c>
      <c r="H3691" s="5" t="s">
        <v>468</v>
      </c>
      <c r="I3691" s="5" t="s">
        <v>469</v>
      </c>
      <c r="J3691" s="5">
        <v>15.756518363586</v>
      </c>
      <c r="K3691" s="5">
        <v>-96.148550925335002</v>
      </c>
      <c r="L3691" s="5" t="str">
        <f>HYPERLINK("https://maps.google.com/?q=15.756518363586299,-96.148550925334533", "🔗 Ver Mapa")</f>
        <v>🔗 Ver Mapa</v>
      </c>
    </row>
    <row r="3692" spans="1:12" ht="43.5" x14ac:dyDescent="0.35">
      <c r="A3692" s="6" t="s">
        <v>288</v>
      </c>
      <c r="B3692" s="6" t="s">
        <v>289</v>
      </c>
      <c r="C3692" s="6" t="s">
        <v>750</v>
      </c>
      <c r="D3692" s="6" t="s">
        <v>745</v>
      </c>
      <c r="E3692" s="6" t="s">
        <v>17</v>
      </c>
      <c r="F3692" s="6" t="s">
        <v>20</v>
      </c>
      <c r="G3692" s="6" t="s">
        <v>208</v>
      </c>
      <c r="H3692" s="6" t="s">
        <v>468</v>
      </c>
      <c r="I3692" s="6" t="s">
        <v>469</v>
      </c>
      <c r="J3692" s="6">
        <v>15.756774191361</v>
      </c>
      <c r="K3692" s="6">
        <v>-96.146020170816001</v>
      </c>
      <c r="L3692" s="6" t="str">
        <f>HYPERLINK("https://maps.google.com/?q=15.756774191360815,-96.146020170816172", "🔗 Ver Mapa")</f>
        <v>🔗 Ver Mapa</v>
      </c>
    </row>
    <row r="3693" spans="1:12" ht="43.5" x14ac:dyDescent="0.35">
      <c r="A3693" s="5" t="s">
        <v>288</v>
      </c>
      <c r="B3693" s="5" t="s">
        <v>289</v>
      </c>
      <c r="C3693" s="5" t="s">
        <v>750</v>
      </c>
      <c r="D3693" s="5" t="s">
        <v>745</v>
      </c>
      <c r="E3693" s="5" t="s">
        <v>17</v>
      </c>
      <c r="F3693" s="5" t="s">
        <v>20</v>
      </c>
      <c r="G3693" s="5" t="s">
        <v>208</v>
      </c>
      <c r="H3693" s="5" t="s">
        <v>468</v>
      </c>
      <c r="I3693" s="5" t="s">
        <v>469</v>
      </c>
      <c r="J3693" s="5">
        <v>15.757462054964</v>
      </c>
      <c r="K3693" s="5">
        <v>-96.140629800865995</v>
      </c>
      <c r="L3693" s="5" t="str">
        <f>HYPERLINK("https://maps.google.com/?q=15.757462054964257,-96.140629800865852", "🔗 Ver Mapa")</f>
        <v>🔗 Ver Mapa</v>
      </c>
    </row>
    <row r="3694" spans="1:12" ht="43.5" x14ac:dyDescent="0.35">
      <c r="A3694" s="6" t="s">
        <v>288</v>
      </c>
      <c r="B3694" s="6" t="s">
        <v>289</v>
      </c>
      <c r="C3694" s="6" t="s">
        <v>750</v>
      </c>
      <c r="D3694" s="6" t="s">
        <v>745</v>
      </c>
      <c r="E3694" s="6" t="s">
        <v>17</v>
      </c>
      <c r="F3694" s="6" t="s">
        <v>20</v>
      </c>
      <c r="G3694" s="6" t="s">
        <v>208</v>
      </c>
      <c r="H3694" s="6" t="s">
        <v>468</v>
      </c>
      <c r="I3694" s="6" t="s">
        <v>469</v>
      </c>
      <c r="J3694" s="6">
        <v>15.757586013138001</v>
      </c>
      <c r="K3694" s="6">
        <v>-96.143192547642997</v>
      </c>
      <c r="L3694" s="6" t="str">
        <f>HYPERLINK("https://maps.google.com/?q=15.757586013138095,-96.143192547642755", "🔗 Ver Mapa")</f>
        <v>🔗 Ver Mapa</v>
      </c>
    </row>
    <row r="3695" spans="1:12" ht="43.5" x14ac:dyDescent="0.35">
      <c r="A3695" s="5" t="s">
        <v>288</v>
      </c>
      <c r="B3695" s="5" t="s">
        <v>289</v>
      </c>
      <c r="C3695" s="5" t="s">
        <v>750</v>
      </c>
      <c r="D3695" s="5" t="s">
        <v>745</v>
      </c>
      <c r="E3695" s="5" t="s">
        <v>17</v>
      </c>
      <c r="F3695" s="5" t="s">
        <v>20</v>
      </c>
      <c r="G3695" s="5" t="s">
        <v>208</v>
      </c>
      <c r="H3695" s="5" t="s">
        <v>468</v>
      </c>
      <c r="I3695" s="5" t="s">
        <v>469</v>
      </c>
      <c r="J3695" s="5">
        <v>15.757638265287</v>
      </c>
      <c r="K3695" s="5">
        <v>-96.140981697518995</v>
      </c>
      <c r="L3695" s="5" t="str">
        <f>HYPERLINK("https://maps.google.com/?q=15.757638265286566,-96.140981697518981", "🔗 Ver Mapa")</f>
        <v>🔗 Ver Mapa</v>
      </c>
    </row>
    <row r="3696" spans="1:12" ht="43.5" x14ac:dyDescent="0.35">
      <c r="A3696" s="6" t="s">
        <v>288</v>
      </c>
      <c r="B3696" s="6" t="s">
        <v>289</v>
      </c>
      <c r="C3696" s="6" t="s">
        <v>750</v>
      </c>
      <c r="D3696" s="6" t="s">
        <v>745</v>
      </c>
      <c r="E3696" s="6" t="s">
        <v>17</v>
      </c>
      <c r="F3696" s="6" t="s">
        <v>20</v>
      </c>
      <c r="G3696" s="6" t="s">
        <v>208</v>
      </c>
      <c r="H3696" s="6" t="s">
        <v>468</v>
      </c>
      <c r="I3696" s="6" t="s">
        <v>469</v>
      </c>
      <c r="J3696" s="6">
        <v>15.757675206076</v>
      </c>
      <c r="K3696" s="6">
        <v>-96.140356379172005</v>
      </c>
      <c r="L3696" s="6" t="str">
        <f>HYPERLINK("https://maps.google.com/?q=15.757675206076426,-96.140356379172161", "🔗 Ver Mapa")</f>
        <v>🔗 Ver Mapa</v>
      </c>
    </row>
    <row r="3697" spans="1:12" ht="43.5" x14ac:dyDescent="0.35">
      <c r="A3697" s="5" t="s">
        <v>288</v>
      </c>
      <c r="B3697" s="5" t="s">
        <v>289</v>
      </c>
      <c r="C3697" s="5" t="s">
        <v>750</v>
      </c>
      <c r="D3697" s="5" t="s">
        <v>745</v>
      </c>
      <c r="E3697" s="5" t="s">
        <v>17</v>
      </c>
      <c r="F3697" s="5" t="s">
        <v>20</v>
      </c>
      <c r="G3697" s="5" t="s">
        <v>208</v>
      </c>
      <c r="H3697" s="5" t="s">
        <v>468</v>
      </c>
      <c r="I3697" s="5" t="s">
        <v>469</v>
      </c>
      <c r="J3697" s="5">
        <v>15.757703077947999</v>
      </c>
      <c r="K3697" s="5">
        <v>-96.139041109803003</v>
      </c>
      <c r="L3697" s="5" t="str">
        <f>HYPERLINK("https://maps.google.com/?q=15.75770307794821,-96.13904110980323", "🔗 Ver Mapa")</f>
        <v>🔗 Ver Mapa</v>
      </c>
    </row>
    <row r="3698" spans="1:12" ht="43.5" x14ac:dyDescent="0.35">
      <c r="A3698" s="6" t="s">
        <v>288</v>
      </c>
      <c r="B3698" s="6" t="s">
        <v>289</v>
      </c>
      <c r="C3698" s="6" t="s">
        <v>750</v>
      </c>
      <c r="D3698" s="6" t="s">
        <v>745</v>
      </c>
      <c r="E3698" s="6" t="s">
        <v>17</v>
      </c>
      <c r="F3698" s="6" t="s">
        <v>20</v>
      </c>
      <c r="G3698" s="6" t="s">
        <v>208</v>
      </c>
      <c r="H3698" s="6" t="s">
        <v>468</v>
      </c>
      <c r="I3698" s="6" t="s">
        <v>469</v>
      </c>
      <c r="J3698" s="6">
        <v>15.757703568116</v>
      </c>
      <c r="K3698" s="6">
        <v>-96.139078404445996</v>
      </c>
      <c r="L3698" s="6" t="str">
        <f>HYPERLINK("https://maps.google.com/?q=15.757703568116451,-96.139078404446465", "🔗 Ver Mapa")</f>
        <v>🔗 Ver Mapa</v>
      </c>
    </row>
    <row r="3699" spans="1:12" ht="43.5" x14ac:dyDescent="0.35">
      <c r="A3699" s="5" t="s">
        <v>288</v>
      </c>
      <c r="B3699" s="5" t="s">
        <v>289</v>
      </c>
      <c r="C3699" s="5" t="s">
        <v>750</v>
      </c>
      <c r="D3699" s="5" t="s">
        <v>745</v>
      </c>
      <c r="E3699" s="5" t="s">
        <v>17</v>
      </c>
      <c r="F3699" s="5" t="s">
        <v>20</v>
      </c>
      <c r="G3699" s="5" t="s">
        <v>208</v>
      </c>
      <c r="H3699" s="5" t="s">
        <v>468</v>
      </c>
      <c r="I3699" s="5" t="s">
        <v>469</v>
      </c>
      <c r="J3699" s="5">
        <v>15.757704058278</v>
      </c>
      <c r="K3699" s="5">
        <v>-96.139115699090993</v>
      </c>
      <c r="L3699" s="5" t="str">
        <f>HYPERLINK("https://maps.google.com/?q=15.757704058278325,-96.139115699091022", "🔗 Ver Mapa")</f>
        <v>🔗 Ver Mapa</v>
      </c>
    </row>
    <row r="3700" spans="1:12" ht="43.5" x14ac:dyDescent="0.35">
      <c r="A3700" s="6" t="s">
        <v>288</v>
      </c>
      <c r="B3700" s="6" t="s">
        <v>289</v>
      </c>
      <c r="C3700" s="6" t="s">
        <v>750</v>
      </c>
      <c r="D3700" s="6" t="s">
        <v>745</v>
      </c>
      <c r="E3700" s="6" t="s">
        <v>17</v>
      </c>
      <c r="F3700" s="6" t="s">
        <v>20</v>
      </c>
      <c r="G3700" s="6" t="s">
        <v>208</v>
      </c>
      <c r="H3700" s="6" t="s">
        <v>468</v>
      </c>
      <c r="I3700" s="6" t="s">
        <v>469</v>
      </c>
      <c r="J3700" s="6">
        <v>15.757711617053999</v>
      </c>
      <c r="K3700" s="6">
        <v>-96.139003688621003</v>
      </c>
      <c r="L3700" s="6" t="str">
        <f>HYPERLINK("https://maps.google.com/?q=15.757711617054328,-96.139003688620619", "🔗 Ver Mapa")</f>
        <v>🔗 Ver Mapa</v>
      </c>
    </row>
    <row r="3701" spans="1:12" ht="43.5" x14ac:dyDescent="0.35">
      <c r="A3701" s="5" t="s">
        <v>288</v>
      </c>
      <c r="B3701" s="5" t="s">
        <v>289</v>
      </c>
      <c r="C3701" s="5" t="s">
        <v>750</v>
      </c>
      <c r="D3701" s="5" t="s">
        <v>745</v>
      </c>
      <c r="E3701" s="5" t="s">
        <v>17</v>
      </c>
      <c r="F3701" s="5" t="s">
        <v>20</v>
      </c>
      <c r="G3701" s="5" t="s">
        <v>208</v>
      </c>
      <c r="H3701" s="5" t="s">
        <v>468</v>
      </c>
      <c r="I3701" s="5" t="s">
        <v>469</v>
      </c>
      <c r="J3701" s="5">
        <v>15.757713577716</v>
      </c>
      <c r="K3701" s="5">
        <v>-96.139152867202995</v>
      </c>
      <c r="L3701" s="5" t="str">
        <f>HYPERLINK("https://maps.google.com/?q=15.757713577715739,-96.139152867202782", "🔗 Ver Mapa")</f>
        <v>🔗 Ver Mapa</v>
      </c>
    </row>
    <row r="3702" spans="1:12" ht="43.5" x14ac:dyDescent="0.35">
      <c r="A3702" s="6" t="s">
        <v>288</v>
      </c>
      <c r="B3702" s="6" t="s">
        <v>289</v>
      </c>
      <c r="C3702" s="6" t="s">
        <v>750</v>
      </c>
      <c r="D3702" s="6" t="s">
        <v>745</v>
      </c>
      <c r="E3702" s="6" t="s">
        <v>17</v>
      </c>
      <c r="F3702" s="6" t="s">
        <v>20</v>
      </c>
      <c r="G3702" s="6" t="s">
        <v>208</v>
      </c>
      <c r="H3702" s="6" t="s">
        <v>468</v>
      </c>
      <c r="I3702" s="6" t="s">
        <v>469</v>
      </c>
      <c r="J3702" s="6">
        <v>15.757720156153001</v>
      </c>
      <c r="K3702" s="6">
        <v>-96.138966267436004</v>
      </c>
      <c r="L3702" s="6" t="str">
        <f>HYPERLINK("https://maps.google.com/?q=15.757720156153484,-96.138966267435947", "🔗 Ver Mapa")</f>
        <v>🔗 Ver Mapa</v>
      </c>
    </row>
    <row r="3703" spans="1:12" ht="43.5" x14ac:dyDescent="0.35">
      <c r="A3703" s="5" t="s">
        <v>288</v>
      </c>
      <c r="B3703" s="5" t="s">
        <v>289</v>
      </c>
      <c r="C3703" s="5" t="s">
        <v>750</v>
      </c>
      <c r="D3703" s="5" t="s">
        <v>745</v>
      </c>
      <c r="E3703" s="5" t="s">
        <v>17</v>
      </c>
      <c r="F3703" s="5" t="s">
        <v>20</v>
      </c>
      <c r="G3703" s="5" t="s">
        <v>208</v>
      </c>
      <c r="H3703" s="5" t="s">
        <v>468</v>
      </c>
      <c r="I3703" s="5" t="s">
        <v>469</v>
      </c>
      <c r="J3703" s="5">
        <v>15.757720719991999</v>
      </c>
      <c r="K3703" s="5">
        <v>-96.140383717784999</v>
      </c>
      <c r="L3703" s="5" t="str">
        <f>HYPERLINK("https://maps.google.com/?q=15.757720719992061,-96.140383717784914", "🔗 Ver Mapa")</f>
        <v>🔗 Ver Mapa</v>
      </c>
    </row>
    <row r="3704" spans="1:12" ht="43.5" x14ac:dyDescent="0.35">
      <c r="A3704" s="6" t="s">
        <v>288</v>
      </c>
      <c r="B3704" s="6" t="s">
        <v>289</v>
      </c>
      <c r="C3704" s="6" t="s">
        <v>750</v>
      </c>
      <c r="D3704" s="6" t="s">
        <v>745</v>
      </c>
      <c r="E3704" s="6" t="s">
        <v>17</v>
      </c>
      <c r="F3704" s="6" t="s">
        <v>20</v>
      </c>
      <c r="G3704" s="6" t="s">
        <v>208</v>
      </c>
      <c r="H3704" s="6" t="s">
        <v>468</v>
      </c>
      <c r="I3704" s="6" t="s">
        <v>469</v>
      </c>
      <c r="J3704" s="6">
        <v>15.75773212643</v>
      </c>
      <c r="K3704" s="6">
        <v>-96.139189908785994</v>
      </c>
      <c r="L3704" s="6" t="str">
        <f>HYPERLINK("https://maps.google.com/?q=15.757732126429561,-96.139189908786435", "🔗 Ver Mapa")</f>
        <v>🔗 Ver Mapa</v>
      </c>
    </row>
    <row r="3705" spans="1:12" ht="43.5" x14ac:dyDescent="0.35">
      <c r="A3705" s="5" t="s">
        <v>288</v>
      </c>
      <c r="B3705" s="5" t="s">
        <v>289</v>
      </c>
      <c r="C3705" s="5" t="s">
        <v>750</v>
      </c>
      <c r="D3705" s="5" t="s">
        <v>745</v>
      </c>
      <c r="E3705" s="5" t="s">
        <v>17</v>
      </c>
      <c r="F3705" s="5" t="s">
        <v>20</v>
      </c>
      <c r="G3705" s="5" t="s">
        <v>208</v>
      </c>
      <c r="H3705" s="5" t="s">
        <v>468</v>
      </c>
      <c r="I3705" s="5" t="s">
        <v>469</v>
      </c>
      <c r="J3705" s="5">
        <v>15.757802351073</v>
      </c>
      <c r="K3705" s="5">
        <v>-96.140410550492007</v>
      </c>
      <c r="L3705" s="5" t="str">
        <f>HYPERLINK("https://maps.google.com/?q=15.757802351073364,-96.140410550492106", "🔗 Ver Mapa")</f>
        <v>🔗 Ver Mapa</v>
      </c>
    </row>
    <row r="3706" spans="1:12" ht="43.5" x14ac:dyDescent="0.35">
      <c r="A3706" s="6" t="s">
        <v>288</v>
      </c>
      <c r="B3706" s="6" t="s">
        <v>289</v>
      </c>
      <c r="C3706" s="6" t="s">
        <v>750</v>
      </c>
      <c r="D3706" s="6" t="s">
        <v>745</v>
      </c>
      <c r="E3706" s="6" t="s">
        <v>17</v>
      </c>
      <c r="F3706" s="6" t="s">
        <v>20</v>
      </c>
      <c r="G3706" s="6" t="s">
        <v>208</v>
      </c>
      <c r="H3706" s="6" t="s">
        <v>468</v>
      </c>
      <c r="I3706" s="6" t="s">
        <v>469</v>
      </c>
      <c r="J3706" s="6">
        <v>15.757826056497001</v>
      </c>
      <c r="K3706" s="6">
        <v>-96.138778275622002</v>
      </c>
      <c r="L3706" s="6" t="str">
        <f>HYPERLINK("https://maps.google.com/?q=15.757826056496896,-96.138778275622172", "🔗 Ver Mapa")</f>
        <v>🔗 Ver Mapa</v>
      </c>
    </row>
    <row r="3707" spans="1:12" ht="43.5" x14ac:dyDescent="0.35">
      <c r="A3707" s="5" t="s">
        <v>288</v>
      </c>
      <c r="B3707" s="5" t="s">
        <v>289</v>
      </c>
      <c r="C3707" s="5" t="s">
        <v>750</v>
      </c>
      <c r="D3707" s="5" t="s">
        <v>745</v>
      </c>
      <c r="E3707" s="5" t="s">
        <v>17</v>
      </c>
      <c r="F3707" s="5" t="s">
        <v>20</v>
      </c>
      <c r="G3707" s="5" t="s">
        <v>208</v>
      </c>
      <c r="H3707" s="5" t="s">
        <v>468</v>
      </c>
      <c r="I3707" s="5" t="s">
        <v>469</v>
      </c>
      <c r="J3707" s="5">
        <v>15.757835129701</v>
      </c>
      <c r="K3707" s="5">
        <v>-96.145660298240998</v>
      </c>
      <c r="L3707" s="5" t="str">
        <f>HYPERLINK("https://maps.google.com/?q=15.757835129701183,-96.14566029824114", "🔗 Ver Mapa")</f>
        <v>🔗 Ver Mapa</v>
      </c>
    </row>
    <row r="3708" spans="1:12" ht="43.5" x14ac:dyDescent="0.35">
      <c r="A3708" s="6" t="s">
        <v>288</v>
      </c>
      <c r="B3708" s="6" t="s">
        <v>289</v>
      </c>
      <c r="C3708" s="6" t="s">
        <v>750</v>
      </c>
      <c r="D3708" s="6" t="s">
        <v>745</v>
      </c>
      <c r="E3708" s="6" t="s">
        <v>17</v>
      </c>
      <c r="F3708" s="6" t="s">
        <v>20</v>
      </c>
      <c r="G3708" s="6" t="s">
        <v>208</v>
      </c>
      <c r="H3708" s="6" t="s">
        <v>468</v>
      </c>
      <c r="I3708" s="6" t="s">
        <v>469</v>
      </c>
      <c r="J3708" s="6">
        <v>15.757874340435</v>
      </c>
      <c r="K3708" s="6">
        <v>-96.140390891295993</v>
      </c>
      <c r="L3708" s="6" t="str">
        <f>HYPERLINK("https://maps.google.com/?q=15.757874340435496,-96.140390891295851", "🔗 Ver Mapa")</f>
        <v>🔗 Ver Mapa</v>
      </c>
    </row>
    <row r="3709" spans="1:12" ht="43.5" x14ac:dyDescent="0.35">
      <c r="A3709" s="5" t="s">
        <v>288</v>
      </c>
      <c r="B3709" s="5" t="s">
        <v>289</v>
      </c>
      <c r="C3709" s="5" t="s">
        <v>750</v>
      </c>
      <c r="D3709" s="5" t="s">
        <v>745</v>
      </c>
      <c r="E3709" s="5" t="s">
        <v>17</v>
      </c>
      <c r="F3709" s="5" t="s">
        <v>20</v>
      </c>
      <c r="G3709" s="5" t="s">
        <v>208</v>
      </c>
      <c r="H3709" s="5" t="s">
        <v>468</v>
      </c>
      <c r="I3709" s="5" t="s">
        <v>469</v>
      </c>
      <c r="J3709" s="5">
        <v>15.757907848855</v>
      </c>
      <c r="K3709" s="5">
        <v>-96.139504509511994</v>
      </c>
      <c r="L3709" s="5" t="str">
        <f>HYPERLINK("https://maps.google.com/?q=15.757907848855227,-96.139504509512363", "🔗 Ver Mapa")</f>
        <v>🔗 Ver Mapa</v>
      </c>
    </row>
    <row r="3710" spans="1:12" ht="43.5" x14ac:dyDescent="0.35">
      <c r="A3710" s="6" t="s">
        <v>288</v>
      </c>
      <c r="B3710" s="6" t="s">
        <v>289</v>
      </c>
      <c r="C3710" s="6" t="s">
        <v>750</v>
      </c>
      <c r="D3710" s="6" t="s">
        <v>745</v>
      </c>
      <c r="E3710" s="6" t="s">
        <v>17</v>
      </c>
      <c r="F3710" s="6" t="s">
        <v>20</v>
      </c>
      <c r="G3710" s="6" t="s">
        <v>208</v>
      </c>
      <c r="H3710" s="6" t="s">
        <v>468</v>
      </c>
      <c r="I3710" s="6" t="s">
        <v>469</v>
      </c>
      <c r="J3710" s="6">
        <v>15.757941130216</v>
      </c>
      <c r="K3710" s="6">
        <v>-96.141350472086003</v>
      </c>
      <c r="L3710" s="6" t="str">
        <f>HYPERLINK("https://maps.google.com/?q=15.75794113021631,-96.141350472086131", "🔗 Ver Mapa")</f>
        <v>🔗 Ver Mapa</v>
      </c>
    </row>
    <row r="3711" spans="1:12" ht="43.5" x14ac:dyDescent="0.35">
      <c r="A3711" s="5" t="s">
        <v>288</v>
      </c>
      <c r="B3711" s="5" t="s">
        <v>289</v>
      </c>
      <c r="C3711" s="5" t="s">
        <v>750</v>
      </c>
      <c r="D3711" s="5" t="s">
        <v>745</v>
      </c>
      <c r="E3711" s="5" t="s">
        <v>17</v>
      </c>
      <c r="F3711" s="5" t="s">
        <v>20</v>
      </c>
      <c r="G3711" s="5" t="s">
        <v>208</v>
      </c>
      <c r="H3711" s="5" t="s">
        <v>468</v>
      </c>
      <c r="I3711" s="5" t="s">
        <v>469</v>
      </c>
      <c r="J3711" s="5">
        <v>15.757945436263</v>
      </c>
      <c r="K3711" s="5">
        <v>-96.139615887542007</v>
      </c>
      <c r="L3711" s="5" t="str">
        <f>HYPERLINK("https://maps.google.com/?q=15.75794543626305,-96.139615887541751", "🔗 Ver Mapa")</f>
        <v>🔗 Ver Mapa</v>
      </c>
    </row>
    <row r="3712" spans="1:12" ht="43.5" x14ac:dyDescent="0.35">
      <c r="A3712" s="6" t="s">
        <v>288</v>
      </c>
      <c r="B3712" s="6" t="s">
        <v>289</v>
      </c>
      <c r="C3712" s="6" t="s">
        <v>750</v>
      </c>
      <c r="D3712" s="6" t="s">
        <v>745</v>
      </c>
      <c r="E3712" s="6" t="s">
        <v>17</v>
      </c>
      <c r="F3712" s="6" t="s">
        <v>20</v>
      </c>
      <c r="G3712" s="6" t="s">
        <v>208</v>
      </c>
      <c r="H3712" s="6" t="s">
        <v>468</v>
      </c>
      <c r="I3712" s="6" t="s">
        <v>469</v>
      </c>
      <c r="J3712" s="6">
        <v>15.757946207305</v>
      </c>
      <c r="K3712" s="6">
        <v>-96.140361908399001</v>
      </c>
      <c r="L3712" s="6" t="str">
        <f>HYPERLINK("https://maps.google.com/?q=15.757946207305155,-96.14036190839893", "🔗 Ver Mapa")</f>
        <v>🔗 Ver Mapa</v>
      </c>
    </row>
    <row r="3713" spans="1:12" ht="43.5" x14ac:dyDescent="0.35">
      <c r="A3713" s="5" t="s">
        <v>288</v>
      </c>
      <c r="B3713" s="5" t="s">
        <v>289</v>
      </c>
      <c r="C3713" s="5" t="s">
        <v>750</v>
      </c>
      <c r="D3713" s="5" t="s">
        <v>745</v>
      </c>
      <c r="E3713" s="5" t="s">
        <v>17</v>
      </c>
      <c r="F3713" s="5" t="s">
        <v>20</v>
      </c>
      <c r="G3713" s="5" t="s">
        <v>208</v>
      </c>
      <c r="H3713" s="5" t="s">
        <v>468</v>
      </c>
      <c r="I3713" s="5" t="s">
        <v>469</v>
      </c>
      <c r="J3713" s="5">
        <v>15.757994013107</v>
      </c>
      <c r="K3713" s="5">
        <v>-96.139876317992005</v>
      </c>
      <c r="L3713" s="5" t="str">
        <f>HYPERLINK("https://maps.google.com/?q=15.757994013106705,-96.139876317991579", "🔗 Ver Mapa")</f>
        <v>🔗 Ver Mapa</v>
      </c>
    </row>
    <row r="3714" spans="1:12" ht="43.5" x14ac:dyDescent="0.35">
      <c r="A3714" s="6" t="s">
        <v>288</v>
      </c>
      <c r="B3714" s="6" t="s">
        <v>289</v>
      </c>
      <c r="C3714" s="6" t="s">
        <v>750</v>
      </c>
      <c r="D3714" s="6" t="s">
        <v>745</v>
      </c>
      <c r="E3714" s="6" t="s">
        <v>17</v>
      </c>
      <c r="F3714" s="6" t="s">
        <v>20</v>
      </c>
      <c r="G3714" s="6" t="s">
        <v>208</v>
      </c>
      <c r="H3714" s="6" t="s">
        <v>468</v>
      </c>
      <c r="I3714" s="6" t="s">
        <v>469</v>
      </c>
      <c r="J3714" s="6">
        <v>15.757999648114</v>
      </c>
      <c r="K3714" s="6">
        <v>-96.140305207392998</v>
      </c>
      <c r="L3714" s="6" t="str">
        <f>HYPERLINK("https://maps.google.com/?q=15.757999648113918,-96.140305207392842", "🔗 Ver Mapa")</f>
        <v>🔗 Ver Mapa</v>
      </c>
    </row>
    <row r="3715" spans="1:12" ht="43.5" x14ac:dyDescent="0.35">
      <c r="A3715" s="5" t="s">
        <v>288</v>
      </c>
      <c r="B3715" s="5" t="s">
        <v>289</v>
      </c>
      <c r="C3715" s="5" t="s">
        <v>750</v>
      </c>
      <c r="D3715" s="5" t="s">
        <v>745</v>
      </c>
      <c r="E3715" s="5" t="s">
        <v>17</v>
      </c>
      <c r="F3715" s="5" t="s">
        <v>20</v>
      </c>
      <c r="G3715" s="5" t="s">
        <v>208</v>
      </c>
      <c r="H3715" s="5" t="s">
        <v>468</v>
      </c>
      <c r="I3715" s="5" t="s">
        <v>469</v>
      </c>
      <c r="J3715" s="5">
        <v>15.758034785334001</v>
      </c>
      <c r="K3715" s="5">
        <v>-96.140230111963007</v>
      </c>
      <c r="L3715" s="5" t="str">
        <f>HYPERLINK("https://maps.google.com/?q=15.758034785333948,-96.140230111962993", "🔗 Ver Mapa")</f>
        <v>🔗 Ver Mapa</v>
      </c>
    </row>
    <row r="3716" spans="1:12" ht="43.5" x14ac:dyDescent="0.35">
      <c r="A3716" s="6" t="s">
        <v>288</v>
      </c>
      <c r="B3716" s="6" t="s">
        <v>289</v>
      </c>
      <c r="C3716" s="6" t="s">
        <v>750</v>
      </c>
      <c r="D3716" s="6" t="s">
        <v>745</v>
      </c>
      <c r="E3716" s="6" t="s">
        <v>17</v>
      </c>
      <c r="F3716" s="6" t="s">
        <v>20</v>
      </c>
      <c r="G3716" s="6" t="s">
        <v>208</v>
      </c>
      <c r="H3716" s="6" t="s">
        <v>468</v>
      </c>
      <c r="I3716" s="6" t="s">
        <v>469</v>
      </c>
      <c r="J3716" s="6">
        <v>15.758042834655001</v>
      </c>
      <c r="K3716" s="6">
        <v>-96.140155395988998</v>
      </c>
      <c r="L3716" s="6" t="str">
        <f>HYPERLINK("https://maps.google.com/?q=15.758042834654955,-96.14015539598897", "🔗 Ver Mapa")</f>
        <v>🔗 Ver Mapa</v>
      </c>
    </row>
    <row r="3717" spans="1:12" ht="43.5" x14ac:dyDescent="0.35">
      <c r="A3717" s="5" t="s">
        <v>288</v>
      </c>
      <c r="B3717" s="5" t="s">
        <v>289</v>
      </c>
      <c r="C3717" s="5" t="s">
        <v>750</v>
      </c>
      <c r="D3717" s="5" t="s">
        <v>745</v>
      </c>
      <c r="E3717" s="5" t="s">
        <v>17</v>
      </c>
      <c r="F3717" s="5" t="s">
        <v>20</v>
      </c>
      <c r="G3717" s="5" t="s">
        <v>208</v>
      </c>
      <c r="H3717" s="5" t="s">
        <v>468</v>
      </c>
      <c r="I3717" s="5" t="s">
        <v>469</v>
      </c>
      <c r="J3717" s="5">
        <v>15.758061062856999</v>
      </c>
      <c r="K3717" s="5">
        <v>-96.138793632600994</v>
      </c>
      <c r="L3717" s="5" t="str">
        <f>HYPERLINK("https://maps.google.com/?q=15.758061062857239,-96.138793632601462", "🔗 Ver Mapa")</f>
        <v>🔗 Ver Mapa</v>
      </c>
    </row>
    <row r="3718" spans="1:12" ht="43.5" x14ac:dyDescent="0.35">
      <c r="A3718" s="6" t="s">
        <v>288</v>
      </c>
      <c r="B3718" s="6" t="s">
        <v>289</v>
      </c>
      <c r="C3718" s="6" t="s">
        <v>750</v>
      </c>
      <c r="D3718" s="6" t="s">
        <v>745</v>
      </c>
      <c r="E3718" s="6" t="s">
        <v>17</v>
      </c>
      <c r="F3718" s="6" t="s">
        <v>20</v>
      </c>
      <c r="G3718" s="6" t="s">
        <v>208</v>
      </c>
      <c r="H3718" s="6" t="s">
        <v>468</v>
      </c>
      <c r="I3718" s="6" t="s">
        <v>469</v>
      </c>
      <c r="J3718" s="6">
        <v>15.758087320367</v>
      </c>
      <c r="K3718" s="6">
        <v>-96.144920062400999</v>
      </c>
      <c r="L3718" s="6" t="str">
        <f>HYPERLINK("https://maps.google.com/?q=15.758087320367228,-96.144920062400843", "🔗 Ver Mapa")</f>
        <v>🔗 Ver Mapa</v>
      </c>
    </row>
    <row r="3719" spans="1:12" ht="43.5" x14ac:dyDescent="0.35">
      <c r="A3719" s="5" t="s">
        <v>288</v>
      </c>
      <c r="B3719" s="5" t="s">
        <v>289</v>
      </c>
      <c r="C3719" s="5" t="s">
        <v>750</v>
      </c>
      <c r="D3719" s="5" t="s">
        <v>745</v>
      </c>
      <c r="E3719" s="5" t="s">
        <v>17</v>
      </c>
      <c r="F3719" s="5" t="s">
        <v>20</v>
      </c>
      <c r="G3719" s="5" t="s">
        <v>208</v>
      </c>
      <c r="H3719" s="5" t="s">
        <v>468</v>
      </c>
      <c r="I3719" s="5" t="s">
        <v>469</v>
      </c>
      <c r="J3719" s="5">
        <v>15.758149322369</v>
      </c>
      <c r="K3719" s="5">
        <v>-96.145516023507994</v>
      </c>
      <c r="L3719" s="5" t="str">
        <f>HYPERLINK("https://maps.google.com/?q=15.75814932236936,-96.14551602350798", "🔗 Ver Mapa")</f>
        <v>🔗 Ver Mapa</v>
      </c>
    </row>
    <row r="3720" spans="1:12" ht="43.5" x14ac:dyDescent="0.35">
      <c r="A3720" s="6" t="s">
        <v>288</v>
      </c>
      <c r="B3720" s="6" t="s">
        <v>289</v>
      </c>
      <c r="C3720" s="6" t="s">
        <v>750</v>
      </c>
      <c r="D3720" s="6" t="s">
        <v>745</v>
      </c>
      <c r="E3720" s="6" t="s">
        <v>17</v>
      </c>
      <c r="F3720" s="6" t="s">
        <v>20</v>
      </c>
      <c r="G3720" s="6" t="s">
        <v>208</v>
      </c>
      <c r="H3720" s="6" t="s">
        <v>468</v>
      </c>
      <c r="I3720" s="6" t="s">
        <v>469</v>
      </c>
      <c r="J3720" s="6">
        <v>15.758159999047001</v>
      </c>
      <c r="K3720" s="6">
        <v>-96.143576183251994</v>
      </c>
      <c r="L3720" s="6" t="str">
        <f>HYPERLINK("https://maps.google.com/?q=15.758159999047098,-96.143576183252236", "🔗 Ver Mapa")</f>
        <v>🔗 Ver Mapa</v>
      </c>
    </row>
    <row r="3721" spans="1:12" ht="43.5" x14ac:dyDescent="0.35">
      <c r="A3721" s="5" t="s">
        <v>288</v>
      </c>
      <c r="B3721" s="5" t="s">
        <v>289</v>
      </c>
      <c r="C3721" s="5" t="s">
        <v>750</v>
      </c>
      <c r="D3721" s="5" t="s">
        <v>745</v>
      </c>
      <c r="E3721" s="5" t="s">
        <v>17</v>
      </c>
      <c r="F3721" s="5" t="s">
        <v>20</v>
      </c>
      <c r="G3721" s="5" t="s">
        <v>208</v>
      </c>
      <c r="H3721" s="5" t="s">
        <v>468</v>
      </c>
      <c r="I3721" s="5" t="s">
        <v>469</v>
      </c>
      <c r="J3721" s="5">
        <v>15.758202916816</v>
      </c>
      <c r="K3721" s="5">
        <v>-96.142717643207007</v>
      </c>
      <c r="L3721" s="5" t="str">
        <f>HYPERLINK("https://maps.google.com/?q=15.758202916816476,-96.142717643207391", "🔗 Ver Mapa")</f>
        <v>🔗 Ver Mapa</v>
      </c>
    </row>
    <row r="3722" spans="1:12" ht="43.5" x14ac:dyDescent="0.35">
      <c r="A3722" s="6" t="s">
        <v>288</v>
      </c>
      <c r="B3722" s="6" t="s">
        <v>289</v>
      </c>
      <c r="C3722" s="6" t="s">
        <v>750</v>
      </c>
      <c r="D3722" s="6" t="s">
        <v>745</v>
      </c>
      <c r="E3722" s="6" t="s">
        <v>17</v>
      </c>
      <c r="F3722" s="6" t="s">
        <v>20</v>
      </c>
      <c r="G3722" s="6" t="s">
        <v>208</v>
      </c>
      <c r="H3722" s="6" t="s">
        <v>468</v>
      </c>
      <c r="I3722" s="6" t="s">
        <v>469</v>
      </c>
      <c r="J3722" s="6">
        <v>15.758462638388</v>
      </c>
      <c r="K3722" s="6">
        <v>-96.144616398718</v>
      </c>
      <c r="L3722" s="6" t="str">
        <f>HYPERLINK("https://maps.google.com/?q=15.758462638387938,-96.144616398717588", "🔗 Ver Mapa")</f>
        <v>🔗 Ver Mapa</v>
      </c>
    </row>
    <row r="3723" spans="1:12" ht="43.5" x14ac:dyDescent="0.35">
      <c r="A3723" s="5" t="s">
        <v>288</v>
      </c>
      <c r="B3723" s="5" t="s">
        <v>289</v>
      </c>
      <c r="C3723" s="5" t="s">
        <v>750</v>
      </c>
      <c r="D3723" s="5" t="s">
        <v>745</v>
      </c>
      <c r="E3723" s="5" t="s">
        <v>17</v>
      </c>
      <c r="F3723" s="5" t="s">
        <v>20</v>
      </c>
      <c r="G3723" s="5" t="s">
        <v>208</v>
      </c>
      <c r="H3723" s="5" t="s">
        <v>468</v>
      </c>
      <c r="I3723" s="5" t="s">
        <v>469</v>
      </c>
      <c r="J3723" s="5">
        <v>15.758481968663</v>
      </c>
      <c r="K3723" s="5">
        <v>-96.142648459284004</v>
      </c>
      <c r="L3723" s="5" t="str">
        <f>HYPERLINK("https://maps.google.com/?q=15.758481968663094,-96.142648459283748", "🔗 Ver Mapa")</f>
        <v>🔗 Ver Mapa</v>
      </c>
    </row>
    <row r="3724" spans="1:12" ht="43.5" x14ac:dyDescent="0.35">
      <c r="A3724" s="6" t="s">
        <v>288</v>
      </c>
      <c r="B3724" s="6" t="s">
        <v>289</v>
      </c>
      <c r="C3724" s="6" t="s">
        <v>750</v>
      </c>
      <c r="D3724" s="6" t="s">
        <v>745</v>
      </c>
      <c r="E3724" s="6" t="s">
        <v>17</v>
      </c>
      <c r="F3724" s="6" t="s">
        <v>20</v>
      </c>
      <c r="G3724" s="6" t="s">
        <v>208</v>
      </c>
      <c r="H3724" s="6" t="s">
        <v>468</v>
      </c>
      <c r="I3724" s="6" t="s">
        <v>469</v>
      </c>
      <c r="J3724" s="6">
        <v>15.75849413968</v>
      </c>
      <c r="K3724" s="6">
        <v>-96.139449667022006</v>
      </c>
      <c r="L3724" s="6" t="str">
        <f>HYPERLINK("https://maps.google.com/?q=15.758494139680273,-96.139449667022291", "🔗 Ver Mapa")</f>
        <v>🔗 Ver Mapa</v>
      </c>
    </row>
    <row r="3725" spans="1:12" ht="43.5" x14ac:dyDescent="0.35">
      <c r="A3725" s="5" t="s">
        <v>288</v>
      </c>
      <c r="B3725" s="5" t="s">
        <v>289</v>
      </c>
      <c r="C3725" s="5" t="s">
        <v>750</v>
      </c>
      <c r="D3725" s="5" t="s">
        <v>745</v>
      </c>
      <c r="E3725" s="5" t="s">
        <v>17</v>
      </c>
      <c r="F3725" s="5" t="s">
        <v>20</v>
      </c>
      <c r="G3725" s="5" t="s">
        <v>208</v>
      </c>
      <c r="H3725" s="5" t="s">
        <v>468</v>
      </c>
      <c r="I3725" s="5" t="s">
        <v>469</v>
      </c>
      <c r="J3725" s="5">
        <v>15.758558918322001</v>
      </c>
      <c r="K3725" s="5">
        <v>-96.141630909357005</v>
      </c>
      <c r="L3725" s="5" t="str">
        <f>HYPERLINK("https://maps.google.com/?q=15.758558918321594,-96.141630909356863", "🔗 Ver Mapa")</f>
        <v>🔗 Ver Mapa</v>
      </c>
    </row>
    <row r="3726" spans="1:12" ht="43.5" x14ac:dyDescent="0.35">
      <c r="A3726" s="6" t="s">
        <v>288</v>
      </c>
      <c r="B3726" s="6" t="s">
        <v>289</v>
      </c>
      <c r="C3726" s="6" t="s">
        <v>750</v>
      </c>
      <c r="D3726" s="6" t="s">
        <v>745</v>
      </c>
      <c r="E3726" s="6" t="s">
        <v>17</v>
      </c>
      <c r="F3726" s="6" t="s">
        <v>20</v>
      </c>
      <c r="G3726" s="6" t="s">
        <v>208</v>
      </c>
      <c r="H3726" s="6" t="s">
        <v>468</v>
      </c>
      <c r="I3726" s="6" t="s">
        <v>469</v>
      </c>
      <c r="J3726" s="6">
        <v>15.758630159060001</v>
      </c>
      <c r="K3726" s="6">
        <v>-96.144306315359998</v>
      </c>
      <c r="L3726" s="6" t="str">
        <f>HYPERLINK("https://maps.google.com/?q=15.758630159059898,-96.144306315359898", "🔗 Ver Mapa")</f>
        <v>🔗 Ver Mapa</v>
      </c>
    </row>
    <row r="3727" spans="1:12" ht="43.5" x14ac:dyDescent="0.35">
      <c r="A3727" s="5" t="s">
        <v>288</v>
      </c>
      <c r="B3727" s="5" t="s">
        <v>289</v>
      </c>
      <c r="C3727" s="5" t="s">
        <v>750</v>
      </c>
      <c r="D3727" s="5" t="s">
        <v>745</v>
      </c>
      <c r="E3727" s="5" t="s">
        <v>17</v>
      </c>
      <c r="F3727" s="5" t="s">
        <v>20</v>
      </c>
      <c r="G3727" s="5" t="s">
        <v>208</v>
      </c>
      <c r="H3727" s="5" t="s">
        <v>468</v>
      </c>
      <c r="I3727" s="5" t="s">
        <v>469</v>
      </c>
      <c r="J3727" s="5">
        <v>15.758813595395999</v>
      </c>
      <c r="K3727" s="5">
        <v>-96.139706302543004</v>
      </c>
      <c r="L3727" s="5" t="str">
        <f>HYPERLINK("https://maps.google.com/?q=15.758813595395859,-96.139706302542962", "🔗 Ver Mapa")</f>
        <v>🔗 Ver Mapa</v>
      </c>
    </row>
    <row r="3728" spans="1:12" ht="43.5" x14ac:dyDescent="0.35">
      <c r="A3728" s="6" t="s">
        <v>288</v>
      </c>
      <c r="B3728" s="6" t="s">
        <v>289</v>
      </c>
      <c r="C3728" s="6" t="s">
        <v>750</v>
      </c>
      <c r="D3728" s="6" t="s">
        <v>745</v>
      </c>
      <c r="E3728" s="6" t="s">
        <v>17</v>
      </c>
      <c r="F3728" s="6" t="s">
        <v>20</v>
      </c>
      <c r="G3728" s="6" t="s">
        <v>208</v>
      </c>
      <c r="H3728" s="6" t="s">
        <v>468</v>
      </c>
      <c r="I3728" s="6" t="s">
        <v>469</v>
      </c>
      <c r="J3728" s="6">
        <v>15.758856058587</v>
      </c>
      <c r="K3728" s="6">
        <v>-96.142251553861996</v>
      </c>
      <c r="L3728" s="6" t="str">
        <f>HYPERLINK("https://maps.google.com/?q=15.758856058587176,-96.142251553862224", "🔗 Ver Mapa")</f>
        <v>🔗 Ver Mapa</v>
      </c>
    </row>
    <row r="3729" spans="1:12" ht="43.5" x14ac:dyDescent="0.35">
      <c r="A3729" s="5" t="s">
        <v>288</v>
      </c>
      <c r="B3729" s="5" t="s">
        <v>289</v>
      </c>
      <c r="C3729" s="5" t="s">
        <v>750</v>
      </c>
      <c r="D3729" s="5" t="s">
        <v>745</v>
      </c>
      <c r="E3729" s="5" t="s">
        <v>17</v>
      </c>
      <c r="F3729" s="5" t="s">
        <v>20</v>
      </c>
      <c r="G3729" s="5" t="s">
        <v>208</v>
      </c>
      <c r="H3729" s="5" t="s">
        <v>468</v>
      </c>
      <c r="I3729" s="5" t="s">
        <v>469</v>
      </c>
      <c r="J3729" s="5">
        <v>15.758960269328</v>
      </c>
      <c r="K3729" s="5">
        <v>-96.139872105262</v>
      </c>
      <c r="L3729" s="5" t="str">
        <f>HYPERLINK("https://maps.google.com/?q=15.7589602693279,-96.139872105262356", "🔗 Ver Mapa")</f>
        <v>🔗 Ver Mapa</v>
      </c>
    </row>
    <row r="3730" spans="1:12" ht="43.5" x14ac:dyDescent="0.35">
      <c r="A3730" s="6" t="s">
        <v>288</v>
      </c>
      <c r="B3730" s="6" t="s">
        <v>289</v>
      </c>
      <c r="C3730" s="6" t="s">
        <v>750</v>
      </c>
      <c r="D3730" s="6" t="s">
        <v>745</v>
      </c>
      <c r="E3730" s="6" t="s">
        <v>17</v>
      </c>
      <c r="F3730" s="6" t="s">
        <v>20</v>
      </c>
      <c r="G3730" s="6" t="s">
        <v>208</v>
      </c>
      <c r="H3730" s="6" t="s">
        <v>468</v>
      </c>
      <c r="I3730" s="6" t="s">
        <v>469</v>
      </c>
      <c r="J3730" s="6">
        <v>15.759178967969</v>
      </c>
      <c r="K3730" s="6">
        <v>-96.140708331859997</v>
      </c>
      <c r="L3730" s="6" t="str">
        <f>HYPERLINK("https://maps.google.com/?q=15.759178967969467,-96.140708331860182", "🔗 Ver Mapa")</f>
        <v>🔗 Ver Mapa</v>
      </c>
    </row>
    <row r="3731" spans="1:12" ht="43.5" x14ac:dyDescent="0.35">
      <c r="A3731" s="5" t="s">
        <v>288</v>
      </c>
      <c r="B3731" s="5" t="s">
        <v>289</v>
      </c>
      <c r="C3731" s="5" t="s">
        <v>750</v>
      </c>
      <c r="D3731" s="5" t="s">
        <v>745</v>
      </c>
      <c r="E3731" s="5" t="s">
        <v>17</v>
      </c>
      <c r="F3731" s="5" t="s">
        <v>20</v>
      </c>
      <c r="G3731" s="5" t="s">
        <v>208</v>
      </c>
      <c r="H3731" s="5" t="s">
        <v>468</v>
      </c>
      <c r="I3731" s="5" t="s">
        <v>469</v>
      </c>
      <c r="J3731" s="5">
        <v>15.759335738055</v>
      </c>
      <c r="K3731" s="5">
        <v>-96.140267839133003</v>
      </c>
      <c r="L3731" s="5" t="str">
        <f>HYPERLINK("https://maps.google.com/?q=15.759335738054896,-96.140267839132846", "🔗 Ver Mapa")</f>
        <v>🔗 Ver Mapa</v>
      </c>
    </row>
    <row r="3732" spans="1:12" ht="43.5" x14ac:dyDescent="0.35">
      <c r="A3732" s="6" t="s">
        <v>288</v>
      </c>
      <c r="B3732" s="6" t="s">
        <v>289</v>
      </c>
      <c r="C3732" s="6" t="s">
        <v>750</v>
      </c>
      <c r="D3732" s="6" t="s">
        <v>745</v>
      </c>
      <c r="E3732" s="6" t="s">
        <v>17</v>
      </c>
      <c r="F3732" s="6" t="s">
        <v>20</v>
      </c>
      <c r="G3732" s="6" t="s">
        <v>208</v>
      </c>
      <c r="H3732" s="6" t="s">
        <v>468</v>
      </c>
      <c r="I3732" s="6" t="s">
        <v>469</v>
      </c>
      <c r="J3732" s="6">
        <v>15.759344679691999</v>
      </c>
      <c r="K3732" s="6">
        <v>-96.140948472749997</v>
      </c>
      <c r="L3732" s="6" t="str">
        <f>HYPERLINK("https://maps.google.com/?q=15.759344679691674,-96.140948472749599", "🔗 Ver Mapa")</f>
        <v>🔗 Ver Mapa</v>
      </c>
    </row>
    <row r="3733" spans="1:12" ht="43.5" x14ac:dyDescent="0.35">
      <c r="A3733" s="5" t="s">
        <v>288</v>
      </c>
      <c r="B3733" s="5" t="s">
        <v>289</v>
      </c>
      <c r="C3733" s="5" t="s">
        <v>750</v>
      </c>
      <c r="D3733" s="5" t="s">
        <v>745</v>
      </c>
      <c r="E3733" s="5" t="s">
        <v>17</v>
      </c>
      <c r="F3733" s="5" t="s">
        <v>20</v>
      </c>
      <c r="G3733" s="5" t="s">
        <v>208</v>
      </c>
      <c r="H3733" s="5" t="s">
        <v>468</v>
      </c>
      <c r="I3733" s="5" t="s">
        <v>469</v>
      </c>
      <c r="J3733" s="5">
        <v>15.759447396979001</v>
      </c>
      <c r="K3733" s="5">
        <v>-96.140518062427006</v>
      </c>
      <c r="L3733" s="5" t="str">
        <f>HYPERLINK("https://maps.google.com/?q=15.759447396978933,-96.140518062427304", "🔗 Ver Mapa")</f>
        <v>🔗 Ver Mapa</v>
      </c>
    </row>
    <row r="3734" spans="1:12" ht="43.5" x14ac:dyDescent="0.35">
      <c r="A3734" s="6" t="s">
        <v>288</v>
      </c>
      <c r="B3734" s="6" t="s">
        <v>289</v>
      </c>
      <c r="C3734" s="6" t="s">
        <v>750</v>
      </c>
      <c r="D3734" s="6" t="s">
        <v>745</v>
      </c>
      <c r="E3734" s="6" t="s">
        <v>17</v>
      </c>
      <c r="F3734" s="6" t="s">
        <v>20</v>
      </c>
      <c r="G3734" s="6" t="s">
        <v>208</v>
      </c>
      <c r="H3734" s="6" t="s">
        <v>468</v>
      </c>
      <c r="I3734" s="6" t="s">
        <v>469</v>
      </c>
      <c r="J3734" s="6">
        <v>15.759648524808</v>
      </c>
      <c r="K3734" s="6">
        <v>-96.141391840043994</v>
      </c>
      <c r="L3734" s="6" t="str">
        <f>HYPERLINK("https://maps.google.com/?q=15.75964852480774,-96.141391840043809", "🔗 Ver Mapa")</f>
        <v>🔗 Ver Mapa</v>
      </c>
    </row>
    <row r="3735" spans="1:12" ht="43.5" x14ac:dyDescent="0.35">
      <c r="A3735" s="5" t="s">
        <v>288</v>
      </c>
      <c r="B3735" s="5" t="s">
        <v>289</v>
      </c>
      <c r="C3735" s="5" t="s">
        <v>750</v>
      </c>
      <c r="D3735" s="5" t="s">
        <v>745</v>
      </c>
      <c r="E3735" s="5" t="s">
        <v>17</v>
      </c>
      <c r="F3735" s="5" t="s">
        <v>20</v>
      </c>
      <c r="G3735" s="5" t="s">
        <v>208</v>
      </c>
      <c r="H3735" s="5" t="s">
        <v>468</v>
      </c>
      <c r="I3735" s="5" t="s">
        <v>469</v>
      </c>
      <c r="J3735" s="5">
        <v>15.759927514818999</v>
      </c>
      <c r="K3735" s="5">
        <v>-96.142693502997005</v>
      </c>
      <c r="L3735" s="5" t="str">
        <f>HYPERLINK("https://maps.google.com/?q=15.759927514819415,-96.14269350299692", "🔗 Ver Mapa")</f>
        <v>🔗 Ver Mapa</v>
      </c>
    </row>
    <row r="3736" spans="1:12" ht="43.5" x14ac:dyDescent="0.35">
      <c r="A3736" s="6" t="s">
        <v>288</v>
      </c>
      <c r="B3736" s="6" t="s">
        <v>289</v>
      </c>
      <c r="C3736" s="6" t="s">
        <v>750</v>
      </c>
      <c r="D3736" s="6" t="s">
        <v>745</v>
      </c>
      <c r="E3736" s="6" t="s">
        <v>17</v>
      </c>
      <c r="F3736" s="6" t="s">
        <v>20</v>
      </c>
      <c r="G3736" s="6" t="s">
        <v>208</v>
      </c>
      <c r="H3736" s="6" t="s">
        <v>468</v>
      </c>
      <c r="I3736" s="6" t="s">
        <v>469</v>
      </c>
      <c r="J3736" s="6">
        <v>15.75997814079</v>
      </c>
      <c r="K3736" s="6">
        <v>-96.142422354611995</v>
      </c>
      <c r="L3736" s="6" t="str">
        <f>HYPERLINK("https://maps.google.com/?q=15.759978140790283,-96.142422354611625", "🔗 Ver Mapa")</f>
        <v>🔗 Ver Mapa</v>
      </c>
    </row>
    <row r="3737" spans="1:12" ht="43.5" x14ac:dyDescent="0.35">
      <c r="A3737" s="5" t="s">
        <v>288</v>
      </c>
      <c r="B3737" s="5" t="s">
        <v>289</v>
      </c>
      <c r="C3737" s="5" t="s">
        <v>750</v>
      </c>
      <c r="D3737" s="5" t="s">
        <v>745</v>
      </c>
      <c r="E3737" s="5" t="s">
        <v>17</v>
      </c>
      <c r="F3737" s="5" t="s">
        <v>20</v>
      </c>
      <c r="G3737" s="5" t="s">
        <v>208</v>
      </c>
      <c r="H3737" s="5" t="s">
        <v>468</v>
      </c>
      <c r="I3737" s="5" t="s">
        <v>469</v>
      </c>
      <c r="J3737" s="5">
        <v>15.760014349912</v>
      </c>
      <c r="K3737" s="5">
        <v>-96.141741085809997</v>
      </c>
      <c r="L3737" s="5" t="str">
        <f>HYPERLINK("https://maps.google.com/?q=15.760014349911666,-96.141741085810125", "🔗 Ver Mapa")</f>
        <v>🔗 Ver Mapa</v>
      </c>
    </row>
    <row r="3738" spans="1:12" ht="43.5" x14ac:dyDescent="0.35">
      <c r="A3738" s="6" t="s">
        <v>288</v>
      </c>
      <c r="B3738" s="6" t="s">
        <v>289</v>
      </c>
      <c r="C3738" s="6" t="s">
        <v>750</v>
      </c>
      <c r="D3738" s="6" t="s">
        <v>745</v>
      </c>
      <c r="E3738" s="6" t="s">
        <v>17</v>
      </c>
      <c r="F3738" s="6" t="s">
        <v>20</v>
      </c>
      <c r="G3738" s="6" t="s">
        <v>208</v>
      </c>
      <c r="H3738" s="6" t="s">
        <v>468</v>
      </c>
      <c r="I3738" s="6" t="s">
        <v>469</v>
      </c>
      <c r="J3738" s="6">
        <v>15.760318529731</v>
      </c>
      <c r="K3738" s="6">
        <v>-96.141522339402002</v>
      </c>
      <c r="L3738" s="6" t="str">
        <f>HYPERLINK("https://maps.google.com/?q=15.76031852973088,-96.141522339402442", "🔗 Ver Mapa")</f>
        <v>🔗 Ver Mapa</v>
      </c>
    </row>
    <row r="3739" spans="1:12" ht="43.5" x14ac:dyDescent="0.35">
      <c r="A3739" s="5" t="s">
        <v>288</v>
      </c>
      <c r="B3739" s="5" t="s">
        <v>289</v>
      </c>
      <c r="C3739" s="5" t="s">
        <v>750</v>
      </c>
      <c r="D3739" s="5" t="s">
        <v>745</v>
      </c>
      <c r="E3739" s="5" t="s">
        <v>17</v>
      </c>
      <c r="F3739" s="5" t="s">
        <v>20</v>
      </c>
      <c r="G3739" s="5" t="s">
        <v>208</v>
      </c>
      <c r="H3739" s="5" t="s">
        <v>468</v>
      </c>
      <c r="I3739" s="5" t="s">
        <v>469</v>
      </c>
      <c r="J3739" s="5">
        <v>15.760562320788001</v>
      </c>
      <c r="K3739" s="5">
        <v>-96.141518925184997</v>
      </c>
      <c r="L3739" s="5" t="str">
        <f>HYPERLINK("https://maps.google.com/?q=15.760562320787766,-96.141518925184585", "🔗 Ver Mapa")</f>
        <v>🔗 Ver Mapa</v>
      </c>
    </row>
    <row r="3740" spans="1:12" ht="43.5" x14ac:dyDescent="0.35">
      <c r="A3740" s="6" t="s">
        <v>288</v>
      </c>
      <c r="B3740" s="6" t="s">
        <v>289</v>
      </c>
      <c r="C3740" s="6" t="s">
        <v>750</v>
      </c>
      <c r="D3740" s="6" t="s">
        <v>745</v>
      </c>
      <c r="E3740" s="6" t="s">
        <v>17</v>
      </c>
      <c r="F3740" s="6" t="s">
        <v>20</v>
      </c>
      <c r="G3740" s="6" t="s">
        <v>208</v>
      </c>
      <c r="H3740" s="6" t="s">
        <v>468</v>
      </c>
      <c r="I3740" s="6" t="s">
        <v>469</v>
      </c>
      <c r="J3740" s="6">
        <v>15.760653470975001</v>
      </c>
      <c r="K3740" s="6">
        <v>-96.141582927355003</v>
      </c>
      <c r="L3740" s="6" t="str">
        <f>HYPERLINK("https://maps.google.com/?q=15.760653470974681,-96.141582927354875", "🔗 Ver Mapa")</f>
        <v>🔗 Ver Mapa</v>
      </c>
    </row>
    <row r="3741" spans="1:12" ht="43.5" x14ac:dyDescent="0.35">
      <c r="A3741" s="5" t="s">
        <v>288</v>
      </c>
      <c r="B3741" s="5" t="s">
        <v>289</v>
      </c>
      <c r="C3741" s="5" t="s">
        <v>750</v>
      </c>
      <c r="D3741" s="5" t="s">
        <v>745</v>
      </c>
      <c r="E3741" s="5" t="s">
        <v>17</v>
      </c>
      <c r="F3741" s="5" t="s">
        <v>20</v>
      </c>
      <c r="G3741" s="5" t="s">
        <v>208</v>
      </c>
      <c r="H3741" s="5" t="s">
        <v>468</v>
      </c>
      <c r="I3741" s="5" t="s">
        <v>469</v>
      </c>
      <c r="J3741" s="5">
        <v>15.760753885530001</v>
      </c>
      <c r="K3741" s="5">
        <v>-96.150617995600996</v>
      </c>
      <c r="L3741" s="5" t="str">
        <f>HYPERLINK("https://maps.google.com/?q=15.760753885529866,-96.150617995601024", "🔗 Ver Mapa")</f>
        <v>🔗 Ver Mapa</v>
      </c>
    </row>
    <row r="3742" spans="1:12" ht="43.5" x14ac:dyDescent="0.35">
      <c r="A3742" s="6" t="s">
        <v>288</v>
      </c>
      <c r="B3742" s="6" t="s">
        <v>289</v>
      </c>
      <c r="C3742" s="6" t="s">
        <v>750</v>
      </c>
      <c r="D3742" s="6" t="s">
        <v>745</v>
      </c>
      <c r="E3742" s="6" t="s">
        <v>17</v>
      </c>
      <c r="F3742" s="6" t="s">
        <v>20</v>
      </c>
      <c r="G3742" s="6" t="s">
        <v>208</v>
      </c>
      <c r="H3742" s="6" t="s">
        <v>468</v>
      </c>
      <c r="I3742" s="6" t="s">
        <v>469</v>
      </c>
      <c r="J3742" s="6">
        <v>15.761038302199999</v>
      </c>
      <c r="K3742" s="6">
        <v>-96.149578882526001</v>
      </c>
      <c r="L3742" s="6" t="str">
        <f>HYPERLINK("https://maps.google.com/?q=15.76103830220048,-96.149578882526228", "🔗 Ver Mapa")</f>
        <v>🔗 Ver Mapa</v>
      </c>
    </row>
    <row r="3743" spans="1:12" ht="43.5" x14ac:dyDescent="0.35">
      <c r="A3743" s="5" t="s">
        <v>288</v>
      </c>
      <c r="B3743" s="5" t="s">
        <v>289</v>
      </c>
      <c r="C3743" s="5" t="s">
        <v>750</v>
      </c>
      <c r="D3743" s="5" t="s">
        <v>745</v>
      </c>
      <c r="E3743" s="5" t="s">
        <v>17</v>
      </c>
      <c r="F3743" s="5" t="s">
        <v>20</v>
      </c>
      <c r="G3743" s="5" t="s">
        <v>208</v>
      </c>
      <c r="H3743" s="5" t="s">
        <v>468</v>
      </c>
      <c r="I3743" s="5" t="s">
        <v>469</v>
      </c>
      <c r="J3743" s="5">
        <v>15.761477524286001</v>
      </c>
      <c r="K3743" s="5">
        <v>-96.143128757379003</v>
      </c>
      <c r="L3743" s="5" t="str">
        <f>HYPERLINK("https://maps.google.com/?q=15.76147752428582,-96.143128757378634", "🔗 Ver Mapa")</f>
        <v>🔗 Ver Mapa</v>
      </c>
    </row>
    <row r="3744" spans="1:12" ht="43.5" x14ac:dyDescent="0.35">
      <c r="A3744" s="6" t="s">
        <v>288</v>
      </c>
      <c r="B3744" s="6" t="s">
        <v>289</v>
      </c>
      <c r="C3744" s="6" t="s">
        <v>750</v>
      </c>
      <c r="D3744" s="6" t="s">
        <v>745</v>
      </c>
      <c r="E3744" s="6" t="s">
        <v>17</v>
      </c>
      <c r="F3744" s="6" t="s">
        <v>20</v>
      </c>
      <c r="G3744" s="6" t="s">
        <v>208</v>
      </c>
      <c r="H3744" s="6" t="s">
        <v>468</v>
      </c>
      <c r="I3744" s="6" t="s">
        <v>469</v>
      </c>
      <c r="J3744" s="6">
        <v>15.761573080099</v>
      </c>
      <c r="K3744" s="6">
        <v>-96.143528419977002</v>
      </c>
      <c r="L3744" s="6" t="str">
        <f>HYPERLINK("https://maps.google.com/?q=15.761573080098627,-96.143528419977102", "🔗 Ver Mapa")</f>
        <v>🔗 Ver Mapa</v>
      </c>
    </row>
    <row r="3745" spans="1:12" ht="43.5" x14ac:dyDescent="0.35">
      <c r="A3745" s="5" t="s">
        <v>288</v>
      </c>
      <c r="B3745" s="5" t="s">
        <v>289</v>
      </c>
      <c r="C3745" s="5" t="s">
        <v>750</v>
      </c>
      <c r="D3745" s="5" t="s">
        <v>745</v>
      </c>
      <c r="E3745" s="5" t="s">
        <v>17</v>
      </c>
      <c r="F3745" s="5" t="s">
        <v>20</v>
      </c>
      <c r="G3745" s="5" t="s">
        <v>208</v>
      </c>
      <c r="H3745" s="5" t="s">
        <v>468</v>
      </c>
      <c r="I3745" s="5" t="s">
        <v>469</v>
      </c>
      <c r="J3745" s="5">
        <v>15.761848732101001</v>
      </c>
      <c r="K3745" s="5">
        <v>-96.143888260368001</v>
      </c>
      <c r="L3745" s="5" t="str">
        <f>HYPERLINK("https://maps.google.com/?q=15.761848732100853,-96.143888260368087", "🔗 Ver Mapa")</f>
        <v>🔗 Ver Mapa</v>
      </c>
    </row>
    <row r="3746" spans="1:12" ht="43.5" x14ac:dyDescent="0.35">
      <c r="A3746" s="6" t="s">
        <v>288</v>
      </c>
      <c r="B3746" s="6" t="s">
        <v>289</v>
      </c>
      <c r="C3746" s="6" t="s">
        <v>750</v>
      </c>
      <c r="D3746" s="6" t="s">
        <v>745</v>
      </c>
      <c r="E3746" s="6" t="s">
        <v>17</v>
      </c>
      <c r="F3746" s="6" t="s">
        <v>20</v>
      </c>
      <c r="G3746" s="6" t="s">
        <v>208</v>
      </c>
      <c r="H3746" s="6" t="s">
        <v>468</v>
      </c>
      <c r="I3746" s="6" t="s">
        <v>469</v>
      </c>
      <c r="J3746" s="6">
        <v>15.761869384466999</v>
      </c>
      <c r="K3746" s="6">
        <v>-96.144773903916004</v>
      </c>
      <c r="L3746" s="6" t="str">
        <f>HYPERLINK("https://maps.google.com/?q=15.761869384466616,-96.144773903916047", "🔗 Ver Mapa")</f>
        <v>🔗 Ver Mapa</v>
      </c>
    </row>
    <row r="3747" spans="1:12" ht="43.5" x14ac:dyDescent="0.35">
      <c r="A3747" s="5" t="s">
        <v>288</v>
      </c>
      <c r="B3747" s="5" t="s">
        <v>289</v>
      </c>
      <c r="C3747" s="5" t="s">
        <v>750</v>
      </c>
      <c r="D3747" s="5" t="s">
        <v>745</v>
      </c>
      <c r="E3747" s="5" t="s">
        <v>17</v>
      </c>
      <c r="F3747" s="5" t="s">
        <v>20</v>
      </c>
      <c r="G3747" s="5" t="s">
        <v>208</v>
      </c>
      <c r="H3747" s="5" t="s">
        <v>468</v>
      </c>
      <c r="I3747" s="5" t="s">
        <v>469</v>
      </c>
      <c r="J3747" s="5">
        <v>15.761976433129</v>
      </c>
      <c r="K3747" s="5">
        <v>-96.146050016011998</v>
      </c>
      <c r="L3747" s="5" t="str">
        <f>HYPERLINK("https://maps.google.com/?q=15.761976433129382,-96.146050016011785", "🔗 Ver Mapa")</f>
        <v>🔗 Ver Mapa</v>
      </c>
    </row>
    <row r="3748" spans="1:12" ht="43.5" x14ac:dyDescent="0.35">
      <c r="A3748" s="6" t="s">
        <v>288</v>
      </c>
      <c r="B3748" s="6" t="s">
        <v>289</v>
      </c>
      <c r="C3748" s="6" t="s">
        <v>750</v>
      </c>
      <c r="D3748" s="6" t="s">
        <v>745</v>
      </c>
      <c r="E3748" s="6" t="s">
        <v>17</v>
      </c>
      <c r="F3748" s="6" t="s">
        <v>20</v>
      </c>
      <c r="G3748" s="6" t="s">
        <v>208</v>
      </c>
      <c r="H3748" s="6" t="s">
        <v>468</v>
      </c>
      <c r="I3748" s="6" t="s">
        <v>469</v>
      </c>
      <c r="J3748" s="6">
        <v>15.761989375065999</v>
      </c>
      <c r="K3748" s="6">
        <v>-96.146348255015994</v>
      </c>
      <c r="L3748" s="6" t="str">
        <f>HYPERLINK("https://maps.google.com/?q=15.761989375065818,-96.146348255015781", "🔗 Ver Mapa")</f>
        <v>🔗 Ver Mapa</v>
      </c>
    </row>
    <row r="3749" spans="1:12" ht="43.5" x14ac:dyDescent="0.35">
      <c r="A3749" s="5" t="s">
        <v>288</v>
      </c>
      <c r="B3749" s="5" t="s">
        <v>289</v>
      </c>
      <c r="C3749" s="5" t="s">
        <v>750</v>
      </c>
      <c r="D3749" s="5" t="s">
        <v>745</v>
      </c>
      <c r="E3749" s="5" t="s">
        <v>17</v>
      </c>
      <c r="F3749" s="5" t="s">
        <v>20</v>
      </c>
      <c r="G3749" s="5" t="s">
        <v>208</v>
      </c>
      <c r="H3749" s="5" t="s">
        <v>468</v>
      </c>
      <c r="I3749" s="5" t="s">
        <v>469</v>
      </c>
      <c r="J3749" s="5">
        <v>15.761995836800001</v>
      </c>
      <c r="K3749" s="5">
        <v>-96.146152326538001</v>
      </c>
      <c r="L3749" s="5" t="str">
        <f>HYPERLINK("https://maps.google.com/?q=15.761995836799521,-96.146152326537532", "🔗 Ver Mapa")</f>
        <v>🔗 Ver Mapa</v>
      </c>
    </row>
    <row r="3750" spans="1:12" ht="43.5" x14ac:dyDescent="0.35">
      <c r="A3750" s="6" t="s">
        <v>288</v>
      </c>
      <c r="B3750" s="6" t="s">
        <v>289</v>
      </c>
      <c r="C3750" s="6" t="s">
        <v>750</v>
      </c>
      <c r="D3750" s="6" t="s">
        <v>745</v>
      </c>
      <c r="E3750" s="6" t="s">
        <v>17</v>
      </c>
      <c r="F3750" s="6" t="s">
        <v>20</v>
      </c>
      <c r="G3750" s="6" t="s">
        <v>208</v>
      </c>
      <c r="H3750" s="6" t="s">
        <v>468</v>
      </c>
      <c r="I3750" s="6" t="s">
        <v>469</v>
      </c>
      <c r="J3750" s="6">
        <v>15.762472636371999</v>
      </c>
      <c r="K3750" s="6">
        <v>-96.144634905296996</v>
      </c>
      <c r="L3750" s="6" t="str">
        <f>HYPERLINK("https://maps.google.com/?q=15.76247263637186,-96.144634905297139", "🔗 Ver Mapa")</f>
        <v>🔗 Ver Mapa</v>
      </c>
    </row>
    <row r="3751" spans="1:12" ht="43.5" x14ac:dyDescent="0.35">
      <c r="A3751" s="5" t="s">
        <v>288</v>
      </c>
      <c r="B3751" s="5" t="s">
        <v>289</v>
      </c>
      <c r="C3751" s="5" t="s">
        <v>750</v>
      </c>
      <c r="D3751" s="5" t="s">
        <v>745</v>
      </c>
      <c r="E3751" s="5" t="s">
        <v>17</v>
      </c>
      <c r="F3751" s="5" t="s">
        <v>20</v>
      </c>
      <c r="G3751" s="5" t="s">
        <v>208</v>
      </c>
      <c r="H3751" s="5" t="s">
        <v>468</v>
      </c>
      <c r="I3751" s="5" t="s">
        <v>469</v>
      </c>
      <c r="J3751" s="5">
        <v>15.762541689966</v>
      </c>
      <c r="K3751" s="5">
        <v>-96.144391472555</v>
      </c>
      <c r="L3751" s="5" t="str">
        <f>HYPERLINK("https://maps.google.com/?q=15.762541689965937,-96.144391472555412", "🔗 Ver Mapa")</f>
        <v>🔗 Ver Mapa</v>
      </c>
    </row>
    <row r="3752" spans="1:12" ht="43.5" x14ac:dyDescent="0.35">
      <c r="A3752" s="6" t="s">
        <v>288</v>
      </c>
      <c r="B3752" s="6" t="s">
        <v>289</v>
      </c>
      <c r="C3752" s="6" t="s">
        <v>751</v>
      </c>
      <c r="D3752" s="6" t="s">
        <v>745</v>
      </c>
      <c r="E3752" s="6" t="s">
        <v>17</v>
      </c>
      <c r="F3752" s="6" t="s">
        <v>20</v>
      </c>
      <c r="G3752" s="6" t="s">
        <v>208</v>
      </c>
      <c r="H3752" s="6" t="s">
        <v>468</v>
      </c>
      <c r="I3752" s="6" t="s">
        <v>469</v>
      </c>
      <c r="J3752" s="6">
        <v>15.761714</v>
      </c>
      <c r="K3752" s="6">
        <v>-96.143293</v>
      </c>
      <c r="L3752" s="6" t="str">
        <f>HYPERLINK("https://maps.google.com/?q=15.761714,-96.143293", "🔗 Ver Mapa")</f>
        <v>🔗 Ver Mapa</v>
      </c>
    </row>
    <row r="3753" spans="1:12" ht="43.5" x14ac:dyDescent="0.35">
      <c r="A3753" s="5" t="s">
        <v>288</v>
      </c>
      <c r="B3753" s="5" t="s">
        <v>289</v>
      </c>
      <c r="C3753" s="5" t="s">
        <v>751</v>
      </c>
      <c r="D3753" s="5" t="s">
        <v>745</v>
      </c>
      <c r="E3753" s="5" t="s">
        <v>17</v>
      </c>
      <c r="F3753" s="5" t="s">
        <v>20</v>
      </c>
      <c r="G3753" s="5" t="s">
        <v>208</v>
      </c>
      <c r="H3753" s="5" t="s">
        <v>468</v>
      </c>
      <c r="I3753" s="5" t="s">
        <v>469</v>
      </c>
      <c r="J3753" s="5">
        <v>15.76174</v>
      </c>
      <c r="K3753" s="5">
        <v>-96.143851999999995</v>
      </c>
      <c r="L3753" s="5" t="str">
        <f>HYPERLINK("https://maps.google.com/?q=15.76174,-96.143851999999995", "🔗 Ver Mapa")</f>
        <v>🔗 Ver Mapa</v>
      </c>
    </row>
    <row r="3754" spans="1:12" ht="43.5" x14ac:dyDescent="0.35">
      <c r="A3754" s="6" t="s">
        <v>288</v>
      </c>
      <c r="B3754" s="6" t="s">
        <v>289</v>
      </c>
      <c r="C3754" s="6" t="s">
        <v>751</v>
      </c>
      <c r="D3754" s="6" t="s">
        <v>745</v>
      </c>
      <c r="E3754" s="6" t="s">
        <v>17</v>
      </c>
      <c r="F3754" s="6" t="s">
        <v>20</v>
      </c>
      <c r="G3754" s="6" t="s">
        <v>208</v>
      </c>
      <c r="H3754" s="6" t="s">
        <v>468</v>
      </c>
      <c r="I3754" s="6" t="s">
        <v>469</v>
      </c>
      <c r="J3754" s="6">
        <v>15.76177</v>
      </c>
      <c r="K3754" s="6">
        <v>-96.142741999999998</v>
      </c>
      <c r="L3754" s="6" t="str">
        <f>HYPERLINK("https://maps.google.com/?q=15.76177,-96.142741999999998", "🔗 Ver Mapa")</f>
        <v>🔗 Ver Mapa</v>
      </c>
    </row>
    <row r="3755" spans="1:12" ht="43.5" x14ac:dyDescent="0.35">
      <c r="A3755" s="5" t="s">
        <v>288</v>
      </c>
      <c r="B3755" s="5" t="s">
        <v>289</v>
      </c>
      <c r="C3755" s="5" t="s">
        <v>751</v>
      </c>
      <c r="D3755" s="5" t="s">
        <v>745</v>
      </c>
      <c r="E3755" s="5" t="s">
        <v>17</v>
      </c>
      <c r="F3755" s="5" t="s">
        <v>20</v>
      </c>
      <c r="G3755" s="5" t="s">
        <v>208</v>
      </c>
      <c r="H3755" s="5" t="s">
        <v>468</v>
      </c>
      <c r="I3755" s="5" t="s">
        <v>469</v>
      </c>
      <c r="J3755" s="5">
        <v>15.761799</v>
      </c>
      <c r="K3755" s="5">
        <v>-96.142854</v>
      </c>
      <c r="L3755" s="5" t="str">
        <f>HYPERLINK("https://maps.google.com/?q=15.761799,-96.142854", "🔗 Ver Mapa")</f>
        <v>🔗 Ver Mapa</v>
      </c>
    </row>
    <row r="3756" spans="1:12" ht="43.5" x14ac:dyDescent="0.35">
      <c r="A3756" s="6" t="s">
        <v>288</v>
      </c>
      <c r="B3756" s="6" t="s">
        <v>289</v>
      </c>
      <c r="C3756" s="6" t="s">
        <v>751</v>
      </c>
      <c r="D3756" s="6" t="s">
        <v>745</v>
      </c>
      <c r="E3756" s="6" t="s">
        <v>17</v>
      </c>
      <c r="F3756" s="6" t="s">
        <v>20</v>
      </c>
      <c r="G3756" s="6" t="s">
        <v>208</v>
      </c>
      <c r="H3756" s="6" t="s">
        <v>468</v>
      </c>
      <c r="I3756" s="6" t="s">
        <v>469</v>
      </c>
      <c r="J3756" s="6">
        <v>15.761863999999999</v>
      </c>
      <c r="K3756" s="6">
        <v>-96.142312000000004</v>
      </c>
      <c r="L3756" s="6" t="str">
        <f>HYPERLINK("https://maps.google.com/?q=15.761864,-96.142312000000004", "🔗 Ver Mapa")</f>
        <v>🔗 Ver Mapa</v>
      </c>
    </row>
    <row r="3757" spans="1:12" ht="43.5" x14ac:dyDescent="0.35">
      <c r="A3757" s="5" t="s">
        <v>288</v>
      </c>
      <c r="B3757" s="5" t="s">
        <v>289</v>
      </c>
      <c r="C3757" s="5" t="s">
        <v>751</v>
      </c>
      <c r="D3757" s="5" t="s">
        <v>745</v>
      </c>
      <c r="E3757" s="5" t="s">
        <v>17</v>
      </c>
      <c r="F3757" s="5" t="s">
        <v>20</v>
      </c>
      <c r="G3757" s="5" t="s">
        <v>208</v>
      </c>
      <c r="H3757" s="5" t="s">
        <v>468</v>
      </c>
      <c r="I3757" s="5" t="s">
        <v>469</v>
      </c>
      <c r="J3757" s="5">
        <v>15.762002000000001</v>
      </c>
      <c r="K3757" s="5">
        <v>-96.143905000000004</v>
      </c>
      <c r="L3757" s="5" t="str">
        <f>HYPERLINK("https://maps.google.com/?q=15.762002,-96.143905000000004", "🔗 Ver Mapa")</f>
        <v>🔗 Ver Mapa</v>
      </c>
    </row>
    <row r="3758" spans="1:12" ht="43.5" x14ac:dyDescent="0.35">
      <c r="A3758" s="6" t="s">
        <v>288</v>
      </c>
      <c r="B3758" s="6" t="s">
        <v>289</v>
      </c>
      <c r="C3758" s="6" t="s">
        <v>751</v>
      </c>
      <c r="D3758" s="6" t="s">
        <v>745</v>
      </c>
      <c r="E3758" s="6" t="s">
        <v>17</v>
      </c>
      <c r="F3758" s="6" t="s">
        <v>20</v>
      </c>
      <c r="G3758" s="6" t="s">
        <v>208</v>
      </c>
      <c r="H3758" s="6" t="s">
        <v>468</v>
      </c>
      <c r="I3758" s="6" t="s">
        <v>469</v>
      </c>
      <c r="J3758" s="6">
        <v>15.762059000000001</v>
      </c>
      <c r="K3758" s="6">
        <v>-96.144071999999994</v>
      </c>
      <c r="L3758" s="6" t="str">
        <f>HYPERLINK("https://maps.google.com/?q=15.762059,-96.144071999999994", "🔗 Ver Mapa")</f>
        <v>🔗 Ver Mapa</v>
      </c>
    </row>
    <row r="3759" spans="1:12" ht="43.5" x14ac:dyDescent="0.35">
      <c r="A3759" s="5" t="s">
        <v>288</v>
      </c>
      <c r="B3759" s="5" t="s">
        <v>289</v>
      </c>
      <c r="C3759" s="5" t="s">
        <v>751</v>
      </c>
      <c r="D3759" s="5" t="s">
        <v>745</v>
      </c>
      <c r="E3759" s="5" t="s">
        <v>17</v>
      </c>
      <c r="F3759" s="5" t="s">
        <v>20</v>
      </c>
      <c r="G3759" s="5" t="s">
        <v>208</v>
      </c>
      <c r="H3759" s="5" t="s">
        <v>468</v>
      </c>
      <c r="I3759" s="5" t="s">
        <v>469</v>
      </c>
      <c r="J3759" s="5">
        <v>15.762127</v>
      </c>
      <c r="K3759" s="5">
        <v>-96.142364000000001</v>
      </c>
      <c r="L3759" s="5" t="str">
        <f>HYPERLINK("https://maps.google.com/?q=15.762127,-96.142364000000001", "🔗 Ver Mapa")</f>
        <v>🔗 Ver Mapa</v>
      </c>
    </row>
    <row r="3760" spans="1:12" ht="43.5" x14ac:dyDescent="0.35">
      <c r="A3760" s="6" t="s">
        <v>288</v>
      </c>
      <c r="B3760" s="6" t="s">
        <v>289</v>
      </c>
      <c r="C3760" s="6" t="s">
        <v>751</v>
      </c>
      <c r="D3760" s="6" t="s">
        <v>745</v>
      </c>
      <c r="E3760" s="6" t="s">
        <v>17</v>
      </c>
      <c r="F3760" s="6" t="s">
        <v>20</v>
      </c>
      <c r="G3760" s="6" t="s">
        <v>208</v>
      </c>
      <c r="H3760" s="6" t="s">
        <v>468</v>
      </c>
      <c r="I3760" s="6" t="s">
        <v>469</v>
      </c>
      <c r="J3760" s="6">
        <v>15.762169999999999</v>
      </c>
      <c r="K3760" s="6">
        <v>-96.142904999999999</v>
      </c>
      <c r="L3760" s="6" t="str">
        <f>HYPERLINK("https://maps.google.com/?q=15.76217,-96.142904999999999", "🔗 Ver Mapa")</f>
        <v>🔗 Ver Mapa</v>
      </c>
    </row>
    <row r="3761" spans="1:12" ht="43.5" x14ac:dyDescent="0.35">
      <c r="A3761" s="5" t="s">
        <v>288</v>
      </c>
      <c r="B3761" s="5" t="s">
        <v>289</v>
      </c>
      <c r="C3761" s="5" t="s">
        <v>751</v>
      </c>
      <c r="D3761" s="5" t="s">
        <v>745</v>
      </c>
      <c r="E3761" s="5" t="s">
        <v>17</v>
      </c>
      <c r="F3761" s="5" t="s">
        <v>20</v>
      </c>
      <c r="G3761" s="5" t="s">
        <v>208</v>
      </c>
      <c r="H3761" s="5" t="s">
        <v>468</v>
      </c>
      <c r="I3761" s="5" t="s">
        <v>469</v>
      </c>
      <c r="J3761" s="5">
        <v>15.762218000000001</v>
      </c>
      <c r="K3761" s="5">
        <v>-96.143128000000004</v>
      </c>
      <c r="L3761" s="5" t="str">
        <f>HYPERLINK("https://maps.google.com/?q=15.762218,-96.143128000000004", "🔗 Ver Mapa")</f>
        <v>🔗 Ver Mapa</v>
      </c>
    </row>
    <row r="3762" spans="1:12" ht="43.5" x14ac:dyDescent="0.35">
      <c r="A3762" s="6" t="s">
        <v>288</v>
      </c>
      <c r="B3762" s="6" t="s">
        <v>289</v>
      </c>
      <c r="C3762" s="6" t="s">
        <v>751</v>
      </c>
      <c r="D3762" s="6" t="s">
        <v>745</v>
      </c>
      <c r="E3762" s="6" t="s">
        <v>17</v>
      </c>
      <c r="F3762" s="6" t="s">
        <v>20</v>
      </c>
      <c r="G3762" s="6" t="s">
        <v>208</v>
      </c>
      <c r="H3762" s="6" t="s">
        <v>468</v>
      </c>
      <c r="I3762" s="6" t="s">
        <v>469</v>
      </c>
      <c r="J3762" s="6">
        <v>15.762321</v>
      </c>
      <c r="K3762" s="6">
        <v>-96.144124000000005</v>
      </c>
      <c r="L3762" s="6" t="str">
        <f>HYPERLINK("https://maps.google.com/?q=15.762321,-96.144124000000005", "🔗 Ver Mapa")</f>
        <v>🔗 Ver Mapa</v>
      </c>
    </row>
    <row r="3763" spans="1:12" ht="43.5" x14ac:dyDescent="0.35">
      <c r="A3763" s="5" t="s">
        <v>288</v>
      </c>
      <c r="B3763" s="5" t="s">
        <v>289</v>
      </c>
      <c r="C3763" s="5" t="s">
        <v>751</v>
      </c>
      <c r="D3763" s="5" t="s">
        <v>745</v>
      </c>
      <c r="E3763" s="5" t="s">
        <v>17</v>
      </c>
      <c r="F3763" s="5" t="s">
        <v>20</v>
      </c>
      <c r="G3763" s="5" t="s">
        <v>208</v>
      </c>
      <c r="H3763" s="5" t="s">
        <v>468</v>
      </c>
      <c r="I3763" s="5" t="s">
        <v>469</v>
      </c>
      <c r="J3763" s="5">
        <v>15.762395</v>
      </c>
      <c r="K3763" s="5">
        <v>-96.144244</v>
      </c>
      <c r="L3763" s="5" t="str">
        <f>HYPERLINK("https://maps.google.com/?q=15.762395,-96.144244", "🔗 Ver Mapa")</f>
        <v>🔗 Ver Mapa</v>
      </c>
    </row>
    <row r="3764" spans="1:12" ht="43.5" x14ac:dyDescent="0.35">
      <c r="A3764" s="6" t="s">
        <v>288</v>
      </c>
      <c r="B3764" s="6" t="s">
        <v>289</v>
      </c>
      <c r="C3764" s="6" t="s">
        <v>751</v>
      </c>
      <c r="D3764" s="6" t="s">
        <v>745</v>
      </c>
      <c r="E3764" s="6" t="s">
        <v>17</v>
      </c>
      <c r="F3764" s="6" t="s">
        <v>20</v>
      </c>
      <c r="G3764" s="6" t="s">
        <v>208</v>
      </c>
      <c r="H3764" s="6" t="s">
        <v>468</v>
      </c>
      <c r="I3764" s="6" t="s">
        <v>469</v>
      </c>
      <c r="J3764" s="6">
        <v>15.762483</v>
      </c>
      <c r="K3764" s="6">
        <v>-96.143384999999995</v>
      </c>
      <c r="L3764" s="6" t="str">
        <f>HYPERLINK("https://maps.google.com/?q=15.762483,-96.143384999999995", "🔗 Ver Mapa")</f>
        <v>🔗 Ver Mapa</v>
      </c>
    </row>
    <row r="3765" spans="1:12" ht="43.5" x14ac:dyDescent="0.35">
      <c r="A3765" s="5" t="s">
        <v>288</v>
      </c>
      <c r="B3765" s="5" t="s">
        <v>289</v>
      </c>
      <c r="C3765" s="5" t="s">
        <v>751</v>
      </c>
      <c r="D3765" s="5" t="s">
        <v>745</v>
      </c>
      <c r="E3765" s="5" t="s">
        <v>17</v>
      </c>
      <c r="F3765" s="5" t="s">
        <v>20</v>
      </c>
      <c r="G3765" s="5" t="s">
        <v>208</v>
      </c>
      <c r="H3765" s="5" t="s">
        <v>468</v>
      </c>
      <c r="I3765" s="5" t="s">
        <v>469</v>
      </c>
      <c r="J3765" s="5">
        <v>15.762817</v>
      </c>
      <c r="K3765" s="5">
        <v>-96.142662000000001</v>
      </c>
      <c r="L3765" s="5" t="str">
        <f>HYPERLINK("https://maps.google.com/?q=15.762817,-96.142662000000001", "🔗 Ver Mapa")</f>
        <v>🔗 Ver Mapa</v>
      </c>
    </row>
    <row r="3766" spans="1:12" ht="43.5" x14ac:dyDescent="0.35">
      <c r="A3766" s="6" t="s">
        <v>288</v>
      </c>
      <c r="B3766" s="6" t="s">
        <v>289</v>
      </c>
      <c r="C3766" s="6" t="s">
        <v>751</v>
      </c>
      <c r="D3766" s="6" t="s">
        <v>745</v>
      </c>
      <c r="E3766" s="6" t="s">
        <v>17</v>
      </c>
      <c r="F3766" s="6" t="s">
        <v>20</v>
      </c>
      <c r="G3766" s="6" t="s">
        <v>208</v>
      </c>
      <c r="H3766" s="6" t="s">
        <v>468</v>
      </c>
      <c r="I3766" s="6" t="s">
        <v>469</v>
      </c>
      <c r="J3766" s="6">
        <v>15.762867</v>
      </c>
      <c r="K3766" s="6">
        <v>-96.142363000000003</v>
      </c>
      <c r="L3766" s="6" t="str">
        <f>HYPERLINK("https://maps.google.com/?q=15.762867,-96.142363000000003", "🔗 Ver Mapa")</f>
        <v>🔗 Ver Mapa</v>
      </c>
    </row>
    <row r="3767" spans="1:12" ht="43.5" x14ac:dyDescent="0.35">
      <c r="A3767" s="5" t="s">
        <v>288</v>
      </c>
      <c r="B3767" s="5" t="s">
        <v>289</v>
      </c>
      <c r="C3767" s="5" t="s">
        <v>751</v>
      </c>
      <c r="D3767" s="5" t="s">
        <v>745</v>
      </c>
      <c r="E3767" s="5" t="s">
        <v>17</v>
      </c>
      <c r="F3767" s="5" t="s">
        <v>20</v>
      </c>
      <c r="G3767" s="5" t="s">
        <v>208</v>
      </c>
      <c r="H3767" s="5" t="s">
        <v>468</v>
      </c>
      <c r="I3767" s="5" t="s">
        <v>469</v>
      </c>
      <c r="J3767" s="5">
        <v>15.762884</v>
      </c>
      <c r="K3767" s="5">
        <v>-96.143677999999994</v>
      </c>
      <c r="L3767" s="5" t="str">
        <f>HYPERLINK("https://maps.google.com/?q=15.762884,-96.143677999999994", "🔗 Ver Mapa")</f>
        <v>🔗 Ver Mapa</v>
      </c>
    </row>
    <row r="3768" spans="1:12" ht="43.5" x14ac:dyDescent="0.35">
      <c r="A3768" s="6" t="s">
        <v>288</v>
      </c>
      <c r="B3768" s="6" t="s">
        <v>289</v>
      </c>
      <c r="C3768" s="6" t="s">
        <v>751</v>
      </c>
      <c r="D3768" s="6" t="s">
        <v>745</v>
      </c>
      <c r="E3768" s="6" t="s">
        <v>17</v>
      </c>
      <c r="F3768" s="6" t="s">
        <v>20</v>
      </c>
      <c r="G3768" s="6" t="s">
        <v>208</v>
      </c>
      <c r="H3768" s="6" t="s">
        <v>468</v>
      </c>
      <c r="I3768" s="6" t="s">
        <v>469</v>
      </c>
      <c r="J3768" s="6">
        <v>15.763036</v>
      </c>
      <c r="K3768" s="6">
        <v>-96.142818000000005</v>
      </c>
      <c r="L3768" s="6" t="str">
        <f>HYPERLINK("https://maps.google.com/?q=15.763036,-96.142818000000005", "🔗 Ver Mapa")</f>
        <v>🔗 Ver Mapa</v>
      </c>
    </row>
    <row r="3769" spans="1:12" ht="43.5" x14ac:dyDescent="0.35">
      <c r="A3769" s="5" t="s">
        <v>288</v>
      </c>
      <c r="B3769" s="5" t="s">
        <v>289</v>
      </c>
      <c r="C3769" s="5" t="s">
        <v>751</v>
      </c>
      <c r="D3769" s="5" t="s">
        <v>745</v>
      </c>
      <c r="E3769" s="5" t="s">
        <v>17</v>
      </c>
      <c r="F3769" s="5" t="s">
        <v>20</v>
      </c>
      <c r="G3769" s="5" t="s">
        <v>208</v>
      </c>
      <c r="H3769" s="5" t="s">
        <v>468</v>
      </c>
      <c r="I3769" s="5" t="s">
        <v>469</v>
      </c>
      <c r="J3769" s="5">
        <v>15.763123999999999</v>
      </c>
      <c r="K3769" s="5">
        <v>-96.142685999999998</v>
      </c>
      <c r="L3769" s="5" t="str">
        <f>HYPERLINK("https://maps.google.com/?q=15.763124,-96.142685999999998", "🔗 Ver Mapa")</f>
        <v>🔗 Ver Mapa</v>
      </c>
    </row>
    <row r="3770" spans="1:12" ht="43.5" x14ac:dyDescent="0.35">
      <c r="A3770" s="6" t="s">
        <v>288</v>
      </c>
      <c r="B3770" s="6" t="s">
        <v>289</v>
      </c>
      <c r="C3770" s="6" t="s">
        <v>751</v>
      </c>
      <c r="D3770" s="6" t="s">
        <v>745</v>
      </c>
      <c r="E3770" s="6" t="s">
        <v>17</v>
      </c>
      <c r="F3770" s="6" t="s">
        <v>20</v>
      </c>
      <c r="G3770" s="6" t="s">
        <v>208</v>
      </c>
      <c r="H3770" s="6" t="s">
        <v>468</v>
      </c>
      <c r="I3770" s="6" t="s">
        <v>469</v>
      </c>
      <c r="J3770" s="6">
        <v>15.763132000000001</v>
      </c>
      <c r="K3770" s="6">
        <v>-96.141874999999999</v>
      </c>
      <c r="L3770" s="6" t="str">
        <f>HYPERLINK("https://maps.google.com/?q=15.763132,-96.141874999999999", "🔗 Ver Mapa")</f>
        <v>🔗 Ver Mapa</v>
      </c>
    </row>
    <row r="3771" spans="1:12" ht="43.5" x14ac:dyDescent="0.35">
      <c r="A3771" s="5" t="s">
        <v>288</v>
      </c>
      <c r="B3771" s="5" t="s">
        <v>289</v>
      </c>
      <c r="C3771" s="5" t="s">
        <v>751</v>
      </c>
      <c r="D3771" s="5" t="s">
        <v>745</v>
      </c>
      <c r="E3771" s="5" t="s">
        <v>17</v>
      </c>
      <c r="F3771" s="5" t="s">
        <v>20</v>
      </c>
      <c r="G3771" s="5" t="s">
        <v>208</v>
      </c>
      <c r="H3771" s="5" t="s">
        <v>468</v>
      </c>
      <c r="I3771" s="5" t="s">
        <v>469</v>
      </c>
      <c r="J3771" s="5">
        <v>15.763237999999999</v>
      </c>
      <c r="K3771" s="5">
        <v>-96.143756999999994</v>
      </c>
      <c r="L3771" s="5" t="str">
        <f>HYPERLINK("https://maps.google.com/?q=15.763238,-96.143756999999994", "🔗 Ver Mapa")</f>
        <v>🔗 Ver Mapa</v>
      </c>
    </row>
    <row r="3772" spans="1:12" ht="43.5" x14ac:dyDescent="0.35">
      <c r="A3772" s="6" t="s">
        <v>288</v>
      </c>
      <c r="B3772" s="6" t="s">
        <v>289</v>
      </c>
      <c r="C3772" s="6" t="s">
        <v>751</v>
      </c>
      <c r="D3772" s="6" t="s">
        <v>745</v>
      </c>
      <c r="E3772" s="6" t="s">
        <v>17</v>
      </c>
      <c r="F3772" s="6" t="s">
        <v>20</v>
      </c>
      <c r="G3772" s="6" t="s">
        <v>208</v>
      </c>
      <c r="H3772" s="6" t="s">
        <v>468</v>
      </c>
      <c r="I3772" s="6" t="s">
        <v>469</v>
      </c>
      <c r="J3772" s="6">
        <v>15.763313999999999</v>
      </c>
      <c r="K3772" s="6">
        <v>-96.143383</v>
      </c>
      <c r="L3772" s="6" t="str">
        <f>HYPERLINK("https://maps.google.com/?q=15.763314,-96.143383", "🔗 Ver Mapa")</f>
        <v>🔗 Ver Mapa</v>
      </c>
    </row>
    <row r="3773" spans="1:12" ht="43.5" x14ac:dyDescent="0.35">
      <c r="A3773" s="5" t="s">
        <v>288</v>
      </c>
      <c r="B3773" s="5" t="s">
        <v>289</v>
      </c>
      <c r="C3773" s="5" t="s">
        <v>751</v>
      </c>
      <c r="D3773" s="5" t="s">
        <v>745</v>
      </c>
      <c r="E3773" s="5" t="s">
        <v>17</v>
      </c>
      <c r="F3773" s="5" t="s">
        <v>20</v>
      </c>
      <c r="G3773" s="5" t="s">
        <v>208</v>
      </c>
      <c r="H3773" s="5" t="s">
        <v>468</v>
      </c>
      <c r="I3773" s="5" t="s">
        <v>469</v>
      </c>
      <c r="J3773" s="5">
        <v>15.763464000000001</v>
      </c>
      <c r="K3773" s="5">
        <v>-96.144508999999999</v>
      </c>
      <c r="L3773" s="5" t="str">
        <f>HYPERLINK("https://maps.google.com/?q=15.763464,-96.144508999999999", "🔗 Ver Mapa")</f>
        <v>🔗 Ver Mapa</v>
      </c>
    </row>
    <row r="3774" spans="1:12" ht="43.5" x14ac:dyDescent="0.35">
      <c r="A3774" s="6" t="s">
        <v>288</v>
      </c>
      <c r="B3774" s="6" t="s">
        <v>289</v>
      </c>
      <c r="C3774" s="6" t="s">
        <v>751</v>
      </c>
      <c r="D3774" s="6" t="s">
        <v>745</v>
      </c>
      <c r="E3774" s="6" t="s">
        <v>17</v>
      </c>
      <c r="F3774" s="6" t="s">
        <v>20</v>
      </c>
      <c r="G3774" s="6" t="s">
        <v>208</v>
      </c>
      <c r="H3774" s="6" t="s">
        <v>468</v>
      </c>
      <c r="I3774" s="6" t="s">
        <v>469</v>
      </c>
      <c r="J3774" s="6">
        <v>15.763500000000001</v>
      </c>
      <c r="K3774" s="6">
        <v>-96.143072000000004</v>
      </c>
      <c r="L3774" s="6" t="str">
        <f>HYPERLINK("https://maps.google.com/?q=15.7635,-96.143072000000004", "🔗 Ver Mapa")</f>
        <v>🔗 Ver Mapa</v>
      </c>
    </row>
    <row r="3775" spans="1:12" ht="43.5" x14ac:dyDescent="0.35">
      <c r="A3775" s="5" t="s">
        <v>288</v>
      </c>
      <c r="B3775" s="5" t="s">
        <v>289</v>
      </c>
      <c r="C3775" s="5" t="s">
        <v>751</v>
      </c>
      <c r="D3775" s="5" t="s">
        <v>745</v>
      </c>
      <c r="E3775" s="5" t="s">
        <v>17</v>
      </c>
      <c r="F3775" s="5" t="s">
        <v>20</v>
      </c>
      <c r="G3775" s="5" t="s">
        <v>208</v>
      </c>
      <c r="H3775" s="5" t="s">
        <v>468</v>
      </c>
      <c r="I3775" s="5" t="s">
        <v>469</v>
      </c>
      <c r="J3775" s="5">
        <v>15.763525</v>
      </c>
      <c r="K3775" s="5">
        <v>-96.142960000000002</v>
      </c>
      <c r="L3775" s="5" t="str">
        <f>HYPERLINK("https://maps.google.com/?q=15.763525,-96.142960000000002", "🔗 Ver Mapa")</f>
        <v>🔗 Ver Mapa</v>
      </c>
    </row>
    <row r="3776" spans="1:12" ht="43.5" x14ac:dyDescent="0.35">
      <c r="A3776" s="6" t="s">
        <v>288</v>
      </c>
      <c r="B3776" s="6" t="s">
        <v>289</v>
      </c>
      <c r="C3776" s="6" t="s">
        <v>751</v>
      </c>
      <c r="D3776" s="6" t="s">
        <v>745</v>
      </c>
      <c r="E3776" s="6" t="s">
        <v>17</v>
      </c>
      <c r="F3776" s="6" t="s">
        <v>20</v>
      </c>
      <c r="G3776" s="6" t="s">
        <v>208</v>
      </c>
      <c r="H3776" s="6" t="s">
        <v>468</v>
      </c>
      <c r="I3776" s="6" t="s">
        <v>469</v>
      </c>
      <c r="J3776" s="6">
        <v>15.763621000000001</v>
      </c>
      <c r="K3776" s="6">
        <v>-96.141327000000004</v>
      </c>
      <c r="L3776" s="6" t="str">
        <f>HYPERLINK("https://maps.google.com/?q=15.763621,-96.141327000000004", "🔗 Ver Mapa")</f>
        <v>🔗 Ver Mapa</v>
      </c>
    </row>
    <row r="3777" spans="1:12" ht="43.5" x14ac:dyDescent="0.35">
      <c r="A3777" s="5" t="s">
        <v>288</v>
      </c>
      <c r="B3777" s="5" t="s">
        <v>289</v>
      </c>
      <c r="C3777" s="5" t="s">
        <v>751</v>
      </c>
      <c r="D3777" s="5" t="s">
        <v>745</v>
      </c>
      <c r="E3777" s="5" t="s">
        <v>17</v>
      </c>
      <c r="F3777" s="5" t="s">
        <v>20</v>
      </c>
      <c r="G3777" s="5" t="s">
        <v>208</v>
      </c>
      <c r="H3777" s="5" t="s">
        <v>468</v>
      </c>
      <c r="I3777" s="5" t="s">
        <v>469</v>
      </c>
      <c r="J3777" s="5">
        <v>15.763684</v>
      </c>
      <c r="K3777" s="5">
        <v>-96.141969000000003</v>
      </c>
      <c r="L3777" s="5" t="str">
        <f>HYPERLINK("https://maps.google.com/?q=15.763684,-96.141969000000003", "🔗 Ver Mapa")</f>
        <v>🔗 Ver Mapa</v>
      </c>
    </row>
    <row r="3778" spans="1:12" ht="43.5" x14ac:dyDescent="0.35">
      <c r="A3778" s="6" t="s">
        <v>288</v>
      </c>
      <c r="B3778" s="6" t="s">
        <v>289</v>
      </c>
      <c r="C3778" s="6" t="s">
        <v>751</v>
      </c>
      <c r="D3778" s="6" t="s">
        <v>745</v>
      </c>
      <c r="E3778" s="6" t="s">
        <v>17</v>
      </c>
      <c r="F3778" s="6" t="s">
        <v>20</v>
      </c>
      <c r="G3778" s="6" t="s">
        <v>208</v>
      </c>
      <c r="H3778" s="6" t="s">
        <v>468</v>
      </c>
      <c r="I3778" s="6" t="s">
        <v>469</v>
      </c>
      <c r="J3778" s="6">
        <v>15.763819</v>
      </c>
      <c r="K3778" s="6">
        <v>-96.141249000000002</v>
      </c>
      <c r="L3778" s="6" t="str">
        <f>HYPERLINK("https://maps.google.com/?q=15.763819,-96.141249000000002", "🔗 Ver Mapa")</f>
        <v>🔗 Ver Mapa</v>
      </c>
    </row>
    <row r="3779" spans="1:12" ht="43.5" x14ac:dyDescent="0.35">
      <c r="A3779" s="5" t="s">
        <v>288</v>
      </c>
      <c r="B3779" s="5" t="s">
        <v>289</v>
      </c>
      <c r="C3779" s="5" t="s">
        <v>751</v>
      </c>
      <c r="D3779" s="5" t="s">
        <v>745</v>
      </c>
      <c r="E3779" s="5" t="s">
        <v>17</v>
      </c>
      <c r="F3779" s="5" t="s">
        <v>20</v>
      </c>
      <c r="G3779" s="5" t="s">
        <v>208</v>
      </c>
      <c r="H3779" s="5" t="s">
        <v>468</v>
      </c>
      <c r="I3779" s="5" t="s">
        <v>469</v>
      </c>
      <c r="J3779" s="5">
        <v>15.764041000000001</v>
      </c>
      <c r="K3779" s="5">
        <v>-96.141628999999995</v>
      </c>
      <c r="L3779" s="5" t="str">
        <f>HYPERLINK("https://maps.google.com/?q=15.764041,-96.141628999999995", "🔗 Ver Mapa")</f>
        <v>🔗 Ver Mapa</v>
      </c>
    </row>
    <row r="3780" spans="1:12" ht="43.5" x14ac:dyDescent="0.35">
      <c r="A3780" s="6" t="s">
        <v>288</v>
      </c>
      <c r="B3780" s="6" t="s">
        <v>289</v>
      </c>
      <c r="C3780" s="6" t="s">
        <v>751</v>
      </c>
      <c r="D3780" s="6" t="s">
        <v>745</v>
      </c>
      <c r="E3780" s="6" t="s">
        <v>17</v>
      </c>
      <c r="F3780" s="6" t="s">
        <v>20</v>
      </c>
      <c r="G3780" s="6" t="s">
        <v>208</v>
      </c>
      <c r="H3780" s="6" t="s">
        <v>468</v>
      </c>
      <c r="I3780" s="6" t="s">
        <v>469</v>
      </c>
      <c r="J3780" s="6">
        <v>15.764239</v>
      </c>
      <c r="K3780" s="6">
        <v>-96.14434</v>
      </c>
      <c r="L3780" s="6" t="str">
        <f>HYPERLINK("https://maps.google.com/?q=15.764239,-96.144340", "🔗 Ver Mapa")</f>
        <v>🔗 Ver Mapa</v>
      </c>
    </row>
    <row r="3781" spans="1:12" ht="43.5" x14ac:dyDescent="0.35">
      <c r="A3781" s="5" t="s">
        <v>288</v>
      </c>
      <c r="B3781" s="5" t="s">
        <v>289</v>
      </c>
      <c r="C3781" s="5" t="s">
        <v>751</v>
      </c>
      <c r="D3781" s="5" t="s">
        <v>745</v>
      </c>
      <c r="E3781" s="5" t="s">
        <v>17</v>
      </c>
      <c r="F3781" s="5" t="s">
        <v>20</v>
      </c>
      <c r="G3781" s="5" t="s">
        <v>208</v>
      </c>
      <c r="H3781" s="5" t="s">
        <v>468</v>
      </c>
      <c r="I3781" s="5" t="s">
        <v>469</v>
      </c>
      <c r="J3781" s="5">
        <v>15.764282</v>
      </c>
      <c r="K3781" s="5">
        <v>-96.144171</v>
      </c>
      <c r="L3781" s="5" t="str">
        <f>HYPERLINK("https://maps.google.com/?q=15.764282,-96.144171", "🔗 Ver Mapa")</f>
        <v>🔗 Ver Mapa</v>
      </c>
    </row>
    <row r="3782" spans="1:12" ht="43.5" x14ac:dyDescent="0.35">
      <c r="A3782" s="6" t="s">
        <v>288</v>
      </c>
      <c r="B3782" s="6" t="s">
        <v>289</v>
      </c>
      <c r="C3782" s="6" t="s">
        <v>751</v>
      </c>
      <c r="D3782" s="6" t="s">
        <v>745</v>
      </c>
      <c r="E3782" s="6" t="s">
        <v>17</v>
      </c>
      <c r="F3782" s="6" t="s">
        <v>20</v>
      </c>
      <c r="G3782" s="6" t="s">
        <v>208</v>
      </c>
      <c r="H3782" s="6" t="s">
        <v>468</v>
      </c>
      <c r="I3782" s="6" t="s">
        <v>469</v>
      </c>
      <c r="J3782" s="6">
        <v>15.764316000000001</v>
      </c>
      <c r="K3782" s="6">
        <v>-96.141251999999994</v>
      </c>
      <c r="L3782" s="6" t="str">
        <f>HYPERLINK("https://maps.google.com/?q=15.764316,-96.141251999999994", "🔗 Ver Mapa")</f>
        <v>🔗 Ver Mapa</v>
      </c>
    </row>
    <row r="3783" spans="1:12" ht="43.5" x14ac:dyDescent="0.35">
      <c r="A3783" s="5" t="s">
        <v>288</v>
      </c>
      <c r="B3783" s="5" t="s">
        <v>289</v>
      </c>
      <c r="C3783" s="5" t="s">
        <v>751</v>
      </c>
      <c r="D3783" s="5" t="s">
        <v>745</v>
      </c>
      <c r="E3783" s="5" t="s">
        <v>17</v>
      </c>
      <c r="F3783" s="5" t="s">
        <v>20</v>
      </c>
      <c r="G3783" s="5" t="s">
        <v>208</v>
      </c>
      <c r="H3783" s="5" t="s">
        <v>468</v>
      </c>
      <c r="I3783" s="5" t="s">
        <v>469</v>
      </c>
      <c r="J3783" s="5">
        <v>15.76455</v>
      </c>
      <c r="K3783" s="5">
        <v>-96.144008999999997</v>
      </c>
      <c r="L3783" s="5" t="str">
        <f>HYPERLINK("https://maps.google.com/?q=15.76455,-96.144008999999997", "🔗 Ver Mapa")</f>
        <v>🔗 Ver Mapa</v>
      </c>
    </row>
    <row r="3784" spans="1:12" ht="43.5" x14ac:dyDescent="0.35">
      <c r="A3784" s="6" t="s">
        <v>288</v>
      </c>
      <c r="B3784" s="6" t="s">
        <v>289</v>
      </c>
      <c r="C3784" s="6" t="s">
        <v>751</v>
      </c>
      <c r="D3784" s="6" t="s">
        <v>745</v>
      </c>
      <c r="E3784" s="6" t="s">
        <v>17</v>
      </c>
      <c r="F3784" s="6" t="s">
        <v>20</v>
      </c>
      <c r="G3784" s="6" t="s">
        <v>208</v>
      </c>
      <c r="H3784" s="6" t="s">
        <v>468</v>
      </c>
      <c r="I3784" s="6" t="s">
        <v>469</v>
      </c>
      <c r="J3784" s="6">
        <v>15.764718999999999</v>
      </c>
      <c r="K3784" s="6">
        <v>-96.143772999999996</v>
      </c>
      <c r="L3784" s="6" t="str">
        <f>HYPERLINK("https://maps.google.com/?q=15.764719,-96.143772999999996", "🔗 Ver Mapa")</f>
        <v>🔗 Ver Mapa</v>
      </c>
    </row>
    <row r="3785" spans="1:12" ht="43.5" x14ac:dyDescent="0.35">
      <c r="A3785" s="5" t="s">
        <v>288</v>
      </c>
      <c r="B3785" s="5" t="s">
        <v>289</v>
      </c>
      <c r="C3785" s="5" t="s">
        <v>751</v>
      </c>
      <c r="D3785" s="5" t="s">
        <v>745</v>
      </c>
      <c r="E3785" s="5" t="s">
        <v>17</v>
      </c>
      <c r="F3785" s="5" t="s">
        <v>20</v>
      </c>
      <c r="G3785" s="5" t="s">
        <v>208</v>
      </c>
      <c r="H3785" s="5" t="s">
        <v>468</v>
      </c>
      <c r="I3785" s="5" t="s">
        <v>469</v>
      </c>
      <c r="J3785" s="5">
        <v>15.764767000000001</v>
      </c>
      <c r="K3785" s="5">
        <v>-96.143306999999993</v>
      </c>
      <c r="L3785" s="5" t="str">
        <f>HYPERLINK("https://maps.google.com/?q=15.764767,-96.143306999999993", "🔗 Ver Mapa")</f>
        <v>🔗 Ver Mapa</v>
      </c>
    </row>
    <row r="3786" spans="1:12" ht="43.5" x14ac:dyDescent="0.35">
      <c r="A3786" s="6" t="s">
        <v>288</v>
      </c>
      <c r="B3786" s="6" t="s">
        <v>289</v>
      </c>
      <c r="C3786" s="6" t="s">
        <v>751</v>
      </c>
      <c r="D3786" s="6" t="s">
        <v>745</v>
      </c>
      <c r="E3786" s="6" t="s">
        <v>17</v>
      </c>
      <c r="F3786" s="6" t="s">
        <v>20</v>
      </c>
      <c r="G3786" s="6" t="s">
        <v>208</v>
      </c>
      <c r="H3786" s="6" t="s">
        <v>468</v>
      </c>
      <c r="I3786" s="6" t="s">
        <v>469</v>
      </c>
      <c r="J3786" s="6">
        <v>15.764842</v>
      </c>
      <c r="K3786" s="6">
        <v>-96.142866999999995</v>
      </c>
      <c r="L3786" s="6" t="str">
        <f>HYPERLINK("https://maps.google.com/?q=15.764842,-96.142866999999995", "🔗 Ver Mapa")</f>
        <v>🔗 Ver Mapa</v>
      </c>
    </row>
    <row r="3787" spans="1:12" ht="43.5" x14ac:dyDescent="0.35">
      <c r="A3787" s="5" t="s">
        <v>288</v>
      </c>
      <c r="B3787" s="5" t="s">
        <v>289</v>
      </c>
      <c r="C3787" s="5" t="s">
        <v>751</v>
      </c>
      <c r="D3787" s="5" t="s">
        <v>745</v>
      </c>
      <c r="E3787" s="5" t="s">
        <v>17</v>
      </c>
      <c r="F3787" s="5" t="s">
        <v>20</v>
      </c>
      <c r="G3787" s="5" t="s">
        <v>208</v>
      </c>
      <c r="H3787" s="5" t="s">
        <v>468</v>
      </c>
      <c r="I3787" s="5" t="s">
        <v>469</v>
      </c>
      <c r="J3787" s="5">
        <v>15.764939999999999</v>
      </c>
      <c r="K3787" s="5">
        <v>-96.142735000000002</v>
      </c>
      <c r="L3787" s="5" t="str">
        <f>HYPERLINK("https://maps.google.com/?q=15.76494,-96.142735000000002", "🔗 Ver Mapa")</f>
        <v>🔗 Ver Mapa</v>
      </c>
    </row>
    <row r="3788" spans="1:12" ht="43.5" x14ac:dyDescent="0.35">
      <c r="A3788" s="6" t="s">
        <v>288</v>
      </c>
      <c r="B3788" s="6" t="s">
        <v>289</v>
      </c>
      <c r="C3788" s="6" t="s">
        <v>751</v>
      </c>
      <c r="D3788" s="6" t="s">
        <v>745</v>
      </c>
      <c r="E3788" s="6" t="s">
        <v>17</v>
      </c>
      <c r="F3788" s="6" t="s">
        <v>20</v>
      </c>
      <c r="G3788" s="6" t="s">
        <v>208</v>
      </c>
      <c r="H3788" s="6" t="s">
        <v>468</v>
      </c>
      <c r="I3788" s="6" t="s">
        <v>469</v>
      </c>
      <c r="J3788" s="6">
        <v>15.765022999999999</v>
      </c>
      <c r="K3788" s="6">
        <v>-96.141503</v>
      </c>
      <c r="L3788" s="6" t="str">
        <f>HYPERLINK("https://maps.google.com/?q=15.765023,-96.141503", "🔗 Ver Mapa")</f>
        <v>🔗 Ver Mapa</v>
      </c>
    </row>
    <row r="3789" spans="1:12" ht="43.5" x14ac:dyDescent="0.35">
      <c r="A3789" s="5" t="s">
        <v>288</v>
      </c>
      <c r="B3789" s="5" t="s">
        <v>289</v>
      </c>
      <c r="C3789" s="5" t="s">
        <v>751</v>
      </c>
      <c r="D3789" s="5" t="s">
        <v>745</v>
      </c>
      <c r="E3789" s="5" t="s">
        <v>17</v>
      </c>
      <c r="F3789" s="5" t="s">
        <v>20</v>
      </c>
      <c r="G3789" s="5" t="s">
        <v>208</v>
      </c>
      <c r="H3789" s="5" t="s">
        <v>468</v>
      </c>
      <c r="I3789" s="5" t="s">
        <v>469</v>
      </c>
      <c r="J3789" s="5">
        <v>15.7652</v>
      </c>
      <c r="K3789" s="5">
        <v>-96.141930000000002</v>
      </c>
      <c r="L3789" s="5" t="str">
        <f>HYPERLINK("https://maps.google.com/?q=15.7652,-96.141930000000002", "🔗 Ver Mapa")</f>
        <v>🔗 Ver Mapa</v>
      </c>
    </row>
    <row r="3790" spans="1:12" ht="43.5" x14ac:dyDescent="0.35">
      <c r="A3790" s="6" t="s">
        <v>288</v>
      </c>
      <c r="B3790" s="6" t="s">
        <v>289</v>
      </c>
      <c r="C3790" s="6" t="s">
        <v>752</v>
      </c>
      <c r="D3790" s="6" t="s">
        <v>745</v>
      </c>
      <c r="E3790" s="6" t="s">
        <v>17</v>
      </c>
      <c r="F3790" s="6" t="s">
        <v>20</v>
      </c>
      <c r="G3790" s="6" t="s">
        <v>208</v>
      </c>
      <c r="H3790" s="6" t="s">
        <v>468</v>
      </c>
      <c r="I3790" s="6" t="s">
        <v>469</v>
      </c>
      <c r="J3790" s="6">
        <v>15.763383029703</v>
      </c>
      <c r="K3790" s="6">
        <v>-96.253970142309001</v>
      </c>
      <c r="L3790" s="6" t="str">
        <f>HYPERLINK("https://maps.google.com/?q=15.763383029702696,-96.253970142308873", "🔗 Ver Mapa")</f>
        <v>🔗 Ver Mapa</v>
      </c>
    </row>
    <row r="3791" spans="1:12" ht="43.5" x14ac:dyDescent="0.35">
      <c r="A3791" s="5" t="s">
        <v>288</v>
      </c>
      <c r="B3791" s="5" t="s">
        <v>289</v>
      </c>
      <c r="C3791" s="5" t="s">
        <v>752</v>
      </c>
      <c r="D3791" s="5" t="s">
        <v>745</v>
      </c>
      <c r="E3791" s="5" t="s">
        <v>17</v>
      </c>
      <c r="F3791" s="5" t="s">
        <v>20</v>
      </c>
      <c r="G3791" s="5" t="s">
        <v>208</v>
      </c>
      <c r="H3791" s="5" t="s">
        <v>468</v>
      </c>
      <c r="I3791" s="5" t="s">
        <v>469</v>
      </c>
      <c r="J3791" s="5">
        <v>15.768468537683001</v>
      </c>
      <c r="K3791" s="5">
        <v>-96.256886235124</v>
      </c>
      <c r="L3791" s="5" t="str">
        <f>HYPERLINK("https://maps.google.com/?q=15.768468537682882,-96.256886235124", "🔗 Ver Mapa")</f>
        <v>🔗 Ver Mapa</v>
      </c>
    </row>
    <row r="3792" spans="1:12" ht="43.5" x14ac:dyDescent="0.35">
      <c r="A3792" s="6" t="s">
        <v>288</v>
      </c>
      <c r="B3792" s="6" t="s">
        <v>289</v>
      </c>
      <c r="C3792" s="6" t="s">
        <v>752</v>
      </c>
      <c r="D3792" s="6" t="s">
        <v>745</v>
      </c>
      <c r="E3792" s="6" t="s">
        <v>17</v>
      </c>
      <c r="F3792" s="6" t="s">
        <v>20</v>
      </c>
      <c r="G3792" s="6" t="s">
        <v>208</v>
      </c>
      <c r="H3792" s="6" t="s">
        <v>468</v>
      </c>
      <c r="I3792" s="6" t="s">
        <v>469</v>
      </c>
      <c r="J3792" s="6">
        <v>15.768890945555</v>
      </c>
      <c r="K3792" s="6">
        <v>-96.235317400357005</v>
      </c>
      <c r="L3792" s="6" t="str">
        <f>HYPERLINK("https://maps.google.com/?q=15.768890945555327,-96.235317400357431", "🔗 Ver Mapa")</f>
        <v>🔗 Ver Mapa</v>
      </c>
    </row>
    <row r="3793" spans="1:12" ht="43.5" x14ac:dyDescent="0.35">
      <c r="A3793" s="5" t="s">
        <v>288</v>
      </c>
      <c r="B3793" s="5" t="s">
        <v>289</v>
      </c>
      <c r="C3793" s="5" t="s">
        <v>752</v>
      </c>
      <c r="D3793" s="5" t="s">
        <v>745</v>
      </c>
      <c r="E3793" s="5" t="s">
        <v>17</v>
      </c>
      <c r="F3793" s="5" t="s">
        <v>20</v>
      </c>
      <c r="G3793" s="5" t="s">
        <v>208</v>
      </c>
      <c r="H3793" s="5" t="s">
        <v>468</v>
      </c>
      <c r="I3793" s="5" t="s">
        <v>469</v>
      </c>
      <c r="J3793" s="5">
        <v>15.769293029995</v>
      </c>
      <c r="K3793" s="5">
        <v>-96.234976194726002</v>
      </c>
      <c r="L3793" s="5" t="str">
        <f>HYPERLINK("https://maps.google.com/?q=15.769293029994568,-96.234976194726144", "🔗 Ver Mapa")</f>
        <v>🔗 Ver Mapa</v>
      </c>
    </row>
    <row r="3794" spans="1:12" ht="43.5" x14ac:dyDescent="0.35">
      <c r="A3794" s="6" t="s">
        <v>288</v>
      </c>
      <c r="B3794" s="6" t="s">
        <v>289</v>
      </c>
      <c r="C3794" s="6" t="s">
        <v>752</v>
      </c>
      <c r="D3794" s="6" t="s">
        <v>745</v>
      </c>
      <c r="E3794" s="6" t="s">
        <v>17</v>
      </c>
      <c r="F3794" s="6" t="s">
        <v>20</v>
      </c>
      <c r="G3794" s="6" t="s">
        <v>208</v>
      </c>
      <c r="H3794" s="6" t="s">
        <v>468</v>
      </c>
      <c r="I3794" s="6" t="s">
        <v>469</v>
      </c>
      <c r="J3794" s="6">
        <v>15.769443695645</v>
      </c>
      <c r="K3794" s="6">
        <v>-96.234750314804003</v>
      </c>
      <c r="L3794" s="6" t="str">
        <f>HYPERLINK("https://maps.google.com/?q=15.76944369564522,-96.234750314803648", "🔗 Ver Mapa")</f>
        <v>🔗 Ver Mapa</v>
      </c>
    </row>
    <row r="3795" spans="1:12" ht="43.5" x14ac:dyDescent="0.35">
      <c r="A3795" s="5" t="s">
        <v>288</v>
      </c>
      <c r="B3795" s="5" t="s">
        <v>289</v>
      </c>
      <c r="C3795" s="5" t="s">
        <v>752</v>
      </c>
      <c r="D3795" s="5" t="s">
        <v>745</v>
      </c>
      <c r="E3795" s="5" t="s">
        <v>17</v>
      </c>
      <c r="F3795" s="5" t="s">
        <v>20</v>
      </c>
      <c r="G3795" s="5" t="s">
        <v>208</v>
      </c>
      <c r="H3795" s="5" t="s">
        <v>468</v>
      </c>
      <c r="I3795" s="5" t="s">
        <v>469</v>
      </c>
      <c r="J3795" s="5">
        <v>15.76984814977</v>
      </c>
      <c r="K3795" s="5">
        <v>-96.234595606751</v>
      </c>
      <c r="L3795" s="5" t="str">
        <f>HYPERLINK("https://maps.google.com/?q=15.76984814976972,-96.234595606751242", "🔗 Ver Mapa")</f>
        <v>🔗 Ver Mapa</v>
      </c>
    </row>
    <row r="3796" spans="1:12" ht="43.5" x14ac:dyDescent="0.35">
      <c r="A3796" s="6" t="s">
        <v>288</v>
      </c>
      <c r="B3796" s="6" t="s">
        <v>289</v>
      </c>
      <c r="C3796" s="6" t="s">
        <v>752</v>
      </c>
      <c r="D3796" s="6" t="s">
        <v>745</v>
      </c>
      <c r="E3796" s="6" t="s">
        <v>17</v>
      </c>
      <c r="F3796" s="6" t="s">
        <v>20</v>
      </c>
      <c r="G3796" s="6" t="s">
        <v>208</v>
      </c>
      <c r="H3796" s="6" t="s">
        <v>468</v>
      </c>
      <c r="I3796" s="6" t="s">
        <v>469</v>
      </c>
      <c r="J3796" s="6">
        <v>15.770199317986</v>
      </c>
      <c r="K3796" s="6">
        <v>-96.252330165744993</v>
      </c>
      <c r="L3796" s="6" t="str">
        <f>HYPERLINK("https://maps.google.com/?q=15.770199317985966,-96.252330165745121", "🔗 Ver Mapa")</f>
        <v>🔗 Ver Mapa</v>
      </c>
    </row>
    <row r="3797" spans="1:12" ht="43.5" x14ac:dyDescent="0.35">
      <c r="A3797" s="5" t="s">
        <v>288</v>
      </c>
      <c r="B3797" s="5" t="s">
        <v>289</v>
      </c>
      <c r="C3797" s="5" t="s">
        <v>752</v>
      </c>
      <c r="D3797" s="5" t="s">
        <v>745</v>
      </c>
      <c r="E3797" s="5" t="s">
        <v>17</v>
      </c>
      <c r="F3797" s="5" t="s">
        <v>20</v>
      </c>
      <c r="G3797" s="5" t="s">
        <v>208</v>
      </c>
      <c r="H3797" s="5" t="s">
        <v>468</v>
      </c>
      <c r="I3797" s="5" t="s">
        <v>469</v>
      </c>
      <c r="J3797" s="5">
        <v>15.770604655647</v>
      </c>
      <c r="K3797" s="5">
        <v>-96.234426798304995</v>
      </c>
      <c r="L3797" s="5" t="str">
        <f>HYPERLINK("https://maps.google.com/?q=15.770604655647452,-96.23442679830454", "🔗 Ver Mapa")</f>
        <v>🔗 Ver Mapa</v>
      </c>
    </row>
    <row r="3798" spans="1:12" ht="43.5" x14ac:dyDescent="0.35">
      <c r="A3798" s="6" t="s">
        <v>288</v>
      </c>
      <c r="B3798" s="6" t="s">
        <v>289</v>
      </c>
      <c r="C3798" s="6" t="s">
        <v>752</v>
      </c>
      <c r="D3798" s="6" t="s">
        <v>745</v>
      </c>
      <c r="E3798" s="6" t="s">
        <v>17</v>
      </c>
      <c r="F3798" s="6" t="s">
        <v>20</v>
      </c>
      <c r="G3798" s="6" t="s">
        <v>208</v>
      </c>
      <c r="H3798" s="6" t="s">
        <v>468</v>
      </c>
      <c r="I3798" s="6" t="s">
        <v>469</v>
      </c>
      <c r="J3798" s="6">
        <v>15.770856428989999</v>
      </c>
      <c r="K3798" s="6">
        <v>-96.234339445016005</v>
      </c>
      <c r="L3798" s="6" t="str">
        <f>HYPERLINK("https://maps.google.com/?q=15.770856428990134,-96.234339445015877", "🔗 Ver Mapa")</f>
        <v>🔗 Ver Mapa</v>
      </c>
    </row>
    <row r="3799" spans="1:12" ht="43.5" x14ac:dyDescent="0.35">
      <c r="A3799" s="5" t="s">
        <v>288</v>
      </c>
      <c r="B3799" s="5" t="s">
        <v>289</v>
      </c>
      <c r="C3799" s="5" t="s">
        <v>752</v>
      </c>
      <c r="D3799" s="5" t="s">
        <v>745</v>
      </c>
      <c r="E3799" s="5" t="s">
        <v>17</v>
      </c>
      <c r="F3799" s="5" t="s">
        <v>20</v>
      </c>
      <c r="G3799" s="5" t="s">
        <v>208</v>
      </c>
      <c r="H3799" s="5" t="s">
        <v>468</v>
      </c>
      <c r="I3799" s="5" t="s">
        <v>469</v>
      </c>
      <c r="J3799" s="5">
        <v>15.771128396407001</v>
      </c>
      <c r="K3799" s="5">
        <v>-96.234419697304006</v>
      </c>
      <c r="L3799" s="5" t="str">
        <f>HYPERLINK("https://maps.google.com/?q=15.771128396407276,-96.234419697304276", "🔗 Ver Mapa")</f>
        <v>🔗 Ver Mapa</v>
      </c>
    </row>
    <row r="3800" spans="1:12" ht="43.5" x14ac:dyDescent="0.35">
      <c r="A3800" s="6" t="s">
        <v>288</v>
      </c>
      <c r="B3800" s="6" t="s">
        <v>289</v>
      </c>
      <c r="C3800" s="6" t="s">
        <v>752</v>
      </c>
      <c r="D3800" s="6" t="s">
        <v>745</v>
      </c>
      <c r="E3800" s="6" t="s">
        <v>17</v>
      </c>
      <c r="F3800" s="6" t="s">
        <v>20</v>
      </c>
      <c r="G3800" s="6" t="s">
        <v>208</v>
      </c>
      <c r="H3800" s="6" t="s">
        <v>468</v>
      </c>
      <c r="I3800" s="6" t="s">
        <v>469</v>
      </c>
      <c r="J3800" s="6">
        <v>15.771258965941</v>
      </c>
      <c r="K3800" s="6">
        <v>-96.234744359908007</v>
      </c>
      <c r="L3800" s="6" t="str">
        <f>HYPERLINK("https://maps.google.com/?q=15.771258965941318,-96.23474435990768", "🔗 Ver Mapa")</f>
        <v>🔗 Ver Mapa</v>
      </c>
    </row>
    <row r="3801" spans="1:12" ht="43.5" x14ac:dyDescent="0.35">
      <c r="A3801" s="5" t="s">
        <v>288</v>
      </c>
      <c r="B3801" s="5" t="s">
        <v>289</v>
      </c>
      <c r="C3801" s="5" t="s">
        <v>752</v>
      </c>
      <c r="D3801" s="5" t="s">
        <v>745</v>
      </c>
      <c r="E3801" s="5" t="s">
        <v>17</v>
      </c>
      <c r="F3801" s="5" t="s">
        <v>20</v>
      </c>
      <c r="G3801" s="5" t="s">
        <v>208</v>
      </c>
      <c r="H3801" s="5" t="s">
        <v>468</v>
      </c>
      <c r="I3801" s="5" t="s">
        <v>469</v>
      </c>
      <c r="J3801" s="5">
        <v>15.771685641284</v>
      </c>
      <c r="K3801" s="5">
        <v>-96.248448856932001</v>
      </c>
      <c r="L3801" s="5" t="str">
        <f>HYPERLINK("https://maps.google.com/?q=15.771685641283556,-96.248448856931574", "🔗 Ver Mapa")</f>
        <v>🔗 Ver Mapa</v>
      </c>
    </row>
    <row r="3802" spans="1:12" ht="43.5" x14ac:dyDescent="0.35">
      <c r="A3802" s="6" t="s">
        <v>288</v>
      </c>
      <c r="B3802" s="6" t="s">
        <v>289</v>
      </c>
      <c r="C3802" s="6" t="s">
        <v>752</v>
      </c>
      <c r="D3802" s="6" t="s">
        <v>745</v>
      </c>
      <c r="E3802" s="6" t="s">
        <v>17</v>
      </c>
      <c r="F3802" s="6" t="s">
        <v>20</v>
      </c>
      <c r="G3802" s="6" t="s">
        <v>208</v>
      </c>
      <c r="H3802" s="6" t="s">
        <v>468</v>
      </c>
      <c r="I3802" s="6" t="s">
        <v>469</v>
      </c>
      <c r="J3802" s="6">
        <v>15.771723290092</v>
      </c>
      <c r="K3802" s="6">
        <v>-96.235036518672999</v>
      </c>
      <c r="L3802" s="6" t="str">
        <f>HYPERLINK("https://maps.google.com/?q=15.771723290092305,-96.235036518673311", "🔗 Ver Mapa")</f>
        <v>🔗 Ver Mapa</v>
      </c>
    </row>
    <row r="3803" spans="1:12" ht="43.5" x14ac:dyDescent="0.35">
      <c r="A3803" s="5" t="s">
        <v>288</v>
      </c>
      <c r="B3803" s="5" t="s">
        <v>289</v>
      </c>
      <c r="C3803" s="5" t="s">
        <v>752</v>
      </c>
      <c r="D3803" s="5" t="s">
        <v>745</v>
      </c>
      <c r="E3803" s="5" t="s">
        <v>17</v>
      </c>
      <c r="F3803" s="5" t="s">
        <v>20</v>
      </c>
      <c r="G3803" s="5" t="s">
        <v>208</v>
      </c>
      <c r="H3803" s="5" t="s">
        <v>468</v>
      </c>
      <c r="I3803" s="5" t="s">
        <v>469</v>
      </c>
      <c r="J3803" s="5">
        <v>15.772017284023001</v>
      </c>
      <c r="K3803" s="5">
        <v>-96.246821523617001</v>
      </c>
      <c r="L3803" s="5" t="str">
        <f>HYPERLINK("https://maps.google.com/?q=15.772017284023473,-96.246821523617157", "🔗 Ver Mapa")</f>
        <v>🔗 Ver Mapa</v>
      </c>
    </row>
    <row r="3804" spans="1:12" ht="43.5" x14ac:dyDescent="0.35">
      <c r="A3804" s="6" t="s">
        <v>288</v>
      </c>
      <c r="B3804" s="6" t="s">
        <v>289</v>
      </c>
      <c r="C3804" s="6" t="s">
        <v>752</v>
      </c>
      <c r="D3804" s="6" t="s">
        <v>745</v>
      </c>
      <c r="E3804" s="6" t="s">
        <v>17</v>
      </c>
      <c r="F3804" s="6" t="s">
        <v>20</v>
      </c>
      <c r="G3804" s="6" t="s">
        <v>208</v>
      </c>
      <c r="H3804" s="6" t="s">
        <v>468</v>
      </c>
      <c r="I3804" s="6" t="s">
        <v>469</v>
      </c>
      <c r="J3804" s="6">
        <v>15.772018285376999</v>
      </c>
      <c r="K3804" s="6">
        <v>-96.247614285994999</v>
      </c>
      <c r="L3804" s="6" t="str">
        <f>HYPERLINK("https://maps.google.com/?q=15.772018285377353,-96.247614285994672", "🔗 Ver Mapa")</f>
        <v>🔗 Ver Mapa</v>
      </c>
    </row>
    <row r="3805" spans="1:12" ht="43.5" x14ac:dyDescent="0.35">
      <c r="A3805" s="5" t="s">
        <v>288</v>
      </c>
      <c r="B3805" s="5" t="s">
        <v>289</v>
      </c>
      <c r="C3805" s="5" t="s">
        <v>752</v>
      </c>
      <c r="D3805" s="5" t="s">
        <v>745</v>
      </c>
      <c r="E3805" s="5" t="s">
        <v>17</v>
      </c>
      <c r="F3805" s="5" t="s">
        <v>20</v>
      </c>
      <c r="G3805" s="5" t="s">
        <v>208</v>
      </c>
      <c r="H3805" s="5" t="s">
        <v>468</v>
      </c>
      <c r="I3805" s="5" t="s">
        <v>469</v>
      </c>
      <c r="J3805" s="5">
        <v>15.772034930316</v>
      </c>
      <c r="K3805" s="5">
        <v>-96.246075143754993</v>
      </c>
      <c r="L3805" s="5" t="str">
        <f>HYPERLINK("https://maps.google.com/?q=15.7720349303156,-96.246075143754652", "🔗 Ver Mapa")</f>
        <v>🔗 Ver Mapa</v>
      </c>
    </row>
    <row r="3806" spans="1:12" ht="43.5" x14ac:dyDescent="0.35">
      <c r="A3806" s="6" t="s">
        <v>288</v>
      </c>
      <c r="B3806" s="6" t="s">
        <v>289</v>
      </c>
      <c r="C3806" s="6" t="s">
        <v>752</v>
      </c>
      <c r="D3806" s="6" t="s">
        <v>745</v>
      </c>
      <c r="E3806" s="6" t="s">
        <v>17</v>
      </c>
      <c r="F3806" s="6" t="s">
        <v>20</v>
      </c>
      <c r="G3806" s="6" t="s">
        <v>208</v>
      </c>
      <c r="H3806" s="6" t="s">
        <v>468</v>
      </c>
      <c r="I3806" s="6" t="s">
        <v>469</v>
      </c>
      <c r="J3806" s="6">
        <v>15.772122981557001</v>
      </c>
      <c r="K3806" s="6">
        <v>-96.235217634351997</v>
      </c>
      <c r="L3806" s="6" t="str">
        <f>HYPERLINK("https://maps.google.com/?q=15.772122981557064,-96.235217634351784", "🔗 Ver Mapa")</f>
        <v>🔗 Ver Mapa</v>
      </c>
    </row>
    <row r="3807" spans="1:12" ht="43.5" x14ac:dyDescent="0.35">
      <c r="A3807" s="5" t="s">
        <v>288</v>
      </c>
      <c r="B3807" s="5" t="s">
        <v>289</v>
      </c>
      <c r="C3807" s="5" t="s">
        <v>752</v>
      </c>
      <c r="D3807" s="5" t="s">
        <v>745</v>
      </c>
      <c r="E3807" s="5" t="s">
        <v>17</v>
      </c>
      <c r="F3807" s="5" t="s">
        <v>20</v>
      </c>
      <c r="G3807" s="5" t="s">
        <v>208</v>
      </c>
      <c r="H3807" s="5" t="s">
        <v>468</v>
      </c>
      <c r="I3807" s="5" t="s">
        <v>469</v>
      </c>
      <c r="J3807" s="5">
        <v>15.77218235622</v>
      </c>
      <c r="K3807" s="5">
        <v>-96.244879326493006</v>
      </c>
      <c r="L3807" s="5" t="str">
        <f>HYPERLINK("https://maps.google.com/?q=15.772182356219648,-96.244879326492892", "🔗 Ver Mapa")</f>
        <v>🔗 Ver Mapa</v>
      </c>
    </row>
    <row r="3808" spans="1:12" ht="43.5" x14ac:dyDescent="0.35">
      <c r="A3808" s="6" t="s">
        <v>288</v>
      </c>
      <c r="B3808" s="6" t="s">
        <v>289</v>
      </c>
      <c r="C3808" s="6" t="s">
        <v>752</v>
      </c>
      <c r="D3808" s="6" t="s">
        <v>745</v>
      </c>
      <c r="E3808" s="6" t="s">
        <v>17</v>
      </c>
      <c r="F3808" s="6" t="s">
        <v>20</v>
      </c>
      <c r="G3808" s="6" t="s">
        <v>208</v>
      </c>
      <c r="H3808" s="6" t="s">
        <v>468</v>
      </c>
      <c r="I3808" s="6" t="s">
        <v>469</v>
      </c>
      <c r="J3808" s="6">
        <v>15.772436661416</v>
      </c>
      <c r="K3808" s="6">
        <v>-96.235026847965003</v>
      </c>
      <c r="L3808" s="6" t="str">
        <f>HYPERLINK("https://maps.google.com/?q=15.772436661415954,-96.235026847964846", "🔗 Ver Mapa")</f>
        <v>🔗 Ver Mapa</v>
      </c>
    </row>
    <row r="3809" spans="1:12" ht="43.5" x14ac:dyDescent="0.35">
      <c r="A3809" s="5" t="s">
        <v>288</v>
      </c>
      <c r="B3809" s="5" t="s">
        <v>289</v>
      </c>
      <c r="C3809" s="5" t="s">
        <v>752</v>
      </c>
      <c r="D3809" s="5" t="s">
        <v>745</v>
      </c>
      <c r="E3809" s="5" t="s">
        <v>17</v>
      </c>
      <c r="F3809" s="5" t="s">
        <v>20</v>
      </c>
      <c r="G3809" s="5" t="s">
        <v>208</v>
      </c>
      <c r="H3809" s="5" t="s">
        <v>468</v>
      </c>
      <c r="I3809" s="5" t="s">
        <v>469</v>
      </c>
      <c r="J3809" s="5">
        <v>15.772587563635</v>
      </c>
      <c r="K3809" s="5">
        <v>-96.234819614409005</v>
      </c>
      <c r="L3809" s="5" t="str">
        <f>HYPERLINK("https://maps.google.com/?q=15.772587563635048,-96.234819614409062", "🔗 Ver Mapa")</f>
        <v>🔗 Ver Mapa</v>
      </c>
    </row>
    <row r="3810" spans="1:12" ht="43.5" x14ac:dyDescent="0.35">
      <c r="A3810" s="6" t="s">
        <v>288</v>
      </c>
      <c r="B3810" s="6" t="s">
        <v>289</v>
      </c>
      <c r="C3810" s="6" t="s">
        <v>752</v>
      </c>
      <c r="D3810" s="6" t="s">
        <v>745</v>
      </c>
      <c r="E3810" s="6" t="s">
        <v>17</v>
      </c>
      <c r="F3810" s="6" t="s">
        <v>20</v>
      </c>
      <c r="G3810" s="6" t="s">
        <v>208</v>
      </c>
      <c r="H3810" s="6" t="s">
        <v>468</v>
      </c>
      <c r="I3810" s="6" t="s">
        <v>469</v>
      </c>
      <c r="J3810" s="6">
        <v>15.772809520059001</v>
      </c>
      <c r="K3810" s="6">
        <v>-96.234518149867</v>
      </c>
      <c r="L3810" s="6" t="str">
        <f>HYPERLINK("https://maps.google.com/?q=15.772809520058567,-96.234518149866986", "🔗 Ver Mapa")</f>
        <v>🔗 Ver Mapa</v>
      </c>
    </row>
    <row r="3811" spans="1:12" ht="43.5" x14ac:dyDescent="0.35">
      <c r="A3811" s="5" t="s">
        <v>288</v>
      </c>
      <c r="B3811" s="5" t="s">
        <v>289</v>
      </c>
      <c r="C3811" s="5" t="s">
        <v>752</v>
      </c>
      <c r="D3811" s="5" t="s">
        <v>745</v>
      </c>
      <c r="E3811" s="5" t="s">
        <v>17</v>
      </c>
      <c r="F3811" s="5" t="s">
        <v>20</v>
      </c>
      <c r="G3811" s="5" t="s">
        <v>208</v>
      </c>
      <c r="H3811" s="5" t="s">
        <v>468</v>
      </c>
      <c r="I3811" s="5" t="s">
        <v>469</v>
      </c>
      <c r="J3811" s="5">
        <v>15.772990128162</v>
      </c>
      <c r="K3811" s="5">
        <v>-96.242340853133996</v>
      </c>
      <c r="L3811" s="5" t="str">
        <f>HYPERLINK("https://maps.google.com/?q=15.77299012816232,-96.242340853133868", "🔗 Ver Mapa")</f>
        <v>🔗 Ver Mapa</v>
      </c>
    </row>
    <row r="3812" spans="1:12" ht="43.5" x14ac:dyDescent="0.35">
      <c r="A3812" s="6" t="s">
        <v>288</v>
      </c>
      <c r="B3812" s="6" t="s">
        <v>289</v>
      </c>
      <c r="C3812" s="6" t="s">
        <v>752</v>
      </c>
      <c r="D3812" s="6" t="s">
        <v>745</v>
      </c>
      <c r="E3812" s="6" t="s">
        <v>17</v>
      </c>
      <c r="F3812" s="6" t="s">
        <v>20</v>
      </c>
      <c r="G3812" s="6" t="s">
        <v>208</v>
      </c>
      <c r="H3812" s="6" t="s">
        <v>468</v>
      </c>
      <c r="I3812" s="6" t="s">
        <v>469</v>
      </c>
      <c r="J3812" s="6">
        <v>15.773167756168</v>
      </c>
      <c r="K3812" s="6">
        <v>-96.234280123749002</v>
      </c>
      <c r="L3812" s="6" t="str">
        <f>HYPERLINK("https://maps.google.com/?q=15.773167756168396,-96.234280123749244", "🔗 Ver Mapa")</f>
        <v>🔗 Ver Mapa</v>
      </c>
    </row>
    <row r="3813" spans="1:12" ht="43.5" x14ac:dyDescent="0.35">
      <c r="A3813" s="5" t="s">
        <v>288</v>
      </c>
      <c r="B3813" s="5" t="s">
        <v>289</v>
      </c>
      <c r="C3813" s="5" t="s">
        <v>752</v>
      </c>
      <c r="D3813" s="5" t="s">
        <v>745</v>
      </c>
      <c r="E3813" s="5" t="s">
        <v>17</v>
      </c>
      <c r="F3813" s="5" t="s">
        <v>20</v>
      </c>
      <c r="G3813" s="5" t="s">
        <v>208</v>
      </c>
      <c r="H3813" s="5" t="s">
        <v>468</v>
      </c>
      <c r="I3813" s="5" t="s">
        <v>469</v>
      </c>
      <c r="J3813" s="5">
        <v>15.773399403982999</v>
      </c>
      <c r="K3813" s="5">
        <v>-96.241141488493</v>
      </c>
      <c r="L3813" s="5" t="str">
        <f>HYPERLINK("https://maps.google.com/?q=15.773399403983168,-96.241141488492843", "🔗 Ver Mapa")</f>
        <v>🔗 Ver Mapa</v>
      </c>
    </row>
    <row r="3814" spans="1:12" ht="43.5" x14ac:dyDescent="0.35">
      <c r="A3814" s="6" t="s">
        <v>288</v>
      </c>
      <c r="B3814" s="6" t="s">
        <v>289</v>
      </c>
      <c r="C3814" s="6" t="s">
        <v>752</v>
      </c>
      <c r="D3814" s="6" t="s">
        <v>745</v>
      </c>
      <c r="E3814" s="6" t="s">
        <v>17</v>
      </c>
      <c r="F3814" s="6" t="s">
        <v>20</v>
      </c>
      <c r="G3814" s="6" t="s">
        <v>208</v>
      </c>
      <c r="H3814" s="6" t="s">
        <v>468</v>
      </c>
      <c r="I3814" s="6" t="s">
        <v>469</v>
      </c>
      <c r="J3814" s="6">
        <v>15.773412870813999</v>
      </c>
      <c r="K3814" s="6">
        <v>-96.234379393992</v>
      </c>
      <c r="L3814" s="6" t="str">
        <f>HYPERLINK("https://maps.google.com/?q=15.77341287081371,-96.234379393992441", "🔗 Ver Mapa")</f>
        <v>🔗 Ver Mapa</v>
      </c>
    </row>
    <row r="3815" spans="1:12" ht="43.5" x14ac:dyDescent="0.35">
      <c r="A3815" s="5" t="s">
        <v>288</v>
      </c>
      <c r="B3815" s="5" t="s">
        <v>289</v>
      </c>
      <c r="C3815" s="5" t="s">
        <v>752</v>
      </c>
      <c r="D3815" s="5" t="s">
        <v>745</v>
      </c>
      <c r="E3815" s="5" t="s">
        <v>17</v>
      </c>
      <c r="F3815" s="5" t="s">
        <v>20</v>
      </c>
      <c r="G3815" s="5" t="s">
        <v>208</v>
      </c>
      <c r="H3815" s="5" t="s">
        <v>468</v>
      </c>
      <c r="I3815" s="5" t="s">
        <v>469</v>
      </c>
      <c r="J3815" s="5">
        <v>15.773617465888</v>
      </c>
      <c r="K3815" s="5">
        <v>-96.240532296257996</v>
      </c>
      <c r="L3815" s="5" t="str">
        <f>HYPERLINK("https://maps.google.com/?q=15.773617465887744,-96.240532296257911", "🔗 Ver Mapa")</f>
        <v>🔗 Ver Mapa</v>
      </c>
    </row>
    <row r="3816" spans="1:12" ht="43.5" x14ac:dyDescent="0.35">
      <c r="A3816" s="6" t="s">
        <v>288</v>
      </c>
      <c r="B3816" s="6" t="s">
        <v>289</v>
      </c>
      <c r="C3816" s="6" t="s">
        <v>752</v>
      </c>
      <c r="D3816" s="6" t="s">
        <v>745</v>
      </c>
      <c r="E3816" s="6" t="s">
        <v>17</v>
      </c>
      <c r="F3816" s="6" t="s">
        <v>20</v>
      </c>
      <c r="G3816" s="6" t="s">
        <v>208</v>
      </c>
      <c r="H3816" s="6" t="s">
        <v>468</v>
      </c>
      <c r="I3816" s="6" t="s">
        <v>469</v>
      </c>
      <c r="J3816" s="6">
        <v>15.773677705481999</v>
      </c>
      <c r="K3816" s="6">
        <v>-96.234608971743995</v>
      </c>
      <c r="L3816" s="6" t="str">
        <f>HYPERLINK("https://maps.google.com/?q=15.773677705481708,-96.234608971743924", "🔗 Ver Mapa")</f>
        <v>🔗 Ver Mapa</v>
      </c>
    </row>
    <row r="3817" spans="1:12" ht="43.5" x14ac:dyDescent="0.35">
      <c r="A3817" s="5" t="s">
        <v>288</v>
      </c>
      <c r="B3817" s="5" t="s">
        <v>289</v>
      </c>
      <c r="C3817" s="5" t="s">
        <v>752</v>
      </c>
      <c r="D3817" s="5" t="s">
        <v>745</v>
      </c>
      <c r="E3817" s="5" t="s">
        <v>17</v>
      </c>
      <c r="F3817" s="5" t="s">
        <v>20</v>
      </c>
      <c r="G3817" s="5" t="s">
        <v>208</v>
      </c>
      <c r="H3817" s="5" t="s">
        <v>468</v>
      </c>
      <c r="I3817" s="5" t="s">
        <v>469</v>
      </c>
      <c r="J3817" s="5">
        <v>15.773890019732001</v>
      </c>
      <c r="K3817" s="5">
        <v>-96.234969837091</v>
      </c>
      <c r="L3817" s="5" t="str">
        <f>HYPERLINK("https://maps.google.com/?q=15.773890019731871,-96.234969837091015", "🔗 Ver Mapa")</f>
        <v>🔗 Ver Mapa</v>
      </c>
    </row>
    <row r="3818" spans="1:12" ht="43.5" x14ac:dyDescent="0.35">
      <c r="A3818" s="6" t="s">
        <v>288</v>
      </c>
      <c r="B3818" s="6" t="s">
        <v>289</v>
      </c>
      <c r="C3818" s="6" t="s">
        <v>752</v>
      </c>
      <c r="D3818" s="6" t="s">
        <v>745</v>
      </c>
      <c r="E3818" s="6" t="s">
        <v>17</v>
      </c>
      <c r="F3818" s="6" t="s">
        <v>20</v>
      </c>
      <c r="G3818" s="6" t="s">
        <v>208</v>
      </c>
      <c r="H3818" s="6" t="s">
        <v>468</v>
      </c>
      <c r="I3818" s="6" t="s">
        <v>469</v>
      </c>
      <c r="J3818" s="6">
        <v>15.773979923081001</v>
      </c>
      <c r="K3818" s="6">
        <v>-96.239202984038997</v>
      </c>
      <c r="L3818" s="6" t="str">
        <f>HYPERLINK("https://maps.google.com/?q=15.773979923080974,-96.239202984038627", "🔗 Ver Mapa")</f>
        <v>🔗 Ver Mapa</v>
      </c>
    </row>
    <row r="3819" spans="1:12" ht="43.5" x14ac:dyDescent="0.35">
      <c r="A3819" s="5" t="s">
        <v>288</v>
      </c>
      <c r="B3819" s="5" t="s">
        <v>289</v>
      </c>
      <c r="C3819" s="5" t="s">
        <v>752</v>
      </c>
      <c r="D3819" s="5" t="s">
        <v>745</v>
      </c>
      <c r="E3819" s="5" t="s">
        <v>17</v>
      </c>
      <c r="F3819" s="5" t="s">
        <v>20</v>
      </c>
      <c r="G3819" s="5" t="s">
        <v>208</v>
      </c>
      <c r="H3819" s="5" t="s">
        <v>468</v>
      </c>
      <c r="I3819" s="5" t="s">
        <v>469</v>
      </c>
      <c r="J3819" s="5">
        <v>15.774078988271</v>
      </c>
      <c r="K3819" s="5">
        <v>-96.237047150132</v>
      </c>
      <c r="L3819" s="5" t="str">
        <f>HYPERLINK("https://maps.google.com/?q=15.77407898827064,-96.237047150132184", "🔗 Ver Mapa")</f>
        <v>🔗 Ver Mapa</v>
      </c>
    </row>
    <row r="3820" spans="1:12" ht="43.5" x14ac:dyDescent="0.35">
      <c r="A3820" s="6" t="s">
        <v>288</v>
      </c>
      <c r="B3820" s="6" t="s">
        <v>289</v>
      </c>
      <c r="C3820" s="6" t="s">
        <v>752</v>
      </c>
      <c r="D3820" s="6" t="s">
        <v>745</v>
      </c>
      <c r="E3820" s="6" t="s">
        <v>17</v>
      </c>
      <c r="F3820" s="6" t="s">
        <v>20</v>
      </c>
      <c r="G3820" s="6" t="s">
        <v>208</v>
      </c>
      <c r="H3820" s="6" t="s">
        <v>468</v>
      </c>
      <c r="I3820" s="6" t="s">
        <v>469</v>
      </c>
      <c r="J3820" s="6">
        <v>15.774101994757</v>
      </c>
      <c r="K3820" s="6">
        <v>-96.238147401560994</v>
      </c>
      <c r="L3820" s="6" t="str">
        <f>HYPERLINK("https://maps.google.com/?q=15.774101994756728,-96.23814740156071", "🔗 Ver Mapa")</f>
        <v>🔗 Ver Mapa</v>
      </c>
    </row>
    <row r="3821" spans="1:12" ht="43.5" x14ac:dyDescent="0.35">
      <c r="A3821" s="5" t="s">
        <v>288</v>
      </c>
      <c r="B3821" s="5" t="s">
        <v>289</v>
      </c>
      <c r="C3821" s="5" t="s">
        <v>752</v>
      </c>
      <c r="D3821" s="5" t="s">
        <v>745</v>
      </c>
      <c r="E3821" s="5" t="s">
        <v>17</v>
      </c>
      <c r="F3821" s="5" t="s">
        <v>20</v>
      </c>
      <c r="G3821" s="5" t="s">
        <v>208</v>
      </c>
      <c r="H3821" s="5" t="s">
        <v>468</v>
      </c>
      <c r="I3821" s="5" t="s">
        <v>469</v>
      </c>
      <c r="J3821" s="5">
        <v>15.774136438297001</v>
      </c>
      <c r="K3821" s="5">
        <v>-96.235171685443007</v>
      </c>
      <c r="L3821" s="5" t="str">
        <f>HYPERLINK("https://maps.google.com/?q=15.774136438297203,-96.23517168544295", "🔗 Ver Mapa")</f>
        <v>🔗 Ver Mapa</v>
      </c>
    </row>
    <row r="3822" spans="1:12" ht="43.5" x14ac:dyDescent="0.35">
      <c r="A3822" s="6" t="s">
        <v>288</v>
      </c>
      <c r="B3822" s="6" t="s">
        <v>289</v>
      </c>
      <c r="C3822" s="6" t="s">
        <v>752</v>
      </c>
      <c r="D3822" s="6" t="s">
        <v>745</v>
      </c>
      <c r="E3822" s="6" t="s">
        <v>17</v>
      </c>
      <c r="F3822" s="6" t="s">
        <v>20</v>
      </c>
      <c r="G3822" s="6" t="s">
        <v>208</v>
      </c>
      <c r="H3822" s="6" t="s">
        <v>468</v>
      </c>
      <c r="I3822" s="6" t="s">
        <v>469</v>
      </c>
      <c r="J3822" s="6">
        <v>15.774179077955999</v>
      </c>
      <c r="K3822" s="6">
        <v>-96.235684081082994</v>
      </c>
      <c r="L3822" s="6" t="str">
        <f>HYPERLINK("https://maps.google.com/?q=15.774179077956218,-96.235684081083136", "🔗 Ver Mapa")</f>
        <v>🔗 Ver Mapa</v>
      </c>
    </row>
    <row r="3823" spans="1:12" ht="29" x14ac:dyDescent="0.35">
      <c r="A3823" s="5" t="s">
        <v>753</v>
      </c>
      <c r="B3823" s="5" t="s">
        <v>754</v>
      </c>
      <c r="C3823" s="5" t="s">
        <v>755</v>
      </c>
      <c r="D3823" s="5" t="s">
        <v>69</v>
      </c>
      <c r="E3823" s="5" t="s">
        <v>324</v>
      </c>
      <c r="F3823" s="5" t="s">
        <v>325</v>
      </c>
      <c r="G3823" s="5" t="s">
        <v>326</v>
      </c>
      <c r="H3823" s="5" t="s">
        <v>327</v>
      </c>
      <c r="I3823" s="5" t="s">
        <v>31</v>
      </c>
      <c r="J3823" s="5">
        <v>16.327550975453999</v>
      </c>
      <c r="K3823" s="5">
        <v>-96.592991411045006</v>
      </c>
      <c r="L3823" s="5" t="str">
        <f>HYPERLINK("https://maps.google.com/?q=16.327550975454134,-96.59299141104508", "🔗 Ver Mapa")</f>
        <v>🔗 Ver Mapa</v>
      </c>
    </row>
    <row r="3824" spans="1:12" ht="29" x14ac:dyDescent="0.35">
      <c r="A3824" s="6" t="s">
        <v>753</v>
      </c>
      <c r="B3824" s="6" t="s">
        <v>754</v>
      </c>
      <c r="C3824" s="6" t="s">
        <v>755</v>
      </c>
      <c r="D3824" s="6" t="s">
        <v>69</v>
      </c>
      <c r="E3824" s="6" t="s">
        <v>324</v>
      </c>
      <c r="F3824" s="6" t="s">
        <v>325</v>
      </c>
      <c r="G3824" s="6" t="s">
        <v>326</v>
      </c>
      <c r="H3824" s="6" t="s">
        <v>327</v>
      </c>
      <c r="I3824" s="6" t="s">
        <v>31</v>
      </c>
      <c r="J3824" s="6">
        <v>16.341113171978002</v>
      </c>
      <c r="K3824" s="6">
        <v>-98.051507159568999</v>
      </c>
      <c r="L3824" s="6" t="str">
        <f>HYPERLINK("https://maps.google.com/?q=16.341113171977717,-98.05150715956924", "🔗 Ver Mapa")</f>
        <v>🔗 Ver Mapa</v>
      </c>
    </row>
    <row r="3825" spans="1:12" ht="29" x14ac:dyDescent="0.35">
      <c r="A3825" s="5" t="s">
        <v>753</v>
      </c>
      <c r="B3825" s="5" t="s">
        <v>754</v>
      </c>
      <c r="C3825" s="5" t="s">
        <v>755</v>
      </c>
      <c r="D3825" s="5" t="s">
        <v>69</v>
      </c>
      <c r="E3825" s="5" t="s">
        <v>324</v>
      </c>
      <c r="F3825" s="5" t="s">
        <v>325</v>
      </c>
      <c r="G3825" s="5" t="s">
        <v>326</v>
      </c>
      <c r="H3825" s="5" t="s">
        <v>327</v>
      </c>
      <c r="I3825" s="5" t="s">
        <v>31</v>
      </c>
      <c r="J3825" s="5">
        <v>16.486021780000002</v>
      </c>
      <c r="K3825" s="5">
        <v>-95.042932289999996</v>
      </c>
      <c r="L3825" s="5" t="str">
        <f>HYPERLINK("https://maps.google.com/?q=16.48602178,-95.04293229", "🔗 Ver Mapa")</f>
        <v>🔗 Ver Mapa</v>
      </c>
    </row>
    <row r="3826" spans="1:12" ht="29" x14ac:dyDescent="0.35">
      <c r="A3826" s="6" t="s">
        <v>753</v>
      </c>
      <c r="B3826" s="6" t="s">
        <v>754</v>
      </c>
      <c r="C3826" s="6" t="s">
        <v>755</v>
      </c>
      <c r="D3826" s="6" t="s">
        <v>69</v>
      </c>
      <c r="E3826" s="6" t="s">
        <v>324</v>
      </c>
      <c r="F3826" s="6" t="s">
        <v>325</v>
      </c>
      <c r="G3826" s="6" t="s">
        <v>326</v>
      </c>
      <c r="H3826" s="6" t="s">
        <v>327</v>
      </c>
      <c r="I3826" s="6" t="s">
        <v>31</v>
      </c>
      <c r="J3826" s="6">
        <v>16.963027</v>
      </c>
      <c r="K3826" s="6">
        <v>-96.191467299999999</v>
      </c>
      <c r="L3826" s="6" t="str">
        <f>HYPERLINK("https://maps.google.com/?q=16.963027,-96.1914673", "🔗 Ver Mapa")</f>
        <v>🔗 Ver Mapa</v>
      </c>
    </row>
    <row r="3827" spans="1:12" ht="29" x14ac:dyDescent="0.35">
      <c r="A3827" s="5" t="s">
        <v>753</v>
      </c>
      <c r="B3827" s="5" t="s">
        <v>754</v>
      </c>
      <c r="C3827" s="5" t="s">
        <v>755</v>
      </c>
      <c r="D3827" s="5" t="s">
        <v>69</v>
      </c>
      <c r="E3827" s="5" t="s">
        <v>324</v>
      </c>
      <c r="F3827" s="5" t="s">
        <v>325</v>
      </c>
      <c r="G3827" s="5" t="s">
        <v>326</v>
      </c>
      <c r="H3827" s="5" t="s">
        <v>327</v>
      </c>
      <c r="I3827" s="5" t="s">
        <v>31</v>
      </c>
      <c r="J3827" s="5">
        <v>17.072225929999998</v>
      </c>
      <c r="K3827" s="5">
        <v>-96.713392260000006</v>
      </c>
      <c r="L3827" s="5" t="str">
        <f>HYPERLINK("https://maps.google.com/?q=17.07222593,-96.71339226", "🔗 Ver Mapa")</f>
        <v>🔗 Ver Mapa</v>
      </c>
    </row>
    <row r="3828" spans="1:12" ht="29" x14ac:dyDescent="0.35">
      <c r="A3828" s="6" t="s">
        <v>753</v>
      </c>
      <c r="B3828" s="6" t="s">
        <v>754</v>
      </c>
      <c r="C3828" s="6" t="s">
        <v>755</v>
      </c>
      <c r="D3828" s="6" t="s">
        <v>69</v>
      </c>
      <c r="E3828" s="6" t="s">
        <v>324</v>
      </c>
      <c r="F3828" s="6" t="s">
        <v>325</v>
      </c>
      <c r="G3828" s="6" t="s">
        <v>326</v>
      </c>
      <c r="H3828" s="6" t="s">
        <v>327</v>
      </c>
      <c r="I3828" s="6" t="s">
        <v>31</v>
      </c>
      <c r="J3828" s="6">
        <v>17.276407807674001</v>
      </c>
      <c r="K3828" s="6">
        <v>-97.673483201744006</v>
      </c>
      <c r="L3828" s="6" t="str">
        <f>HYPERLINK("https://maps.google.com/?q=17.276407807673603,-97.67348320174408", "🔗 Ver Mapa")</f>
        <v>🔗 Ver Mapa</v>
      </c>
    </row>
    <row r="3829" spans="1:12" ht="29" x14ac:dyDescent="0.35">
      <c r="A3829" s="5" t="s">
        <v>753</v>
      </c>
      <c r="B3829" s="5" t="s">
        <v>754</v>
      </c>
      <c r="C3829" s="5" t="s">
        <v>755</v>
      </c>
      <c r="D3829" s="5" t="s">
        <v>69</v>
      </c>
      <c r="E3829" s="5" t="s">
        <v>324</v>
      </c>
      <c r="F3829" s="5" t="s">
        <v>325</v>
      </c>
      <c r="G3829" s="5" t="s">
        <v>326</v>
      </c>
      <c r="H3829" s="5" t="s">
        <v>327</v>
      </c>
      <c r="I3829" s="5" t="s">
        <v>31</v>
      </c>
      <c r="J3829" s="5">
        <v>17.797729740000001</v>
      </c>
      <c r="K3829" s="5">
        <v>-96.963203449999995</v>
      </c>
      <c r="L3829" s="5" t="str">
        <f>HYPERLINK("https://maps.google.com/?q=17.79772974,-96.96320345", "🔗 Ver Mapa")</f>
        <v>🔗 Ver Mapa</v>
      </c>
    </row>
    <row r="3830" spans="1:12" ht="29" x14ac:dyDescent="0.35">
      <c r="A3830" s="6" t="s">
        <v>753</v>
      </c>
      <c r="B3830" s="6" t="s">
        <v>754</v>
      </c>
      <c r="C3830" s="6" t="s">
        <v>755</v>
      </c>
      <c r="D3830" s="6" t="s">
        <v>69</v>
      </c>
      <c r="E3830" s="6" t="s">
        <v>324</v>
      </c>
      <c r="F3830" s="6" t="s">
        <v>325</v>
      </c>
      <c r="G3830" s="6" t="s">
        <v>326</v>
      </c>
      <c r="H3830" s="6" t="s">
        <v>327</v>
      </c>
      <c r="I3830" s="6" t="s">
        <v>31</v>
      </c>
      <c r="J3830" s="6">
        <v>17.8006429</v>
      </c>
      <c r="K3830" s="6">
        <v>-97.779163800000006</v>
      </c>
      <c r="L3830" s="6" t="str">
        <f>HYPERLINK("https://maps.google.com/?q=17.8006429,-97.7791638", "🔗 Ver Mapa")</f>
        <v>🔗 Ver Mapa</v>
      </c>
    </row>
    <row r="3831" spans="1:12" ht="29" x14ac:dyDescent="0.35">
      <c r="A3831" s="5" t="s">
        <v>753</v>
      </c>
      <c r="B3831" s="5" t="s">
        <v>754</v>
      </c>
      <c r="C3831" s="5" t="s">
        <v>755</v>
      </c>
      <c r="D3831" s="5" t="s">
        <v>69</v>
      </c>
      <c r="E3831" s="5" t="s">
        <v>324</v>
      </c>
      <c r="F3831" s="5" t="s">
        <v>325</v>
      </c>
      <c r="G3831" s="5" t="s">
        <v>326</v>
      </c>
      <c r="H3831" s="5" t="s">
        <v>327</v>
      </c>
      <c r="I3831" s="5" t="s">
        <v>31</v>
      </c>
      <c r="J3831" s="5">
        <v>18.087053105944001</v>
      </c>
      <c r="K3831" s="5">
        <v>-96.110920868717002</v>
      </c>
      <c r="L3831" s="5" t="str">
        <f>HYPERLINK("https://maps.google.com/?q=18.087053105944285,-96.1109208687172", "🔗 Ver Mapa")</f>
        <v>🔗 Ver Mapa</v>
      </c>
    </row>
    <row r="3832" spans="1:12" ht="29" x14ac:dyDescent="0.35">
      <c r="A3832" s="6" t="s">
        <v>753</v>
      </c>
      <c r="B3832" s="6" t="s">
        <v>754</v>
      </c>
      <c r="C3832" s="6" t="s">
        <v>755</v>
      </c>
      <c r="D3832" s="6" t="s">
        <v>69</v>
      </c>
      <c r="E3832" s="6" t="s">
        <v>324</v>
      </c>
      <c r="F3832" s="6" t="s">
        <v>325</v>
      </c>
      <c r="G3832" s="6" t="s">
        <v>326</v>
      </c>
      <c r="H3832" s="6" t="s">
        <v>327</v>
      </c>
      <c r="I3832" s="6" t="s">
        <v>31</v>
      </c>
      <c r="J3832" s="6">
        <v>18.130615132071998</v>
      </c>
      <c r="K3832" s="6">
        <v>-96.843083163399996</v>
      </c>
      <c r="L3832" s="6" t="str">
        <f>HYPERLINK("https://maps.google.com/?q=18.130615132072464,-96.84308316339978", "🔗 Ver Mapa")</f>
        <v>🔗 Ver Mapa</v>
      </c>
    </row>
    <row r="3833" spans="1:12" ht="58" x14ac:dyDescent="0.35">
      <c r="A3833" s="5" t="s">
        <v>73</v>
      </c>
      <c r="B3833" s="5" t="s">
        <v>74</v>
      </c>
      <c r="C3833" s="5" t="s">
        <v>756</v>
      </c>
      <c r="D3833" s="5" t="s">
        <v>76</v>
      </c>
      <c r="E3833" s="5" t="s">
        <v>16</v>
      </c>
      <c r="F3833" s="5" t="s">
        <v>21</v>
      </c>
      <c r="G3833" s="5" t="s">
        <v>655</v>
      </c>
      <c r="H3833" s="5" t="s">
        <v>656</v>
      </c>
      <c r="I3833" s="5" t="s">
        <v>31</v>
      </c>
      <c r="J3833" s="5">
        <v>17.307082717503999</v>
      </c>
      <c r="K3833" s="5">
        <v>-97.486661804893998</v>
      </c>
      <c r="L3833" s="5" t="str">
        <f>HYPERLINK("https://maps.google.com/?q=17.307082717503665,-97.48666180489404", "🔗 Ver Mapa")</f>
        <v>🔗 Ver Mapa</v>
      </c>
    </row>
    <row r="3834" spans="1:12" ht="43.5" x14ac:dyDescent="0.35">
      <c r="A3834" s="6" t="s">
        <v>288</v>
      </c>
      <c r="B3834" s="6" t="s">
        <v>289</v>
      </c>
      <c r="C3834" s="6" t="s">
        <v>757</v>
      </c>
      <c r="D3834" s="6" t="s">
        <v>600</v>
      </c>
      <c r="E3834" s="6" t="s">
        <v>16</v>
      </c>
      <c r="F3834" s="6" t="s">
        <v>195</v>
      </c>
      <c r="G3834" s="6" t="s">
        <v>758</v>
      </c>
      <c r="H3834" s="6" t="s">
        <v>759</v>
      </c>
      <c r="I3834" s="6" t="s">
        <v>31</v>
      </c>
      <c r="J3834" s="6">
        <v>17.611022306342001</v>
      </c>
      <c r="K3834" s="6">
        <v>-98.015504792659996</v>
      </c>
      <c r="L3834" s="6" t="str">
        <f>HYPERLINK("https://maps.google.com/?q=17.611022306341848,-98.01550479265975", "🔗 Ver Mapa")</f>
        <v>🔗 Ver Mapa</v>
      </c>
    </row>
    <row r="3835" spans="1:12" ht="43.5" x14ac:dyDescent="0.35">
      <c r="A3835" s="5" t="s">
        <v>309</v>
      </c>
      <c r="B3835" s="5" t="s">
        <v>310</v>
      </c>
      <c r="C3835" s="5" t="s">
        <v>760</v>
      </c>
      <c r="D3835" s="5" t="s">
        <v>312</v>
      </c>
      <c r="E3835" s="5" t="s">
        <v>52</v>
      </c>
      <c r="F3835" s="5" t="s">
        <v>70</v>
      </c>
      <c r="G3835" s="5" t="s">
        <v>272</v>
      </c>
      <c r="H3835" s="5" t="s">
        <v>320</v>
      </c>
      <c r="I3835" s="5" t="s">
        <v>31</v>
      </c>
      <c r="J3835" s="5">
        <v>16.909980699999998</v>
      </c>
      <c r="K3835" s="5" t="s">
        <v>761</v>
      </c>
      <c r="L3835" s="5" t="str">
        <f>HYPERLINK("https://maps.google.com/?q=16.9099807,	-96.720373", "🔗 Ver Mapa")</f>
        <v>🔗 Ver Mapa</v>
      </c>
    </row>
    <row r="3836" spans="1:12" ht="43.5" x14ac:dyDescent="0.35">
      <c r="A3836" s="6" t="s">
        <v>309</v>
      </c>
      <c r="B3836" s="6" t="s">
        <v>310</v>
      </c>
      <c r="C3836" s="6" t="s">
        <v>762</v>
      </c>
      <c r="D3836" s="6" t="s">
        <v>763</v>
      </c>
      <c r="E3836" s="6" t="s">
        <v>52</v>
      </c>
      <c r="F3836" s="6" t="s">
        <v>70</v>
      </c>
      <c r="G3836" s="6" t="s">
        <v>123</v>
      </c>
      <c r="H3836" s="6" t="s">
        <v>307</v>
      </c>
      <c r="I3836" s="6" t="s">
        <v>31</v>
      </c>
      <c r="J3836" s="6">
        <v>17.015324</v>
      </c>
      <c r="K3836" s="6">
        <v>-96.720685000000003</v>
      </c>
      <c r="L3836" s="6" t="str">
        <f>HYPERLINK("https://maps.google.com/?q=17.015324,-96.720685", "🔗 Ver Mapa")</f>
        <v>🔗 Ver Mapa</v>
      </c>
    </row>
    <row r="3837" spans="1:12" ht="72.5" x14ac:dyDescent="0.35">
      <c r="A3837" s="5" t="s">
        <v>309</v>
      </c>
      <c r="B3837" s="5" t="s">
        <v>310</v>
      </c>
      <c r="C3837" s="5" t="s">
        <v>764</v>
      </c>
      <c r="D3837" s="5" t="s">
        <v>312</v>
      </c>
      <c r="E3837" s="5" t="s">
        <v>52</v>
      </c>
      <c r="F3837" s="5" t="s">
        <v>70</v>
      </c>
      <c r="G3837" s="5" t="s">
        <v>272</v>
      </c>
      <c r="H3837" s="5" t="s">
        <v>320</v>
      </c>
      <c r="I3837" s="5" t="s">
        <v>31</v>
      </c>
      <c r="J3837" s="5">
        <v>16.909980699999998</v>
      </c>
      <c r="K3837" s="5">
        <v>-96.720372999999995</v>
      </c>
      <c r="L3837" s="5" t="str">
        <f>HYPERLINK("https://maps.google.com/?q=16.9099807,-96.720373", "🔗 Ver Mapa")</f>
        <v>🔗 Ver Mapa</v>
      </c>
    </row>
    <row r="3838" spans="1:12" ht="29" x14ac:dyDescent="0.35">
      <c r="A3838" s="6" t="s">
        <v>396</v>
      </c>
      <c r="B3838" s="6" t="s">
        <v>397</v>
      </c>
      <c r="C3838" s="6" t="s">
        <v>765</v>
      </c>
      <c r="D3838" s="6" t="s">
        <v>399</v>
      </c>
      <c r="E3838" s="6" t="s">
        <v>158</v>
      </c>
      <c r="F3838" s="6" t="s">
        <v>159</v>
      </c>
      <c r="G3838" s="6" t="s">
        <v>766</v>
      </c>
      <c r="H3838" s="6" t="s">
        <v>767</v>
      </c>
      <c r="I3838" s="6" t="s">
        <v>31</v>
      </c>
      <c r="J3838" s="6">
        <v>16.568485830183999</v>
      </c>
      <c r="K3838" s="6">
        <v>-95.098409283422001</v>
      </c>
      <c r="L3838" s="6" t="str">
        <f>HYPERLINK("https://maps.google.com/?q=16.56848583018411,-95.09840928342153", "🔗 Ver Mapa")</f>
        <v>🔗 Ver Mapa</v>
      </c>
    </row>
    <row r="3839" spans="1:12" ht="43.5" x14ac:dyDescent="0.35">
      <c r="A3839" s="5" t="s">
        <v>98</v>
      </c>
      <c r="B3839" s="5" t="s">
        <v>99</v>
      </c>
      <c r="C3839" s="5" t="s">
        <v>768</v>
      </c>
      <c r="D3839" s="5" t="s">
        <v>14</v>
      </c>
      <c r="E3839" s="5" t="s">
        <v>90</v>
      </c>
      <c r="F3839" s="5" t="s">
        <v>91</v>
      </c>
      <c r="G3839" s="5" t="s">
        <v>769</v>
      </c>
      <c r="H3839" s="5" t="s">
        <v>770</v>
      </c>
      <c r="I3839" s="5" t="s">
        <v>31</v>
      </c>
      <c r="J3839" s="5">
        <v>17.110405915363</v>
      </c>
      <c r="K3839" s="5">
        <v>-95.942155874256997</v>
      </c>
      <c r="L3839" s="5" t="str">
        <f>HYPERLINK("https://maps.google.com/?q=17.1104059153634,-95.942155874256997", "🔗 Ver Mapa")</f>
        <v>🔗 Ver Mapa</v>
      </c>
    </row>
    <row r="3840" spans="1:12" ht="43.5" x14ac:dyDescent="0.35">
      <c r="A3840" s="6" t="s">
        <v>98</v>
      </c>
      <c r="B3840" s="6" t="s">
        <v>99</v>
      </c>
      <c r="C3840" s="6" t="s">
        <v>768</v>
      </c>
      <c r="D3840" s="6" t="s">
        <v>14</v>
      </c>
      <c r="E3840" s="6" t="s">
        <v>90</v>
      </c>
      <c r="F3840" s="6" t="s">
        <v>91</v>
      </c>
      <c r="G3840" s="6" t="s">
        <v>769</v>
      </c>
      <c r="H3840" s="6" t="s">
        <v>770</v>
      </c>
      <c r="I3840" s="6" t="s">
        <v>31</v>
      </c>
      <c r="J3840" s="6">
        <v>17.111068216827999</v>
      </c>
      <c r="K3840" s="6">
        <v>-95.942057178979994</v>
      </c>
      <c r="L3840" s="6" t="str">
        <f>HYPERLINK("https://maps.google.com/?q=17.1110682168281,-95.942057178979695", "🔗 Ver Mapa")</f>
        <v>🔗 Ver Mapa</v>
      </c>
    </row>
    <row r="3841" spans="1:12" ht="43.5" x14ac:dyDescent="0.35">
      <c r="A3841" s="5" t="s">
        <v>98</v>
      </c>
      <c r="B3841" s="5" t="s">
        <v>99</v>
      </c>
      <c r="C3841" s="5" t="s">
        <v>768</v>
      </c>
      <c r="D3841" s="5" t="s">
        <v>14</v>
      </c>
      <c r="E3841" s="5" t="s">
        <v>90</v>
      </c>
      <c r="F3841" s="5" t="s">
        <v>91</v>
      </c>
      <c r="G3841" s="5" t="s">
        <v>769</v>
      </c>
      <c r="H3841" s="5" t="s">
        <v>770</v>
      </c>
      <c r="I3841" s="5" t="s">
        <v>31</v>
      </c>
      <c r="J3841" s="5">
        <v>17.111344627712</v>
      </c>
      <c r="K3841" s="5">
        <v>-95.943965089480002</v>
      </c>
      <c r="L3841" s="5" t="str">
        <f>HYPERLINK("https://maps.google.com/?q=17.111344627712,-95.943965089480002", "🔗 Ver Mapa")</f>
        <v>🔗 Ver Mapa</v>
      </c>
    </row>
    <row r="3842" spans="1:12" ht="43.5" x14ac:dyDescent="0.35">
      <c r="A3842" s="6" t="s">
        <v>98</v>
      </c>
      <c r="B3842" s="6" t="s">
        <v>99</v>
      </c>
      <c r="C3842" s="6" t="s">
        <v>768</v>
      </c>
      <c r="D3842" s="6" t="s">
        <v>14</v>
      </c>
      <c r="E3842" s="6" t="s">
        <v>90</v>
      </c>
      <c r="F3842" s="6" t="s">
        <v>91</v>
      </c>
      <c r="G3842" s="6" t="s">
        <v>769</v>
      </c>
      <c r="H3842" s="6" t="s">
        <v>770</v>
      </c>
      <c r="I3842" s="6" t="s">
        <v>31</v>
      </c>
      <c r="J3842" s="6">
        <v>17.112311070895</v>
      </c>
      <c r="K3842" s="6">
        <v>-95.943826555591997</v>
      </c>
      <c r="L3842" s="6" t="str">
        <f>HYPERLINK("https://maps.google.com/?q=17.1123110708952,-95.943826555591698", "🔗 Ver Mapa")</f>
        <v>🔗 Ver Mapa</v>
      </c>
    </row>
    <row r="3843" spans="1:12" ht="43.5" x14ac:dyDescent="0.35">
      <c r="A3843" s="5" t="s">
        <v>98</v>
      </c>
      <c r="B3843" s="5" t="s">
        <v>99</v>
      </c>
      <c r="C3843" s="5" t="s">
        <v>768</v>
      </c>
      <c r="D3843" s="5" t="s">
        <v>14</v>
      </c>
      <c r="E3843" s="5" t="s">
        <v>90</v>
      </c>
      <c r="F3843" s="5" t="s">
        <v>91</v>
      </c>
      <c r="G3843" s="5" t="s">
        <v>769</v>
      </c>
      <c r="H3843" s="5" t="s">
        <v>770</v>
      </c>
      <c r="I3843" s="5" t="s">
        <v>31</v>
      </c>
      <c r="J3843" s="5">
        <v>17.112771199103999</v>
      </c>
      <c r="K3843" s="5">
        <v>-95.944305730024993</v>
      </c>
      <c r="L3843" s="5" t="str">
        <f>HYPERLINK("https://maps.google.com/?q=17.1127711991041,-95.944305730024794", "🔗 Ver Mapa")</f>
        <v>🔗 Ver Mapa</v>
      </c>
    </row>
    <row r="3844" spans="1:12" ht="43.5" x14ac:dyDescent="0.35">
      <c r="A3844" s="6" t="s">
        <v>98</v>
      </c>
      <c r="B3844" s="6" t="s">
        <v>99</v>
      </c>
      <c r="C3844" s="6" t="s">
        <v>768</v>
      </c>
      <c r="D3844" s="6" t="s">
        <v>14</v>
      </c>
      <c r="E3844" s="6" t="s">
        <v>90</v>
      </c>
      <c r="F3844" s="6" t="s">
        <v>91</v>
      </c>
      <c r="G3844" s="6" t="s">
        <v>769</v>
      </c>
      <c r="H3844" s="6" t="s">
        <v>770</v>
      </c>
      <c r="I3844" s="6" t="s">
        <v>31</v>
      </c>
      <c r="J3844" s="6">
        <v>17.113515904263</v>
      </c>
      <c r="K3844" s="6">
        <v>-95.941444324442998</v>
      </c>
      <c r="L3844" s="6" t="str">
        <f>HYPERLINK("https://maps.google.com/?q=17.1135159042627,-95.941444324443296", "🔗 Ver Mapa")</f>
        <v>🔗 Ver Mapa</v>
      </c>
    </row>
    <row r="3845" spans="1:12" ht="43.5" x14ac:dyDescent="0.35">
      <c r="A3845" s="5" t="s">
        <v>98</v>
      </c>
      <c r="B3845" s="5" t="s">
        <v>99</v>
      </c>
      <c r="C3845" s="5" t="s">
        <v>768</v>
      </c>
      <c r="D3845" s="5" t="s">
        <v>14</v>
      </c>
      <c r="E3845" s="5" t="s">
        <v>90</v>
      </c>
      <c r="F3845" s="5" t="s">
        <v>91</v>
      </c>
      <c r="G3845" s="5" t="s">
        <v>769</v>
      </c>
      <c r="H3845" s="5" t="s">
        <v>770</v>
      </c>
      <c r="I3845" s="5" t="s">
        <v>31</v>
      </c>
      <c r="J3845" s="5">
        <v>17.115501158960001</v>
      </c>
      <c r="K3845" s="5">
        <v>-95.943982927117005</v>
      </c>
      <c r="L3845" s="5" t="str">
        <f>HYPERLINK("https://maps.google.com/?q=17.11550115896,-95.943982927116593", "🔗 Ver Mapa")</f>
        <v>🔗 Ver Mapa</v>
      </c>
    </row>
    <row r="3846" spans="1:12" ht="43.5" x14ac:dyDescent="0.35">
      <c r="A3846" s="6" t="s">
        <v>98</v>
      </c>
      <c r="B3846" s="6" t="s">
        <v>99</v>
      </c>
      <c r="C3846" s="6" t="s">
        <v>771</v>
      </c>
      <c r="D3846" s="6" t="s">
        <v>14</v>
      </c>
      <c r="E3846" s="6" t="s">
        <v>90</v>
      </c>
      <c r="F3846" s="6" t="s">
        <v>91</v>
      </c>
      <c r="G3846" s="6" t="s">
        <v>769</v>
      </c>
      <c r="H3846" s="6" t="s">
        <v>772</v>
      </c>
      <c r="I3846" s="6" t="s">
        <v>31</v>
      </c>
      <c r="J3846" s="6">
        <v>17.102341052067001</v>
      </c>
      <c r="K3846" s="6">
        <v>-95.947890999365001</v>
      </c>
      <c r="L3846" s="6" t="str">
        <f>HYPERLINK("https://maps.google.com/?q=17.1023410520666,-95.947890999364702", "🔗 Ver Mapa")</f>
        <v>🔗 Ver Mapa</v>
      </c>
    </row>
    <row r="3847" spans="1:12" ht="43.5" x14ac:dyDescent="0.35">
      <c r="A3847" s="5" t="s">
        <v>98</v>
      </c>
      <c r="B3847" s="5" t="s">
        <v>99</v>
      </c>
      <c r="C3847" s="5" t="s">
        <v>771</v>
      </c>
      <c r="D3847" s="5" t="s">
        <v>14</v>
      </c>
      <c r="E3847" s="5" t="s">
        <v>90</v>
      </c>
      <c r="F3847" s="5" t="s">
        <v>91</v>
      </c>
      <c r="G3847" s="5" t="s">
        <v>769</v>
      </c>
      <c r="H3847" s="5" t="s">
        <v>772</v>
      </c>
      <c r="I3847" s="5" t="s">
        <v>31</v>
      </c>
      <c r="J3847" s="5">
        <v>17.102558694864999</v>
      </c>
      <c r="K3847" s="5">
        <v>-95.946864662300001</v>
      </c>
      <c r="L3847" s="5" t="str">
        <f>HYPERLINK("https://maps.google.com/?q=17.1025586948647,-95.946864662300399", "🔗 Ver Mapa")</f>
        <v>🔗 Ver Mapa</v>
      </c>
    </row>
    <row r="3848" spans="1:12" ht="43.5" x14ac:dyDescent="0.35">
      <c r="A3848" s="6" t="s">
        <v>98</v>
      </c>
      <c r="B3848" s="6" t="s">
        <v>99</v>
      </c>
      <c r="C3848" s="6" t="s">
        <v>771</v>
      </c>
      <c r="D3848" s="6" t="s">
        <v>14</v>
      </c>
      <c r="E3848" s="6" t="s">
        <v>90</v>
      </c>
      <c r="F3848" s="6" t="s">
        <v>91</v>
      </c>
      <c r="G3848" s="6" t="s">
        <v>769</v>
      </c>
      <c r="H3848" s="6" t="s">
        <v>772</v>
      </c>
      <c r="I3848" s="6" t="s">
        <v>31</v>
      </c>
      <c r="J3848" s="6">
        <v>17.102559619076001</v>
      </c>
      <c r="K3848" s="6">
        <v>-95.946230225918995</v>
      </c>
      <c r="L3848" s="6" t="str">
        <f>HYPERLINK("https://maps.google.com/?q=17.1025596190756,-95.946230225919194", "🔗 Ver Mapa")</f>
        <v>🔗 Ver Mapa</v>
      </c>
    </row>
    <row r="3849" spans="1:12" ht="43.5" x14ac:dyDescent="0.35">
      <c r="A3849" s="5" t="s">
        <v>98</v>
      </c>
      <c r="B3849" s="5" t="s">
        <v>99</v>
      </c>
      <c r="C3849" s="5" t="s">
        <v>771</v>
      </c>
      <c r="D3849" s="5" t="s">
        <v>14</v>
      </c>
      <c r="E3849" s="5" t="s">
        <v>90</v>
      </c>
      <c r="F3849" s="5" t="s">
        <v>91</v>
      </c>
      <c r="G3849" s="5" t="s">
        <v>769</v>
      </c>
      <c r="H3849" s="5" t="s">
        <v>772</v>
      </c>
      <c r="I3849" s="5" t="s">
        <v>31</v>
      </c>
      <c r="J3849" s="5">
        <v>17.102988361055999</v>
      </c>
      <c r="K3849" s="5">
        <v>-95.945500480581003</v>
      </c>
      <c r="L3849" s="5" t="str">
        <f>HYPERLINK("https://maps.google.com/?q=17.1029883610558,-95.945500480581003", "🔗 Ver Mapa")</f>
        <v>🔗 Ver Mapa</v>
      </c>
    </row>
    <row r="3850" spans="1:12" ht="43.5" x14ac:dyDescent="0.35">
      <c r="A3850" s="6" t="s">
        <v>98</v>
      </c>
      <c r="B3850" s="6" t="s">
        <v>99</v>
      </c>
      <c r="C3850" s="6" t="s">
        <v>771</v>
      </c>
      <c r="D3850" s="6" t="s">
        <v>14</v>
      </c>
      <c r="E3850" s="6" t="s">
        <v>90</v>
      </c>
      <c r="F3850" s="6" t="s">
        <v>91</v>
      </c>
      <c r="G3850" s="6" t="s">
        <v>769</v>
      </c>
      <c r="H3850" s="6" t="s">
        <v>772</v>
      </c>
      <c r="I3850" s="6" t="s">
        <v>31</v>
      </c>
      <c r="J3850" s="6">
        <v>17.10303143909</v>
      </c>
      <c r="K3850" s="6">
        <v>-95.947517364418005</v>
      </c>
      <c r="L3850" s="6" t="str">
        <f>HYPERLINK("https://maps.google.com/?q=17.1030314390902,-95.9475173644179", "🔗 Ver Mapa")</f>
        <v>🔗 Ver Mapa</v>
      </c>
    </row>
    <row r="3851" spans="1:12" ht="43.5" x14ac:dyDescent="0.35">
      <c r="A3851" s="5" t="s">
        <v>98</v>
      </c>
      <c r="B3851" s="5" t="s">
        <v>99</v>
      </c>
      <c r="C3851" s="5" t="s">
        <v>771</v>
      </c>
      <c r="D3851" s="5" t="s">
        <v>14</v>
      </c>
      <c r="E3851" s="5" t="s">
        <v>90</v>
      </c>
      <c r="F3851" s="5" t="s">
        <v>91</v>
      </c>
      <c r="G3851" s="5" t="s">
        <v>769</v>
      </c>
      <c r="H3851" s="5" t="s">
        <v>772</v>
      </c>
      <c r="I3851" s="5" t="s">
        <v>31</v>
      </c>
      <c r="J3851" s="5">
        <v>17.103489556258999</v>
      </c>
      <c r="K3851" s="5">
        <v>-95.947188224537001</v>
      </c>
      <c r="L3851" s="5" t="str">
        <f>HYPERLINK("https://maps.google.com/?q=17.1034895562589,-95.947188224536902", "🔗 Ver Mapa")</f>
        <v>🔗 Ver Mapa</v>
      </c>
    </row>
    <row r="3852" spans="1:12" ht="43.5" x14ac:dyDescent="0.35">
      <c r="A3852" s="6" t="s">
        <v>98</v>
      </c>
      <c r="B3852" s="6" t="s">
        <v>99</v>
      </c>
      <c r="C3852" s="6" t="s">
        <v>771</v>
      </c>
      <c r="D3852" s="6" t="s">
        <v>14</v>
      </c>
      <c r="E3852" s="6" t="s">
        <v>90</v>
      </c>
      <c r="F3852" s="6" t="s">
        <v>91</v>
      </c>
      <c r="G3852" s="6" t="s">
        <v>769</v>
      </c>
      <c r="H3852" s="6" t="s">
        <v>772</v>
      </c>
      <c r="I3852" s="6" t="s">
        <v>31</v>
      </c>
      <c r="J3852" s="6">
        <v>17.103653349451999</v>
      </c>
      <c r="K3852" s="6">
        <v>-95.944657204281995</v>
      </c>
      <c r="L3852" s="6" t="str">
        <f>HYPERLINK("https://maps.google.com/?q=17.1036533494522,-95.944657204281796", "🔗 Ver Mapa")</f>
        <v>🔗 Ver Mapa</v>
      </c>
    </row>
    <row r="3853" spans="1:12" ht="43.5" x14ac:dyDescent="0.35">
      <c r="A3853" s="5" t="s">
        <v>98</v>
      </c>
      <c r="B3853" s="5" t="s">
        <v>99</v>
      </c>
      <c r="C3853" s="5" t="s">
        <v>771</v>
      </c>
      <c r="D3853" s="5" t="s">
        <v>14</v>
      </c>
      <c r="E3853" s="5" t="s">
        <v>90</v>
      </c>
      <c r="F3853" s="5" t="s">
        <v>91</v>
      </c>
      <c r="G3853" s="5" t="s">
        <v>769</v>
      </c>
      <c r="H3853" s="5" t="s">
        <v>772</v>
      </c>
      <c r="I3853" s="5" t="s">
        <v>31</v>
      </c>
      <c r="J3853" s="5">
        <v>17.103681548899999</v>
      </c>
      <c r="K3853" s="5">
        <v>-95.944995162618</v>
      </c>
      <c r="L3853" s="5" t="str">
        <f>HYPERLINK("https://maps.google.com/?q=17.1036815488998,-95.944995162617602", "🔗 Ver Mapa")</f>
        <v>🔗 Ver Mapa</v>
      </c>
    </row>
    <row r="3854" spans="1:12" ht="43.5" x14ac:dyDescent="0.35">
      <c r="A3854" s="6" t="s">
        <v>98</v>
      </c>
      <c r="B3854" s="6" t="s">
        <v>99</v>
      </c>
      <c r="C3854" s="6" t="s">
        <v>771</v>
      </c>
      <c r="D3854" s="6" t="s">
        <v>14</v>
      </c>
      <c r="E3854" s="6" t="s">
        <v>90</v>
      </c>
      <c r="F3854" s="6" t="s">
        <v>91</v>
      </c>
      <c r="G3854" s="6" t="s">
        <v>769</v>
      </c>
      <c r="H3854" s="6" t="s">
        <v>772</v>
      </c>
      <c r="I3854" s="6" t="s">
        <v>31</v>
      </c>
      <c r="J3854" s="6">
        <v>17.103811292776999</v>
      </c>
      <c r="K3854" s="6">
        <v>-95.945183268761994</v>
      </c>
      <c r="L3854" s="6" t="str">
        <f>HYPERLINK("https://maps.google.com/?q=17.1038112927767,-95.945183268761994", "🔗 Ver Mapa")</f>
        <v>🔗 Ver Mapa</v>
      </c>
    </row>
    <row r="3855" spans="1:12" ht="43.5" x14ac:dyDescent="0.35">
      <c r="A3855" s="5" t="s">
        <v>98</v>
      </c>
      <c r="B3855" s="5" t="s">
        <v>99</v>
      </c>
      <c r="C3855" s="5" t="s">
        <v>771</v>
      </c>
      <c r="D3855" s="5" t="s">
        <v>14</v>
      </c>
      <c r="E3855" s="5" t="s">
        <v>90</v>
      </c>
      <c r="F3855" s="5" t="s">
        <v>91</v>
      </c>
      <c r="G3855" s="5" t="s">
        <v>769</v>
      </c>
      <c r="H3855" s="5" t="s">
        <v>772</v>
      </c>
      <c r="I3855" s="5" t="s">
        <v>31</v>
      </c>
      <c r="J3855" s="5">
        <v>17.103823641441</v>
      </c>
      <c r="K3855" s="5">
        <v>-95.948063551733</v>
      </c>
      <c r="L3855" s="5" t="str">
        <f>HYPERLINK("https://maps.google.com/?q=17.1038236414409,-95.9480635517334", "🔗 Ver Mapa")</f>
        <v>🔗 Ver Mapa</v>
      </c>
    </row>
    <row r="3856" spans="1:12" ht="43.5" x14ac:dyDescent="0.35">
      <c r="A3856" s="6" t="s">
        <v>98</v>
      </c>
      <c r="B3856" s="6" t="s">
        <v>99</v>
      </c>
      <c r="C3856" s="6" t="s">
        <v>771</v>
      </c>
      <c r="D3856" s="6" t="s">
        <v>14</v>
      </c>
      <c r="E3856" s="6" t="s">
        <v>90</v>
      </c>
      <c r="F3856" s="6" t="s">
        <v>91</v>
      </c>
      <c r="G3856" s="6" t="s">
        <v>769</v>
      </c>
      <c r="H3856" s="6" t="s">
        <v>772</v>
      </c>
      <c r="I3856" s="6" t="s">
        <v>31</v>
      </c>
      <c r="J3856" s="6">
        <v>17.103939001086999</v>
      </c>
      <c r="K3856" s="6">
        <v>-95.947964314385004</v>
      </c>
      <c r="L3856" s="6" t="str">
        <f>HYPERLINK("https://maps.google.com/?q=17.1039390010869,-95.947964314384507", "🔗 Ver Mapa")</f>
        <v>🔗 Ver Mapa</v>
      </c>
    </row>
    <row r="3857" spans="1:12" ht="43.5" x14ac:dyDescent="0.35">
      <c r="A3857" s="5" t="s">
        <v>98</v>
      </c>
      <c r="B3857" s="5" t="s">
        <v>99</v>
      </c>
      <c r="C3857" s="5" t="s">
        <v>771</v>
      </c>
      <c r="D3857" s="5" t="s">
        <v>14</v>
      </c>
      <c r="E3857" s="5" t="s">
        <v>90</v>
      </c>
      <c r="F3857" s="5" t="s">
        <v>91</v>
      </c>
      <c r="G3857" s="5" t="s">
        <v>769</v>
      </c>
      <c r="H3857" s="5" t="s">
        <v>772</v>
      </c>
      <c r="I3857" s="5" t="s">
        <v>31</v>
      </c>
      <c r="J3857" s="5">
        <v>17.104001324771001</v>
      </c>
      <c r="K3857" s="5">
        <v>-95.946829190372</v>
      </c>
      <c r="L3857" s="5" t="str">
        <f>HYPERLINK("https://maps.google.com/?q=17.1040013247707,-95.946829190371801", "🔗 Ver Mapa")</f>
        <v>🔗 Ver Mapa</v>
      </c>
    </row>
    <row r="3858" spans="1:12" ht="43.5" x14ac:dyDescent="0.35">
      <c r="A3858" s="6" t="s">
        <v>98</v>
      </c>
      <c r="B3858" s="6" t="s">
        <v>99</v>
      </c>
      <c r="C3858" s="6" t="s">
        <v>773</v>
      </c>
      <c r="D3858" s="6" t="s">
        <v>14</v>
      </c>
      <c r="E3858" s="6" t="s">
        <v>90</v>
      </c>
      <c r="F3858" s="6" t="s">
        <v>91</v>
      </c>
      <c r="G3858" s="6" t="s">
        <v>769</v>
      </c>
      <c r="H3858" s="6" t="s">
        <v>774</v>
      </c>
      <c r="I3858" s="6" t="s">
        <v>31</v>
      </c>
      <c r="J3858" s="6">
        <v>17.091913074109002</v>
      </c>
      <c r="K3858" s="6">
        <v>-95.922103295346005</v>
      </c>
      <c r="L3858" s="6" t="str">
        <f>HYPERLINK("https://maps.google.com/?q=17.0919130741091,-95.922103295345906", "🔗 Ver Mapa")</f>
        <v>🔗 Ver Mapa</v>
      </c>
    </row>
    <row r="3859" spans="1:12" ht="43.5" x14ac:dyDescent="0.35">
      <c r="A3859" s="5" t="s">
        <v>98</v>
      </c>
      <c r="B3859" s="5" t="s">
        <v>99</v>
      </c>
      <c r="C3859" s="5" t="s">
        <v>773</v>
      </c>
      <c r="D3859" s="5" t="s">
        <v>14</v>
      </c>
      <c r="E3859" s="5" t="s">
        <v>90</v>
      </c>
      <c r="F3859" s="5" t="s">
        <v>91</v>
      </c>
      <c r="G3859" s="5" t="s">
        <v>769</v>
      </c>
      <c r="H3859" s="5" t="s">
        <v>774</v>
      </c>
      <c r="I3859" s="5" t="s">
        <v>31</v>
      </c>
      <c r="J3859" s="5">
        <v>17.092065264626999</v>
      </c>
      <c r="K3859" s="5">
        <v>-95.921045177910003</v>
      </c>
      <c r="L3859" s="5" t="str">
        <f>HYPERLINK("https://maps.google.com/?q=17.0920652646271,-95.921045177909804", "🔗 Ver Mapa")</f>
        <v>🔗 Ver Mapa</v>
      </c>
    </row>
    <row r="3860" spans="1:12" ht="43.5" x14ac:dyDescent="0.35">
      <c r="A3860" s="6" t="s">
        <v>98</v>
      </c>
      <c r="B3860" s="6" t="s">
        <v>99</v>
      </c>
      <c r="C3860" s="6" t="s">
        <v>773</v>
      </c>
      <c r="D3860" s="6" t="s">
        <v>14</v>
      </c>
      <c r="E3860" s="6" t="s">
        <v>90</v>
      </c>
      <c r="F3860" s="6" t="s">
        <v>91</v>
      </c>
      <c r="G3860" s="6" t="s">
        <v>769</v>
      </c>
      <c r="H3860" s="6" t="s">
        <v>774</v>
      </c>
      <c r="I3860" s="6" t="s">
        <v>31</v>
      </c>
      <c r="J3860" s="6">
        <v>17.092940348397001</v>
      </c>
      <c r="K3860" s="6">
        <v>-95.922630804893998</v>
      </c>
      <c r="L3860" s="6" t="str">
        <f>HYPERLINK("https://maps.google.com/?q=17.0929403483974,-95.922630804893501", "🔗 Ver Mapa")</f>
        <v>🔗 Ver Mapa</v>
      </c>
    </row>
    <row r="3861" spans="1:12" ht="43.5" x14ac:dyDescent="0.35">
      <c r="A3861" s="5" t="s">
        <v>98</v>
      </c>
      <c r="B3861" s="5" t="s">
        <v>99</v>
      </c>
      <c r="C3861" s="5" t="s">
        <v>773</v>
      </c>
      <c r="D3861" s="5" t="s">
        <v>14</v>
      </c>
      <c r="E3861" s="5" t="s">
        <v>90</v>
      </c>
      <c r="F3861" s="5" t="s">
        <v>91</v>
      </c>
      <c r="G3861" s="5" t="s">
        <v>769</v>
      </c>
      <c r="H3861" s="5" t="s">
        <v>774</v>
      </c>
      <c r="I3861" s="5" t="s">
        <v>31</v>
      </c>
      <c r="J3861" s="5">
        <v>17.093118008960001</v>
      </c>
      <c r="K3861" s="5">
        <v>-95.926441588035004</v>
      </c>
      <c r="L3861" s="5" t="str">
        <f>HYPERLINK("https://maps.google.com/?q=17.09311800896,-95.926441588035402", "🔗 Ver Mapa")</f>
        <v>🔗 Ver Mapa</v>
      </c>
    </row>
    <row r="3862" spans="1:12" ht="43.5" x14ac:dyDescent="0.35">
      <c r="A3862" s="6" t="s">
        <v>98</v>
      </c>
      <c r="B3862" s="6" t="s">
        <v>99</v>
      </c>
      <c r="C3862" s="6" t="s">
        <v>773</v>
      </c>
      <c r="D3862" s="6" t="s">
        <v>14</v>
      </c>
      <c r="E3862" s="6" t="s">
        <v>90</v>
      </c>
      <c r="F3862" s="6" t="s">
        <v>91</v>
      </c>
      <c r="G3862" s="6" t="s">
        <v>769</v>
      </c>
      <c r="H3862" s="6" t="s">
        <v>774</v>
      </c>
      <c r="I3862" s="6" t="s">
        <v>31</v>
      </c>
      <c r="J3862" s="6">
        <v>17.093177636452001</v>
      </c>
      <c r="K3862" s="6">
        <v>-95.925847341329003</v>
      </c>
      <c r="L3862" s="6" t="str">
        <f>HYPERLINK("https://maps.google.com/?q=17.0931776364519,-95.925847341329103", "🔗 Ver Mapa")</f>
        <v>🔗 Ver Mapa</v>
      </c>
    </row>
    <row r="3863" spans="1:12" ht="43.5" x14ac:dyDescent="0.35">
      <c r="A3863" s="5" t="s">
        <v>98</v>
      </c>
      <c r="B3863" s="5" t="s">
        <v>99</v>
      </c>
      <c r="C3863" s="5" t="s">
        <v>773</v>
      </c>
      <c r="D3863" s="5" t="s">
        <v>14</v>
      </c>
      <c r="E3863" s="5" t="s">
        <v>90</v>
      </c>
      <c r="F3863" s="5" t="s">
        <v>91</v>
      </c>
      <c r="G3863" s="5" t="s">
        <v>769</v>
      </c>
      <c r="H3863" s="5" t="s">
        <v>774</v>
      </c>
      <c r="I3863" s="5" t="s">
        <v>31</v>
      </c>
      <c r="J3863" s="5">
        <v>17.09323703287</v>
      </c>
      <c r="K3863" s="5">
        <v>-95.922360821705993</v>
      </c>
      <c r="L3863" s="5" t="str">
        <f>HYPERLINK("https://maps.google.com/?q=17.0932370328699,-95.922360821706107", "🔗 Ver Mapa")</f>
        <v>🔗 Ver Mapa</v>
      </c>
    </row>
    <row r="3864" spans="1:12" ht="43.5" x14ac:dyDescent="0.35">
      <c r="A3864" s="6" t="s">
        <v>98</v>
      </c>
      <c r="B3864" s="6" t="s">
        <v>99</v>
      </c>
      <c r="C3864" s="6" t="s">
        <v>773</v>
      </c>
      <c r="D3864" s="6" t="s">
        <v>14</v>
      </c>
      <c r="E3864" s="6" t="s">
        <v>90</v>
      </c>
      <c r="F3864" s="6" t="s">
        <v>91</v>
      </c>
      <c r="G3864" s="6" t="s">
        <v>769</v>
      </c>
      <c r="H3864" s="6" t="s">
        <v>774</v>
      </c>
      <c r="I3864" s="6" t="s">
        <v>31</v>
      </c>
      <c r="J3864" s="6">
        <v>17.094580453031998</v>
      </c>
      <c r="K3864" s="6">
        <v>-95.926635714514006</v>
      </c>
      <c r="L3864" s="6" t="str">
        <f>HYPERLINK("https://maps.google.com/?q=17.0945804530325,-95.926635714514006", "🔗 Ver Mapa")</f>
        <v>🔗 Ver Mapa</v>
      </c>
    </row>
    <row r="3865" spans="1:12" ht="43.5" x14ac:dyDescent="0.35">
      <c r="A3865" s="5" t="s">
        <v>98</v>
      </c>
      <c r="B3865" s="5" t="s">
        <v>99</v>
      </c>
      <c r="C3865" s="5" t="s">
        <v>773</v>
      </c>
      <c r="D3865" s="5" t="s">
        <v>14</v>
      </c>
      <c r="E3865" s="5" t="s">
        <v>90</v>
      </c>
      <c r="F3865" s="5" t="s">
        <v>91</v>
      </c>
      <c r="G3865" s="5" t="s">
        <v>769</v>
      </c>
      <c r="H3865" s="5" t="s">
        <v>774</v>
      </c>
      <c r="I3865" s="5" t="s">
        <v>31</v>
      </c>
      <c r="J3865" s="5">
        <v>17.094978863742998</v>
      </c>
      <c r="K3865" s="5">
        <v>-95.927085440474997</v>
      </c>
      <c r="L3865" s="5" t="str">
        <f>HYPERLINK("https://maps.google.com/?q=17.0949788637431,-95.927085440475494", "🔗 Ver Mapa")</f>
        <v>🔗 Ver Mapa</v>
      </c>
    </row>
    <row r="3866" spans="1:12" ht="43.5" x14ac:dyDescent="0.35">
      <c r="A3866" s="6" t="s">
        <v>98</v>
      </c>
      <c r="B3866" s="6" t="s">
        <v>99</v>
      </c>
      <c r="C3866" s="6" t="s">
        <v>775</v>
      </c>
      <c r="D3866" s="6" t="s">
        <v>14</v>
      </c>
      <c r="E3866" s="6" t="s">
        <v>90</v>
      </c>
      <c r="F3866" s="6" t="s">
        <v>91</v>
      </c>
      <c r="G3866" s="6" t="s">
        <v>769</v>
      </c>
      <c r="H3866" s="6" t="s">
        <v>776</v>
      </c>
      <c r="I3866" s="6" t="s">
        <v>31</v>
      </c>
      <c r="J3866" s="6">
        <v>17.102466337907</v>
      </c>
      <c r="K3866" s="6">
        <v>-95.938444749070996</v>
      </c>
      <c r="L3866" s="6" t="str">
        <f>HYPERLINK("https://maps.google.com/?q=17.1024663379069,-95.938444749070598", "🔗 Ver Mapa")</f>
        <v>🔗 Ver Mapa</v>
      </c>
    </row>
    <row r="3867" spans="1:12" ht="43.5" x14ac:dyDescent="0.35">
      <c r="A3867" s="5" t="s">
        <v>98</v>
      </c>
      <c r="B3867" s="5" t="s">
        <v>99</v>
      </c>
      <c r="C3867" s="5" t="s">
        <v>775</v>
      </c>
      <c r="D3867" s="5" t="s">
        <v>14</v>
      </c>
      <c r="E3867" s="5" t="s">
        <v>90</v>
      </c>
      <c r="F3867" s="5" t="s">
        <v>91</v>
      </c>
      <c r="G3867" s="5" t="s">
        <v>769</v>
      </c>
      <c r="H3867" s="5" t="s">
        <v>776</v>
      </c>
      <c r="I3867" s="5" t="s">
        <v>31</v>
      </c>
      <c r="J3867" s="5">
        <v>17.102818758146</v>
      </c>
      <c r="K3867" s="5">
        <v>-95.937086667494</v>
      </c>
      <c r="L3867" s="5" t="str">
        <f>HYPERLINK("https://maps.google.com/?q=17.1028187581457,-95.937086667493602", "🔗 Ver Mapa")</f>
        <v>🔗 Ver Mapa</v>
      </c>
    </row>
    <row r="3868" spans="1:12" ht="43.5" x14ac:dyDescent="0.35">
      <c r="A3868" s="6" t="s">
        <v>98</v>
      </c>
      <c r="B3868" s="6" t="s">
        <v>99</v>
      </c>
      <c r="C3868" s="6" t="s">
        <v>775</v>
      </c>
      <c r="D3868" s="6" t="s">
        <v>14</v>
      </c>
      <c r="E3868" s="6" t="s">
        <v>90</v>
      </c>
      <c r="F3868" s="6" t="s">
        <v>91</v>
      </c>
      <c r="G3868" s="6" t="s">
        <v>769</v>
      </c>
      <c r="H3868" s="6" t="s">
        <v>776</v>
      </c>
      <c r="I3868" s="6" t="s">
        <v>31</v>
      </c>
      <c r="J3868" s="6">
        <v>17.10322373264</v>
      </c>
      <c r="K3868" s="6">
        <v>-95.937573994824007</v>
      </c>
      <c r="L3868" s="6" t="str">
        <f>HYPERLINK("https://maps.google.com/?q=17.1032237326401,-95.937573994823893", "🔗 Ver Mapa")</f>
        <v>🔗 Ver Mapa</v>
      </c>
    </row>
    <row r="3869" spans="1:12" ht="43.5" x14ac:dyDescent="0.35">
      <c r="A3869" s="5" t="s">
        <v>98</v>
      </c>
      <c r="B3869" s="5" t="s">
        <v>99</v>
      </c>
      <c r="C3869" s="5" t="s">
        <v>775</v>
      </c>
      <c r="D3869" s="5" t="s">
        <v>14</v>
      </c>
      <c r="E3869" s="5" t="s">
        <v>90</v>
      </c>
      <c r="F3869" s="5" t="s">
        <v>91</v>
      </c>
      <c r="G3869" s="5" t="s">
        <v>769</v>
      </c>
      <c r="H3869" s="5" t="s">
        <v>776</v>
      </c>
      <c r="I3869" s="5" t="s">
        <v>31</v>
      </c>
      <c r="J3869" s="5">
        <v>17.103575423504999</v>
      </c>
      <c r="K3869" s="5">
        <v>-95.937753704843004</v>
      </c>
      <c r="L3869" s="5" t="str">
        <f>HYPERLINK("https://maps.google.com/?q=17.1035754235048,-95.937753704843004", "🔗 Ver Mapa")</f>
        <v>🔗 Ver Mapa</v>
      </c>
    </row>
    <row r="3870" spans="1:12" ht="43.5" x14ac:dyDescent="0.35">
      <c r="A3870" s="6" t="s">
        <v>98</v>
      </c>
      <c r="B3870" s="6" t="s">
        <v>99</v>
      </c>
      <c r="C3870" s="6" t="s">
        <v>775</v>
      </c>
      <c r="D3870" s="6" t="s">
        <v>14</v>
      </c>
      <c r="E3870" s="6" t="s">
        <v>90</v>
      </c>
      <c r="F3870" s="6" t="s">
        <v>91</v>
      </c>
      <c r="G3870" s="6" t="s">
        <v>769</v>
      </c>
      <c r="H3870" s="6" t="s">
        <v>776</v>
      </c>
      <c r="I3870" s="6" t="s">
        <v>31</v>
      </c>
      <c r="J3870" s="6">
        <v>17.103678401492001</v>
      </c>
      <c r="K3870" s="6">
        <v>-95.936813880708002</v>
      </c>
      <c r="L3870" s="6" t="str">
        <f>HYPERLINK("https://maps.google.com/?q=17.1036784014916,-95.936813880708002", "🔗 Ver Mapa")</f>
        <v>🔗 Ver Mapa</v>
      </c>
    </row>
    <row r="3871" spans="1:12" ht="43.5" x14ac:dyDescent="0.35">
      <c r="A3871" s="5" t="s">
        <v>98</v>
      </c>
      <c r="B3871" s="5" t="s">
        <v>99</v>
      </c>
      <c r="C3871" s="5" t="s">
        <v>775</v>
      </c>
      <c r="D3871" s="5" t="s">
        <v>14</v>
      </c>
      <c r="E3871" s="5" t="s">
        <v>90</v>
      </c>
      <c r="F3871" s="5" t="s">
        <v>91</v>
      </c>
      <c r="G3871" s="5" t="s">
        <v>769</v>
      </c>
      <c r="H3871" s="5" t="s">
        <v>776</v>
      </c>
      <c r="I3871" s="5" t="s">
        <v>31</v>
      </c>
      <c r="J3871" s="5">
        <v>17.103905462004001</v>
      </c>
      <c r="K3871" s="5">
        <v>-95.938761232101996</v>
      </c>
      <c r="L3871" s="5" t="str">
        <f>HYPERLINK("https://maps.google.com/?q=17.103905462004,-95.938761232101697", "🔗 Ver Mapa")</f>
        <v>🔗 Ver Mapa</v>
      </c>
    </row>
    <row r="3872" spans="1:12" ht="43.5" x14ac:dyDescent="0.35">
      <c r="A3872" s="6" t="s">
        <v>98</v>
      </c>
      <c r="B3872" s="6" t="s">
        <v>99</v>
      </c>
      <c r="C3872" s="6" t="s">
        <v>775</v>
      </c>
      <c r="D3872" s="6" t="s">
        <v>14</v>
      </c>
      <c r="E3872" s="6" t="s">
        <v>90</v>
      </c>
      <c r="F3872" s="6" t="s">
        <v>91</v>
      </c>
      <c r="G3872" s="6" t="s">
        <v>769</v>
      </c>
      <c r="H3872" s="6" t="s">
        <v>776</v>
      </c>
      <c r="I3872" s="6" t="s">
        <v>31</v>
      </c>
      <c r="J3872" s="6">
        <v>17.104412318921</v>
      </c>
      <c r="K3872" s="6">
        <v>-95.935668069941002</v>
      </c>
      <c r="L3872" s="6" t="str">
        <f>HYPERLINK("https://maps.google.com/?q=17.1044123189206,-95.935668069940505", "🔗 Ver Mapa")</f>
        <v>🔗 Ver Mapa</v>
      </c>
    </row>
    <row r="3873" spans="1:12" ht="43.5" x14ac:dyDescent="0.35">
      <c r="A3873" s="5" t="s">
        <v>98</v>
      </c>
      <c r="B3873" s="5" t="s">
        <v>99</v>
      </c>
      <c r="C3873" s="5" t="s">
        <v>775</v>
      </c>
      <c r="D3873" s="5" t="s">
        <v>14</v>
      </c>
      <c r="E3873" s="5" t="s">
        <v>90</v>
      </c>
      <c r="F3873" s="5" t="s">
        <v>91</v>
      </c>
      <c r="G3873" s="5" t="s">
        <v>769</v>
      </c>
      <c r="H3873" s="5" t="s">
        <v>776</v>
      </c>
      <c r="I3873" s="5" t="s">
        <v>31</v>
      </c>
      <c r="J3873" s="5">
        <v>17.104451322260001</v>
      </c>
      <c r="K3873" s="5">
        <v>-95.935168344770005</v>
      </c>
      <c r="L3873" s="5" t="str">
        <f>HYPERLINK("https://maps.google.com/?q=17.1044513222603,-95.935168344769707", "🔗 Ver Mapa")</f>
        <v>🔗 Ver Mapa</v>
      </c>
    </row>
    <row r="3874" spans="1:12" ht="43.5" x14ac:dyDescent="0.35">
      <c r="A3874" s="6" t="s">
        <v>98</v>
      </c>
      <c r="B3874" s="6" t="s">
        <v>99</v>
      </c>
      <c r="C3874" s="6" t="s">
        <v>775</v>
      </c>
      <c r="D3874" s="6" t="s">
        <v>14</v>
      </c>
      <c r="E3874" s="6" t="s">
        <v>90</v>
      </c>
      <c r="F3874" s="6" t="s">
        <v>91</v>
      </c>
      <c r="G3874" s="6" t="s">
        <v>769</v>
      </c>
      <c r="H3874" s="6" t="s">
        <v>776</v>
      </c>
      <c r="I3874" s="6" t="s">
        <v>31</v>
      </c>
      <c r="J3874" s="6">
        <v>17.104697617989999</v>
      </c>
      <c r="K3874" s="6">
        <v>-95.936264784060995</v>
      </c>
      <c r="L3874" s="6" t="str">
        <f>HYPERLINK("https://maps.google.com/?q=17.1046976179903,-95.936264784061393", "🔗 Ver Mapa")</f>
        <v>🔗 Ver Mapa</v>
      </c>
    </row>
    <row r="3875" spans="1:12" ht="43.5" x14ac:dyDescent="0.35">
      <c r="A3875" s="5" t="s">
        <v>98</v>
      </c>
      <c r="B3875" s="5" t="s">
        <v>99</v>
      </c>
      <c r="C3875" s="5" t="s">
        <v>775</v>
      </c>
      <c r="D3875" s="5" t="s">
        <v>14</v>
      </c>
      <c r="E3875" s="5" t="s">
        <v>90</v>
      </c>
      <c r="F3875" s="5" t="s">
        <v>91</v>
      </c>
      <c r="G3875" s="5" t="s">
        <v>769</v>
      </c>
      <c r="H3875" s="5" t="s">
        <v>776</v>
      </c>
      <c r="I3875" s="5" t="s">
        <v>31</v>
      </c>
      <c r="J3875" s="5">
        <v>17.104913296827998</v>
      </c>
      <c r="K3875" s="5">
        <v>-95.930366075077004</v>
      </c>
      <c r="L3875" s="5" t="str">
        <f>HYPERLINK("https://maps.google.com/?q=17.1049132968281,-95.930366075076705", "🔗 Ver Mapa")</f>
        <v>🔗 Ver Mapa</v>
      </c>
    </row>
    <row r="3876" spans="1:12" ht="43.5" x14ac:dyDescent="0.35">
      <c r="A3876" s="6" t="s">
        <v>98</v>
      </c>
      <c r="B3876" s="6" t="s">
        <v>99</v>
      </c>
      <c r="C3876" s="6" t="s">
        <v>775</v>
      </c>
      <c r="D3876" s="6" t="s">
        <v>14</v>
      </c>
      <c r="E3876" s="6" t="s">
        <v>90</v>
      </c>
      <c r="F3876" s="6" t="s">
        <v>91</v>
      </c>
      <c r="G3876" s="6" t="s">
        <v>769</v>
      </c>
      <c r="H3876" s="6" t="s">
        <v>776</v>
      </c>
      <c r="I3876" s="6" t="s">
        <v>31</v>
      </c>
      <c r="J3876" s="6">
        <v>17.105170586536001</v>
      </c>
      <c r="K3876" s="6">
        <v>-95.931208129416007</v>
      </c>
      <c r="L3876" s="6" t="str">
        <f>HYPERLINK("https://maps.google.com/?q=17.1051705865361,-95.931208129416305", "🔗 Ver Mapa")</f>
        <v>🔗 Ver Mapa</v>
      </c>
    </row>
    <row r="3877" spans="1:12" ht="43.5" x14ac:dyDescent="0.35">
      <c r="A3877" s="5" t="s">
        <v>98</v>
      </c>
      <c r="B3877" s="5" t="s">
        <v>99</v>
      </c>
      <c r="C3877" s="5" t="s">
        <v>775</v>
      </c>
      <c r="D3877" s="5" t="s">
        <v>14</v>
      </c>
      <c r="E3877" s="5" t="s">
        <v>90</v>
      </c>
      <c r="F3877" s="5" t="s">
        <v>91</v>
      </c>
      <c r="G3877" s="5" t="s">
        <v>769</v>
      </c>
      <c r="H3877" s="5" t="s">
        <v>776</v>
      </c>
      <c r="I3877" s="5" t="s">
        <v>31</v>
      </c>
      <c r="J3877" s="5">
        <v>17.105182830246001</v>
      </c>
      <c r="K3877" s="5">
        <v>-95.931922065091996</v>
      </c>
      <c r="L3877" s="5" t="str">
        <f>HYPERLINK("https://maps.google.com/?q=17.1051828302462,-95.931922065092394", "🔗 Ver Mapa")</f>
        <v>🔗 Ver Mapa</v>
      </c>
    </row>
    <row r="3878" spans="1:12" ht="43.5" x14ac:dyDescent="0.35">
      <c r="A3878" s="6" t="s">
        <v>98</v>
      </c>
      <c r="B3878" s="6" t="s">
        <v>99</v>
      </c>
      <c r="C3878" s="6" t="s">
        <v>775</v>
      </c>
      <c r="D3878" s="6" t="s">
        <v>14</v>
      </c>
      <c r="E3878" s="6" t="s">
        <v>90</v>
      </c>
      <c r="F3878" s="6" t="s">
        <v>91</v>
      </c>
      <c r="G3878" s="6" t="s">
        <v>769</v>
      </c>
      <c r="H3878" s="6" t="s">
        <v>776</v>
      </c>
      <c r="I3878" s="6" t="s">
        <v>31</v>
      </c>
      <c r="J3878" s="6">
        <v>17.105392027478</v>
      </c>
      <c r="K3878" s="6">
        <v>-95.933787537499001</v>
      </c>
      <c r="L3878" s="6" t="str">
        <f>HYPERLINK("https://maps.google.com/?q=17.1053920274778,-95.933787537498901", "🔗 Ver Mapa")</f>
        <v>🔗 Ver Mapa</v>
      </c>
    </row>
    <row r="3879" spans="1:12" ht="43.5" x14ac:dyDescent="0.35">
      <c r="A3879" s="5" t="s">
        <v>98</v>
      </c>
      <c r="B3879" s="5" t="s">
        <v>99</v>
      </c>
      <c r="C3879" s="5" t="s">
        <v>775</v>
      </c>
      <c r="D3879" s="5" t="s">
        <v>14</v>
      </c>
      <c r="E3879" s="5" t="s">
        <v>90</v>
      </c>
      <c r="F3879" s="5" t="s">
        <v>91</v>
      </c>
      <c r="G3879" s="5" t="s">
        <v>769</v>
      </c>
      <c r="H3879" s="5" t="s">
        <v>776</v>
      </c>
      <c r="I3879" s="5" t="s">
        <v>31</v>
      </c>
      <c r="J3879" s="5">
        <v>17.105519999999999</v>
      </c>
      <c r="K3879" s="5">
        <v>-95.936977999999996</v>
      </c>
      <c r="L3879" s="5" t="str">
        <f>HYPERLINK("https://maps.google.com/?q=17.10552,-95.936977999999996", "🔗 Ver Mapa")</f>
        <v>🔗 Ver Mapa</v>
      </c>
    </row>
    <row r="3880" spans="1:12" ht="43.5" x14ac:dyDescent="0.35">
      <c r="A3880" s="6" t="s">
        <v>98</v>
      </c>
      <c r="B3880" s="6" t="s">
        <v>99</v>
      </c>
      <c r="C3880" s="6" t="s">
        <v>775</v>
      </c>
      <c r="D3880" s="6" t="s">
        <v>14</v>
      </c>
      <c r="E3880" s="6" t="s">
        <v>90</v>
      </c>
      <c r="F3880" s="6" t="s">
        <v>91</v>
      </c>
      <c r="G3880" s="6" t="s">
        <v>769</v>
      </c>
      <c r="H3880" s="6" t="s">
        <v>776</v>
      </c>
      <c r="I3880" s="6" t="s">
        <v>31</v>
      </c>
      <c r="J3880" s="6">
        <v>17.105711129471999</v>
      </c>
      <c r="K3880" s="6">
        <v>-95.930975312884001</v>
      </c>
      <c r="L3880" s="6" t="str">
        <f>HYPERLINK("https://maps.google.com/?q=17.105711129472,-95.930975312883902", "🔗 Ver Mapa")</f>
        <v>🔗 Ver Mapa</v>
      </c>
    </row>
    <row r="3881" spans="1:12" ht="43.5" x14ac:dyDescent="0.35">
      <c r="A3881" s="5" t="s">
        <v>98</v>
      </c>
      <c r="B3881" s="5" t="s">
        <v>99</v>
      </c>
      <c r="C3881" s="5" t="s">
        <v>775</v>
      </c>
      <c r="D3881" s="5" t="s">
        <v>14</v>
      </c>
      <c r="E3881" s="5" t="s">
        <v>90</v>
      </c>
      <c r="F3881" s="5" t="s">
        <v>91</v>
      </c>
      <c r="G3881" s="5" t="s">
        <v>769</v>
      </c>
      <c r="H3881" s="5" t="s">
        <v>776</v>
      </c>
      <c r="I3881" s="5" t="s">
        <v>31</v>
      </c>
      <c r="J3881" s="5">
        <v>17.105880389117999</v>
      </c>
      <c r="K3881" s="5">
        <v>-95.930915044318994</v>
      </c>
      <c r="L3881" s="5" t="str">
        <f>HYPERLINK("https://maps.google.com/?q=17.1058803891177,-95.930915044318994", "🔗 Ver Mapa")</f>
        <v>🔗 Ver Mapa</v>
      </c>
    </row>
    <row r="3882" spans="1:12" ht="43.5" x14ac:dyDescent="0.35">
      <c r="A3882" s="6" t="s">
        <v>98</v>
      </c>
      <c r="B3882" s="6" t="s">
        <v>99</v>
      </c>
      <c r="C3882" s="6" t="s">
        <v>775</v>
      </c>
      <c r="D3882" s="6" t="s">
        <v>14</v>
      </c>
      <c r="E3882" s="6" t="s">
        <v>90</v>
      </c>
      <c r="F3882" s="6" t="s">
        <v>91</v>
      </c>
      <c r="G3882" s="6" t="s">
        <v>769</v>
      </c>
      <c r="H3882" s="6" t="s">
        <v>776</v>
      </c>
      <c r="I3882" s="6" t="s">
        <v>31</v>
      </c>
      <c r="J3882" s="6">
        <v>17.106364630093001</v>
      </c>
      <c r="K3882" s="6">
        <v>-95.934859083963005</v>
      </c>
      <c r="L3882" s="6" t="str">
        <f>HYPERLINK("https://maps.google.com/?q=17.1063646300929,-95.934859083962806", "🔗 Ver Mapa")</f>
        <v>🔗 Ver Mapa</v>
      </c>
    </row>
    <row r="3883" spans="1:12" ht="43.5" x14ac:dyDescent="0.35">
      <c r="A3883" s="5" t="s">
        <v>98</v>
      </c>
      <c r="B3883" s="5" t="s">
        <v>99</v>
      </c>
      <c r="C3883" s="5" t="s">
        <v>775</v>
      </c>
      <c r="D3883" s="5" t="s">
        <v>14</v>
      </c>
      <c r="E3883" s="5" t="s">
        <v>90</v>
      </c>
      <c r="F3883" s="5" t="s">
        <v>91</v>
      </c>
      <c r="G3883" s="5" t="s">
        <v>769</v>
      </c>
      <c r="H3883" s="5" t="s">
        <v>776</v>
      </c>
      <c r="I3883" s="5" t="s">
        <v>31</v>
      </c>
      <c r="J3883" s="5">
        <v>17.106495761192001</v>
      </c>
      <c r="K3883" s="5">
        <v>-95.932062347439995</v>
      </c>
      <c r="L3883" s="5" t="str">
        <f>HYPERLINK("https://maps.google.com/?q=17.1064957611916,-95.932062347439697", "🔗 Ver Mapa")</f>
        <v>🔗 Ver Mapa</v>
      </c>
    </row>
    <row r="3884" spans="1:12" ht="43.5" x14ac:dyDescent="0.35">
      <c r="A3884" s="6" t="s">
        <v>98</v>
      </c>
      <c r="B3884" s="6" t="s">
        <v>99</v>
      </c>
      <c r="C3884" s="6" t="s">
        <v>775</v>
      </c>
      <c r="D3884" s="6" t="s">
        <v>14</v>
      </c>
      <c r="E3884" s="6" t="s">
        <v>90</v>
      </c>
      <c r="F3884" s="6" t="s">
        <v>91</v>
      </c>
      <c r="G3884" s="6" t="s">
        <v>769</v>
      </c>
      <c r="H3884" s="6" t="s">
        <v>776</v>
      </c>
      <c r="I3884" s="6" t="s">
        <v>31</v>
      </c>
      <c r="J3884" s="6">
        <v>17.106737097808999</v>
      </c>
      <c r="K3884" s="6">
        <v>-95.935394695287002</v>
      </c>
      <c r="L3884" s="6" t="str">
        <f>HYPERLINK("https://maps.google.com/?q=17.1067370978093,-95.935394695287002", "🔗 Ver Mapa")</f>
        <v>🔗 Ver Mapa</v>
      </c>
    </row>
    <row r="3885" spans="1:12" ht="43.5" x14ac:dyDescent="0.35">
      <c r="A3885" s="5" t="s">
        <v>98</v>
      </c>
      <c r="B3885" s="5" t="s">
        <v>99</v>
      </c>
      <c r="C3885" s="5" t="s">
        <v>775</v>
      </c>
      <c r="D3885" s="5" t="s">
        <v>14</v>
      </c>
      <c r="E3885" s="5" t="s">
        <v>90</v>
      </c>
      <c r="F3885" s="5" t="s">
        <v>91</v>
      </c>
      <c r="G3885" s="5" t="s">
        <v>769</v>
      </c>
      <c r="H3885" s="5" t="s">
        <v>776</v>
      </c>
      <c r="I3885" s="5" t="s">
        <v>31</v>
      </c>
      <c r="J3885" s="5">
        <v>17.106826913860999</v>
      </c>
      <c r="K3885" s="5">
        <v>-95.930392053684002</v>
      </c>
      <c r="L3885" s="5" t="str">
        <f>HYPERLINK("https://maps.google.com/?q=17.1068269138613,-95.930392053683704", "🔗 Ver Mapa")</f>
        <v>🔗 Ver Mapa</v>
      </c>
    </row>
    <row r="3886" spans="1:12" ht="43.5" x14ac:dyDescent="0.35">
      <c r="A3886" s="6" t="s">
        <v>98</v>
      </c>
      <c r="B3886" s="6" t="s">
        <v>99</v>
      </c>
      <c r="C3886" s="6" t="s">
        <v>775</v>
      </c>
      <c r="D3886" s="6" t="s">
        <v>14</v>
      </c>
      <c r="E3886" s="6" t="s">
        <v>90</v>
      </c>
      <c r="F3886" s="6" t="s">
        <v>91</v>
      </c>
      <c r="G3886" s="6" t="s">
        <v>769</v>
      </c>
      <c r="H3886" s="6" t="s">
        <v>776</v>
      </c>
      <c r="I3886" s="6" t="s">
        <v>31</v>
      </c>
      <c r="J3886" s="6">
        <v>17.106923749715001</v>
      </c>
      <c r="K3886" s="6">
        <v>-95.931458038970007</v>
      </c>
      <c r="L3886" s="6" t="str">
        <f>HYPERLINK("https://maps.google.com/?q=17.106923749715,-95.931458038970206", "🔗 Ver Mapa")</f>
        <v>🔗 Ver Mapa</v>
      </c>
    </row>
    <row r="3887" spans="1:12" ht="43.5" x14ac:dyDescent="0.35">
      <c r="A3887" s="5" t="s">
        <v>98</v>
      </c>
      <c r="B3887" s="5" t="s">
        <v>99</v>
      </c>
      <c r="C3887" s="5" t="s">
        <v>775</v>
      </c>
      <c r="D3887" s="5" t="s">
        <v>14</v>
      </c>
      <c r="E3887" s="5" t="s">
        <v>90</v>
      </c>
      <c r="F3887" s="5" t="s">
        <v>91</v>
      </c>
      <c r="G3887" s="5" t="s">
        <v>769</v>
      </c>
      <c r="H3887" s="5" t="s">
        <v>776</v>
      </c>
      <c r="I3887" s="5" t="s">
        <v>31</v>
      </c>
      <c r="J3887" s="5">
        <v>17.107018160146001</v>
      </c>
      <c r="K3887" s="5">
        <v>-95.929330334523002</v>
      </c>
      <c r="L3887" s="5" t="str">
        <f>HYPERLINK("https://maps.google.com/?q=17.1070181601456,-95.929330334523101", "🔗 Ver Mapa")</f>
        <v>🔗 Ver Mapa</v>
      </c>
    </row>
    <row r="3888" spans="1:12" ht="43.5" x14ac:dyDescent="0.35">
      <c r="A3888" s="6" t="s">
        <v>98</v>
      </c>
      <c r="B3888" s="6" t="s">
        <v>99</v>
      </c>
      <c r="C3888" s="6" t="s">
        <v>775</v>
      </c>
      <c r="D3888" s="6" t="s">
        <v>14</v>
      </c>
      <c r="E3888" s="6" t="s">
        <v>90</v>
      </c>
      <c r="F3888" s="6" t="s">
        <v>91</v>
      </c>
      <c r="G3888" s="6" t="s">
        <v>769</v>
      </c>
      <c r="H3888" s="6" t="s">
        <v>776</v>
      </c>
      <c r="I3888" s="6" t="s">
        <v>31</v>
      </c>
      <c r="J3888" s="6">
        <v>17.107358000000001</v>
      </c>
      <c r="K3888" s="6">
        <v>-95.939273999999997</v>
      </c>
      <c r="L3888" s="6" t="str">
        <f>HYPERLINK("https://maps.google.com/?q=17.107358,-95.939273999999997", "🔗 Ver Mapa")</f>
        <v>🔗 Ver Mapa</v>
      </c>
    </row>
    <row r="3889" spans="1:12" ht="43.5" x14ac:dyDescent="0.35">
      <c r="A3889" s="5" t="s">
        <v>98</v>
      </c>
      <c r="B3889" s="5" t="s">
        <v>99</v>
      </c>
      <c r="C3889" s="5" t="s">
        <v>775</v>
      </c>
      <c r="D3889" s="5" t="s">
        <v>14</v>
      </c>
      <c r="E3889" s="5" t="s">
        <v>90</v>
      </c>
      <c r="F3889" s="5" t="s">
        <v>91</v>
      </c>
      <c r="G3889" s="5" t="s">
        <v>769</v>
      </c>
      <c r="H3889" s="5" t="s">
        <v>776</v>
      </c>
      <c r="I3889" s="5" t="s">
        <v>31</v>
      </c>
      <c r="J3889" s="5">
        <v>17.10856891033</v>
      </c>
      <c r="K3889" s="5">
        <v>-95.930185025968001</v>
      </c>
      <c r="L3889" s="5" t="str">
        <f>HYPERLINK("https://maps.google.com/?q=17.1085689103299,-95.930185025968299", "🔗 Ver Mapa")</f>
        <v>🔗 Ver Mapa</v>
      </c>
    </row>
    <row r="3890" spans="1:12" ht="43.5" x14ac:dyDescent="0.35">
      <c r="A3890" s="6" t="s">
        <v>98</v>
      </c>
      <c r="B3890" s="6" t="s">
        <v>99</v>
      </c>
      <c r="C3890" s="6" t="s">
        <v>775</v>
      </c>
      <c r="D3890" s="6" t="s">
        <v>14</v>
      </c>
      <c r="E3890" s="6" t="s">
        <v>90</v>
      </c>
      <c r="F3890" s="6" t="s">
        <v>91</v>
      </c>
      <c r="G3890" s="6" t="s">
        <v>769</v>
      </c>
      <c r="H3890" s="6" t="s">
        <v>776</v>
      </c>
      <c r="I3890" s="6" t="s">
        <v>31</v>
      </c>
      <c r="J3890" s="6">
        <v>17.108906999999999</v>
      </c>
      <c r="K3890" s="6">
        <v>-95.930580000000006</v>
      </c>
      <c r="L3890" s="6" t="str">
        <f>HYPERLINK("https://maps.google.com/?q=17.108907,-95.930580000000006", "🔗 Ver Mapa")</f>
        <v>🔗 Ver Mapa</v>
      </c>
    </row>
    <row r="3891" spans="1:12" ht="58" x14ac:dyDescent="0.35">
      <c r="A3891" s="5" t="s">
        <v>98</v>
      </c>
      <c r="B3891" s="5" t="s">
        <v>99</v>
      </c>
      <c r="C3891" s="5" t="s">
        <v>777</v>
      </c>
      <c r="D3891" s="5" t="s">
        <v>14</v>
      </c>
      <c r="E3891" s="5" t="s">
        <v>90</v>
      </c>
      <c r="F3891" s="5" t="s">
        <v>91</v>
      </c>
      <c r="G3891" s="5" t="s">
        <v>778</v>
      </c>
      <c r="H3891" s="5" t="s">
        <v>779</v>
      </c>
      <c r="I3891" s="5" t="s">
        <v>31</v>
      </c>
      <c r="J3891" s="5">
        <v>17.091745826377998</v>
      </c>
      <c r="K3891" s="5">
        <v>-96.067006314237005</v>
      </c>
      <c r="L3891" s="5" t="str">
        <f>HYPERLINK("https://maps.google.com/?q=17.0917458263784,-96.067006314237105", "🔗 Ver Mapa")</f>
        <v>🔗 Ver Mapa</v>
      </c>
    </row>
    <row r="3892" spans="1:12" ht="58" x14ac:dyDescent="0.35">
      <c r="A3892" s="6" t="s">
        <v>98</v>
      </c>
      <c r="B3892" s="6" t="s">
        <v>99</v>
      </c>
      <c r="C3892" s="6" t="s">
        <v>777</v>
      </c>
      <c r="D3892" s="6" t="s">
        <v>14</v>
      </c>
      <c r="E3892" s="6" t="s">
        <v>90</v>
      </c>
      <c r="F3892" s="6" t="s">
        <v>91</v>
      </c>
      <c r="G3892" s="6" t="s">
        <v>778</v>
      </c>
      <c r="H3892" s="6" t="s">
        <v>779</v>
      </c>
      <c r="I3892" s="6" t="s">
        <v>31</v>
      </c>
      <c r="J3892" s="6">
        <v>17.092049120698999</v>
      </c>
      <c r="K3892" s="6">
        <v>-96.066895120203</v>
      </c>
      <c r="L3892" s="6" t="str">
        <f>HYPERLINK("https://maps.google.com/?q=17.0920491206991,-96.0668951202031", "🔗 Ver Mapa")</f>
        <v>🔗 Ver Mapa</v>
      </c>
    </row>
    <row r="3893" spans="1:12" ht="58" x14ac:dyDescent="0.35">
      <c r="A3893" s="5" t="s">
        <v>98</v>
      </c>
      <c r="B3893" s="5" t="s">
        <v>99</v>
      </c>
      <c r="C3893" s="5" t="s">
        <v>777</v>
      </c>
      <c r="D3893" s="5" t="s">
        <v>14</v>
      </c>
      <c r="E3893" s="5" t="s">
        <v>90</v>
      </c>
      <c r="F3893" s="5" t="s">
        <v>91</v>
      </c>
      <c r="G3893" s="5" t="s">
        <v>778</v>
      </c>
      <c r="H3893" s="5" t="s">
        <v>779</v>
      </c>
      <c r="I3893" s="5" t="s">
        <v>31</v>
      </c>
      <c r="J3893" s="5">
        <v>17.092122828383999</v>
      </c>
      <c r="K3893" s="5">
        <v>-96.067188822090003</v>
      </c>
      <c r="L3893" s="5" t="str">
        <f>HYPERLINK("https://maps.google.com/?q=17.0921228283839,-96.067188822090102", "🔗 Ver Mapa")</f>
        <v>🔗 Ver Mapa</v>
      </c>
    </row>
    <row r="3894" spans="1:12" ht="58" x14ac:dyDescent="0.35">
      <c r="A3894" s="6" t="s">
        <v>98</v>
      </c>
      <c r="B3894" s="6" t="s">
        <v>99</v>
      </c>
      <c r="C3894" s="6" t="s">
        <v>777</v>
      </c>
      <c r="D3894" s="6" t="s">
        <v>14</v>
      </c>
      <c r="E3894" s="6" t="s">
        <v>90</v>
      </c>
      <c r="F3894" s="6" t="s">
        <v>91</v>
      </c>
      <c r="G3894" s="6" t="s">
        <v>778</v>
      </c>
      <c r="H3894" s="6" t="s">
        <v>779</v>
      </c>
      <c r="I3894" s="6" t="s">
        <v>31</v>
      </c>
      <c r="J3894" s="6">
        <v>17.092345429653001</v>
      </c>
      <c r="K3894" s="6">
        <v>-96.066492183541001</v>
      </c>
      <c r="L3894" s="6" t="str">
        <f>HYPERLINK("https://maps.google.com/?q=17.0923454296529,-96.066492183541399", "🔗 Ver Mapa")</f>
        <v>🔗 Ver Mapa</v>
      </c>
    </row>
    <row r="3895" spans="1:12" ht="58" x14ac:dyDescent="0.35">
      <c r="A3895" s="5" t="s">
        <v>98</v>
      </c>
      <c r="B3895" s="5" t="s">
        <v>99</v>
      </c>
      <c r="C3895" s="5" t="s">
        <v>777</v>
      </c>
      <c r="D3895" s="5" t="s">
        <v>14</v>
      </c>
      <c r="E3895" s="5" t="s">
        <v>90</v>
      </c>
      <c r="F3895" s="5" t="s">
        <v>91</v>
      </c>
      <c r="G3895" s="5" t="s">
        <v>778</v>
      </c>
      <c r="H3895" s="5" t="s">
        <v>779</v>
      </c>
      <c r="I3895" s="5" t="s">
        <v>31</v>
      </c>
      <c r="J3895" s="5">
        <v>17.09246464588</v>
      </c>
      <c r="K3895" s="5">
        <v>-96.066203841594998</v>
      </c>
      <c r="L3895" s="5" t="str">
        <f>HYPERLINK("https://maps.google.com/?q=17.0924646458801,-96.066203841594898", "🔗 Ver Mapa")</f>
        <v>🔗 Ver Mapa</v>
      </c>
    </row>
    <row r="3896" spans="1:12" ht="58" x14ac:dyDescent="0.35">
      <c r="A3896" s="6" t="s">
        <v>98</v>
      </c>
      <c r="B3896" s="6" t="s">
        <v>99</v>
      </c>
      <c r="C3896" s="6" t="s">
        <v>777</v>
      </c>
      <c r="D3896" s="6" t="s">
        <v>14</v>
      </c>
      <c r="E3896" s="6" t="s">
        <v>90</v>
      </c>
      <c r="F3896" s="6" t="s">
        <v>91</v>
      </c>
      <c r="G3896" s="6" t="s">
        <v>778</v>
      </c>
      <c r="H3896" s="6" t="s">
        <v>779</v>
      </c>
      <c r="I3896" s="6" t="s">
        <v>31</v>
      </c>
      <c r="J3896" s="6">
        <v>17.092883317698998</v>
      </c>
      <c r="K3896" s="6">
        <v>-96.066708973502003</v>
      </c>
      <c r="L3896" s="6" t="str">
        <f>HYPERLINK("https://maps.google.com/?q=17.0928833176989,-96.066708973501704", "🔗 Ver Mapa")</f>
        <v>🔗 Ver Mapa</v>
      </c>
    </row>
    <row r="3897" spans="1:12" ht="58" x14ac:dyDescent="0.35">
      <c r="A3897" s="5" t="s">
        <v>98</v>
      </c>
      <c r="B3897" s="5" t="s">
        <v>99</v>
      </c>
      <c r="C3897" s="5" t="s">
        <v>777</v>
      </c>
      <c r="D3897" s="5" t="s">
        <v>14</v>
      </c>
      <c r="E3897" s="5" t="s">
        <v>90</v>
      </c>
      <c r="F3897" s="5" t="s">
        <v>91</v>
      </c>
      <c r="G3897" s="5" t="s">
        <v>778</v>
      </c>
      <c r="H3897" s="5" t="s">
        <v>779</v>
      </c>
      <c r="I3897" s="5" t="s">
        <v>31</v>
      </c>
      <c r="J3897" s="5">
        <v>17.093279227016001</v>
      </c>
      <c r="K3897" s="5">
        <v>-96.066374580357007</v>
      </c>
      <c r="L3897" s="5" t="str">
        <f>HYPERLINK("https://maps.google.com/?q=17.0932792270163,-96.066374580356594", "🔗 Ver Mapa")</f>
        <v>🔗 Ver Mapa</v>
      </c>
    </row>
    <row r="3898" spans="1:12" ht="58" x14ac:dyDescent="0.35">
      <c r="A3898" s="6" t="s">
        <v>98</v>
      </c>
      <c r="B3898" s="6" t="s">
        <v>99</v>
      </c>
      <c r="C3898" s="6" t="s">
        <v>777</v>
      </c>
      <c r="D3898" s="6" t="s">
        <v>14</v>
      </c>
      <c r="E3898" s="6" t="s">
        <v>90</v>
      </c>
      <c r="F3898" s="6" t="s">
        <v>91</v>
      </c>
      <c r="G3898" s="6" t="s">
        <v>778</v>
      </c>
      <c r="H3898" s="6" t="s">
        <v>779</v>
      </c>
      <c r="I3898" s="6" t="s">
        <v>31</v>
      </c>
      <c r="J3898" s="6">
        <v>17.094473000000001</v>
      </c>
      <c r="K3898" s="6">
        <v>-96.066383999999999</v>
      </c>
      <c r="L3898" s="6" t="str">
        <f>HYPERLINK("https://maps.google.com/?q=17.094473,-96.066383999999999", "🔗 Ver Mapa")</f>
        <v>🔗 Ver Mapa</v>
      </c>
    </row>
    <row r="3899" spans="1:12" ht="43.5" x14ac:dyDescent="0.35">
      <c r="A3899" s="5" t="s">
        <v>66</v>
      </c>
      <c r="B3899" s="5" t="s">
        <v>67</v>
      </c>
      <c r="C3899" s="5" t="s">
        <v>780</v>
      </c>
      <c r="D3899" s="5" t="s">
        <v>69</v>
      </c>
      <c r="E3899" s="5" t="s">
        <v>52</v>
      </c>
      <c r="F3899" s="5" t="s">
        <v>70</v>
      </c>
      <c r="G3899" s="5" t="s">
        <v>71</v>
      </c>
      <c r="H3899" s="5" t="s">
        <v>72</v>
      </c>
      <c r="I3899" s="5" t="s">
        <v>31</v>
      </c>
      <c r="J3899" s="5">
        <v>17.078447594107999</v>
      </c>
      <c r="K3899" s="5" t="s">
        <v>781</v>
      </c>
      <c r="L3899" s="5" t="str">
        <f>HYPERLINK("https://maps.google.com/?q=17.0784475941075,	-96.71122686043876", "🔗 Ver Mapa")</f>
        <v>🔗 Ver Mapa</v>
      </c>
    </row>
    <row r="3900" spans="1:12" ht="29" x14ac:dyDescent="0.35">
      <c r="A3900" s="6" t="s">
        <v>782</v>
      </c>
      <c r="B3900" s="6" t="s">
        <v>783</v>
      </c>
      <c r="C3900" s="6" t="s">
        <v>784</v>
      </c>
      <c r="D3900" s="6" t="s">
        <v>785</v>
      </c>
      <c r="E3900" s="6" t="s">
        <v>90</v>
      </c>
      <c r="F3900" s="6" t="s">
        <v>119</v>
      </c>
      <c r="G3900" s="6" t="s">
        <v>347</v>
      </c>
      <c r="H3900" s="6" t="s">
        <v>348</v>
      </c>
      <c r="I3900" s="6" t="s">
        <v>31</v>
      </c>
      <c r="J3900" s="6">
        <v>17.326471999999999</v>
      </c>
      <c r="K3900" s="6">
        <v>-96.490019000000004</v>
      </c>
      <c r="L3900" s="6" t="str">
        <f>HYPERLINK("https://maps.google.com/?q=17.326472,-96.490019", "🔗 Ver Mapa")</f>
        <v>🔗 Ver Mapa</v>
      </c>
    </row>
    <row r="3901" spans="1:12" ht="29" x14ac:dyDescent="0.35">
      <c r="A3901" s="5" t="s">
        <v>782</v>
      </c>
      <c r="B3901" s="5" t="s">
        <v>783</v>
      </c>
      <c r="C3901" s="5" t="s">
        <v>786</v>
      </c>
      <c r="D3901" s="5" t="s">
        <v>785</v>
      </c>
      <c r="E3901" s="5" t="s">
        <v>52</v>
      </c>
      <c r="F3901" s="5" t="s">
        <v>53</v>
      </c>
      <c r="G3901" s="5" t="s">
        <v>54</v>
      </c>
      <c r="H3901" s="5" t="s">
        <v>55</v>
      </c>
      <c r="I3901" s="5" t="s">
        <v>31</v>
      </c>
      <c r="J3901" s="5">
        <v>16.906769544953001</v>
      </c>
      <c r="K3901" s="5">
        <v>-96.557968747187005</v>
      </c>
      <c r="L3901" s="5" t="str">
        <f>HYPERLINK("https://maps.google.com/?q=16.906769544952642,-96.55796874718665", "🔗 Ver Mapa")</f>
        <v>🔗 Ver Mapa</v>
      </c>
    </row>
    <row r="3902" spans="1:12" ht="29" x14ac:dyDescent="0.35">
      <c r="A3902" s="6" t="s">
        <v>782</v>
      </c>
      <c r="B3902" s="6" t="s">
        <v>783</v>
      </c>
      <c r="C3902" s="6" t="s">
        <v>787</v>
      </c>
      <c r="D3902" s="6" t="s">
        <v>785</v>
      </c>
      <c r="E3902" s="6" t="s">
        <v>90</v>
      </c>
      <c r="F3902" s="6" t="s">
        <v>91</v>
      </c>
      <c r="G3902" s="6" t="s">
        <v>778</v>
      </c>
      <c r="H3902" s="6" t="s">
        <v>788</v>
      </c>
      <c r="I3902" s="6" t="s">
        <v>31</v>
      </c>
      <c r="J3902" s="6">
        <v>17.140292307113</v>
      </c>
      <c r="K3902" s="6">
        <v>-96.050501660920006</v>
      </c>
      <c r="L3902" s="6" t="str">
        <f>HYPERLINK("https://maps.google.com/?q=17.14029230711287,-96.05050166091969", "🔗 Ver Mapa")</f>
        <v>🔗 Ver Mapa</v>
      </c>
    </row>
    <row r="3903" spans="1:12" ht="43.5" x14ac:dyDescent="0.35">
      <c r="A3903" s="5" t="s">
        <v>782</v>
      </c>
      <c r="B3903" s="5" t="s">
        <v>783</v>
      </c>
      <c r="C3903" s="5" t="s">
        <v>789</v>
      </c>
      <c r="D3903" s="5" t="s">
        <v>785</v>
      </c>
      <c r="E3903" s="5" t="s">
        <v>140</v>
      </c>
      <c r="F3903" s="5" t="s">
        <v>141</v>
      </c>
      <c r="G3903" s="5" t="s">
        <v>187</v>
      </c>
      <c r="H3903" s="5" t="s">
        <v>188</v>
      </c>
      <c r="I3903" s="5" t="s">
        <v>31</v>
      </c>
      <c r="J3903" s="5">
        <v>18.081592384421999</v>
      </c>
      <c r="K3903" s="5">
        <v>-96.162775101852006</v>
      </c>
      <c r="L3903" s="5" t="str">
        <f>HYPERLINK("https://maps.google.com/?q=18.08159238442169,-96.16277510185242", "🔗 Ver Mapa")</f>
        <v>🔗 Ver Mapa</v>
      </c>
    </row>
    <row r="3904" spans="1:12" ht="29" x14ac:dyDescent="0.35">
      <c r="A3904" s="6" t="s">
        <v>782</v>
      </c>
      <c r="B3904" s="6" t="s">
        <v>783</v>
      </c>
      <c r="C3904" s="6" t="s">
        <v>790</v>
      </c>
      <c r="D3904" s="6" t="s">
        <v>785</v>
      </c>
      <c r="E3904" s="6" t="s">
        <v>140</v>
      </c>
      <c r="F3904" s="6" t="s">
        <v>141</v>
      </c>
      <c r="G3904" s="6" t="s">
        <v>791</v>
      </c>
      <c r="H3904" s="6" t="s">
        <v>792</v>
      </c>
      <c r="I3904" s="6" t="s">
        <v>31</v>
      </c>
      <c r="J3904" s="6">
        <v>18.107513321353998</v>
      </c>
      <c r="K3904" s="6">
        <v>-95.881183148478996</v>
      </c>
      <c r="L3904" s="6" t="str">
        <f>HYPERLINK("https://maps.google.com/?q=18.107513321354055,-95.88118314847945", "🔗 Ver Mapa")</f>
        <v>🔗 Ver Mapa</v>
      </c>
    </row>
    <row r="3905" spans="1:12" ht="29" x14ac:dyDescent="0.35">
      <c r="A3905" s="5" t="s">
        <v>782</v>
      </c>
      <c r="B3905" s="5" t="s">
        <v>783</v>
      </c>
      <c r="C3905" s="5" t="s">
        <v>793</v>
      </c>
      <c r="D3905" s="5" t="s">
        <v>785</v>
      </c>
      <c r="E3905" s="5" t="s">
        <v>140</v>
      </c>
      <c r="F3905" s="5" t="s">
        <v>141</v>
      </c>
      <c r="G3905" s="5" t="s">
        <v>142</v>
      </c>
      <c r="H3905" s="5" t="s">
        <v>550</v>
      </c>
      <c r="I3905" s="5" t="s">
        <v>31</v>
      </c>
      <c r="J3905" s="5">
        <v>17.773565000000001</v>
      </c>
      <c r="K3905" s="5">
        <v>-96.313990000000004</v>
      </c>
      <c r="L3905" s="5" t="str">
        <f>HYPERLINK("https://maps.google.com/?q=17.773565,-96.31399", "🔗 Ver Mapa")</f>
        <v>🔗 Ver Mapa</v>
      </c>
    </row>
    <row r="3906" spans="1:12" ht="43.5" x14ac:dyDescent="0.35">
      <c r="A3906" s="6" t="s">
        <v>782</v>
      </c>
      <c r="B3906" s="6" t="s">
        <v>783</v>
      </c>
      <c r="C3906" s="6" t="s">
        <v>794</v>
      </c>
      <c r="D3906" s="6" t="s">
        <v>785</v>
      </c>
      <c r="E3906" s="6" t="s">
        <v>17</v>
      </c>
      <c r="F3906" s="6" t="s">
        <v>46</v>
      </c>
      <c r="G3906" s="6" t="s">
        <v>212</v>
      </c>
      <c r="H3906" s="6" t="s">
        <v>213</v>
      </c>
      <c r="I3906" s="6" t="s">
        <v>31</v>
      </c>
      <c r="J3906" s="6">
        <v>16.010382336770999</v>
      </c>
      <c r="K3906" s="6">
        <v>-97.434405132437007</v>
      </c>
      <c r="L3906" s="6" t="str">
        <f>HYPERLINK("https://maps.google.com/?q=16.01038233677118,-97.43440513243675", "🔗 Ver Mapa")</f>
        <v>🔗 Ver Mapa</v>
      </c>
    </row>
    <row r="3907" spans="1:12" ht="29" x14ac:dyDescent="0.35">
      <c r="A3907" s="5" t="s">
        <v>782</v>
      </c>
      <c r="B3907" s="5" t="s">
        <v>783</v>
      </c>
      <c r="C3907" s="5" t="s">
        <v>795</v>
      </c>
      <c r="D3907" s="5" t="s">
        <v>785</v>
      </c>
      <c r="E3907" s="5" t="s">
        <v>17</v>
      </c>
      <c r="F3907" s="5" t="s">
        <v>46</v>
      </c>
      <c r="G3907" s="5" t="s">
        <v>47</v>
      </c>
      <c r="H3907" s="5" t="s">
        <v>796</v>
      </c>
      <c r="I3907" s="5" t="s">
        <v>31</v>
      </c>
      <c r="J3907" s="5">
        <v>16.230836</v>
      </c>
      <c r="K3907" s="5">
        <v>-97.288962999999995</v>
      </c>
      <c r="L3907" s="5" t="str">
        <f>HYPERLINK("https://maps.google.com/?q=16.230836,-97.288963", "🔗 Ver Mapa")</f>
        <v>🔗 Ver Mapa</v>
      </c>
    </row>
    <row r="3908" spans="1:12" ht="29" x14ac:dyDescent="0.35">
      <c r="A3908" s="6" t="s">
        <v>782</v>
      </c>
      <c r="B3908" s="6" t="s">
        <v>783</v>
      </c>
      <c r="C3908" s="6" t="s">
        <v>797</v>
      </c>
      <c r="D3908" s="6" t="s">
        <v>785</v>
      </c>
      <c r="E3908" s="6" t="s">
        <v>158</v>
      </c>
      <c r="F3908" s="6" t="s">
        <v>159</v>
      </c>
      <c r="G3908" s="6" t="s">
        <v>278</v>
      </c>
      <c r="H3908" s="6" t="s">
        <v>279</v>
      </c>
      <c r="I3908" s="6" t="s">
        <v>31</v>
      </c>
      <c r="J3908" s="6">
        <v>16.43374</v>
      </c>
      <c r="K3908" s="6">
        <v>-95.018045999999998</v>
      </c>
      <c r="L3908" s="6" t="str">
        <f>HYPERLINK("https://maps.google.com/?q=16.43374,-95.018046", "🔗 Ver Mapa")</f>
        <v>🔗 Ver Mapa</v>
      </c>
    </row>
    <row r="3909" spans="1:12" ht="29" x14ac:dyDescent="0.35">
      <c r="A3909" s="5" t="s">
        <v>782</v>
      </c>
      <c r="B3909" s="5" t="s">
        <v>783</v>
      </c>
      <c r="C3909" s="5" t="s">
        <v>798</v>
      </c>
      <c r="D3909" s="5" t="s">
        <v>785</v>
      </c>
      <c r="E3909" s="5" t="s">
        <v>17</v>
      </c>
      <c r="F3909" s="5" t="s">
        <v>46</v>
      </c>
      <c r="G3909" s="5" t="s">
        <v>241</v>
      </c>
      <c r="H3909" s="5" t="s">
        <v>799</v>
      </c>
      <c r="I3909" s="5" t="s">
        <v>31</v>
      </c>
      <c r="J3909" s="5">
        <v>15.867338</v>
      </c>
      <c r="K3909" s="5">
        <v>-97.076071999999996</v>
      </c>
      <c r="L3909" s="5" t="str">
        <f>HYPERLINK("https://maps.google.com/?q=15.867338,-97.076072", "🔗 Ver Mapa")</f>
        <v>🔗 Ver Mapa</v>
      </c>
    </row>
    <row r="3910" spans="1:12" ht="29" x14ac:dyDescent="0.35">
      <c r="A3910" s="6" t="s">
        <v>782</v>
      </c>
      <c r="B3910" s="6" t="s">
        <v>783</v>
      </c>
      <c r="C3910" s="6" t="s">
        <v>800</v>
      </c>
      <c r="D3910" s="6" t="s">
        <v>785</v>
      </c>
      <c r="E3910" s="6" t="s">
        <v>158</v>
      </c>
      <c r="F3910" s="6" t="s">
        <v>166</v>
      </c>
      <c r="G3910" s="6" t="s">
        <v>167</v>
      </c>
      <c r="H3910" s="6" t="s">
        <v>168</v>
      </c>
      <c r="I3910" s="6" t="s">
        <v>31</v>
      </c>
      <c r="J3910" s="6">
        <v>16.290781800000001</v>
      </c>
      <c r="K3910" s="6">
        <v>-95.2329182</v>
      </c>
      <c r="L3910" s="6" t="str">
        <f>HYPERLINK("https://maps.google.com/?q=16.2907818,-95.2329182", "🔗 Ver Mapa")</f>
        <v>🔗 Ver Mapa</v>
      </c>
    </row>
    <row r="3911" spans="1:12" ht="29" x14ac:dyDescent="0.35">
      <c r="A3911" s="5" t="s">
        <v>782</v>
      </c>
      <c r="B3911" s="5" t="s">
        <v>783</v>
      </c>
      <c r="C3911" s="5" t="s">
        <v>801</v>
      </c>
      <c r="D3911" s="5" t="s">
        <v>785</v>
      </c>
      <c r="E3911" s="5" t="s">
        <v>16</v>
      </c>
      <c r="F3911" s="5" t="s">
        <v>19</v>
      </c>
      <c r="G3911" s="5" t="s">
        <v>199</v>
      </c>
      <c r="H3911" s="5" t="s">
        <v>200</v>
      </c>
      <c r="I3911" s="5" t="s">
        <v>31</v>
      </c>
      <c r="J3911" s="5">
        <v>17.450281400000001</v>
      </c>
      <c r="K3911" s="5">
        <v>-97.225345599999997</v>
      </c>
      <c r="L3911" s="5" t="str">
        <f>HYPERLINK("https://maps.google.com/?q=17.4502814,-97.2253456", "🔗 Ver Mapa")</f>
        <v>🔗 Ver Mapa</v>
      </c>
    </row>
    <row r="3912" spans="1:12" ht="29" x14ac:dyDescent="0.35">
      <c r="A3912" s="6" t="s">
        <v>782</v>
      </c>
      <c r="B3912" s="6" t="s">
        <v>783</v>
      </c>
      <c r="C3912" s="6" t="s">
        <v>802</v>
      </c>
      <c r="D3912" s="6" t="s">
        <v>785</v>
      </c>
      <c r="E3912" s="6" t="s">
        <v>158</v>
      </c>
      <c r="F3912" s="6" t="s">
        <v>159</v>
      </c>
      <c r="G3912" s="6" t="s">
        <v>205</v>
      </c>
      <c r="H3912" s="6" t="s">
        <v>803</v>
      </c>
      <c r="I3912" s="6" t="s">
        <v>31</v>
      </c>
      <c r="J3912" s="6">
        <v>16.876038746452998</v>
      </c>
      <c r="K3912" s="6">
        <v>-95.036580255732005</v>
      </c>
      <c r="L3912" s="6" t="str">
        <f>HYPERLINK("https://maps.google.com/?q=16.8760387464535,-95.03658025573160", "🔗 Ver Mapa")</f>
        <v>🔗 Ver Mapa</v>
      </c>
    </row>
    <row r="3913" spans="1:12" ht="29" x14ac:dyDescent="0.35">
      <c r="A3913" s="5" t="s">
        <v>782</v>
      </c>
      <c r="B3913" s="5" t="s">
        <v>783</v>
      </c>
      <c r="C3913" s="5" t="s">
        <v>804</v>
      </c>
      <c r="D3913" s="5" t="s">
        <v>785</v>
      </c>
      <c r="E3913" s="5" t="s">
        <v>158</v>
      </c>
      <c r="F3913" s="5" t="s">
        <v>159</v>
      </c>
      <c r="G3913" s="5" t="s">
        <v>805</v>
      </c>
      <c r="H3913" s="5" t="s">
        <v>806</v>
      </c>
      <c r="I3913" s="5" t="s">
        <v>31</v>
      </c>
      <c r="J3913" s="5">
        <v>16.28114670103</v>
      </c>
      <c r="K3913" s="5">
        <v>-94.522787213431002</v>
      </c>
      <c r="L3913" s="5" t="str">
        <f>HYPERLINK("https://maps.google.com/?q=16.28114670102987,-94.52278721343117", "🔗 Ver Mapa")</f>
        <v>🔗 Ver Mapa</v>
      </c>
    </row>
    <row r="3914" spans="1:12" ht="29" x14ac:dyDescent="0.35">
      <c r="A3914" s="6" t="s">
        <v>782</v>
      </c>
      <c r="B3914" s="6" t="s">
        <v>783</v>
      </c>
      <c r="C3914" s="6" t="s">
        <v>807</v>
      </c>
      <c r="D3914" s="6" t="s">
        <v>785</v>
      </c>
      <c r="E3914" s="6" t="s">
        <v>158</v>
      </c>
      <c r="F3914" s="6" t="s">
        <v>159</v>
      </c>
      <c r="G3914" s="6" t="s">
        <v>808</v>
      </c>
      <c r="H3914" s="6" t="s">
        <v>809</v>
      </c>
      <c r="I3914" s="6" t="s">
        <v>31</v>
      </c>
      <c r="J3914" s="6">
        <v>16.478024039659999</v>
      </c>
      <c r="K3914" s="6">
        <v>-94.355369569519993</v>
      </c>
      <c r="L3914" s="6" t="str">
        <f>HYPERLINK("https://maps.google.com/?q=16.47802403966048,-94.35536956951994", "🔗 Ver Mapa")</f>
        <v>🔗 Ver Mapa</v>
      </c>
    </row>
    <row r="3915" spans="1:12" ht="29" x14ac:dyDescent="0.35">
      <c r="A3915" s="5" t="s">
        <v>782</v>
      </c>
      <c r="B3915" s="5" t="s">
        <v>783</v>
      </c>
      <c r="C3915" s="5" t="s">
        <v>810</v>
      </c>
      <c r="D3915" s="5" t="s">
        <v>785</v>
      </c>
      <c r="E3915" s="5" t="s">
        <v>158</v>
      </c>
      <c r="F3915" s="5" t="s">
        <v>166</v>
      </c>
      <c r="G3915" s="5" t="s">
        <v>269</v>
      </c>
      <c r="H3915" s="5" t="s">
        <v>270</v>
      </c>
      <c r="I3915" s="5" t="s">
        <v>31</v>
      </c>
      <c r="J3915" s="5">
        <v>16.328883999999999</v>
      </c>
      <c r="K3915" s="5">
        <v>-95.222875999999999</v>
      </c>
      <c r="L3915" s="5" t="str">
        <f>HYPERLINK("https://maps.google.com/?q=16.328884,-95.222876", "🔗 Ver Mapa")</f>
        <v>🔗 Ver Mapa</v>
      </c>
    </row>
    <row r="3916" spans="1:12" ht="29" x14ac:dyDescent="0.35">
      <c r="A3916" s="6" t="s">
        <v>782</v>
      </c>
      <c r="B3916" s="6" t="s">
        <v>783</v>
      </c>
      <c r="C3916" s="6" t="s">
        <v>811</v>
      </c>
      <c r="D3916" s="6" t="s">
        <v>785</v>
      </c>
      <c r="E3916" s="6" t="s">
        <v>158</v>
      </c>
      <c r="F3916" s="6" t="s">
        <v>166</v>
      </c>
      <c r="G3916" s="6" t="s">
        <v>812</v>
      </c>
      <c r="H3916" s="6" t="s">
        <v>813</v>
      </c>
      <c r="I3916" s="6" t="s">
        <v>31</v>
      </c>
      <c r="J3916" s="6">
        <v>16.445032000000001</v>
      </c>
      <c r="K3916" s="6">
        <v>-95.442350000000005</v>
      </c>
      <c r="L3916" s="6" t="str">
        <f>HYPERLINK("https://maps.google.com/?q=16.445032,-95.44235", "🔗 Ver Mapa")</f>
        <v>🔗 Ver Mapa</v>
      </c>
    </row>
    <row r="3917" spans="1:12" ht="29" x14ac:dyDescent="0.35">
      <c r="A3917" s="5" t="s">
        <v>782</v>
      </c>
      <c r="B3917" s="5" t="s">
        <v>783</v>
      </c>
      <c r="C3917" s="5" t="s">
        <v>814</v>
      </c>
      <c r="D3917" s="5" t="s">
        <v>785</v>
      </c>
      <c r="E3917" s="5" t="s">
        <v>158</v>
      </c>
      <c r="F3917" s="5" t="s">
        <v>166</v>
      </c>
      <c r="G3917" s="5" t="s">
        <v>815</v>
      </c>
      <c r="H3917" s="5" t="s">
        <v>816</v>
      </c>
      <c r="I3917" s="5" t="s">
        <v>31</v>
      </c>
      <c r="J3917" s="5">
        <v>16.404182123735001</v>
      </c>
      <c r="K3917" s="5">
        <v>-95.601760659964</v>
      </c>
      <c r="L3917" s="5" t="str">
        <f>HYPERLINK("https://maps.google.com/?q=16.40418212373509,-95.60176065996397", "🔗 Ver Mapa")</f>
        <v>🔗 Ver Mapa</v>
      </c>
    </row>
    <row r="3918" spans="1:12" ht="43.5" x14ac:dyDescent="0.35">
      <c r="A3918" s="6" t="s">
        <v>782</v>
      </c>
      <c r="B3918" s="6" t="s">
        <v>783</v>
      </c>
      <c r="C3918" s="6" t="s">
        <v>817</v>
      </c>
      <c r="D3918" s="6" t="s">
        <v>785</v>
      </c>
      <c r="E3918" s="6" t="s">
        <v>158</v>
      </c>
      <c r="F3918" s="6" t="s">
        <v>166</v>
      </c>
      <c r="G3918" s="6" t="s">
        <v>167</v>
      </c>
      <c r="H3918" s="6" t="s">
        <v>168</v>
      </c>
      <c r="I3918" s="6" t="s">
        <v>31</v>
      </c>
      <c r="J3918" s="6">
        <v>16.339666123002999</v>
      </c>
      <c r="K3918" s="6">
        <v>-95.225649762955001</v>
      </c>
      <c r="L3918" s="6" t="str">
        <f>HYPERLINK("https://maps.google.com/?q=16.33966612300298,-95.2256497629547", "🔗 Ver Mapa")</f>
        <v>🔗 Ver Mapa</v>
      </c>
    </row>
    <row r="3919" spans="1:12" ht="29" x14ac:dyDescent="0.35">
      <c r="A3919" s="5" t="s">
        <v>782</v>
      </c>
      <c r="B3919" s="5" t="s">
        <v>783</v>
      </c>
      <c r="C3919" s="5" t="s">
        <v>818</v>
      </c>
      <c r="D3919" s="5" t="s">
        <v>785</v>
      </c>
      <c r="E3919" s="5" t="s">
        <v>158</v>
      </c>
      <c r="F3919" s="5" t="s">
        <v>166</v>
      </c>
      <c r="G3919" s="5" t="s">
        <v>819</v>
      </c>
      <c r="H3919" s="5" t="s">
        <v>820</v>
      </c>
      <c r="I3919" s="5" t="s">
        <v>31</v>
      </c>
      <c r="J3919" s="5">
        <v>16.181999999999999</v>
      </c>
      <c r="K3919" s="5">
        <v>-95.194900000000004</v>
      </c>
      <c r="L3919" s="5" t="str">
        <f>HYPERLINK("https://maps.google.com/?q=16.182,-95.1949", "🔗 Ver Mapa")</f>
        <v>🔗 Ver Mapa</v>
      </c>
    </row>
    <row r="3920" spans="1:12" ht="43.5" x14ac:dyDescent="0.35">
      <c r="A3920" s="6" t="s">
        <v>782</v>
      </c>
      <c r="B3920" s="6" t="s">
        <v>783</v>
      </c>
      <c r="C3920" s="6" t="s">
        <v>821</v>
      </c>
      <c r="D3920" s="6" t="s">
        <v>785</v>
      </c>
      <c r="E3920" s="6" t="s">
        <v>158</v>
      </c>
      <c r="F3920" s="6" t="s">
        <v>166</v>
      </c>
      <c r="G3920" s="6" t="s">
        <v>167</v>
      </c>
      <c r="H3920" s="6" t="s">
        <v>168</v>
      </c>
      <c r="I3920" s="6" t="s">
        <v>31</v>
      </c>
      <c r="J3920" s="6">
        <v>16.291465850000002</v>
      </c>
      <c r="K3920" s="6">
        <v>-95.231428390000005</v>
      </c>
      <c r="L3920" s="6" t="str">
        <f>HYPERLINK("https://maps.google.com/?q=16.29146585,-95.23142839", "🔗 Ver Mapa")</f>
        <v>🔗 Ver Mapa</v>
      </c>
    </row>
    <row r="3921" spans="1:12" ht="29" x14ac:dyDescent="0.35">
      <c r="A3921" s="5" t="s">
        <v>782</v>
      </c>
      <c r="B3921" s="5" t="s">
        <v>783</v>
      </c>
      <c r="C3921" s="5" t="s">
        <v>822</v>
      </c>
      <c r="D3921" s="5" t="s">
        <v>785</v>
      </c>
      <c r="E3921" s="5" t="s">
        <v>158</v>
      </c>
      <c r="F3921" s="5" t="s">
        <v>159</v>
      </c>
      <c r="G3921" s="5" t="s">
        <v>766</v>
      </c>
      <c r="H3921" s="5" t="s">
        <v>767</v>
      </c>
      <c r="I3921" s="5" t="s">
        <v>31</v>
      </c>
      <c r="J3921" s="5">
        <v>16.563738000000001</v>
      </c>
      <c r="K3921" s="5">
        <v>-95.098838999999998</v>
      </c>
      <c r="L3921" s="5" t="str">
        <f>HYPERLINK("https://maps.google.com/?q=16.563738,-95.098839", "🔗 Ver Mapa")</f>
        <v>🔗 Ver Mapa</v>
      </c>
    </row>
    <row r="3922" spans="1:12" ht="29" x14ac:dyDescent="0.35">
      <c r="A3922" s="6" t="s">
        <v>782</v>
      </c>
      <c r="B3922" s="6" t="s">
        <v>783</v>
      </c>
      <c r="C3922" s="6" t="s">
        <v>823</v>
      </c>
      <c r="D3922" s="6" t="s">
        <v>785</v>
      </c>
      <c r="E3922" s="6" t="s">
        <v>158</v>
      </c>
      <c r="F3922" s="6" t="s">
        <v>166</v>
      </c>
      <c r="G3922" s="6" t="s">
        <v>167</v>
      </c>
      <c r="H3922" s="6" t="s">
        <v>824</v>
      </c>
      <c r="I3922" s="6" t="s">
        <v>31</v>
      </c>
      <c r="J3922" s="6">
        <v>16.228311119472</v>
      </c>
      <c r="K3922" s="6">
        <v>-95.314978358149006</v>
      </c>
      <c r="L3922" s="6" t="str">
        <f>HYPERLINK("https://maps.google.com/?q=16.22831111947234,-95.31497835814874", "🔗 Ver Mapa")</f>
        <v>🔗 Ver Mapa</v>
      </c>
    </row>
    <row r="3923" spans="1:12" ht="43.5" x14ac:dyDescent="0.35">
      <c r="A3923" s="5" t="s">
        <v>297</v>
      </c>
      <c r="B3923" s="5" t="s">
        <v>298</v>
      </c>
      <c r="C3923" s="5" t="s">
        <v>825</v>
      </c>
      <c r="D3923" s="5" t="s">
        <v>13</v>
      </c>
      <c r="E3923" s="5" t="s">
        <v>52</v>
      </c>
      <c r="F3923" s="5" t="s">
        <v>70</v>
      </c>
      <c r="G3923" s="5" t="s">
        <v>71</v>
      </c>
      <c r="H3923" s="5" t="s">
        <v>72</v>
      </c>
      <c r="I3923" s="5" t="s">
        <v>31</v>
      </c>
      <c r="J3923" s="5">
        <v>17.047000000000001</v>
      </c>
      <c r="K3923" s="5">
        <v>-96.713660000000004</v>
      </c>
      <c r="L3923" s="5" t="str">
        <f>HYPERLINK("https://maps.google.com/?q=17.047,-96.71366", "🔗 Ver Mapa")</f>
        <v>🔗 Ver Mapa</v>
      </c>
    </row>
    <row r="3924" spans="1:12" ht="43.5" x14ac:dyDescent="0.35">
      <c r="A3924" s="6" t="s">
        <v>297</v>
      </c>
      <c r="B3924" s="6" t="s">
        <v>298</v>
      </c>
      <c r="C3924" s="6" t="s">
        <v>825</v>
      </c>
      <c r="D3924" s="6" t="s">
        <v>13</v>
      </c>
      <c r="E3924" s="6" t="s">
        <v>52</v>
      </c>
      <c r="F3924" s="6" t="s">
        <v>70</v>
      </c>
      <c r="G3924" s="6" t="s">
        <v>71</v>
      </c>
      <c r="H3924" s="6" t="s">
        <v>72</v>
      </c>
      <c r="I3924" s="6" t="s">
        <v>31</v>
      </c>
      <c r="J3924" s="6">
        <v>17.047000000000001</v>
      </c>
      <c r="K3924" s="6">
        <v>-96.713660000000004</v>
      </c>
      <c r="L3924" s="6" t="str">
        <f>HYPERLINK("https://maps.google.com/?q=17.047,-96.71366", "🔗 Ver Mapa")</f>
        <v>🔗 Ver Mapa</v>
      </c>
    </row>
    <row r="3925" spans="1:12" ht="43.5" x14ac:dyDescent="0.35">
      <c r="A3925" s="5" t="s">
        <v>297</v>
      </c>
      <c r="B3925" s="5" t="s">
        <v>298</v>
      </c>
      <c r="C3925" s="5" t="s">
        <v>825</v>
      </c>
      <c r="D3925" s="5" t="s">
        <v>13</v>
      </c>
      <c r="E3925" s="5" t="s">
        <v>52</v>
      </c>
      <c r="F3925" s="5" t="s">
        <v>70</v>
      </c>
      <c r="G3925" s="5" t="s">
        <v>71</v>
      </c>
      <c r="H3925" s="5" t="s">
        <v>72</v>
      </c>
      <c r="I3925" s="5" t="s">
        <v>31</v>
      </c>
      <c r="J3925" s="5">
        <v>17.047000000000001</v>
      </c>
      <c r="K3925" s="5">
        <v>-96.713660000000004</v>
      </c>
      <c r="L3925" s="5" t="str">
        <f>HYPERLINK("https://maps.google.com/?q=17.047,-96.71366", "🔗 Ver Mapa")</f>
        <v>🔗 Ver Mapa</v>
      </c>
    </row>
    <row r="3926" spans="1:12" ht="43.5" x14ac:dyDescent="0.35">
      <c r="A3926" s="6" t="s">
        <v>297</v>
      </c>
      <c r="B3926" s="6" t="s">
        <v>298</v>
      </c>
      <c r="C3926" s="6" t="s">
        <v>825</v>
      </c>
      <c r="D3926" s="6" t="s">
        <v>13</v>
      </c>
      <c r="E3926" s="6" t="s">
        <v>52</v>
      </c>
      <c r="F3926" s="6" t="s">
        <v>70</v>
      </c>
      <c r="G3926" s="6" t="s">
        <v>71</v>
      </c>
      <c r="H3926" s="6" t="s">
        <v>72</v>
      </c>
      <c r="I3926" s="6" t="s">
        <v>31</v>
      </c>
      <c r="J3926" s="6">
        <v>17.047000000000001</v>
      </c>
      <c r="K3926" s="6">
        <v>-96.713660000000004</v>
      </c>
      <c r="L3926" s="6" t="str">
        <f>HYPERLINK("https://maps.google.com/?q=17.047,-96.71366", "🔗 Ver Mapa")</f>
        <v>🔗 Ver Mapa</v>
      </c>
    </row>
    <row r="3927" spans="1:12" ht="87" x14ac:dyDescent="0.35">
      <c r="A3927" s="5" t="s">
        <v>297</v>
      </c>
      <c r="B3927" s="5" t="s">
        <v>298</v>
      </c>
      <c r="C3927" s="5" t="s">
        <v>826</v>
      </c>
      <c r="D3927" s="5" t="s">
        <v>13</v>
      </c>
      <c r="E3927" s="5" t="s">
        <v>52</v>
      </c>
      <c r="F3927" s="5" t="s">
        <v>70</v>
      </c>
      <c r="G3927" s="5" t="s">
        <v>71</v>
      </c>
      <c r="H3927" s="5" t="s">
        <v>72</v>
      </c>
      <c r="I3927" s="5" t="s">
        <v>32</v>
      </c>
      <c r="J3927" s="5">
        <v>17.058717000000001</v>
      </c>
      <c r="K3927" s="5">
        <v>-96.753580999999997</v>
      </c>
      <c r="L3927" s="5" t="str">
        <f>HYPERLINK("https://maps.google.com/?q=17.058717,-96.753580999999997", "🔗 Ver Mapa")</f>
        <v>🔗 Ver Mapa</v>
      </c>
    </row>
    <row r="3928" spans="1:12" ht="87" x14ac:dyDescent="0.35">
      <c r="A3928" s="6" t="s">
        <v>297</v>
      </c>
      <c r="B3928" s="6" t="s">
        <v>298</v>
      </c>
      <c r="C3928" s="6" t="s">
        <v>826</v>
      </c>
      <c r="D3928" s="6" t="s">
        <v>13</v>
      </c>
      <c r="E3928" s="6" t="s">
        <v>52</v>
      </c>
      <c r="F3928" s="6" t="s">
        <v>70</v>
      </c>
      <c r="G3928" s="6" t="s">
        <v>71</v>
      </c>
      <c r="H3928" s="6" t="s">
        <v>72</v>
      </c>
      <c r="I3928" s="6" t="s">
        <v>32</v>
      </c>
      <c r="J3928" s="6">
        <v>17.058717000000001</v>
      </c>
      <c r="K3928" s="6">
        <v>-96.753580999999997</v>
      </c>
      <c r="L3928" s="6" t="str">
        <f>HYPERLINK("https://maps.google.com/?q=17.058717,-96.753580999999997", "🔗 Ver Mapa")</f>
        <v>🔗 Ver Mapa</v>
      </c>
    </row>
    <row r="3929" spans="1:12" ht="87" x14ac:dyDescent="0.35">
      <c r="A3929" s="5" t="s">
        <v>297</v>
      </c>
      <c r="B3929" s="5" t="s">
        <v>298</v>
      </c>
      <c r="C3929" s="5" t="s">
        <v>826</v>
      </c>
      <c r="D3929" s="5" t="s">
        <v>13</v>
      </c>
      <c r="E3929" s="5" t="s">
        <v>52</v>
      </c>
      <c r="F3929" s="5" t="s">
        <v>70</v>
      </c>
      <c r="G3929" s="5" t="s">
        <v>71</v>
      </c>
      <c r="H3929" s="5" t="s">
        <v>72</v>
      </c>
      <c r="I3929" s="5" t="s">
        <v>32</v>
      </c>
      <c r="J3929" s="5">
        <v>17.058717000000001</v>
      </c>
      <c r="K3929" s="5">
        <v>-96.753580999999997</v>
      </c>
      <c r="L3929" s="5" t="str">
        <f>HYPERLINK("https://maps.google.com/?q=17.058717,-96.753580999999997", "🔗 Ver Mapa")</f>
        <v>🔗 Ver Mapa</v>
      </c>
    </row>
    <row r="3930" spans="1:12" ht="87" x14ac:dyDescent="0.35">
      <c r="A3930" s="6" t="s">
        <v>297</v>
      </c>
      <c r="B3930" s="6" t="s">
        <v>298</v>
      </c>
      <c r="C3930" s="6" t="s">
        <v>826</v>
      </c>
      <c r="D3930" s="6" t="s">
        <v>13</v>
      </c>
      <c r="E3930" s="6" t="s">
        <v>52</v>
      </c>
      <c r="F3930" s="6" t="s">
        <v>70</v>
      </c>
      <c r="G3930" s="6" t="s">
        <v>71</v>
      </c>
      <c r="H3930" s="6" t="s">
        <v>72</v>
      </c>
      <c r="I3930" s="6" t="s">
        <v>32</v>
      </c>
      <c r="J3930" s="6">
        <v>17.058717000000001</v>
      </c>
      <c r="K3930" s="6">
        <v>-96.753580999999997</v>
      </c>
      <c r="L3930" s="6" t="str">
        <f>HYPERLINK("https://maps.google.com/?q=17.058717,-96.753580999999997", "🔗 Ver Mapa")</f>
        <v>🔗 Ver Mapa</v>
      </c>
    </row>
    <row r="3931" spans="1:12" ht="87" x14ac:dyDescent="0.35">
      <c r="A3931" s="5" t="s">
        <v>297</v>
      </c>
      <c r="B3931" s="5" t="s">
        <v>298</v>
      </c>
      <c r="C3931" s="5" t="s">
        <v>826</v>
      </c>
      <c r="D3931" s="5" t="s">
        <v>13</v>
      </c>
      <c r="E3931" s="5" t="s">
        <v>52</v>
      </c>
      <c r="F3931" s="5" t="s">
        <v>70</v>
      </c>
      <c r="G3931" s="5" t="s">
        <v>71</v>
      </c>
      <c r="H3931" s="5" t="s">
        <v>72</v>
      </c>
      <c r="I3931" s="5" t="s">
        <v>32</v>
      </c>
      <c r="J3931" s="5">
        <v>17.058951</v>
      </c>
      <c r="K3931" s="5">
        <v>-96.751512000000005</v>
      </c>
      <c r="L3931" s="5" t="str">
        <f>HYPERLINK("https://maps.google.com/?q=17.058951,-96.751512000000005", "🔗 Ver Mapa")</f>
        <v>🔗 Ver Mapa</v>
      </c>
    </row>
    <row r="3932" spans="1:12" ht="87" x14ac:dyDescent="0.35">
      <c r="A3932" s="6" t="s">
        <v>297</v>
      </c>
      <c r="B3932" s="6" t="s">
        <v>298</v>
      </c>
      <c r="C3932" s="6" t="s">
        <v>826</v>
      </c>
      <c r="D3932" s="6" t="s">
        <v>13</v>
      </c>
      <c r="E3932" s="6" t="s">
        <v>52</v>
      </c>
      <c r="F3932" s="6" t="s">
        <v>70</v>
      </c>
      <c r="G3932" s="6" t="s">
        <v>71</v>
      </c>
      <c r="H3932" s="6" t="s">
        <v>72</v>
      </c>
      <c r="I3932" s="6" t="s">
        <v>32</v>
      </c>
      <c r="J3932" s="6">
        <v>17.058951</v>
      </c>
      <c r="K3932" s="6">
        <v>-96.751512000000005</v>
      </c>
      <c r="L3932" s="6" t="str">
        <f>HYPERLINK("https://maps.google.com/?q=17.058951,-96.751512000000005", "🔗 Ver Mapa")</f>
        <v>🔗 Ver Mapa</v>
      </c>
    </row>
    <row r="3933" spans="1:12" ht="87" x14ac:dyDescent="0.35">
      <c r="A3933" s="5" t="s">
        <v>297</v>
      </c>
      <c r="B3933" s="5" t="s">
        <v>298</v>
      </c>
      <c r="C3933" s="5" t="s">
        <v>826</v>
      </c>
      <c r="D3933" s="5" t="s">
        <v>13</v>
      </c>
      <c r="E3933" s="5" t="s">
        <v>52</v>
      </c>
      <c r="F3933" s="5" t="s">
        <v>70</v>
      </c>
      <c r="G3933" s="5" t="s">
        <v>71</v>
      </c>
      <c r="H3933" s="5" t="s">
        <v>72</v>
      </c>
      <c r="I3933" s="5" t="s">
        <v>32</v>
      </c>
      <c r="J3933" s="5">
        <v>17.058951</v>
      </c>
      <c r="K3933" s="5">
        <v>-96.751512000000005</v>
      </c>
      <c r="L3933" s="5" t="str">
        <f>HYPERLINK("https://maps.google.com/?q=17.058951,-96.751512000000005", "🔗 Ver Mapa")</f>
        <v>🔗 Ver Mapa</v>
      </c>
    </row>
    <row r="3934" spans="1:12" ht="87" x14ac:dyDescent="0.35">
      <c r="A3934" s="6" t="s">
        <v>297</v>
      </c>
      <c r="B3934" s="6" t="s">
        <v>298</v>
      </c>
      <c r="C3934" s="6" t="s">
        <v>826</v>
      </c>
      <c r="D3934" s="6" t="s">
        <v>13</v>
      </c>
      <c r="E3934" s="6" t="s">
        <v>52</v>
      </c>
      <c r="F3934" s="6" t="s">
        <v>70</v>
      </c>
      <c r="G3934" s="6" t="s">
        <v>71</v>
      </c>
      <c r="H3934" s="6" t="s">
        <v>72</v>
      </c>
      <c r="I3934" s="6" t="s">
        <v>32</v>
      </c>
      <c r="J3934" s="6">
        <v>17.058951</v>
      </c>
      <c r="K3934" s="6">
        <v>-96.751512000000005</v>
      </c>
      <c r="L3934" s="6" t="str">
        <f>HYPERLINK("https://maps.google.com/?q=17.058951,-96.751512000000005", "🔗 Ver Mapa")</f>
        <v>🔗 Ver Mapa</v>
      </c>
    </row>
    <row r="3935" spans="1:12" ht="87" x14ac:dyDescent="0.35">
      <c r="A3935" s="5" t="s">
        <v>297</v>
      </c>
      <c r="B3935" s="5" t="s">
        <v>298</v>
      </c>
      <c r="C3935" s="5" t="s">
        <v>826</v>
      </c>
      <c r="D3935" s="5" t="s">
        <v>13</v>
      </c>
      <c r="E3935" s="5" t="s">
        <v>52</v>
      </c>
      <c r="F3935" s="5" t="s">
        <v>70</v>
      </c>
      <c r="G3935" s="5" t="s">
        <v>71</v>
      </c>
      <c r="H3935" s="5" t="s">
        <v>72</v>
      </c>
      <c r="I3935" s="5" t="s">
        <v>32</v>
      </c>
      <c r="J3935" s="5">
        <v>17.058954</v>
      </c>
      <c r="K3935" s="5">
        <v>-96.752435000000006</v>
      </c>
      <c r="L3935" s="5" t="str">
        <f>HYPERLINK("https://maps.google.com/?q=17.058954,-96.752435000000006", "🔗 Ver Mapa")</f>
        <v>🔗 Ver Mapa</v>
      </c>
    </row>
    <row r="3936" spans="1:12" ht="87" x14ac:dyDescent="0.35">
      <c r="A3936" s="6" t="s">
        <v>297</v>
      </c>
      <c r="B3936" s="6" t="s">
        <v>298</v>
      </c>
      <c r="C3936" s="6" t="s">
        <v>826</v>
      </c>
      <c r="D3936" s="6" t="s">
        <v>13</v>
      </c>
      <c r="E3936" s="6" t="s">
        <v>52</v>
      </c>
      <c r="F3936" s="6" t="s">
        <v>70</v>
      </c>
      <c r="G3936" s="6" t="s">
        <v>71</v>
      </c>
      <c r="H3936" s="6" t="s">
        <v>72</v>
      </c>
      <c r="I3936" s="6" t="s">
        <v>32</v>
      </c>
      <c r="J3936" s="6">
        <v>17.058954</v>
      </c>
      <c r="K3936" s="6">
        <v>-96.752435000000006</v>
      </c>
      <c r="L3936" s="6" t="str">
        <f>HYPERLINK("https://maps.google.com/?q=17.058954,-96.752435000000006", "🔗 Ver Mapa")</f>
        <v>🔗 Ver Mapa</v>
      </c>
    </row>
    <row r="3937" spans="1:12" ht="87" x14ac:dyDescent="0.35">
      <c r="A3937" s="5" t="s">
        <v>297</v>
      </c>
      <c r="B3937" s="5" t="s">
        <v>298</v>
      </c>
      <c r="C3937" s="5" t="s">
        <v>826</v>
      </c>
      <c r="D3937" s="5" t="s">
        <v>13</v>
      </c>
      <c r="E3937" s="5" t="s">
        <v>52</v>
      </c>
      <c r="F3937" s="5" t="s">
        <v>70</v>
      </c>
      <c r="G3937" s="5" t="s">
        <v>71</v>
      </c>
      <c r="H3937" s="5" t="s">
        <v>72</v>
      </c>
      <c r="I3937" s="5" t="s">
        <v>32</v>
      </c>
      <c r="J3937" s="5">
        <v>17.058954</v>
      </c>
      <c r="K3937" s="5">
        <v>-96.752435000000006</v>
      </c>
      <c r="L3937" s="5" t="str">
        <f>HYPERLINK("https://maps.google.com/?q=17.058954,-96.752435000000006", "🔗 Ver Mapa")</f>
        <v>🔗 Ver Mapa</v>
      </c>
    </row>
    <row r="3938" spans="1:12" ht="87" x14ac:dyDescent="0.35">
      <c r="A3938" s="6" t="s">
        <v>297</v>
      </c>
      <c r="B3938" s="6" t="s">
        <v>298</v>
      </c>
      <c r="C3938" s="6" t="s">
        <v>826</v>
      </c>
      <c r="D3938" s="6" t="s">
        <v>13</v>
      </c>
      <c r="E3938" s="6" t="s">
        <v>52</v>
      </c>
      <c r="F3938" s="6" t="s">
        <v>70</v>
      </c>
      <c r="G3938" s="6" t="s">
        <v>71</v>
      </c>
      <c r="H3938" s="6" t="s">
        <v>72</v>
      </c>
      <c r="I3938" s="6" t="s">
        <v>32</v>
      </c>
      <c r="J3938" s="6">
        <v>17.058954</v>
      </c>
      <c r="K3938" s="6">
        <v>-96.752435000000006</v>
      </c>
      <c r="L3938" s="6" t="str">
        <f>HYPERLINK("https://maps.google.com/?q=17.058954,-96.752435000000006", "🔗 Ver Mapa")</f>
        <v>🔗 Ver Mapa</v>
      </c>
    </row>
    <row r="3939" spans="1:12" ht="87" x14ac:dyDescent="0.35">
      <c r="A3939" s="5" t="s">
        <v>297</v>
      </c>
      <c r="B3939" s="5" t="s">
        <v>298</v>
      </c>
      <c r="C3939" s="5" t="s">
        <v>826</v>
      </c>
      <c r="D3939" s="5" t="s">
        <v>13</v>
      </c>
      <c r="E3939" s="5" t="s">
        <v>52</v>
      </c>
      <c r="F3939" s="5" t="s">
        <v>70</v>
      </c>
      <c r="G3939" s="5" t="s">
        <v>71</v>
      </c>
      <c r="H3939" s="5" t="s">
        <v>72</v>
      </c>
      <c r="I3939" s="5" t="s">
        <v>32</v>
      </c>
      <c r="J3939" s="5">
        <v>17.059170999999999</v>
      </c>
      <c r="K3939" s="5">
        <v>-96.750380000000007</v>
      </c>
      <c r="L3939" s="5" t="str">
        <f>HYPERLINK("https://maps.google.com/?q=17.059171,-96.750380000000007", "🔗 Ver Mapa")</f>
        <v>🔗 Ver Mapa</v>
      </c>
    </row>
    <row r="3940" spans="1:12" ht="87" x14ac:dyDescent="0.35">
      <c r="A3940" s="6" t="s">
        <v>297</v>
      </c>
      <c r="B3940" s="6" t="s">
        <v>298</v>
      </c>
      <c r="C3940" s="6" t="s">
        <v>826</v>
      </c>
      <c r="D3940" s="6" t="s">
        <v>13</v>
      </c>
      <c r="E3940" s="6" t="s">
        <v>52</v>
      </c>
      <c r="F3940" s="6" t="s">
        <v>70</v>
      </c>
      <c r="G3940" s="6" t="s">
        <v>71</v>
      </c>
      <c r="H3940" s="6" t="s">
        <v>72</v>
      </c>
      <c r="I3940" s="6" t="s">
        <v>32</v>
      </c>
      <c r="J3940" s="6">
        <v>17.059170999999999</v>
      </c>
      <c r="K3940" s="6">
        <v>-96.750380000000007</v>
      </c>
      <c r="L3940" s="6" t="str">
        <f>HYPERLINK("https://maps.google.com/?q=17.059171,-96.750380000000007", "🔗 Ver Mapa")</f>
        <v>🔗 Ver Mapa</v>
      </c>
    </row>
    <row r="3941" spans="1:12" ht="87" x14ac:dyDescent="0.35">
      <c r="A3941" s="5" t="s">
        <v>297</v>
      </c>
      <c r="B3941" s="5" t="s">
        <v>298</v>
      </c>
      <c r="C3941" s="5" t="s">
        <v>826</v>
      </c>
      <c r="D3941" s="5" t="s">
        <v>13</v>
      </c>
      <c r="E3941" s="5" t="s">
        <v>52</v>
      </c>
      <c r="F3941" s="5" t="s">
        <v>70</v>
      </c>
      <c r="G3941" s="5" t="s">
        <v>71</v>
      </c>
      <c r="H3941" s="5" t="s">
        <v>72</v>
      </c>
      <c r="I3941" s="5" t="s">
        <v>32</v>
      </c>
      <c r="J3941" s="5">
        <v>17.059170999999999</v>
      </c>
      <c r="K3941" s="5">
        <v>-96.750380000000007</v>
      </c>
      <c r="L3941" s="5" t="str">
        <f>HYPERLINK("https://maps.google.com/?q=17.059171,-96.750380000000007", "🔗 Ver Mapa")</f>
        <v>🔗 Ver Mapa</v>
      </c>
    </row>
    <row r="3942" spans="1:12" ht="87" x14ac:dyDescent="0.35">
      <c r="A3942" s="6" t="s">
        <v>297</v>
      </c>
      <c r="B3942" s="6" t="s">
        <v>298</v>
      </c>
      <c r="C3942" s="6" t="s">
        <v>826</v>
      </c>
      <c r="D3942" s="6" t="s">
        <v>13</v>
      </c>
      <c r="E3942" s="6" t="s">
        <v>52</v>
      </c>
      <c r="F3942" s="6" t="s">
        <v>70</v>
      </c>
      <c r="G3942" s="6" t="s">
        <v>71</v>
      </c>
      <c r="H3942" s="6" t="s">
        <v>72</v>
      </c>
      <c r="I3942" s="6" t="s">
        <v>32</v>
      </c>
      <c r="J3942" s="6">
        <v>17.059170999999999</v>
      </c>
      <c r="K3942" s="6">
        <v>-96.750380000000007</v>
      </c>
      <c r="L3942" s="6" t="str">
        <f>HYPERLINK("https://maps.google.com/?q=17.059171,-96.750380000000007", "🔗 Ver Mapa")</f>
        <v>🔗 Ver Mapa</v>
      </c>
    </row>
    <row r="3943" spans="1:12" ht="87" x14ac:dyDescent="0.35">
      <c r="A3943" s="5" t="s">
        <v>297</v>
      </c>
      <c r="B3943" s="5" t="s">
        <v>298</v>
      </c>
      <c r="C3943" s="5" t="s">
        <v>826</v>
      </c>
      <c r="D3943" s="5" t="s">
        <v>13</v>
      </c>
      <c r="E3943" s="5" t="s">
        <v>52</v>
      </c>
      <c r="F3943" s="5" t="s">
        <v>70</v>
      </c>
      <c r="G3943" s="5" t="s">
        <v>71</v>
      </c>
      <c r="H3943" s="5" t="s">
        <v>72</v>
      </c>
      <c r="I3943" s="5" t="s">
        <v>32</v>
      </c>
      <c r="J3943" s="5">
        <v>17.059207000000001</v>
      </c>
      <c r="K3943" s="5">
        <v>-96.749972</v>
      </c>
      <c r="L3943" s="5" t="str">
        <f>HYPERLINK("https://maps.google.com/?q=17.059207,-96.749972", "🔗 Ver Mapa")</f>
        <v>🔗 Ver Mapa</v>
      </c>
    </row>
    <row r="3944" spans="1:12" ht="87" x14ac:dyDescent="0.35">
      <c r="A3944" s="6" t="s">
        <v>297</v>
      </c>
      <c r="B3944" s="6" t="s">
        <v>298</v>
      </c>
      <c r="C3944" s="6" t="s">
        <v>826</v>
      </c>
      <c r="D3944" s="6" t="s">
        <v>13</v>
      </c>
      <c r="E3944" s="6" t="s">
        <v>52</v>
      </c>
      <c r="F3944" s="6" t="s">
        <v>70</v>
      </c>
      <c r="G3944" s="6" t="s">
        <v>71</v>
      </c>
      <c r="H3944" s="6" t="s">
        <v>72</v>
      </c>
      <c r="I3944" s="6" t="s">
        <v>32</v>
      </c>
      <c r="J3944" s="6">
        <v>17.059207000000001</v>
      </c>
      <c r="K3944" s="6">
        <v>-96.749972</v>
      </c>
      <c r="L3944" s="6" t="str">
        <f>HYPERLINK("https://maps.google.com/?q=17.059207,-96.749972", "🔗 Ver Mapa")</f>
        <v>🔗 Ver Mapa</v>
      </c>
    </row>
    <row r="3945" spans="1:12" ht="87" x14ac:dyDescent="0.35">
      <c r="A3945" s="5" t="s">
        <v>297</v>
      </c>
      <c r="B3945" s="5" t="s">
        <v>298</v>
      </c>
      <c r="C3945" s="5" t="s">
        <v>826</v>
      </c>
      <c r="D3945" s="5" t="s">
        <v>13</v>
      </c>
      <c r="E3945" s="5" t="s">
        <v>52</v>
      </c>
      <c r="F3945" s="5" t="s">
        <v>70</v>
      </c>
      <c r="G3945" s="5" t="s">
        <v>71</v>
      </c>
      <c r="H3945" s="5" t="s">
        <v>72</v>
      </c>
      <c r="I3945" s="5" t="s">
        <v>32</v>
      </c>
      <c r="J3945" s="5">
        <v>17.059207000000001</v>
      </c>
      <c r="K3945" s="5">
        <v>-96.749972</v>
      </c>
      <c r="L3945" s="5" t="str">
        <f>HYPERLINK("https://maps.google.com/?q=17.059207,-96.749972", "🔗 Ver Mapa")</f>
        <v>🔗 Ver Mapa</v>
      </c>
    </row>
    <row r="3946" spans="1:12" ht="87" x14ac:dyDescent="0.35">
      <c r="A3946" s="6" t="s">
        <v>297</v>
      </c>
      <c r="B3946" s="6" t="s">
        <v>298</v>
      </c>
      <c r="C3946" s="6" t="s">
        <v>826</v>
      </c>
      <c r="D3946" s="6" t="s">
        <v>13</v>
      </c>
      <c r="E3946" s="6" t="s">
        <v>52</v>
      </c>
      <c r="F3946" s="6" t="s">
        <v>70</v>
      </c>
      <c r="G3946" s="6" t="s">
        <v>71</v>
      </c>
      <c r="H3946" s="6" t="s">
        <v>72</v>
      </c>
      <c r="I3946" s="6" t="s">
        <v>32</v>
      </c>
      <c r="J3946" s="6">
        <v>17.059207000000001</v>
      </c>
      <c r="K3946" s="6">
        <v>-96.749972</v>
      </c>
      <c r="L3946" s="6" t="str">
        <f>HYPERLINK("https://maps.google.com/?q=17.059207,-96.749972", "🔗 Ver Mapa")</f>
        <v>🔗 Ver Mapa</v>
      </c>
    </row>
    <row r="3947" spans="1:12" ht="87" x14ac:dyDescent="0.35">
      <c r="A3947" s="5" t="s">
        <v>297</v>
      </c>
      <c r="B3947" s="5" t="s">
        <v>298</v>
      </c>
      <c r="C3947" s="5" t="s">
        <v>826</v>
      </c>
      <c r="D3947" s="5" t="s">
        <v>13</v>
      </c>
      <c r="E3947" s="5" t="s">
        <v>52</v>
      </c>
      <c r="F3947" s="5" t="s">
        <v>70</v>
      </c>
      <c r="G3947" s="5" t="s">
        <v>71</v>
      </c>
      <c r="H3947" s="5" t="s">
        <v>72</v>
      </c>
      <c r="I3947" s="5" t="s">
        <v>32</v>
      </c>
      <c r="J3947" s="5">
        <v>17.061036000000001</v>
      </c>
      <c r="K3947" s="5">
        <v>-96.755902000000006</v>
      </c>
      <c r="L3947" s="5" t="str">
        <f>HYPERLINK("https://maps.google.com/?q=17.061036,-96.755902000000006", "🔗 Ver Mapa")</f>
        <v>🔗 Ver Mapa</v>
      </c>
    </row>
    <row r="3948" spans="1:12" ht="87" x14ac:dyDescent="0.35">
      <c r="A3948" s="6" t="s">
        <v>297</v>
      </c>
      <c r="B3948" s="6" t="s">
        <v>298</v>
      </c>
      <c r="C3948" s="6" t="s">
        <v>826</v>
      </c>
      <c r="D3948" s="6" t="s">
        <v>13</v>
      </c>
      <c r="E3948" s="6" t="s">
        <v>52</v>
      </c>
      <c r="F3948" s="6" t="s">
        <v>70</v>
      </c>
      <c r="G3948" s="6" t="s">
        <v>71</v>
      </c>
      <c r="H3948" s="6" t="s">
        <v>72</v>
      </c>
      <c r="I3948" s="6" t="s">
        <v>32</v>
      </c>
      <c r="J3948" s="6">
        <v>17.061036000000001</v>
      </c>
      <c r="K3948" s="6">
        <v>-96.755902000000006</v>
      </c>
      <c r="L3948" s="6" t="str">
        <f>HYPERLINK("https://maps.google.com/?q=17.061036,-96.755902000000006", "🔗 Ver Mapa")</f>
        <v>🔗 Ver Mapa</v>
      </c>
    </row>
    <row r="3949" spans="1:12" ht="87" x14ac:dyDescent="0.35">
      <c r="A3949" s="5" t="s">
        <v>297</v>
      </c>
      <c r="B3949" s="5" t="s">
        <v>298</v>
      </c>
      <c r="C3949" s="5" t="s">
        <v>826</v>
      </c>
      <c r="D3949" s="5" t="s">
        <v>13</v>
      </c>
      <c r="E3949" s="5" t="s">
        <v>52</v>
      </c>
      <c r="F3949" s="5" t="s">
        <v>70</v>
      </c>
      <c r="G3949" s="5" t="s">
        <v>71</v>
      </c>
      <c r="H3949" s="5" t="s">
        <v>72</v>
      </c>
      <c r="I3949" s="5" t="s">
        <v>32</v>
      </c>
      <c r="J3949" s="5">
        <v>17.061036000000001</v>
      </c>
      <c r="K3949" s="5">
        <v>-96.755902000000006</v>
      </c>
      <c r="L3949" s="5" t="str">
        <f>HYPERLINK("https://maps.google.com/?q=17.061036,-96.755902000000006", "🔗 Ver Mapa")</f>
        <v>🔗 Ver Mapa</v>
      </c>
    </row>
    <row r="3950" spans="1:12" ht="87" x14ac:dyDescent="0.35">
      <c r="A3950" s="6" t="s">
        <v>297</v>
      </c>
      <c r="B3950" s="6" t="s">
        <v>298</v>
      </c>
      <c r="C3950" s="6" t="s">
        <v>826</v>
      </c>
      <c r="D3950" s="6" t="s">
        <v>13</v>
      </c>
      <c r="E3950" s="6" t="s">
        <v>52</v>
      </c>
      <c r="F3950" s="6" t="s">
        <v>70</v>
      </c>
      <c r="G3950" s="6" t="s">
        <v>71</v>
      </c>
      <c r="H3950" s="6" t="s">
        <v>72</v>
      </c>
      <c r="I3950" s="6" t="s">
        <v>32</v>
      </c>
      <c r="J3950" s="6">
        <v>17.061036000000001</v>
      </c>
      <c r="K3950" s="6">
        <v>-96.755902000000006</v>
      </c>
      <c r="L3950" s="6" t="str">
        <f>HYPERLINK("https://maps.google.com/?q=17.061036,-96.755902000000006", "🔗 Ver Mapa")</f>
        <v>🔗 Ver Mapa</v>
      </c>
    </row>
    <row r="3951" spans="1:12" ht="87" x14ac:dyDescent="0.35">
      <c r="A3951" s="5" t="s">
        <v>297</v>
      </c>
      <c r="B3951" s="5" t="s">
        <v>298</v>
      </c>
      <c r="C3951" s="5" t="s">
        <v>826</v>
      </c>
      <c r="D3951" s="5" t="s">
        <v>13</v>
      </c>
      <c r="E3951" s="5" t="s">
        <v>52</v>
      </c>
      <c r="F3951" s="5" t="s">
        <v>70</v>
      </c>
      <c r="G3951" s="5" t="s">
        <v>71</v>
      </c>
      <c r="H3951" s="5" t="s">
        <v>72</v>
      </c>
      <c r="I3951" s="5" t="s">
        <v>32</v>
      </c>
      <c r="J3951" s="5">
        <v>17.061053999999999</v>
      </c>
      <c r="K3951" s="5">
        <v>-96.756463999999994</v>
      </c>
      <c r="L3951" s="5" t="str">
        <f>HYPERLINK("https://maps.google.com/?q=17.061054,-96.756463999999994", "🔗 Ver Mapa")</f>
        <v>🔗 Ver Mapa</v>
      </c>
    </row>
    <row r="3952" spans="1:12" ht="87" x14ac:dyDescent="0.35">
      <c r="A3952" s="6" t="s">
        <v>297</v>
      </c>
      <c r="B3952" s="6" t="s">
        <v>298</v>
      </c>
      <c r="C3952" s="6" t="s">
        <v>826</v>
      </c>
      <c r="D3952" s="6" t="s">
        <v>13</v>
      </c>
      <c r="E3952" s="6" t="s">
        <v>52</v>
      </c>
      <c r="F3952" s="6" t="s">
        <v>70</v>
      </c>
      <c r="G3952" s="6" t="s">
        <v>71</v>
      </c>
      <c r="H3952" s="6" t="s">
        <v>72</v>
      </c>
      <c r="I3952" s="6" t="s">
        <v>32</v>
      </c>
      <c r="J3952" s="6">
        <v>17.061053999999999</v>
      </c>
      <c r="K3952" s="6">
        <v>-96.756463999999994</v>
      </c>
      <c r="L3952" s="6" t="str">
        <f>HYPERLINK("https://maps.google.com/?q=17.061054,-96.756463999999994", "🔗 Ver Mapa")</f>
        <v>🔗 Ver Mapa</v>
      </c>
    </row>
    <row r="3953" spans="1:12" ht="87" x14ac:dyDescent="0.35">
      <c r="A3953" s="5" t="s">
        <v>297</v>
      </c>
      <c r="B3953" s="5" t="s">
        <v>298</v>
      </c>
      <c r="C3953" s="5" t="s">
        <v>826</v>
      </c>
      <c r="D3953" s="5" t="s">
        <v>13</v>
      </c>
      <c r="E3953" s="5" t="s">
        <v>52</v>
      </c>
      <c r="F3953" s="5" t="s">
        <v>70</v>
      </c>
      <c r="G3953" s="5" t="s">
        <v>71</v>
      </c>
      <c r="H3953" s="5" t="s">
        <v>72</v>
      </c>
      <c r="I3953" s="5" t="s">
        <v>32</v>
      </c>
      <c r="J3953" s="5">
        <v>17.061053999999999</v>
      </c>
      <c r="K3953" s="5">
        <v>-96.756463999999994</v>
      </c>
      <c r="L3953" s="5" t="str">
        <f>HYPERLINK("https://maps.google.com/?q=17.061054,-96.756463999999994", "🔗 Ver Mapa")</f>
        <v>🔗 Ver Mapa</v>
      </c>
    </row>
    <row r="3954" spans="1:12" ht="87" x14ac:dyDescent="0.35">
      <c r="A3954" s="6" t="s">
        <v>297</v>
      </c>
      <c r="B3954" s="6" t="s">
        <v>298</v>
      </c>
      <c r="C3954" s="6" t="s">
        <v>826</v>
      </c>
      <c r="D3954" s="6" t="s">
        <v>13</v>
      </c>
      <c r="E3954" s="6" t="s">
        <v>52</v>
      </c>
      <c r="F3954" s="6" t="s">
        <v>70</v>
      </c>
      <c r="G3954" s="6" t="s">
        <v>71</v>
      </c>
      <c r="H3954" s="6" t="s">
        <v>72</v>
      </c>
      <c r="I3954" s="6" t="s">
        <v>32</v>
      </c>
      <c r="J3954" s="6">
        <v>17.061053999999999</v>
      </c>
      <c r="K3954" s="6">
        <v>-96.756463999999994</v>
      </c>
      <c r="L3954" s="6" t="str">
        <f>HYPERLINK("https://maps.google.com/?q=17.061054,-96.756463999999994", "🔗 Ver Mapa")</f>
        <v>🔗 Ver Mapa</v>
      </c>
    </row>
    <row r="3955" spans="1:12" ht="87" x14ac:dyDescent="0.35">
      <c r="A3955" s="5" t="s">
        <v>297</v>
      </c>
      <c r="B3955" s="5" t="s">
        <v>298</v>
      </c>
      <c r="C3955" s="5" t="s">
        <v>826</v>
      </c>
      <c r="D3955" s="5" t="s">
        <v>13</v>
      </c>
      <c r="E3955" s="5" t="s">
        <v>52</v>
      </c>
      <c r="F3955" s="5" t="s">
        <v>70</v>
      </c>
      <c r="G3955" s="5" t="s">
        <v>71</v>
      </c>
      <c r="H3955" s="5" t="s">
        <v>72</v>
      </c>
      <c r="I3955" s="5" t="s">
        <v>32</v>
      </c>
      <c r="J3955" s="5">
        <v>17.061150000000001</v>
      </c>
      <c r="K3955" s="5">
        <v>-96.755579999999995</v>
      </c>
      <c r="L3955" s="5" t="str">
        <f>HYPERLINK("https://maps.google.com/?q=17.06115,-96.755579999999995", "🔗 Ver Mapa")</f>
        <v>🔗 Ver Mapa</v>
      </c>
    </row>
    <row r="3956" spans="1:12" ht="87" x14ac:dyDescent="0.35">
      <c r="A3956" s="6" t="s">
        <v>297</v>
      </c>
      <c r="B3956" s="6" t="s">
        <v>298</v>
      </c>
      <c r="C3956" s="6" t="s">
        <v>826</v>
      </c>
      <c r="D3956" s="6" t="s">
        <v>13</v>
      </c>
      <c r="E3956" s="6" t="s">
        <v>52</v>
      </c>
      <c r="F3956" s="6" t="s">
        <v>70</v>
      </c>
      <c r="G3956" s="6" t="s">
        <v>71</v>
      </c>
      <c r="H3956" s="6" t="s">
        <v>72</v>
      </c>
      <c r="I3956" s="6" t="s">
        <v>32</v>
      </c>
      <c r="J3956" s="6">
        <v>17.061150000000001</v>
      </c>
      <c r="K3956" s="6">
        <v>-96.755579999999995</v>
      </c>
      <c r="L3956" s="6" t="str">
        <f>HYPERLINK("https://maps.google.com/?q=17.06115,-96.755579999999995", "🔗 Ver Mapa")</f>
        <v>🔗 Ver Mapa</v>
      </c>
    </row>
    <row r="3957" spans="1:12" ht="87" x14ac:dyDescent="0.35">
      <c r="A3957" s="5" t="s">
        <v>297</v>
      </c>
      <c r="B3957" s="5" t="s">
        <v>298</v>
      </c>
      <c r="C3957" s="5" t="s">
        <v>826</v>
      </c>
      <c r="D3957" s="5" t="s">
        <v>13</v>
      </c>
      <c r="E3957" s="5" t="s">
        <v>52</v>
      </c>
      <c r="F3957" s="5" t="s">
        <v>70</v>
      </c>
      <c r="G3957" s="5" t="s">
        <v>71</v>
      </c>
      <c r="H3957" s="5" t="s">
        <v>72</v>
      </c>
      <c r="I3957" s="5" t="s">
        <v>32</v>
      </c>
      <c r="J3957" s="5">
        <v>17.061150000000001</v>
      </c>
      <c r="K3957" s="5">
        <v>-96.755579999999995</v>
      </c>
      <c r="L3957" s="5" t="str">
        <f>HYPERLINK("https://maps.google.com/?q=17.06115,-96.755579999999995", "🔗 Ver Mapa")</f>
        <v>🔗 Ver Mapa</v>
      </c>
    </row>
    <row r="3958" spans="1:12" ht="87" x14ac:dyDescent="0.35">
      <c r="A3958" s="6" t="s">
        <v>297</v>
      </c>
      <c r="B3958" s="6" t="s">
        <v>298</v>
      </c>
      <c r="C3958" s="6" t="s">
        <v>826</v>
      </c>
      <c r="D3958" s="6" t="s">
        <v>13</v>
      </c>
      <c r="E3958" s="6" t="s">
        <v>52</v>
      </c>
      <c r="F3958" s="6" t="s">
        <v>70</v>
      </c>
      <c r="G3958" s="6" t="s">
        <v>71</v>
      </c>
      <c r="H3958" s="6" t="s">
        <v>72</v>
      </c>
      <c r="I3958" s="6" t="s">
        <v>32</v>
      </c>
      <c r="J3958" s="6">
        <v>17.061150000000001</v>
      </c>
      <c r="K3958" s="6">
        <v>-96.755579999999995</v>
      </c>
      <c r="L3958" s="6" t="str">
        <f>HYPERLINK("https://maps.google.com/?q=17.06115,-96.755579999999995", "🔗 Ver Mapa")</f>
        <v>🔗 Ver Mapa</v>
      </c>
    </row>
    <row r="3959" spans="1:12" ht="87" x14ac:dyDescent="0.35">
      <c r="A3959" s="5" t="s">
        <v>297</v>
      </c>
      <c r="B3959" s="5" t="s">
        <v>298</v>
      </c>
      <c r="C3959" s="5" t="s">
        <v>826</v>
      </c>
      <c r="D3959" s="5" t="s">
        <v>13</v>
      </c>
      <c r="E3959" s="5" t="s">
        <v>52</v>
      </c>
      <c r="F3959" s="5" t="s">
        <v>70</v>
      </c>
      <c r="G3959" s="5" t="s">
        <v>71</v>
      </c>
      <c r="H3959" s="5" t="s">
        <v>72</v>
      </c>
      <c r="I3959" s="5" t="s">
        <v>32</v>
      </c>
      <c r="J3959" s="5">
        <v>17.061239</v>
      </c>
      <c r="K3959" s="5">
        <v>-96.756981999999994</v>
      </c>
      <c r="L3959" s="5" t="str">
        <f>HYPERLINK("https://maps.google.com/?q=17.061239,-96.756981999999994", "🔗 Ver Mapa")</f>
        <v>🔗 Ver Mapa</v>
      </c>
    </row>
    <row r="3960" spans="1:12" ht="87" x14ac:dyDescent="0.35">
      <c r="A3960" s="6" t="s">
        <v>297</v>
      </c>
      <c r="B3960" s="6" t="s">
        <v>298</v>
      </c>
      <c r="C3960" s="6" t="s">
        <v>826</v>
      </c>
      <c r="D3960" s="6" t="s">
        <v>13</v>
      </c>
      <c r="E3960" s="6" t="s">
        <v>52</v>
      </c>
      <c r="F3960" s="6" t="s">
        <v>70</v>
      </c>
      <c r="G3960" s="6" t="s">
        <v>71</v>
      </c>
      <c r="H3960" s="6" t="s">
        <v>72</v>
      </c>
      <c r="I3960" s="6" t="s">
        <v>32</v>
      </c>
      <c r="J3960" s="6">
        <v>17.061239</v>
      </c>
      <c r="K3960" s="6">
        <v>-96.756981999999994</v>
      </c>
      <c r="L3960" s="6" t="str">
        <f>HYPERLINK("https://maps.google.com/?q=17.061239,-96.756981999999994", "🔗 Ver Mapa")</f>
        <v>🔗 Ver Mapa</v>
      </c>
    </row>
    <row r="3961" spans="1:12" ht="87" x14ac:dyDescent="0.35">
      <c r="A3961" s="5" t="s">
        <v>297</v>
      </c>
      <c r="B3961" s="5" t="s">
        <v>298</v>
      </c>
      <c r="C3961" s="5" t="s">
        <v>826</v>
      </c>
      <c r="D3961" s="5" t="s">
        <v>13</v>
      </c>
      <c r="E3961" s="5" t="s">
        <v>52</v>
      </c>
      <c r="F3961" s="5" t="s">
        <v>70</v>
      </c>
      <c r="G3961" s="5" t="s">
        <v>71</v>
      </c>
      <c r="H3961" s="5" t="s">
        <v>72</v>
      </c>
      <c r="I3961" s="5" t="s">
        <v>32</v>
      </c>
      <c r="J3961" s="5">
        <v>17.061239</v>
      </c>
      <c r="K3961" s="5">
        <v>-96.756981999999994</v>
      </c>
      <c r="L3961" s="5" t="str">
        <f>HYPERLINK("https://maps.google.com/?q=17.061239,-96.756981999999994", "🔗 Ver Mapa")</f>
        <v>🔗 Ver Mapa</v>
      </c>
    </row>
    <row r="3962" spans="1:12" ht="87" x14ac:dyDescent="0.35">
      <c r="A3962" s="6" t="s">
        <v>297</v>
      </c>
      <c r="B3962" s="6" t="s">
        <v>298</v>
      </c>
      <c r="C3962" s="6" t="s">
        <v>826</v>
      </c>
      <c r="D3962" s="6" t="s">
        <v>13</v>
      </c>
      <c r="E3962" s="6" t="s">
        <v>52</v>
      </c>
      <c r="F3962" s="6" t="s">
        <v>70</v>
      </c>
      <c r="G3962" s="6" t="s">
        <v>71</v>
      </c>
      <c r="H3962" s="6" t="s">
        <v>72</v>
      </c>
      <c r="I3962" s="6" t="s">
        <v>32</v>
      </c>
      <c r="J3962" s="6">
        <v>17.061239</v>
      </c>
      <c r="K3962" s="6">
        <v>-96.756981999999994</v>
      </c>
      <c r="L3962" s="6" t="str">
        <f>HYPERLINK("https://maps.google.com/?q=17.061239,-96.756981999999994", "🔗 Ver Mapa")</f>
        <v>🔗 Ver Mapa</v>
      </c>
    </row>
    <row r="3963" spans="1:12" ht="87" x14ac:dyDescent="0.35">
      <c r="A3963" s="5" t="s">
        <v>297</v>
      </c>
      <c r="B3963" s="5" t="s">
        <v>298</v>
      </c>
      <c r="C3963" s="5" t="s">
        <v>826</v>
      </c>
      <c r="D3963" s="5" t="s">
        <v>13</v>
      </c>
      <c r="E3963" s="5" t="s">
        <v>52</v>
      </c>
      <c r="F3963" s="5" t="s">
        <v>70</v>
      </c>
      <c r="G3963" s="5" t="s">
        <v>71</v>
      </c>
      <c r="H3963" s="5" t="s">
        <v>72</v>
      </c>
      <c r="I3963" s="5" t="s">
        <v>32</v>
      </c>
      <c r="J3963" s="5">
        <v>17.061461999999999</v>
      </c>
      <c r="K3963" s="5">
        <v>-96.754750999999999</v>
      </c>
      <c r="L3963" s="5" t="str">
        <f>HYPERLINK("https://maps.google.com/?q=17.061462,-96.754750999999999", "🔗 Ver Mapa")</f>
        <v>🔗 Ver Mapa</v>
      </c>
    </row>
    <row r="3964" spans="1:12" ht="87" x14ac:dyDescent="0.35">
      <c r="A3964" s="6" t="s">
        <v>297</v>
      </c>
      <c r="B3964" s="6" t="s">
        <v>298</v>
      </c>
      <c r="C3964" s="6" t="s">
        <v>826</v>
      </c>
      <c r="D3964" s="6" t="s">
        <v>13</v>
      </c>
      <c r="E3964" s="6" t="s">
        <v>52</v>
      </c>
      <c r="F3964" s="6" t="s">
        <v>70</v>
      </c>
      <c r="G3964" s="6" t="s">
        <v>71</v>
      </c>
      <c r="H3964" s="6" t="s">
        <v>72</v>
      </c>
      <c r="I3964" s="6" t="s">
        <v>32</v>
      </c>
      <c r="J3964" s="6">
        <v>17.061461999999999</v>
      </c>
      <c r="K3964" s="6">
        <v>-96.754750999999999</v>
      </c>
      <c r="L3964" s="6" t="str">
        <f>HYPERLINK("https://maps.google.com/?q=17.061462,-96.754750999999999", "🔗 Ver Mapa")</f>
        <v>🔗 Ver Mapa</v>
      </c>
    </row>
    <row r="3965" spans="1:12" ht="87" x14ac:dyDescent="0.35">
      <c r="A3965" s="5" t="s">
        <v>297</v>
      </c>
      <c r="B3965" s="5" t="s">
        <v>298</v>
      </c>
      <c r="C3965" s="5" t="s">
        <v>826</v>
      </c>
      <c r="D3965" s="5" t="s">
        <v>13</v>
      </c>
      <c r="E3965" s="5" t="s">
        <v>52</v>
      </c>
      <c r="F3965" s="5" t="s">
        <v>70</v>
      </c>
      <c r="G3965" s="5" t="s">
        <v>71</v>
      </c>
      <c r="H3965" s="5" t="s">
        <v>72</v>
      </c>
      <c r="I3965" s="5" t="s">
        <v>32</v>
      </c>
      <c r="J3965" s="5">
        <v>17.061461999999999</v>
      </c>
      <c r="K3965" s="5">
        <v>-96.754750999999999</v>
      </c>
      <c r="L3965" s="5" t="str">
        <f>HYPERLINK("https://maps.google.com/?q=17.061462,-96.754750999999999", "🔗 Ver Mapa")</f>
        <v>🔗 Ver Mapa</v>
      </c>
    </row>
    <row r="3966" spans="1:12" ht="87" x14ac:dyDescent="0.35">
      <c r="A3966" s="6" t="s">
        <v>297</v>
      </c>
      <c r="B3966" s="6" t="s">
        <v>298</v>
      </c>
      <c r="C3966" s="6" t="s">
        <v>826</v>
      </c>
      <c r="D3966" s="6" t="s">
        <v>13</v>
      </c>
      <c r="E3966" s="6" t="s">
        <v>52</v>
      </c>
      <c r="F3966" s="6" t="s">
        <v>70</v>
      </c>
      <c r="G3966" s="6" t="s">
        <v>71</v>
      </c>
      <c r="H3966" s="6" t="s">
        <v>72</v>
      </c>
      <c r="I3966" s="6" t="s">
        <v>32</v>
      </c>
      <c r="J3966" s="6">
        <v>17.061461999999999</v>
      </c>
      <c r="K3966" s="6">
        <v>-96.754750999999999</v>
      </c>
      <c r="L3966" s="6" t="str">
        <f>HYPERLINK("https://maps.google.com/?q=17.061462,-96.754750999999999", "🔗 Ver Mapa")</f>
        <v>🔗 Ver Mapa</v>
      </c>
    </row>
    <row r="3967" spans="1:12" ht="87" x14ac:dyDescent="0.35">
      <c r="A3967" s="5" t="s">
        <v>297</v>
      </c>
      <c r="B3967" s="5" t="s">
        <v>298</v>
      </c>
      <c r="C3967" s="5" t="s">
        <v>826</v>
      </c>
      <c r="D3967" s="5" t="s">
        <v>13</v>
      </c>
      <c r="E3967" s="5" t="s">
        <v>52</v>
      </c>
      <c r="F3967" s="5" t="s">
        <v>70</v>
      </c>
      <c r="G3967" s="5" t="s">
        <v>71</v>
      </c>
      <c r="H3967" s="5" t="s">
        <v>72</v>
      </c>
      <c r="I3967" s="5" t="s">
        <v>32</v>
      </c>
      <c r="J3967" s="5">
        <v>17.06147</v>
      </c>
      <c r="K3967" s="5">
        <v>-96.757279999999994</v>
      </c>
      <c r="L3967" s="5" t="str">
        <f>HYPERLINK("https://maps.google.com/?q=17.06147,-96.757279999999994", "🔗 Ver Mapa")</f>
        <v>🔗 Ver Mapa</v>
      </c>
    </row>
    <row r="3968" spans="1:12" ht="87" x14ac:dyDescent="0.35">
      <c r="A3968" s="6" t="s">
        <v>297</v>
      </c>
      <c r="B3968" s="6" t="s">
        <v>298</v>
      </c>
      <c r="C3968" s="6" t="s">
        <v>826</v>
      </c>
      <c r="D3968" s="6" t="s">
        <v>13</v>
      </c>
      <c r="E3968" s="6" t="s">
        <v>52</v>
      </c>
      <c r="F3968" s="6" t="s">
        <v>70</v>
      </c>
      <c r="G3968" s="6" t="s">
        <v>71</v>
      </c>
      <c r="H3968" s="6" t="s">
        <v>72</v>
      </c>
      <c r="I3968" s="6" t="s">
        <v>32</v>
      </c>
      <c r="J3968" s="6">
        <v>17.06147</v>
      </c>
      <c r="K3968" s="6">
        <v>-96.757279999999994</v>
      </c>
      <c r="L3968" s="6" t="str">
        <f>HYPERLINK("https://maps.google.com/?q=17.06147,-96.757279999999994", "🔗 Ver Mapa")</f>
        <v>🔗 Ver Mapa</v>
      </c>
    </row>
    <row r="3969" spans="1:12" ht="87" x14ac:dyDescent="0.35">
      <c r="A3969" s="5" t="s">
        <v>297</v>
      </c>
      <c r="B3969" s="5" t="s">
        <v>298</v>
      </c>
      <c r="C3969" s="5" t="s">
        <v>826</v>
      </c>
      <c r="D3969" s="5" t="s">
        <v>13</v>
      </c>
      <c r="E3969" s="5" t="s">
        <v>52</v>
      </c>
      <c r="F3969" s="5" t="s">
        <v>70</v>
      </c>
      <c r="G3969" s="5" t="s">
        <v>71</v>
      </c>
      <c r="H3969" s="5" t="s">
        <v>72</v>
      </c>
      <c r="I3969" s="5" t="s">
        <v>32</v>
      </c>
      <c r="J3969" s="5">
        <v>17.06147</v>
      </c>
      <c r="K3969" s="5">
        <v>-96.757279999999994</v>
      </c>
      <c r="L3969" s="5" t="str">
        <f>HYPERLINK("https://maps.google.com/?q=17.06147,-96.757279999999994", "🔗 Ver Mapa")</f>
        <v>🔗 Ver Mapa</v>
      </c>
    </row>
    <row r="3970" spans="1:12" ht="87" x14ac:dyDescent="0.35">
      <c r="A3970" s="6" t="s">
        <v>297</v>
      </c>
      <c r="B3970" s="6" t="s">
        <v>298</v>
      </c>
      <c r="C3970" s="6" t="s">
        <v>826</v>
      </c>
      <c r="D3970" s="6" t="s">
        <v>13</v>
      </c>
      <c r="E3970" s="6" t="s">
        <v>52</v>
      </c>
      <c r="F3970" s="6" t="s">
        <v>70</v>
      </c>
      <c r="G3970" s="6" t="s">
        <v>71</v>
      </c>
      <c r="H3970" s="6" t="s">
        <v>72</v>
      </c>
      <c r="I3970" s="6" t="s">
        <v>32</v>
      </c>
      <c r="J3970" s="6">
        <v>17.06147</v>
      </c>
      <c r="K3970" s="6">
        <v>-96.757279999999994</v>
      </c>
      <c r="L3970" s="6" t="str">
        <f>HYPERLINK("https://maps.google.com/?q=17.06147,-96.757279999999994", "🔗 Ver Mapa")</f>
        <v>🔗 Ver Mapa</v>
      </c>
    </row>
    <row r="3971" spans="1:12" ht="87" x14ac:dyDescent="0.35">
      <c r="A3971" s="5" t="s">
        <v>297</v>
      </c>
      <c r="B3971" s="5" t="s">
        <v>298</v>
      </c>
      <c r="C3971" s="5" t="s">
        <v>826</v>
      </c>
      <c r="D3971" s="5" t="s">
        <v>13</v>
      </c>
      <c r="E3971" s="5" t="s">
        <v>52</v>
      </c>
      <c r="F3971" s="5" t="s">
        <v>70</v>
      </c>
      <c r="G3971" s="5" t="s">
        <v>71</v>
      </c>
      <c r="H3971" s="5" t="s">
        <v>72</v>
      </c>
      <c r="I3971" s="5" t="s">
        <v>32</v>
      </c>
      <c r="J3971" s="5">
        <v>17.061861</v>
      </c>
      <c r="K3971" s="5">
        <v>-96.753832000000003</v>
      </c>
      <c r="L3971" s="5" t="str">
        <f>HYPERLINK("https://maps.google.com/?q=17.061861,-96.753832000000003", "🔗 Ver Mapa")</f>
        <v>🔗 Ver Mapa</v>
      </c>
    </row>
    <row r="3972" spans="1:12" ht="87" x14ac:dyDescent="0.35">
      <c r="A3972" s="6" t="s">
        <v>297</v>
      </c>
      <c r="B3972" s="6" t="s">
        <v>298</v>
      </c>
      <c r="C3972" s="6" t="s">
        <v>826</v>
      </c>
      <c r="D3972" s="6" t="s">
        <v>13</v>
      </c>
      <c r="E3972" s="6" t="s">
        <v>52</v>
      </c>
      <c r="F3972" s="6" t="s">
        <v>70</v>
      </c>
      <c r="G3972" s="6" t="s">
        <v>71</v>
      </c>
      <c r="H3972" s="6" t="s">
        <v>72</v>
      </c>
      <c r="I3972" s="6" t="s">
        <v>32</v>
      </c>
      <c r="J3972" s="6">
        <v>17.061861</v>
      </c>
      <c r="K3972" s="6">
        <v>-96.753832000000003</v>
      </c>
      <c r="L3972" s="6" t="str">
        <f>HYPERLINK("https://maps.google.com/?q=17.061861,-96.753832000000003", "🔗 Ver Mapa")</f>
        <v>🔗 Ver Mapa</v>
      </c>
    </row>
    <row r="3973" spans="1:12" ht="87" x14ac:dyDescent="0.35">
      <c r="A3973" s="5" t="s">
        <v>297</v>
      </c>
      <c r="B3973" s="5" t="s">
        <v>298</v>
      </c>
      <c r="C3973" s="5" t="s">
        <v>826</v>
      </c>
      <c r="D3973" s="5" t="s">
        <v>13</v>
      </c>
      <c r="E3973" s="5" t="s">
        <v>52</v>
      </c>
      <c r="F3973" s="5" t="s">
        <v>70</v>
      </c>
      <c r="G3973" s="5" t="s">
        <v>71</v>
      </c>
      <c r="H3973" s="5" t="s">
        <v>72</v>
      </c>
      <c r="I3973" s="5" t="s">
        <v>32</v>
      </c>
      <c r="J3973" s="5">
        <v>17.061861</v>
      </c>
      <c r="K3973" s="5">
        <v>-96.753832000000003</v>
      </c>
      <c r="L3973" s="5" t="str">
        <f>HYPERLINK("https://maps.google.com/?q=17.061861,-96.753832000000003", "🔗 Ver Mapa")</f>
        <v>🔗 Ver Mapa</v>
      </c>
    </row>
    <row r="3974" spans="1:12" ht="87" x14ac:dyDescent="0.35">
      <c r="A3974" s="6" t="s">
        <v>297</v>
      </c>
      <c r="B3974" s="6" t="s">
        <v>298</v>
      </c>
      <c r="C3974" s="6" t="s">
        <v>826</v>
      </c>
      <c r="D3974" s="6" t="s">
        <v>13</v>
      </c>
      <c r="E3974" s="6" t="s">
        <v>52</v>
      </c>
      <c r="F3974" s="6" t="s">
        <v>70</v>
      </c>
      <c r="G3974" s="6" t="s">
        <v>71</v>
      </c>
      <c r="H3974" s="6" t="s">
        <v>72</v>
      </c>
      <c r="I3974" s="6" t="s">
        <v>32</v>
      </c>
      <c r="J3974" s="6">
        <v>17.061861</v>
      </c>
      <c r="K3974" s="6">
        <v>-96.753832000000003</v>
      </c>
      <c r="L3974" s="6" t="str">
        <f>HYPERLINK("https://maps.google.com/?q=17.061861,-96.753832000000003", "🔗 Ver Mapa")</f>
        <v>🔗 Ver Mapa</v>
      </c>
    </row>
    <row r="3975" spans="1:12" ht="87" x14ac:dyDescent="0.35">
      <c r="A3975" s="5" t="s">
        <v>297</v>
      </c>
      <c r="B3975" s="5" t="s">
        <v>298</v>
      </c>
      <c r="C3975" s="5" t="s">
        <v>826</v>
      </c>
      <c r="D3975" s="5" t="s">
        <v>13</v>
      </c>
      <c r="E3975" s="5" t="s">
        <v>52</v>
      </c>
      <c r="F3975" s="5" t="s">
        <v>70</v>
      </c>
      <c r="G3975" s="5" t="s">
        <v>71</v>
      </c>
      <c r="H3975" s="5" t="s">
        <v>72</v>
      </c>
      <c r="I3975" s="5" t="s">
        <v>32</v>
      </c>
      <c r="J3975" s="5">
        <v>17.062009</v>
      </c>
      <c r="K3975" s="5">
        <v>-96.757019999999997</v>
      </c>
      <c r="L3975" s="5" t="str">
        <f>HYPERLINK("https://maps.google.com/?q=17.062009,-96.757019999999997", "🔗 Ver Mapa")</f>
        <v>🔗 Ver Mapa</v>
      </c>
    </row>
    <row r="3976" spans="1:12" ht="87" x14ac:dyDescent="0.35">
      <c r="A3976" s="6" t="s">
        <v>297</v>
      </c>
      <c r="B3976" s="6" t="s">
        <v>298</v>
      </c>
      <c r="C3976" s="6" t="s">
        <v>826</v>
      </c>
      <c r="D3976" s="6" t="s">
        <v>13</v>
      </c>
      <c r="E3976" s="6" t="s">
        <v>52</v>
      </c>
      <c r="F3976" s="6" t="s">
        <v>70</v>
      </c>
      <c r="G3976" s="6" t="s">
        <v>71</v>
      </c>
      <c r="H3976" s="6" t="s">
        <v>72</v>
      </c>
      <c r="I3976" s="6" t="s">
        <v>32</v>
      </c>
      <c r="J3976" s="6">
        <v>17.062009</v>
      </c>
      <c r="K3976" s="6">
        <v>-96.757019999999997</v>
      </c>
      <c r="L3976" s="6" t="str">
        <f>HYPERLINK("https://maps.google.com/?q=17.062009,-96.757019999999997", "🔗 Ver Mapa")</f>
        <v>🔗 Ver Mapa</v>
      </c>
    </row>
    <row r="3977" spans="1:12" ht="87" x14ac:dyDescent="0.35">
      <c r="A3977" s="5" t="s">
        <v>297</v>
      </c>
      <c r="B3977" s="5" t="s">
        <v>298</v>
      </c>
      <c r="C3977" s="5" t="s">
        <v>826</v>
      </c>
      <c r="D3977" s="5" t="s">
        <v>13</v>
      </c>
      <c r="E3977" s="5" t="s">
        <v>52</v>
      </c>
      <c r="F3977" s="5" t="s">
        <v>70</v>
      </c>
      <c r="G3977" s="5" t="s">
        <v>71</v>
      </c>
      <c r="H3977" s="5" t="s">
        <v>72</v>
      </c>
      <c r="I3977" s="5" t="s">
        <v>32</v>
      </c>
      <c r="J3977" s="5">
        <v>17.062009</v>
      </c>
      <c r="K3977" s="5">
        <v>-96.757019999999997</v>
      </c>
      <c r="L3977" s="5" t="str">
        <f>HYPERLINK("https://maps.google.com/?q=17.062009,-96.757019999999997", "🔗 Ver Mapa")</f>
        <v>🔗 Ver Mapa</v>
      </c>
    </row>
    <row r="3978" spans="1:12" ht="87" x14ac:dyDescent="0.35">
      <c r="A3978" s="6" t="s">
        <v>297</v>
      </c>
      <c r="B3978" s="6" t="s">
        <v>298</v>
      </c>
      <c r="C3978" s="6" t="s">
        <v>826</v>
      </c>
      <c r="D3978" s="6" t="s">
        <v>13</v>
      </c>
      <c r="E3978" s="6" t="s">
        <v>52</v>
      </c>
      <c r="F3978" s="6" t="s">
        <v>70</v>
      </c>
      <c r="G3978" s="6" t="s">
        <v>71</v>
      </c>
      <c r="H3978" s="6" t="s">
        <v>72</v>
      </c>
      <c r="I3978" s="6" t="s">
        <v>32</v>
      </c>
      <c r="J3978" s="6">
        <v>17.062009</v>
      </c>
      <c r="K3978" s="6">
        <v>-96.757019999999997</v>
      </c>
      <c r="L3978" s="6" t="str">
        <f>HYPERLINK("https://maps.google.com/?q=17.062009,-96.757019999999997", "🔗 Ver Mapa")</f>
        <v>🔗 Ver Mapa</v>
      </c>
    </row>
    <row r="3979" spans="1:12" ht="87" x14ac:dyDescent="0.35">
      <c r="A3979" s="5" t="s">
        <v>297</v>
      </c>
      <c r="B3979" s="5" t="s">
        <v>298</v>
      </c>
      <c r="C3979" s="5" t="s">
        <v>826</v>
      </c>
      <c r="D3979" s="5" t="s">
        <v>13</v>
      </c>
      <c r="E3979" s="5" t="s">
        <v>52</v>
      </c>
      <c r="F3979" s="5" t="s">
        <v>70</v>
      </c>
      <c r="G3979" s="5" t="s">
        <v>71</v>
      </c>
      <c r="H3979" s="5" t="s">
        <v>72</v>
      </c>
      <c r="I3979" s="5" t="s">
        <v>32</v>
      </c>
      <c r="J3979" s="5">
        <v>17.062101999999999</v>
      </c>
      <c r="K3979" s="5">
        <v>-96.753140999999999</v>
      </c>
      <c r="L3979" s="5" t="str">
        <f>HYPERLINK("https://maps.google.com/?q=17.062102,-96.753140999999999", "🔗 Ver Mapa")</f>
        <v>🔗 Ver Mapa</v>
      </c>
    </row>
    <row r="3980" spans="1:12" ht="87" x14ac:dyDescent="0.35">
      <c r="A3980" s="6" t="s">
        <v>297</v>
      </c>
      <c r="B3980" s="6" t="s">
        <v>298</v>
      </c>
      <c r="C3980" s="6" t="s">
        <v>826</v>
      </c>
      <c r="D3980" s="6" t="s">
        <v>13</v>
      </c>
      <c r="E3980" s="6" t="s">
        <v>52</v>
      </c>
      <c r="F3980" s="6" t="s">
        <v>70</v>
      </c>
      <c r="G3980" s="6" t="s">
        <v>71</v>
      </c>
      <c r="H3980" s="6" t="s">
        <v>72</v>
      </c>
      <c r="I3980" s="6" t="s">
        <v>32</v>
      </c>
      <c r="J3980" s="6">
        <v>17.062101999999999</v>
      </c>
      <c r="K3980" s="6">
        <v>-96.753140999999999</v>
      </c>
      <c r="L3980" s="6" t="str">
        <f>HYPERLINK("https://maps.google.com/?q=17.062102,-96.753140999999999", "🔗 Ver Mapa")</f>
        <v>🔗 Ver Mapa</v>
      </c>
    </row>
    <row r="3981" spans="1:12" ht="87" x14ac:dyDescent="0.35">
      <c r="A3981" s="5" t="s">
        <v>297</v>
      </c>
      <c r="B3981" s="5" t="s">
        <v>298</v>
      </c>
      <c r="C3981" s="5" t="s">
        <v>826</v>
      </c>
      <c r="D3981" s="5" t="s">
        <v>13</v>
      </c>
      <c r="E3981" s="5" t="s">
        <v>52</v>
      </c>
      <c r="F3981" s="5" t="s">
        <v>70</v>
      </c>
      <c r="G3981" s="5" t="s">
        <v>71</v>
      </c>
      <c r="H3981" s="5" t="s">
        <v>72</v>
      </c>
      <c r="I3981" s="5" t="s">
        <v>32</v>
      </c>
      <c r="J3981" s="5">
        <v>17.062101999999999</v>
      </c>
      <c r="K3981" s="5">
        <v>-96.753140999999999</v>
      </c>
      <c r="L3981" s="5" t="str">
        <f>HYPERLINK("https://maps.google.com/?q=17.062102,-96.753140999999999", "🔗 Ver Mapa")</f>
        <v>🔗 Ver Mapa</v>
      </c>
    </row>
    <row r="3982" spans="1:12" ht="87" x14ac:dyDescent="0.35">
      <c r="A3982" s="6" t="s">
        <v>297</v>
      </c>
      <c r="B3982" s="6" t="s">
        <v>298</v>
      </c>
      <c r="C3982" s="6" t="s">
        <v>826</v>
      </c>
      <c r="D3982" s="6" t="s">
        <v>13</v>
      </c>
      <c r="E3982" s="6" t="s">
        <v>52</v>
      </c>
      <c r="F3982" s="6" t="s">
        <v>70</v>
      </c>
      <c r="G3982" s="6" t="s">
        <v>71</v>
      </c>
      <c r="H3982" s="6" t="s">
        <v>72</v>
      </c>
      <c r="I3982" s="6" t="s">
        <v>32</v>
      </c>
      <c r="J3982" s="6">
        <v>17.062101999999999</v>
      </c>
      <c r="K3982" s="6">
        <v>-96.753140999999999</v>
      </c>
      <c r="L3982" s="6" t="str">
        <f>HYPERLINK("https://maps.google.com/?q=17.062102,-96.753140999999999", "🔗 Ver Mapa")</f>
        <v>🔗 Ver Mapa</v>
      </c>
    </row>
    <row r="3983" spans="1:12" ht="87" x14ac:dyDescent="0.35">
      <c r="A3983" s="5" t="s">
        <v>297</v>
      </c>
      <c r="B3983" s="5" t="s">
        <v>298</v>
      </c>
      <c r="C3983" s="5" t="s">
        <v>826</v>
      </c>
      <c r="D3983" s="5" t="s">
        <v>13</v>
      </c>
      <c r="E3983" s="5" t="s">
        <v>52</v>
      </c>
      <c r="F3983" s="5" t="s">
        <v>70</v>
      </c>
      <c r="G3983" s="5" t="s">
        <v>71</v>
      </c>
      <c r="H3983" s="5" t="s">
        <v>72</v>
      </c>
      <c r="I3983" s="5" t="s">
        <v>32</v>
      </c>
      <c r="J3983" s="5">
        <v>17.062180000000001</v>
      </c>
      <c r="K3983" s="5">
        <v>-96.753029999999995</v>
      </c>
      <c r="L3983" s="5" t="str">
        <f>HYPERLINK("https://maps.google.com/?q=17.06218,-96.753029999999995", "🔗 Ver Mapa")</f>
        <v>🔗 Ver Mapa</v>
      </c>
    </row>
    <row r="3984" spans="1:12" ht="87" x14ac:dyDescent="0.35">
      <c r="A3984" s="6" t="s">
        <v>297</v>
      </c>
      <c r="B3984" s="6" t="s">
        <v>298</v>
      </c>
      <c r="C3984" s="6" t="s">
        <v>826</v>
      </c>
      <c r="D3984" s="6" t="s">
        <v>13</v>
      </c>
      <c r="E3984" s="6" t="s">
        <v>52</v>
      </c>
      <c r="F3984" s="6" t="s">
        <v>70</v>
      </c>
      <c r="G3984" s="6" t="s">
        <v>71</v>
      </c>
      <c r="H3984" s="6" t="s">
        <v>72</v>
      </c>
      <c r="I3984" s="6" t="s">
        <v>32</v>
      </c>
      <c r="J3984" s="6">
        <v>17.062180000000001</v>
      </c>
      <c r="K3984" s="6">
        <v>-96.753029999999995</v>
      </c>
      <c r="L3984" s="6" t="str">
        <f>HYPERLINK("https://maps.google.com/?q=17.06218,-96.753029999999995", "🔗 Ver Mapa")</f>
        <v>🔗 Ver Mapa</v>
      </c>
    </row>
    <row r="3985" spans="1:12" ht="87" x14ac:dyDescent="0.35">
      <c r="A3985" s="5" t="s">
        <v>297</v>
      </c>
      <c r="B3985" s="5" t="s">
        <v>298</v>
      </c>
      <c r="C3985" s="5" t="s">
        <v>826</v>
      </c>
      <c r="D3985" s="5" t="s">
        <v>13</v>
      </c>
      <c r="E3985" s="5" t="s">
        <v>52</v>
      </c>
      <c r="F3985" s="5" t="s">
        <v>70</v>
      </c>
      <c r="G3985" s="5" t="s">
        <v>71</v>
      </c>
      <c r="H3985" s="5" t="s">
        <v>72</v>
      </c>
      <c r="I3985" s="5" t="s">
        <v>32</v>
      </c>
      <c r="J3985" s="5">
        <v>17.062180000000001</v>
      </c>
      <c r="K3985" s="5">
        <v>-96.753029999999995</v>
      </c>
      <c r="L3985" s="5" t="str">
        <f>HYPERLINK("https://maps.google.com/?q=17.06218,-96.753029999999995", "🔗 Ver Mapa")</f>
        <v>🔗 Ver Mapa</v>
      </c>
    </row>
    <row r="3986" spans="1:12" ht="87" x14ac:dyDescent="0.35">
      <c r="A3986" s="6" t="s">
        <v>297</v>
      </c>
      <c r="B3986" s="6" t="s">
        <v>298</v>
      </c>
      <c r="C3986" s="6" t="s">
        <v>826</v>
      </c>
      <c r="D3986" s="6" t="s">
        <v>13</v>
      </c>
      <c r="E3986" s="6" t="s">
        <v>52</v>
      </c>
      <c r="F3986" s="6" t="s">
        <v>70</v>
      </c>
      <c r="G3986" s="6" t="s">
        <v>71</v>
      </c>
      <c r="H3986" s="6" t="s">
        <v>72</v>
      </c>
      <c r="I3986" s="6" t="s">
        <v>32</v>
      </c>
      <c r="J3986" s="6">
        <v>17.062180000000001</v>
      </c>
      <c r="K3986" s="6">
        <v>-96.753029999999995</v>
      </c>
      <c r="L3986" s="6" t="str">
        <f>HYPERLINK("https://maps.google.com/?q=17.06218,-96.753029999999995", "🔗 Ver Mapa")</f>
        <v>🔗 Ver Mapa</v>
      </c>
    </row>
    <row r="3987" spans="1:12" ht="87" x14ac:dyDescent="0.35">
      <c r="A3987" s="5" t="s">
        <v>297</v>
      </c>
      <c r="B3987" s="5" t="s">
        <v>298</v>
      </c>
      <c r="C3987" s="5" t="s">
        <v>826</v>
      </c>
      <c r="D3987" s="5" t="s">
        <v>13</v>
      </c>
      <c r="E3987" s="5" t="s">
        <v>52</v>
      </c>
      <c r="F3987" s="5" t="s">
        <v>70</v>
      </c>
      <c r="G3987" s="5" t="s">
        <v>71</v>
      </c>
      <c r="H3987" s="5" t="s">
        <v>72</v>
      </c>
      <c r="I3987" s="5" t="s">
        <v>32</v>
      </c>
      <c r="J3987" s="5">
        <v>17.062460999999999</v>
      </c>
      <c r="K3987" s="5">
        <v>-96.757001000000002</v>
      </c>
      <c r="L3987" s="5" t="str">
        <f>HYPERLINK("https://maps.google.com/?q=17.062461,-96.757001000000002", "🔗 Ver Mapa")</f>
        <v>🔗 Ver Mapa</v>
      </c>
    </row>
    <row r="3988" spans="1:12" ht="87" x14ac:dyDescent="0.35">
      <c r="A3988" s="6" t="s">
        <v>297</v>
      </c>
      <c r="B3988" s="6" t="s">
        <v>298</v>
      </c>
      <c r="C3988" s="6" t="s">
        <v>826</v>
      </c>
      <c r="D3988" s="6" t="s">
        <v>13</v>
      </c>
      <c r="E3988" s="6" t="s">
        <v>52</v>
      </c>
      <c r="F3988" s="6" t="s">
        <v>70</v>
      </c>
      <c r="G3988" s="6" t="s">
        <v>71</v>
      </c>
      <c r="H3988" s="6" t="s">
        <v>72</v>
      </c>
      <c r="I3988" s="6" t="s">
        <v>32</v>
      </c>
      <c r="J3988" s="6">
        <v>17.062460999999999</v>
      </c>
      <c r="K3988" s="6">
        <v>-96.757001000000002</v>
      </c>
      <c r="L3988" s="6" t="str">
        <f>HYPERLINK("https://maps.google.com/?q=17.062461,-96.757001000000002", "🔗 Ver Mapa")</f>
        <v>🔗 Ver Mapa</v>
      </c>
    </row>
    <row r="3989" spans="1:12" ht="87" x14ac:dyDescent="0.35">
      <c r="A3989" s="5" t="s">
        <v>297</v>
      </c>
      <c r="B3989" s="5" t="s">
        <v>298</v>
      </c>
      <c r="C3989" s="5" t="s">
        <v>826</v>
      </c>
      <c r="D3989" s="5" t="s">
        <v>13</v>
      </c>
      <c r="E3989" s="5" t="s">
        <v>52</v>
      </c>
      <c r="F3989" s="5" t="s">
        <v>70</v>
      </c>
      <c r="G3989" s="5" t="s">
        <v>71</v>
      </c>
      <c r="H3989" s="5" t="s">
        <v>72</v>
      </c>
      <c r="I3989" s="5" t="s">
        <v>32</v>
      </c>
      <c r="J3989" s="5">
        <v>17.062460999999999</v>
      </c>
      <c r="K3989" s="5">
        <v>-96.757001000000002</v>
      </c>
      <c r="L3989" s="5" t="str">
        <f>HYPERLINK("https://maps.google.com/?q=17.062461,-96.757001000000002", "🔗 Ver Mapa")</f>
        <v>🔗 Ver Mapa</v>
      </c>
    </row>
    <row r="3990" spans="1:12" ht="87" x14ac:dyDescent="0.35">
      <c r="A3990" s="6" t="s">
        <v>297</v>
      </c>
      <c r="B3990" s="6" t="s">
        <v>298</v>
      </c>
      <c r="C3990" s="6" t="s">
        <v>826</v>
      </c>
      <c r="D3990" s="6" t="s">
        <v>13</v>
      </c>
      <c r="E3990" s="6" t="s">
        <v>52</v>
      </c>
      <c r="F3990" s="6" t="s">
        <v>70</v>
      </c>
      <c r="G3990" s="6" t="s">
        <v>71</v>
      </c>
      <c r="H3990" s="6" t="s">
        <v>72</v>
      </c>
      <c r="I3990" s="6" t="s">
        <v>32</v>
      </c>
      <c r="J3990" s="6">
        <v>17.062460999999999</v>
      </c>
      <c r="K3990" s="6">
        <v>-96.757001000000002</v>
      </c>
      <c r="L3990" s="6" t="str">
        <f>HYPERLINK("https://maps.google.com/?q=17.062461,-96.757001000000002", "🔗 Ver Mapa")</f>
        <v>🔗 Ver Mapa</v>
      </c>
    </row>
    <row r="3991" spans="1:12" ht="87" x14ac:dyDescent="0.35">
      <c r="A3991" s="5" t="s">
        <v>297</v>
      </c>
      <c r="B3991" s="5" t="s">
        <v>298</v>
      </c>
      <c r="C3991" s="5" t="s">
        <v>826</v>
      </c>
      <c r="D3991" s="5" t="s">
        <v>13</v>
      </c>
      <c r="E3991" s="5" t="s">
        <v>52</v>
      </c>
      <c r="F3991" s="5" t="s">
        <v>70</v>
      </c>
      <c r="G3991" s="5" t="s">
        <v>71</v>
      </c>
      <c r="H3991" s="5" t="s">
        <v>72</v>
      </c>
      <c r="I3991" s="5" t="s">
        <v>32</v>
      </c>
      <c r="J3991" s="5">
        <v>17.062860000000001</v>
      </c>
      <c r="K3991" s="5">
        <v>-96.757170000000002</v>
      </c>
      <c r="L3991" s="5" t="str">
        <f>HYPERLINK("https://maps.google.com/?q=17.06286,-96.757170000000002", "🔗 Ver Mapa")</f>
        <v>🔗 Ver Mapa</v>
      </c>
    </row>
    <row r="3992" spans="1:12" ht="87" x14ac:dyDescent="0.35">
      <c r="A3992" s="6" t="s">
        <v>297</v>
      </c>
      <c r="B3992" s="6" t="s">
        <v>298</v>
      </c>
      <c r="C3992" s="6" t="s">
        <v>826</v>
      </c>
      <c r="D3992" s="6" t="s">
        <v>13</v>
      </c>
      <c r="E3992" s="6" t="s">
        <v>52</v>
      </c>
      <c r="F3992" s="6" t="s">
        <v>70</v>
      </c>
      <c r="G3992" s="6" t="s">
        <v>71</v>
      </c>
      <c r="H3992" s="6" t="s">
        <v>72</v>
      </c>
      <c r="I3992" s="6" t="s">
        <v>32</v>
      </c>
      <c r="J3992" s="6">
        <v>17.062860000000001</v>
      </c>
      <c r="K3992" s="6">
        <v>-96.757170000000002</v>
      </c>
      <c r="L3992" s="6" t="str">
        <f>HYPERLINK("https://maps.google.com/?q=17.06286,-96.757170000000002", "🔗 Ver Mapa")</f>
        <v>🔗 Ver Mapa</v>
      </c>
    </row>
    <row r="3993" spans="1:12" ht="87" x14ac:dyDescent="0.35">
      <c r="A3993" s="5" t="s">
        <v>297</v>
      </c>
      <c r="B3993" s="5" t="s">
        <v>298</v>
      </c>
      <c r="C3993" s="5" t="s">
        <v>826</v>
      </c>
      <c r="D3993" s="5" t="s">
        <v>13</v>
      </c>
      <c r="E3993" s="5" t="s">
        <v>52</v>
      </c>
      <c r="F3993" s="5" t="s">
        <v>70</v>
      </c>
      <c r="G3993" s="5" t="s">
        <v>71</v>
      </c>
      <c r="H3993" s="5" t="s">
        <v>72</v>
      </c>
      <c r="I3993" s="5" t="s">
        <v>32</v>
      </c>
      <c r="J3993" s="5">
        <v>17.062860000000001</v>
      </c>
      <c r="K3993" s="5">
        <v>-96.757170000000002</v>
      </c>
      <c r="L3993" s="5" t="str">
        <f>HYPERLINK("https://maps.google.com/?q=17.06286,-96.757170000000002", "🔗 Ver Mapa")</f>
        <v>🔗 Ver Mapa</v>
      </c>
    </row>
    <row r="3994" spans="1:12" ht="87" x14ac:dyDescent="0.35">
      <c r="A3994" s="6" t="s">
        <v>297</v>
      </c>
      <c r="B3994" s="6" t="s">
        <v>298</v>
      </c>
      <c r="C3994" s="6" t="s">
        <v>826</v>
      </c>
      <c r="D3994" s="6" t="s">
        <v>13</v>
      </c>
      <c r="E3994" s="6" t="s">
        <v>52</v>
      </c>
      <c r="F3994" s="6" t="s">
        <v>70</v>
      </c>
      <c r="G3994" s="6" t="s">
        <v>71</v>
      </c>
      <c r="H3994" s="6" t="s">
        <v>72</v>
      </c>
      <c r="I3994" s="6" t="s">
        <v>32</v>
      </c>
      <c r="J3994" s="6">
        <v>17.062860000000001</v>
      </c>
      <c r="K3994" s="6">
        <v>-96.757170000000002</v>
      </c>
      <c r="L3994" s="6" t="str">
        <f>HYPERLINK("https://maps.google.com/?q=17.06286,-96.757170000000002", "🔗 Ver Mapa")</f>
        <v>🔗 Ver Mapa</v>
      </c>
    </row>
    <row r="3995" spans="1:12" ht="43.5" x14ac:dyDescent="0.35">
      <c r="A3995" s="5" t="s">
        <v>297</v>
      </c>
      <c r="B3995" s="5" t="s">
        <v>298</v>
      </c>
      <c r="C3995" s="5" t="s">
        <v>827</v>
      </c>
      <c r="D3995" s="5" t="s">
        <v>13</v>
      </c>
      <c r="E3995" s="5" t="s">
        <v>52</v>
      </c>
      <c r="F3995" s="5" t="s">
        <v>70</v>
      </c>
      <c r="G3995" s="5" t="s">
        <v>71</v>
      </c>
      <c r="H3995" s="5" t="s">
        <v>72</v>
      </c>
      <c r="I3995" s="5" t="s">
        <v>31</v>
      </c>
      <c r="J3995" s="5">
        <v>17.05386</v>
      </c>
      <c r="K3995" s="5">
        <v>-96.735389999999995</v>
      </c>
      <c r="L3995" s="5" t="str">
        <f>HYPERLINK("https://maps.google.com/?q=17.05386,-96.735390", "🔗 Ver Mapa")</f>
        <v>🔗 Ver Mapa</v>
      </c>
    </row>
    <row r="3996" spans="1:12" ht="43.5" x14ac:dyDescent="0.35">
      <c r="A3996" s="6" t="s">
        <v>297</v>
      </c>
      <c r="B3996" s="6" t="s">
        <v>298</v>
      </c>
      <c r="C3996" s="6" t="s">
        <v>827</v>
      </c>
      <c r="D3996" s="6" t="s">
        <v>13</v>
      </c>
      <c r="E3996" s="6" t="s">
        <v>52</v>
      </c>
      <c r="F3996" s="6" t="s">
        <v>70</v>
      </c>
      <c r="G3996" s="6" t="s">
        <v>71</v>
      </c>
      <c r="H3996" s="6" t="s">
        <v>72</v>
      </c>
      <c r="I3996" s="6" t="s">
        <v>31</v>
      </c>
      <c r="J3996" s="6">
        <v>17.05386</v>
      </c>
      <c r="K3996" s="6">
        <v>-96.735389999999995</v>
      </c>
      <c r="L3996" s="6" t="str">
        <f>HYPERLINK("https://maps.google.com/?q=17.05386,-96.735390", "🔗 Ver Mapa")</f>
        <v>🔗 Ver Mapa</v>
      </c>
    </row>
    <row r="3997" spans="1:12" ht="43.5" x14ac:dyDescent="0.35">
      <c r="A3997" s="5" t="s">
        <v>297</v>
      </c>
      <c r="B3997" s="5" t="s">
        <v>298</v>
      </c>
      <c r="C3997" s="5" t="s">
        <v>827</v>
      </c>
      <c r="D3997" s="5" t="s">
        <v>13</v>
      </c>
      <c r="E3997" s="5" t="s">
        <v>52</v>
      </c>
      <c r="F3997" s="5" t="s">
        <v>70</v>
      </c>
      <c r="G3997" s="5" t="s">
        <v>71</v>
      </c>
      <c r="H3997" s="5" t="s">
        <v>72</v>
      </c>
      <c r="I3997" s="5" t="s">
        <v>31</v>
      </c>
      <c r="J3997" s="5">
        <v>17.05386</v>
      </c>
      <c r="K3997" s="5">
        <v>-96.735389999999995</v>
      </c>
      <c r="L3997" s="5" t="str">
        <f>HYPERLINK("https://maps.google.com/?q=17.05386,-96.735390", "🔗 Ver Mapa")</f>
        <v>🔗 Ver Mapa</v>
      </c>
    </row>
    <row r="3998" spans="1:12" ht="43.5" x14ac:dyDescent="0.35">
      <c r="A3998" s="6" t="s">
        <v>297</v>
      </c>
      <c r="B3998" s="6" t="s">
        <v>298</v>
      </c>
      <c r="C3998" s="6" t="s">
        <v>827</v>
      </c>
      <c r="D3998" s="6" t="s">
        <v>13</v>
      </c>
      <c r="E3998" s="6" t="s">
        <v>52</v>
      </c>
      <c r="F3998" s="6" t="s">
        <v>70</v>
      </c>
      <c r="G3998" s="6" t="s">
        <v>71</v>
      </c>
      <c r="H3998" s="6" t="s">
        <v>72</v>
      </c>
      <c r="I3998" s="6" t="s">
        <v>31</v>
      </c>
      <c r="J3998" s="6">
        <v>17.05386</v>
      </c>
      <c r="K3998" s="6">
        <v>-96.735389999999995</v>
      </c>
      <c r="L3998" s="6" t="str">
        <f>HYPERLINK("https://maps.google.com/?q=17.05386,-96.735390", "🔗 Ver Mapa")</f>
        <v>🔗 Ver Mapa</v>
      </c>
    </row>
    <row r="3999" spans="1:12" ht="43.5" x14ac:dyDescent="0.35">
      <c r="A3999" s="5" t="s">
        <v>297</v>
      </c>
      <c r="B3999" s="5" t="s">
        <v>298</v>
      </c>
      <c r="C3999" s="5" t="s">
        <v>828</v>
      </c>
      <c r="D3999" s="5" t="s">
        <v>13</v>
      </c>
      <c r="E3999" s="5" t="s">
        <v>52</v>
      </c>
      <c r="F3999" s="5" t="s">
        <v>70</v>
      </c>
      <c r="G3999" s="5" t="s">
        <v>304</v>
      </c>
      <c r="H3999" s="5" t="s">
        <v>305</v>
      </c>
      <c r="I3999" s="5" t="s">
        <v>31</v>
      </c>
      <c r="J3999" s="5">
        <v>17.094465</v>
      </c>
      <c r="K3999" s="5">
        <v>-96.755263999999997</v>
      </c>
      <c r="L3999" s="5" t="str">
        <f>HYPERLINK("https://maps.google.com/?q=17.094465,-96.7552640", "🔗 Ver Mapa")</f>
        <v>🔗 Ver Mapa</v>
      </c>
    </row>
    <row r="4000" spans="1:12" ht="43.5" x14ac:dyDescent="0.35">
      <c r="A4000" s="6" t="s">
        <v>297</v>
      </c>
      <c r="B4000" s="6" t="s">
        <v>298</v>
      </c>
      <c r="C4000" s="6" t="s">
        <v>828</v>
      </c>
      <c r="D4000" s="6" t="s">
        <v>13</v>
      </c>
      <c r="E4000" s="6" t="s">
        <v>52</v>
      </c>
      <c r="F4000" s="6" t="s">
        <v>70</v>
      </c>
      <c r="G4000" s="6" t="s">
        <v>304</v>
      </c>
      <c r="H4000" s="6" t="s">
        <v>305</v>
      </c>
      <c r="I4000" s="6" t="s">
        <v>31</v>
      </c>
      <c r="J4000" s="6">
        <v>17.094465</v>
      </c>
      <c r="K4000" s="6">
        <v>-96.755263999999997</v>
      </c>
      <c r="L4000" s="6" t="str">
        <f>HYPERLINK("https://maps.google.com/?q=17.094465,-96.7552640", "🔗 Ver Mapa")</f>
        <v>🔗 Ver Mapa</v>
      </c>
    </row>
    <row r="4001" spans="1:12" ht="43.5" x14ac:dyDescent="0.35">
      <c r="A4001" s="5" t="s">
        <v>297</v>
      </c>
      <c r="B4001" s="5" t="s">
        <v>298</v>
      </c>
      <c r="C4001" s="5" t="s">
        <v>828</v>
      </c>
      <c r="D4001" s="5" t="s">
        <v>13</v>
      </c>
      <c r="E4001" s="5" t="s">
        <v>52</v>
      </c>
      <c r="F4001" s="5" t="s">
        <v>70</v>
      </c>
      <c r="G4001" s="5" t="s">
        <v>304</v>
      </c>
      <c r="H4001" s="5" t="s">
        <v>305</v>
      </c>
      <c r="I4001" s="5" t="s">
        <v>31</v>
      </c>
      <c r="J4001" s="5">
        <v>17.094465</v>
      </c>
      <c r="K4001" s="5">
        <v>-96.755263999999997</v>
      </c>
      <c r="L4001" s="5" t="str">
        <f>HYPERLINK("https://maps.google.com/?q=17.094465,-96.7552640", "🔗 Ver Mapa")</f>
        <v>🔗 Ver Mapa</v>
      </c>
    </row>
    <row r="4002" spans="1:12" ht="43.5" x14ac:dyDescent="0.35">
      <c r="A4002" s="6" t="s">
        <v>297</v>
      </c>
      <c r="B4002" s="6" t="s">
        <v>298</v>
      </c>
      <c r="C4002" s="6" t="s">
        <v>828</v>
      </c>
      <c r="D4002" s="6" t="s">
        <v>13</v>
      </c>
      <c r="E4002" s="6" t="s">
        <v>52</v>
      </c>
      <c r="F4002" s="6" t="s">
        <v>70</v>
      </c>
      <c r="G4002" s="6" t="s">
        <v>304</v>
      </c>
      <c r="H4002" s="6" t="s">
        <v>305</v>
      </c>
      <c r="I4002" s="6" t="s">
        <v>31</v>
      </c>
      <c r="J4002" s="6">
        <v>17.094465</v>
      </c>
      <c r="K4002" s="6">
        <v>-96.755263999999997</v>
      </c>
      <c r="L4002" s="6" t="str">
        <f>HYPERLINK("https://maps.google.com/?q=17.094465,-96.7552640", "🔗 Ver Mapa")</f>
        <v>🔗 Ver Mapa</v>
      </c>
    </row>
    <row r="4003" spans="1:12" ht="58" x14ac:dyDescent="0.35">
      <c r="A4003" s="5" t="s">
        <v>297</v>
      </c>
      <c r="B4003" s="5" t="s">
        <v>298</v>
      </c>
      <c r="C4003" s="5" t="s">
        <v>829</v>
      </c>
      <c r="D4003" s="5" t="s">
        <v>13</v>
      </c>
      <c r="E4003" s="5" t="s">
        <v>52</v>
      </c>
      <c r="F4003" s="5" t="s">
        <v>70</v>
      </c>
      <c r="G4003" s="5" t="s">
        <v>123</v>
      </c>
      <c r="H4003" s="5" t="s">
        <v>307</v>
      </c>
      <c r="I4003" s="5" t="s">
        <v>32</v>
      </c>
      <c r="J4003" s="5">
        <v>17.017726432307999</v>
      </c>
      <c r="K4003" s="5">
        <v>-96.718593038468001</v>
      </c>
      <c r="L4003" s="5" t="str">
        <f>HYPERLINK("https://maps.google.com/?q=17.01772643230838,-96.71859303846837", "🔗 Ver Mapa")</f>
        <v>🔗 Ver Mapa</v>
      </c>
    </row>
    <row r="4004" spans="1:12" ht="58" x14ac:dyDescent="0.35">
      <c r="A4004" s="6" t="s">
        <v>297</v>
      </c>
      <c r="B4004" s="6" t="s">
        <v>298</v>
      </c>
      <c r="C4004" s="6" t="s">
        <v>829</v>
      </c>
      <c r="D4004" s="6" t="s">
        <v>13</v>
      </c>
      <c r="E4004" s="6" t="s">
        <v>52</v>
      </c>
      <c r="F4004" s="6" t="s">
        <v>70</v>
      </c>
      <c r="G4004" s="6" t="s">
        <v>123</v>
      </c>
      <c r="H4004" s="6" t="s">
        <v>307</v>
      </c>
      <c r="I4004" s="6" t="s">
        <v>32</v>
      </c>
      <c r="J4004" s="6">
        <v>17.017726432307999</v>
      </c>
      <c r="K4004" s="6">
        <v>-96.718593038468001</v>
      </c>
      <c r="L4004" s="6" t="str">
        <f>HYPERLINK("https://maps.google.com/?q=17.01772643230838,-96.71859303846837", "🔗 Ver Mapa")</f>
        <v>🔗 Ver Mapa</v>
      </c>
    </row>
    <row r="4005" spans="1:12" ht="58" x14ac:dyDescent="0.35">
      <c r="A4005" s="5" t="s">
        <v>297</v>
      </c>
      <c r="B4005" s="5" t="s">
        <v>298</v>
      </c>
      <c r="C4005" s="5" t="s">
        <v>829</v>
      </c>
      <c r="D4005" s="5" t="s">
        <v>13</v>
      </c>
      <c r="E4005" s="5" t="s">
        <v>52</v>
      </c>
      <c r="F4005" s="5" t="s">
        <v>70</v>
      </c>
      <c r="G4005" s="5" t="s">
        <v>123</v>
      </c>
      <c r="H4005" s="5" t="s">
        <v>307</v>
      </c>
      <c r="I4005" s="5" t="s">
        <v>32</v>
      </c>
      <c r="J4005" s="5">
        <v>17.017726432307999</v>
      </c>
      <c r="K4005" s="5">
        <v>-96.718593038468001</v>
      </c>
      <c r="L4005" s="5" t="str">
        <f>HYPERLINK("https://maps.google.com/?q=17.01772643230838,-96.71859303846837", "🔗 Ver Mapa")</f>
        <v>🔗 Ver Mapa</v>
      </c>
    </row>
    <row r="4006" spans="1:12" ht="58" x14ac:dyDescent="0.35">
      <c r="A4006" s="6" t="s">
        <v>297</v>
      </c>
      <c r="B4006" s="6" t="s">
        <v>298</v>
      </c>
      <c r="C4006" s="6" t="s">
        <v>829</v>
      </c>
      <c r="D4006" s="6" t="s">
        <v>13</v>
      </c>
      <c r="E4006" s="6" t="s">
        <v>52</v>
      </c>
      <c r="F4006" s="6" t="s">
        <v>70</v>
      </c>
      <c r="G4006" s="6" t="s">
        <v>123</v>
      </c>
      <c r="H4006" s="6" t="s">
        <v>307</v>
      </c>
      <c r="I4006" s="6" t="s">
        <v>32</v>
      </c>
      <c r="J4006" s="6">
        <v>17.017726432307999</v>
      </c>
      <c r="K4006" s="6">
        <v>-96.718593038468001</v>
      </c>
      <c r="L4006" s="6" t="str">
        <f>HYPERLINK("https://maps.google.com/?q=17.01772643230838,-96.71859303846837", "🔗 Ver Mapa")</f>
        <v>🔗 Ver Mapa</v>
      </c>
    </row>
    <row r="4007" spans="1:12" ht="58" x14ac:dyDescent="0.35">
      <c r="A4007" s="5" t="s">
        <v>297</v>
      </c>
      <c r="B4007" s="5" t="s">
        <v>298</v>
      </c>
      <c r="C4007" s="5" t="s">
        <v>829</v>
      </c>
      <c r="D4007" s="5" t="s">
        <v>13</v>
      </c>
      <c r="E4007" s="5" t="s">
        <v>52</v>
      </c>
      <c r="F4007" s="5" t="s">
        <v>70</v>
      </c>
      <c r="G4007" s="5" t="s">
        <v>123</v>
      </c>
      <c r="H4007" s="5" t="s">
        <v>307</v>
      </c>
      <c r="I4007" s="5" t="s">
        <v>32</v>
      </c>
      <c r="J4007" s="5">
        <v>17.018052318891002</v>
      </c>
      <c r="K4007" s="5">
        <v>-96.718519935407002</v>
      </c>
      <c r="L4007" s="5" t="str">
        <f>HYPERLINK("https://maps.google.com/?q=17.018052318891478,-96.718519935406704", "🔗 Ver Mapa")</f>
        <v>🔗 Ver Mapa</v>
      </c>
    </row>
    <row r="4008" spans="1:12" ht="58" x14ac:dyDescent="0.35">
      <c r="A4008" s="6" t="s">
        <v>297</v>
      </c>
      <c r="B4008" s="6" t="s">
        <v>298</v>
      </c>
      <c r="C4008" s="6" t="s">
        <v>829</v>
      </c>
      <c r="D4008" s="6" t="s">
        <v>13</v>
      </c>
      <c r="E4008" s="6" t="s">
        <v>52</v>
      </c>
      <c r="F4008" s="6" t="s">
        <v>70</v>
      </c>
      <c r="G4008" s="6" t="s">
        <v>123</v>
      </c>
      <c r="H4008" s="6" t="s">
        <v>307</v>
      </c>
      <c r="I4008" s="6" t="s">
        <v>32</v>
      </c>
      <c r="J4008" s="6">
        <v>17.018052318891002</v>
      </c>
      <c r="K4008" s="6">
        <v>-96.718519935407002</v>
      </c>
      <c r="L4008" s="6" t="str">
        <f>HYPERLINK("https://maps.google.com/?q=17.018052318891478,-96.718519935406704", "🔗 Ver Mapa")</f>
        <v>🔗 Ver Mapa</v>
      </c>
    </row>
    <row r="4009" spans="1:12" ht="58" x14ac:dyDescent="0.35">
      <c r="A4009" s="5" t="s">
        <v>297</v>
      </c>
      <c r="B4009" s="5" t="s">
        <v>298</v>
      </c>
      <c r="C4009" s="5" t="s">
        <v>829</v>
      </c>
      <c r="D4009" s="5" t="s">
        <v>13</v>
      </c>
      <c r="E4009" s="5" t="s">
        <v>52</v>
      </c>
      <c r="F4009" s="5" t="s">
        <v>70</v>
      </c>
      <c r="G4009" s="5" t="s">
        <v>123</v>
      </c>
      <c r="H4009" s="5" t="s">
        <v>307</v>
      </c>
      <c r="I4009" s="5" t="s">
        <v>32</v>
      </c>
      <c r="J4009" s="5">
        <v>17.018052318891002</v>
      </c>
      <c r="K4009" s="5">
        <v>-96.718519935407002</v>
      </c>
      <c r="L4009" s="5" t="str">
        <f>HYPERLINK("https://maps.google.com/?q=17.018052318891478,-96.718519935406704", "🔗 Ver Mapa")</f>
        <v>🔗 Ver Mapa</v>
      </c>
    </row>
    <row r="4010" spans="1:12" ht="58" x14ac:dyDescent="0.35">
      <c r="A4010" s="6" t="s">
        <v>297</v>
      </c>
      <c r="B4010" s="6" t="s">
        <v>298</v>
      </c>
      <c r="C4010" s="6" t="s">
        <v>829</v>
      </c>
      <c r="D4010" s="6" t="s">
        <v>13</v>
      </c>
      <c r="E4010" s="6" t="s">
        <v>52</v>
      </c>
      <c r="F4010" s="6" t="s">
        <v>70</v>
      </c>
      <c r="G4010" s="6" t="s">
        <v>123</v>
      </c>
      <c r="H4010" s="6" t="s">
        <v>307</v>
      </c>
      <c r="I4010" s="6" t="s">
        <v>32</v>
      </c>
      <c r="J4010" s="6">
        <v>17.018052318891002</v>
      </c>
      <c r="K4010" s="6">
        <v>-96.718519935407002</v>
      </c>
      <c r="L4010" s="6" t="str">
        <f>HYPERLINK("https://maps.google.com/?q=17.018052318891478,-96.718519935406704", "🔗 Ver Mapa")</f>
        <v>🔗 Ver Mapa</v>
      </c>
    </row>
    <row r="4011" spans="1:12" ht="58" x14ac:dyDescent="0.35">
      <c r="A4011" s="5" t="s">
        <v>297</v>
      </c>
      <c r="B4011" s="5" t="s">
        <v>298</v>
      </c>
      <c r="C4011" s="5" t="s">
        <v>829</v>
      </c>
      <c r="D4011" s="5" t="s">
        <v>13</v>
      </c>
      <c r="E4011" s="5" t="s">
        <v>52</v>
      </c>
      <c r="F4011" s="5" t="s">
        <v>70</v>
      </c>
      <c r="G4011" s="5" t="s">
        <v>123</v>
      </c>
      <c r="H4011" s="5" t="s">
        <v>307</v>
      </c>
      <c r="I4011" s="5" t="s">
        <v>32</v>
      </c>
      <c r="J4011" s="5">
        <v>17.018084698635999</v>
      </c>
      <c r="K4011" s="5">
        <v>-96.718677193271006</v>
      </c>
      <c r="L4011" s="5" t="str">
        <f>HYPERLINK("https://maps.google.com/?q=17.01808469863598,-96.718677193270977", "🔗 Ver Mapa")</f>
        <v>🔗 Ver Mapa</v>
      </c>
    </row>
    <row r="4012" spans="1:12" ht="58" x14ac:dyDescent="0.35">
      <c r="A4012" s="6" t="s">
        <v>297</v>
      </c>
      <c r="B4012" s="6" t="s">
        <v>298</v>
      </c>
      <c r="C4012" s="6" t="s">
        <v>829</v>
      </c>
      <c r="D4012" s="6" t="s">
        <v>13</v>
      </c>
      <c r="E4012" s="6" t="s">
        <v>52</v>
      </c>
      <c r="F4012" s="6" t="s">
        <v>70</v>
      </c>
      <c r="G4012" s="6" t="s">
        <v>123</v>
      </c>
      <c r="H4012" s="6" t="s">
        <v>307</v>
      </c>
      <c r="I4012" s="6" t="s">
        <v>32</v>
      </c>
      <c r="J4012" s="6">
        <v>17.018084698635999</v>
      </c>
      <c r="K4012" s="6">
        <v>-96.718677193271006</v>
      </c>
      <c r="L4012" s="6" t="str">
        <f>HYPERLINK("https://maps.google.com/?q=17.01808469863598,-96.718677193270977", "🔗 Ver Mapa")</f>
        <v>🔗 Ver Mapa</v>
      </c>
    </row>
    <row r="4013" spans="1:12" ht="58" x14ac:dyDescent="0.35">
      <c r="A4013" s="5" t="s">
        <v>297</v>
      </c>
      <c r="B4013" s="5" t="s">
        <v>298</v>
      </c>
      <c r="C4013" s="5" t="s">
        <v>829</v>
      </c>
      <c r="D4013" s="5" t="s">
        <v>13</v>
      </c>
      <c r="E4013" s="5" t="s">
        <v>52</v>
      </c>
      <c r="F4013" s="5" t="s">
        <v>70</v>
      </c>
      <c r="G4013" s="5" t="s">
        <v>123</v>
      </c>
      <c r="H4013" s="5" t="s">
        <v>307</v>
      </c>
      <c r="I4013" s="5" t="s">
        <v>32</v>
      </c>
      <c r="J4013" s="5">
        <v>17.018084698635999</v>
      </c>
      <c r="K4013" s="5">
        <v>-96.718677193271006</v>
      </c>
      <c r="L4013" s="5" t="str">
        <f>HYPERLINK("https://maps.google.com/?q=17.01808469863598,-96.718677193270977", "🔗 Ver Mapa")</f>
        <v>🔗 Ver Mapa</v>
      </c>
    </row>
    <row r="4014" spans="1:12" ht="58" x14ac:dyDescent="0.35">
      <c r="A4014" s="6" t="s">
        <v>297</v>
      </c>
      <c r="B4014" s="6" t="s">
        <v>298</v>
      </c>
      <c r="C4014" s="6" t="s">
        <v>829</v>
      </c>
      <c r="D4014" s="6" t="s">
        <v>13</v>
      </c>
      <c r="E4014" s="6" t="s">
        <v>52</v>
      </c>
      <c r="F4014" s="6" t="s">
        <v>70</v>
      </c>
      <c r="G4014" s="6" t="s">
        <v>123</v>
      </c>
      <c r="H4014" s="6" t="s">
        <v>307</v>
      </c>
      <c r="I4014" s="6" t="s">
        <v>32</v>
      </c>
      <c r="J4014" s="6">
        <v>17.018084698635999</v>
      </c>
      <c r="K4014" s="6">
        <v>-96.718677193271006</v>
      </c>
      <c r="L4014" s="6" t="str">
        <f>HYPERLINK("https://maps.google.com/?q=17.01808469863598,-96.718677193270977", "🔗 Ver Mapa")</f>
        <v>🔗 Ver Mapa</v>
      </c>
    </row>
    <row r="4015" spans="1:12" ht="58" x14ac:dyDescent="0.35">
      <c r="A4015" s="5" t="s">
        <v>297</v>
      </c>
      <c r="B4015" s="5" t="s">
        <v>298</v>
      </c>
      <c r="C4015" s="5" t="s">
        <v>829</v>
      </c>
      <c r="D4015" s="5" t="s">
        <v>13</v>
      </c>
      <c r="E4015" s="5" t="s">
        <v>52</v>
      </c>
      <c r="F4015" s="5" t="s">
        <v>70</v>
      </c>
      <c r="G4015" s="5" t="s">
        <v>123</v>
      </c>
      <c r="H4015" s="5" t="s">
        <v>307</v>
      </c>
      <c r="I4015" s="5" t="s">
        <v>32</v>
      </c>
      <c r="J4015" s="5">
        <v>17.018891150418</v>
      </c>
      <c r="K4015" s="5">
        <v>-96.718331767273995</v>
      </c>
      <c r="L4015" s="5" t="str">
        <f>HYPERLINK("https://maps.google.com/?q=17.018891150417932,-96.718331767274464", "🔗 Ver Mapa")</f>
        <v>🔗 Ver Mapa</v>
      </c>
    </row>
    <row r="4016" spans="1:12" ht="58" x14ac:dyDescent="0.35">
      <c r="A4016" s="6" t="s">
        <v>297</v>
      </c>
      <c r="B4016" s="6" t="s">
        <v>298</v>
      </c>
      <c r="C4016" s="6" t="s">
        <v>829</v>
      </c>
      <c r="D4016" s="6" t="s">
        <v>13</v>
      </c>
      <c r="E4016" s="6" t="s">
        <v>52</v>
      </c>
      <c r="F4016" s="6" t="s">
        <v>70</v>
      </c>
      <c r="G4016" s="6" t="s">
        <v>123</v>
      </c>
      <c r="H4016" s="6" t="s">
        <v>307</v>
      </c>
      <c r="I4016" s="6" t="s">
        <v>32</v>
      </c>
      <c r="J4016" s="6">
        <v>17.018891150418</v>
      </c>
      <c r="K4016" s="6">
        <v>-96.718331767273995</v>
      </c>
      <c r="L4016" s="6" t="str">
        <f>HYPERLINK("https://maps.google.com/?q=17.018891150417932,-96.718331767274464", "🔗 Ver Mapa")</f>
        <v>🔗 Ver Mapa</v>
      </c>
    </row>
    <row r="4017" spans="1:12" ht="58" x14ac:dyDescent="0.35">
      <c r="A4017" s="5" t="s">
        <v>297</v>
      </c>
      <c r="B4017" s="5" t="s">
        <v>298</v>
      </c>
      <c r="C4017" s="5" t="s">
        <v>829</v>
      </c>
      <c r="D4017" s="5" t="s">
        <v>13</v>
      </c>
      <c r="E4017" s="5" t="s">
        <v>52</v>
      </c>
      <c r="F4017" s="5" t="s">
        <v>70</v>
      </c>
      <c r="G4017" s="5" t="s">
        <v>123</v>
      </c>
      <c r="H4017" s="5" t="s">
        <v>307</v>
      </c>
      <c r="I4017" s="5" t="s">
        <v>32</v>
      </c>
      <c r="J4017" s="5">
        <v>17.018891150418</v>
      </c>
      <c r="K4017" s="5">
        <v>-96.718331767273995</v>
      </c>
      <c r="L4017" s="5" t="str">
        <f>HYPERLINK("https://maps.google.com/?q=17.018891150417932,-96.718331767274464", "🔗 Ver Mapa")</f>
        <v>🔗 Ver Mapa</v>
      </c>
    </row>
    <row r="4018" spans="1:12" ht="58" x14ac:dyDescent="0.35">
      <c r="A4018" s="6" t="s">
        <v>297</v>
      </c>
      <c r="B4018" s="6" t="s">
        <v>298</v>
      </c>
      <c r="C4018" s="6" t="s">
        <v>829</v>
      </c>
      <c r="D4018" s="6" t="s">
        <v>13</v>
      </c>
      <c r="E4018" s="6" t="s">
        <v>52</v>
      </c>
      <c r="F4018" s="6" t="s">
        <v>70</v>
      </c>
      <c r="G4018" s="6" t="s">
        <v>123</v>
      </c>
      <c r="H4018" s="6" t="s">
        <v>307</v>
      </c>
      <c r="I4018" s="6" t="s">
        <v>32</v>
      </c>
      <c r="J4018" s="6">
        <v>17.018891150418</v>
      </c>
      <c r="K4018" s="6">
        <v>-96.718331767273995</v>
      </c>
      <c r="L4018" s="6" t="str">
        <f>HYPERLINK("https://maps.google.com/?q=17.018891150417932,-96.718331767274464", "🔗 Ver Mapa")</f>
        <v>🔗 Ver Mapa</v>
      </c>
    </row>
    <row r="4019" spans="1:12" ht="58" x14ac:dyDescent="0.35">
      <c r="A4019" s="5" t="s">
        <v>297</v>
      </c>
      <c r="B4019" s="5" t="s">
        <v>298</v>
      </c>
      <c r="C4019" s="5" t="s">
        <v>829</v>
      </c>
      <c r="D4019" s="5" t="s">
        <v>13</v>
      </c>
      <c r="E4019" s="5" t="s">
        <v>52</v>
      </c>
      <c r="F4019" s="5" t="s">
        <v>70</v>
      </c>
      <c r="G4019" s="5" t="s">
        <v>123</v>
      </c>
      <c r="H4019" s="5" t="s">
        <v>307</v>
      </c>
      <c r="I4019" s="5" t="s">
        <v>32</v>
      </c>
      <c r="J4019" s="5">
        <v>17.018946802456998</v>
      </c>
      <c r="K4019" s="5">
        <v>-96.718225001774002</v>
      </c>
      <c r="L4019" s="5" t="str">
        <f>HYPERLINK("https://maps.google.com/?q=17.018946802456792,-96.718225001774229", "🔗 Ver Mapa")</f>
        <v>🔗 Ver Mapa</v>
      </c>
    </row>
    <row r="4020" spans="1:12" ht="58" x14ac:dyDescent="0.35">
      <c r="A4020" s="6" t="s">
        <v>297</v>
      </c>
      <c r="B4020" s="6" t="s">
        <v>298</v>
      </c>
      <c r="C4020" s="6" t="s">
        <v>829</v>
      </c>
      <c r="D4020" s="6" t="s">
        <v>13</v>
      </c>
      <c r="E4020" s="6" t="s">
        <v>52</v>
      </c>
      <c r="F4020" s="6" t="s">
        <v>70</v>
      </c>
      <c r="G4020" s="6" t="s">
        <v>123</v>
      </c>
      <c r="H4020" s="6" t="s">
        <v>307</v>
      </c>
      <c r="I4020" s="6" t="s">
        <v>32</v>
      </c>
      <c r="J4020" s="6">
        <v>17.018946802456998</v>
      </c>
      <c r="K4020" s="6">
        <v>-96.718225001774002</v>
      </c>
      <c r="L4020" s="6" t="str">
        <f>HYPERLINK("https://maps.google.com/?q=17.018946802456792,-96.718225001774229", "🔗 Ver Mapa")</f>
        <v>🔗 Ver Mapa</v>
      </c>
    </row>
    <row r="4021" spans="1:12" ht="58" x14ac:dyDescent="0.35">
      <c r="A4021" s="5" t="s">
        <v>297</v>
      </c>
      <c r="B4021" s="5" t="s">
        <v>298</v>
      </c>
      <c r="C4021" s="5" t="s">
        <v>829</v>
      </c>
      <c r="D4021" s="5" t="s">
        <v>13</v>
      </c>
      <c r="E4021" s="5" t="s">
        <v>52</v>
      </c>
      <c r="F4021" s="5" t="s">
        <v>70</v>
      </c>
      <c r="G4021" s="5" t="s">
        <v>123</v>
      </c>
      <c r="H4021" s="5" t="s">
        <v>307</v>
      </c>
      <c r="I4021" s="5" t="s">
        <v>32</v>
      </c>
      <c r="J4021" s="5">
        <v>17.018946802456998</v>
      </c>
      <c r="K4021" s="5">
        <v>-96.718225001774002</v>
      </c>
      <c r="L4021" s="5" t="str">
        <f>HYPERLINK("https://maps.google.com/?q=17.018946802456792,-96.718225001774229", "🔗 Ver Mapa")</f>
        <v>🔗 Ver Mapa</v>
      </c>
    </row>
    <row r="4022" spans="1:12" ht="58" x14ac:dyDescent="0.35">
      <c r="A4022" s="6" t="s">
        <v>297</v>
      </c>
      <c r="B4022" s="6" t="s">
        <v>298</v>
      </c>
      <c r="C4022" s="6" t="s">
        <v>829</v>
      </c>
      <c r="D4022" s="6" t="s">
        <v>13</v>
      </c>
      <c r="E4022" s="6" t="s">
        <v>52</v>
      </c>
      <c r="F4022" s="6" t="s">
        <v>70</v>
      </c>
      <c r="G4022" s="6" t="s">
        <v>123</v>
      </c>
      <c r="H4022" s="6" t="s">
        <v>307</v>
      </c>
      <c r="I4022" s="6" t="s">
        <v>32</v>
      </c>
      <c r="J4022" s="6">
        <v>17.018946802456998</v>
      </c>
      <c r="K4022" s="6">
        <v>-96.718225001774002</v>
      </c>
      <c r="L4022" s="6" t="str">
        <f>HYPERLINK("https://maps.google.com/?q=17.018946802456792,-96.718225001774229", "🔗 Ver Mapa")</f>
        <v>🔗 Ver Mapa</v>
      </c>
    </row>
    <row r="4023" spans="1:12" ht="58" x14ac:dyDescent="0.35">
      <c r="A4023" s="5" t="s">
        <v>297</v>
      </c>
      <c r="B4023" s="5" t="s">
        <v>298</v>
      </c>
      <c r="C4023" s="5" t="s">
        <v>829</v>
      </c>
      <c r="D4023" s="5" t="s">
        <v>13</v>
      </c>
      <c r="E4023" s="5" t="s">
        <v>52</v>
      </c>
      <c r="F4023" s="5" t="s">
        <v>70</v>
      </c>
      <c r="G4023" s="5" t="s">
        <v>123</v>
      </c>
      <c r="H4023" s="5" t="s">
        <v>307</v>
      </c>
      <c r="I4023" s="5" t="s">
        <v>32</v>
      </c>
      <c r="J4023" s="5">
        <v>17.019725300400999</v>
      </c>
      <c r="K4023" s="5">
        <v>-96.718037502298998</v>
      </c>
      <c r="L4023" s="5" t="str">
        <f>HYPERLINK("https://maps.google.com/?q=17.0197253004008,-96.718037502299168", "🔗 Ver Mapa")</f>
        <v>🔗 Ver Mapa</v>
      </c>
    </row>
    <row r="4024" spans="1:12" ht="58" x14ac:dyDescent="0.35">
      <c r="A4024" s="6" t="s">
        <v>297</v>
      </c>
      <c r="B4024" s="6" t="s">
        <v>298</v>
      </c>
      <c r="C4024" s="6" t="s">
        <v>829</v>
      </c>
      <c r="D4024" s="6" t="s">
        <v>13</v>
      </c>
      <c r="E4024" s="6" t="s">
        <v>52</v>
      </c>
      <c r="F4024" s="6" t="s">
        <v>70</v>
      </c>
      <c r="G4024" s="6" t="s">
        <v>123</v>
      </c>
      <c r="H4024" s="6" t="s">
        <v>307</v>
      </c>
      <c r="I4024" s="6" t="s">
        <v>32</v>
      </c>
      <c r="J4024" s="6">
        <v>17.019725300400999</v>
      </c>
      <c r="K4024" s="6">
        <v>-96.718037502298998</v>
      </c>
      <c r="L4024" s="6" t="str">
        <f>HYPERLINK("https://maps.google.com/?q=17.0197253004008,-96.718037502299168", "🔗 Ver Mapa")</f>
        <v>🔗 Ver Mapa</v>
      </c>
    </row>
    <row r="4025" spans="1:12" ht="58" x14ac:dyDescent="0.35">
      <c r="A4025" s="5" t="s">
        <v>297</v>
      </c>
      <c r="B4025" s="5" t="s">
        <v>298</v>
      </c>
      <c r="C4025" s="5" t="s">
        <v>829</v>
      </c>
      <c r="D4025" s="5" t="s">
        <v>13</v>
      </c>
      <c r="E4025" s="5" t="s">
        <v>52</v>
      </c>
      <c r="F4025" s="5" t="s">
        <v>70</v>
      </c>
      <c r="G4025" s="5" t="s">
        <v>123</v>
      </c>
      <c r="H4025" s="5" t="s">
        <v>307</v>
      </c>
      <c r="I4025" s="5" t="s">
        <v>32</v>
      </c>
      <c r="J4025" s="5">
        <v>17.019725300400999</v>
      </c>
      <c r="K4025" s="5">
        <v>-96.718037502298998</v>
      </c>
      <c r="L4025" s="5" t="str">
        <f>HYPERLINK("https://maps.google.com/?q=17.0197253004008,-96.718037502299168", "🔗 Ver Mapa")</f>
        <v>🔗 Ver Mapa</v>
      </c>
    </row>
    <row r="4026" spans="1:12" ht="58" x14ac:dyDescent="0.35">
      <c r="A4026" s="6" t="s">
        <v>297</v>
      </c>
      <c r="B4026" s="6" t="s">
        <v>298</v>
      </c>
      <c r="C4026" s="6" t="s">
        <v>829</v>
      </c>
      <c r="D4026" s="6" t="s">
        <v>13</v>
      </c>
      <c r="E4026" s="6" t="s">
        <v>52</v>
      </c>
      <c r="F4026" s="6" t="s">
        <v>70</v>
      </c>
      <c r="G4026" s="6" t="s">
        <v>123</v>
      </c>
      <c r="H4026" s="6" t="s">
        <v>307</v>
      </c>
      <c r="I4026" s="6" t="s">
        <v>32</v>
      </c>
      <c r="J4026" s="6">
        <v>17.019725300400999</v>
      </c>
      <c r="K4026" s="6">
        <v>-96.718037502298998</v>
      </c>
      <c r="L4026" s="6" t="str">
        <f>HYPERLINK("https://maps.google.com/?q=17.0197253004008,-96.718037502299168", "🔗 Ver Mapa")</f>
        <v>🔗 Ver Mapa</v>
      </c>
    </row>
    <row r="4027" spans="1:12" ht="58" x14ac:dyDescent="0.35">
      <c r="A4027" s="5" t="s">
        <v>297</v>
      </c>
      <c r="B4027" s="5" t="s">
        <v>298</v>
      </c>
      <c r="C4027" s="5" t="s">
        <v>829</v>
      </c>
      <c r="D4027" s="5" t="s">
        <v>13</v>
      </c>
      <c r="E4027" s="5" t="s">
        <v>52</v>
      </c>
      <c r="F4027" s="5" t="s">
        <v>70</v>
      </c>
      <c r="G4027" s="5" t="s">
        <v>123</v>
      </c>
      <c r="H4027" s="5" t="s">
        <v>307</v>
      </c>
      <c r="I4027" s="5" t="s">
        <v>32</v>
      </c>
      <c r="J4027" s="5">
        <v>17.020021533144</v>
      </c>
      <c r="K4027" s="5">
        <v>-96.718138934853002</v>
      </c>
      <c r="L4027" s="5" t="str">
        <f>HYPERLINK("https://maps.google.com/?q=17.020021533143613,-96.718138934852632", "🔗 Ver Mapa")</f>
        <v>🔗 Ver Mapa</v>
      </c>
    </row>
    <row r="4028" spans="1:12" ht="58" x14ac:dyDescent="0.35">
      <c r="A4028" s="6" t="s">
        <v>297</v>
      </c>
      <c r="B4028" s="6" t="s">
        <v>298</v>
      </c>
      <c r="C4028" s="6" t="s">
        <v>829</v>
      </c>
      <c r="D4028" s="6" t="s">
        <v>13</v>
      </c>
      <c r="E4028" s="6" t="s">
        <v>52</v>
      </c>
      <c r="F4028" s="6" t="s">
        <v>70</v>
      </c>
      <c r="G4028" s="6" t="s">
        <v>123</v>
      </c>
      <c r="H4028" s="6" t="s">
        <v>307</v>
      </c>
      <c r="I4028" s="6" t="s">
        <v>32</v>
      </c>
      <c r="J4028" s="6">
        <v>17.020021533144</v>
      </c>
      <c r="K4028" s="6">
        <v>-96.718138934853002</v>
      </c>
      <c r="L4028" s="6" t="str">
        <f>HYPERLINK("https://maps.google.com/?q=17.020021533143613,-96.718138934852632", "🔗 Ver Mapa")</f>
        <v>🔗 Ver Mapa</v>
      </c>
    </row>
    <row r="4029" spans="1:12" ht="58" x14ac:dyDescent="0.35">
      <c r="A4029" s="5" t="s">
        <v>297</v>
      </c>
      <c r="B4029" s="5" t="s">
        <v>298</v>
      </c>
      <c r="C4029" s="5" t="s">
        <v>829</v>
      </c>
      <c r="D4029" s="5" t="s">
        <v>13</v>
      </c>
      <c r="E4029" s="5" t="s">
        <v>52</v>
      </c>
      <c r="F4029" s="5" t="s">
        <v>70</v>
      </c>
      <c r="G4029" s="5" t="s">
        <v>123</v>
      </c>
      <c r="H4029" s="5" t="s">
        <v>307</v>
      </c>
      <c r="I4029" s="5" t="s">
        <v>32</v>
      </c>
      <c r="J4029" s="5">
        <v>17.020021533144</v>
      </c>
      <c r="K4029" s="5">
        <v>-96.718138934853002</v>
      </c>
      <c r="L4029" s="5" t="str">
        <f>HYPERLINK("https://maps.google.com/?q=17.020021533143613,-96.718138934852632", "🔗 Ver Mapa")</f>
        <v>🔗 Ver Mapa</v>
      </c>
    </row>
    <row r="4030" spans="1:12" ht="58" x14ac:dyDescent="0.35">
      <c r="A4030" s="6" t="s">
        <v>297</v>
      </c>
      <c r="B4030" s="6" t="s">
        <v>298</v>
      </c>
      <c r="C4030" s="6" t="s">
        <v>829</v>
      </c>
      <c r="D4030" s="6" t="s">
        <v>13</v>
      </c>
      <c r="E4030" s="6" t="s">
        <v>52</v>
      </c>
      <c r="F4030" s="6" t="s">
        <v>70</v>
      </c>
      <c r="G4030" s="6" t="s">
        <v>123</v>
      </c>
      <c r="H4030" s="6" t="s">
        <v>307</v>
      </c>
      <c r="I4030" s="6" t="s">
        <v>32</v>
      </c>
      <c r="J4030" s="6">
        <v>17.020021533144</v>
      </c>
      <c r="K4030" s="6">
        <v>-96.718138934853002</v>
      </c>
      <c r="L4030" s="6" t="str">
        <f>HYPERLINK("https://maps.google.com/?q=17.020021533143613,-96.718138934852632", "🔗 Ver Mapa")</f>
        <v>🔗 Ver Mapa</v>
      </c>
    </row>
    <row r="4031" spans="1:12" ht="58" x14ac:dyDescent="0.35">
      <c r="A4031" s="5" t="s">
        <v>297</v>
      </c>
      <c r="B4031" s="5" t="s">
        <v>298</v>
      </c>
      <c r="C4031" s="5" t="s">
        <v>829</v>
      </c>
      <c r="D4031" s="5" t="s">
        <v>13</v>
      </c>
      <c r="E4031" s="5" t="s">
        <v>52</v>
      </c>
      <c r="F4031" s="5" t="s">
        <v>70</v>
      </c>
      <c r="G4031" s="5" t="s">
        <v>123</v>
      </c>
      <c r="H4031" s="5" t="s">
        <v>307</v>
      </c>
      <c r="I4031" s="5" t="s">
        <v>32</v>
      </c>
      <c r="J4031" s="5">
        <v>17.020366885295001</v>
      </c>
      <c r="K4031" s="5">
        <v>-96.718112242423004</v>
      </c>
      <c r="L4031" s="5" t="str">
        <f>HYPERLINK("https://maps.google.com/?q=17.02036688529484,-96.718112242423189", "🔗 Ver Mapa")</f>
        <v>🔗 Ver Mapa</v>
      </c>
    </row>
    <row r="4032" spans="1:12" ht="58" x14ac:dyDescent="0.35">
      <c r="A4032" s="6" t="s">
        <v>297</v>
      </c>
      <c r="B4032" s="6" t="s">
        <v>298</v>
      </c>
      <c r="C4032" s="6" t="s">
        <v>829</v>
      </c>
      <c r="D4032" s="6" t="s">
        <v>13</v>
      </c>
      <c r="E4032" s="6" t="s">
        <v>52</v>
      </c>
      <c r="F4032" s="6" t="s">
        <v>70</v>
      </c>
      <c r="G4032" s="6" t="s">
        <v>123</v>
      </c>
      <c r="H4032" s="6" t="s">
        <v>307</v>
      </c>
      <c r="I4032" s="6" t="s">
        <v>32</v>
      </c>
      <c r="J4032" s="6">
        <v>17.020366885295001</v>
      </c>
      <c r="K4032" s="6">
        <v>-96.718112242423004</v>
      </c>
      <c r="L4032" s="6" t="str">
        <f>HYPERLINK("https://maps.google.com/?q=17.02036688529484,-96.718112242423189", "🔗 Ver Mapa")</f>
        <v>🔗 Ver Mapa</v>
      </c>
    </row>
    <row r="4033" spans="1:12" ht="58" x14ac:dyDescent="0.35">
      <c r="A4033" s="5" t="s">
        <v>297</v>
      </c>
      <c r="B4033" s="5" t="s">
        <v>298</v>
      </c>
      <c r="C4033" s="5" t="s">
        <v>829</v>
      </c>
      <c r="D4033" s="5" t="s">
        <v>13</v>
      </c>
      <c r="E4033" s="5" t="s">
        <v>52</v>
      </c>
      <c r="F4033" s="5" t="s">
        <v>70</v>
      </c>
      <c r="G4033" s="5" t="s">
        <v>123</v>
      </c>
      <c r="H4033" s="5" t="s">
        <v>307</v>
      </c>
      <c r="I4033" s="5" t="s">
        <v>32</v>
      </c>
      <c r="J4033" s="5">
        <v>17.020366885295001</v>
      </c>
      <c r="K4033" s="5">
        <v>-96.718112242423004</v>
      </c>
      <c r="L4033" s="5" t="str">
        <f>HYPERLINK("https://maps.google.com/?q=17.02036688529484,-96.718112242423189", "🔗 Ver Mapa")</f>
        <v>🔗 Ver Mapa</v>
      </c>
    </row>
    <row r="4034" spans="1:12" ht="58" x14ac:dyDescent="0.35">
      <c r="A4034" s="6" t="s">
        <v>297</v>
      </c>
      <c r="B4034" s="6" t="s">
        <v>298</v>
      </c>
      <c r="C4034" s="6" t="s">
        <v>829</v>
      </c>
      <c r="D4034" s="6" t="s">
        <v>13</v>
      </c>
      <c r="E4034" s="6" t="s">
        <v>52</v>
      </c>
      <c r="F4034" s="6" t="s">
        <v>70</v>
      </c>
      <c r="G4034" s="6" t="s">
        <v>123</v>
      </c>
      <c r="H4034" s="6" t="s">
        <v>307</v>
      </c>
      <c r="I4034" s="6" t="s">
        <v>32</v>
      </c>
      <c r="J4034" s="6">
        <v>17.020366885295001</v>
      </c>
      <c r="K4034" s="6">
        <v>-96.718112242423004</v>
      </c>
      <c r="L4034" s="6" t="str">
        <f>HYPERLINK("https://maps.google.com/?q=17.02036688529484,-96.718112242423189", "🔗 Ver Mapa")</f>
        <v>🔗 Ver Mapa</v>
      </c>
    </row>
    <row r="4035" spans="1:12" ht="58" x14ac:dyDescent="0.35">
      <c r="A4035" s="5" t="s">
        <v>297</v>
      </c>
      <c r="B4035" s="5" t="s">
        <v>298</v>
      </c>
      <c r="C4035" s="5" t="s">
        <v>829</v>
      </c>
      <c r="D4035" s="5" t="s">
        <v>13</v>
      </c>
      <c r="E4035" s="5" t="s">
        <v>52</v>
      </c>
      <c r="F4035" s="5" t="s">
        <v>70</v>
      </c>
      <c r="G4035" s="5" t="s">
        <v>123</v>
      </c>
      <c r="H4035" s="5" t="s">
        <v>307</v>
      </c>
      <c r="I4035" s="5" t="s">
        <v>32</v>
      </c>
      <c r="J4035" s="5">
        <v>17.020794443825</v>
      </c>
      <c r="K4035" s="5">
        <v>-96.717963454892995</v>
      </c>
      <c r="L4035" s="5" t="str">
        <f>HYPERLINK("https://maps.google.com/?q=17.020794443824677,-96.717963454893138", "🔗 Ver Mapa")</f>
        <v>🔗 Ver Mapa</v>
      </c>
    </row>
    <row r="4036" spans="1:12" ht="58" x14ac:dyDescent="0.35">
      <c r="A4036" s="6" t="s">
        <v>297</v>
      </c>
      <c r="B4036" s="6" t="s">
        <v>298</v>
      </c>
      <c r="C4036" s="6" t="s">
        <v>829</v>
      </c>
      <c r="D4036" s="6" t="s">
        <v>13</v>
      </c>
      <c r="E4036" s="6" t="s">
        <v>52</v>
      </c>
      <c r="F4036" s="6" t="s">
        <v>70</v>
      </c>
      <c r="G4036" s="6" t="s">
        <v>123</v>
      </c>
      <c r="H4036" s="6" t="s">
        <v>307</v>
      </c>
      <c r="I4036" s="6" t="s">
        <v>32</v>
      </c>
      <c r="J4036" s="6">
        <v>17.020794443825</v>
      </c>
      <c r="K4036" s="6">
        <v>-96.717963454892995</v>
      </c>
      <c r="L4036" s="6" t="str">
        <f>HYPERLINK("https://maps.google.com/?q=17.020794443824677,-96.717963454893138", "🔗 Ver Mapa")</f>
        <v>🔗 Ver Mapa</v>
      </c>
    </row>
    <row r="4037" spans="1:12" ht="58" x14ac:dyDescent="0.35">
      <c r="A4037" s="5" t="s">
        <v>297</v>
      </c>
      <c r="B4037" s="5" t="s">
        <v>298</v>
      </c>
      <c r="C4037" s="5" t="s">
        <v>829</v>
      </c>
      <c r="D4037" s="5" t="s">
        <v>13</v>
      </c>
      <c r="E4037" s="5" t="s">
        <v>52</v>
      </c>
      <c r="F4037" s="5" t="s">
        <v>70</v>
      </c>
      <c r="G4037" s="5" t="s">
        <v>123</v>
      </c>
      <c r="H4037" s="5" t="s">
        <v>307</v>
      </c>
      <c r="I4037" s="5" t="s">
        <v>32</v>
      </c>
      <c r="J4037" s="5">
        <v>17.020794443825</v>
      </c>
      <c r="K4037" s="5">
        <v>-96.717963454892995</v>
      </c>
      <c r="L4037" s="5" t="str">
        <f>HYPERLINK("https://maps.google.com/?q=17.020794443824677,-96.717963454893138", "🔗 Ver Mapa")</f>
        <v>🔗 Ver Mapa</v>
      </c>
    </row>
    <row r="4038" spans="1:12" ht="58" x14ac:dyDescent="0.35">
      <c r="A4038" s="6" t="s">
        <v>297</v>
      </c>
      <c r="B4038" s="6" t="s">
        <v>298</v>
      </c>
      <c r="C4038" s="6" t="s">
        <v>829</v>
      </c>
      <c r="D4038" s="6" t="s">
        <v>13</v>
      </c>
      <c r="E4038" s="6" t="s">
        <v>52</v>
      </c>
      <c r="F4038" s="6" t="s">
        <v>70</v>
      </c>
      <c r="G4038" s="6" t="s">
        <v>123</v>
      </c>
      <c r="H4038" s="6" t="s">
        <v>307</v>
      </c>
      <c r="I4038" s="6" t="s">
        <v>32</v>
      </c>
      <c r="J4038" s="6">
        <v>17.020794443825</v>
      </c>
      <c r="K4038" s="6">
        <v>-96.717963454892995</v>
      </c>
      <c r="L4038" s="6" t="str">
        <f>HYPERLINK("https://maps.google.com/?q=17.020794443824677,-96.717963454893138", "🔗 Ver Mapa")</f>
        <v>🔗 Ver Mapa</v>
      </c>
    </row>
    <row r="4039" spans="1:12" ht="58" x14ac:dyDescent="0.35">
      <c r="A4039" s="5" t="s">
        <v>297</v>
      </c>
      <c r="B4039" s="5" t="s">
        <v>298</v>
      </c>
      <c r="C4039" s="5" t="s">
        <v>830</v>
      </c>
      <c r="D4039" s="5" t="s">
        <v>13</v>
      </c>
      <c r="E4039" s="5" t="s">
        <v>52</v>
      </c>
      <c r="F4039" s="5" t="s">
        <v>70</v>
      </c>
      <c r="G4039" s="5" t="s">
        <v>71</v>
      </c>
      <c r="H4039" s="5" t="s">
        <v>72</v>
      </c>
      <c r="I4039" s="5" t="s">
        <v>32</v>
      </c>
      <c r="J4039" s="5">
        <v>17.080069000000002</v>
      </c>
      <c r="K4039" s="5">
        <v>-96.725791999999998</v>
      </c>
      <c r="L4039" s="5" t="str">
        <f>HYPERLINK("https://maps.google.com/?q=17.080069,-96.725791999999998", "🔗 Ver Mapa")</f>
        <v>🔗 Ver Mapa</v>
      </c>
    </row>
    <row r="4040" spans="1:12" ht="58" x14ac:dyDescent="0.35">
      <c r="A4040" s="6" t="s">
        <v>297</v>
      </c>
      <c r="B4040" s="6" t="s">
        <v>298</v>
      </c>
      <c r="C4040" s="6" t="s">
        <v>830</v>
      </c>
      <c r="D4040" s="6" t="s">
        <v>13</v>
      </c>
      <c r="E4040" s="6" t="s">
        <v>52</v>
      </c>
      <c r="F4040" s="6" t="s">
        <v>70</v>
      </c>
      <c r="G4040" s="6" t="s">
        <v>71</v>
      </c>
      <c r="H4040" s="6" t="s">
        <v>72</v>
      </c>
      <c r="I4040" s="6" t="s">
        <v>32</v>
      </c>
      <c r="J4040" s="6">
        <v>17.080069000000002</v>
      </c>
      <c r="K4040" s="6">
        <v>-96.725791999999998</v>
      </c>
      <c r="L4040" s="6" t="str">
        <f>HYPERLINK("https://maps.google.com/?q=17.080069,-96.725791999999998", "🔗 Ver Mapa")</f>
        <v>🔗 Ver Mapa</v>
      </c>
    </row>
    <row r="4041" spans="1:12" ht="58" x14ac:dyDescent="0.35">
      <c r="A4041" s="5" t="s">
        <v>297</v>
      </c>
      <c r="B4041" s="5" t="s">
        <v>298</v>
      </c>
      <c r="C4041" s="5" t="s">
        <v>830</v>
      </c>
      <c r="D4041" s="5" t="s">
        <v>13</v>
      </c>
      <c r="E4041" s="5" t="s">
        <v>52</v>
      </c>
      <c r="F4041" s="5" t="s">
        <v>70</v>
      </c>
      <c r="G4041" s="5" t="s">
        <v>71</v>
      </c>
      <c r="H4041" s="5" t="s">
        <v>72</v>
      </c>
      <c r="I4041" s="5" t="s">
        <v>32</v>
      </c>
      <c r="J4041" s="5">
        <v>17.080069000000002</v>
      </c>
      <c r="K4041" s="5">
        <v>-96.725791999999998</v>
      </c>
      <c r="L4041" s="5" t="str">
        <f>HYPERLINK("https://maps.google.com/?q=17.080069,-96.725791999999998", "🔗 Ver Mapa")</f>
        <v>🔗 Ver Mapa</v>
      </c>
    </row>
    <row r="4042" spans="1:12" ht="58" x14ac:dyDescent="0.35">
      <c r="A4042" s="6" t="s">
        <v>297</v>
      </c>
      <c r="B4042" s="6" t="s">
        <v>298</v>
      </c>
      <c r="C4042" s="6" t="s">
        <v>830</v>
      </c>
      <c r="D4042" s="6" t="s">
        <v>13</v>
      </c>
      <c r="E4042" s="6" t="s">
        <v>52</v>
      </c>
      <c r="F4042" s="6" t="s">
        <v>70</v>
      </c>
      <c r="G4042" s="6" t="s">
        <v>71</v>
      </c>
      <c r="H4042" s="6" t="s">
        <v>72</v>
      </c>
      <c r="I4042" s="6" t="s">
        <v>32</v>
      </c>
      <c r="J4042" s="6">
        <v>17.080069000000002</v>
      </c>
      <c r="K4042" s="6">
        <v>-96.725791999999998</v>
      </c>
      <c r="L4042" s="6" t="str">
        <f>HYPERLINK("https://maps.google.com/?q=17.080069,-96.725791999999998", "🔗 Ver Mapa")</f>
        <v>🔗 Ver Mapa</v>
      </c>
    </row>
    <row r="4043" spans="1:12" ht="58" x14ac:dyDescent="0.35">
      <c r="A4043" s="5" t="s">
        <v>297</v>
      </c>
      <c r="B4043" s="5" t="s">
        <v>298</v>
      </c>
      <c r="C4043" s="5" t="s">
        <v>830</v>
      </c>
      <c r="D4043" s="5" t="s">
        <v>13</v>
      </c>
      <c r="E4043" s="5" t="s">
        <v>52</v>
      </c>
      <c r="F4043" s="5" t="s">
        <v>70</v>
      </c>
      <c r="G4043" s="5" t="s">
        <v>71</v>
      </c>
      <c r="H4043" s="5" t="s">
        <v>72</v>
      </c>
      <c r="I4043" s="5" t="s">
        <v>32</v>
      </c>
      <c r="J4043" s="5">
        <v>17.080124000000001</v>
      </c>
      <c r="K4043" s="5">
        <v>-96.725837999999996</v>
      </c>
      <c r="L4043" s="5" t="str">
        <f>HYPERLINK("https://maps.google.com/?q=17.080124,-96.725837999999996", "🔗 Ver Mapa")</f>
        <v>🔗 Ver Mapa</v>
      </c>
    </row>
    <row r="4044" spans="1:12" ht="58" x14ac:dyDescent="0.35">
      <c r="A4044" s="6" t="s">
        <v>297</v>
      </c>
      <c r="B4044" s="6" t="s">
        <v>298</v>
      </c>
      <c r="C4044" s="6" t="s">
        <v>830</v>
      </c>
      <c r="D4044" s="6" t="s">
        <v>13</v>
      </c>
      <c r="E4044" s="6" t="s">
        <v>52</v>
      </c>
      <c r="F4044" s="6" t="s">
        <v>70</v>
      </c>
      <c r="G4044" s="6" t="s">
        <v>71</v>
      </c>
      <c r="H4044" s="6" t="s">
        <v>72</v>
      </c>
      <c r="I4044" s="6" t="s">
        <v>32</v>
      </c>
      <c r="J4044" s="6">
        <v>17.080124000000001</v>
      </c>
      <c r="K4044" s="6">
        <v>-96.725837999999996</v>
      </c>
      <c r="L4044" s="6" t="str">
        <f>HYPERLINK("https://maps.google.com/?q=17.080124,-96.725837999999996", "🔗 Ver Mapa")</f>
        <v>🔗 Ver Mapa</v>
      </c>
    </row>
    <row r="4045" spans="1:12" ht="58" x14ac:dyDescent="0.35">
      <c r="A4045" s="5" t="s">
        <v>297</v>
      </c>
      <c r="B4045" s="5" t="s">
        <v>298</v>
      </c>
      <c r="C4045" s="5" t="s">
        <v>830</v>
      </c>
      <c r="D4045" s="5" t="s">
        <v>13</v>
      </c>
      <c r="E4045" s="5" t="s">
        <v>52</v>
      </c>
      <c r="F4045" s="5" t="s">
        <v>70</v>
      </c>
      <c r="G4045" s="5" t="s">
        <v>71</v>
      </c>
      <c r="H4045" s="5" t="s">
        <v>72</v>
      </c>
      <c r="I4045" s="5" t="s">
        <v>32</v>
      </c>
      <c r="J4045" s="5">
        <v>17.080124000000001</v>
      </c>
      <c r="K4045" s="5">
        <v>-96.725837999999996</v>
      </c>
      <c r="L4045" s="5" t="str">
        <f>HYPERLINK("https://maps.google.com/?q=17.080124,-96.725837999999996", "🔗 Ver Mapa")</f>
        <v>🔗 Ver Mapa</v>
      </c>
    </row>
    <row r="4046" spans="1:12" ht="58" x14ac:dyDescent="0.35">
      <c r="A4046" s="6" t="s">
        <v>297</v>
      </c>
      <c r="B4046" s="6" t="s">
        <v>298</v>
      </c>
      <c r="C4046" s="6" t="s">
        <v>830</v>
      </c>
      <c r="D4046" s="6" t="s">
        <v>13</v>
      </c>
      <c r="E4046" s="6" t="s">
        <v>52</v>
      </c>
      <c r="F4046" s="6" t="s">
        <v>70</v>
      </c>
      <c r="G4046" s="6" t="s">
        <v>71</v>
      </c>
      <c r="H4046" s="6" t="s">
        <v>72</v>
      </c>
      <c r="I4046" s="6" t="s">
        <v>32</v>
      </c>
      <c r="J4046" s="6">
        <v>17.080124000000001</v>
      </c>
      <c r="K4046" s="6">
        <v>-96.725837999999996</v>
      </c>
      <c r="L4046" s="6" t="str">
        <f>HYPERLINK("https://maps.google.com/?q=17.080124,-96.725837999999996", "🔗 Ver Mapa")</f>
        <v>🔗 Ver Mapa</v>
      </c>
    </row>
    <row r="4047" spans="1:12" ht="58" x14ac:dyDescent="0.35">
      <c r="A4047" s="5" t="s">
        <v>297</v>
      </c>
      <c r="B4047" s="5" t="s">
        <v>298</v>
      </c>
      <c r="C4047" s="5" t="s">
        <v>830</v>
      </c>
      <c r="D4047" s="5" t="s">
        <v>13</v>
      </c>
      <c r="E4047" s="5" t="s">
        <v>52</v>
      </c>
      <c r="F4047" s="5" t="s">
        <v>70</v>
      </c>
      <c r="G4047" s="5" t="s">
        <v>71</v>
      </c>
      <c r="H4047" s="5" t="s">
        <v>72</v>
      </c>
      <c r="I4047" s="5" t="s">
        <v>32</v>
      </c>
      <c r="J4047" s="5">
        <v>17.080154</v>
      </c>
      <c r="K4047" s="5">
        <v>-96.726937000000007</v>
      </c>
      <c r="L4047" s="5" t="str">
        <f>HYPERLINK("https://maps.google.com/?q=17.080154,-96.726937000000007", "🔗 Ver Mapa")</f>
        <v>🔗 Ver Mapa</v>
      </c>
    </row>
    <row r="4048" spans="1:12" ht="58" x14ac:dyDescent="0.35">
      <c r="A4048" s="6" t="s">
        <v>297</v>
      </c>
      <c r="B4048" s="6" t="s">
        <v>298</v>
      </c>
      <c r="C4048" s="6" t="s">
        <v>830</v>
      </c>
      <c r="D4048" s="6" t="s">
        <v>13</v>
      </c>
      <c r="E4048" s="6" t="s">
        <v>52</v>
      </c>
      <c r="F4048" s="6" t="s">
        <v>70</v>
      </c>
      <c r="G4048" s="6" t="s">
        <v>71</v>
      </c>
      <c r="H4048" s="6" t="s">
        <v>72</v>
      </c>
      <c r="I4048" s="6" t="s">
        <v>32</v>
      </c>
      <c r="J4048" s="6">
        <v>17.080154</v>
      </c>
      <c r="K4048" s="6">
        <v>-96.726937000000007</v>
      </c>
      <c r="L4048" s="6" t="str">
        <f>HYPERLINK("https://maps.google.com/?q=17.080154,-96.726937000000007", "🔗 Ver Mapa")</f>
        <v>🔗 Ver Mapa</v>
      </c>
    </row>
    <row r="4049" spans="1:12" ht="58" x14ac:dyDescent="0.35">
      <c r="A4049" s="5" t="s">
        <v>297</v>
      </c>
      <c r="B4049" s="5" t="s">
        <v>298</v>
      </c>
      <c r="C4049" s="5" t="s">
        <v>830</v>
      </c>
      <c r="D4049" s="5" t="s">
        <v>13</v>
      </c>
      <c r="E4049" s="5" t="s">
        <v>52</v>
      </c>
      <c r="F4049" s="5" t="s">
        <v>70</v>
      </c>
      <c r="G4049" s="5" t="s">
        <v>71</v>
      </c>
      <c r="H4049" s="5" t="s">
        <v>72</v>
      </c>
      <c r="I4049" s="5" t="s">
        <v>32</v>
      </c>
      <c r="J4049" s="5">
        <v>17.080154</v>
      </c>
      <c r="K4049" s="5">
        <v>-96.726937000000007</v>
      </c>
      <c r="L4049" s="5" t="str">
        <f>HYPERLINK("https://maps.google.com/?q=17.080154,-96.726937000000007", "🔗 Ver Mapa")</f>
        <v>🔗 Ver Mapa</v>
      </c>
    </row>
    <row r="4050" spans="1:12" ht="58" x14ac:dyDescent="0.35">
      <c r="A4050" s="6" t="s">
        <v>297</v>
      </c>
      <c r="B4050" s="6" t="s">
        <v>298</v>
      </c>
      <c r="C4050" s="6" t="s">
        <v>830</v>
      </c>
      <c r="D4050" s="6" t="s">
        <v>13</v>
      </c>
      <c r="E4050" s="6" t="s">
        <v>52</v>
      </c>
      <c r="F4050" s="6" t="s">
        <v>70</v>
      </c>
      <c r="G4050" s="6" t="s">
        <v>71</v>
      </c>
      <c r="H4050" s="6" t="s">
        <v>72</v>
      </c>
      <c r="I4050" s="6" t="s">
        <v>32</v>
      </c>
      <c r="J4050" s="6">
        <v>17.080154</v>
      </c>
      <c r="K4050" s="6">
        <v>-96.726937000000007</v>
      </c>
      <c r="L4050" s="6" t="str">
        <f>HYPERLINK("https://maps.google.com/?q=17.080154,-96.726937000000007", "🔗 Ver Mapa")</f>
        <v>🔗 Ver Mapa</v>
      </c>
    </row>
    <row r="4051" spans="1:12" ht="58" x14ac:dyDescent="0.35">
      <c r="A4051" s="5" t="s">
        <v>297</v>
      </c>
      <c r="B4051" s="5" t="s">
        <v>298</v>
      </c>
      <c r="C4051" s="5" t="s">
        <v>830</v>
      </c>
      <c r="D4051" s="5" t="s">
        <v>13</v>
      </c>
      <c r="E4051" s="5" t="s">
        <v>52</v>
      </c>
      <c r="F4051" s="5" t="s">
        <v>70</v>
      </c>
      <c r="G4051" s="5" t="s">
        <v>71</v>
      </c>
      <c r="H4051" s="5" t="s">
        <v>72</v>
      </c>
      <c r="I4051" s="5" t="s">
        <v>32</v>
      </c>
      <c r="J4051" s="5">
        <v>17.080164</v>
      </c>
      <c r="K4051" s="5">
        <v>-96.726157000000001</v>
      </c>
      <c r="L4051" s="5" t="str">
        <f>HYPERLINK("https://maps.google.com/?q=17.080164,-96.726157000000001", "🔗 Ver Mapa")</f>
        <v>🔗 Ver Mapa</v>
      </c>
    </row>
    <row r="4052" spans="1:12" ht="58" x14ac:dyDescent="0.35">
      <c r="A4052" s="6" t="s">
        <v>297</v>
      </c>
      <c r="B4052" s="6" t="s">
        <v>298</v>
      </c>
      <c r="C4052" s="6" t="s">
        <v>830</v>
      </c>
      <c r="D4052" s="6" t="s">
        <v>13</v>
      </c>
      <c r="E4052" s="6" t="s">
        <v>52</v>
      </c>
      <c r="F4052" s="6" t="s">
        <v>70</v>
      </c>
      <c r="G4052" s="6" t="s">
        <v>71</v>
      </c>
      <c r="H4052" s="6" t="s">
        <v>72</v>
      </c>
      <c r="I4052" s="6" t="s">
        <v>32</v>
      </c>
      <c r="J4052" s="6">
        <v>17.080164</v>
      </c>
      <c r="K4052" s="6">
        <v>-96.726157000000001</v>
      </c>
      <c r="L4052" s="6" t="str">
        <f>HYPERLINK("https://maps.google.com/?q=17.080164,-96.726157000000001", "🔗 Ver Mapa")</f>
        <v>🔗 Ver Mapa</v>
      </c>
    </row>
    <row r="4053" spans="1:12" ht="58" x14ac:dyDescent="0.35">
      <c r="A4053" s="5" t="s">
        <v>297</v>
      </c>
      <c r="B4053" s="5" t="s">
        <v>298</v>
      </c>
      <c r="C4053" s="5" t="s">
        <v>830</v>
      </c>
      <c r="D4053" s="5" t="s">
        <v>13</v>
      </c>
      <c r="E4053" s="5" t="s">
        <v>52</v>
      </c>
      <c r="F4053" s="5" t="s">
        <v>70</v>
      </c>
      <c r="G4053" s="5" t="s">
        <v>71</v>
      </c>
      <c r="H4053" s="5" t="s">
        <v>72</v>
      </c>
      <c r="I4053" s="5" t="s">
        <v>32</v>
      </c>
      <c r="J4053" s="5">
        <v>17.080164</v>
      </c>
      <c r="K4053" s="5">
        <v>-96.726157000000001</v>
      </c>
      <c r="L4053" s="5" t="str">
        <f>HYPERLINK("https://maps.google.com/?q=17.080164,-96.726157000000001", "🔗 Ver Mapa")</f>
        <v>🔗 Ver Mapa</v>
      </c>
    </row>
    <row r="4054" spans="1:12" ht="58" x14ac:dyDescent="0.35">
      <c r="A4054" s="6" t="s">
        <v>297</v>
      </c>
      <c r="B4054" s="6" t="s">
        <v>298</v>
      </c>
      <c r="C4054" s="6" t="s">
        <v>830</v>
      </c>
      <c r="D4054" s="6" t="s">
        <v>13</v>
      </c>
      <c r="E4054" s="6" t="s">
        <v>52</v>
      </c>
      <c r="F4054" s="6" t="s">
        <v>70</v>
      </c>
      <c r="G4054" s="6" t="s">
        <v>71</v>
      </c>
      <c r="H4054" s="6" t="s">
        <v>72</v>
      </c>
      <c r="I4054" s="6" t="s">
        <v>32</v>
      </c>
      <c r="J4054" s="6">
        <v>17.080164</v>
      </c>
      <c r="K4054" s="6">
        <v>-96.726157000000001</v>
      </c>
      <c r="L4054" s="6" t="str">
        <f>HYPERLINK("https://maps.google.com/?q=17.080164,-96.726157000000001", "🔗 Ver Mapa")</f>
        <v>🔗 Ver Mapa</v>
      </c>
    </row>
    <row r="4055" spans="1:12" ht="58" x14ac:dyDescent="0.35">
      <c r="A4055" s="5" t="s">
        <v>297</v>
      </c>
      <c r="B4055" s="5" t="s">
        <v>298</v>
      </c>
      <c r="C4055" s="5" t="s">
        <v>830</v>
      </c>
      <c r="D4055" s="5" t="s">
        <v>13</v>
      </c>
      <c r="E4055" s="5" t="s">
        <v>52</v>
      </c>
      <c r="F4055" s="5" t="s">
        <v>70</v>
      </c>
      <c r="G4055" s="5" t="s">
        <v>71</v>
      </c>
      <c r="H4055" s="5" t="s">
        <v>72</v>
      </c>
      <c r="I4055" s="5" t="s">
        <v>32</v>
      </c>
      <c r="J4055" s="5">
        <v>17.080188</v>
      </c>
      <c r="K4055" s="5">
        <v>-96.726730000000003</v>
      </c>
      <c r="L4055" s="5" t="str">
        <f>HYPERLINK("https://maps.google.com/?q=17.080188,-96.726730000000003", "🔗 Ver Mapa")</f>
        <v>🔗 Ver Mapa</v>
      </c>
    </row>
    <row r="4056" spans="1:12" ht="58" x14ac:dyDescent="0.35">
      <c r="A4056" s="6" t="s">
        <v>297</v>
      </c>
      <c r="B4056" s="6" t="s">
        <v>298</v>
      </c>
      <c r="C4056" s="6" t="s">
        <v>830</v>
      </c>
      <c r="D4056" s="6" t="s">
        <v>13</v>
      </c>
      <c r="E4056" s="6" t="s">
        <v>52</v>
      </c>
      <c r="F4056" s="6" t="s">
        <v>70</v>
      </c>
      <c r="G4056" s="6" t="s">
        <v>71</v>
      </c>
      <c r="H4056" s="6" t="s">
        <v>72</v>
      </c>
      <c r="I4056" s="6" t="s">
        <v>32</v>
      </c>
      <c r="J4056" s="6">
        <v>17.080188</v>
      </c>
      <c r="K4056" s="6">
        <v>-96.726730000000003</v>
      </c>
      <c r="L4056" s="6" t="str">
        <f>HYPERLINK("https://maps.google.com/?q=17.080188,-96.726730000000003", "🔗 Ver Mapa")</f>
        <v>🔗 Ver Mapa</v>
      </c>
    </row>
    <row r="4057" spans="1:12" ht="58" x14ac:dyDescent="0.35">
      <c r="A4057" s="5" t="s">
        <v>297</v>
      </c>
      <c r="B4057" s="5" t="s">
        <v>298</v>
      </c>
      <c r="C4057" s="5" t="s">
        <v>830</v>
      </c>
      <c r="D4057" s="5" t="s">
        <v>13</v>
      </c>
      <c r="E4057" s="5" t="s">
        <v>52</v>
      </c>
      <c r="F4057" s="5" t="s">
        <v>70</v>
      </c>
      <c r="G4057" s="5" t="s">
        <v>71</v>
      </c>
      <c r="H4057" s="5" t="s">
        <v>72</v>
      </c>
      <c r="I4057" s="5" t="s">
        <v>32</v>
      </c>
      <c r="J4057" s="5">
        <v>17.080188</v>
      </c>
      <c r="K4057" s="5">
        <v>-96.726730000000003</v>
      </c>
      <c r="L4057" s="5" t="str">
        <f>HYPERLINK("https://maps.google.com/?q=17.080188,-96.726730000000003", "🔗 Ver Mapa")</f>
        <v>🔗 Ver Mapa</v>
      </c>
    </row>
    <row r="4058" spans="1:12" ht="58" x14ac:dyDescent="0.35">
      <c r="A4058" s="6" t="s">
        <v>297</v>
      </c>
      <c r="B4058" s="6" t="s">
        <v>298</v>
      </c>
      <c r="C4058" s="6" t="s">
        <v>830</v>
      </c>
      <c r="D4058" s="6" t="s">
        <v>13</v>
      </c>
      <c r="E4058" s="6" t="s">
        <v>52</v>
      </c>
      <c r="F4058" s="6" t="s">
        <v>70</v>
      </c>
      <c r="G4058" s="6" t="s">
        <v>71</v>
      </c>
      <c r="H4058" s="6" t="s">
        <v>72</v>
      </c>
      <c r="I4058" s="6" t="s">
        <v>32</v>
      </c>
      <c r="J4058" s="6">
        <v>17.080188</v>
      </c>
      <c r="K4058" s="6">
        <v>-96.726730000000003</v>
      </c>
      <c r="L4058" s="6" t="str">
        <f>HYPERLINK("https://maps.google.com/?q=17.080188,-96.726730000000003", "🔗 Ver Mapa")</f>
        <v>🔗 Ver Mapa</v>
      </c>
    </row>
    <row r="4059" spans="1:12" ht="58" x14ac:dyDescent="0.35">
      <c r="A4059" s="5" t="s">
        <v>297</v>
      </c>
      <c r="B4059" s="5" t="s">
        <v>298</v>
      </c>
      <c r="C4059" s="5" t="s">
        <v>830</v>
      </c>
      <c r="D4059" s="5" t="s">
        <v>13</v>
      </c>
      <c r="E4059" s="5" t="s">
        <v>52</v>
      </c>
      <c r="F4059" s="5" t="s">
        <v>70</v>
      </c>
      <c r="G4059" s="5" t="s">
        <v>71</v>
      </c>
      <c r="H4059" s="5" t="s">
        <v>72</v>
      </c>
      <c r="I4059" s="5" t="s">
        <v>32</v>
      </c>
      <c r="J4059" s="5">
        <v>17.080200000000001</v>
      </c>
      <c r="K4059" s="5">
        <v>-96.726955000000004</v>
      </c>
      <c r="L4059" s="5" t="str">
        <f>HYPERLINK("https://maps.google.com/?q=17.0802,-96.726955000000004", "🔗 Ver Mapa")</f>
        <v>🔗 Ver Mapa</v>
      </c>
    </row>
    <row r="4060" spans="1:12" ht="58" x14ac:dyDescent="0.35">
      <c r="A4060" s="6" t="s">
        <v>297</v>
      </c>
      <c r="B4060" s="6" t="s">
        <v>298</v>
      </c>
      <c r="C4060" s="6" t="s">
        <v>830</v>
      </c>
      <c r="D4060" s="6" t="s">
        <v>13</v>
      </c>
      <c r="E4060" s="6" t="s">
        <v>52</v>
      </c>
      <c r="F4060" s="6" t="s">
        <v>70</v>
      </c>
      <c r="G4060" s="6" t="s">
        <v>71</v>
      </c>
      <c r="H4060" s="6" t="s">
        <v>72</v>
      </c>
      <c r="I4060" s="6" t="s">
        <v>32</v>
      </c>
      <c r="J4060" s="6">
        <v>17.080200000000001</v>
      </c>
      <c r="K4060" s="6">
        <v>-96.726955000000004</v>
      </c>
      <c r="L4060" s="6" t="str">
        <f>HYPERLINK("https://maps.google.com/?q=17.0802,-96.726955000000004", "🔗 Ver Mapa")</f>
        <v>🔗 Ver Mapa</v>
      </c>
    </row>
    <row r="4061" spans="1:12" ht="58" x14ac:dyDescent="0.35">
      <c r="A4061" s="5" t="s">
        <v>297</v>
      </c>
      <c r="B4061" s="5" t="s">
        <v>298</v>
      </c>
      <c r="C4061" s="5" t="s">
        <v>830</v>
      </c>
      <c r="D4061" s="5" t="s">
        <v>13</v>
      </c>
      <c r="E4061" s="5" t="s">
        <v>52</v>
      </c>
      <c r="F4061" s="5" t="s">
        <v>70</v>
      </c>
      <c r="G4061" s="5" t="s">
        <v>71</v>
      </c>
      <c r="H4061" s="5" t="s">
        <v>72</v>
      </c>
      <c r="I4061" s="5" t="s">
        <v>32</v>
      </c>
      <c r="J4061" s="5">
        <v>17.080200000000001</v>
      </c>
      <c r="K4061" s="5">
        <v>-96.726955000000004</v>
      </c>
      <c r="L4061" s="5" t="str">
        <f>HYPERLINK("https://maps.google.com/?q=17.0802,-96.726955000000004", "🔗 Ver Mapa")</f>
        <v>🔗 Ver Mapa</v>
      </c>
    </row>
    <row r="4062" spans="1:12" ht="58" x14ac:dyDescent="0.35">
      <c r="A4062" s="6" t="s">
        <v>297</v>
      </c>
      <c r="B4062" s="6" t="s">
        <v>298</v>
      </c>
      <c r="C4062" s="6" t="s">
        <v>830</v>
      </c>
      <c r="D4062" s="6" t="s">
        <v>13</v>
      </c>
      <c r="E4062" s="6" t="s">
        <v>52</v>
      </c>
      <c r="F4062" s="6" t="s">
        <v>70</v>
      </c>
      <c r="G4062" s="6" t="s">
        <v>71</v>
      </c>
      <c r="H4062" s="6" t="s">
        <v>72</v>
      </c>
      <c r="I4062" s="6" t="s">
        <v>32</v>
      </c>
      <c r="J4062" s="6">
        <v>17.080200000000001</v>
      </c>
      <c r="K4062" s="6">
        <v>-96.726955000000004</v>
      </c>
      <c r="L4062" s="6" t="str">
        <f>HYPERLINK("https://maps.google.com/?q=17.0802,-96.726955000000004", "🔗 Ver Mapa")</f>
        <v>🔗 Ver Mapa</v>
      </c>
    </row>
    <row r="4063" spans="1:12" ht="58" x14ac:dyDescent="0.35">
      <c r="A4063" s="5" t="s">
        <v>297</v>
      </c>
      <c r="B4063" s="5" t="s">
        <v>298</v>
      </c>
      <c r="C4063" s="5" t="s">
        <v>830</v>
      </c>
      <c r="D4063" s="5" t="s">
        <v>13</v>
      </c>
      <c r="E4063" s="5" t="s">
        <v>52</v>
      </c>
      <c r="F4063" s="5" t="s">
        <v>70</v>
      </c>
      <c r="G4063" s="5" t="s">
        <v>71</v>
      </c>
      <c r="H4063" s="5" t="s">
        <v>72</v>
      </c>
      <c r="I4063" s="5" t="s">
        <v>31</v>
      </c>
      <c r="J4063" s="5">
        <v>17.080069000000002</v>
      </c>
      <c r="K4063" s="5">
        <v>-96.725791999999998</v>
      </c>
      <c r="L4063" s="5" t="str">
        <f>HYPERLINK("https://maps.google.com/?q=17.080069,-96.725792", "🔗 Ver Mapa")</f>
        <v>🔗 Ver Mapa</v>
      </c>
    </row>
    <row r="4064" spans="1:12" ht="58" x14ac:dyDescent="0.35">
      <c r="A4064" s="6" t="s">
        <v>297</v>
      </c>
      <c r="B4064" s="6" t="s">
        <v>298</v>
      </c>
      <c r="C4064" s="6" t="s">
        <v>830</v>
      </c>
      <c r="D4064" s="6" t="s">
        <v>13</v>
      </c>
      <c r="E4064" s="6" t="s">
        <v>52</v>
      </c>
      <c r="F4064" s="6" t="s">
        <v>70</v>
      </c>
      <c r="G4064" s="6" t="s">
        <v>71</v>
      </c>
      <c r="H4064" s="6" t="s">
        <v>72</v>
      </c>
      <c r="I4064" s="6" t="s">
        <v>31</v>
      </c>
      <c r="J4064" s="6">
        <v>17.080069000000002</v>
      </c>
      <c r="K4064" s="6">
        <v>-96.725791999999998</v>
      </c>
      <c r="L4064" s="6" t="str">
        <f>HYPERLINK("https://maps.google.com/?q=17.080069,-96.725792", "🔗 Ver Mapa")</f>
        <v>🔗 Ver Mapa</v>
      </c>
    </row>
    <row r="4065" spans="1:12" ht="58" x14ac:dyDescent="0.35">
      <c r="A4065" s="5" t="s">
        <v>297</v>
      </c>
      <c r="B4065" s="5" t="s">
        <v>298</v>
      </c>
      <c r="C4065" s="5" t="s">
        <v>830</v>
      </c>
      <c r="D4065" s="5" t="s">
        <v>13</v>
      </c>
      <c r="E4065" s="5" t="s">
        <v>52</v>
      </c>
      <c r="F4065" s="5" t="s">
        <v>70</v>
      </c>
      <c r="G4065" s="5" t="s">
        <v>71</v>
      </c>
      <c r="H4065" s="5" t="s">
        <v>72</v>
      </c>
      <c r="I4065" s="5" t="s">
        <v>31</v>
      </c>
      <c r="J4065" s="5">
        <v>17.080069000000002</v>
      </c>
      <c r="K4065" s="5">
        <v>-96.725791999999998</v>
      </c>
      <c r="L4065" s="5" t="str">
        <f>HYPERLINK("https://maps.google.com/?q=17.080069,-96.725792", "🔗 Ver Mapa")</f>
        <v>🔗 Ver Mapa</v>
      </c>
    </row>
    <row r="4066" spans="1:12" ht="58" x14ac:dyDescent="0.35">
      <c r="A4066" s="6" t="s">
        <v>297</v>
      </c>
      <c r="B4066" s="6" t="s">
        <v>298</v>
      </c>
      <c r="C4066" s="6" t="s">
        <v>830</v>
      </c>
      <c r="D4066" s="6" t="s">
        <v>13</v>
      </c>
      <c r="E4066" s="6" t="s">
        <v>52</v>
      </c>
      <c r="F4066" s="6" t="s">
        <v>70</v>
      </c>
      <c r="G4066" s="6" t="s">
        <v>71</v>
      </c>
      <c r="H4066" s="6" t="s">
        <v>72</v>
      </c>
      <c r="I4066" s="6" t="s">
        <v>31</v>
      </c>
      <c r="J4066" s="6">
        <v>17.080069000000002</v>
      </c>
      <c r="K4066" s="6">
        <v>-96.725791999999998</v>
      </c>
      <c r="L4066" s="6" t="str">
        <f>HYPERLINK("https://maps.google.com/?q=17.080069,-96.725792", "🔗 Ver Mapa")</f>
        <v>🔗 Ver Mapa</v>
      </c>
    </row>
    <row r="4067" spans="1:12" ht="58" x14ac:dyDescent="0.35">
      <c r="A4067" s="5" t="s">
        <v>297</v>
      </c>
      <c r="B4067" s="5" t="s">
        <v>298</v>
      </c>
      <c r="C4067" s="5" t="s">
        <v>830</v>
      </c>
      <c r="D4067" s="5" t="s">
        <v>13</v>
      </c>
      <c r="E4067" s="5" t="s">
        <v>52</v>
      </c>
      <c r="F4067" s="5" t="s">
        <v>70</v>
      </c>
      <c r="G4067" s="5" t="s">
        <v>71</v>
      </c>
      <c r="H4067" s="5" t="s">
        <v>72</v>
      </c>
      <c r="I4067" s="5" t="s">
        <v>31</v>
      </c>
      <c r="J4067" s="5">
        <v>17.081197</v>
      </c>
      <c r="K4067" s="5">
        <v>-96.727012000000002</v>
      </c>
      <c r="L4067" s="5" t="str">
        <f>HYPERLINK("https://maps.google.com/?q=17.081197,-96.727012", "🔗 Ver Mapa")</f>
        <v>🔗 Ver Mapa</v>
      </c>
    </row>
    <row r="4068" spans="1:12" ht="58" x14ac:dyDescent="0.35">
      <c r="A4068" s="6" t="s">
        <v>297</v>
      </c>
      <c r="B4068" s="6" t="s">
        <v>298</v>
      </c>
      <c r="C4068" s="6" t="s">
        <v>830</v>
      </c>
      <c r="D4068" s="6" t="s">
        <v>13</v>
      </c>
      <c r="E4068" s="6" t="s">
        <v>52</v>
      </c>
      <c r="F4068" s="6" t="s">
        <v>70</v>
      </c>
      <c r="G4068" s="6" t="s">
        <v>71</v>
      </c>
      <c r="H4068" s="6" t="s">
        <v>72</v>
      </c>
      <c r="I4068" s="6" t="s">
        <v>31</v>
      </c>
      <c r="J4068" s="6">
        <v>17.081197</v>
      </c>
      <c r="K4068" s="6">
        <v>-96.727012000000002</v>
      </c>
      <c r="L4068" s="6" t="str">
        <f>HYPERLINK("https://maps.google.com/?q=17.081197,-96.727012", "🔗 Ver Mapa")</f>
        <v>🔗 Ver Mapa</v>
      </c>
    </row>
    <row r="4069" spans="1:12" ht="58" x14ac:dyDescent="0.35">
      <c r="A4069" s="5" t="s">
        <v>297</v>
      </c>
      <c r="B4069" s="5" t="s">
        <v>298</v>
      </c>
      <c r="C4069" s="5" t="s">
        <v>830</v>
      </c>
      <c r="D4069" s="5" t="s">
        <v>13</v>
      </c>
      <c r="E4069" s="5" t="s">
        <v>52</v>
      </c>
      <c r="F4069" s="5" t="s">
        <v>70</v>
      </c>
      <c r="G4069" s="5" t="s">
        <v>71</v>
      </c>
      <c r="H4069" s="5" t="s">
        <v>72</v>
      </c>
      <c r="I4069" s="5" t="s">
        <v>31</v>
      </c>
      <c r="J4069" s="5">
        <v>17.081197</v>
      </c>
      <c r="K4069" s="5">
        <v>-96.727012000000002</v>
      </c>
      <c r="L4069" s="5" t="str">
        <f>HYPERLINK("https://maps.google.com/?q=17.081197,-96.727012", "🔗 Ver Mapa")</f>
        <v>🔗 Ver Mapa</v>
      </c>
    </row>
    <row r="4070" spans="1:12" ht="58" x14ac:dyDescent="0.35">
      <c r="A4070" s="6" t="s">
        <v>297</v>
      </c>
      <c r="B4070" s="6" t="s">
        <v>298</v>
      </c>
      <c r="C4070" s="6" t="s">
        <v>830</v>
      </c>
      <c r="D4070" s="6" t="s">
        <v>13</v>
      </c>
      <c r="E4070" s="6" t="s">
        <v>52</v>
      </c>
      <c r="F4070" s="6" t="s">
        <v>70</v>
      </c>
      <c r="G4070" s="6" t="s">
        <v>71</v>
      </c>
      <c r="H4070" s="6" t="s">
        <v>72</v>
      </c>
      <c r="I4070" s="6" t="s">
        <v>31</v>
      </c>
      <c r="J4070" s="6">
        <v>17.081197</v>
      </c>
      <c r="K4070" s="6">
        <v>-96.727012000000002</v>
      </c>
      <c r="L4070" s="6" t="str">
        <f>HYPERLINK("https://maps.google.com/?q=17.081197,-96.727012", "🔗 Ver Mapa")</f>
        <v>🔗 Ver Mapa</v>
      </c>
    </row>
    <row r="4071" spans="1:12" ht="58" x14ac:dyDescent="0.35">
      <c r="A4071" s="5" t="s">
        <v>297</v>
      </c>
      <c r="B4071" s="5" t="s">
        <v>298</v>
      </c>
      <c r="C4071" s="5" t="s">
        <v>830</v>
      </c>
      <c r="D4071" s="5" t="s">
        <v>13</v>
      </c>
      <c r="E4071" s="5" t="s">
        <v>52</v>
      </c>
      <c r="F4071" s="5" t="s">
        <v>70</v>
      </c>
      <c r="G4071" s="5" t="s">
        <v>71</v>
      </c>
      <c r="H4071" s="5" t="s">
        <v>72</v>
      </c>
      <c r="I4071" s="5" t="s">
        <v>31</v>
      </c>
      <c r="J4071" s="5">
        <v>17.082947999999998</v>
      </c>
      <c r="K4071" s="5">
        <v>-96.727684999999994</v>
      </c>
      <c r="L4071" s="5" t="str">
        <f>HYPERLINK("https://maps.google.com/?q=17.082948,-96.727685", "🔗 Ver Mapa")</f>
        <v>🔗 Ver Mapa</v>
      </c>
    </row>
    <row r="4072" spans="1:12" ht="58" x14ac:dyDescent="0.35">
      <c r="A4072" s="6" t="s">
        <v>297</v>
      </c>
      <c r="B4072" s="6" t="s">
        <v>298</v>
      </c>
      <c r="C4072" s="6" t="s">
        <v>830</v>
      </c>
      <c r="D4072" s="6" t="s">
        <v>13</v>
      </c>
      <c r="E4072" s="6" t="s">
        <v>52</v>
      </c>
      <c r="F4072" s="6" t="s">
        <v>70</v>
      </c>
      <c r="G4072" s="6" t="s">
        <v>71</v>
      </c>
      <c r="H4072" s="6" t="s">
        <v>72</v>
      </c>
      <c r="I4072" s="6" t="s">
        <v>31</v>
      </c>
      <c r="J4072" s="6">
        <v>17.082947999999998</v>
      </c>
      <c r="K4072" s="6">
        <v>-96.727684999999994</v>
      </c>
      <c r="L4072" s="6" t="str">
        <f>HYPERLINK("https://maps.google.com/?q=17.082948,-96.727685", "🔗 Ver Mapa")</f>
        <v>🔗 Ver Mapa</v>
      </c>
    </row>
    <row r="4073" spans="1:12" ht="58" x14ac:dyDescent="0.35">
      <c r="A4073" s="5" t="s">
        <v>297</v>
      </c>
      <c r="B4073" s="5" t="s">
        <v>298</v>
      </c>
      <c r="C4073" s="5" t="s">
        <v>830</v>
      </c>
      <c r="D4073" s="5" t="s">
        <v>13</v>
      </c>
      <c r="E4073" s="5" t="s">
        <v>52</v>
      </c>
      <c r="F4073" s="5" t="s">
        <v>70</v>
      </c>
      <c r="G4073" s="5" t="s">
        <v>71</v>
      </c>
      <c r="H4073" s="5" t="s">
        <v>72</v>
      </c>
      <c r="I4073" s="5" t="s">
        <v>31</v>
      </c>
      <c r="J4073" s="5">
        <v>17.082947999999998</v>
      </c>
      <c r="K4073" s="5">
        <v>-96.727684999999994</v>
      </c>
      <c r="L4073" s="5" t="str">
        <f>HYPERLINK("https://maps.google.com/?q=17.082948,-96.727685", "🔗 Ver Mapa")</f>
        <v>🔗 Ver Mapa</v>
      </c>
    </row>
    <row r="4074" spans="1:12" ht="58" x14ac:dyDescent="0.35">
      <c r="A4074" s="6" t="s">
        <v>297</v>
      </c>
      <c r="B4074" s="6" t="s">
        <v>298</v>
      </c>
      <c r="C4074" s="6" t="s">
        <v>830</v>
      </c>
      <c r="D4074" s="6" t="s">
        <v>13</v>
      </c>
      <c r="E4074" s="6" t="s">
        <v>52</v>
      </c>
      <c r="F4074" s="6" t="s">
        <v>70</v>
      </c>
      <c r="G4074" s="6" t="s">
        <v>71</v>
      </c>
      <c r="H4074" s="6" t="s">
        <v>72</v>
      </c>
      <c r="I4074" s="6" t="s">
        <v>31</v>
      </c>
      <c r="J4074" s="6">
        <v>17.082947999999998</v>
      </c>
      <c r="K4074" s="6">
        <v>-96.727684999999994</v>
      </c>
      <c r="L4074" s="6" t="str">
        <f>HYPERLINK("https://maps.google.com/?q=17.082948,-96.727685", "🔗 Ver Mapa")</f>
        <v>🔗 Ver Mapa</v>
      </c>
    </row>
    <row r="4075" spans="1:12" ht="58" x14ac:dyDescent="0.35">
      <c r="A4075" s="5" t="s">
        <v>297</v>
      </c>
      <c r="B4075" s="5" t="s">
        <v>298</v>
      </c>
      <c r="C4075" s="5" t="s">
        <v>830</v>
      </c>
      <c r="D4075" s="5" t="s">
        <v>13</v>
      </c>
      <c r="E4075" s="5" t="s">
        <v>52</v>
      </c>
      <c r="F4075" s="5" t="s">
        <v>70</v>
      </c>
      <c r="G4075" s="5" t="s">
        <v>71</v>
      </c>
      <c r="H4075" s="5" t="s">
        <v>72</v>
      </c>
      <c r="I4075" s="5" t="s">
        <v>31</v>
      </c>
      <c r="J4075" s="5">
        <v>17.085681000000001</v>
      </c>
      <c r="K4075" s="5">
        <v>-96.731652999999994</v>
      </c>
      <c r="L4075" s="5" t="str">
        <f>HYPERLINK("https://maps.google.com/?q=17.085681,-96.731653", "🔗 Ver Mapa")</f>
        <v>🔗 Ver Mapa</v>
      </c>
    </row>
    <row r="4076" spans="1:12" ht="58" x14ac:dyDescent="0.35">
      <c r="A4076" s="6" t="s">
        <v>297</v>
      </c>
      <c r="B4076" s="6" t="s">
        <v>298</v>
      </c>
      <c r="C4076" s="6" t="s">
        <v>830</v>
      </c>
      <c r="D4076" s="6" t="s">
        <v>13</v>
      </c>
      <c r="E4076" s="6" t="s">
        <v>52</v>
      </c>
      <c r="F4076" s="6" t="s">
        <v>70</v>
      </c>
      <c r="G4076" s="6" t="s">
        <v>71</v>
      </c>
      <c r="H4076" s="6" t="s">
        <v>72</v>
      </c>
      <c r="I4076" s="6" t="s">
        <v>31</v>
      </c>
      <c r="J4076" s="6">
        <v>17.085681000000001</v>
      </c>
      <c r="K4076" s="6">
        <v>-96.731652999999994</v>
      </c>
      <c r="L4076" s="6" t="str">
        <f>HYPERLINK("https://maps.google.com/?q=17.085681,-96.731653", "🔗 Ver Mapa")</f>
        <v>🔗 Ver Mapa</v>
      </c>
    </row>
    <row r="4077" spans="1:12" ht="58" x14ac:dyDescent="0.35">
      <c r="A4077" s="5" t="s">
        <v>297</v>
      </c>
      <c r="B4077" s="5" t="s">
        <v>298</v>
      </c>
      <c r="C4077" s="5" t="s">
        <v>830</v>
      </c>
      <c r="D4077" s="5" t="s">
        <v>13</v>
      </c>
      <c r="E4077" s="5" t="s">
        <v>52</v>
      </c>
      <c r="F4077" s="5" t="s">
        <v>70</v>
      </c>
      <c r="G4077" s="5" t="s">
        <v>71</v>
      </c>
      <c r="H4077" s="5" t="s">
        <v>72</v>
      </c>
      <c r="I4077" s="5" t="s">
        <v>31</v>
      </c>
      <c r="J4077" s="5">
        <v>17.085681000000001</v>
      </c>
      <c r="K4077" s="5">
        <v>-96.731652999999994</v>
      </c>
      <c r="L4077" s="5" t="str">
        <f>HYPERLINK("https://maps.google.com/?q=17.085681,-96.731653", "🔗 Ver Mapa")</f>
        <v>🔗 Ver Mapa</v>
      </c>
    </row>
    <row r="4078" spans="1:12" ht="58" x14ac:dyDescent="0.35">
      <c r="A4078" s="6" t="s">
        <v>297</v>
      </c>
      <c r="B4078" s="6" t="s">
        <v>298</v>
      </c>
      <c r="C4078" s="6" t="s">
        <v>830</v>
      </c>
      <c r="D4078" s="6" t="s">
        <v>13</v>
      </c>
      <c r="E4078" s="6" t="s">
        <v>52</v>
      </c>
      <c r="F4078" s="6" t="s">
        <v>70</v>
      </c>
      <c r="G4078" s="6" t="s">
        <v>71</v>
      </c>
      <c r="H4078" s="6" t="s">
        <v>72</v>
      </c>
      <c r="I4078" s="6" t="s">
        <v>31</v>
      </c>
      <c r="J4078" s="6">
        <v>17.085681000000001</v>
      </c>
      <c r="K4078" s="6">
        <v>-96.731652999999994</v>
      </c>
      <c r="L4078" s="6" t="str">
        <f>HYPERLINK("https://maps.google.com/?q=17.085681,-96.731653", "🔗 Ver Mapa")</f>
        <v>🔗 Ver Mapa</v>
      </c>
    </row>
    <row r="4079" spans="1:12" ht="72.5" x14ac:dyDescent="0.35">
      <c r="A4079" s="5" t="s">
        <v>297</v>
      </c>
      <c r="B4079" s="5" t="s">
        <v>298</v>
      </c>
      <c r="C4079" s="5" t="s">
        <v>831</v>
      </c>
      <c r="D4079" s="5" t="s">
        <v>13</v>
      </c>
      <c r="E4079" s="5" t="s">
        <v>52</v>
      </c>
      <c r="F4079" s="5" t="s">
        <v>70</v>
      </c>
      <c r="G4079" s="5" t="s">
        <v>71</v>
      </c>
      <c r="H4079" s="5" t="s">
        <v>72</v>
      </c>
      <c r="I4079" s="5" t="s">
        <v>32</v>
      </c>
      <c r="J4079" s="5">
        <v>17.055754</v>
      </c>
      <c r="K4079" s="5">
        <v>-96.745626290000004</v>
      </c>
      <c r="L4079" s="5" t="str">
        <f>HYPERLINK("https://maps.google.com/?q=17.055754,-96.745626290000004", "🔗 Ver Mapa")</f>
        <v>🔗 Ver Mapa</v>
      </c>
    </row>
    <row r="4080" spans="1:12" ht="72.5" x14ac:dyDescent="0.35">
      <c r="A4080" s="6" t="s">
        <v>297</v>
      </c>
      <c r="B4080" s="6" t="s">
        <v>298</v>
      </c>
      <c r="C4080" s="6" t="s">
        <v>831</v>
      </c>
      <c r="D4080" s="6" t="s">
        <v>13</v>
      </c>
      <c r="E4080" s="6" t="s">
        <v>52</v>
      </c>
      <c r="F4080" s="6" t="s">
        <v>70</v>
      </c>
      <c r="G4080" s="6" t="s">
        <v>71</v>
      </c>
      <c r="H4080" s="6" t="s">
        <v>72</v>
      </c>
      <c r="I4080" s="6" t="s">
        <v>32</v>
      </c>
      <c r="J4080" s="6">
        <v>17.055754</v>
      </c>
      <c r="K4080" s="6">
        <v>-96.745626290000004</v>
      </c>
      <c r="L4080" s="6" t="str">
        <f>HYPERLINK("https://maps.google.com/?q=17.055754,-96.745626290000004", "🔗 Ver Mapa")</f>
        <v>🔗 Ver Mapa</v>
      </c>
    </row>
    <row r="4081" spans="1:12" ht="72.5" x14ac:dyDescent="0.35">
      <c r="A4081" s="5" t="s">
        <v>297</v>
      </c>
      <c r="B4081" s="5" t="s">
        <v>298</v>
      </c>
      <c r="C4081" s="5" t="s">
        <v>831</v>
      </c>
      <c r="D4081" s="5" t="s">
        <v>13</v>
      </c>
      <c r="E4081" s="5" t="s">
        <v>52</v>
      </c>
      <c r="F4081" s="5" t="s">
        <v>70</v>
      </c>
      <c r="G4081" s="5" t="s">
        <v>71</v>
      </c>
      <c r="H4081" s="5" t="s">
        <v>72</v>
      </c>
      <c r="I4081" s="5" t="s">
        <v>32</v>
      </c>
      <c r="J4081" s="5">
        <v>17.055754</v>
      </c>
      <c r="K4081" s="5">
        <v>-96.745626290000004</v>
      </c>
      <c r="L4081" s="5" t="str">
        <f>HYPERLINK("https://maps.google.com/?q=17.055754,-96.745626290000004", "🔗 Ver Mapa")</f>
        <v>🔗 Ver Mapa</v>
      </c>
    </row>
    <row r="4082" spans="1:12" ht="72.5" x14ac:dyDescent="0.35">
      <c r="A4082" s="6" t="s">
        <v>297</v>
      </c>
      <c r="B4082" s="6" t="s">
        <v>298</v>
      </c>
      <c r="C4082" s="6" t="s">
        <v>831</v>
      </c>
      <c r="D4082" s="6" t="s">
        <v>13</v>
      </c>
      <c r="E4082" s="6" t="s">
        <v>52</v>
      </c>
      <c r="F4082" s="6" t="s">
        <v>70</v>
      </c>
      <c r="G4082" s="6" t="s">
        <v>71</v>
      </c>
      <c r="H4082" s="6" t="s">
        <v>72</v>
      </c>
      <c r="I4082" s="6" t="s">
        <v>32</v>
      </c>
      <c r="J4082" s="6">
        <v>17.055754</v>
      </c>
      <c r="K4082" s="6">
        <v>-96.745626290000004</v>
      </c>
      <c r="L4082" s="6" t="str">
        <f>HYPERLINK("https://maps.google.com/?q=17.055754,-96.745626290000004", "🔗 Ver Mapa")</f>
        <v>🔗 Ver Mapa</v>
      </c>
    </row>
    <row r="4083" spans="1:12" ht="72.5" x14ac:dyDescent="0.35">
      <c r="A4083" s="5" t="s">
        <v>297</v>
      </c>
      <c r="B4083" s="5" t="s">
        <v>298</v>
      </c>
      <c r="C4083" s="5" t="s">
        <v>831</v>
      </c>
      <c r="D4083" s="5" t="s">
        <v>13</v>
      </c>
      <c r="E4083" s="5" t="s">
        <v>52</v>
      </c>
      <c r="F4083" s="5" t="s">
        <v>70</v>
      </c>
      <c r="G4083" s="5" t="s">
        <v>71</v>
      </c>
      <c r="H4083" s="5" t="s">
        <v>72</v>
      </c>
      <c r="I4083" s="5" t="s">
        <v>32</v>
      </c>
      <c r="J4083" s="5">
        <v>17.0558127189</v>
      </c>
      <c r="K4083" s="5">
        <v>-96.7456976</v>
      </c>
      <c r="L4083" s="5" t="str">
        <f>HYPERLINK("https://maps.google.com/?q=17.0558127189,-96.7456976", "🔗 Ver Mapa")</f>
        <v>🔗 Ver Mapa</v>
      </c>
    </row>
    <row r="4084" spans="1:12" ht="72.5" x14ac:dyDescent="0.35">
      <c r="A4084" s="6" t="s">
        <v>297</v>
      </c>
      <c r="B4084" s="6" t="s">
        <v>298</v>
      </c>
      <c r="C4084" s="6" t="s">
        <v>831</v>
      </c>
      <c r="D4084" s="6" t="s">
        <v>13</v>
      </c>
      <c r="E4084" s="6" t="s">
        <v>52</v>
      </c>
      <c r="F4084" s="6" t="s">
        <v>70</v>
      </c>
      <c r="G4084" s="6" t="s">
        <v>71</v>
      </c>
      <c r="H4084" s="6" t="s">
        <v>72</v>
      </c>
      <c r="I4084" s="6" t="s">
        <v>32</v>
      </c>
      <c r="J4084" s="6">
        <v>17.0558127189</v>
      </c>
      <c r="K4084" s="6">
        <v>-96.7456976</v>
      </c>
      <c r="L4084" s="6" t="str">
        <f>HYPERLINK("https://maps.google.com/?q=17.0558127189,-96.7456976", "🔗 Ver Mapa")</f>
        <v>🔗 Ver Mapa</v>
      </c>
    </row>
    <row r="4085" spans="1:12" ht="72.5" x14ac:dyDescent="0.35">
      <c r="A4085" s="5" t="s">
        <v>297</v>
      </c>
      <c r="B4085" s="5" t="s">
        <v>298</v>
      </c>
      <c r="C4085" s="5" t="s">
        <v>831</v>
      </c>
      <c r="D4085" s="5" t="s">
        <v>13</v>
      </c>
      <c r="E4085" s="5" t="s">
        <v>52</v>
      </c>
      <c r="F4085" s="5" t="s">
        <v>70</v>
      </c>
      <c r="G4085" s="5" t="s">
        <v>71</v>
      </c>
      <c r="H4085" s="5" t="s">
        <v>72</v>
      </c>
      <c r="I4085" s="5" t="s">
        <v>32</v>
      </c>
      <c r="J4085" s="5">
        <v>17.0558127189</v>
      </c>
      <c r="K4085" s="5">
        <v>-96.7456976</v>
      </c>
      <c r="L4085" s="5" t="str">
        <f>HYPERLINK("https://maps.google.com/?q=17.0558127189,-96.7456976", "🔗 Ver Mapa")</f>
        <v>🔗 Ver Mapa</v>
      </c>
    </row>
    <row r="4086" spans="1:12" ht="72.5" x14ac:dyDescent="0.35">
      <c r="A4086" s="6" t="s">
        <v>297</v>
      </c>
      <c r="B4086" s="6" t="s">
        <v>298</v>
      </c>
      <c r="C4086" s="6" t="s">
        <v>831</v>
      </c>
      <c r="D4086" s="6" t="s">
        <v>13</v>
      </c>
      <c r="E4086" s="6" t="s">
        <v>52</v>
      </c>
      <c r="F4086" s="6" t="s">
        <v>70</v>
      </c>
      <c r="G4086" s="6" t="s">
        <v>71</v>
      </c>
      <c r="H4086" s="6" t="s">
        <v>72</v>
      </c>
      <c r="I4086" s="6" t="s">
        <v>32</v>
      </c>
      <c r="J4086" s="6">
        <v>17.0558127189</v>
      </c>
      <c r="K4086" s="6">
        <v>-96.7456976</v>
      </c>
      <c r="L4086" s="6" t="str">
        <f>HYPERLINK("https://maps.google.com/?q=17.0558127189,-96.7456976", "🔗 Ver Mapa")</f>
        <v>🔗 Ver Mapa</v>
      </c>
    </row>
    <row r="4087" spans="1:12" ht="72.5" x14ac:dyDescent="0.35">
      <c r="A4087" s="5" t="s">
        <v>297</v>
      </c>
      <c r="B4087" s="5" t="s">
        <v>298</v>
      </c>
      <c r="C4087" s="5" t="s">
        <v>831</v>
      </c>
      <c r="D4087" s="5" t="s">
        <v>13</v>
      </c>
      <c r="E4087" s="5" t="s">
        <v>52</v>
      </c>
      <c r="F4087" s="5" t="s">
        <v>70</v>
      </c>
      <c r="G4087" s="5" t="s">
        <v>71</v>
      </c>
      <c r="H4087" s="5" t="s">
        <v>72</v>
      </c>
      <c r="I4087" s="5" t="s">
        <v>32</v>
      </c>
      <c r="J4087" s="5">
        <v>17.05601879</v>
      </c>
      <c r="K4087" s="5">
        <v>-96.745880600000007</v>
      </c>
      <c r="L4087" s="5" t="str">
        <f>HYPERLINK("https://maps.google.com/?q=17.05601879,-96.745880600000007", "🔗 Ver Mapa")</f>
        <v>🔗 Ver Mapa</v>
      </c>
    </row>
    <row r="4088" spans="1:12" ht="72.5" x14ac:dyDescent="0.35">
      <c r="A4088" s="6" t="s">
        <v>297</v>
      </c>
      <c r="B4088" s="6" t="s">
        <v>298</v>
      </c>
      <c r="C4088" s="6" t="s">
        <v>831</v>
      </c>
      <c r="D4088" s="6" t="s">
        <v>13</v>
      </c>
      <c r="E4088" s="6" t="s">
        <v>52</v>
      </c>
      <c r="F4088" s="6" t="s">
        <v>70</v>
      </c>
      <c r="G4088" s="6" t="s">
        <v>71</v>
      </c>
      <c r="H4088" s="6" t="s">
        <v>72</v>
      </c>
      <c r="I4088" s="6" t="s">
        <v>32</v>
      </c>
      <c r="J4088" s="6">
        <v>17.05601879</v>
      </c>
      <c r="K4088" s="6">
        <v>-96.745880600000007</v>
      </c>
      <c r="L4088" s="6" t="str">
        <f>HYPERLINK("https://maps.google.com/?q=17.05601879,-96.745880600000007", "🔗 Ver Mapa")</f>
        <v>🔗 Ver Mapa</v>
      </c>
    </row>
    <row r="4089" spans="1:12" ht="72.5" x14ac:dyDescent="0.35">
      <c r="A4089" s="5" t="s">
        <v>297</v>
      </c>
      <c r="B4089" s="5" t="s">
        <v>298</v>
      </c>
      <c r="C4089" s="5" t="s">
        <v>831</v>
      </c>
      <c r="D4089" s="5" t="s">
        <v>13</v>
      </c>
      <c r="E4089" s="5" t="s">
        <v>52</v>
      </c>
      <c r="F4089" s="5" t="s">
        <v>70</v>
      </c>
      <c r="G4089" s="5" t="s">
        <v>71</v>
      </c>
      <c r="H4089" s="5" t="s">
        <v>72</v>
      </c>
      <c r="I4089" s="5" t="s">
        <v>32</v>
      </c>
      <c r="J4089" s="5">
        <v>17.05601879</v>
      </c>
      <c r="K4089" s="5">
        <v>-96.745880600000007</v>
      </c>
      <c r="L4089" s="5" t="str">
        <f>HYPERLINK("https://maps.google.com/?q=17.05601879,-96.745880600000007", "🔗 Ver Mapa")</f>
        <v>🔗 Ver Mapa</v>
      </c>
    </row>
    <row r="4090" spans="1:12" ht="72.5" x14ac:dyDescent="0.35">
      <c r="A4090" s="6" t="s">
        <v>297</v>
      </c>
      <c r="B4090" s="6" t="s">
        <v>298</v>
      </c>
      <c r="C4090" s="6" t="s">
        <v>831</v>
      </c>
      <c r="D4090" s="6" t="s">
        <v>13</v>
      </c>
      <c r="E4090" s="6" t="s">
        <v>52</v>
      </c>
      <c r="F4090" s="6" t="s">
        <v>70</v>
      </c>
      <c r="G4090" s="6" t="s">
        <v>71</v>
      </c>
      <c r="H4090" s="6" t="s">
        <v>72</v>
      </c>
      <c r="I4090" s="6" t="s">
        <v>32</v>
      </c>
      <c r="J4090" s="6">
        <v>17.05601879</v>
      </c>
      <c r="K4090" s="6">
        <v>-96.745880600000007</v>
      </c>
      <c r="L4090" s="6" t="str">
        <f>HYPERLINK("https://maps.google.com/?q=17.05601879,-96.745880600000007", "🔗 Ver Mapa")</f>
        <v>🔗 Ver Mapa</v>
      </c>
    </row>
    <row r="4091" spans="1:12" ht="72.5" x14ac:dyDescent="0.35">
      <c r="A4091" s="5" t="s">
        <v>297</v>
      </c>
      <c r="B4091" s="5" t="s">
        <v>298</v>
      </c>
      <c r="C4091" s="5" t="s">
        <v>831</v>
      </c>
      <c r="D4091" s="5" t="s">
        <v>13</v>
      </c>
      <c r="E4091" s="5" t="s">
        <v>52</v>
      </c>
      <c r="F4091" s="5" t="s">
        <v>70</v>
      </c>
      <c r="G4091" s="5" t="s">
        <v>71</v>
      </c>
      <c r="H4091" s="5" t="s">
        <v>72</v>
      </c>
      <c r="I4091" s="5" t="s">
        <v>32</v>
      </c>
      <c r="J4091" s="5">
        <v>17.056115689999999</v>
      </c>
      <c r="K4091" s="5">
        <v>-96.745782180000006</v>
      </c>
      <c r="L4091" s="5" t="str">
        <f>HYPERLINK("https://maps.google.com/?q=17.05611569,-96.745782180000006", "🔗 Ver Mapa")</f>
        <v>🔗 Ver Mapa</v>
      </c>
    </row>
    <row r="4092" spans="1:12" ht="72.5" x14ac:dyDescent="0.35">
      <c r="A4092" s="6" t="s">
        <v>297</v>
      </c>
      <c r="B4092" s="6" t="s">
        <v>298</v>
      </c>
      <c r="C4092" s="6" t="s">
        <v>831</v>
      </c>
      <c r="D4092" s="6" t="s">
        <v>13</v>
      </c>
      <c r="E4092" s="6" t="s">
        <v>52</v>
      </c>
      <c r="F4092" s="6" t="s">
        <v>70</v>
      </c>
      <c r="G4092" s="6" t="s">
        <v>71</v>
      </c>
      <c r="H4092" s="6" t="s">
        <v>72</v>
      </c>
      <c r="I4092" s="6" t="s">
        <v>32</v>
      </c>
      <c r="J4092" s="6">
        <v>17.056115689999999</v>
      </c>
      <c r="K4092" s="6">
        <v>-96.745782180000006</v>
      </c>
      <c r="L4092" s="6" t="str">
        <f>HYPERLINK("https://maps.google.com/?q=17.05611569,-96.745782180000006", "🔗 Ver Mapa")</f>
        <v>🔗 Ver Mapa</v>
      </c>
    </row>
    <row r="4093" spans="1:12" ht="72.5" x14ac:dyDescent="0.35">
      <c r="A4093" s="5" t="s">
        <v>297</v>
      </c>
      <c r="B4093" s="5" t="s">
        <v>298</v>
      </c>
      <c r="C4093" s="5" t="s">
        <v>831</v>
      </c>
      <c r="D4093" s="5" t="s">
        <v>13</v>
      </c>
      <c r="E4093" s="5" t="s">
        <v>52</v>
      </c>
      <c r="F4093" s="5" t="s">
        <v>70</v>
      </c>
      <c r="G4093" s="5" t="s">
        <v>71</v>
      </c>
      <c r="H4093" s="5" t="s">
        <v>72</v>
      </c>
      <c r="I4093" s="5" t="s">
        <v>32</v>
      </c>
      <c r="J4093" s="5">
        <v>17.056115689999999</v>
      </c>
      <c r="K4093" s="5">
        <v>-96.745782180000006</v>
      </c>
      <c r="L4093" s="5" t="str">
        <f>HYPERLINK("https://maps.google.com/?q=17.05611569,-96.745782180000006", "🔗 Ver Mapa")</f>
        <v>🔗 Ver Mapa</v>
      </c>
    </row>
    <row r="4094" spans="1:12" ht="72.5" x14ac:dyDescent="0.35">
      <c r="A4094" s="6" t="s">
        <v>297</v>
      </c>
      <c r="B4094" s="6" t="s">
        <v>298</v>
      </c>
      <c r="C4094" s="6" t="s">
        <v>831</v>
      </c>
      <c r="D4094" s="6" t="s">
        <v>13</v>
      </c>
      <c r="E4094" s="6" t="s">
        <v>52</v>
      </c>
      <c r="F4094" s="6" t="s">
        <v>70</v>
      </c>
      <c r="G4094" s="6" t="s">
        <v>71</v>
      </c>
      <c r="H4094" s="6" t="s">
        <v>72</v>
      </c>
      <c r="I4094" s="6" t="s">
        <v>32</v>
      </c>
      <c r="J4094" s="6">
        <v>17.056115689999999</v>
      </c>
      <c r="K4094" s="6">
        <v>-96.745782180000006</v>
      </c>
      <c r="L4094" s="6" t="str">
        <f>HYPERLINK("https://maps.google.com/?q=17.05611569,-96.745782180000006", "🔗 Ver Mapa")</f>
        <v>🔗 Ver Mapa</v>
      </c>
    </row>
    <row r="4095" spans="1:12" ht="72.5" x14ac:dyDescent="0.35">
      <c r="A4095" s="5" t="s">
        <v>297</v>
      </c>
      <c r="B4095" s="5" t="s">
        <v>298</v>
      </c>
      <c r="C4095" s="5" t="s">
        <v>831</v>
      </c>
      <c r="D4095" s="5" t="s">
        <v>13</v>
      </c>
      <c r="E4095" s="5" t="s">
        <v>52</v>
      </c>
      <c r="F4095" s="5" t="s">
        <v>70</v>
      </c>
      <c r="G4095" s="5" t="s">
        <v>71</v>
      </c>
      <c r="H4095" s="5" t="s">
        <v>72</v>
      </c>
      <c r="I4095" s="5" t="s">
        <v>32</v>
      </c>
      <c r="J4095" s="5">
        <v>17.056291000000002</v>
      </c>
      <c r="K4095" s="5">
        <v>-96.746252900000002</v>
      </c>
      <c r="L4095" s="5" t="str">
        <f>HYPERLINK("https://maps.google.com/?q=17.056291,-96.746252900000002", "🔗 Ver Mapa")</f>
        <v>🔗 Ver Mapa</v>
      </c>
    </row>
    <row r="4096" spans="1:12" ht="72.5" x14ac:dyDescent="0.35">
      <c r="A4096" s="6" t="s">
        <v>297</v>
      </c>
      <c r="B4096" s="6" t="s">
        <v>298</v>
      </c>
      <c r="C4096" s="6" t="s">
        <v>831</v>
      </c>
      <c r="D4096" s="6" t="s">
        <v>13</v>
      </c>
      <c r="E4096" s="6" t="s">
        <v>52</v>
      </c>
      <c r="F4096" s="6" t="s">
        <v>70</v>
      </c>
      <c r="G4096" s="6" t="s">
        <v>71</v>
      </c>
      <c r="H4096" s="6" t="s">
        <v>72</v>
      </c>
      <c r="I4096" s="6" t="s">
        <v>32</v>
      </c>
      <c r="J4096" s="6">
        <v>17.056291000000002</v>
      </c>
      <c r="K4096" s="6">
        <v>-96.746252900000002</v>
      </c>
      <c r="L4096" s="6" t="str">
        <f>HYPERLINK("https://maps.google.com/?q=17.056291,-96.746252900000002", "🔗 Ver Mapa")</f>
        <v>🔗 Ver Mapa</v>
      </c>
    </row>
    <row r="4097" spans="1:12" ht="72.5" x14ac:dyDescent="0.35">
      <c r="A4097" s="5" t="s">
        <v>297</v>
      </c>
      <c r="B4097" s="5" t="s">
        <v>298</v>
      </c>
      <c r="C4097" s="5" t="s">
        <v>831</v>
      </c>
      <c r="D4097" s="5" t="s">
        <v>13</v>
      </c>
      <c r="E4097" s="5" t="s">
        <v>52</v>
      </c>
      <c r="F4097" s="5" t="s">
        <v>70</v>
      </c>
      <c r="G4097" s="5" t="s">
        <v>71</v>
      </c>
      <c r="H4097" s="5" t="s">
        <v>72</v>
      </c>
      <c r="I4097" s="5" t="s">
        <v>32</v>
      </c>
      <c r="J4097" s="5">
        <v>17.056291000000002</v>
      </c>
      <c r="K4097" s="5">
        <v>-96.746252900000002</v>
      </c>
      <c r="L4097" s="5" t="str">
        <f>HYPERLINK("https://maps.google.com/?q=17.056291,-96.746252900000002", "🔗 Ver Mapa")</f>
        <v>🔗 Ver Mapa</v>
      </c>
    </row>
    <row r="4098" spans="1:12" ht="72.5" x14ac:dyDescent="0.35">
      <c r="A4098" s="6" t="s">
        <v>297</v>
      </c>
      <c r="B4098" s="6" t="s">
        <v>298</v>
      </c>
      <c r="C4098" s="6" t="s">
        <v>831</v>
      </c>
      <c r="D4098" s="6" t="s">
        <v>13</v>
      </c>
      <c r="E4098" s="6" t="s">
        <v>52</v>
      </c>
      <c r="F4098" s="6" t="s">
        <v>70</v>
      </c>
      <c r="G4098" s="6" t="s">
        <v>71</v>
      </c>
      <c r="H4098" s="6" t="s">
        <v>72</v>
      </c>
      <c r="I4098" s="6" t="s">
        <v>32</v>
      </c>
      <c r="J4098" s="6">
        <v>17.056291000000002</v>
      </c>
      <c r="K4098" s="6">
        <v>-96.746252900000002</v>
      </c>
      <c r="L4098" s="6" t="str">
        <f>HYPERLINK("https://maps.google.com/?q=17.056291,-96.746252900000002", "🔗 Ver Mapa")</f>
        <v>🔗 Ver Mapa</v>
      </c>
    </row>
    <row r="4099" spans="1:12" ht="72.5" x14ac:dyDescent="0.35">
      <c r="A4099" s="5" t="s">
        <v>297</v>
      </c>
      <c r="B4099" s="5" t="s">
        <v>298</v>
      </c>
      <c r="C4099" s="5" t="s">
        <v>831</v>
      </c>
      <c r="D4099" s="5" t="s">
        <v>13</v>
      </c>
      <c r="E4099" s="5" t="s">
        <v>52</v>
      </c>
      <c r="F4099" s="5" t="s">
        <v>70</v>
      </c>
      <c r="G4099" s="5" t="s">
        <v>71</v>
      </c>
      <c r="H4099" s="5" t="s">
        <v>72</v>
      </c>
      <c r="I4099" s="5" t="s">
        <v>32</v>
      </c>
      <c r="J4099" s="5">
        <v>17.056332917900001</v>
      </c>
      <c r="K4099" s="5">
        <v>-96.7461488</v>
      </c>
      <c r="L4099" s="5" t="str">
        <f>HYPERLINK("https://maps.google.com/?q=17.0563329179,-96.7461488", "🔗 Ver Mapa")</f>
        <v>🔗 Ver Mapa</v>
      </c>
    </row>
    <row r="4100" spans="1:12" ht="72.5" x14ac:dyDescent="0.35">
      <c r="A4100" s="6" t="s">
        <v>297</v>
      </c>
      <c r="B4100" s="6" t="s">
        <v>298</v>
      </c>
      <c r="C4100" s="6" t="s">
        <v>831</v>
      </c>
      <c r="D4100" s="6" t="s">
        <v>13</v>
      </c>
      <c r="E4100" s="6" t="s">
        <v>52</v>
      </c>
      <c r="F4100" s="6" t="s">
        <v>70</v>
      </c>
      <c r="G4100" s="6" t="s">
        <v>71</v>
      </c>
      <c r="H4100" s="6" t="s">
        <v>72</v>
      </c>
      <c r="I4100" s="6" t="s">
        <v>32</v>
      </c>
      <c r="J4100" s="6">
        <v>17.056332917900001</v>
      </c>
      <c r="K4100" s="6">
        <v>-96.7461488</v>
      </c>
      <c r="L4100" s="6" t="str">
        <f>HYPERLINK("https://maps.google.com/?q=17.0563329179,-96.7461488", "🔗 Ver Mapa")</f>
        <v>🔗 Ver Mapa</v>
      </c>
    </row>
    <row r="4101" spans="1:12" ht="72.5" x14ac:dyDescent="0.35">
      <c r="A4101" s="5" t="s">
        <v>297</v>
      </c>
      <c r="B4101" s="5" t="s">
        <v>298</v>
      </c>
      <c r="C4101" s="5" t="s">
        <v>831</v>
      </c>
      <c r="D4101" s="5" t="s">
        <v>13</v>
      </c>
      <c r="E4101" s="5" t="s">
        <v>52</v>
      </c>
      <c r="F4101" s="5" t="s">
        <v>70</v>
      </c>
      <c r="G4101" s="5" t="s">
        <v>71</v>
      </c>
      <c r="H4101" s="5" t="s">
        <v>72</v>
      </c>
      <c r="I4101" s="5" t="s">
        <v>32</v>
      </c>
      <c r="J4101" s="5">
        <v>17.056332917900001</v>
      </c>
      <c r="K4101" s="5">
        <v>-96.7461488</v>
      </c>
      <c r="L4101" s="5" t="str">
        <f>HYPERLINK("https://maps.google.com/?q=17.0563329179,-96.7461488", "🔗 Ver Mapa")</f>
        <v>🔗 Ver Mapa</v>
      </c>
    </row>
    <row r="4102" spans="1:12" ht="72.5" x14ac:dyDescent="0.35">
      <c r="A4102" s="6" t="s">
        <v>297</v>
      </c>
      <c r="B4102" s="6" t="s">
        <v>298</v>
      </c>
      <c r="C4102" s="6" t="s">
        <v>831</v>
      </c>
      <c r="D4102" s="6" t="s">
        <v>13</v>
      </c>
      <c r="E4102" s="6" t="s">
        <v>52</v>
      </c>
      <c r="F4102" s="6" t="s">
        <v>70</v>
      </c>
      <c r="G4102" s="6" t="s">
        <v>71</v>
      </c>
      <c r="H4102" s="6" t="s">
        <v>72</v>
      </c>
      <c r="I4102" s="6" t="s">
        <v>32</v>
      </c>
      <c r="J4102" s="6">
        <v>17.056332917900001</v>
      </c>
      <c r="K4102" s="6">
        <v>-96.7461488</v>
      </c>
      <c r="L4102" s="6" t="str">
        <f>HYPERLINK("https://maps.google.com/?q=17.0563329179,-96.7461488", "🔗 Ver Mapa")</f>
        <v>🔗 Ver Mapa</v>
      </c>
    </row>
    <row r="4103" spans="1:12" ht="72.5" x14ac:dyDescent="0.35">
      <c r="A4103" s="5" t="s">
        <v>297</v>
      </c>
      <c r="B4103" s="5" t="s">
        <v>298</v>
      </c>
      <c r="C4103" s="5" t="s">
        <v>831</v>
      </c>
      <c r="D4103" s="5" t="s">
        <v>13</v>
      </c>
      <c r="E4103" s="5" t="s">
        <v>52</v>
      </c>
      <c r="F4103" s="5" t="s">
        <v>70</v>
      </c>
      <c r="G4103" s="5" t="s">
        <v>71</v>
      </c>
      <c r="H4103" s="5" t="s">
        <v>72</v>
      </c>
      <c r="I4103" s="5" t="s">
        <v>32</v>
      </c>
      <c r="J4103" s="5">
        <v>17.058568000000001</v>
      </c>
      <c r="K4103" s="5">
        <v>-96.743064000000004</v>
      </c>
      <c r="L4103" s="5" t="str">
        <f>HYPERLINK("https://maps.google.com/?q=17.058568,-96.743064000000004", "🔗 Ver Mapa")</f>
        <v>🔗 Ver Mapa</v>
      </c>
    </row>
    <row r="4104" spans="1:12" ht="72.5" x14ac:dyDescent="0.35">
      <c r="A4104" s="6" t="s">
        <v>297</v>
      </c>
      <c r="B4104" s="6" t="s">
        <v>298</v>
      </c>
      <c r="C4104" s="6" t="s">
        <v>831</v>
      </c>
      <c r="D4104" s="6" t="s">
        <v>13</v>
      </c>
      <c r="E4104" s="6" t="s">
        <v>52</v>
      </c>
      <c r="F4104" s="6" t="s">
        <v>70</v>
      </c>
      <c r="G4104" s="6" t="s">
        <v>71</v>
      </c>
      <c r="H4104" s="6" t="s">
        <v>72</v>
      </c>
      <c r="I4104" s="6" t="s">
        <v>32</v>
      </c>
      <c r="J4104" s="6">
        <v>17.058568000000001</v>
      </c>
      <c r="K4104" s="6">
        <v>-96.743064000000004</v>
      </c>
      <c r="L4104" s="6" t="str">
        <f>HYPERLINK("https://maps.google.com/?q=17.058568,-96.743064000000004", "🔗 Ver Mapa")</f>
        <v>🔗 Ver Mapa</v>
      </c>
    </row>
    <row r="4105" spans="1:12" ht="72.5" x14ac:dyDescent="0.35">
      <c r="A4105" s="5" t="s">
        <v>297</v>
      </c>
      <c r="B4105" s="5" t="s">
        <v>298</v>
      </c>
      <c r="C4105" s="5" t="s">
        <v>831</v>
      </c>
      <c r="D4105" s="5" t="s">
        <v>13</v>
      </c>
      <c r="E4105" s="5" t="s">
        <v>52</v>
      </c>
      <c r="F4105" s="5" t="s">
        <v>70</v>
      </c>
      <c r="G4105" s="5" t="s">
        <v>71</v>
      </c>
      <c r="H4105" s="5" t="s">
        <v>72</v>
      </c>
      <c r="I4105" s="5" t="s">
        <v>32</v>
      </c>
      <c r="J4105" s="5">
        <v>17.058568000000001</v>
      </c>
      <c r="K4105" s="5">
        <v>-96.743064000000004</v>
      </c>
      <c r="L4105" s="5" t="str">
        <f>HYPERLINK("https://maps.google.com/?q=17.058568,-96.743064000000004", "🔗 Ver Mapa")</f>
        <v>🔗 Ver Mapa</v>
      </c>
    </row>
    <row r="4106" spans="1:12" ht="72.5" x14ac:dyDescent="0.35">
      <c r="A4106" s="6" t="s">
        <v>297</v>
      </c>
      <c r="B4106" s="6" t="s">
        <v>298</v>
      </c>
      <c r="C4106" s="6" t="s">
        <v>831</v>
      </c>
      <c r="D4106" s="6" t="s">
        <v>13</v>
      </c>
      <c r="E4106" s="6" t="s">
        <v>52</v>
      </c>
      <c r="F4106" s="6" t="s">
        <v>70</v>
      </c>
      <c r="G4106" s="6" t="s">
        <v>71</v>
      </c>
      <c r="H4106" s="6" t="s">
        <v>72</v>
      </c>
      <c r="I4106" s="6" t="s">
        <v>32</v>
      </c>
      <c r="J4106" s="6">
        <v>17.058568000000001</v>
      </c>
      <c r="K4106" s="6">
        <v>-96.743064000000004</v>
      </c>
      <c r="L4106" s="6" t="str">
        <f>HYPERLINK("https://maps.google.com/?q=17.058568,-96.743064000000004", "🔗 Ver Mapa")</f>
        <v>🔗 Ver Mapa</v>
      </c>
    </row>
    <row r="4107" spans="1:12" ht="72.5" x14ac:dyDescent="0.35">
      <c r="A4107" s="5" t="s">
        <v>297</v>
      </c>
      <c r="B4107" s="5" t="s">
        <v>298</v>
      </c>
      <c r="C4107" s="5" t="s">
        <v>831</v>
      </c>
      <c r="D4107" s="5" t="s">
        <v>13</v>
      </c>
      <c r="E4107" s="5" t="s">
        <v>52</v>
      </c>
      <c r="F4107" s="5" t="s">
        <v>70</v>
      </c>
      <c r="G4107" s="5" t="s">
        <v>71</v>
      </c>
      <c r="H4107" s="5" t="s">
        <v>72</v>
      </c>
      <c r="I4107" s="5" t="s">
        <v>32</v>
      </c>
      <c r="J4107" s="5">
        <v>17.058588</v>
      </c>
      <c r="K4107" s="5">
        <v>-96.743084899999999</v>
      </c>
      <c r="L4107" s="5" t="str">
        <f>HYPERLINK("https://maps.google.com/?q=17.058588,-96.743084899999999", "🔗 Ver Mapa")</f>
        <v>🔗 Ver Mapa</v>
      </c>
    </row>
    <row r="4108" spans="1:12" ht="72.5" x14ac:dyDescent="0.35">
      <c r="A4108" s="6" t="s">
        <v>297</v>
      </c>
      <c r="B4108" s="6" t="s">
        <v>298</v>
      </c>
      <c r="C4108" s="6" t="s">
        <v>831</v>
      </c>
      <c r="D4108" s="6" t="s">
        <v>13</v>
      </c>
      <c r="E4108" s="6" t="s">
        <v>52</v>
      </c>
      <c r="F4108" s="6" t="s">
        <v>70</v>
      </c>
      <c r="G4108" s="6" t="s">
        <v>71</v>
      </c>
      <c r="H4108" s="6" t="s">
        <v>72</v>
      </c>
      <c r="I4108" s="6" t="s">
        <v>32</v>
      </c>
      <c r="J4108" s="6">
        <v>17.058588</v>
      </c>
      <c r="K4108" s="6">
        <v>-96.743084899999999</v>
      </c>
      <c r="L4108" s="6" t="str">
        <f>HYPERLINK("https://maps.google.com/?q=17.058588,-96.743084899999999", "🔗 Ver Mapa")</f>
        <v>🔗 Ver Mapa</v>
      </c>
    </row>
    <row r="4109" spans="1:12" ht="72.5" x14ac:dyDescent="0.35">
      <c r="A4109" s="5" t="s">
        <v>297</v>
      </c>
      <c r="B4109" s="5" t="s">
        <v>298</v>
      </c>
      <c r="C4109" s="5" t="s">
        <v>831</v>
      </c>
      <c r="D4109" s="5" t="s">
        <v>13</v>
      </c>
      <c r="E4109" s="5" t="s">
        <v>52</v>
      </c>
      <c r="F4109" s="5" t="s">
        <v>70</v>
      </c>
      <c r="G4109" s="5" t="s">
        <v>71</v>
      </c>
      <c r="H4109" s="5" t="s">
        <v>72</v>
      </c>
      <c r="I4109" s="5" t="s">
        <v>32</v>
      </c>
      <c r="J4109" s="5">
        <v>17.058588</v>
      </c>
      <c r="K4109" s="5">
        <v>-96.743084899999999</v>
      </c>
      <c r="L4109" s="5" t="str">
        <f>HYPERLINK("https://maps.google.com/?q=17.058588,-96.743084899999999", "🔗 Ver Mapa")</f>
        <v>🔗 Ver Mapa</v>
      </c>
    </row>
    <row r="4110" spans="1:12" ht="72.5" x14ac:dyDescent="0.35">
      <c r="A4110" s="6" t="s">
        <v>297</v>
      </c>
      <c r="B4110" s="6" t="s">
        <v>298</v>
      </c>
      <c r="C4110" s="6" t="s">
        <v>831</v>
      </c>
      <c r="D4110" s="6" t="s">
        <v>13</v>
      </c>
      <c r="E4110" s="6" t="s">
        <v>52</v>
      </c>
      <c r="F4110" s="6" t="s">
        <v>70</v>
      </c>
      <c r="G4110" s="6" t="s">
        <v>71</v>
      </c>
      <c r="H4110" s="6" t="s">
        <v>72</v>
      </c>
      <c r="I4110" s="6" t="s">
        <v>32</v>
      </c>
      <c r="J4110" s="6">
        <v>17.058588</v>
      </c>
      <c r="K4110" s="6">
        <v>-96.743084899999999</v>
      </c>
      <c r="L4110" s="6" t="str">
        <f>HYPERLINK("https://maps.google.com/?q=17.058588,-96.743084899999999", "🔗 Ver Mapa")</f>
        <v>🔗 Ver Mapa</v>
      </c>
    </row>
    <row r="4111" spans="1:12" ht="72.5" x14ac:dyDescent="0.35">
      <c r="A4111" s="5" t="s">
        <v>297</v>
      </c>
      <c r="B4111" s="5" t="s">
        <v>298</v>
      </c>
      <c r="C4111" s="5" t="s">
        <v>831</v>
      </c>
      <c r="D4111" s="5" t="s">
        <v>13</v>
      </c>
      <c r="E4111" s="5" t="s">
        <v>52</v>
      </c>
      <c r="F4111" s="5" t="s">
        <v>70</v>
      </c>
      <c r="G4111" s="5" t="s">
        <v>71</v>
      </c>
      <c r="H4111" s="5" t="s">
        <v>72</v>
      </c>
      <c r="I4111" s="5" t="s">
        <v>32</v>
      </c>
      <c r="J4111" s="5">
        <v>17.058592900000001</v>
      </c>
      <c r="K4111" s="5">
        <v>-96.743018000000006</v>
      </c>
      <c r="L4111" s="5" t="str">
        <f>HYPERLINK("https://maps.google.com/?q=17.0585929,-96.743018000000006", "🔗 Ver Mapa")</f>
        <v>🔗 Ver Mapa</v>
      </c>
    </row>
    <row r="4112" spans="1:12" ht="72.5" x14ac:dyDescent="0.35">
      <c r="A4112" s="6" t="s">
        <v>297</v>
      </c>
      <c r="B4112" s="6" t="s">
        <v>298</v>
      </c>
      <c r="C4112" s="6" t="s">
        <v>831</v>
      </c>
      <c r="D4112" s="6" t="s">
        <v>13</v>
      </c>
      <c r="E4112" s="6" t="s">
        <v>52</v>
      </c>
      <c r="F4112" s="6" t="s">
        <v>70</v>
      </c>
      <c r="G4112" s="6" t="s">
        <v>71</v>
      </c>
      <c r="H4112" s="6" t="s">
        <v>72</v>
      </c>
      <c r="I4112" s="6" t="s">
        <v>32</v>
      </c>
      <c r="J4112" s="6">
        <v>17.058592900000001</v>
      </c>
      <c r="K4112" s="6">
        <v>-96.743018000000006</v>
      </c>
      <c r="L4112" s="6" t="str">
        <f>HYPERLINK("https://maps.google.com/?q=17.0585929,-96.743018000000006", "🔗 Ver Mapa")</f>
        <v>🔗 Ver Mapa</v>
      </c>
    </row>
    <row r="4113" spans="1:12" ht="72.5" x14ac:dyDescent="0.35">
      <c r="A4113" s="5" t="s">
        <v>297</v>
      </c>
      <c r="B4113" s="5" t="s">
        <v>298</v>
      </c>
      <c r="C4113" s="5" t="s">
        <v>831</v>
      </c>
      <c r="D4113" s="5" t="s">
        <v>13</v>
      </c>
      <c r="E4113" s="5" t="s">
        <v>52</v>
      </c>
      <c r="F4113" s="5" t="s">
        <v>70</v>
      </c>
      <c r="G4113" s="5" t="s">
        <v>71</v>
      </c>
      <c r="H4113" s="5" t="s">
        <v>72</v>
      </c>
      <c r="I4113" s="5" t="s">
        <v>32</v>
      </c>
      <c r="J4113" s="5">
        <v>17.058592900000001</v>
      </c>
      <c r="K4113" s="5">
        <v>-96.743018000000006</v>
      </c>
      <c r="L4113" s="5" t="str">
        <f>HYPERLINK("https://maps.google.com/?q=17.0585929,-96.743018000000006", "🔗 Ver Mapa")</f>
        <v>🔗 Ver Mapa</v>
      </c>
    </row>
    <row r="4114" spans="1:12" ht="72.5" x14ac:dyDescent="0.35">
      <c r="A4114" s="6" t="s">
        <v>297</v>
      </c>
      <c r="B4114" s="6" t="s">
        <v>298</v>
      </c>
      <c r="C4114" s="6" t="s">
        <v>831</v>
      </c>
      <c r="D4114" s="6" t="s">
        <v>13</v>
      </c>
      <c r="E4114" s="6" t="s">
        <v>52</v>
      </c>
      <c r="F4114" s="6" t="s">
        <v>70</v>
      </c>
      <c r="G4114" s="6" t="s">
        <v>71</v>
      </c>
      <c r="H4114" s="6" t="s">
        <v>72</v>
      </c>
      <c r="I4114" s="6" t="s">
        <v>32</v>
      </c>
      <c r="J4114" s="6">
        <v>17.058592900000001</v>
      </c>
      <c r="K4114" s="6">
        <v>-96.743018000000006</v>
      </c>
      <c r="L4114" s="6" t="str">
        <f>HYPERLINK("https://maps.google.com/?q=17.0585929,-96.743018000000006", "🔗 Ver Mapa")</f>
        <v>🔗 Ver Mapa</v>
      </c>
    </row>
    <row r="4115" spans="1:12" ht="72.5" x14ac:dyDescent="0.35">
      <c r="A4115" s="5" t="s">
        <v>297</v>
      </c>
      <c r="B4115" s="5" t="s">
        <v>298</v>
      </c>
      <c r="C4115" s="5" t="s">
        <v>831</v>
      </c>
      <c r="D4115" s="5" t="s">
        <v>13</v>
      </c>
      <c r="E4115" s="5" t="s">
        <v>52</v>
      </c>
      <c r="F4115" s="5" t="s">
        <v>70</v>
      </c>
      <c r="G4115" s="5" t="s">
        <v>71</v>
      </c>
      <c r="H4115" s="5" t="s">
        <v>72</v>
      </c>
      <c r="I4115" s="5" t="s">
        <v>32</v>
      </c>
      <c r="J4115" s="5">
        <v>17.058592900000001</v>
      </c>
      <c r="K4115" s="5">
        <v>-96.743078990000001</v>
      </c>
      <c r="L4115" s="5" t="str">
        <f>HYPERLINK("https://maps.google.com/?q=17.0585929,-96.743078990000001", "🔗 Ver Mapa")</f>
        <v>🔗 Ver Mapa</v>
      </c>
    </row>
    <row r="4116" spans="1:12" ht="72.5" x14ac:dyDescent="0.35">
      <c r="A4116" s="6" t="s">
        <v>297</v>
      </c>
      <c r="B4116" s="6" t="s">
        <v>298</v>
      </c>
      <c r="C4116" s="6" t="s">
        <v>831</v>
      </c>
      <c r="D4116" s="6" t="s">
        <v>13</v>
      </c>
      <c r="E4116" s="6" t="s">
        <v>52</v>
      </c>
      <c r="F4116" s="6" t="s">
        <v>70</v>
      </c>
      <c r="G4116" s="6" t="s">
        <v>71</v>
      </c>
      <c r="H4116" s="6" t="s">
        <v>72</v>
      </c>
      <c r="I4116" s="6" t="s">
        <v>32</v>
      </c>
      <c r="J4116" s="6">
        <v>17.058592900000001</v>
      </c>
      <c r="K4116" s="6">
        <v>-96.743078990000001</v>
      </c>
      <c r="L4116" s="6" t="str">
        <f>HYPERLINK("https://maps.google.com/?q=17.0585929,-96.743078990000001", "🔗 Ver Mapa")</f>
        <v>🔗 Ver Mapa</v>
      </c>
    </row>
    <row r="4117" spans="1:12" ht="72.5" x14ac:dyDescent="0.35">
      <c r="A4117" s="5" t="s">
        <v>297</v>
      </c>
      <c r="B4117" s="5" t="s">
        <v>298</v>
      </c>
      <c r="C4117" s="5" t="s">
        <v>831</v>
      </c>
      <c r="D4117" s="5" t="s">
        <v>13</v>
      </c>
      <c r="E4117" s="5" t="s">
        <v>52</v>
      </c>
      <c r="F4117" s="5" t="s">
        <v>70</v>
      </c>
      <c r="G4117" s="5" t="s">
        <v>71</v>
      </c>
      <c r="H4117" s="5" t="s">
        <v>72</v>
      </c>
      <c r="I4117" s="5" t="s">
        <v>32</v>
      </c>
      <c r="J4117" s="5">
        <v>17.058592900000001</v>
      </c>
      <c r="K4117" s="5">
        <v>-96.743078990000001</v>
      </c>
      <c r="L4117" s="5" t="str">
        <f>HYPERLINK("https://maps.google.com/?q=17.0585929,-96.743078990000001", "🔗 Ver Mapa")</f>
        <v>🔗 Ver Mapa</v>
      </c>
    </row>
    <row r="4118" spans="1:12" ht="72.5" x14ac:dyDescent="0.35">
      <c r="A4118" s="6" t="s">
        <v>297</v>
      </c>
      <c r="B4118" s="6" t="s">
        <v>298</v>
      </c>
      <c r="C4118" s="6" t="s">
        <v>831</v>
      </c>
      <c r="D4118" s="6" t="s">
        <v>13</v>
      </c>
      <c r="E4118" s="6" t="s">
        <v>52</v>
      </c>
      <c r="F4118" s="6" t="s">
        <v>70</v>
      </c>
      <c r="G4118" s="6" t="s">
        <v>71</v>
      </c>
      <c r="H4118" s="6" t="s">
        <v>72</v>
      </c>
      <c r="I4118" s="6" t="s">
        <v>32</v>
      </c>
      <c r="J4118" s="6">
        <v>17.058592900000001</v>
      </c>
      <c r="K4118" s="6">
        <v>-96.743078990000001</v>
      </c>
      <c r="L4118" s="6" t="str">
        <f>HYPERLINK("https://maps.google.com/?q=17.0585929,-96.743078990000001", "🔗 Ver Mapa")</f>
        <v>🔗 Ver Mapa</v>
      </c>
    </row>
    <row r="4119" spans="1:12" ht="72.5" x14ac:dyDescent="0.35">
      <c r="A4119" s="5" t="s">
        <v>297</v>
      </c>
      <c r="B4119" s="5" t="s">
        <v>298</v>
      </c>
      <c r="C4119" s="5" t="s">
        <v>831</v>
      </c>
      <c r="D4119" s="5" t="s">
        <v>13</v>
      </c>
      <c r="E4119" s="5" t="s">
        <v>52</v>
      </c>
      <c r="F4119" s="5" t="s">
        <v>70</v>
      </c>
      <c r="G4119" s="5" t="s">
        <v>71</v>
      </c>
      <c r="H4119" s="5" t="s">
        <v>72</v>
      </c>
      <c r="I4119" s="5" t="s">
        <v>32</v>
      </c>
      <c r="J4119" s="5">
        <v>17.058657</v>
      </c>
      <c r="K4119" s="5">
        <v>-96.743072990000002</v>
      </c>
      <c r="L4119" s="5" t="str">
        <f>HYPERLINK("https://maps.google.com/?q=17.058657,-96.743072990000002", "🔗 Ver Mapa")</f>
        <v>🔗 Ver Mapa</v>
      </c>
    </row>
    <row r="4120" spans="1:12" ht="72.5" x14ac:dyDescent="0.35">
      <c r="A4120" s="6" t="s">
        <v>297</v>
      </c>
      <c r="B4120" s="6" t="s">
        <v>298</v>
      </c>
      <c r="C4120" s="6" t="s">
        <v>831</v>
      </c>
      <c r="D4120" s="6" t="s">
        <v>13</v>
      </c>
      <c r="E4120" s="6" t="s">
        <v>52</v>
      </c>
      <c r="F4120" s="6" t="s">
        <v>70</v>
      </c>
      <c r="G4120" s="6" t="s">
        <v>71</v>
      </c>
      <c r="H4120" s="6" t="s">
        <v>72</v>
      </c>
      <c r="I4120" s="6" t="s">
        <v>32</v>
      </c>
      <c r="J4120" s="6">
        <v>17.058657</v>
      </c>
      <c r="K4120" s="6">
        <v>-96.743072990000002</v>
      </c>
      <c r="L4120" s="6" t="str">
        <f>HYPERLINK("https://maps.google.com/?q=17.058657,-96.743072990000002", "🔗 Ver Mapa")</f>
        <v>🔗 Ver Mapa</v>
      </c>
    </row>
    <row r="4121" spans="1:12" ht="72.5" x14ac:dyDescent="0.35">
      <c r="A4121" s="5" t="s">
        <v>297</v>
      </c>
      <c r="B4121" s="5" t="s">
        <v>298</v>
      </c>
      <c r="C4121" s="5" t="s">
        <v>831</v>
      </c>
      <c r="D4121" s="5" t="s">
        <v>13</v>
      </c>
      <c r="E4121" s="5" t="s">
        <v>52</v>
      </c>
      <c r="F4121" s="5" t="s">
        <v>70</v>
      </c>
      <c r="G4121" s="5" t="s">
        <v>71</v>
      </c>
      <c r="H4121" s="5" t="s">
        <v>72</v>
      </c>
      <c r="I4121" s="5" t="s">
        <v>32</v>
      </c>
      <c r="J4121" s="5">
        <v>17.058657</v>
      </c>
      <c r="K4121" s="5">
        <v>-96.743072990000002</v>
      </c>
      <c r="L4121" s="5" t="str">
        <f>HYPERLINK("https://maps.google.com/?q=17.058657,-96.743072990000002", "🔗 Ver Mapa")</f>
        <v>🔗 Ver Mapa</v>
      </c>
    </row>
    <row r="4122" spans="1:12" ht="72.5" x14ac:dyDescent="0.35">
      <c r="A4122" s="6" t="s">
        <v>297</v>
      </c>
      <c r="B4122" s="6" t="s">
        <v>298</v>
      </c>
      <c r="C4122" s="6" t="s">
        <v>831</v>
      </c>
      <c r="D4122" s="6" t="s">
        <v>13</v>
      </c>
      <c r="E4122" s="6" t="s">
        <v>52</v>
      </c>
      <c r="F4122" s="6" t="s">
        <v>70</v>
      </c>
      <c r="G4122" s="6" t="s">
        <v>71</v>
      </c>
      <c r="H4122" s="6" t="s">
        <v>72</v>
      </c>
      <c r="I4122" s="6" t="s">
        <v>32</v>
      </c>
      <c r="J4122" s="6">
        <v>17.058657</v>
      </c>
      <c r="K4122" s="6">
        <v>-96.743072990000002</v>
      </c>
      <c r="L4122" s="6" t="str">
        <f>HYPERLINK("https://maps.google.com/?q=17.058657,-96.743072990000002", "🔗 Ver Mapa")</f>
        <v>🔗 Ver Mapa</v>
      </c>
    </row>
    <row r="4123" spans="1:12" ht="72.5" x14ac:dyDescent="0.35">
      <c r="A4123" s="5" t="s">
        <v>297</v>
      </c>
      <c r="B4123" s="5" t="s">
        <v>298</v>
      </c>
      <c r="C4123" s="5" t="s">
        <v>831</v>
      </c>
      <c r="D4123" s="5" t="s">
        <v>13</v>
      </c>
      <c r="E4123" s="5" t="s">
        <v>52</v>
      </c>
      <c r="F4123" s="5" t="s">
        <v>70</v>
      </c>
      <c r="G4123" s="5" t="s">
        <v>71</v>
      </c>
      <c r="H4123" s="5" t="s">
        <v>72</v>
      </c>
      <c r="I4123" s="5" t="s">
        <v>32</v>
      </c>
      <c r="J4123" s="5">
        <v>17.058741900000001</v>
      </c>
      <c r="K4123" s="5">
        <v>-96.743148000000005</v>
      </c>
      <c r="L4123" s="5" t="str">
        <f>HYPERLINK("https://maps.google.com/?q=17.0587419,-96.743148000000005", "🔗 Ver Mapa")</f>
        <v>🔗 Ver Mapa</v>
      </c>
    </row>
    <row r="4124" spans="1:12" ht="72.5" x14ac:dyDescent="0.35">
      <c r="A4124" s="6" t="s">
        <v>297</v>
      </c>
      <c r="B4124" s="6" t="s">
        <v>298</v>
      </c>
      <c r="C4124" s="6" t="s">
        <v>831</v>
      </c>
      <c r="D4124" s="6" t="s">
        <v>13</v>
      </c>
      <c r="E4124" s="6" t="s">
        <v>52</v>
      </c>
      <c r="F4124" s="6" t="s">
        <v>70</v>
      </c>
      <c r="G4124" s="6" t="s">
        <v>71</v>
      </c>
      <c r="H4124" s="6" t="s">
        <v>72</v>
      </c>
      <c r="I4124" s="6" t="s">
        <v>32</v>
      </c>
      <c r="J4124" s="6">
        <v>17.058741900000001</v>
      </c>
      <c r="K4124" s="6">
        <v>-96.743148000000005</v>
      </c>
      <c r="L4124" s="6" t="str">
        <f>HYPERLINK("https://maps.google.com/?q=17.0587419,-96.743148000000005", "🔗 Ver Mapa")</f>
        <v>🔗 Ver Mapa</v>
      </c>
    </row>
    <row r="4125" spans="1:12" ht="72.5" x14ac:dyDescent="0.35">
      <c r="A4125" s="5" t="s">
        <v>297</v>
      </c>
      <c r="B4125" s="5" t="s">
        <v>298</v>
      </c>
      <c r="C4125" s="5" t="s">
        <v>831</v>
      </c>
      <c r="D4125" s="5" t="s">
        <v>13</v>
      </c>
      <c r="E4125" s="5" t="s">
        <v>52</v>
      </c>
      <c r="F4125" s="5" t="s">
        <v>70</v>
      </c>
      <c r="G4125" s="5" t="s">
        <v>71</v>
      </c>
      <c r="H4125" s="5" t="s">
        <v>72</v>
      </c>
      <c r="I4125" s="5" t="s">
        <v>32</v>
      </c>
      <c r="J4125" s="5">
        <v>17.058741900000001</v>
      </c>
      <c r="K4125" s="5">
        <v>-96.743148000000005</v>
      </c>
      <c r="L4125" s="5" t="str">
        <f>HYPERLINK("https://maps.google.com/?q=17.0587419,-96.743148000000005", "🔗 Ver Mapa")</f>
        <v>🔗 Ver Mapa</v>
      </c>
    </row>
    <row r="4126" spans="1:12" ht="72.5" x14ac:dyDescent="0.35">
      <c r="A4126" s="6" t="s">
        <v>297</v>
      </c>
      <c r="B4126" s="6" t="s">
        <v>298</v>
      </c>
      <c r="C4126" s="6" t="s">
        <v>831</v>
      </c>
      <c r="D4126" s="6" t="s">
        <v>13</v>
      </c>
      <c r="E4126" s="6" t="s">
        <v>52</v>
      </c>
      <c r="F4126" s="6" t="s">
        <v>70</v>
      </c>
      <c r="G4126" s="6" t="s">
        <v>71</v>
      </c>
      <c r="H4126" s="6" t="s">
        <v>72</v>
      </c>
      <c r="I4126" s="6" t="s">
        <v>32</v>
      </c>
      <c r="J4126" s="6">
        <v>17.058741900000001</v>
      </c>
      <c r="K4126" s="6">
        <v>-96.743148000000005</v>
      </c>
      <c r="L4126" s="6" t="str">
        <f>HYPERLINK("https://maps.google.com/?q=17.0587419,-96.743148000000005", "🔗 Ver Mapa")</f>
        <v>🔗 Ver Mapa</v>
      </c>
    </row>
    <row r="4127" spans="1:12" ht="58" x14ac:dyDescent="0.35">
      <c r="A4127" s="5" t="s">
        <v>288</v>
      </c>
      <c r="B4127" s="5" t="s">
        <v>289</v>
      </c>
      <c r="C4127" s="5" t="s">
        <v>832</v>
      </c>
      <c r="D4127" s="5" t="s">
        <v>13</v>
      </c>
      <c r="E4127" s="5" t="s">
        <v>110</v>
      </c>
      <c r="F4127" s="5" t="s">
        <v>111</v>
      </c>
      <c r="G4127" s="5" t="s">
        <v>293</v>
      </c>
      <c r="H4127" s="5" t="s">
        <v>296</v>
      </c>
      <c r="I4127" s="5" t="s">
        <v>31</v>
      </c>
      <c r="J4127" s="5">
        <v>18.111111999999999</v>
      </c>
      <c r="K4127" s="5">
        <v>-96.623361000000003</v>
      </c>
      <c r="L4127" s="5" t="str">
        <f>HYPERLINK("https://maps.google.com/?q=18.111112,-96.623361", "🔗 Ver Mapa")</f>
        <v>🔗 Ver Mapa</v>
      </c>
    </row>
    <row r="4128" spans="1:12" ht="58" x14ac:dyDescent="0.35">
      <c r="A4128" s="6" t="s">
        <v>288</v>
      </c>
      <c r="B4128" s="6" t="s">
        <v>289</v>
      </c>
      <c r="C4128" s="6" t="s">
        <v>833</v>
      </c>
      <c r="D4128" s="6" t="s">
        <v>13</v>
      </c>
      <c r="E4128" s="6" t="s">
        <v>110</v>
      </c>
      <c r="F4128" s="6" t="s">
        <v>111</v>
      </c>
      <c r="G4128" s="6" t="s">
        <v>293</v>
      </c>
      <c r="H4128" s="6" t="s">
        <v>294</v>
      </c>
      <c r="I4128" s="6" t="s">
        <v>31</v>
      </c>
      <c r="J4128" s="6">
        <v>18.159880000000001</v>
      </c>
      <c r="K4128" s="6">
        <v>-96.716806000000005</v>
      </c>
      <c r="L4128" s="6" t="str">
        <f>HYPERLINK("https://maps.google.com/?q=18.15988,-96.716806", "🔗 Ver Mapa")</f>
        <v>🔗 Ver Mapa</v>
      </c>
    </row>
    <row r="4129" spans="1:12" ht="58" x14ac:dyDescent="0.35">
      <c r="A4129" s="5" t="s">
        <v>288</v>
      </c>
      <c r="B4129" s="5" t="s">
        <v>289</v>
      </c>
      <c r="C4129" s="5" t="s">
        <v>834</v>
      </c>
      <c r="D4129" s="5" t="s">
        <v>13</v>
      </c>
      <c r="E4129" s="5" t="s">
        <v>158</v>
      </c>
      <c r="F4129" s="5" t="s">
        <v>159</v>
      </c>
      <c r="G4129" s="5" t="s">
        <v>222</v>
      </c>
      <c r="H4129" s="5" t="s">
        <v>291</v>
      </c>
      <c r="I4129" s="5" t="s">
        <v>31</v>
      </c>
      <c r="J4129" s="5">
        <v>17.005213000000001</v>
      </c>
      <c r="K4129" s="5">
        <v>-95.028683999999998</v>
      </c>
      <c r="L4129" s="5" t="str">
        <f>HYPERLINK("https://maps.google.com/?q=17.005213,-95.028684", "🔗 Ver Mapa")</f>
        <v>🔗 Ver Mapa</v>
      </c>
    </row>
    <row r="4130" spans="1:12" ht="43.5" x14ac:dyDescent="0.35">
      <c r="A4130" s="6" t="s">
        <v>782</v>
      </c>
      <c r="B4130" s="6" t="s">
        <v>783</v>
      </c>
      <c r="C4130" s="6" t="s">
        <v>835</v>
      </c>
      <c r="D4130" s="6" t="s">
        <v>785</v>
      </c>
      <c r="E4130" s="6" t="s">
        <v>17</v>
      </c>
      <c r="F4130" s="6" t="s">
        <v>59</v>
      </c>
      <c r="G4130" s="6" t="s">
        <v>60</v>
      </c>
      <c r="H4130" s="6" t="s">
        <v>61</v>
      </c>
      <c r="I4130" s="6" t="s">
        <v>31</v>
      </c>
      <c r="J4130" s="6">
        <v>16.347194300287999</v>
      </c>
      <c r="K4130" s="6">
        <v>-98.048339160213999</v>
      </c>
      <c r="L4130" s="6" t="str">
        <f>HYPERLINK("https://maps.google.com/?q=16.347194300288393,-98.0483391602138", "🔗 Ver Mapa")</f>
        <v>🔗 Ver Mapa</v>
      </c>
    </row>
    <row r="4131" spans="1:12" ht="29" x14ac:dyDescent="0.35">
      <c r="A4131" s="5" t="s">
        <v>782</v>
      </c>
      <c r="B4131" s="5" t="s">
        <v>783</v>
      </c>
      <c r="C4131" s="5" t="s">
        <v>836</v>
      </c>
      <c r="D4131" s="5" t="s">
        <v>785</v>
      </c>
      <c r="E4131" s="5" t="s">
        <v>39</v>
      </c>
      <c r="F4131" s="5" t="s">
        <v>133</v>
      </c>
      <c r="G4131" s="5" t="s">
        <v>357</v>
      </c>
      <c r="H4131" s="5" t="s">
        <v>837</v>
      </c>
      <c r="I4131" s="5" t="s">
        <v>31</v>
      </c>
      <c r="J4131" s="5">
        <v>16.599668999999999</v>
      </c>
      <c r="K4131" s="5">
        <v>-95.984734000000003</v>
      </c>
      <c r="L4131" s="5" t="str">
        <f>HYPERLINK("https://maps.google.com/?q=16.599669,-95.984734", "🔗 Ver Mapa")</f>
        <v>🔗 Ver Mapa</v>
      </c>
    </row>
    <row r="4132" spans="1:12" ht="29" x14ac:dyDescent="0.35">
      <c r="A4132" s="6" t="s">
        <v>782</v>
      </c>
      <c r="B4132" s="6" t="s">
        <v>783</v>
      </c>
      <c r="C4132" s="6" t="s">
        <v>838</v>
      </c>
      <c r="D4132" s="6" t="s">
        <v>785</v>
      </c>
      <c r="E4132" s="6" t="s">
        <v>52</v>
      </c>
      <c r="F4132" s="6" t="s">
        <v>53</v>
      </c>
      <c r="G4132" s="6" t="s">
        <v>839</v>
      </c>
      <c r="H4132" s="6" t="s">
        <v>840</v>
      </c>
      <c r="I4132" s="6" t="s">
        <v>31</v>
      </c>
      <c r="J4132" s="6">
        <v>17.009968476238999</v>
      </c>
      <c r="K4132" s="6">
        <v>-96.522273249546998</v>
      </c>
      <c r="L4132" s="6" t="str">
        <f>HYPERLINK("https://maps.google.com/?q=17.009968476238956,-96.52227324954652", "🔗 Ver Mapa")</f>
        <v>🔗 Ver Mapa</v>
      </c>
    </row>
    <row r="4133" spans="1:12" ht="29" x14ac:dyDescent="0.35">
      <c r="A4133" s="5" t="s">
        <v>782</v>
      </c>
      <c r="B4133" s="5" t="s">
        <v>783</v>
      </c>
      <c r="C4133" s="5" t="s">
        <v>841</v>
      </c>
      <c r="D4133" s="5" t="s">
        <v>785</v>
      </c>
      <c r="E4133" s="5" t="s">
        <v>16</v>
      </c>
      <c r="F4133" s="5" t="s">
        <v>195</v>
      </c>
      <c r="G4133" s="5" t="s">
        <v>842</v>
      </c>
      <c r="H4133" s="5" t="s">
        <v>843</v>
      </c>
      <c r="I4133" s="5" t="s">
        <v>31</v>
      </c>
      <c r="J4133" s="5">
        <v>17.663733100000002</v>
      </c>
      <c r="K4133" s="5">
        <v>-98.222764100000006</v>
      </c>
      <c r="L4133" s="5" t="str">
        <f>HYPERLINK("https://maps.google.com/?q=17.6637331,-98.2227641", "🔗 Ver Mapa")</f>
        <v>🔗 Ver Mapa</v>
      </c>
    </row>
    <row r="4134" spans="1:12" ht="43.5" x14ac:dyDescent="0.35">
      <c r="A4134" s="6" t="s">
        <v>73</v>
      </c>
      <c r="B4134" s="6" t="s">
        <v>74</v>
      </c>
      <c r="C4134" s="6" t="s">
        <v>844</v>
      </c>
      <c r="D4134" s="6" t="s">
        <v>76</v>
      </c>
      <c r="E4134" s="6" t="s">
        <v>52</v>
      </c>
      <c r="F4134" s="6" t="s">
        <v>53</v>
      </c>
      <c r="G4134" s="6" t="s">
        <v>845</v>
      </c>
      <c r="H4134" s="6" t="s">
        <v>846</v>
      </c>
      <c r="I4134" s="6" t="s">
        <v>31</v>
      </c>
      <c r="J4134" s="6">
        <v>16.839692630614</v>
      </c>
      <c r="K4134" s="6">
        <v>-96.010579531223001</v>
      </c>
      <c r="L4134" s="6" t="str">
        <f>HYPERLINK("https://maps.google.com/?q=16.839692630613982,-96.0105795312229", "🔗 Ver Mapa")</f>
        <v>🔗 Ver Mapa</v>
      </c>
    </row>
    <row r="4135" spans="1:12" ht="29" x14ac:dyDescent="0.35">
      <c r="A4135" s="5" t="s">
        <v>782</v>
      </c>
      <c r="B4135" s="5" t="s">
        <v>783</v>
      </c>
      <c r="C4135" s="5" t="s">
        <v>847</v>
      </c>
      <c r="D4135" s="5" t="s">
        <v>785</v>
      </c>
      <c r="E4135" s="5" t="s">
        <v>158</v>
      </c>
      <c r="F4135" s="5" t="s">
        <v>166</v>
      </c>
      <c r="G4135" s="5" t="s">
        <v>819</v>
      </c>
      <c r="H4135" s="5" t="s">
        <v>820</v>
      </c>
      <c r="I4135" s="5" t="s">
        <v>31</v>
      </c>
      <c r="J4135" s="5">
        <v>16.241658999999999</v>
      </c>
      <c r="K4135" s="5">
        <v>-95.209950500000005</v>
      </c>
      <c r="L4135" s="5" t="str">
        <f>HYPERLINK("https://maps.google.com/?q=16.241659,-95.2099505", "🔗 Ver Mapa")</f>
        <v>🔗 Ver Mapa</v>
      </c>
    </row>
    <row r="4136" spans="1:12" ht="43.5" x14ac:dyDescent="0.35">
      <c r="A4136" s="6" t="s">
        <v>98</v>
      </c>
      <c r="B4136" s="6" t="s">
        <v>99</v>
      </c>
      <c r="C4136" s="6" t="s">
        <v>848</v>
      </c>
      <c r="D4136" s="6" t="s">
        <v>14</v>
      </c>
      <c r="E4136" s="6" t="s">
        <v>140</v>
      </c>
      <c r="F4136" s="6" t="s">
        <v>624</v>
      </c>
      <c r="G4136" s="6" t="s">
        <v>849</v>
      </c>
      <c r="H4136" s="6" t="s">
        <v>850</v>
      </c>
      <c r="I4136" s="6" t="s">
        <v>31</v>
      </c>
      <c r="J4136" s="6">
        <v>17.666529000000001</v>
      </c>
      <c r="K4136" s="6" t="s">
        <v>851</v>
      </c>
      <c r="L4136" s="6" t="str">
        <f>HYPERLINK("https://maps.google.com/?q=17.666529, -95.877652", "🔗 Ver Mapa")</f>
        <v>🔗 Ver Mapa</v>
      </c>
    </row>
    <row r="4137" spans="1:12" ht="43.5" x14ac:dyDescent="0.35">
      <c r="A4137" s="5" t="s">
        <v>98</v>
      </c>
      <c r="B4137" s="5" t="s">
        <v>99</v>
      </c>
      <c r="C4137" s="5" t="s">
        <v>848</v>
      </c>
      <c r="D4137" s="5" t="s">
        <v>14</v>
      </c>
      <c r="E4137" s="5" t="s">
        <v>140</v>
      </c>
      <c r="F4137" s="5" t="s">
        <v>624</v>
      </c>
      <c r="G4137" s="5" t="s">
        <v>849</v>
      </c>
      <c r="H4137" s="5" t="s">
        <v>850</v>
      </c>
      <c r="I4137" s="5" t="s">
        <v>31</v>
      </c>
      <c r="J4137" s="5">
        <v>17.668256</v>
      </c>
      <c r="K4137" s="5" t="s">
        <v>852</v>
      </c>
      <c r="L4137" s="5" t="str">
        <f>HYPERLINK("https://maps.google.com/?q=17.668256, -95.875609", "🔗 Ver Mapa")</f>
        <v>🔗 Ver Mapa</v>
      </c>
    </row>
    <row r="4138" spans="1:12" ht="43.5" x14ac:dyDescent="0.35">
      <c r="A4138" s="6" t="s">
        <v>98</v>
      </c>
      <c r="B4138" s="6" t="s">
        <v>99</v>
      </c>
      <c r="C4138" s="6" t="s">
        <v>848</v>
      </c>
      <c r="D4138" s="6" t="s">
        <v>14</v>
      </c>
      <c r="E4138" s="6" t="s">
        <v>140</v>
      </c>
      <c r="F4138" s="6" t="s">
        <v>624</v>
      </c>
      <c r="G4138" s="6" t="s">
        <v>849</v>
      </c>
      <c r="H4138" s="6" t="s">
        <v>850</v>
      </c>
      <c r="I4138" s="6" t="s">
        <v>31</v>
      </c>
      <c r="J4138" s="6">
        <v>17.668714999999999</v>
      </c>
      <c r="K4138" s="6">
        <v>-95.879745</v>
      </c>
      <c r="L4138" s="6" t="str">
        <f>HYPERLINK("https://maps.google.com/?q=17.668715,-95.879745", "🔗 Ver Mapa")</f>
        <v>🔗 Ver Mapa</v>
      </c>
    </row>
    <row r="4139" spans="1:12" ht="43.5" x14ac:dyDescent="0.35">
      <c r="A4139" s="5" t="s">
        <v>98</v>
      </c>
      <c r="B4139" s="5" t="s">
        <v>99</v>
      </c>
      <c r="C4139" s="5" t="s">
        <v>848</v>
      </c>
      <c r="D4139" s="5" t="s">
        <v>14</v>
      </c>
      <c r="E4139" s="5" t="s">
        <v>140</v>
      </c>
      <c r="F4139" s="5" t="s">
        <v>624</v>
      </c>
      <c r="G4139" s="5" t="s">
        <v>849</v>
      </c>
      <c r="H4139" s="5" t="s">
        <v>850</v>
      </c>
      <c r="I4139" s="5" t="s">
        <v>31</v>
      </c>
      <c r="J4139" s="5">
        <v>17.668944</v>
      </c>
      <c r="K4139" s="5" t="s">
        <v>853</v>
      </c>
      <c r="L4139" s="5" t="str">
        <f>HYPERLINK("https://maps.google.com/?q=17.668944, -95.879792", "🔗 Ver Mapa")</f>
        <v>🔗 Ver Mapa</v>
      </c>
    </row>
    <row r="4140" spans="1:12" ht="43.5" x14ac:dyDescent="0.35">
      <c r="A4140" s="6" t="s">
        <v>98</v>
      </c>
      <c r="B4140" s="6" t="s">
        <v>99</v>
      </c>
      <c r="C4140" s="6" t="s">
        <v>854</v>
      </c>
      <c r="D4140" s="6" t="s">
        <v>14</v>
      </c>
      <c r="E4140" s="6" t="s">
        <v>17</v>
      </c>
      <c r="F4140" s="6" t="s">
        <v>59</v>
      </c>
      <c r="G4140" s="6" t="s">
        <v>60</v>
      </c>
      <c r="H4140" s="6" t="s">
        <v>855</v>
      </c>
      <c r="I4140" s="6" t="s">
        <v>31</v>
      </c>
      <c r="J4140" s="6">
        <v>16.424662547452002</v>
      </c>
      <c r="K4140" s="6">
        <v>-98.187509373015999</v>
      </c>
      <c r="L4140" s="6" t="str">
        <f>HYPERLINK("https://maps.google.com/?q=16.4246625474525,-98.187509373016297", "🔗 Ver Mapa")</f>
        <v>🔗 Ver Mapa</v>
      </c>
    </row>
    <row r="4141" spans="1:12" ht="43.5" x14ac:dyDescent="0.35">
      <c r="A4141" s="5" t="s">
        <v>98</v>
      </c>
      <c r="B4141" s="5" t="s">
        <v>99</v>
      </c>
      <c r="C4141" s="5" t="s">
        <v>854</v>
      </c>
      <c r="D4141" s="5" t="s">
        <v>14</v>
      </c>
      <c r="E4141" s="5" t="s">
        <v>17</v>
      </c>
      <c r="F4141" s="5" t="s">
        <v>59</v>
      </c>
      <c r="G4141" s="5" t="s">
        <v>60</v>
      </c>
      <c r="H4141" s="5" t="s">
        <v>855</v>
      </c>
      <c r="I4141" s="5" t="s">
        <v>31</v>
      </c>
      <c r="J4141" s="5">
        <v>16.425279803447999</v>
      </c>
      <c r="K4141" s="5">
        <v>-98.187446534049002</v>
      </c>
      <c r="L4141" s="5" t="str">
        <f>HYPERLINK("https://maps.google.com/?q=16.4252798034484,-98.187446534049101", "🔗 Ver Mapa")</f>
        <v>🔗 Ver Mapa</v>
      </c>
    </row>
    <row r="4142" spans="1:12" ht="43.5" x14ac:dyDescent="0.35">
      <c r="A4142" s="6" t="s">
        <v>98</v>
      </c>
      <c r="B4142" s="6" t="s">
        <v>99</v>
      </c>
      <c r="C4142" s="6" t="s">
        <v>854</v>
      </c>
      <c r="D4142" s="6" t="s">
        <v>14</v>
      </c>
      <c r="E4142" s="6" t="s">
        <v>17</v>
      </c>
      <c r="F4142" s="6" t="s">
        <v>59</v>
      </c>
      <c r="G4142" s="6" t="s">
        <v>60</v>
      </c>
      <c r="H4142" s="6" t="s">
        <v>855</v>
      </c>
      <c r="I4142" s="6" t="s">
        <v>31</v>
      </c>
      <c r="J4142" s="6">
        <v>16.425459547664001</v>
      </c>
      <c r="K4142" s="6">
        <v>-98.187304682209003</v>
      </c>
      <c r="L4142" s="6" t="str">
        <f>HYPERLINK("https://maps.google.com/?q=16.4254595476635,-98.187304682209003", "🔗 Ver Mapa")</f>
        <v>🔗 Ver Mapa</v>
      </c>
    </row>
    <row r="4143" spans="1:12" ht="43.5" x14ac:dyDescent="0.35">
      <c r="A4143" s="5" t="s">
        <v>98</v>
      </c>
      <c r="B4143" s="5" t="s">
        <v>99</v>
      </c>
      <c r="C4143" s="5" t="s">
        <v>854</v>
      </c>
      <c r="D4143" s="5" t="s">
        <v>14</v>
      </c>
      <c r="E4143" s="5" t="s">
        <v>17</v>
      </c>
      <c r="F4143" s="5" t="s">
        <v>59</v>
      </c>
      <c r="G4143" s="5" t="s">
        <v>60</v>
      </c>
      <c r="H4143" s="5" t="s">
        <v>855</v>
      </c>
      <c r="I4143" s="5" t="s">
        <v>31</v>
      </c>
      <c r="J4143" s="5">
        <v>16.426334050000001</v>
      </c>
      <c r="K4143" s="5">
        <v>-98.189590800000005</v>
      </c>
      <c r="L4143" s="5" t="str">
        <f>HYPERLINK("https://maps.google.com/?q=16.42633405,-98.189590800000005", "🔗 Ver Mapa")</f>
        <v>🔗 Ver Mapa</v>
      </c>
    </row>
    <row r="4144" spans="1:12" ht="43.5" x14ac:dyDescent="0.35">
      <c r="A4144" s="6" t="s">
        <v>98</v>
      </c>
      <c r="B4144" s="6" t="s">
        <v>99</v>
      </c>
      <c r="C4144" s="6" t="s">
        <v>854</v>
      </c>
      <c r="D4144" s="6" t="s">
        <v>14</v>
      </c>
      <c r="E4144" s="6" t="s">
        <v>17</v>
      </c>
      <c r="F4144" s="6" t="s">
        <v>59</v>
      </c>
      <c r="G4144" s="6" t="s">
        <v>60</v>
      </c>
      <c r="H4144" s="6" t="s">
        <v>855</v>
      </c>
      <c r="I4144" s="6" t="s">
        <v>31</v>
      </c>
      <c r="J4144" s="6">
        <v>16.426482302568999</v>
      </c>
      <c r="K4144" s="6">
        <v>-98.189809110450994</v>
      </c>
      <c r="L4144" s="6" t="str">
        <f>HYPERLINK("https://maps.google.com/?q=16.4264823025687,-98.189809110450597", "🔗 Ver Mapa")</f>
        <v>🔗 Ver Mapa</v>
      </c>
    </row>
    <row r="4145" spans="1:12" ht="43.5" x14ac:dyDescent="0.35">
      <c r="A4145" s="5" t="s">
        <v>98</v>
      </c>
      <c r="B4145" s="5" t="s">
        <v>99</v>
      </c>
      <c r="C4145" s="5" t="s">
        <v>854</v>
      </c>
      <c r="D4145" s="5" t="s">
        <v>14</v>
      </c>
      <c r="E4145" s="5" t="s">
        <v>17</v>
      </c>
      <c r="F4145" s="5" t="s">
        <v>59</v>
      </c>
      <c r="G4145" s="5" t="s">
        <v>60</v>
      </c>
      <c r="H4145" s="5" t="s">
        <v>855</v>
      </c>
      <c r="I4145" s="5" t="s">
        <v>31</v>
      </c>
      <c r="J4145" s="5">
        <v>16.42735799559</v>
      </c>
      <c r="K4145" s="5">
        <v>-98.190280441682006</v>
      </c>
      <c r="L4145" s="5" t="str">
        <f>HYPERLINK("https://maps.google.com/?q=16.4273579955904,-98.190280441681594", "🔗 Ver Mapa")</f>
        <v>🔗 Ver Mapa</v>
      </c>
    </row>
    <row r="4146" spans="1:12" ht="43.5" x14ac:dyDescent="0.35">
      <c r="A4146" s="6" t="s">
        <v>98</v>
      </c>
      <c r="B4146" s="6" t="s">
        <v>99</v>
      </c>
      <c r="C4146" s="6" t="s">
        <v>854</v>
      </c>
      <c r="D4146" s="6" t="s">
        <v>14</v>
      </c>
      <c r="E4146" s="6" t="s">
        <v>17</v>
      </c>
      <c r="F4146" s="6" t="s">
        <v>59</v>
      </c>
      <c r="G4146" s="6" t="s">
        <v>60</v>
      </c>
      <c r="H4146" s="6" t="s">
        <v>855</v>
      </c>
      <c r="I4146" s="6" t="s">
        <v>31</v>
      </c>
      <c r="J4146" s="6">
        <v>16.428029995696001</v>
      </c>
      <c r="K4146" s="6">
        <v>-98.189409993124002</v>
      </c>
      <c r="L4146" s="6" t="str">
        <f>HYPERLINK("https://maps.google.com/?q=16.4280299956963,-98.189409993123803", "🔗 Ver Mapa")</f>
        <v>🔗 Ver Mapa</v>
      </c>
    </row>
    <row r="4147" spans="1:12" ht="43.5" x14ac:dyDescent="0.35">
      <c r="A4147" s="5" t="s">
        <v>98</v>
      </c>
      <c r="B4147" s="5" t="s">
        <v>99</v>
      </c>
      <c r="C4147" s="5" t="s">
        <v>856</v>
      </c>
      <c r="D4147" s="5" t="s">
        <v>14</v>
      </c>
      <c r="E4147" s="5" t="s">
        <v>39</v>
      </c>
      <c r="F4147" s="5" t="s">
        <v>40</v>
      </c>
      <c r="G4147" s="5" t="s">
        <v>184</v>
      </c>
      <c r="H4147" s="5" t="s">
        <v>857</v>
      </c>
      <c r="I4147" s="5" t="s">
        <v>31</v>
      </c>
      <c r="J4147" s="5">
        <v>17.178746</v>
      </c>
      <c r="K4147" s="5" t="s">
        <v>858</v>
      </c>
      <c r="L4147" s="5" t="str">
        <f>HYPERLINK("https://maps.google.com/?q=17.178746, -97.851610", "🔗 Ver Mapa")</f>
        <v>🔗 Ver Mapa</v>
      </c>
    </row>
    <row r="4148" spans="1:12" ht="43.5" x14ac:dyDescent="0.35">
      <c r="A4148" s="6" t="s">
        <v>98</v>
      </c>
      <c r="B4148" s="6" t="s">
        <v>99</v>
      </c>
      <c r="C4148" s="6" t="s">
        <v>856</v>
      </c>
      <c r="D4148" s="6" t="s">
        <v>14</v>
      </c>
      <c r="E4148" s="6" t="s">
        <v>39</v>
      </c>
      <c r="F4148" s="6" t="s">
        <v>40</v>
      </c>
      <c r="G4148" s="6" t="s">
        <v>184</v>
      </c>
      <c r="H4148" s="6" t="s">
        <v>857</v>
      </c>
      <c r="I4148" s="6" t="s">
        <v>31</v>
      </c>
      <c r="J4148" s="6">
        <v>17.182362999999999</v>
      </c>
      <c r="K4148" s="6">
        <v>-97.855656999999994</v>
      </c>
      <c r="L4148" s="6" t="str">
        <f>HYPERLINK("https://maps.google.com/?q=17.182363,-97.855656999999994", "🔗 Ver Mapa")</f>
        <v>🔗 Ver Mapa</v>
      </c>
    </row>
    <row r="4149" spans="1:12" ht="43.5" x14ac:dyDescent="0.35">
      <c r="A4149" s="5" t="s">
        <v>98</v>
      </c>
      <c r="B4149" s="5" t="s">
        <v>99</v>
      </c>
      <c r="C4149" s="5" t="s">
        <v>859</v>
      </c>
      <c r="D4149" s="5" t="s">
        <v>14</v>
      </c>
      <c r="E4149" s="5" t="s">
        <v>17</v>
      </c>
      <c r="F4149" s="5" t="s">
        <v>59</v>
      </c>
      <c r="G4149" s="5" t="s">
        <v>60</v>
      </c>
      <c r="H4149" s="5" t="s">
        <v>860</v>
      </c>
      <c r="I4149" s="5" t="s">
        <v>31</v>
      </c>
      <c r="J4149" s="5">
        <v>16.422611</v>
      </c>
      <c r="K4149" s="5">
        <v>-98.169683000000006</v>
      </c>
      <c r="L4149" s="5" t="str">
        <f>HYPERLINK("https://maps.google.com/?q=16.422611,-98.169683000000006", "🔗 Ver Mapa")</f>
        <v>🔗 Ver Mapa</v>
      </c>
    </row>
    <row r="4150" spans="1:12" ht="43.5" x14ac:dyDescent="0.35">
      <c r="A4150" s="6" t="s">
        <v>98</v>
      </c>
      <c r="B4150" s="6" t="s">
        <v>99</v>
      </c>
      <c r="C4150" s="6" t="s">
        <v>859</v>
      </c>
      <c r="D4150" s="6" t="s">
        <v>14</v>
      </c>
      <c r="E4150" s="6" t="s">
        <v>17</v>
      </c>
      <c r="F4150" s="6" t="s">
        <v>59</v>
      </c>
      <c r="G4150" s="6" t="s">
        <v>60</v>
      </c>
      <c r="H4150" s="6" t="s">
        <v>860</v>
      </c>
      <c r="I4150" s="6" t="s">
        <v>31</v>
      </c>
      <c r="J4150" s="6">
        <v>16.422682999999999</v>
      </c>
      <c r="K4150" s="6">
        <v>-98.169758000000002</v>
      </c>
      <c r="L4150" s="6" t="str">
        <f>HYPERLINK("https://maps.google.com/?q=16.422683,-98.169758000000002", "🔗 Ver Mapa")</f>
        <v>🔗 Ver Mapa</v>
      </c>
    </row>
    <row r="4151" spans="1:12" ht="43.5" x14ac:dyDescent="0.35">
      <c r="A4151" s="5" t="s">
        <v>98</v>
      </c>
      <c r="B4151" s="5" t="s">
        <v>99</v>
      </c>
      <c r="C4151" s="5" t="s">
        <v>859</v>
      </c>
      <c r="D4151" s="5" t="s">
        <v>14</v>
      </c>
      <c r="E4151" s="5" t="s">
        <v>17</v>
      </c>
      <c r="F4151" s="5" t="s">
        <v>59</v>
      </c>
      <c r="G4151" s="5" t="s">
        <v>60</v>
      </c>
      <c r="H4151" s="5" t="s">
        <v>860</v>
      </c>
      <c r="I4151" s="5" t="s">
        <v>31</v>
      </c>
      <c r="J4151" s="5">
        <v>16.422740000000001</v>
      </c>
      <c r="K4151" s="5">
        <v>-98.169923999999995</v>
      </c>
      <c r="L4151" s="5" t="str">
        <f>HYPERLINK("https://maps.google.com/?q=16.42274,-98.169923999999995", "🔗 Ver Mapa")</f>
        <v>🔗 Ver Mapa</v>
      </c>
    </row>
    <row r="4152" spans="1:12" ht="43.5" x14ac:dyDescent="0.35">
      <c r="A4152" s="6" t="s">
        <v>98</v>
      </c>
      <c r="B4152" s="6" t="s">
        <v>99</v>
      </c>
      <c r="C4152" s="6" t="s">
        <v>859</v>
      </c>
      <c r="D4152" s="6" t="s">
        <v>14</v>
      </c>
      <c r="E4152" s="6" t="s">
        <v>17</v>
      </c>
      <c r="F4152" s="6" t="s">
        <v>59</v>
      </c>
      <c r="G4152" s="6" t="s">
        <v>60</v>
      </c>
      <c r="H4152" s="6" t="s">
        <v>860</v>
      </c>
      <c r="I4152" s="6" t="s">
        <v>31</v>
      </c>
      <c r="J4152" s="6">
        <v>16.422814000475999</v>
      </c>
      <c r="K4152" s="6">
        <v>-98.172336345803004</v>
      </c>
      <c r="L4152" s="6" t="str">
        <f>HYPERLINK("https://maps.google.com/?q=16.4228140004763,-98.172336345803004", "🔗 Ver Mapa")</f>
        <v>🔗 Ver Mapa</v>
      </c>
    </row>
    <row r="4153" spans="1:12" ht="43.5" x14ac:dyDescent="0.35">
      <c r="A4153" s="5" t="s">
        <v>98</v>
      </c>
      <c r="B4153" s="5" t="s">
        <v>99</v>
      </c>
      <c r="C4153" s="5" t="s">
        <v>859</v>
      </c>
      <c r="D4153" s="5" t="s">
        <v>14</v>
      </c>
      <c r="E4153" s="5" t="s">
        <v>17</v>
      </c>
      <c r="F4153" s="5" t="s">
        <v>59</v>
      </c>
      <c r="G4153" s="5" t="s">
        <v>60</v>
      </c>
      <c r="H4153" s="5" t="s">
        <v>860</v>
      </c>
      <c r="I4153" s="5" t="s">
        <v>31</v>
      </c>
      <c r="J4153" s="5">
        <v>16.42285</v>
      </c>
      <c r="K4153" s="5">
        <v>-98.170063999999996</v>
      </c>
      <c r="L4153" s="5" t="str">
        <f>HYPERLINK("https://maps.google.com/?q=16.42285,-98.170063999999996", "🔗 Ver Mapa")</f>
        <v>🔗 Ver Mapa</v>
      </c>
    </row>
    <row r="4154" spans="1:12" ht="43.5" x14ac:dyDescent="0.35">
      <c r="A4154" s="6" t="s">
        <v>98</v>
      </c>
      <c r="B4154" s="6" t="s">
        <v>99</v>
      </c>
      <c r="C4154" s="6" t="s">
        <v>859</v>
      </c>
      <c r="D4154" s="6" t="s">
        <v>14</v>
      </c>
      <c r="E4154" s="6" t="s">
        <v>17</v>
      </c>
      <c r="F4154" s="6" t="s">
        <v>59</v>
      </c>
      <c r="G4154" s="6" t="s">
        <v>60</v>
      </c>
      <c r="H4154" s="6" t="s">
        <v>860</v>
      </c>
      <c r="I4154" s="6" t="s">
        <v>31</v>
      </c>
      <c r="J4154" s="6">
        <v>16.422866570242999</v>
      </c>
      <c r="K4154" s="6">
        <v>-98.169330125396002</v>
      </c>
      <c r="L4154" s="6" t="str">
        <f>HYPERLINK("https://maps.google.com/?q=16.4228665702433,-98.169330125396499", "🔗 Ver Mapa")</f>
        <v>🔗 Ver Mapa</v>
      </c>
    </row>
    <row r="4155" spans="1:12" ht="43.5" x14ac:dyDescent="0.35">
      <c r="A4155" s="5" t="s">
        <v>98</v>
      </c>
      <c r="B4155" s="5" t="s">
        <v>99</v>
      </c>
      <c r="C4155" s="5" t="s">
        <v>859</v>
      </c>
      <c r="D4155" s="5" t="s">
        <v>14</v>
      </c>
      <c r="E4155" s="5" t="s">
        <v>17</v>
      </c>
      <c r="F4155" s="5" t="s">
        <v>59</v>
      </c>
      <c r="G4155" s="5" t="s">
        <v>60</v>
      </c>
      <c r="H4155" s="5" t="s">
        <v>860</v>
      </c>
      <c r="I4155" s="5" t="s">
        <v>31</v>
      </c>
      <c r="J4155" s="5">
        <v>16.423072392386</v>
      </c>
      <c r="K4155" s="5">
        <v>-98.171674376075003</v>
      </c>
      <c r="L4155" s="5" t="str">
        <f>HYPERLINK("https://maps.google.com/?q=16.4230723923863,-98.171674376074805", "🔗 Ver Mapa")</f>
        <v>🔗 Ver Mapa</v>
      </c>
    </row>
    <row r="4156" spans="1:12" ht="43.5" x14ac:dyDescent="0.35">
      <c r="A4156" s="6" t="s">
        <v>98</v>
      </c>
      <c r="B4156" s="6" t="s">
        <v>99</v>
      </c>
      <c r="C4156" s="6" t="s">
        <v>859</v>
      </c>
      <c r="D4156" s="6" t="s">
        <v>14</v>
      </c>
      <c r="E4156" s="6" t="s">
        <v>17</v>
      </c>
      <c r="F4156" s="6" t="s">
        <v>59</v>
      </c>
      <c r="G4156" s="6" t="s">
        <v>60</v>
      </c>
      <c r="H4156" s="6" t="s">
        <v>860</v>
      </c>
      <c r="I4156" s="6" t="s">
        <v>31</v>
      </c>
      <c r="J4156" s="6">
        <v>16.423139078458998</v>
      </c>
      <c r="K4156" s="6">
        <v>-98.171856655330004</v>
      </c>
      <c r="L4156" s="6" t="str">
        <f>HYPERLINK("https://maps.google.com/?q=16.4231390784587,-98.171856655329606", "🔗 Ver Mapa")</f>
        <v>🔗 Ver Mapa</v>
      </c>
    </row>
    <row r="4157" spans="1:12" ht="43.5" x14ac:dyDescent="0.35">
      <c r="A4157" s="5" t="s">
        <v>98</v>
      </c>
      <c r="B4157" s="5" t="s">
        <v>99</v>
      </c>
      <c r="C4157" s="5" t="s">
        <v>859</v>
      </c>
      <c r="D4157" s="5" t="s">
        <v>14</v>
      </c>
      <c r="E4157" s="5" t="s">
        <v>17</v>
      </c>
      <c r="F4157" s="5" t="s">
        <v>59</v>
      </c>
      <c r="G4157" s="5" t="s">
        <v>60</v>
      </c>
      <c r="H4157" s="5" t="s">
        <v>860</v>
      </c>
      <c r="I4157" s="5" t="s">
        <v>31</v>
      </c>
      <c r="J4157" s="5">
        <v>16.423497480595</v>
      </c>
      <c r="K4157" s="5">
        <v>-98.170051895011994</v>
      </c>
      <c r="L4157" s="5" t="str">
        <f>HYPERLINK("https://maps.google.com/?q=16.423497480595,-98.170051895011994", "🔗 Ver Mapa")</f>
        <v>🔗 Ver Mapa</v>
      </c>
    </row>
    <row r="4158" spans="1:12" ht="43.5" x14ac:dyDescent="0.35">
      <c r="A4158" s="6" t="s">
        <v>98</v>
      </c>
      <c r="B4158" s="6" t="s">
        <v>99</v>
      </c>
      <c r="C4158" s="6" t="s">
        <v>859</v>
      </c>
      <c r="D4158" s="6" t="s">
        <v>14</v>
      </c>
      <c r="E4158" s="6" t="s">
        <v>17</v>
      </c>
      <c r="F4158" s="6" t="s">
        <v>59</v>
      </c>
      <c r="G4158" s="6" t="s">
        <v>60</v>
      </c>
      <c r="H4158" s="6" t="s">
        <v>860</v>
      </c>
      <c r="I4158" s="6" t="s">
        <v>31</v>
      </c>
      <c r="J4158" s="6">
        <v>16.424355364943999</v>
      </c>
      <c r="K4158" s="6">
        <v>-98.169661813087998</v>
      </c>
      <c r="L4158" s="6" t="str">
        <f>HYPERLINK("https://maps.google.com/?q=16.4243553649438,-98.169661813087998", "🔗 Ver Mapa")</f>
        <v>🔗 Ver Mapa</v>
      </c>
    </row>
    <row r="4159" spans="1:12" ht="43.5" x14ac:dyDescent="0.35">
      <c r="A4159" s="5" t="s">
        <v>98</v>
      </c>
      <c r="B4159" s="5" t="s">
        <v>99</v>
      </c>
      <c r="C4159" s="5" t="s">
        <v>859</v>
      </c>
      <c r="D4159" s="5" t="s">
        <v>14</v>
      </c>
      <c r="E4159" s="5" t="s">
        <v>17</v>
      </c>
      <c r="F4159" s="5" t="s">
        <v>59</v>
      </c>
      <c r="G4159" s="5" t="s">
        <v>60</v>
      </c>
      <c r="H4159" s="5" t="s">
        <v>860</v>
      </c>
      <c r="I4159" s="5" t="s">
        <v>31</v>
      </c>
      <c r="J4159" s="5">
        <v>16.424497462361</v>
      </c>
      <c r="K4159" s="5">
        <v>-98.169809691648993</v>
      </c>
      <c r="L4159" s="5" t="str">
        <f>HYPERLINK("https://maps.google.com/?q=16.4244974623611,-98.169809691648595", "🔗 Ver Mapa")</f>
        <v>🔗 Ver Mapa</v>
      </c>
    </row>
    <row r="4160" spans="1:12" ht="43.5" x14ac:dyDescent="0.35">
      <c r="A4160" s="6" t="s">
        <v>98</v>
      </c>
      <c r="B4160" s="6" t="s">
        <v>99</v>
      </c>
      <c r="C4160" s="6" t="s">
        <v>859</v>
      </c>
      <c r="D4160" s="6" t="s">
        <v>14</v>
      </c>
      <c r="E4160" s="6" t="s">
        <v>17</v>
      </c>
      <c r="F4160" s="6" t="s">
        <v>59</v>
      </c>
      <c r="G4160" s="6" t="s">
        <v>60</v>
      </c>
      <c r="H4160" s="6" t="s">
        <v>860</v>
      </c>
      <c r="I4160" s="6" t="s">
        <v>31</v>
      </c>
      <c r="J4160" s="6">
        <v>16.424699114770998</v>
      </c>
      <c r="K4160" s="6">
        <v>-98.168415927001007</v>
      </c>
      <c r="L4160" s="6" t="str">
        <f>HYPERLINK("https://maps.google.com/?q=16.4246991147708,-98.168415927001007", "🔗 Ver Mapa")</f>
        <v>🔗 Ver Mapa</v>
      </c>
    </row>
    <row r="4161" spans="1:12" ht="43.5" x14ac:dyDescent="0.35">
      <c r="A4161" s="5" t="s">
        <v>98</v>
      </c>
      <c r="B4161" s="5" t="s">
        <v>99</v>
      </c>
      <c r="C4161" s="5" t="s">
        <v>859</v>
      </c>
      <c r="D4161" s="5" t="s">
        <v>14</v>
      </c>
      <c r="E4161" s="5" t="s">
        <v>17</v>
      </c>
      <c r="F4161" s="5" t="s">
        <v>59</v>
      </c>
      <c r="G4161" s="5" t="s">
        <v>60</v>
      </c>
      <c r="H4161" s="5" t="s">
        <v>860</v>
      </c>
      <c r="I4161" s="5" t="s">
        <v>31</v>
      </c>
      <c r="J4161" s="5">
        <v>16.425202956441002</v>
      </c>
      <c r="K4161" s="5">
        <v>-98.168890460731006</v>
      </c>
      <c r="L4161" s="5" t="str">
        <f>HYPERLINK("https://maps.google.com/?q=16.4252029564406,-98.168890460730594", "🔗 Ver Mapa")</f>
        <v>🔗 Ver Mapa</v>
      </c>
    </row>
    <row r="4162" spans="1:12" ht="43.5" x14ac:dyDescent="0.35">
      <c r="A4162" s="6" t="s">
        <v>98</v>
      </c>
      <c r="B4162" s="6" t="s">
        <v>99</v>
      </c>
      <c r="C4162" s="6" t="s">
        <v>859</v>
      </c>
      <c r="D4162" s="6" t="s">
        <v>14</v>
      </c>
      <c r="E4162" s="6" t="s">
        <v>17</v>
      </c>
      <c r="F4162" s="6" t="s">
        <v>59</v>
      </c>
      <c r="G4162" s="6" t="s">
        <v>60</v>
      </c>
      <c r="H4162" s="6" t="s">
        <v>860</v>
      </c>
      <c r="I4162" s="6" t="s">
        <v>31</v>
      </c>
      <c r="J4162" s="6">
        <v>16.425221273763</v>
      </c>
      <c r="K4162" s="6">
        <v>-98.168770689834005</v>
      </c>
      <c r="L4162" s="6" t="str">
        <f>HYPERLINK("https://maps.google.com/?q=16.4252212737632,-98.168770689833906", "🔗 Ver Mapa")</f>
        <v>🔗 Ver Mapa</v>
      </c>
    </row>
    <row r="4163" spans="1:12" ht="43.5" x14ac:dyDescent="0.35">
      <c r="A4163" s="5" t="s">
        <v>98</v>
      </c>
      <c r="B4163" s="5" t="s">
        <v>99</v>
      </c>
      <c r="C4163" s="5" t="s">
        <v>861</v>
      </c>
      <c r="D4163" s="5" t="s">
        <v>14</v>
      </c>
      <c r="E4163" s="5" t="s">
        <v>17</v>
      </c>
      <c r="F4163" s="5" t="s">
        <v>20</v>
      </c>
      <c r="G4163" s="5" t="s">
        <v>24</v>
      </c>
      <c r="H4163" s="5" t="s">
        <v>862</v>
      </c>
      <c r="I4163" s="5" t="s">
        <v>31</v>
      </c>
      <c r="J4163" s="5">
        <v>15.774786000000001</v>
      </c>
      <c r="K4163" s="5">
        <v>-96.440719000000001</v>
      </c>
      <c r="L4163" s="5" t="str">
        <f>HYPERLINK("https://maps.google.com/?q=15.774786,-96.440719000000001", "🔗 Ver Mapa")</f>
        <v>🔗 Ver Mapa</v>
      </c>
    </row>
    <row r="4164" spans="1:12" ht="43.5" x14ac:dyDescent="0.35">
      <c r="A4164" s="6" t="s">
        <v>98</v>
      </c>
      <c r="B4164" s="6" t="s">
        <v>99</v>
      </c>
      <c r="C4164" s="6" t="s">
        <v>861</v>
      </c>
      <c r="D4164" s="6" t="s">
        <v>14</v>
      </c>
      <c r="E4164" s="6" t="s">
        <v>17</v>
      </c>
      <c r="F4164" s="6" t="s">
        <v>20</v>
      </c>
      <c r="G4164" s="6" t="s">
        <v>24</v>
      </c>
      <c r="H4164" s="6" t="s">
        <v>862</v>
      </c>
      <c r="I4164" s="6" t="s">
        <v>31</v>
      </c>
      <c r="J4164" s="6">
        <v>15.776375</v>
      </c>
      <c r="K4164" s="6">
        <v>-96.439605</v>
      </c>
      <c r="L4164" s="6" t="str">
        <f>HYPERLINK("https://maps.google.com/?q=15.776375,-96.439605", "🔗 Ver Mapa")</f>
        <v>🔗 Ver Mapa</v>
      </c>
    </row>
    <row r="4165" spans="1:12" ht="43.5" x14ac:dyDescent="0.35">
      <c r="A4165" s="5" t="s">
        <v>98</v>
      </c>
      <c r="B4165" s="5" t="s">
        <v>99</v>
      </c>
      <c r="C4165" s="5" t="s">
        <v>861</v>
      </c>
      <c r="D4165" s="5" t="s">
        <v>14</v>
      </c>
      <c r="E4165" s="5" t="s">
        <v>17</v>
      </c>
      <c r="F4165" s="5" t="s">
        <v>20</v>
      </c>
      <c r="G4165" s="5" t="s">
        <v>24</v>
      </c>
      <c r="H4165" s="5" t="s">
        <v>862</v>
      </c>
      <c r="I4165" s="5" t="s">
        <v>31</v>
      </c>
      <c r="J4165" s="5">
        <v>15.777597411199</v>
      </c>
      <c r="K4165" s="5">
        <v>-96.436800543165006</v>
      </c>
      <c r="L4165" s="5" t="str">
        <f>HYPERLINK("https://maps.google.com/?q=15.777597411199,-96.436800543164694", "🔗 Ver Mapa")</f>
        <v>🔗 Ver Mapa</v>
      </c>
    </row>
    <row r="4166" spans="1:12" ht="43.5" x14ac:dyDescent="0.35">
      <c r="A4166" s="6" t="s">
        <v>98</v>
      </c>
      <c r="B4166" s="6" t="s">
        <v>99</v>
      </c>
      <c r="C4166" s="6" t="s">
        <v>861</v>
      </c>
      <c r="D4166" s="6" t="s">
        <v>14</v>
      </c>
      <c r="E4166" s="6" t="s">
        <v>17</v>
      </c>
      <c r="F4166" s="6" t="s">
        <v>20</v>
      </c>
      <c r="G4166" s="6" t="s">
        <v>24</v>
      </c>
      <c r="H4166" s="6" t="s">
        <v>862</v>
      </c>
      <c r="I4166" s="6" t="s">
        <v>31</v>
      </c>
      <c r="J4166" s="6">
        <v>15.777773</v>
      </c>
      <c r="K4166" s="6">
        <v>-96.436716000000004</v>
      </c>
      <c r="L4166" s="6" t="str">
        <f>HYPERLINK("https://maps.google.com/?q=15.777773,-96.436716000000004", "🔗 Ver Mapa")</f>
        <v>🔗 Ver Mapa</v>
      </c>
    </row>
    <row r="4167" spans="1:12" ht="43.5" x14ac:dyDescent="0.35">
      <c r="A4167" s="5" t="s">
        <v>98</v>
      </c>
      <c r="B4167" s="5" t="s">
        <v>99</v>
      </c>
      <c r="C4167" s="5" t="s">
        <v>861</v>
      </c>
      <c r="D4167" s="5" t="s">
        <v>14</v>
      </c>
      <c r="E4167" s="5" t="s">
        <v>17</v>
      </c>
      <c r="F4167" s="5" t="s">
        <v>20</v>
      </c>
      <c r="G4167" s="5" t="s">
        <v>24</v>
      </c>
      <c r="H4167" s="5" t="s">
        <v>862</v>
      </c>
      <c r="I4167" s="5" t="s">
        <v>31</v>
      </c>
      <c r="J4167" s="5">
        <v>15.777883745920001</v>
      </c>
      <c r="K4167" s="5" t="s">
        <v>863</v>
      </c>
      <c r="L4167" s="5" t="str">
        <f>HYPERLINK("https://maps.google.com/?q=15.7778837459203, -96.435111", "🔗 Ver Mapa")</f>
        <v>🔗 Ver Mapa</v>
      </c>
    </row>
    <row r="4168" spans="1:12" ht="43.5" x14ac:dyDescent="0.35">
      <c r="A4168" s="6" t="s">
        <v>98</v>
      </c>
      <c r="B4168" s="6" t="s">
        <v>99</v>
      </c>
      <c r="C4168" s="6" t="s">
        <v>861</v>
      </c>
      <c r="D4168" s="6" t="s">
        <v>14</v>
      </c>
      <c r="E4168" s="6" t="s">
        <v>17</v>
      </c>
      <c r="F4168" s="6" t="s">
        <v>20</v>
      </c>
      <c r="G4168" s="6" t="s">
        <v>24</v>
      </c>
      <c r="H4168" s="6" t="s">
        <v>862</v>
      </c>
      <c r="I4168" s="6" t="s">
        <v>31</v>
      </c>
      <c r="J4168" s="6">
        <v>15.780162941861001</v>
      </c>
      <c r="K4168" s="6" t="s">
        <v>864</v>
      </c>
      <c r="L4168" s="6" t="str">
        <f>HYPERLINK("https://maps.google.com/?q=15.7801629418612, -96.432301", "🔗 Ver Mapa")</f>
        <v>🔗 Ver Mapa</v>
      </c>
    </row>
    <row r="4169" spans="1:12" ht="43.5" x14ac:dyDescent="0.35">
      <c r="A4169" s="5" t="s">
        <v>98</v>
      </c>
      <c r="B4169" s="5" t="s">
        <v>99</v>
      </c>
      <c r="C4169" s="5" t="s">
        <v>861</v>
      </c>
      <c r="D4169" s="5" t="s">
        <v>14</v>
      </c>
      <c r="E4169" s="5" t="s">
        <v>17</v>
      </c>
      <c r="F4169" s="5" t="s">
        <v>20</v>
      </c>
      <c r="G4169" s="5" t="s">
        <v>24</v>
      </c>
      <c r="H4169" s="5" t="s">
        <v>862</v>
      </c>
      <c r="I4169" s="5" t="s">
        <v>31</v>
      </c>
      <c r="J4169" s="5">
        <v>15.780456905352001</v>
      </c>
      <c r="K4169" s="5" t="s">
        <v>865</v>
      </c>
      <c r="L4169" s="5" t="str">
        <f>HYPERLINK("https://maps.google.com/?q=15.780456905352, -96.431044", "🔗 Ver Mapa")</f>
        <v>🔗 Ver Mapa</v>
      </c>
    </row>
    <row r="4170" spans="1:12" ht="43.5" x14ac:dyDescent="0.35">
      <c r="A4170" s="6" t="s">
        <v>98</v>
      </c>
      <c r="B4170" s="6" t="s">
        <v>99</v>
      </c>
      <c r="C4170" s="6" t="s">
        <v>866</v>
      </c>
      <c r="D4170" s="6" t="s">
        <v>14</v>
      </c>
      <c r="E4170" s="6" t="s">
        <v>17</v>
      </c>
      <c r="F4170" s="6" t="s">
        <v>20</v>
      </c>
      <c r="G4170" s="6" t="s">
        <v>24</v>
      </c>
      <c r="H4170" s="6" t="s">
        <v>867</v>
      </c>
      <c r="I4170" s="6" t="s">
        <v>31</v>
      </c>
      <c r="J4170" s="6">
        <v>15.881250100000001</v>
      </c>
      <c r="K4170" s="6" t="s">
        <v>868</v>
      </c>
      <c r="L4170" s="6" t="str">
        <f>HYPERLINK("https://maps.google.com/?q=15.8812501, -96.3227335", "🔗 Ver Mapa")</f>
        <v>🔗 Ver Mapa</v>
      </c>
    </row>
    <row r="4171" spans="1:12" ht="43.5" x14ac:dyDescent="0.35">
      <c r="A4171" s="5" t="s">
        <v>98</v>
      </c>
      <c r="B4171" s="5" t="s">
        <v>99</v>
      </c>
      <c r="C4171" s="5" t="s">
        <v>869</v>
      </c>
      <c r="D4171" s="5" t="s">
        <v>14</v>
      </c>
      <c r="E4171" s="5" t="s">
        <v>17</v>
      </c>
      <c r="F4171" s="5" t="s">
        <v>59</v>
      </c>
      <c r="G4171" s="5" t="s">
        <v>870</v>
      </c>
      <c r="H4171" s="5" t="s">
        <v>871</v>
      </c>
      <c r="I4171" s="5" t="s">
        <v>31</v>
      </c>
      <c r="J4171" s="5">
        <v>16.318207000000001</v>
      </c>
      <c r="K4171" s="5">
        <v>-97.798417000000001</v>
      </c>
      <c r="L4171" s="5" t="str">
        <f>HYPERLINK("https://maps.google.com/?q=16.318207,-97.798417000000001", "🔗 Ver Mapa")</f>
        <v>🔗 Ver Mapa</v>
      </c>
    </row>
    <row r="4172" spans="1:12" ht="43.5" x14ac:dyDescent="0.35">
      <c r="A4172" s="6" t="s">
        <v>98</v>
      </c>
      <c r="B4172" s="6" t="s">
        <v>99</v>
      </c>
      <c r="C4172" s="6" t="s">
        <v>869</v>
      </c>
      <c r="D4172" s="6" t="s">
        <v>14</v>
      </c>
      <c r="E4172" s="6" t="s">
        <v>17</v>
      </c>
      <c r="F4172" s="6" t="s">
        <v>59</v>
      </c>
      <c r="G4172" s="6" t="s">
        <v>870</v>
      </c>
      <c r="H4172" s="6" t="s">
        <v>871</v>
      </c>
      <c r="I4172" s="6" t="s">
        <v>31</v>
      </c>
      <c r="J4172" s="6">
        <v>16.318743999999999</v>
      </c>
      <c r="K4172" s="6">
        <v>-97.798141000000001</v>
      </c>
      <c r="L4172" s="6" t="str">
        <f>HYPERLINK("https://maps.google.com/?q=16.318744,-97.798141000000001", "🔗 Ver Mapa")</f>
        <v>🔗 Ver Mapa</v>
      </c>
    </row>
    <row r="4173" spans="1:12" ht="43.5" x14ac:dyDescent="0.35">
      <c r="A4173" s="5" t="s">
        <v>98</v>
      </c>
      <c r="B4173" s="5" t="s">
        <v>99</v>
      </c>
      <c r="C4173" s="5" t="s">
        <v>869</v>
      </c>
      <c r="D4173" s="5" t="s">
        <v>14</v>
      </c>
      <c r="E4173" s="5" t="s">
        <v>17</v>
      </c>
      <c r="F4173" s="5" t="s">
        <v>59</v>
      </c>
      <c r="G4173" s="5" t="s">
        <v>870</v>
      </c>
      <c r="H4173" s="5" t="s">
        <v>871</v>
      </c>
      <c r="I4173" s="5" t="s">
        <v>31</v>
      </c>
      <c r="J4173" s="5">
        <v>16.319555000000001</v>
      </c>
      <c r="K4173" s="5">
        <v>-97.796614000000005</v>
      </c>
      <c r="L4173" s="5" t="str">
        <f>HYPERLINK("https://maps.google.com/?q=16.319555,-97.796614000000005", "🔗 Ver Mapa")</f>
        <v>🔗 Ver Mapa</v>
      </c>
    </row>
    <row r="4174" spans="1:12" ht="43.5" x14ac:dyDescent="0.35">
      <c r="A4174" s="6" t="s">
        <v>98</v>
      </c>
      <c r="B4174" s="6" t="s">
        <v>99</v>
      </c>
      <c r="C4174" s="6" t="s">
        <v>869</v>
      </c>
      <c r="D4174" s="6" t="s">
        <v>14</v>
      </c>
      <c r="E4174" s="6" t="s">
        <v>17</v>
      </c>
      <c r="F4174" s="6" t="s">
        <v>59</v>
      </c>
      <c r="G4174" s="6" t="s">
        <v>870</v>
      </c>
      <c r="H4174" s="6" t="s">
        <v>871</v>
      </c>
      <c r="I4174" s="6" t="s">
        <v>31</v>
      </c>
      <c r="J4174" s="6">
        <v>16.319579743967001</v>
      </c>
      <c r="K4174" s="6" t="s">
        <v>872</v>
      </c>
      <c r="L4174" s="6" t="str">
        <f>HYPERLINK("https://maps.google.com/?q=16.3195797439667, -97.7999518", "🔗 Ver Mapa")</f>
        <v>🔗 Ver Mapa</v>
      </c>
    </row>
    <row r="4175" spans="1:12" ht="43.5" x14ac:dyDescent="0.35">
      <c r="A4175" s="5" t="s">
        <v>98</v>
      </c>
      <c r="B4175" s="5" t="s">
        <v>99</v>
      </c>
      <c r="C4175" s="5" t="s">
        <v>869</v>
      </c>
      <c r="D4175" s="5" t="s">
        <v>14</v>
      </c>
      <c r="E4175" s="5" t="s">
        <v>17</v>
      </c>
      <c r="F4175" s="5" t="s">
        <v>59</v>
      </c>
      <c r="G4175" s="5" t="s">
        <v>870</v>
      </c>
      <c r="H4175" s="5" t="s">
        <v>871</v>
      </c>
      <c r="I4175" s="5" t="s">
        <v>31</v>
      </c>
      <c r="J4175" s="5">
        <v>16.31964551187</v>
      </c>
      <c r="K4175" s="5">
        <v>-97.796736188989001</v>
      </c>
      <c r="L4175" s="5" t="str">
        <f>HYPERLINK("https://maps.google.com/?q=16.3196455118697,-97.796736188989001", "🔗 Ver Mapa")</f>
        <v>🔗 Ver Mapa</v>
      </c>
    </row>
    <row r="4176" spans="1:12" ht="43.5" x14ac:dyDescent="0.35">
      <c r="A4176" s="6" t="s">
        <v>98</v>
      </c>
      <c r="B4176" s="6" t="s">
        <v>99</v>
      </c>
      <c r="C4176" s="6" t="s">
        <v>869</v>
      </c>
      <c r="D4176" s="6" t="s">
        <v>14</v>
      </c>
      <c r="E4176" s="6" t="s">
        <v>17</v>
      </c>
      <c r="F4176" s="6" t="s">
        <v>59</v>
      </c>
      <c r="G4176" s="6" t="s">
        <v>870</v>
      </c>
      <c r="H4176" s="6" t="s">
        <v>871</v>
      </c>
      <c r="I4176" s="6" t="s">
        <v>31</v>
      </c>
      <c r="J4176" s="6">
        <v>16.319707251676999</v>
      </c>
      <c r="K4176" s="6">
        <v>-97.797468985284993</v>
      </c>
      <c r="L4176" s="6" t="str">
        <f>HYPERLINK("https://maps.google.com/?q=16.3197072516773,-97.797468985284695", "🔗 Ver Mapa")</f>
        <v>🔗 Ver Mapa</v>
      </c>
    </row>
    <row r="4177" spans="1:12" ht="43.5" x14ac:dyDescent="0.35">
      <c r="A4177" s="5" t="s">
        <v>98</v>
      </c>
      <c r="B4177" s="5" t="s">
        <v>99</v>
      </c>
      <c r="C4177" s="5" t="s">
        <v>869</v>
      </c>
      <c r="D4177" s="5" t="s">
        <v>14</v>
      </c>
      <c r="E4177" s="5" t="s">
        <v>17</v>
      </c>
      <c r="F4177" s="5" t="s">
        <v>59</v>
      </c>
      <c r="G4177" s="5" t="s">
        <v>870</v>
      </c>
      <c r="H4177" s="5" t="s">
        <v>871</v>
      </c>
      <c r="I4177" s="5" t="s">
        <v>31</v>
      </c>
      <c r="J4177" s="5">
        <v>16.31973</v>
      </c>
      <c r="K4177" s="5">
        <v>-97.796761000000004</v>
      </c>
      <c r="L4177" s="5" t="str">
        <f>HYPERLINK("https://maps.google.com/?q=16.31973,-97.796761000000004", "🔗 Ver Mapa")</f>
        <v>🔗 Ver Mapa</v>
      </c>
    </row>
    <row r="4178" spans="1:12" ht="43.5" x14ac:dyDescent="0.35">
      <c r="A4178" s="6" t="s">
        <v>98</v>
      </c>
      <c r="B4178" s="6" t="s">
        <v>99</v>
      </c>
      <c r="C4178" s="6" t="s">
        <v>869</v>
      </c>
      <c r="D4178" s="6" t="s">
        <v>14</v>
      </c>
      <c r="E4178" s="6" t="s">
        <v>17</v>
      </c>
      <c r="F4178" s="6" t="s">
        <v>59</v>
      </c>
      <c r="G4178" s="6" t="s">
        <v>870</v>
      </c>
      <c r="H4178" s="6" t="s">
        <v>871</v>
      </c>
      <c r="I4178" s="6" t="s">
        <v>31</v>
      </c>
      <c r="J4178" s="6">
        <v>16.319792305381998</v>
      </c>
      <c r="K4178" s="6">
        <v>-97.798503895663004</v>
      </c>
      <c r="L4178" s="6" t="str">
        <f>HYPERLINK("https://maps.google.com/?q=16.3197923053817,-97.798503895663401", "🔗 Ver Mapa")</f>
        <v>🔗 Ver Mapa</v>
      </c>
    </row>
    <row r="4179" spans="1:12" ht="43.5" x14ac:dyDescent="0.35">
      <c r="A4179" s="5" t="s">
        <v>98</v>
      </c>
      <c r="B4179" s="5" t="s">
        <v>99</v>
      </c>
      <c r="C4179" s="5" t="s">
        <v>869</v>
      </c>
      <c r="D4179" s="5" t="s">
        <v>14</v>
      </c>
      <c r="E4179" s="5" t="s">
        <v>17</v>
      </c>
      <c r="F4179" s="5" t="s">
        <v>59</v>
      </c>
      <c r="G4179" s="5" t="s">
        <v>870</v>
      </c>
      <c r="H4179" s="5" t="s">
        <v>871</v>
      </c>
      <c r="I4179" s="5" t="s">
        <v>31</v>
      </c>
      <c r="J4179" s="5">
        <v>16.319805160314999</v>
      </c>
      <c r="K4179" s="5">
        <v>-97.796595999999994</v>
      </c>
      <c r="L4179" s="5" t="str">
        <f>HYPERLINK("https://maps.google.com/?q=16.3198051603147,-97.796595999999994", "🔗 Ver Mapa")</f>
        <v>🔗 Ver Mapa</v>
      </c>
    </row>
    <row r="4180" spans="1:12" ht="43.5" x14ac:dyDescent="0.35">
      <c r="A4180" s="6" t="s">
        <v>98</v>
      </c>
      <c r="B4180" s="6" t="s">
        <v>99</v>
      </c>
      <c r="C4180" s="6" t="s">
        <v>869</v>
      </c>
      <c r="D4180" s="6" t="s">
        <v>14</v>
      </c>
      <c r="E4180" s="6" t="s">
        <v>17</v>
      </c>
      <c r="F4180" s="6" t="s">
        <v>59</v>
      </c>
      <c r="G4180" s="6" t="s">
        <v>870</v>
      </c>
      <c r="H4180" s="6" t="s">
        <v>871</v>
      </c>
      <c r="I4180" s="6" t="s">
        <v>31</v>
      </c>
      <c r="J4180" s="6">
        <v>16.32040609713</v>
      </c>
      <c r="K4180" s="6" t="s">
        <v>873</v>
      </c>
      <c r="L4180" s="6" t="str">
        <f>HYPERLINK("https://maps.google.com/?q=16.3204060971303, -97.7976463", "🔗 Ver Mapa")</f>
        <v>🔗 Ver Mapa</v>
      </c>
    </row>
    <row r="4181" spans="1:12" ht="43.5" x14ac:dyDescent="0.35">
      <c r="A4181" s="5" t="s">
        <v>98</v>
      </c>
      <c r="B4181" s="5" t="s">
        <v>99</v>
      </c>
      <c r="C4181" s="5" t="s">
        <v>874</v>
      </c>
      <c r="D4181" s="5" t="s">
        <v>14</v>
      </c>
      <c r="E4181" s="5" t="s">
        <v>17</v>
      </c>
      <c r="F4181" s="5" t="s">
        <v>20</v>
      </c>
      <c r="G4181" s="5" t="s">
        <v>208</v>
      </c>
      <c r="H4181" s="5" t="s">
        <v>468</v>
      </c>
      <c r="I4181" s="5" t="s">
        <v>31</v>
      </c>
      <c r="J4181" s="5">
        <v>15.786720000000001</v>
      </c>
      <c r="K4181" s="5">
        <v>-96.142781999999997</v>
      </c>
      <c r="L4181" s="5" t="str">
        <f>HYPERLINK("https://maps.google.com/?q=15.78672,-96.142782", "🔗 Ver Mapa")</f>
        <v>🔗 Ver Mapa</v>
      </c>
    </row>
    <row r="4182" spans="1:12" ht="43.5" x14ac:dyDescent="0.35">
      <c r="A4182" s="6" t="s">
        <v>98</v>
      </c>
      <c r="B4182" s="6" t="s">
        <v>99</v>
      </c>
      <c r="C4182" s="6" t="s">
        <v>875</v>
      </c>
      <c r="D4182" s="6" t="s">
        <v>14</v>
      </c>
      <c r="E4182" s="6" t="s">
        <v>17</v>
      </c>
      <c r="F4182" s="6" t="s">
        <v>59</v>
      </c>
      <c r="G4182" s="6" t="s">
        <v>60</v>
      </c>
      <c r="H4182" s="6" t="s">
        <v>876</v>
      </c>
      <c r="I4182" s="6" t="s">
        <v>31</v>
      </c>
      <c r="J4182" s="6">
        <v>16.390163999999999</v>
      </c>
      <c r="K4182" s="6">
        <v>-98.109211999999999</v>
      </c>
      <c r="L4182" s="6" t="str">
        <f>HYPERLINK("https://maps.google.com/?q=16.390164,-98.109211999999999", "🔗 Ver Mapa")</f>
        <v>🔗 Ver Mapa</v>
      </c>
    </row>
    <row r="4183" spans="1:12" ht="43.5" x14ac:dyDescent="0.35">
      <c r="A4183" s="5" t="s">
        <v>98</v>
      </c>
      <c r="B4183" s="5" t="s">
        <v>99</v>
      </c>
      <c r="C4183" s="5" t="s">
        <v>875</v>
      </c>
      <c r="D4183" s="5" t="s">
        <v>14</v>
      </c>
      <c r="E4183" s="5" t="s">
        <v>17</v>
      </c>
      <c r="F4183" s="5" t="s">
        <v>59</v>
      </c>
      <c r="G4183" s="5" t="s">
        <v>60</v>
      </c>
      <c r="H4183" s="5" t="s">
        <v>876</v>
      </c>
      <c r="I4183" s="5" t="s">
        <v>31</v>
      </c>
      <c r="J4183" s="5">
        <v>16.390374999999999</v>
      </c>
      <c r="K4183" s="5">
        <v>-98.114440000000002</v>
      </c>
      <c r="L4183" s="5" t="str">
        <f>HYPERLINK("https://maps.google.com/?q=16.390375,-98.114440000000002", "🔗 Ver Mapa")</f>
        <v>🔗 Ver Mapa</v>
      </c>
    </row>
    <row r="4184" spans="1:12" ht="43.5" x14ac:dyDescent="0.35">
      <c r="A4184" s="6" t="s">
        <v>98</v>
      </c>
      <c r="B4184" s="6" t="s">
        <v>99</v>
      </c>
      <c r="C4184" s="6" t="s">
        <v>875</v>
      </c>
      <c r="D4184" s="6" t="s">
        <v>14</v>
      </c>
      <c r="E4184" s="6" t="s">
        <v>17</v>
      </c>
      <c r="F4184" s="6" t="s">
        <v>59</v>
      </c>
      <c r="G4184" s="6" t="s">
        <v>60</v>
      </c>
      <c r="H4184" s="6" t="s">
        <v>876</v>
      </c>
      <c r="I4184" s="6" t="s">
        <v>31</v>
      </c>
      <c r="J4184" s="6">
        <v>16.390391999999999</v>
      </c>
      <c r="K4184" s="6">
        <v>-98.113365999999999</v>
      </c>
      <c r="L4184" s="6" t="str">
        <f>HYPERLINK("https://maps.google.com/?q=16.390392,-98.113365999999999", "🔗 Ver Mapa")</f>
        <v>🔗 Ver Mapa</v>
      </c>
    </row>
    <row r="4185" spans="1:12" ht="43.5" x14ac:dyDescent="0.35">
      <c r="A4185" s="5" t="s">
        <v>98</v>
      </c>
      <c r="B4185" s="5" t="s">
        <v>99</v>
      </c>
      <c r="C4185" s="5" t="s">
        <v>875</v>
      </c>
      <c r="D4185" s="5" t="s">
        <v>14</v>
      </c>
      <c r="E4185" s="5" t="s">
        <v>17</v>
      </c>
      <c r="F4185" s="5" t="s">
        <v>59</v>
      </c>
      <c r="G4185" s="5" t="s">
        <v>60</v>
      </c>
      <c r="H4185" s="5" t="s">
        <v>876</v>
      </c>
      <c r="I4185" s="5" t="s">
        <v>31</v>
      </c>
      <c r="J4185" s="5">
        <v>16.391155000000001</v>
      </c>
      <c r="K4185" s="5" t="s">
        <v>877</v>
      </c>
      <c r="L4185" s="5" t="str">
        <f>HYPERLINK("https://maps.google.com/?q=16.391155, -98.109380", "🔗 Ver Mapa")</f>
        <v>🔗 Ver Mapa</v>
      </c>
    </row>
    <row r="4186" spans="1:12" ht="43.5" x14ac:dyDescent="0.35">
      <c r="A4186" s="6" t="s">
        <v>98</v>
      </c>
      <c r="B4186" s="6" t="s">
        <v>99</v>
      </c>
      <c r="C4186" s="6" t="s">
        <v>875</v>
      </c>
      <c r="D4186" s="6" t="s">
        <v>14</v>
      </c>
      <c r="E4186" s="6" t="s">
        <v>17</v>
      </c>
      <c r="F4186" s="6" t="s">
        <v>59</v>
      </c>
      <c r="G4186" s="6" t="s">
        <v>60</v>
      </c>
      <c r="H4186" s="6" t="s">
        <v>876</v>
      </c>
      <c r="I4186" s="6" t="s">
        <v>31</v>
      </c>
      <c r="J4186" s="6">
        <v>16.391196999999998</v>
      </c>
      <c r="K4186" s="6">
        <v>-98.112099000000001</v>
      </c>
      <c r="L4186" s="6" t="str">
        <f>HYPERLINK("https://maps.google.com/?q=16.391197,-98.112099000000001", "🔗 Ver Mapa")</f>
        <v>🔗 Ver Mapa</v>
      </c>
    </row>
    <row r="4187" spans="1:12" ht="43.5" x14ac:dyDescent="0.35">
      <c r="A4187" s="5" t="s">
        <v>98</v>
      </c>
      <c r="B4187" s="5" t="s">
        <v>99</v>
      </c>
      <c r="C4187" s="5" t="s">
        <v>875</v>
      </c>
      <c r="D4187" s="5" t="s">
        <v>14</v>
      </c>
      <c r="E4187" s="5" t="s">
        <v>17</v>
      </c>
      <c r="F4187" s="5" t="s">
        <v>59</v>
      </c>
      <c r="G4187" s="5" t="s">
        <v>60</v>
      </c>
      <c r="H4187" s="5" t="s">
        <v>876</v>
      </c>
      <c r="I4187" s="5" t="s">
        <v>31</v>
      </c>
      <c r="J4187" s="5">
        <v>16.391534</v>
      </c>
      <c r="K4187" s="5">
        <v>-98.112174999999993</v>
      </c>
      <c r="L4187" s="5" t="str">
        <f>HYPERLINK("https://maps.google.com/?q=16.391534,-98.112174999999993", "🔗 Ver Mapa")</f>
        <v>🔗 Ver Mapa</v>
      </c>
    </row>
    <row r="4188" spans="1:12" ht="43.5" x14ac:dyDescent="0.35">
      <c r="A4188" s="6" t="s">
        <v>98</v>
      </c>
      <c r="B4188" s="6" t="s">
        <v>99</v>
      </c>
      <c r="C4188" s="6" t="s">
        <v>875</v>
      </c>
      <c r="D4188" s="6" t="s">
        <v>14</v>
      </c>
      <c r="E4188" s="6" t="s">
        <v>17</v>
      </c>
      <c r="F4188" s="6" t="s">
        <v>59</v>
      </c>
      <c r="G4188" s="6" t="s">
        <v>60</v>
      </c>
      <c r="H4188" s="6" t="s">
        <v>876</v>
      </c>
      <c r="I4188" s="6" t="s">
        <v>31</v>
      </c>
      <c r="J4188" s="6">
        <v>16.391886</v>
      </c>
      <c r="K4188" s="6">
        <v>-98.111464999999995</v>
      </c>
      <c r="L4188" s="6" t="str">
        <f>HYPERLINK("https://maps.google.com/?q=16.391886,-98.111464999999995", "🔗 Ver Mapa")</f>
        <v>🔗 Ver Mapa</v>
      </c>
    </row>
    <row r="4189" spans="1:12" ht="43.5" x14ac:dyDescent="0.35">
      <c r="A4189" s="5" t="s">
        <v>98</v>
      </c>
      <c r="B4189" s="5" t="s">
        <v>99</v>
      </c>
      <c r="C4189" s="5" t="s">
        <v>875</v>
      </c>
      <c r="D4189" s="5" t="s">
        <v>14</v>
      </c>
      <c r="E4189" s="5" t="s">
        <v>17</v>
      </c>
      <c r="F4189" s="5" t="s">
        <v>59</v>
      </c>
      <c r="G4189" s="5" t="s">
        <v>60</v>
      </c>
      <c r="H4189" s="5" t="s">
        <v>876</v>
      </c>
      <c r="I4189" s="5" t="s">
        <v>31</v>
      </c>
      <c r="J4189" s="5">
        <v>16.391967000000001</v>
      </c>
      <c r="K4189" s="5" t="s">
        <v>878</v>
      </c>
      <c r="L4189" s="5" t="str">
        <f>HYPERLINK("https://maps.google.com/?q=16.391967, -98.112182", "🔗 Ver Mapa")</f>
        <v>🔗 Ver Mapa</v>
      </c>
    </row>
    <row r="4190" spans="1:12" ht="43.5" x14ac:dyDescent="0.35">
      <c r="A4190" s="6" t="s">
        <v>98</v>
      </c>
      <c r="B4190" s="6" t="s">
        <v>99</v>
      </c>
      <c r="C4190" s="6" t="s">
        <v>875</v>
      </c>
      <c r="D4190" s="6" t="s">
        <v>14</v>
      </c>
      <c r="E4190" s="6" t="s">
        <v>17</v>
      </c>
      <c r="F4190" s="6" t="s">
        <v>59</v>
      </c>
      <c r="G4190" s="6" t="s">
        <v>60</v>
      </c>
      <c r="H4190" s="6" t="s">
        <v>876</v>
      </c>
      <c r="I4190" s="6" t="s">
        <v>31</v>
      </c>
      <c r="J4190" s="6">
        <v>16.392011</v>
      </c>
      <c r="K4190" s="6">
        <v>-98.111541000000003</v>
      </c>
      <c r="L4190" s="6" t="str">
        <f>HYPERLINK("https://maps.google.com/?q=16.392011,-98.111541000000003", "🔗 Ver Mapa")</f>
        <v>🔗 Ver Mapa</v>
      </c>
    </row>
    <row r="4191" spans="1:12" ht="43.5" x14ac:dyDescent="0.35">
      <c r="A4191" s="5" t="s">
        <v>98</v>
      </c>
      <c r="B4191" s="5" t="s">
        <v>99</v>
      </c>
      <c r="C4191" s="5" t="s">
        <v>875</v>
      </c>
      <c r="D4191" s="5" t="s">
        <v>14</v>
      </c>
      <c r="E4191" s="5" t="s">
        <v>17</v>
      </c>
      <c r="F4191" s="5" t="s">
        <v>59</v>
      </c>
      <c r="G4191" s="5" t="s">
        <v>60</v>
      </c>
      <c r="H4191" s="5" t="s">
        <v>876</v>
      </c>
      <c r="I4191" s="5" t="s">
        <v>31</v>
      </c>
      <c r="J4191" s="5">
        <v>16.392588</v>
      </c>
      <c r="K4191" s="5">
        <v>-98.111284999999995</v>
      </c>
      <c r="L4191" s="5" t="str">
        <f>HYPERLINK("https://maps.google.com/?q=16.392588,-98.111284999999995", "🔗 Ver Mapa")</f>
        <v>🔗 Ver Mapa</v>
      </c>
    </row>
    <row r="4192" spans="1:12" ht="43.5" x14ac:dyDescent="0.35">
      <c r="A4192" s="6" t="s">
        <v>98</v>
      </c>
      <c r="B4192" s="6" t="s">
        <v>99</v>
      </c>
      <c r="C4192" s="6" t="s">
        <v>875</v>
      </c>
      <c r="D4192" s="6" t="s">
        <v>14</v>
      </c>
      <c r="E4192" s="6" t="s">
        <v>17</v>
      </c>
      <c r="F4192" s="6" t="s">
        <v>59</v>
      </c>
      <c r="G4192" s="6" t="s">
        <v>60</v>
      </c>
      <c r="H4192" s="6" t="s">
        <v>876</v>
      </c>
      <c r="I4192" s="6" t="s">
        <v>31</v>
      </c>
      <c r="J4192" s="6">
        <v>16.392741000000001</v>
      </c>
      <c r="K4192" s="6">
        <v>-98.111715099999998</v>
      </c>
      <c r="L4192" s="6" t="str">
        <f>HYPERLINK("https://maps.google.com/?q=16.392741,-98.111715099999998", "🔗 Ver Mapa")</f>
        <v>🔗 Ver Mapa</v>
      </c>
    </row>
    <row r="4193" spans="1:12" ht="43.5" x14ac:dyDescent="0.35">
      <c r="A4193" s="5" t="s">
        <v>98</v>
      </c>
      <c r="B4193" s="5" t="s">
        <v>99</v>
      </c>
      <c r="C4193" s="5" t="s">
        <v>879</v>
      </c>
      <c r="D4193" s="5" t="s">
        <v>14</v>
      </c>
      <c r="E4193" s="5" t="s">
        <v>140</v>
      </c>
      <c r="F4193" s="5" t="s">
        <v>624</v>
      </c>
      <c r="G4193" s="5" t="s">
        <v>625</v>
      </c>
      <c r="H4193" s="5" t="s">
        <v>880</v>
      </c>
      <c r="I4193" s="5" t="s">
        <v>31</v>
      </c>
      <c r="J4193" s="5">
        <v>0</v>
      </c>
      <c r="K4193" s="5">
        <v>-95.931580999999994</v>
      </c>
      <c r="L4193" s="5" t="str">
        <f>HYPERLINK("https://maps.google.com/?q=0,-95.931580999999994", "🔗 Ver Mapa")</f>
        <v>🔗 Ver Mapa</v>
      </c>
    </row>
    <row r="4194" spans="1:12" ht="43.5" x14ac:dyDescent="0.35">
      <c r="A4194" s="6" t="s">
        <v>98</v>
      </c>
      <c r="B4194" s="6" t="s">
        <v>99</v>
      </c>
      <c r="C4194" s="6" t="s">
        <v>879</v>
      </c>
      <c r="D4194" s="6" t="s">
        <v>14</v>
      </c>
      <c r="E4194" s="6" t="s">
        <v>140</v>
      </c>
      <c r="F4194" s="6" t="s">
        <v>624</v>
      </c>
      <c r="G4194" s="6" t="s">
        <v>625</v>
      </c>
      <c r="H4194" s="6" t="s">
        <v>880</v>
      </c>
      <c r="I4194" s="6" t="s">
        <v>31</v>
      </c>
      <c r="J4194" s="6">
        <v>0</v>
      </c>
      <c r="K4194" s="6" t="s">
        <v>881</v>
      </c>
      <c r="L4194" s="6" t="str">
        <f>HYPERLINK("https://maps.google.com/?q=0, -95.940058", "🔗 Ver Mapa")</f>
        <v>🔗 Ver Mapa</v>
      </c>
    </row>
    <row r="4195" spans="1:12" ht="43.5" x14ac:dyDescent="0.35">
      <c r="A4195" s="5" t="s">
        <v>98</v>
      </c>
      <c r="B4195" s="5" t="s">
        <v>99</v>
      </c>
      <c r="C4195" s="5" t="s">
        <v>879</v>
      </c>
      <c r="D4195" s="5" t="s">
        <v>14</v>
      </c>
      <c r="E4195" s="5" t="s">
        <v>140</v>
      </c>
      <c r="F4195" s="5" t="s">
        <v>624</v>
      </c>
      <c r="G4195" s="5" t="s">
        <v>625</v>
      </c>
      <c r="H4195" s="5" t="s">
        <v>880</v>
      </c>
      <c r="I4195" s="5" t="s">
        <v>31</v>
      </c>
      <c r="J4195" s="5">
        <v>17.616368000000001</v>
      </c>
      <c r="K4195" s="5">
        <v>-95.932394000000002</v>
      </c>
      <c r="L4195" s="5" t="str">
        <f>HYPERLINK("https://maps.google.com/?q=17.616368,-95.932394000000002", "🔗 Ver Mapa")</f>
        <v>🔗 Ver Mapa</v>
      </c>
    </row>
    <row r="4196" spans="1:12" ht="43.5" x14ac:dyDescent="0.35">
      <c r="A4196" s="6" t="s">
        <v>98</v>
      </c>
      <c r="B4196" s="6" t="s">
        <v>99</v>
      </c>
      <c r="C4196" s="6" t="s">
        <v>879</v>
      </c>
      <c r="D4196" s="6" t="s">
        <v>14</v>
      </c>
      <c r="E4196" s="6" t="s">
        <v>140</v>
      </c>
      <c r="F4196" s="6" t="s">
        <v>624</v>
      </c>
      <c r="G4196" s="6" t="s">
        <v>625</v>
      </c>
      <c r="H4196" s="6" t="s">
        <v>880</v>
      </c>
      <c r="I4196" s="6" t="s">
        <v>31</v>
      </c>
      <c r="J4196" s="6">
        <v>17.618715000000002</v>
      </c>
      <c r="K4196" s="6" t="s">
        <v>882</v>
      </c>
      <c r="L4196" s="6" t="str">
        <f>HYPERLINK("https://maps.google.com/?q=17.618715, -95.935096", "🔗 Ver Mapa")</f>
        <v>🔗 Ver Mapa</v>
      </c>
    </row>
    <row r="4197" spans="1:12" ht="43.5" x14ac:dyDescent="0.35">
      <c r="A4197" s="5" t="s">
        <v>98</v>
      </c>
      <c r="B4197" s="5" t="s">
        <v>99</v>
      </c>
      <c r="C4197" s="5" t="s">
        <v>879</v>
      </c>
      <c r="D4197" s="5" t="s">
        <v>14</v>
      </c>
      <c r="E4197" s="5" t="s">
        <v>140</v>
      </c>
      <c r="F4197" s="5" t="s">
        <v>624</v>
      </c>
      <c r="G4197" s="5" t="s">
        <v>625</v>
      </c>
      <c r="H4197" s="5" t="s">
        <v>880</v>
      </c>
      <c r="I4197" s="5" t="s">
        <v>31</v>
      </c>
      <c r="J4197" s="5">
        <v>17.619736</v>
      </c>
      <c r="K4197" s="5">
        <v>-95.931229999999999</v>
      </c>
      <c r="L4197" s="5" t="str">
        <f>HYPERLINK("https://maps.google.com/?q=17.619736,-95.931229999999999", "🔗 Ver Mapa")</f>
        <v>🔗 Ver Mapa</v>
      </c>
    </row>
    <row r="4198" spans="1:12" ht="43.5" x14ac:dyDescent="0.35">
      <c r="A4198" s="6" t="s">
        <v>98</v>
      </c>
      <c r="B4198" s="6" t="s">
        <v>99</v>
      </c>
      <c r="C4198" s="6" t="s">
        <v>879</v>
      </c>
      <c r="D4198" s="6" t="s">
        <v>14</v>
      </c>
      <c r="E4198" s="6" t="s">
        <v>140</v>
      </c>
      <c r="F4198" s="6" t="s">
        <v>624</v>
      </c>
      <c r="G4198" s="6" t="s">
        <v>625</v>
      </c>
      <c r="H4198" s="6" t="s">
        <v>880</v>
      </c>
      <c r="I4198" s="6" t="s">
        <v>31</v>
      </c>
      <c r="J4198" s="6">
        <v>17.619942000000002</v>
      </c>
      <c r="K4198" s="6">
        <v>-95.933390000000003</v>
      </c>
      <c r="L4198" s="6" t="str">
        <f>HYPERLINK("https://maps.google.com/?q=17.619942,-95.933390000000003", "🔗 Ver Mapa")</f>
        <v>🔗 Ver Mapa</v>
      </c>
    </row>
    <row r="4199" spans="1:12" ht="43.5" x14ac:dyDescent="0.35">
      <c r="A4199" s="5" t="s">
        <v>98</v>
      </c>
      <c r="B4199" s="5" t="s">
        <v>99</v>
      </c>
      <c r="C4199" s="5" t="s">
        <v>879</v>
      </c>
      <c r="D4199" s="5" t="s">
        <v>14</v>
      </c>
      <c r="E4199" s="5" t="s">
        <v>140</v>
      </c>
      <c r="F4199" s="5" t="s">
        <v>624</v>
      </c>
      <c r="G4199" s="5" t="s">
        <v>625</v>
      </c>
      <c r="H4199" s="5" t="s">
        <v>880</v>
      </c>
      <c r="I4199" s="5" t="s">
        <v>31</v>
      </c>
      <c r="J4199" s="5">
        <v>17.620341</v>
      </c>
      <c r="K4199" s="5">
        <v>-95.933847999999998</v>
      </c>
      <c r="L4199" s="5" t="str">
        <f>HYPERLINK("https://maps.google.com/?q=17.620341,-95.933847999999998", "🔗 Ver Mapa")</f>
        <v>🔗 Ver Mapa</v>
      </c>
    </row>
    <row r="4200" spans="1:12" ht="43.5" x14ac:dyDescent="0.35">
      <c r="A4200" s="6" t="s">
        <v>98</v>
      </c>
      <c r="B4200" s="6" t="s">
        <v>99</v>
      </c>
      <c r="C4200" s="6" t="s">
        <v>879</v>
      </c>
      <c r="D4200" s="6" t="s">
        <v>14</v>
      </c>
      <c r="E4200" s="6" t="s">
        <v>140</v>
      </c>
      <c r="F4200" s="6" t="s">
        <v>624</v>
      </c>
      <c r="G4200" s="6" t="s">
        <v>625</v>
      </c>
      <c r="H4200" s="6" t="s">
        <v>880</v>
      </c>
      <c r="I4200" s="6" t="s">
        <v>31</v>
      </c>
      <c r="J4200" s="6">
        <v>17.620362</v>
      </c>
      <c r="K4200" s="6">
        <v>-95.937281999999996</v>
      </c>
      <c r="L4200" s="6" t="str">
        <f>HYPERLINK("https://maps.google.com/?q=17.620362,-95.937281999999996", "🔗 Ver Mapa")</f>
        <v>🔗 Ver Mapa</v>
      </c>
    </row>
    <row r="4201" spans="1:12" ht="43.5" x14ac:dyDescent="0.35">
      <c r="A4201" s="5" t="s">
        <v>321</v>
      </c>
      <c r="B4201" s="5" t="s">
        <v>322</v>
      </c>
      <c r="C4201" s="5" t="s">
        <v>883</v>
      </c>
      <c r="D4201" s="5" t="s">
        <v>69</v>
      </c>
      <c r="E4201" s="5" t="s">
        <v>324</v>
      </c>
      <c r="F4201" s="5" t="s">
        <v>325</v>
      </c>
      <c r="G4201" s="5" t="s">
        <v>326</v>
      </c>
      <c r="H4201" s="5" t="s">
        <v>327</v>
      </c>
      <c r="I4201" s="5" t="s">
        <v>31</v>
      </c>
      <c r="J4201" s="5">
        <v>15.746143999999999</v>
      </c>
      <c r="K4201" s="5">
        <v>-96.465182999999996</v>
      </c>
      <c r="L4201" s="5" t="str">
        <f>HYPERLINK("https://maps.google.com/?q=15.746144,-96.465182999999996", "🔗 Ver Mapa")</f>
        <v>🔗 Ver Mapa</v>
      </c>
    </row>
    <row r="4202" spans="1:12" ht="43.5" x14ac:dyDescent="0.35">
      <c r="A4202" s="6" t="s">
        <v>321</v>
      </c>
      <c r="B4202" s="6" t="s">
        <v>322</v>
      </c>
      <c r="C4202" s="6" t="s">
        <v>883</v>
      </c>
      <c r="D4202" s="6" t="s">
        <v>69</v>
      </c>
      <c r="E4202" s="6" t="s">
        <v>324</v>
      </c>
      <c r="F4202" s="6" t="s">
        <v>325</v>
      </c>
      <c r="G4202" s="6" t="s">
        <v>326</v>
      </c>
      <c r="H4202" s="6" t="s">
        <v>327</v>
      </c>
      <c r="I4202" s="6" t="s">
        <v>31</v>
      </c>
      <c r="J4202" s="6">
        <v>16.237075999999998</v>
      </c>
      <c r="K4202" s="6">
        <v>-97.292351999999994</v>
      </c>
      <c r="L4202" s="6" t="str">
        <f>HYPERLINK("https://maps.google.com/?q=16.237076,-97.292351999999994", "🔗 Ver Mapa")</f>
        <v>🔗 Ver Mapa</v>
      </c>
    </row>
    <row r="4203" spans="1:12" ht="43.5" x14ac:dyDescent="0.35">
      <c r="A4203" s="5" t="s">
        <v>321</v>
      </c>
      <c r="B4203" s="5" t="s">
        <v>322</v>
      </c>
      <c r="C4203" s="5" t="s">
        <v>883</v>
      </c>
      <c r="D4203" s="5" t="s">
        <v>69</v>
      </c>
      <c r="E4203" s="5" t="s">
        <v>324</v>
      </c>
      <c r="F4203" s="5" t="s">
        <v>325</v>
      </c>
      <c r="G4203" s="5" t="s">
        <v>326</v>
      </c>
      <c r="H4203" s="5" t="s">
        <v>327</v>
      </c>
      <c r="I4203" s="5" t="s">
        <v>31</v>
      </c>
      <c r="J4203" s="5">
        <v>16.279057999999999</v>
      </c>
      <c r="K4203" s="5">
        <v>-97.820240999999996</v>
      </c>
      <c r="L4203" s="5" t="str">
        <f>HYPERLINK("https://maps.google.com/?q=16.279058,-97.820240999999996", "🔗 Ver Mapa")</f>
        <v>🔗 Ver Mapa</v>
      </c>
    </row>
    <row r="4204" spans="1:12" ht="43.5" x14ac:dyDescent="0.35">
      <c r="A4204" s="6" t="s">
        <v>321</v>
      </c>
      <c r="B4204" s="6" t="s">
        <v>322</v>
      </c>
      <c r="C4204" s="6" t="s">
        <v>883</v>
      </c>
      <c r="D4204" s="6" t="s">
        <v>69</v>
      </c>
      <c r="E4204" s="6" t="s">
        <v>324</v>
      </c>
      <c r="F4204" s="6" t="s">
        <v>325</v>
      </c>
      <c r="G4204" s="6" t="s">
        <v>326</v>
      </c>
      <c r="H4204" s="6" t="s">
        <v>327</v>
      </c>
      <c r="I4204" s="6" t="s">
        <v>31</v>
      </c>
      <c r="J4204" s="6">
        <v>16.328751</v>
      </c>
      <c r="K4204" s="6">
        <v>-96.596529000000004</v>
      </c>
      <c r="L4204" s="6" t="str">
        <f>HYPERLINK("https://maps.google.com/?q=16.328751,-96.596529000000004", "🔗 Ver Mapa")</f>
        <v>🔗 Ver Mapa</v>
      </c>
    </row>
    <row r="4205" spans="1:12" ht="43.5" x14ac:dyDescent="0.35">
      <c r="A4205" s="5" t="s">
        <v>321</v>
      </c>
      <c r="B4205" s="5" t="s">
        <v>322</v>
      </c>
      <c r="C4205" s="5" t="s">
        <v>883</v>
      </c>
      <c r="D4205" s="5" t="s">
        <v>69</v>
      </c>
      <c r="E4205" s="5" t="s">
        <v>324</v>
      </c>
      <c r="F4205" s="5" t="s">
        <v>325</v>
      </c>
      <c r="G4205" s="5" t="s">
        <v>326</v>
      </c>
      <c r="H4205" s="5" t="s">
        <v>327</v>
      </c>
      <c r="I4205" s="5" t="s">
        <v>31</v>
      </c>
      <c r="J4205" s="5">
        <v>16.332014000000001</v>
      </c>
      <c r="K4205" s="5">
        <v>-95.231966</v>
      </c>
      <c r="L4205" s="5" t="str">
        <f>HYPERLINK("https://maps.google.com/?q=16.332014,-95.231966", "🔗 Ver Mapa")</f>
        <v>🔗 Ver Mapa</v>
      </c>
    </row>
    <row r="4206" spans="1:12" ht="43.5" x14ac:dyDescent="0.35">
      <c r="A4206" s="6" t="s">
        <v>321</v>
      </c>
      <c r="B4206" s="6" t="s">
        <v>322</v>
      </c>
      <c r="C4206" s="6" t="s">
        <v>883</v>
      </c>
      <c r="D4206" s="6" t="s">
        <v>69</v>
      </c>
      <c r="E4206" s="6" t="s">
        <v>324</v>
      </c>
      <c r="F4206" s="6" t="s">
        <v>325</v>
      </c>
      <c r="G4206" s="6" t="s">
        <v>326</v>
      </c>
      <c r="H4206" s="6" t="s">
        <v>327</v>
      </c>
      <c r="I4206" s="6" t="s">
        <v>31</v>
      </c>
      <c r="J4206" s="6">
        <v>16.433347000000001</v>
      </c>
      <c r="K4206" s="6">
        <v>-95.021687</v>
      </c>
      <c r="L4206" s="6" t="str">
        <f>HYPERLINK("https://maps.google.com/?q=16.433347,-95.021687", "🔗 Ver Mapa")</f>
        <v>🔗 Ver Mapa</v>
      </c>
    </row>
    <row r="4207" spans="1:12" ht="43.5" x14ac:dyDescent="0.35">
      <c r="A4207" s="5" t="s">
        <v>321</v>
      </c>
      <c r="B4207" s="5" t="s">
        <v>322</v>
      </c>
      <c r="C4207" s="5" t="s">
        <v>883</v>
      </c>
      <c r="D4207" s="5" t="s">
        <v>69</v>
      </c>
      <c r="E4207" s="5" t="s">
        <v>324</v>
      </c>
      <c r="F4207" s="5" t="s">
        <v>325</v>
      </c>
      <c r="G4207" s="5" t="s">
        <v>326</v>
      </c>
      <c r="H4207" s="5" t="s">
        <v>327</v>
      </c>
      <c r="I4207" s="5" t="s">
        <v>31</v>
      </c>
      <c r="J4207" s="5">
        <v>16.500512000000001</v>
      </c>
      <c r="K4207" s="5">
        <v>-96.106790000000004</v>
      </c>
      <c r="L4207" s="5" t="str">
        <f>HYPERLINK("https://maps.google.com/?q=16.500512,-96.106790000000004", "🔗 Ver Mapa")</f>
        <v>🔗 Ver Mapa</v>
      </c>
    </row>
    <row r="4208" spans="1:12" ht="43.5" x14ac:dyDescent="0.35">
      <c r="A4208" s="6" t="s">
        <v>321</v>
      </c>
      <c r="B4208" s="6" t="s">
        <v>322</v>
      </c>
      <c r="C4208" s="6" t="s">
        <v>883</v>
      </c>
      <c r="D4208" s="6" t="s">
        <v>69</v>
      </c>
      <c r="E4208" s="6" t="s">
        <v>324</v>
      </c>
      <c r="F4208" s="6" t="s">
        <v>325</v>
      </c>
      <c r="G4208" s="6" t="s">
        <v>326</v>
      </c>
      <c r="H4208" s="6" t="s">
        <v>327</v>
      </c>
      <c r="I4208" s="6" t="s">
        <v>31</v>
      </c>
      <c r="J4208" s="6">
        <v>16.519807</v>
      </c>
      <c r="K4208" s="6">
        <v>-96.983885000000001</v>
      </c>
      <c r="L4208" s="6" t="str">
        <f>HYPERLINK("https://maps.google.com/?q=16.519807,-96.983885000000001", "🔗 Ver Mapa")</f>
        <v>🔗 Ver Mapa</v>
      </c>
    </row>
    <row r="4209" spans="1:12" ht="43.5" x14ac:dyDescent="0.35">
      <c r="A4209" s="5" t="s">
        <v>321</v>
      </c>
      <c r="B4209" s="5" t="s">
        <v>322</v>
      </c>
      <c r="C4209" s="5" t="s">
        <v>883</v>
      </c>
      <c r="D4209" s="5" t="s">
        <v>69</v>
      </c>
      <c r="E4209" s="5" t="s">
        <v>324</v>
      </c>
      <c r="F4209" s="5" t="s">
        <v>325</v>
      </c>
      <c r="G4209" s="5" t="s">
        <v>326</v>
      </c>
      <c r="H4209" s="5" t="s">
        <v>327</v>
      </c>
      <c r="I4209" s="5" t="s">
        <v>31</v>
      </c>
      <c r="J4209" s="5">
        <v>16.564243999999999</v>
      </c>
      <c r="K4209" s="5">
        <v>-96.731829000000005</v>
      </c>
      <c r="L4209" s="5" t="str">
        <f>HYPERLINK("https://maps.google.com/?q=16.564244,-96.731829000000005", "🔗 Ver Mapa")</f>
        <v>🔗 Ver Mapa</v>
      </c>
    </row>
    <row r="4210" spans="1:12" ht="43.5" x14ac:dyDescent="0.35">
      <c r="A4210" s="6" t="s">
        <v>321</v>
      </c>
      <c r="B4210" s="6" t="s">
        <v>322</v>
      </c>
      <c r="C4210" s="6" t="s">
        <v>883</v>
      </c>
      <c r="D4210" s="6" t="s">
        <v>69</v>
      </c>
      <c r="E4210" s="6" t="s">
        <v>324</v>
      </c>
      <c r="F4210" s="6" t="s">
        <v>325</v>
      </c>
      <c r="G4210" s="6" t="s">
        <v>326</v>
      </c>
      <c r="H4210" s="6" t="s">
        <v>327</v>
      </c>
      <c r="I4210" s="6" t="s">
        <v>31</v>
      </c>
      <c r="J4210" s="6">
        <v>16.791625</v>
      </c>
      <c r="K4210" s="6">
        <v>-96.674999</v>
      </c>
      <c r="L4210" s="6" t="str">
        <f>HYPERLINK("https://maps.google.com/?q=16.791625,-96.674999", "🔗 Ver Mapa")</f>
        <v>🔗 Ver Mapa</v>
      </c>
    </row>
    <row r="4211" spans="1:12" ht="43.5" x14ac:dyDescent="0.35">
      <c r="A4211" s="5" t="s">
        <v>321</v>
      </c>
      <c r="B4211" s="5" t="s">
        <v>322</v>
      </c>
      <c r="C4211" s="5" t="s">
        <v>883</v>
      </c>
      <c r="D4211" s="5" t="s">
        <v>69</v>
      </c>
      <c r="E4211" s="5" t="s">
        <v>324</v>
      </c>
      <c r="F4211" s="5" t="s">
        <v>325</v>
      </c>
      <c r="G4211" s="5" t="s">
        <v>326</v>
      </c>
      <c r="H4211" s="5" t="s">
        <v>327</v>
      </c>
      <c r="I4211" s="5" t="s">
        <v>31</v>
      </c>
      <c r="J4211" s="5">
        <v>16.955580000000001</v>
      </c>
      <c r="K4211" s="5">
        <v>-96.479206000000005</v>
      </c>
      <c r="L4211" s="5" t="str">
        <f>HYPERLINK("https://maps.google.com/?q=16.95558,-96.479206000000005", "🔗 Ver Mapa")</f>
        <v>🔗 Ver Mapa</v>
      </c>
    </row>
    <row r="4212" spans="1:12" ht="43.5" x14ac:dyDescent="0.35">
      <c r="A4212" s="6" t="s">
        <v>321</v>
      </c>
      <c r="B4212" s="6" t="s">
        <v>322</v>
      </c>
      <c r="C4212" s="6" t="s">
        <v>883</v>
      </c>
      <c r="D4212" s="6" t="s">
        <v>69</v>
      </c>
      <c r="E4212" s="6" t="s">
        <v>324</v>
      </c>
      <c r="F4212" s="6" t="s">
        <v>325</v>
      </c>
      <c r="G4212" s="6" t="s">
        <v>326</v>
      </c>
      <c r="H4212" s="6" t="s">
        <v>327</v>
      </c>
      <c r="I4212" s="6" t="s">
        <v>31</v>
      </c>
      <c r="J4212" s="6">
        <v>17.026216000000002</v>
      </c>
      <c r="K4212" s="6">
        <v>-97.928115000000005</v>
      </c>
      <c r="L4212" s="6" t="str">
        <f>HYPERLINK("https://maps.google.com/?q=17.026216,-97.928115000000005", "🔗 Ver Mapa")</f>
        <v>🔗 Ver Mapa</v>
      </c>
    </row>
    <row r="4213" spans="1:12" ht="43.5" x14ac:dyDescent="0.35">
      <c r="A4213" s="5" t="s">
        <v>321</v>
      </c>
      <c r="B4213" s="5" t="s">
        <v>322</v>
      </c>
      <c r="C4213" s="5" t="s">
        <v>883</v>
      </c>
      <c r="D4213" s="5" t="s">
        <v>69</v>
      </c>
      <c r="E4213" s="5" t="s">
        <v>324</v>
      </c>
      <c r="F4213" s="5" t="s">
        <v>325</v>
      </c>
      <c r="G4213" s="5" t="s">
        <v>326</v>
      </c>
      <c r="H4213" s="5" t="s">
        <v>327</v>
      </c>
      <c r="I4213" s="5" t="s">
        <v>31</v>
      </c>
      <c r="J4213" s="5">
        <v>17.027131000000001</v>
      </c>
      <c r="K4213" s="5">
        <v>-96.077044000000001</v>
      </c>
      <c r="L4213" s="5" t="str">
        <f>HYPERLINK("https://maps.google.com/?q=17.027131,-96.077044000000001", "🔗 Ver Mapa")</f>
        <v>🔗 Ver Mapa</v>
      </c>
    </row>
    <row r="4214" spans="1:12" ht="43.5" x14ac:dyDescent="0.35">
      <c r="A4214" s="6" t="s">
        <v>321</v>
      </c>
      <c r="B4214" s="6" t="s">
        <v>322</v>
      </c>
      <c r="C4214" s="6" t="s">
        <v>883</v>
      </c>
      <c r="D4214" s="6" t="s">
        <v>69</v>
      </c>
      <c r="E4214" s="6" t="s">
        <v>324</v>
      </c>
      <c r="F4214" s="6" t="s">
        <v>325</v>
      </c>
      <c r="G4214" s="6" t="s">
        <v>326</v>
      </c>
      <c r="H4214" s="6" t="s">
        <v>327</v>
      </c>
      <c r="I4214" s="6" t="s">
        <v>31</v>
      </c>
      <c r="J4214" s="6">
        <v>17.267448999999999</v>
      </c>
      <c r="K4214" s="6">
        <v>-97.680485000000004</v>
      </c>
      <c r="L4214" s="6" t="str">
        <f>HYPERLINK("https://maps.google.com/?q=17.267449,-97.680485000000004", "🔗 Ver Mapa")</f>
        <v>🔗 Ver Mapa</v>
      </c>
    </row>
    <row r="4215" spans="1:12" ht="43.5" x14ac:dyDescent="0.35">
      <c r="A4215" s="5" t="s">
        <v>321</v>
      </c>
      <c r="B4215" s="5" t="s">
        <v>322</v>
      </c>
      <c r="C4215" s="5" t="s">
        <v>883</v>
      </c>
      <c r="D4215" s="5" t="s">
        <v>69</v>
      </c>
      <c r="E4215" s="5" t="s">
        <v>324</v>
      </c>
      <c r="F4215" s="5" t="s">
        <v>325</v>
      </c>
      <c r="G4215" s="5" t="s">
        <v>326</v>
      </c>
      <c r="H4215" s="5" t="s">
        <v>327</v>
      </c>
      <c r="I4215" s="5" t="s">
        <v>31</v>
      </c>
      <c r="J4215" s="5">
        <v>17.331247999999999</v>
      </c>
      <c r="K4215" s="5">
        <v>-96.487900999999994</v>
      </c>
      <c r="L4215" s="5" t="str">
        <f>HYPERLINK("https://maps.google.com/?q=17.331248,-96.487900999999994", "🔗 Ver Mapa")</f>
        <v>🔗 Ver Mapa</v>
      </c>
    </row>
    <row r="4216" spans="1:12" ht="43.5" x14ac:dyDescent="0.35">
      <c r="A4216" s="6" t="s">
        <v>321</v>
      </c>
      <c r="B4216" s="6" t="s">
        <v>322</v>
      </c>
      <c r="C4216" s="6" t="s">
        <v>883</v>
      </c>
      <c r="D4216" s="6" t="s">
        <v>69</v>
      </c>
      <c r="E4216" s="6" t="s">
        <v>324</v>
      </c>
      <c r="F4216" s="6" t="s">
        <v>325</v>
      </c>
      <c r="G4216" s="6" t="s">
        <v>326</v>
      </c>
      <c r="H4216" s="6" t="s">
        <v>327</v>
      </c>
      <c r="I4216" s="6" t="s">
        <v>31</v>
      </c>
      <c r="J4216" s="6">
        <v>17.335315999999999</v>
      </c>
      <c r="K4216" s="6">
        <v>-98.012051</v>
      </c>
      <c r="L4216" s="6" t="str">
        <f>HYPERLINK("https://maps.google.com/?q=17.335316,-98.012051", "🔗 Ver Mapa")</f>
        <v>🔗 Ver Mapa</v>
      </c>
    </row>
    <row r="4217" spans="1:12" ht="43.5" x14ac:dyDescent="0.35">
      <c r="A4217" s="5" t="s">
        <v>321</v>
      </c>
      <c r="B4217" s="5" t="s">
        <v>322</v>
      </c>
      <c r="C4217" s="5" t="s">
        <v>883</v>
      </c>
      <c r="D4217" s="5" t="s">
        <v>69</v>
      </c>
      <c r="E4217" s="5" t="s">
        <v>324</v>
      </c>
      <c r="F4217" s="5" t="s">
        <v>325</v>
      </c>
      <c r="G4217" s="5" t="s">
        <v>326</v>
      </c>
      <c r="H4217" s="5" t="s">
        <v>327</v>
      </c>
      <c r="I4217" s="5" t="s">
        <v>31</v>
      </c>
      <c r="J4217" s="5">
        <v>17.361765999999999</v>
      </c>
      <c r="K4217" s="5">
        <v>-95.922253999999995</v>
      </c>
      <c r="L4217" s="5" t="str">
        <f>HYPERLINK("https://maps.google.com/?q=17.361766,-95.922253999999995", "🔗 Ver Mapa")</f>
        <v>🔗 Ver Mapa</v>
      </c>
    </row>
    <row r="4218" spans="1:12" ht="43.5" x14ac:dyDescent="0.35">
      <c r="A4218" s="6" t="s">
        <v>321</v>
      </c>
      <c r="B4218" s="6" t="s">
        <v>322</v>
      </c>
      <c r="C4218" s="6" t="s">
        <v>883</v>
      </c>
      <c r="D4218" s="6" t="s">
        <v>69</v>
      </c>
      <c r="E4218" s="6" t="s">
        <v>324</v>
      </c>
      <c r="F4218" s="6" t="s">
        <v>325</v>
      </c>
      <c r="G4218" s="6" t="s">
        <v>326</v>
      </c>
      <c r="H4218" s="6" t="s">
        <v>327</v>
      </c>
      <c r="I4218" s="6" t="s">
        <v>31</v>
      </c>
      <c r="J4218" s="6">
        <v>17.458341000000001</v>
      </c>
      <c r="K4218" s="6">
        <v>-97.225285</v>
      </c>
      <c r="L4218" s="6" t="str">
        <f>HYPERLINK("https://maps.google.com/?q=17.458341,-97.225285", "🔗 Ver Mapa")</f>
        <v>🔗 Ver Mapa</v>
      </c>
    </row>
    <row r="4219" spans="1:12" ht="43.5" x14ac:dyDescent="0.35">
      <c r="A4219" s="5" t="s">
        <v>321</v>
      </c>
      <c r="B4219" s="5" t="s">
        <v>322</v>
      </c>
      <c r="C4219" s="5" t="s">
        <v>883</v>
      </c>
      <c r="D4219" s="5" t="s">
        <v>69</v>
      </c>
      <c r="E4219" s="5" t="s">
        <v>324</v>
      </c>
      <c r="F4219" s="5" t="s">
        <v>325</v>
      </c>
      <c r="G4219" s="5" t="s">
        <v>326</v>
      </c>
      <c r="H4219" s="5" t="s">
        <v>327</v>
      </c>
      <c r="I4219" s="5" t="s">
        <v>31</v>
      </c>
      <c r="J4219" s="5">
        <v>17.501442000000001</v>
      </c>
      <c r="K4219" s="5">
        <v>-98.142583999999999</v>
      </c>
      <c r="L4219" s="5" t="str">
        <f>HYPERLINK("https://maps.google.com/?q=17.501442,-98.142583999999999", "🔗 Ver Mapa")</f>
        <v>🔗 Ver Mapa</v>
      </c>
    </row>
    <row r="4220" spans="1:12" ht="43.5" x14ac:dyDescent="0.35">
      <c r="A4220" s="6" t="s">
        <v>321</v>
      </c>
      <c r="B4220" s="6" t="s">
        <v>322</v>
      </c>
      <c r="C4220" s="6" t="s">
        <v>883</v>
      </c>
      <c r="D4220" s="6" t="s">
        <v>69</v>
      </c>
      <c r="E4220" s="6" t="s">
        <v>324</v>
      </c>
      <c r="F4220" s="6" t="s">
        <v>325</v>
      </c>
      <c r="G4220" s="6" t="s">
        <v>326</v>
      </c>
      <c r="H4220" s="6" t="s">
        <v>327</v>
      </c>
      <c r="I4220" s="6" t="s">
        <v>31</v>
      </c>
      <c r="J4220" s="6">
        <v>17.511838000000001</v>
      </c>
      <c r="K4220" s="6">
        <v>-97.488547999999994</v>
      </c>
      <c r="L4220" s="6" t="str">
        <f>HYPERLINK("https://maps.google.com/?q=17.511838,-97.488547999999994", "🔗 Ver Mapa")</f>
        <v>🔗 Ver Mapa</v>
      </c>
    </row>
    <row r="4221" spans="1:12" ht="43.5" x14ac:dyDescent="0.35">
      <c r="A4221" s="5" t="s">
        <v>321</v>
      </c>
      <c r="B4221" s="5" t="s">
        <v>322</v>
      </c>
      <c r="C4221" s="5" t="s">
        <v>883</v>
      </c>
      <c r="D4221" s="5" t="s">
        <v>69</v>
      </c>
      <c r="E4221" s="5" t="s">
        <v>324</v>
      </c>
      <c r="F4221" s="5" t="s">
        <v>325</v>
      </c>
      <c r="G4221" s="5" t="s">
        <v>326</v>
      </c>
      <c r="H4221" s="5" t="s">
        <v>327</v>
      </c>
      <c r="I4221" s="5" t="s">
        <v>31</v>
      </c>
      <c r="J4221" s="5">
        <v>17.724615</v>
      </c>
      <c r="K4221" s="5">
        <v>-97.323898</v>
      </c>
      <c r="L4221" s="5" t="str">
        <f>HYPERLINK("https://maps.google.com/?q=17.724615,-97.323898", "🔗 Ver Mapa")</f>
        <v>🔗 Ver Mapa</v>
      </c>
    </row>
    <row r="4222" spans="1:12" ht="43.5" x14ac:dyDescent="0.35">
      <c r="A4222" s="6" t="s">
        <v>321</v>
      </c>
      <c r="B4222" s="6" t="s">
        <v>322</v>
      </c>
      <c r="C4222" s="6" t="s">
        <v>883</v>
      </c>
      <c r="D4222" s="6" t="s">
        <v>69</v>
      </c>
      <c r="E4222" s="6" t="s">
        <v>324</v>
      </c>
      <c r="F4222" s="6" t="s">
        <v>325</v>
      </c>
      <c r="G4222" s="6" t="s">
        <v>326</v>
      </c>
      <c r="H4222" s="6" t="s">
        <v>327</v>
      </c>
      <c r="I4222" s="6" t="s">
        <v>31</v>
      </c>
      <c r="J4222" s="6">
        <v>17.801687000000001</v>
      </c>
      <c r="K4222" s="6">
        <v>-96.959688</v>
      </c>
      <c r="L4222" s="6" t="str">
        <f>HYPERLINK("https://maps.google.com/?q=17.801687,-96.959688", "🔗 Ver Mapa")</f>
        <v>🔗 Ver Mapa</v>
      </c>
    </row>
    <row r="4223" spans="1:12" ht="43.5" x14ac:dyDescent="0.35">
      <c r="A4223" s="5" t="s">
        <v>321</v>
      </c>
      <c r="B4223" s="5" t="s">
        <v>322</v>
      </c>
      <c r="C4223" s="5" t="s">
        <v>883</v>
      </c>
      <c r="D4223" s="5" t="s">
        <v>69</v>
      </c>
      <c r="E4223" s="5" t="s">
        <v>324</v>
      </c>
      <c r="F4223" s="5" t="s">
        <v>325</v>
      </c>
      <c r="G4223" s="5" t="s">
        <v>326</v>
      </c>
      <c r="H4223" s="5" t="s">
        <v>327</v>
      </c>
      <c r="I4223" s="5" t="s">
        <v>31</v>
      </c>
      <c r="J4223" s="5">
        <v>17.806621</v>
      </c>
      <c r="K4223" s="5">
        <v>-97.776161999999999</v>
      </c>
      <c r="L4223" s="5" t="str">
        <f>HYPERLINK("https://maps.google.com/?q=17.806621,-97.776161999999999", "🔗 Ver Mapa")</f>
        <v>🔗 Ver Mapa</v>
      </c>
    </row>
    <row r="4224" spans="1:12" ht="43.5" x14ac:dyDescent="0.35">
      <c r="A4224" s="6" t="s">
        <v>321</v>
      </c>
      <c r="B4224" s="6" t="s">
        <v>322</v>
      </c>
      <c r="C4224" s="6" t="s">
        <v>883</v>
      </c>
      <c r="D4224" s="6" t="s">
        <v>69</v>
      </c>
      <c r="E4224" s="6" t="s">
        <v>324</v>
      </c>
      <c r="F4224" s="6" t="s">
        <v>325</v>
      </c>
      <c r="G4224" s="6" t="s">
        <v>326</v>
      </c>
      <c r="H4224" s="6" t="s">
        <v>327</v>
      </c>
      <c r="I4224" s="6" t="s">
        <v>31</v>
      </c>
      <c r="J4224" s="6">
        <v>18.081168999999999</v>
      </c>
      <c r="K4224" s="6">
        <v>-96.118475000000004</v>
      </c>
      <c r="L4224" s="6" t="str">
        <f>HYPERLINK("https://maps.google.com/?q=18.081169,-96.118475000000004", "🔗 Ver Mapa")</f>
        <v>🔗 Ver Mapa</v>
      </c>
    </row>
    <row r="4225" spans="1:12" ht="43.5" x14ac:dyDescent="0.35">
      <c r="A4225" s="5" t="s">
        <v>321</v>
      </c>
      <c r="B4225" s="5" t="s">
        <v>322</v>
      </c>
      <c r="C4225" s="5" t="s">
        <v>883</v>
      </c>
      <c r="D4225" s="5" t="s">
        <v>69</v>
      </c>
      <c r="E4225" s="5" t="s">
        <v>324</v>
      </c>
      <c r="F4225" s="5" t="s">
        <v>325</v>
      </c>
      <c r="G4225" s="5" t="s">
        <v>326</v>
      </c>
      <c r="H4225" s="5" t="s">
        <v>327</v>
      </c>
      <c r="I4225" s="5" t="s">
        <v>31</v>
      </c>
      <c r="J4225" s="5">
        <v>18.13222</v>
      </c>
      <c r="K4225" s="5">
        <v>-97.070751000000001</v>
      </c>
      <c r="L4225" s="5" t="str">
        <f>HYPERLINK("https://maps.google.com/?q=18.13222,-97.070751000000001", "🔗 Ver Mapa")</f>
        <v>🔗 Ver Mapa</v>
      </c>
    </row>
    <row r="4226" spans="1:12" ht="43.5" x14ac:dyDescent="0.35">
      <c r="A4226" s="6" t="s">
        <v>782</v>
      </c>
      <c r="B4226" s="6" t="s">
        <v>783</v>
      </c>
      <c r="C4226" s="6" t="s">
        <v>884</v>
      </c>
      <c r="D4226" s="6" t="s">
        <v>785</v>
      </c>
      <c r="E4226" s="6" t="s">
        <v>52</v>
      </c>
      <c r="F4226" s="6" t="s">
        <v>70</v>
      </c>
      <c r="G4226" s="6" t="s">
        <v>123</v>
      </c>
      <c r="H4226" s="6" t="s">
        <v>307</v>
      </c>
      <c r="I4226" s="6" t="s">
        <v>31</v>
      </c>
      <c r="J4226" s="6">
        <v>17.048248254105999</v>
      </c>
      <c r="K4226" s="6">
        <v>-96.720890704289005</v>
      </c>
      <c r="L4226" s="6" t="str">
        <f>HYPERLINK("https://maps.google.com/?q=17.048248254105737,-96.72089070428943", "🔗 Ver Mapa")</f>
        <v>🔗 Ver Mapa</v>
      </c>
    </row>
    <row r="4227" spans="1:12" ht="43.5" x14ac:dyDescent="0.35">
      <c r="A4227" s="5" t="s">
        <v>782</v>
      </c>
      <c r="B4227" s="5" t="s">
        <v>783</v>
      </c>
      <c r="C4227" s="5" t="s">
        <v>885</v>
      </c>
      <c r="D4227" s="5" t="s">
        <v>785</v>
      </c>
      <c r="E4227" s="5" t="s">
        <v>158</v>
      </c>
      <c r="F4227" s="5" t="s">
        <v>159</v>
      </c>
      <c r="G4227" s="5" t="s">
        <v>278</v>
      </c>
      <c r="H4227" s="5" t="s">
        <v>279</v>
      </c>
      <c r="I4227" s="5" t="s">
        <v>31</v>
      </c>
      <c r="J4227" s="5">
        <v>16.43374</v>
      </c>
      <c r="K4227" s="5">
        <v>-95.018045999999998</v>
      </c>
      <c r="L4227" s="5" t="str">
        <f>HYPERLINK("https://maps.google.com/?q=16.43374,-95.018046", "🔗 Ver Mapa")</f>
        <v>🔗 Ver Mapa</v>
      </c>
    </row>
    <row r="4228" spans="1:12" ht="43.5" x14ac:dyDescent="0.35">
      <c r="A4228" s="6" t="s">
        <v>782</v>
      </c>
      <c r="B4228" s="6" t="s">
        <v>783</v>
      </c>
      <c r="C4228" s="6" t="s">
        <v>886</v>
      </c>
      <c r="D4228" s="6" t="s">
        <v>785</v>
      </c>
      <c r="E4228" s="6" t="s">
        <v>140</v>
      </c>
      <c r="F4228" s="6" t="s">
        <v>141</v>
      </c>
      <c r="G4228" s="6" t="s">
        <v>187</v>
      </c>
      <c r="H4228" s="6" t="s">
        <v>188</v>
      </c>
      <c r="I4228" s="6" t="s">
        <v>31</v>
      </c>
      <c r="J4228" s="6">
        <v>18.084669930781001</v>
      </c>
      <c r="K4228" s="6">
        <v>-96.118682722599999</v>
      </c>
      <c r="L4228" s="6" t="str">
        <f>HYPERLINK("https://maps.google.com/?q=18.084669930780763,-96.11868272259974", "🔗 Ver Mapa")</f>
        <v>🔗 Ver Mapa</v>
      </c>
    </row>
    <row r="4229" spans="1:12" ht="43.5" x14ac:dyDescent="0.35">
      <c r="A4229" s="5" t="s">
        <v>782</v>
      </c>
      <c r="B4229" s="5" t="s">
        <v>783</v>
      </c>
      <c r="C4229" s="5" t="s">
        <v>887</v>
      </c>
      <c r="D4229" s="5" t="s">
        <v>785</v>
      </c>
      <c r="E4229" s="5" t="s">
        <v>17</v>
      </c>
      <c r="F4229" s="5" t="s">
        <v>46</v>
      </c>
      <c r="G4229" s="5" t="s">
        <v>241</v>
      </c>
      <c r="H4229" s="5" t="s">
        <v>799</v>
      </c>
      <c r="I4229" s="5" t="s">
        <v>31</v>
      </c>
      <c r="J4229" s="5">
        <v>15.867338</v>
      </c>
      <c r="K4229" s="5">
        <v>-97.076071999999996</v>
      </c>
      <c r="L4229" s="5" t="str">
        <f>HYPERLINK("https://maps.google.com/?q=15.867338,-97.076072", "🔗 Ver Mapa")</f>
        <v>🔗 Ver Mapa</v>
      </c>
    </row>
    <row r="4230" spans="1:12" ht="43.5" x14ac:dyDescent="0.35">
      <c r="A4230" s="6" t="s">
        <v>782</v>
      </c>
      <c r="B4230" s="6" t="s">
        <v>783</v>
      </c>
      <c r="C4230" s="6" t="s">
        <v>888</v>
      </c>
      <c r="D4230" s="6" t="s">
        <v>785</v>
      </c>
      <c r="E4230" s="6" t="s">
        <v>16</v>
      </c>
      <c r="F4230" s="6" t="s">
        <v>145</v>
      </c>
      <c r="G4230" s="6" t="s">
        <v>146</v>
      </c>
      <c r="H4230" s="6" t="s">
        <v>385</v>
      </c>
      <c r="I4230" s="6" t="s">
        <v>31</v>
      </c>
      <c r="J4230" s="6">
        <v>17.817592000000001</v>
      </c>
      <c r="K4230" s="6">
        <v>-97.789133000000007</v>
      </c>
      <c r="L4230" s="6" t="str">
        <f>HYPERLINK("https://maps.google.com/?q=17.817592,-97.789133", "🔗 Ver Mapa")</f>
        <v>🔗 Ver Mapa</v>
      </c>
    </row>
    <row r="4231" spans="1:12" ht="43.5" x14ac:dyDescent="0.35">
      <c r="A4231" s="5" t="s">
        <v>782</v>
      </c>
      <c r="B4231" s="5" t="s">
        <v>783</v>
      </c>
      <c r="C4231" s="5" t="s">
        <v>889</v>
      </c>
      <c r="D4231" s="5" t="s">
        <v>785</v>
      </c>
      <c r="E4231" s="5" t="s">
        <v>52</v>
      </c>
      <c r="F4231" s="5" t="s">
        <v>53</v>
      </c>
      <c r="G4231" s="5" t="s">
        <v>252</v>
      </c>
      <c r="H4231" s="5" t="s">
        <v>253</v>
      </c>
      <c r="I4231" s="5" t="s">
        <v>31</v>
      </c>
      <c r="J4231" s="5">
        <v>16.955844493449</v>
      </c>
      <c r="K4231" s="5">
        <v>-96.479453648852996</v>
      </c>
      <c r="L4231" s="5" t="str">
        <f>HYPERLINK("https://maps.google.com/?q=16.955844493449096,-96.47945364885257", "🔗 Ver Mapa")</f>
        <v>🔗 Ver Mapa</v>
      </c>
    </row>
    <row r="4232" spans="1:12" ht="43.5" x14ac:dyDescent="0.35">
      <c r="A4232" s="6" t="s">
        <v>782</v>
      </c>
      <c r="B4232" s="6" t="s">
        <v>783</v>
      </c>
      <c r="C4232" s="6" t="s">
        <v>890</v>
      </c>
      <c r="D4232" s="6" t="s">
        <v>785</v>
      </c>
      <c r="E4232" s="6" t="s">
        <v>158</v>
      </c>
      <c r="F4232" s="6" t="s">
        <v>159</v>
      </c>
      <c r="G4232" s="6" t="s">
        <v>278</v>
      </c>
      <c r="H4232" s="6" t="s">
        <v>279</v>
      </c>
      <c r="I4232" s="6" t="s">
        <v>31</v>
      </c>
      <c r="J4232" s="6">
        <v>16.430228515048999</v>
      </c>
      <c r="K4232" s="6">
        <v>-95.015469014714995</v>
      </c>
      <c r="L4232" s="6" t="str">
        <f>HYPERLINK("https://maps.google.com/?q=16.430228515048803,-95.01546901471521", "🔗 Ver Mapa")</f>
        <v>🔗 Ver Mapa</v>
      </c>
    </row>
    <row r="4233" spans="1:12" ht="29" x14ac:dyDescent="0.35">
      <c r="A4233" s="5" t="s">
        <v>782</v>
      </c>
      <c r="B4233" s="5" t="s">
        <v>783</v>
      </c>
      <c r="C4233" s="5" t="s">
        <v>891</v>
      </c>
      <c r="D4233" s="5" t="s">
        <v>785</v>
      </c>
      <c r="E4233" s="5" t="s">
        <v>16</v>
      </c>
      <c r="F4233" s="5" t="s">
        <v>145</v>
      </c>
      <c r="G4233" s="5" t="s">
        <v>146</v>
      </c>
      <c r="H4233" s="5" t="s">
        <v>385</v>
      </c>
      <c r="I4233" s="5" t="s">
        <v>31</v>
      </c>
      <c r="J4233" s="5">
        <v>17.811788057613001</v>
      </c>
      <c r="K4233" s="5">
        <v>-97.772701912898</v>
      </c>
      <c r="L4233" s="5" t="str">
        <f>HYPERLINK("https://maps.google.com/?q=17.811788057613057,-97.7727019128975", "🔗 Ver Mapa")</f>
        <v>🔗 Ver Mapa</v>
      </c>
    </row>
    <row r="4234" spans="1:12" ht="29" x14ac:dyDescent="0.35">
      <c r="A4234" s="6" t="s">
        <v>782</v>
      </c>
      <c r="B4234" s="6" t="s">
        <v>783</v>
      </c>
      <c r="C4234" s="6" t="s">
        <v>892</v>
      </c>
      <c r="D4234" s="6" t="s">
        <v>785</v>
      </c>
      <c r="E4234" s="6" t="s">
        <v>52</v>
      </c>
      <c r="F4234" s="6" t="s">
        <v>70</v>
      </c>
      <c r="G4234" s="6" t="s">
        <v>71</v>
      </c>
      <c r="H4234" s="6" t="s">
        <v>72</v>
      </c>
      <c r="I4234" s="6" t="s">
        <v>31</v>
      </c>
      <c r="J4234" s="6">
        <v>17.074545141095999</v>
      </c>
      <c r="K4234" s="6">
        <v>-96.726088245680003</v>
      </c>
      <c r="L4234" s="6" t="str">
        <f>HYPERLINK("https://maps.google.com/?q=17.07454514109642,-96.72608824567996", "🔗 Ver Mapa")</f>
        <v>🔗 Ver Mapa</v>
      </c>
    </row>
    <row r="4235" spans="1:12" ht="72.5" x14ac:dyDescent="0.35">
      <c r="A4235" s="5" t="s">
        <v>674</v>
      </c>
      <c r="B4235" s="5" t="s">
        <v>675</v>
      </c>
      <c r="C4235" s="5" t="s">
        <v>893</v>
      </c>
      <c r="D4235" s="5" t="s">
        <v>677</v>
      </c>
      <c r="E4235" s="5" t="s">
        <v>110</v>
      </c>
      <c r="F4235" s="5" t="s">
        <v>126</v>
      </c>
      <c r="G4235" s="5" t="s">
        <v>894</v>
      </c>
      <c r="H4235" s="5" t="s">
        <v>895</v>
      </c>
      <c r="I4235" s="5" t="s">
        <v>31</v>
      </c>
      <c r="J4235" s="5">
        <v>17.990044000000001</v>
      </c>
      <c r="K4235" s="5">
        <v>-96.739126999999996</v>
      </c>
      <c r="L4235" s="5" t="str">
        <f>HYPERLINK("https://maps.google.com/?q=17.990044,-96.739127", "🔗 Ver Mapa")</f>
        <v>🔗 Ver Mapa</v>
      </c>
    </row>
    <row r="4236" spans="1:12" ht="72.5" x14ac:dyDescent="0.35">
      <c r="A4236" s="6" t="s">
        <v>674</v>
      </c>
      <c r="B4236" s="6" t="s">
        <v>675</v>
      </c>
      <c r="C4236" s="6" t="s">
        <v>893</v>
      </c>
      <c r="D4236" s="6" t="s">
        <v>677</v>
      </c>
      <c r="E4236" s="6" t="s">
        <v>110</v>
      </c>
      <c r="F4236" s="6" t="s">
        <v>126</v>
      </c>
      <c r="G4236" s="6" t="s">
        <v>894</v>
      </c>
      <c r="H4236" s="6" t="s">
        <v>895</v>
      </c>
      <c r="I4236" s="6" t="s">
        <v>31</v>
      </c>
      <c r="J4236" s="6">
        <v>17.991087</v>
      </c>
      <c r="K4236" s="6">
        <v>-96.742456000000004</v>
      </c>
      <c r="L4236" s="6" t="str">
        <f>HYPERLINK("https://maps.google.com/?q=17.991087,-96.742456", "🔗 Ver Mapa")</f>
        <v>🔗 Ver Mapa</v>
      </c>
    </row>
    <row r="4237" spans="1:12" ht="72.5" x14ac:dyDescent="0.35">
      <c r="A4237" s="5" t="s">
        <v>674</v>
      </c>
      <c r="B4237" s="5" t="s">
        <v>675</v>
      </c>
      <c r="C4237" s="5" t="s">
        <v>893</v>
      </c>
      <c r="D4237" s="5" t="s">
        <v>677</v>
      </c>
      <c r="E4237" s="5" t="s">
        <v>110</v>
      </c>
      <c r="F4237" s="5" t="s">
        <v>126</v>
      </c>
      <c r="G4237" s="5" t="s">
        <v>894</v>
      </c>
      <c r="H4237" s="5" t="s">
        <v>895</v>
      </c>
      <c r="I4237" s="5" t="s">
        <v>31</v>
      </c>
      <c r="J4237" s="5">
        <v>17.991796000000001</v>
      </c>
      <c r="K4237" s="5">
        <v>-96.741061999999999</v>
      </c>
      <c r="L4237" s="5" t="str">
        <f>HYPERLINK("https://maps.google.com/?q=17.991796,-96.741062", "🔗 Ver Mapa")</f>
        <v>🔗 Ver Mapa</v>
      </c>
    </row>
    <row r="4238" spans="1:12" ht="43.5" x14ac:dyDescent="0.35">
      <c r="A4238" s="6" t="s">
        <v>98</v>
      </c>
      <c r="B4238" s="6" t="s">
        <v>99</v>
      </c>
      <c r="C4238" s="6" t="s">
        <v>896</v>
      </c>
      <c r="D4238" s="6" t="s">
        <v>14</v>
      </c>
      <c r="E4238" s="6" t="s">
        <v>17</v>
      </c>
      <c r="F4238" s="6" t="s">
        <v>20</v>
      </c>
      <c r="G4238" s="6" t="s">
        <v>436</v>
      </c>
      <c r="H4238" s="6" t="s">
        <v>897</v>
      </c>
      <c r="I4238" s="6" t="s">
        <v>31</v>
      </c>
      <c r="J4238" s="6">
        <v>15.93679404689</v>
      </c>
      <c r="K4238" s="6">
        <v>-96.473181365688006</v>
      </c>
      <c r="L4238" s="6" t="str">
        <f>HYPERLINK("https://maps.google.com/?q=15.9367940468901,-96.473181365688205", "🔗 Ver Mapa")</f>
        <v>🔗 Ver Mapa</v>
      </c>
    </row>
    <row r="4239" spans="1:12" ht="43.5" x14ac:dyDescent="0.35">
      <c r="A4239" s="5" t="s">
        <v>98</v>
      </c>
      <c r="B4239" s="5" t="s">
        <v>99</v>
      </c>
      <c r="C4239" s="5" t="s">
        <v>896</v>
      </c>
      <c r="D4239" s="5" t="s">
        <v>14</v>
      </c>
      <c r="E4239" s="5" t="s">
        <v>17</v>
      </c>
      <c r="F4239" s="5" t="s">
        <v>20</v>
      </c>
      <c r="G4239" s="5" t="s">
        <v>436</v>
      </c>
      <c r="H4239" s="5" t="s">
        <v>897</v>
      </c>
      <c r="I4239" s="5" t="s">
        <v>31</v>
      </c>
      <c r="J4239" s="5">
        <v>15.936954</v>
      </c>
      <c r="K4239" s="5">
        <v>-96.472807000000003</v>
      </c>
      <c r="L4239" s="5" t="str">
        <f>HYPERLINK("https://maps.google.com/?q=15.936954,-96.472807000000003", "🔗 Ver Mapa")</f>
        <v>🔗 Ver Mapa</v>
      </c>
    </row>
    <row r="4240" spans="1:12" ht="43.5" x14ac:dyDescent="0.35">
      <c r="A4240" s="6" t="s">
        <v>98</v>
      </c>
      <c r="B4240" s="6" t="s">
        <v>99</v>
      </c>
      <c r="C4240" s="6" t="s">
        <v>896</v>
      </c>
      <c r="D4240" s="6" t="s">
        <v>14</v>
      </c>
      <c r="E4240" s="6" t="s">
        <v>17</v>
      </c>
      <c r="F4240" s="6" t="s">
        <v>20</v>
      </c>
      <c r="G4240" s="6" t="s">
        <v>436</v>
      </c>
      <c r="H4240" s="6" t="s">
        <v>897</v>
      </c>
      <c r="I4240" s="6" t="s">
        <v>31</v>
      </c>
      <c r="J4240" s="6">
        <v>15.937024217756999</v>
      </c>
      <c r="K4240" s="6">
        <v>-96.472645928885996</v>
      </c>
      <c r="L4240" s="6" t="str">
        <f>HYPERLINK("https://maps.google.com/?q=15.9370242177568,-96.472645928886493", "🔗 Ver Mapa")</f>
        <v>🔗 Ver Mapa</v>
      </c>
    </row>
    <row r="4241" spans="1:12" ht="43.5" x14ac:dyDescent="0.35">
      <c r="A4241" s="5" t="s">
        <v>98</v>
      </c>
      <c r="B4241" s="5" t="s">
        <v>99</v>
      </c>
      <c r="C4241" s="5" t="s">
        <v>896</v>
      </c>
      <c r="D4241" s="5" t="s">
        <v>14</v>
      </c>
      <c r="E4241" s="5" t="s">
        <v>17</v>
      </c>
      <c r="F4241" s="5" t="s">
        <v>20</v>
      </c>
      <c r="G4241" s="5" t="s">
        <v>436</v>
      </c>
      <c r="H4241" s="5" t="s">
        <v>897</v>
      </c>
      <c r="I4241" s="5" t="s">
        <v>31</v>
      </c>
      <c r="J4241" s="5">
        <v>15.937647999999999</v>
      </c>
      <c r="K4241" s="5">
        <v>-96.471560999999994</v>
      </c>
      <c r="L4241" s="5" t="str">
        <f>HYPERLINK("https://maps.google.com/?q=15.937648,-96.471560999999994", "🔗 Ver Mapa")</f>
        <v>🔗 Ver Mapa</v>
      </c>
    </row>
    <row r="4242" spans="1:12" ht="58" x14ac:dyDescent="0.35">
      <c r="A4242" s="6" t="s">
        <v>98</v>
      </c>
      <c r="B4242" s="6" t="s">
        <v>99</v>
      </c>
      <c r="C4242" s="6" t="s">
        <v>898</v>
      </c>
      <c r="D4242" s="6" t="s">
        <v>14</v>
      </c>
      <c r="E4242" s="6" t="s">
        <v>52</v>
      </c>
      <c r="F4242" s="6" t="s">
        <v>421</v>
      </c>
      <c r="G4242" s="6" t="s">
        <v>422</v>
      </c>
      <c r="H4242" s="6" t="s">
        <v>425</v>
      </c>
      <c r="I4242" s="6" t="s">
        <v>31</v>
      </c>
      <c r="J4242" s="6">
        <v>16.566664284098</v>
      </c>
      <c r="K4242" s="6">
        <v>-96.703275495701007</v>
      </c>
      <c r="L4242" s="6" t="str">
        <f>HYPERLINK("https://maps.google.com/?q=16.5666642840983,-96.703275495700794", "🔗 Ver Mapa")</f>
        <v>🔗 Ver Mapa</v>
      </c>
    </row>
    <row r="4243" spans="1:12" ht="58" x14ac:dyDescent="0.35">
      <c r="A4243" s="5" t="s">
        <v>98</v>
      </c>
      <c r="B4243" s="5" t="s">
        <v>99</v>
      </c>
      <c r="C4243" s="5" t="s">
        <v>898</v>
      </c>
      <c r="D4243" s="5" t="s">
        <v>14</v>
      </c>
      <c r="E4243" s="5" t="s">
        <v>52</v>
      </c>
      <c r="F4243" s="5" t="s">
        <v>421</v>
      </c>
      <c r="G4243" s="5" t="s">
        <v>422</v>
      </c>
      <c r="H4243" s="5" t="s">
        <v>425</v>
      </c>
      <c r="I4243" s="5" t="s">
        <v>31</v>
      </c>
      <c r="J4243" s="5">
        <v>16.567527312109</v>
      </c>
      <c r="K4243" s="5">
        <v>-96.699065291015003</v>
      </c>
      <c r="L4243" s="5" t="str">
        <f>HYPERLINK("https://maps.google.com/?q=16.5675273121086,-96.699065291015202", "🔗 Ver Mapa")</f>
        <v>🔗 Ver Mapa</v>
      </c>
    </row>
    <row r="4244" spans="1:12" ht="58" x14ac:dyDescent="0.35">
      <c r="A4244" s="6" t="s">
        <v>98</v>
      </c>
      <c r="B4244" s="6" t="s">
        <v>99</v>
      </c>
      <c r="C4244" s="6" t="s">
        <v>898</v>
      </c>
      <c r="D4244" s="6" t="s">
        <v>14</v>
      </c>
      <c r="E4244" s="6" t="s">
        <v>52</v>
      </c>
      <c r="F4244" s="6" t="s">
        <v>421</v>
      </c>
      <c r="G4244" s="6" t="s">
        <v>422</v>
      </c>
      <c r="H4244" s="6" t="s">
        <v>425</v>
      </c>
      <c r="I4244" s="6" t="s">
        <v>31</v>
      </c>
      <c r="J4244" s="6">
        <v>16.569804999999999</v>
      </c>
      <c r="K4244" s="6">
        <v>-96.701238000000004</v>
      </c>
      <c r="L4244" s="6" t="str">
        <f>HYPERLINK("https://maps.google.com/?q=16.569805,-96.701238000000004", "🔗 Ver Mapa")</f>
        <v>🔗 Ver Mapa</v>
      </c>
    </row>
    <row r="4245" spans="1:12" ht="58" x14ac:dyDescent="0.35">
      <c r="A4245" s="5" t="s">
        <v>98</v>
      </c>
      <c r="B4245" s="5" t="s">
        <v>99</v>
      </c>
      <c r="C4245" s="5" t="s">
        <v>898</v>
      </c>
      <c r="D4245" s="5" t="s">
        <v>14</v>
      </c>
      <c r="E4245" s="5" t="s">
        <v>52</v>
      </c>
      <c r="F4245" s="5" t="s">
        <v>421</v>
      </c>
      <c r="G4245" s="5" t="s">
        <v>422</v>
      </c>
      <c r="H4245" s="5" t="s">
        <v>425</v>
      </c>
      <c r="I4245" s="5" t="s">
        <v>31</v>
      </c>
      <c r="J4245" s="5">
        <v>16.570316991917998</v>
      </c>
      <c r="K4245" s="5">
        <v>-96.697248550926005</v>
      </c>
      <c r="L4245" s="5" t="str">
        <f>HYPERLINK("https://maps.google.com/?q=16.5703169919183,-96.697248550926204", "🔗 Ver Mapa")</f>
        <v>🔗 Ver Mapa</v>
      </c>
    </row>
    <row r="4246" spans="1:12" ht="58" x14ac:dyDescent="0.35">
      <c r="A4246" s="6" t="s">
        <v>98</v>
      </c>
      <c r="B4246" s="6" t="s">
        <v>99</v>
      </c>
      <c r="C4246" s="6" t="s">
        <v>898</v>
      </c>
      <c r="D4246" s="6" t="s">
        <v>14</v>
      </c>
      <c r="E4246" s="6" t="s">
        <v>52</v>
      </c>
      <c r="F4246" s="6" t="s">
        <v>421</v>
      </c>
      <c r="G4246" s="6" t="s">
        <v>422</v>
      </c>
      <c r="H4246" s="6" t="s">
        <v>425</v>
      </c>
      <c r="I4246" s="6" t="s">
        <v>31</v>
      </c>
      <c r="J4246" s="6">
        <v>16.570436000000001</v>
      </c>
      <c r="K4246" s="6">
        <v>-96.697447999999994</v>
      </c>
      <c r="L4246" s="6" t="str">
        <f>HYPERLINK("https://maps.google.com/?q=16.570436,-96.697447999999994", "🔗 Ver Mapa")</f>
        <v>🔗 Ver Mapa</v>
      </c>
    </row>
    <row r="4247" spans="1:12" ht="43.5" x14ac:dyDescent="0.35">
      <c r="A4247" s="5" t="s">
        <v>98</v>
      </c>
      <c r="B4247" s="5" t="s">
        <v>99</v>
      </c>
      <c r="C4247" s="5" t="s">
        <v>899</v>
      </c>
      <c r="D4247" s="5" t="s">
        <v>14</v>
      </c>
      <c r="E4247" s="5" t="s">
        <v>17</v>
      </c>
      <c r="F4247" s="5" t="s">
        <v>20</v>
      </c>
      <c r="G4247" s="5" t="s">
        <v>77</v>
      </c>
      <c r="H4247" s="5" t="s">
        <v>900</v>
      </c>
      <c r="I4247" s="5" t="s">
        <v>31</v>
      </c>
      <c r="J4247" s="5">
        <v>16.064655163040001</v>
      </c>
      <c r="K4247" s="5">
        <v>-96.613769073409003</v>
      </c>
      <c r="L4247" s="5" t="str">
        <f>HYPERLINK("https://maps.google.com/?q=16.06465516304,-96.613769073408704", "🔗 Ver Mapa")</f>
        <v>🔗 Ver Mapa</v>
      </c>
    </row>
    <row r="4248" spans="1:12" ht="43.5" x14ac:dyDescent="0.35">
      <c r="A4248" s="6" t="s">
        <v>98</v>
      </c>
      <c r="B4248" s="6" t="s">
        <v>99</v>
      </c>
      <c r="C4248" s="6" t="s">
        <v>899</v>
      </c>
      <c r="D4248" s="6" t="s">
        <v>14</v>
      </c>
      <c r="E4248" s="6" t="s">
        <v>17</v>
      </c>
      <c r="F4248" s="6" t="s">
        <v>20</v>
      </c>
      <c r="G4248" s="6" t="s">
        <v>77</v>
      </c>
      <c r="H4248" s="6" t="s">
        <v>900</v>
      </c>
      <c r="I4248" s="6" t="s">
        <v>31</v>
      </c>
      <c r="J4248" s="6">
        <v>16.067415267638999</v>
      </c>
      <c r="K4248" s="6">
        <v>-96.616064094229998</v>
      </c>
      <c r="L4248" s="6" t="str">
        <f>HYPERLINK("https://maps.google.com/?q=16.0674152676386,-96.616064094230197", "🔗 Ver Mapa")</f>
        <v>🔗 Ver Mapa</v>
      </c>
    </row>
    <row r="4249" spans="1:12" ht="43.5" x14ac:dyDescent="0.35">
      <c r="A4249" s="5" t="s">
        <v>98</v>
      </c>
      <c r="B4249" s="5" t="s">
        <v>99</v>
      </c>
      <c r="C4249" s="5" t="s">
        <v>899</v>
      </c>
      <c r="D4249" s="5" t="s">
        <v>14</v>
      </c>
      <c r="E4249" s="5" t="s">
        <v>17</v>
      </c>
      <c r="F4249" s="5" t="s">
        <v>20</v>
      </c>
      <c r="G4249" s="5" t="s">
        <v>77</v>
      </c>
      <c r="H4249" s="5" t="s">
        <v>900</v>
      </c>
      <c r="I4249" s="5" t="s">
        <v>31</v>
      </c>
      <c r="J4249" s="5">
        <v>16.068755850216</v>
      </c>
      <c r="K4249" s="5">
        <v>-96.614991307406001</v>
      </c>
      <c r="L4249" s="5" t="str">
        <f>HYPERLINK("https://maps.google.com/?q=16.0687558502161,-96.614991307406299", "🔗 Ver Mapa")</f>
        <v>🔗 Ver Mapa</v>
      </c>
    </row>
    <row r="4250" spans="1:12" ht="43.5" x14ac:dyDescent="0.35">
      <c r="A4250" s="6" t="s">
        <v>98</v>
      </c>
      <c r="B4250" s="6" t="s">
        <v>99</v>
      </c>
      <c r="C4250" s="6" t="s">
        <v>899</v>
      </c>
      <c r="D4250" s="6" t="s">
        <v>14</v>
      </c>
      <c r="E4250" s="6" t="s">
        <v>17</v>
      </c>
      <c r="F4250" s="6" t="s">
        <v>20</v>
      </c>
      <c r="G4250" s="6" t="s">
        <v>77</v>
      </c>
      <c r="H4250" s="6" t="s">
        <v>900</v>
      </c>
      <c r="I4250" s="6" t="s">
        <v>31</v>
      </c>
      <c r="J4250" s="6">
        <v>16.070379978801999</v>
      </c>
      <c r="K4250" s="6">
        <v>-96.608064143556007</v>
      </c>
      <c r="L4250" s="6" t="str">
        <f>HYPERLINK("https://maps.google.com/?q=16.0703799788017,-96.608064143555595", "🔗 Ver Mapa")</f>
        <v>🔗 Ver Mapa</v>
      </c>
    </row>
    <row r="4251" spans="1:12" ht="43.5" x14ac:dyDescent="0.35">
      <c r="A4251" s="5" t="s">
        <v>98</v>
      </c>
      <c r="B4251" s="5" t="s">
        <v>99</v>
      </c>
      <c r="C4251" s="5" t="s">
        <v>899</v>
      </c>
      <c r="D4251" s="5" t="s">
        <v>14</v>
      </c>
      <c r="E4251" s="5" t="s">
        <v>17</v>
      </c>
      <c r="F4251" s="5" t="s">
        <v>20</v>
      </c>
      <c r="G4251" s="5" t="s">
        <v>77</v>
      </c>
      <c r="H4251" s="5" t="s">
        <v>900</v>
      </c>
      <c r="I4251" s="5" t="s">
        <v>31</v>
      </c>
      <c r="J4251" s="5">
        <v>16.071248942326999</v>
      </c>
      <c r="K4251" s="5">
        <v>-96.618347748030999</v>
      </c>
      <c r="L4251" s="5" t="str">
        <f>HYPERLINK("https://maps.google.com/?q=16.0712489423271,-96.618347748030899", "🔗 Ver Mapa")</f>
        <v>🔗 Ver Mapa</v>
      </c>
    </row>
    <row r="4252" spans="1:12" ht="43.5" x14ac:dyDescent="0.35">
      <c r="A4252" s="6" t="s">
        <v>98</v>
      </c>
      <c r="B4252" s="6" t="s">
        <v>99</v>
      </c>
      <c r="C4252" s="6" t="s">
        <v>901</v>
      </c>
      <c r="D4252" s="6" t="s">
        <v>14</v>
      </c>
      <c r="E4252" s="6" t="s">
        <v>17</v>
      </c>
      <c r="F4252" s="6" t="s">
        <v>20</v>
      </c>
      <c r="G4252" s="6" t="s">
        <v>77</v>
      </c>
      <c r="H4252" s="6" t="s">
        <v>902</v>
      </c>
      <c r="I4252" s="6" t="s">
        <v>31</v>
      </c>
      <c r="J4252" s="6">
        <v>15.93030323</v>
      </c>
      <c r="K4252" s="6">
        <v>-96.636419810000007</v>
      </c>
      <c r="L4252" s="6" t="str">
        <f>HYPERLINK("https://maps.google.com/?q=15.93030323,-96.636419810000007", "🔗 Ver Mapa")</f>
        <v>🔗 Ver Mapa</v>
      </c>
    </row>
    <row r="4253" spans="1:12" ht="43.5" x14ac:dyDescent="0.35">
      <c r="A4253" s="5" t="s">
        <v>98</v>
      </c>
      <c r="B4253" s="5" t="s">
        <v>99</v>
      </c>
      <c r="C4253" s="5" t="s">
        <v>901</v>
      </c>
      <c r="D4253" s="5" t="s">
        <v>14</v>
      </c>
      <c r="E4253" s="5" t="s">
        <v>17</v>
      </c>
      <c r="F4253" s="5" t="s">
        <v>20</v>
      </c>
      <c r="G4253" s="5" t="s">
        <v>77</v>
      </c>
      <c r="H4253" s="5" t="s">
        <v>902</v>
      </c>
      <c r="I4253" s="5" t="s">
        <v>31</v>
      </c>
      <c r="J4253" s="5">
        <v>15.931062300000001</v>
      </c>
      <c r="K4253" s="5">
        <v>-96.635998479999998</v>
      </c>
      <c r="L4253" s="5" t="str">
        <f>HYPERLINK("https://maps.google.com/?q=15.9310623,-96.635998479999998", "🔗 Ver Mapa")</f>
        <v>🔗 Ver Mapa</v>
      </c>
    </row>
    <row r="4254" spans="1:12" ht="43.5" x14ac:dyDescent="0.35">
      <c r="A4254" s="6" t="s">
        <v>98</v>
      </c>
      <c r="B4254" s="6" t="s">
        <v>99</v>
      </c>
      <c r="C4254" s="6" t="s">
        <v>901</v>
      </c>
      <c r="D4254" s="6" t="s">
        <v>14</v>
      </c>
      <c r="E4254" s="6" t="s">
        <v>17</v>
      </c>
      <c r="F4254" s="6" t="s">
        <v>20</v>
      </c>
      <c r="G4254" s="6" t="s">
        <v>77</v>
      </c>
      <c r="H4254" s="6" t="s">
        <v>902</v>
      </c>
      <c r="I4254" s="6" t="s">
        <v>31</v>
      </c>
      <c r="J4254" s="6">
        <v>15.9327682</v>
      </c>
      <c r="K4254" s="6">
        <v>-96.631505700000005</v>
      </c>
      <c r="L4254" s="6" t="str">
        <f>HYPERLINK("https://maps.google.com/?q=15.9327682,-96.6315057", "🔗 Ver Mapa")</f>
        <v>🔗 Ver Mapa</v>
      </c>
    </row>
    <row r="4255" spans="1:12" ht="43.5" x14ac:dyDescent="0.35">
      <c r="A4255" s="5" t="s">
        <v>98</v>
      </c>
      <c r="B4255" s="5" t="s">
        <v>99</v>
      </c>
      <c r="C4255" s="5" t="s">
        <v>901</v>
      </c>
      <c r="D4255" s="5" t="s">
        <v>14</v>
      </c>
      <c r="E4255" s="5" t="s">
        <v>17</v>
      </c>
      <c r="F4255" s="5" t="s">
        <v>20</v>
      </c>
      <c r="G4255" s="5" t="s">
        <v>77</v>
      </c>
      <c r="H4255" s="5" t="s">
        <v>902</v>
      </c>
      <c r="I4255" s="5" t="s">
        <v>31</v>
      </c>
      <c r="J4255" s="5">
        <v>15.93302248</v>
      </c>
      <c r="K4255" s="5">
        <v>-96.6343107</v>
      </c>
      <c r="L4255" s="5" t="str">
        <f>HYPERLINK("https://maps.google.com/?q=15.93302248,-96.6343107", "🔗 Ver Mapa")</f>
        <v>🔗 Ver Mapa</v>
      </c>
    </row>
    <row r="4256" spans="1:12" ht="43.5" x14ac:dyDescent="0.35">
      <c r="A4256" s="6" t="s">
        <v>98</v>
      </c>
      <c r="B4256" s="6" t="s">
        <v>99</v>
      </c>
      <c r="C4256" s="6" t="s">
        <v>901</v>
      </c>
      <c r="D4256" s="6" t="s">
        <v>14</v>
      </c>
      <c r="E4256" s="6" t="s">
        <v>17</v>
      </c>
      <c r="F4256" s="6" t="s">
        <v>20</v>
      </c>
      <c r="G4256" s="6" t="s">
        <v>77</v>
      </c>
      <c r="H4256" s="6" t="s">
        <v>902</v>
      </c>
      <c r="I4256" s="6" t="s">
        <v>31</v>
      </c>
      <c r="J4256" s="6">
        <v>15.93308115</v>
      </c>
      <c r="K4256" s="6">
        <v>-96.634485170000005</v>
      </c>
      <c r="L4256" s="6" t="str">
        <f>HYPERLINK("https://maps.google.com/?q=15.93308115,-96.634485170000005", "🔗 Ver Mapa")</f>
        <v>🔗 Ver Mapa</v>
      </c>
    </row>
    <row r="4257" spans="1:12" ht="43.5" x14ac:dyDescent="0.35">
      <c r="A4257" s="5" t="s">
        <v>98</v>
      </c>
      <c r="B4257" s="5" t="s">
        <v>99</v>
      </c>
      <c r="C4257" s="5" t="s">
        <v>901</v>
      </c>
      <c r="D4257" s="5" t="s">
        <v>14</v>
      </c>
      <c r="E4257" s="5" t="s">
        <v>17</v>
      </c>
      <c r="F4257" s="5" t="s">
        <v>20</v>
      </c>
      <c r="G4257" s="5" t="s">
        <v>77</v>
      </c>
      <c r="H4257" s="5" t="s">
        <v>902</v>
      </c>
      <c r="I4257" s="5" t="s">
        <v>31</v>
      </c>
      <c r="J4257" s="5">
        <v>15.933220840000001</v>
      </c>
      <c r="K4257" s="5">
        <v>-96.631859750000004</v>
      </c>
      <c r="L4257" s="5" t="str">
        <f>HYPERLINK("https://maps.google.com/?q=15.93322084,-96.631859750000004", "🔗 Ver Mapa")</f>
        <v>🔗 Ver Mapa</v>
      </c>
    </row>
    <row r="4258" spans="1:12" ht="43.5" x14ac:dyDescent="0.35">
      <c r="A4258" s="6" t="s">
        <v>98</v>
      </c>
      <c r="B4258" s="6" t="s">
        <v>99</v>
      </c>
      <c r="C4258" s="6" t="s">
        <v>901</v>
      </c>
      <c r="D4258" s="6" t="s">
        <v>14</v>
      </c>
      <c r="E4258" s="6" t="s">
        <v>17</v>
      </c>
      <c r="F4258" s="6" t="s">
        <v>20</v>
      </c>
      <c r="G4258" s="6" t="s">
        <v>77</v>
      </c>
      <c r="H4258" s="6" t="s">
        <v>902</v>
      </c>
      <c r="I4258" s="6" t="s">
        <v>31</v>
      </c>
      <c r="J4258" s="6">
        <v>15.93345616</v>
      </c>
      <c r="K4258" s="6">
        <v>-96.632450059999996</v>
      </c>
      <c r="L4258" s="6" t="str">
        <f>HYPERLINK("https://maps.google.com/?q=15.93345616,-96.632450059999996", "🔗 Ver Mapa")</f>
        <v>🔗 Ver Mapa</v>
      </c>
    </row>
    <row r="4259" spans="1:12" ht="43.5" x14ac:dyDescent="0.35">
      <c r="A4259" s="5" t="s">
        <v>98</v>
      </c>
      <c r="B4259" s="5" t="s">
        <v>99</v>
      </c>
      <c r="C4259" s="5" t="s">
        <v>903</v>
      </c>
      <c r="D4259" s="5" t="s">
        <v>14</v>
      </c>
      <c r="E4259" s="5" t="s">
        <v>17</v>
      </c>
      <c r="F4259" s="5" t="s">
        <v>20</v>
      </c>
      <c r="G4259" s="5" t="s">
        <v>77</v>
      </c>
      <c r="H4259" s="5" t="s">
        <v>904</v>
      </c>
      <c r="I4259" s="5" t="s">
        <v>31</v>
      </c>
      <c r="J4259" s="5">
        <v>16.012360399999999</v>
      </c>
      <c r="K4259" s="5">
        <v>-96.638589429999996</v>
      </c>
      <c r="L4259" s="5" t="str">
        <f>HYPERLINK("https://maps.google.com/?q=16.0123604,-96.638589429999996", "🔗 Ver Mapa")</f>
        <v>🔗 Ver Mapa</v>
      </c>
    </row>
    <row r="4260" spans="1:12" ht="43.5" x14ac:dyDescent="0.35">
      <c r="A4260" s="6" t="s">
        <v>98</v>
      </c>
      <c r="B4260" s="6" t="s">
        <v>99</v>
      </c>
      <c r="C4260" s="6" t="s">
        <v>903</v>
      </c>
      <c r="D4260" s="6" t="s">
        <v>14</v>
      </c>
      <c r="E4260" s="6" t="s">
        <v>17</v>
      </c>
      <c r="F4260" s="6" t="s">
        <v>20</v>
      </c>
      <c r="G4260" s="6" t="s">
        <v>77</v>
      </c>
      <c r="H4260" s="6" t="s">
        <v>904</v>
      </c>
      <c r="I4260" s="6" t="s">
        <v>31</v>
      </c>
      <c r="J4260" s="6">
        <v>16.01431315</v>
      </c>
      <c r="K4260" s="6">
        <v>-96.637119029999994</v>
      </c>
      <c r="L4260" s="6" t="str">
        <f>HYPERLINK("https://maps.google.com/?q=16.01431315,-96.637119029999994", "🔗 Ver Mapa")</f>
        <v>🔗 Ver Mapa</v>
      </c>
    </row>
    <row r="4261" spans="1:12" ht="43.5" x14ac:dyDescent="0.35">
      <c r="A4261" s="5" t="s">
        <v>98</v>
      </c>
      <c r="B4261" s="5" t="s">
        <v>99</v>
      </c>
      <c r="C4261" s="5" t="s">
        <v>903</v>
      </c>
      <c r="D4261" s="5" t="s">
        <v>14</v>
      </c>
      <c r="E4261" s="5" t="s">
        <v>17</v>
      </c>
      <c r="F4261" s="5" t="s">
        <v>20</v>
      </c>
      <c r="G4261" s="5" t="s">
        <v>77</v>
      </c>
      <c r="H4261" s="5" t="s">
        <v>904</v>
      </c>
      <c r="I4261" s="5" t="s">
        <v>31</v>
      </c>
      <c r="J4261" s="5">
        <v>16.014434860000001</v>
      </c>
      <c r="K4261" s="5">
        <v>-96.634295390000005</v>
      </c>
      <c r="L4261" s="5" t="str">
        <f>HYPERLINK("https://maps.google.com/?q=16.01443486,-96.634295390000005", "🔗 Ver Mapa")</f>
        <v>🔗 Ver Mapa</v>
      </c>
    </row>
    <row r="4262" spans="1:12" ht="43.5" x14ac:dyDescent="0.35">
      <c r="A4262" s="6" t="s">
        <v>98</v>
      </c>
      <c r="B4262" s="6" t="s">
        <v>99</v>
      </c>
      <c r="C4262" s="6" t="s">
        <v>903</v>
      </c>
      <c r="D4262" s="6" t="s">
        <v>14</v>
      </c>
      <c r="E4262" s="6" t="s">
        <v>17</v>
      </c>
      <c r="F4262" s="6" t="s">
        <v>20</v>
      </c>
      <c r="G4262" s="6" t="s">
        <v>77</v>
      </c>
      <c r="H4262" s="6" t="s">
        <v>904</v>
      </c>
      <c r="I4262" s="6" t="s">
        <v>31</v>
      </c>
      <c r="J4262" s="6">
        <v>16.01457096</v>
      </c>
      <c r="K4262" s="6">
        <v>-96.637419440000002</v>
      </c>
      <c r="L4262" s="6" t="str">
        <f>HYPERLINK("https://maps.google.com/?q=16.01457096,-96.637419440000002", "🔗 Ver Mapa")</f>
        <v>🔗 Ver Mapa</v>
      </c>
    </row>
    <row r="4263" spans="1:12" ht="43.5" x14ac:dyDescent="0.35">
      <c r="A4263" s="5" t="s">
        <v>98</v>
      </c>
      <c r="B4263" s="5" t="s">
        <v>99</v>
      </c>
      <c r="C4263" s="5" t="s">
        <v>903</v>
      </c>
      <c r="D4263" s="5" t="s">
        <v>14</v>
      </c>
      <c r="E4263" s="5" t="s">
        <v>17</v>
      </c>
      <c r="F4263" s="5" t="s">
        <v>20</v>
      </c>
      <c r="G4263" s="5" t="s">
        <v>77</v>
      </c>
      <c r="H4263" s="5" t="s">
        <v>904</v>
      </c>
      <c r="I4263" s="5" t="s">
        <v>31</v>
      </c>
      <c r="J4263" s="5">
        <v>16.015014399999998</v>
      </c>
      <c r="K4263" s="5">
        <v>-96.635276349999998</v>
      </c>
      <c r="L4263" s="5" t="str">
        <f>HYPERLINK("https://maps.google.com/?q=16.0150144,-96.635276349999998", "🔗 Ver Mapa")</f>
        <v>🔗 Ver Mapa</v>
      </c>
    </row>
    <row r="4264" spans="1:12" ht="43.5" x14ac:dyDescent="0.35">
      <c r="A4264" s="6" t="s">
        <v>98</v>
      </c>
      <c r="B4264" s="6" t="s">
        <v>99</v>
      </c>
      <c r="C4264" s="6" t="s">
        <v>903</v>
      </c>
      <c r="D4264" s="6" t="s">
        <v>14</v>
      </c>
      <c r="E4264" s="6" t="s">
        <v>17</v>
      </c>
      <c r="F4264" s="6" t="s">
        <v>20</v>
      </c>
      <c r="G4264" s="6" t="s">
        <v>77</v>
      </c>
      <c r="H4264" s="6" t="s">
        <v>904</v>
      </c>
      <c r="I4264" s="6" t="s">
        <v>31</v>
      </c>
      <c r="J4264" s="6">
        <v>16.015165979999999</v>
      </c>
      <c r="K4264" s="6">
        <v>-96.634119709999993</v>
      </c>
      <c r="L4264" s="6" t="str">
        <f>HYPERLINK("https://maps.google.com/?q=16.01516598,-96.634119709999993", "🔗 Ver Mapa")</f>
        <v>🔗 Ver Mapa</v>
      </c>
    </row>
    <row r="4265" spans="1:12" ht="43.5" x14ac:dyDescent="0.35">
      <c r="A4265" s="5" t="s">
        <v>98</v>
      </c>
      <c r="B4265" s="5" t="s">
        <v>99</v>
      </c>
      <c r="C4265" s="5" t="s">
        <v>903</v>
      </c>
      <c r="D4265" s="5" t="s">
        <v>14</v>
      </c>
      <c r="E4265" s="5" t="s">
        <v>17</v>
      </c>
      <c r="F4265" s="5" t="s">
        <v>20</v>
      </c>
      <c r="G4265" s="5" t="s">
        <v>77</v>
      </c>
      <c r="H4265" s="5" t="s">
        <v>904</v>
      </c>
      <c r="I4265" s="5" t="s">
        <v>31</v>
      </c>
      <c r="J4265" s="5">
        <v>16.015245839999999</v>
      </c>
      <c r="K4265" s="5">
        <v>-96.6365421</v>
      </c>
      <c r="L4265" s="5" t="str">
        <f>HYPERLINK("https://maps.google.com/?q=16.01524584,-96.6365421", "🔗 Ver Mapa")</f>
        <v>🔗 Ver Mapa</v>
      </c>
    </row>
    <row r="4266" spans="1:12" ht="43.5" x14ac:dyDescent="0.35">
      <c r="A4266" s="6" t="s">
        <v>98</v>
      </c>
      <c r="B4266" s="6" t="s">
        <v>99</v>
      </c>
      <c r="C4266" s="6" t="s">
        <v>903</v>
      </c>
      <c r="D4266" s="6" t="s">
        <v>14</v>
      </c>
      <c r="E4266" s="6" t="s">
        <v>17</v>
      </c>
      <c r="F4266" s="6" t="s">
        <v>20</v>
      </c>
      <c r="G4266" s="6" t="s">
        <v>77</v>
      </c>
      <c r="H4266" s="6" t="s">
        <v>904</v>
      </c>
      <c r="I4266" s="6" t="s">
        <v>31</v>
      </c>
      <c r="J4266" s="6">
        <v>16.015403750000001</v>
      </c>
      <c r="K4266" s="6">
        <v>-96.636401680000006</v>
      </c>
      <c r="L4266" s="6" t="str">
        <f>HYPERLINK("https://maps.google.com/?q=16.01540375,-96.636401680000006", "🔗 Ver Mapa")</f>
        <v>🔗 Ver Mapa</v>
      </c>
    </row>
    <row r="4267" spans="1:12" ht="43.5" x14ac:dyDescent="0.35">
      <c r="A4267" s="5" t="s">
        <v>98</v>
      </c>
      <c r="B4267" s="5" t="s">
        <v>99</v>
      </c>
      <c r="C4267" s="5" t="s">
        <v>905</v>
      </c>
      <c r="D4267" s="5" t="s">
        <v>14</v>
      </c>
      <c r="E4267" s="5" t="s">
        <v>17</v>
      </c>
      <c r="F4267" s="5" t="s">
        <v>20</v>
      </c>
      <c r="G4267" s="5" t="s">
        <v>77</v>
      </c>
      <c r="H4267" s="5" t="s">
        <v>906</v>
      </c>
      <c r="I4267" s="5" t="s">
        <v>31</v>
      </c>
      <c r="J4267" s="5">
        <v>16.014457357800001</v>
      </c>
      <c r="K4267" s="5">
        <v>-96.647918922209001</v>
      </c>
      <c r="L4267" s="5" t="str">
        <f>HYPERLINK("https://maps.google.com/?q=16.0144573578003,-96.647918922209101", "🔗 Ver Mapa")</f>
        <v>🔗 Ver Mapa</v>
      </c>
    </row>
    <row r="4268" spans="1:12" ht="43.5" x14ac:dyDescent="0.35">
      <c r="A4268" s="6" t="s">
        <v>98</v>
      </c>
      <c r="B4268" s="6" t="s">
        <v>99</v>
      </c>
      <c r="C4268" s="6" t="s">
        <v>905</v>
      </c>
      <c r="D4268" s="6" t="s">
        <v>14</v>
      </c>
      <c r="E4268" s="6" t="s">
        <v>17</v>
      </c>
      <c r="F4268" s="6" t="s">
        <v>20</v>
      </c>
      <c r="G4268" s="6" t="s">
        <v>77</v>
      </c>
      <c r="H4268" s="6" t="s">
        <v>906</v>
      </c>
      <c r="I4268" s="6" t="s">
        <v>31</v>
      </c>
      <c r="J4268" s="6">
        <v>16.015428156039</v>
      </c>
      <c r="K4268" s="6">
        <v>-96.649399837974002</v>
      </c>
      <c r="L4268" s="6" t="str">
        <f>HYPERLINK("https://maps.google.com/?q=16.0154281560392,-96.649399837974102", "🔗 Ver Mapa")</f>
        <v>🔗 Ver Mapa</v>
      </c>
    </row>
    <row r="4269" spans="1:12" ht="43.5" x14ac:dyDescent="0.35">
      <c r="A4269" s="5" t="s">
        <v>98</v>
      </c>
      <c r="B4269" s="5" t="s">
        <v>99</v>
      </c>
      <c r="C4269" s="5" t="s">
        <v>905</v>
      </c>
      <c r="D4269" s="5" t="s">
        <v>14</v>
      </c>
      <c r="E4269" s="5" t="s">
        <v>17</v>
      </c>
      <c r="F4269" s="5" t="s">
        <v>20</v>
      </c>
      <c r="G4269" s="5" t="s">
        <v>77</v>
      </c>
      <c r="H4269" s="5" t="s">
        <v>906</v>
      </c>
      <c r="I4269" s="5" t="s">
        <v>31</v>
      </c>
      <c r="J4269" s="5">
        <v>16.015533439997</v>
      </c>
      <c r="K4269" s="5">
        <v>-96.646964127790994</v>
      </c>
      <c r="L4269" s="5" t="str">
        <f>HYPERLINK("https://maps.google.com/?q=16.0155334399966,-96.646964127791094", "🔗 Ver Mapa")</f>
        <v>🔗 Ver Mapa</v>
      </c>
    </row>
    <row r="4270" spans="1:12" ht="43.5" x14ac:dyDescent="0.35">
      <c r="A4270" s="6" t="s">
        <v>98</v>
      </c>
      <c r="B4270" s="6" t="s">
        <v>99</v>
      </c>
      <c r="C4270" s="6" t="s">
        <v>905</v>
      </c>
      <c r="D4270" s="6" t="s">
        <v>14</v>
      </c>
      <c r="E4270" s="6" t="s">
        <v>17</v>
      </c>
      <c r="F4270" s="6" t="s">
        <v>20</v>
      </c>
      <c r="G4270" s="6" t="s">
        <v>77</v>
      </c>
      <c r="H4270" s="6" t="s">
        <v>906</v>
      </c>
      <c r="I4270" s="6" t="s">
        <v>31</v>
      </c>
      <c r="J4270" s="6">
        <v>16.015936913455</v>
      </c>
      <c r="K4270" s="6">
        <v>-96.647340982209002</v>
      </c>
      <c r="L4270" s="6" t="str">
        <f>HYPERLINK("https://maps.google.com/?q=16.0159369134554,-96.647340982209002", "🔗 Ver Mapa")</f>
        <v>🔗 Ver Mapa</v>
      </c>
    </row>
    <row r="4271" spans="1:12" ht="43.5" x14ac:dyDescent="0.35">
      <c r="A4271" s="5" t="s">
        <v>98</v>
      </c>
      <c r="B4271" s="5" t="s">
        <v>99</v>
      </c>
      <c r="C4271" s="5" t="s">
        <v>905</v>
      </c>
      <c r="D4271" s="5" t="s">
        <v>14</v>
      </c>
      <c r="E4271" s="5" t="s">
        <v>17</v>
      </c>
      <c r="F4271" s="5" t="s">
        <v>20</v>
      </c>
      <c r="G4271" s="5" t="s">
        <v>77</v>
      </c>
      <c r="H4271" s="5" t="s">
        <v>906</v>
      </c>
      <c r="I4271" s="5" t="s">
        <v>31</v>
      </c>
      <c r="J4271" s="5">
        <v>16.01662697155</v>
      </c>
      <c r="K4271" s="5">
        <v>-96.647862932208994</v>
      </c>
      <c r="L4271" s="5" t="str">
        <f>HYPERLINK("https://maps.google.com/?q=16.0166269715501,-96.647862932208994", "🔗 Ver Mapa")</f>
        <v>🔗 Ver Mapa</v>
      </c>
    </row>
    <row r="4272" spans="1:12" ht="43.5" x14ac:dyDescent="0.35">
      <c r="A4272" s="6" t="s">
        <v>98</v>
      </c>
      <c r="B4272" s="6" t="s">
        <v>99</v>
      </c>
      <c r="C4272" s="6" t="s">
        <v>905</v>
      </c>
      <c r="D4272" s="6" t="s">
        <v>14</v>
      </c>
      <c r="E4272" s="6" t="s">
        <v>17</v>
      </c>
      <c r="F4272" s="6" t="s">
        <v>20</v>
      </c>
      <c r="G4272" s="6" t="s">
        <v>77</v>
      </c>
      <c r="H4272" s="6" t="s">
        <v>906</v>
      </c>
      <c r="I4272" s="6" t="s">
        <v>31</v>
      </c>
      <c r="J4272" s="6">
        <v>16.016818404641</v>
      </c>
      <c r="K4272" s="6">
        <v>-96.648146385250001</v>
      </c>
      <c r="L4272" s="6" t="str">
        <f>HYPERLINK("https://maps.google.com/?q=16.016818404641473,-96.64814638525033", "🔗 Ver Mapa")</f>
        <v>🔗 Ver Mapa</v>
      </c>
    </row>
    <row r="4273" spans="1:12" ht="43.5" x14ac:dyDescent="0.35">
      <c r="A4273" s="5" t="s">
        <v>98</v>
      </c>
      <c r="B4273" s="5" t="s">
        <v>99</v>
      </c>
      <c r="C4273" s="5" t="s">
        <v>905</v>
      </c>
      <c r="D4273" s="5" t="s">
        <v>14</v>
      </c>
      <c r="E4273" s="5" t="s">
        <v>17</v>
      </c>
      <c r="F4273" s="5" t="s">
        <v>20</v>
      </c>
      <c r="G4273" s="5" t="s">
        <v>77</v>
      </c>
      <c r="H4273" s="5" t="s">
        <v>906</v>
      </c>
      <c r="I4273" s="5" t="s">
        <v>31</v>
      </c>
      <c r="J4273" s="5">
        <v>16.017752770281</v>
      </c>
      <c r="K4273" s="5">
        <v>-96.646016639070993</v>
      </c>
      <c r="L4273" s="5" t="str">
        <f>HYPERLINK("https://maps.google.com/?q=16.0177527702808,-96.646016639070595", "🔗 Ver Mapa")</f>
        <v>🔗 Ver Mapa</v>
      </c>
    </row>
    <row r="4274" spans="1:12" ht="43.5" x14ac:dyDescent="0.35">
      <c r="A4274" s="6" t="s">
        <v>98</v>
      </c>
      <c r="B4274" s="6" t="s">
        <v>99</v>
      </c>
      <c r="C4274" s="6" t="s">
        <v>905</v>
      </c>
      <c r="D4274" s="6" t="s">
        <v>14</v>
      </c>
      <c r="E4274" s="6" t="s">
        <v>17</v>
      </c>
      <c r="F4274" s="6" t="s">
        <v>20</v>
      </c>
      <c r="G4274" s="6" t="s">
        <v>77</v>
      </c>
      <c r="H4274" s="6" t="s">
        <v>906</v>
      </c>
      <c r="I4274" s="6" t="s">
        <v>31</v>
      </c>
      <c r="J4274" s="6">
        <v>16.01825133154</v>
      </c>
      <c r="K4274" s="6">
        <v>-96.65118425</v>
      </c>
      <c r="L4274" s="6" t="str">
        <f>HYPERLINK("https://maps.google.com/?q=16.0182513315399,-96.65118425", "🔗 Ver Mapa")</f>
        <v>🔗 Ver Mapa</v>
      </c>
    </row>
    <row r="4275" spans="1:12" ht="43.5" x14ac:dyDescent="0.35">
      <c r="A4275" s="5" t="s">
        <v>98</v>
      </c>
      <c r="B4275" s="5" t="s">
        <v>99</v>
      </c>
      <c r="C4275" s="5" t="s">
        <v>905</v>
      </c>
      <c r="D4275" s="5" t="s">
        <v>14</v>
      </c>
      <c r="E4275" s="5" t="s">
        <v>17</v>
      </c>
      <c r="F4275" s="5" t="s">
        <v>20</v>
      </c>
      <c r="G4275" s="5" t="s">
        <v>77</v>
      </c>
      <c r="H4275" s="5" t="s">
        <v>906</v>
      </c>
      <c r="I4275" s="5" t="s">
        <v>31</v>
      </c>
      <c r="J4275" s="5">
        <v>16.018424203093002</v>
      </c>
      <c r="K4275" s="5">
        <v>-96.646400579892003</v>
      </c>
      <c r="L4275" s="5" t="str">
        <f>HYPERLINK("https://maps.google.com/?q=16.018424203093,-96.646400579892102", "🔗 Ver Mapa")</f>
        <v>🔗 Ver Mapa</v>
      </c>
    </row>
    <row r="4276" spans="1:12" ht="43.5" x14ac:dyDescent="0.35">
      <c r="A4276" s="6" t="s">
        <v>98</v>
      </c>
      <c r="B4276" s="6" t="s">
        <v>99</v>
      </c>
      <c r="C4276" s="6" t="s">
        <v>907</v>
      </c>
      <c r="D4276" s="6" t="s">
        <v>14</v>
      </c>
      <c r="E4276" s="6" t="s">
        <v>17</v>
      </c>
      <c r="F4276" s="6" t="s">
        <v>20</v>
      </c>
      <c r="G4276" s="6" t="s">
        <v>77</v>
      </c>
      <c r="H4276" s="6" t="s">
        <v>908</v>
      </c>
      <c r="I4276" s="6" t="s">
        <v>31</v>
      </c>
      <c r="J4276" s="6">
        <v>16.058680760000001</v>
      </c>
      <c r="K4276" s="6">
        <v>-96.611972940000001</v>
      </c>
      <c r="L4276" s="6" t="str">
        <f>HYPERLINK("https://maps.google.com/?q=16.05868076,-96.611972940000001", "🔗 Ver Mapa")</f>
        <v>🔗 Ver Mapa</v>
      </c>
    </row>
    <row r="4277" spans="1:12" ht="43.5" x14ac:dyDescent="0.35">
      <c r="A4277" s="5" t="s">
        <v>98</v>
      </c>
      <c r="B4277" s="5" t="s">
        <v>99</v>
      </c>
      <c r="C4277" s="5" t="s">
        <v>907</v>
      </c>
      <c r="D4277" s="5" t="s">
        <v>14</v>
      </c>
      <c r="E4277" s="5" t="s">
        <v>17</v>
      </c>
      <c r="F4277" s="5" t="s">
        <v>20</v>
      </c>
      <c r="G4277" s="5" t="s">
        <v>77</v>
      </c>
      <c r="H4277" s="5" t="s">
        <v>908</v>
      </c>
      <c r="I4277" s="5" t="s">
        <v>31</v>
      </c>
      <c r="J4277" s="5">
        <v>16.058696220000002</v>
      </c>
      <c r="K4277" s="5">
        <v>-96.604967639999998</v>
      </c>
      <c r="L4277" s="5" t="str">
        <f>HYPERLINK("https://maps.google.com/?q=16.05869622,-96.604967639999998", "🔗 Ver Mapa")</f>
        <v>🔗 Ver Mapa</v>
      </c>
    </row>
    <row r="4278" spans="1:12" ht="43.5" x14ac:dyDescent="0.35">
      <c r="A4278" s="6" t="s">
        <v>98</v>
      </c>
      <c r="B4278" s="6" t="s">
        <v>99</v>
      </c>
      <c r="C4278" s="6" t="s">
        <v>907</v>
      </c>
      <c r="D4278" s="6" t="s">
        <v>14</v>
      </c>
      <c r="E4278" s="6" t="s">
        <v>17</v>
      </c>
      <c r="F4278" s="6" t="s">
        <v>20</v>
      </c>
      <c r="G4278" s="6" t="s">
        <v>77</v>
      </c>
      <c r="H4278" s="6" t="s">
        <v>908</v>
      </c>
      <c r="I4278" s="6" t="s">
        <v>31</v>
      </c>
      <c r="J4278" s="6">
        <v>16.058871490000001</v>
      </c>
      <c r="K4278" s="6">
        <v>-96.605662330000001</v>
      </c>
      <c r="L4278" s="6" t="str">
        <f>HYPERLINK("https://maps.google.com/?q=16.05887149,-96.605662330000001", "🔗 Ver Mapa")</f>
        <v>🔗 Ver Mapa</v>
      </c>
    </row>
    <row r="4279" spans="1:12" ht="43.5" x14ac:dyDescent="0.35">
      <c r="A4279" s="5" t="s">
        <v>98</v>
      </c>
      <c r="B4279" s="5" t="s">
        <v>99</v>
      </c>
      <c r="C4279" s="5" t="s">
        <v>907</v>
      </c>
      <c r="D4279" s="5" t="s">
        <v>14</v>
      </c>
      <c r="E4279" s="5" t="s">
        <v>17</v>
      </c>
      <c r="F4279" s="5" t="s">
        <v>20</v>
      </c>
      <c r="G4279" s="5" t="s">
        <v>77</v>
      </c>
      <c r="H4279" s="5" t="s">
        <v>908</v>
      </c>
      <c r="I4279" s="5" t="s">
        <v>31</v>
      </c>
      <c r="J4279" s="5">
        <v>16.059013109999999</v>
      </c>
      <c r="K4279" s="5">
        <v>-96.604541170000005</v>
      </c>
      <c r="L4279" s="5" t="str">
        <f>HYPERLINK("https://maps.google.com/?q=16.05901311,-96.604541170000005", "🔗 Ver Mapa")</f>
        <v>🔗 Ver Mapa</v>
      </c>
    </row>
    <row r="4280" spans="1:12" ht="43.5" x14ac:dyDescent="0.35">
      <c r="A4280" s="6" t="s">
        <v>98</v>
      </c>
      <c r="B4280" s="6" t="s">
        <v>99</v>
      </c>
      <c r="C4280" s="6" t="s">
        <v>907</v>
      </c>
      <c r="D4280" s="6" t="s">
        <v>14</v>
      </c>
      <c r="E4280" s="6" t="s">
        <v>17</v>
      </c>
      <c r="F4280" s="6" t="s">
        <v>20</v>
      </c>
      <c r="G4280" s="6" t="s">
        <v>77</v>
      </c>
      <c r="H4280" s="6" t="s">
        <v>908</v>
      </c>
      <c r="I4280" s="6" t="s">
        <v>31</v>
      </c>
      <c r="J4280" s="6">
        <v>16.059139550000001</v>
      </c>
      <c r="K4280" s="6">
        <v>-96.604331959999996</v>
      </c>
      <c r="L4280" s="6" t="str">
        <f>HYPERLINK("https://maps.google.com/?q=16.05913955,-96.604331959999996", "🔗 Ver Mapa")</f>
        <v>🔗 Ver Mapa</v>
      </c>
    </row>
    <row r="4281" spans="1:12" ht="43.5" x14ac:dyDescent="0.35">
      <c r="A4281" s="5" t="s">
        <v>98</v>
      </c>
      <c r="B4281" s="5" t="s">
        <v>99</v>
      </c>
      <c r="C4281" s="5" t="s">
        <v>907</v>
      </c>
      <c r="D4281" s="5" t="s">
        <v>14</v>
      </c>
      <c r="E4281" s="5" t="s">
        <v>17</v>
      </c>
      <c r="F4281" s="5" t="s">
        <v>20</v>
      </c>
      <c r="G4281" s="5" t="s">
        <v>77</v>
      </c>
      <c r="H4281" s="5" t="s">
        <v>908</v>
      </c>
      <c r="I4281" s="5" t="s">
        <v>31</v>
      </c>
      <c r="J4281" s="5">
        <v>16.059590620000002</v>
      </c>
      <c r="K4281" s="5">
        <v>-96.606035160000005</v>
      </c>
      <c r="L4281" s="5" t="str">
        <f>HYPERLINK("https://maps.google.com/?q=16.05959062,-96.606035160000005", "🔗 Ver Mapa")</f>
        <v>🔗 Ver Mapa</v>
      </c>
    </row>
    <row r="4282" spans="1:12" ht="43.5" x14ac:dyDescent="0.35">
      <c r="A4282" s="6" t="s">
        <v>98</v>
      </c>
      <c r="B4282" s="6" t="s">
        <v>99</v>
      </c>
      <c r="C4282" s="6" t="s">
        <v>907</v>
      </c>
      <c r="D4282" s="6" t="s">
        <v>14</v>
      </c>
      <c r="E4282" s="6" t="s">
        <v>17</v>
      </c>
      <c r="F4282" s="6" t="s">
        <v>20</v>
      </c>
      <c r="G4282" s="6" t="s">
        <v>77</v>
      </c>
      <c r="H4282" s="6" t="s">
        <v>908</v>
      </c>
      <c r="I4282" s="6" t="s">
        <v>31</v>
      </c>
      <c r="J4282" s="6">
        <v>16.0602239</v>
      </c>
      <c r="K4282" s="6">
        <v>-96.608793509999998</v>
      </c>
      <c r="L4282" s="6" t="str">
        <f>HYPERLINK("https://maps.google.com/?q=16.0602239,-96.608793509999998", "🔗 Ver Mapa")</f>
        <v>🔗 Ver Mapa</v>
      </c>
    </row>
    <row r="4283" spans="1:12" ht="43.5" x14ac:dyDescent="0.35">
      <c r="A4283" s="5" t="s">
        <v>98</v>
      </c>
      <c r="B4283" s="5" t="s">
        <v>99</v>
      </c>
      <c r="C4283" s="5" t="s">
        <v>907</v>
      </c>
      <c r="D4283" s="5" t="s">
        <v>14</v>
      </c>
      <c r="E4283" s="5" t="s">
        <v>17</v>
      </c>
      <c r="F4283" s="5" t="s">
        <v>20</v>
      </c>
      <c r="G4283" s="5" t="s">
        <v>77</v>
      </c>
      <c r="H4283" s="5" t="s">
        <v>908</v>
      </c>
      <c r="I4283" s="5" t="s">
        <v>31</v>
      </c>
      <c r="J4283" s="5">
        <v>16.06070807</v>
      </c>
      <c r="K4283" s="5">
        <v>-96.609302200000002</v>
      </c>
      <c r="L4283" s="5" t="str">
        <f>HYPERLINK("https://maps.google.com/?q=16.06070807,-96.609302200000002", "🔗 Ver Mapa")</f>
        <v>🔗 Ver Mapa</v>
      </c>
    </row>
    <row r="4284" spans="1:12" ht="43.5" x14ac:dyDescent="0.35">
      <c r="A4284" s="6" t="s">
        <v>98</v>
      </c>
      <c r="B4284" s="6" t="s">
        <v>99</v>
      </c>
      <c r="C4284" s="6" t="s">
        <v>907</v>
      </c>
      <c r="D4284" s="6" t="s">
        <v>14</v>
      </c>
      <c r="E4284" s="6" t="s">
        <v>17</v>
      </c>
      <c r="F4284" s="6" t="s">
        <v>20</v>
      </c>
      <c r="G4284" s="6" t="s">
        <v>77</v>
      </c>
      <c r="H4284" s="6" t="s">
        <v>908</v>
      </c>
      <c r="I4284" s="6" t="s">
        <v>31</v>
      </c>
      <c r="J4284" s="6">
        <v>16.060751679999999</v>
      </c>
      <c r="K4284" s="6">
        <v>-96.609172180000002</v>
      </c>
      <c r="L4284" s="6" t="str">
        <f>HYPERLINK("https://maps.google.com/?q=16.06075168,-96.609172180000002", "🔗 Ver Mapa")</f>
        <v>🔗 Ver Mapa</v>
      </c>
    </row>
    <row r="4285" spans="1:12" ht="43.5" x14ac:dyDescent="0.35">
      <c r="A4285" s="5" t="s">
        <v>98</v>
      </c>
      <c r="B4285" s="5" t="s">
        <v>99</v>
      </c>
      <c r="C4285" s="5" t="s">
        <v>907</v>
      </c>
      <c r="D4285" s="5" t="s">
        <v>14</v>
      </c>
      <c r="E4285" s="5" t="s">
        <v>17</v>
      </c>
      <c r="F4285" s="5" t="s">
        <v>20</v>
      </c>
      <c r="G4285" s="5" t="s">
        <v>77</v>
      </c>
      <c r="H4285" s="5" t="s">
        <v>908</v>
      </c>
      <c r="I4285" s="5" t="s">
        <v>31</v>
      </c>
      <c r="J4285" s="5">
        <v>16.060768809999999</v>
      </c>
      <c r="K4285" s="5">
        <v>-96.610136429999997</v>
      </c>
      <c r="L4285" s="5" t="str">
        <f>HYPERLINK("https://maps.google.com/?q=16.06076881,-96.610136429999997", "🔗 Ver Mapa")</f>
        <v>🔗 Ver Mapa</v>
      </c>
    </row>
    <row r="4286" spans="1:12" ht="43.5" x14ac:dyDescent="0.35">
      <c r="A4286" s="6" t="s">
        <v>98</v>
      </c>
      <c r="B4286" s="6" t="s">
        <v>99</v>
      </c>
      <c r="C4286" s="6" t="s">
        <v>909</v>
      </c>
      <c r="D4286" s="6" t="s">
        <v>14</v>
      </c>
      <c r="E4286" s="6" t="s">
        <v>17</v>
      </c>
      <c r="F4286" s="6" t="s">
        <v>20</v>
      </c>
      <c r="G4286" s="6" t="s">
        <v>77</v>
      </c>
      <c r="H4286" s="6" t="s">
        <v>910</v>
      </c>
      <c r="I4286" s="6" t="s">
        <v>31</v>
      </c>
      <c r="J4286" s="6">
        <v>16.008623180000001</v>
      </c>
      <c r="K4286" s="6">
        <v>-96.657989220000005</v>
      </c>
      <c r="L4286" s="6" t="str">
        <f>HYPERLINK("https://maps.google.com/?q=16.00862318,-96.657989220000005", "🔗 Ver Mapa")</f>
        <v>🔗 Ver Mapa</v>
      </c>
    </row>
    <row r="4287" spans="1:12" ht="43.5" x14ac:dyDescent="0.35">
      <c r="A4287" s="5" t="s">
        <v>98</v>
      </c>
      <c r="B4287" s="5" t="s">
        <v>99</v>
      </c>
      <c r="C4287" s="5" t="s">
        <v>909</v>
      </c>
      <c r="D4287" s="5" t="s">
        <v>14</v>
      </c>
      <c r="E4287" s="5" t="s">
        <v>17</v>
      </c>
      <c r="F4287" s="5" t="s">
        <v>20</v>
      </c>
      <c r="G4287" s="5" t="s">
        <v>77</v>
      </c>
      <c r="H4287" s="5" t="s">
        <v>910</v>
      </c>
      <c r="I4287" s="5" t="s">
        <v>31</v>
      </c>
      <c r="J4287" s="5">
        <v>16.00901386</v>
      </c>
      <c r="K4287" s="5">
        <v>-96.657134529999993</v>
      </c>
      <c r="L4287" s="5" t="str">
        <f>HYPERLINK("https://maps.google.com/?q=16.00901386,-96.657134529999993", "🔗 Ver Mapa")</f>
        <v>🔗 Ver Mapa</v>
      </c>
    </row>
    <row r="4288" spans="1:12" ht="43.5" x14ac:dyDescent="0.35">
      <c r="A4288" s="6" t="s">
        <v>98</v>
      </c>
      <c r="B4288" s="6" t="s">
        <v>99</v>
      </c>
      <c r="C4288" s="6" t="s">
        <v>909</v>
      </c>
      <c r="D4288" s="6" t="s">
        <v>14</v>
      </c>
      <c r="E4288" s="6" t="s">
        <v>17</v>
      </c>
      <c r="F4288" s="6" t="s">
        <v>20</v>
      </c>
      <c r="G4288" s="6" t="s">
        <v>77</v>
      </c>
      <c r="H4288" s="6" t="s">
        <v>910</v>
      </c>
      <c r="I4288" s="6" t="s">
        <v>31</v>
      </c>
      <c r="J4288" s="6">
        <v>16.01048772</v>
      </c>
      <c r="K4288" s="6">
        <v>-96.659504940000005</v>
      </c>
      <c r="L4288" s="6" t="str">
        <f>HYPERLINK("https://maps.google.com/?q=16.01048772,-96.659504940000005", "🔗 Ver Mapa")</f>
        <v>🔗 Ver Mapa</v>
      </c>
    </row>
    <row r="4289" spans="1:12" ht="43.5" x14ac:dyDescent="0.35">
      <c r="A4289" s="5" t="s">
        <v>98</v>
      </c>
      <c r="B4289" s="5" t="s">
        <v>99</v>
      </c>
      <c r="C4289" s="5" t="s">
        <v>909</v>
      </c>
      <c r="D4289" s="5" t="s">
        <v>14</v>
      </c>
      <c r="E4289" s="5" t="s">
        <v>17</v>
      </c>
      <c r="F4289" s="5" t="s">
        <v>20</v>
      </c>
      <c r="G4289" s="5" t="s">
        <v>77</v>
      </c>
      <c r="H4289" s="5" t="s">
        <v>910</v>
      </c>
      <c r="I4289" s="5" t="s">
        <v>31</v>
      </c>
      <c r="J4289" s="5">
        <v>16.010835620000002</v>
      </c>
      <c r="K4289" s="5">
        <v>-96.659256959999993</v>
      </c>
      <c r="L4289" s="5" t="str">
        <f>HYPERLINK("https://maps.google.com/?q=16.01083562,-96.659256959999993", "🔗 Ver Mapa")</f>
        <v>🔗 Ver Mapa</v>
      </c>
    </row>
    <row r="4290" spans="1:12" ht="43.5" x14ac:dyDescent="0.35">
      <c r="A4290" s="6" t="s">
        <v>98</v>
      </c>
      <c r="B4290" s="6" t="s">
        <v>99</v>
      </c>
      <c r="C4290" s="6" t="s">
        <v>909</v>
      </c>
      <c r="D4290" s="6" t="s">
        <v>14</v>
      </c>
      <c r="E4290" s="6" t="s">
        <v>17</v>
      </c>
      <c r="F4290" s="6" t="s">
        <v>20</v>
      </c>
      <c r="G4290" s="6" t="s">
        <v>77</v>
      </c>
      <c r="H4290" s="6" t="s">
        <v>910</v>
      </c>
      <c r="I4290" s="6" t="s">
        <v>31</v>
      </c>
      <c r="J4290" s="6">
        <v>16.011633549999999</v>
      </c>
      <c r="K4290" s="6">
        <v>-96.66272506</v>
      </c>
      <c r="L4290" s="6" t="str">
        <f>HYPERLINK("https://maps.google.com/?q=16.01163355,-96.66272506", "🔗 Ver Mapa")</f>
        <v>🔗 Ver Mapa</v>
      </c>
    </row>
    <row r="4291" spans="1:12" ht="43.5" x14ac:dyDescent="0.35">
      <c r="A4291" s="5" t="s">
        <v>98</v>
      </c>
      <c r="B4291" s="5" t="s">
        <v>99</v>
      </c>
      <c r="C4291" s="5" t="s">
        <v>909</v>
      </c>
      <c r="D4291" s="5" t="s">
        <v>14</v>
      </c>
      <c r="E4291" s="5" t="s">
        <v>17</v>
      </c>
      <c r="F4291" s="5" t="s">
        <v>20</v>
      </c>
      <c r="G4291" s="5" t="s">
        <v>77</v>
      </c>
      <c r="H4291" s="5" t="s">
        <v>910</v>
      </c>
      <c r="I4291" s="5" t="s">
        <v>31</v>
      </c>
      <c r="J4291" s="5">
        <v>16.012166870000001</v>
      </c>
      <c r="K4291" s="5">
        <v>-96.660528470000003</v>
      </c>
      <c r="L4291" s="5" t="str">
        <f>HYPERLINK("https://maps.google.com/?q=16.01216687,-96.660528470000003", "🔗 Ver Mapa")</f>
        <v>🔗 Ver Mapa</v>
      </c>
    </row>
    <row r="4292" spans="1:12" ht="43.5" x14ac:dyDescent="0.35">
      <c r="A4292" s="6" t="s">
        <v>98</v>
      </c>
      <c r="B4292" s="6" t="s">
        <v>99</v>
      </c>
      <c r="C4292" s="6" t="s">
        <v>909</v>
      </c>
      <c r="D4292" s="6" t="s">
        <v>14</v>
      </c>
      <c r="E4292" s="6" t="s">
        <v>17</v>
      </c>
      <c r="F4292" s="6" t="s">
        <v>20</v>
      </c>
      <c r="G4292" s="6" t="s">
        <v>77</v>
      </c>
      <c r="H4292" s="6" t="s">
        <v>910</v>
      </c>
      <c r="I4292" s="6" t="s">
        <v>31</v>
      </c>
      <c r="J4292" s="6">
        <v>16.012299250000002</v>
      </c>
      <c r="K4292" s="6">
        <v>-96.661192990000004</v>
      </c>
      <c r="L4292" s="6" t="str">
        <f>HYPERLINK("https://maps.google.com/?q=16.01229925,-96.661192990000004", "🔗 Ver Mapa")</f>
        <v>🔗 Ver Mapa</v>
      </c>
    </row>
    <row r="4293" spans="1:12" ht="43.5" x14ac:dyDescent="0.35">
      <c r="A4293" s="5" t="s">
        <v>98</v>
      </c>
      <c r="B4293" s="5" t="s">
        <v>99</v>
      </c>
      <c r="C4293" s="5" t="s">
        <v>909</v>
      </c>
      <c r="D4293" s="5" t="s">
        <v>14</v>
      </c>
      <c r="E4293" s="5" t="s">
        <v>17</v>
      </c>
      <c r="F4293" s="5" t="s">
        <v>20</v>
      </c>
      <c r="G4293" s="5" t="s">
        <v>77</v>
      </c>
      <c r="H4293" s="5" t="s">
        <v>910</v>
      </c>
      <c r="I4293" s="5" t="s">
        <v>31</v>
      </c>
      <c r="J4293" s="5">
        <v>16.013011639999998</v>
      </c>
      <c r="K4293" s="5">
        <v>-96.662214570000003</v>
      </c>
      <c r="L4293" s="5" t="str">
        <f>HYPERLINK("https://maps.google.com/?q=16.01301164,-96.662214570000003", "🔗 Ver Mapa")</f>
        <v>🔗 Ver Mapa</v>
      </c>
    </row>
    <row r="4294" spans="1:12" ht="43.5" x14ac:dyDescent="0.35">
      <c r="A4294" s="6" t="s">
        <v>98</v>
      </c>
      <c r="B4294" s="6" t="s">
        <v>99</v>
      </c>
      <c r="C4294" s="6" t="s">
        <v>909</v>
      </c>
      <c r="D4294" s="6" t="s">
        <v>14</v>
      </c>
      <c r="E4294" s="6" t="s">
        <v>17</v>
      </c>
      <c r="F4294" s="6" t="s">
        <v>20</v>
      </c>
      <c r="G4294" s="6" t="s">
        <v>77</v>
      </c>
      <c r="H4294" s="6" t="s">
        <v>910</v>
      </c>
      <c r="I4294" s="6" t="s">
        <v>31</v>
      </c>
      <c r="J4294" s="6">
        <v>16.013299790000001</v>
      </c>
      <c r="K4294" s="6">
        <v>-96.661675549999998</v>
      </c>
      <c r="L4294" s="6" t="str">
        <f>HYPERLINK("https://maps.google.com/?q=16.01329979,-96.661675549999998", "🔗 Ver Mapa")</f>
        <v>🔗 Ver Mapa</v>
      </c>
    </row>
    <row r="4295" spans="1:12" ht="43.5" x14ac:dyDescent="0.35">
      <c r="A4295" s="5" t="s">
        <v>98</v>
      </c>
      <c r="B4295" s="5" t="s">
        <v>99</v>
      </c>
      <c r="C4295" s="5" t="s">
        <v>909</v>
      </c>
      <c r="D4295" s="5" t="s">
        <v>14</v>
      </c>
      <c r="E4295" s="5" t="s">
        <v>17</v>
      </c>
      <c r="F4295" s="5" t="s">
        <v>20</v>
      </c>
      <c r="G4295" s="5" t="s">
        <v>77</v>
      </c>
      <c r="H4295" s="5" t="s">
        <v>910</v>
      </c>
      <c r="I4295" s="5" t="s">
        <v>31</v>
      </c>
      <c r="J4295" s="5">
        <v>16.01332464</v>
      </c>
      <c r="K4295" s="5">
        <v>-96.662022739999998</v>
      </c>
      <c r="L4295" s="5" t="str">
        <f>HYPERLINK("https://maps.google.com/?q=16.01332464,-96.662022739999998", "🔗 Ver Mapa")</f>
        <v>🔗 Ver Mapa</v>
      </c>
    </row>
    <row r="4296" spans="1:12" ht="43.5" x14ac:dyDescent="0.35">
      <c r="A4296" s="6" t="s">
        <v>98</v>
      </c>
      <c r="B4296" s="6" t="s">
        <v>99</v>
      </c>
      <c r="C4296" s="6" t="s">
        <v>909</v>
      </c>
      <c r="D4296" s="6" t="s">
        <v>14</v>
      </c>
      <c r="E4296" s="6" t="s">
        <v>17</v>
      </c>
      <c r="F4296" s="6" t="s">
        <v>20</v>
      </c>
      <c r="G4296" s="6" t="s">
        <v>77</v>
      </c>
      <c r="H4296" s="6" t="s">
        <v>910</v>
      </c>
      <c r="I4296" s="6" t="s">
        <v>31</v>
      </c>
      <c r="J4296" s="6">
        <v>16.013598210000001</v>
      </c>
      <c r="K4296" s="6">
        <v>-96.662224899999998</v>
      </c>
      <c r="L4296" s="6" t="str">
        <f>HYPERLINK("https://maps.google.com/?q=16.01359821,-96.662224899999998", "🔗 Ver Mapa")</f>
        <v>🔗 Ver Mapa</v>
      </c>
    </row>
    <row r="4297" spans="1:12" ht="43.5" x14ac:dyDescent="0.35">
      <c r="A4297" s="5" t="s">
        <v>98</v>
      </c>
      <c r="B4297" s="5" t="s">
        <v>99</v>
      </c>
      <c r="C4297" s="5" t="s">
        <v>911</v>
      </c>
      <c r="D4297" s="5" t="s">
        <v>14</v>
      </c>
      <c r="E4297" s="5" t="s">
        <v>17</v>
      </c>
      <c r="F4297" s="5" t="s">
        <v>20</v>
      </c>
      <c r="G4297" s="5" t="s">
        <v>77</v>
      </c>
      <c r="H4297" s="5" t="s">
        <v>912</v>
      </c>
      <c r="I4297" s="5" t="s">
        <v>31</v>
      </c>
      <c r="J4297" s="5">
        <v>16.008633295214</v>
      </c>
      <c r="K4297" s="5">
        <v>-96.570873252210006</v>
      </c>
      <c r="L4297" s="5" t="str">
        <f>HYPERLINK("https://maps.google.com/?q=16.0086332952137,-96.570873252209594", "🔗 Ver Mapa")</f>
        <v>🔗 Ver Mapa</v>
      </c>
    </row>
    <row r="4298" spans="1:12" ht="43.5" x14ac:dyDescent="0.35">
      <c r="A4298" s="6" t="s">
        <v>98</v>
      </c>
      <c r="B4298" s="6" t="s">
        <v>99</v>
      </c>
      <c r="C4298" s="6" t="s">
        <v>911</v>
      </c>
      <c r="D4298" s="6" t="s">
        <v>14</v>
      </c>
      <c r="E4298" s="6" t="s">
        <v>17</v>
      </c>
      <c r="F4298" s="6" t="s">
        <v>20</v>
      </c>
      <c r="G4298" s="6" t="s">
        <v>77</v>
      </c>
      <c r="H4298" s="6" t="s">
        <v>912</v>
      </c>
      <c r="I4298" s="6" t="s">
        <v>31</v>
      </c>
      <c r="J4298" s="6">
        <v>16.008741537873</v>
      </c>
      <c r="K4298" s="6">
        <v>-96.570944168004999</v>
      </c>
      <c r="L4298" s="6" t="str">
        <f>HYPERLINK("https://maps.google.com/?q=16.0087415378733,-96.570944168004701", "🔗 Ver Mapa")</f>
        <v>🔗 Ver Mapa</v>
      </c>
    </row>
    <row r="4299" spans="1:12" ht="43.5" x14ac:dyDescent="0.35">
      <c r="A4299" s="5" t="s">
        <v>98</v>
      </c>
      <c r="B4299" s="5" t="s">
        <v>99</v>
      </c>
      <c r="C4299" s="5" t="s">
        <v>911</v>
      </c>
      <c r="D4299" s="5" t="s">
        <v>14</v>
      </c>
      <c r="E4299" s="5" t="s">
        <v>17</v>
      </c>
      <c r="F4299" s="5" t="s">
        <v>20</v>
      </c>
      <c r="G4299" s="5" t="s">
        <v>77</v>
      </c>
      <c r="H4299" s="5" t="s">
        <v>912</v>
      </c>
      <c r="I4299" s="5" t="s">
        <v>31</v>
      </c>
      <c r="J4299" s="5">
        <v>16.008951172023998</v>
      </c>
      <c r="K4299" s="5">
        <v>-96.569284800361004</v>
      </c>
      <c r="L4299" s="5" t="str">
        <f>HYPERLINK("https://maps.google.com/?q=16.0089511720239,-96.569284800361203", "🔗 Ver Mapa")</f>
        <v>🔗 Ver Mapa</v>
      </c>
    </row>
    <row r="4300" spans="1:12" ht="43.5" x14ac:dyDescent="0.35">
      <c r="A4300" s="6" t="s">
        <v>98</v>
      </c>
      <c r="B4300" s="6" t="s">
        <v>99</v>
      </c>
      <c r="C4300" s="6" t="s">
        <v>911</v>
      </c>
      <c r="D4300" s="6" t="s">
        <v>14</v>
      </c>
      <c r="E4300" s="6" t="s">
        <v>17</v>
      </c>
      <c r="F4300" s="6" t="s">
        <v>20</v>
      </c>
      <c r="G4300" s="6" t="s">
        <v>77</v>
      </c>
      <c r="H4300" s="6" t="s">
        <v>912</v>
      </c>
      <c r="I4300" s="6" t="s">
        <v>31</v>
      </c>
      <c r="J4300" s="6">
        <v>16.008953447804</v>
      </c>
      <c r="K4300" s="6">
        <v>-96.569813588019002</v>
      </c>
      <c r="L4300" s="6" t="str">
        <f>HYPERLINK("https://maps.google.com/?q=16.0089534478043,-96.569813588019201", "🔗 Ver Mapa")</f>
        <v>🔗 Ver Mapa</v>
      </c>
    </row>
    <row r="4301" spans="1:12" ht="43.5" x14ac:dyDescent="0.35">
      <c r="A4301" s="5" t="s">
        <v>98</v>
      </c>
      <c r="B4301" s="5" t="s">
        <v>99</v>
      </c>
      <c r="C4301" s="5" t="s">
        <v>911</v>
      </c>
      <c r="D4301" s="5" t="s">
        <v>14</v>
      </c>
      <c r="E4301" s="5" t="s">
        <v>17</v>
      </c>
      <c r="F4301" s="5" t="s">
        <v>20</v>
      </c>
      <c r="G4301" s="5" t="s">
        <v>77</v>
      </c>
      <c r="H4301" s="5" t="s">
        <v>912</v>
      </c>
      <c r="I4301" s="5" t="s">
        <v>31</v>
      </c>
      <c r="J4301" s="5">
        <v>16.009131484726002</v>
      </c>
      <c r="K4301" s="5">
        <v>-96.569701624055995</v>
      </c>
      <c r="L4301" s="5" t="str">
        <f>HYPERLINK("https://maps.google.com/?q=16.0091314847256,-96.569701624055696", "🔗 Ver Mapa")</f>
        <v>🔗 Ver Mapa</v>
      </c>
    </row>
    <row r="4302" spans="1:12" ht="43.5" x14ac:dyDescent="0.35">
      <c r="A4302" s="6" t="s">
        <v>98</v>
      </c>
      <c r="B4302" s="6" t="s">
        <v>99</v>
      </c>
      <c r="C4302" s="6" t="s">
        <v>911</v>
      </c>
      <c r="D4302" s="6" t="s">
        <v>14</v>
      </c>
      <c r="E4302" s="6" t="s">
        <v>17</v>
      </c>
      <c r="F4302" s="6" t="s">
        <v>20</v>
      </c>
      <c r="G4302" s="6" t="s">
        <v>77</v>
      </c>
      <c r="H4302" s="6" t="s">
        <v>912</v>
      </c>
      <c r="I4302" s="6" t="s">
        <v>31</v>
      </c>
      <c r="J4302" s="6">
        <v>16.009584833413001</v>
      </c>
      <c r="K4302" s="6">
        <v>-96.568342119999997</v>
      </c>
      <c r="L4302" s="6" t="str">
        <f>HYPERLINK("https://maps.google.com/?q=16.0095848334134,-96.568342119999997", "🔗 Ver Mapa")</f>
        <v>🔗 Ver Mapa</v>
      </c>
    </row>
    <row r="4303" spans="1:12" ht="43.5" x14ac:dyDescent="0.35">
      <c r="A4303" s="5" t="s">
        <v>98</v>
      </c>
      <c r="B4303" s="5" t="s">
        <v>99</v>
      </c>
      <c r="C4303" s="5" t="s">
        <v>911</v>
      </c>
      <c r="D4303" s="5" t="s">
        <v>14</v>
      </c>
      <c r="E4303" s="5" t="s">
        <v>17</v>
      </c>
      <c r="F4303" s="5" t="s">
        <v>20</v>
      </c>
      <c r="G4303" s="5" t="s">
        <v>77</v>
      </c>
      <c r="H4303" s="5" t="s">
        <v>912</v>
      </c>
      <c r="I4303" s="5" t="s">
        <v>31</v>
      </c>
      <c r="J4303" s="5">
        <v>16.009587411594001</v>
      </c>
      <c r="K4303" s="5">
        <v>-96.568092674561996</v>
      </c>
      <c r="L4303" s="5" t="str">
        <f>HYPERLINK("https://maps.google.com/?q=16.0095874115944,-96.568092674561697", "🔗 Ver Mapa")</f>
        <v>🔗 Ver Mapa</v>
      </c>
    </row>
    <row r="4304" spans="1:12" ht="43.5" x14ac:dyDescent="0.35">
      <c r="A4304" s="6" t="s">
        <v>98</v>
      </c>
      <c r="B4304" s="6" t="s">
        <v>99</v>
      </c>
      <c r="C4304" s="6" t="s">
        <v>911</v>
      </c>
      <c r="D4304" s="6" t="s">
        <v>14</v>
      </c>
      <c r="E4304" s="6" t="s">
        <v>17</v>
      </c>
      <c r="F4304" s="6" t="s">
        <v>20</v>
      </c>
      <c r="G4304" s="6" t="s">
        <v>77</v>
      </c>
      <c r="H4304" s="6" t="s">
        <v>912</v>
      </c>
      <c r="I4304" s="6" t="s">
        <v>31</v>
      </c>
      <c r="J4304" s="6">
        <v>16.009750248629</v>
      </c>
      <c r="K4304" s="6">
        <v>-96.570436549326004</v>
      </c>
      <c r="L4304" s="6" t="str">
        <f>HYPERLINK("https://maps.google.com/?q=16.0097502486293,-96.570436549325805", "🔗 Ver Mapa")</f>
        <v>🔗 Ver Mapa</v>
      </c>
    </row>
    <row r="4305" spans="1:12" ht="43.5" x14ac:dyDescent="0.35">
      <c r="A4305" s="5" t="s">
        <v>98</v>
      </c>
      <c r="B4305" s="5" t="s">
        <v>99</v>
      </c>
      <c r="C4305" s="5" t="s">
        <v>911</v>
      </c>
      <c r="D4305" s="5" t="s">
        <v>14</v>
      </c>
      <c r="E4305" s="5" t="s">
        <v>17</v>
      </c>
      <c r="F4305" s="5" t="s">
        <v>20</v>
      </c>
      <c r="G4305" s="5" t="s">
        <v>77</v>
      </c>
      <c r="H4305" s="5" t="s">
        <v>912</v>
      </c>
      <c r="I4305" s="5" t="s">
        <v>31</v>
      </c>
      <c r="J4305" s="5">
        <v>16.009904527610999</v>
      </c>
      <c r="K4305" s="5">
        <v>-96.570495933838998</v>
      </c>
      <c r="L4305" s="5" t="str">
        <f>HYPERLINK("https://maps.google.com/?q=16.0099045276106,-96.570495933838799", "🔗 Ver Mapa")</f>
        <v>🔗 Ver Mapa</v>
      </c>
    </row>
    <row r="4306" spans="1:12" ht="43.5" x14ac:dyDescent="0.35">
      <c r="A4306" s="6" t="s">
        <v>98</v>
      </c>
      <c r="B4306" s="6" t="s">
        <v>99</v>
      </c>
      <c r="C4306" s="6" t="s">
        <v>911</v>
      </c>
      <c r="D4306" s="6" t="s">
        <v>14</v>
      </c>
      <c r="E4306" s="6" t="s">
        <v>17</v>
      </c>
      <c r="F4306" s="6" t="s">
        <v>20</v>
      </c>
      <c r="G4306" s="6" t="s">
        <v>77</v>
      </c>
      <c r="H4306" s="6" t="s">
        <v>912</v>
      </c>
      <c r="I4306" s="6" t="s">
        <v>31</v>
      </c>
      <c r="J4306" s="6">
        <v>16.010392494771999</v>
      </c>
      <c r="K4306" s="6">
        <v>-96.575719408015999</v>
      </c>
      <c r="L4306" s="6" t="str">
        <f>HYPERLINK("https://maps.google.com/?q=16.010392494772,-96.575719408016099", "🔗 Ver Mapa")</f>
        <v>🔗 Ver Mapa</v>
      </c>
    </row>
    <row r="4307" spans="1:12" ht="43.5" x14ac:dyDescent="0.35">
      <c r="A4307" s="5" t="s">
        <v>98</v>
      </c>
      <c r="B4307" s="5" t="s">
        <v>99</v>
      </c>
      <c r="C4307" s="5" t="s">
        <v>911</v>
      </c>
      <c r="D4307" s="5" t="s">
        <v>14</v>
      </c>
      <c r="E4307" s="5" t="s">
        <v>17</v>
      </c>
      <c r="F4307" s="5" t="s">
        <v>20</v>
      </c>
      <c r="G4307" s="5" t="s">
        <v>77</v>
      </c>
      <c r="H4307" s="5" t="s">
        <v>912</v>
      </c>
      <c r="I4307" s="5" t="s">
        <v>31</v>
      </c>
      <c r="J4307" s="5">
        <v>16.011317935733</v>
      </c>
      <c r="K4307" s="5">
        <v>-96.577403045957993</v>
      </c>
      <c r="L4307" s="5" t="str">
        <f>HYPERLINK("https://maps.google.com/?q=16.0113179357329,-96.577403045957595", "🔗 Ver Mapa")</f>
        <v>🔗 Ver Mapa</v>
      </c>
    </row>
    <row r="4308" spans="1:12" ht="43.5" x14ac:dyDescent="0.35">
      <c r="A4308" s="6" t="s">
        <v>98</v>
      </c>
      <c r="B4308" s="6" t="s">
        <v>99</v>
      </c>
      <c r="C4308" s="6" t="s">
        <v>911</v>
      </c>
      <c r="D4308" s="6" t="s">
        <v>14</v>
      </c>
      <c r="E4308" s="6" t="s">
        <v>17</v>
      </c>
      <c r="F4308" s="6" t="s">
        <v>20</v>
      </c>
      <c r="G4308" s="6" t="s">
        <v>77</v>
      </c>
      <c r="H4308" s="6" t="s">
        <v>912</v>
      </c>
      <c r="I4308" s="6" t="s">
        <v>31</v>
      </c>
      <c r="J4308" s="6">
        <v>16.018154344988002</v>
      </c>
      <c r="K4308" s="6">
        <v>-96.569432224774005</v>
      </c>
      <c r="L4308" s="6" t="str">
        <f>HYPERLINK("https://maps.google.com/?q=16.0181543449883,-96.569432224773806", "🔗 Ver Mapa")</f>
        <v>🔗 Ver Mapa</v>
      </c>
    </row>
    <row r="4309" spans="1:12" ht="43.5" x14ac:dyDescent="0.35">
      <c r="A4309" s="5" t="s">
        <v>98</v>
      </c>
      <c r="B4309" s="5" t="s">
        <v>99</v>
      </c>
      <c r="C4309" s="5" t="s">
        <v>913</v>
      </c>
      <c r="D4309" s="5" t="s">
        <v>14</v>
      </c>
      <c r="E4309" s="5" t="s">
        <v>17</v>
      </c>
      <c r="F4309" s="5" t="s">
        <v>20</v>
      </c>
      <c r="G4309" s="5" t="s">
        <v>77</v>
      </c>
      <c r="H4309" s="5" t="s">
        <v>914</v>
      </c>
      <c r="I4309" s="5" t="s">
        <v>31</v>
      </c>
      <c r="J4309" s="5">
        <v>16.025630654086999</v>
      </c>
      <c r="K4309" s="5">
        <v>-96.649500749891999</v>
      </c>
      <c r="L4309" s="5" t="str">
        <f>HYPERLINK("https://maps.google.com/?q=16.0256306540867,-96.649500749891899", "🔗 Ver Mapa")</f>
        <v>🔗 Ver Mapa</v>
      </c>
    </row>
    <row r="4310" spans="1:12" ht="43.5" x14ac:dyDescent="0.35">
      <c r="A4310" s="6" t="s">
        <v>98</v>
      </c>
      <c r="B4310" s="6" t="s">
        <v>99</v>
      </c>
      <c r="C4310" s="6" t="s">
        <v>913</v>
      </c>
      <c r="D4310" s="6" t="s">
        <v>14</v>
      </c>
      <c r="E4310" s="6" t="s">
        <v>17</v>
      </c>
      <c r="F4310" s="6" t="s">
        <v>20</v>
      </c>
      <c r="G4310" s="6" t="s">
        <v>77</v>
      </c>
      <c r="H4310" s="6" t="s">
        <v>914</v>
      </c>
      <c r="I4310" s="6" t="s">
        <v>31</v>
      </c>
      <c r="J4310" s="6">
        <v>16.026565168691999</v>
      </c>
      <c r="K4310" s="6">
        <v>-96.639229750669998</v>
      </c>
      <c r="L4310" s="6" t="str">
        <f>HYPERLINK("https://maps.google.com/?q=16.0265651686915,-96.639229750669799", "🔗 Ver Mapa")</f>
        <v>🔗 Ver Mapa</v>
      </c>
    </row>
    <row r="4311" spans="1:12" ht="43.5" x14ac:dyDescent="0.35">
      <c r="A4311" s="5" t="s">
        <v>98</v>
      </c>
      <c r="B4311" s="5" t="s">
        <v>99</v>
      </c>
      <c r="C4311" s="5" t="s">
        <v>913</v>
      </c>
      <c r="D4311" s="5" t="s">
        <v>14</v>
      </c>
      <c r="E4311" s="5" t="s">
        <v>17</v>
      </c>
      <c r="F4311" s="5" t="s">
        <v>20</v>
      </c>
      <c r="G4311" s="5" t="s">
        <v>77</v>
      </c>
      <c r="H4311" s="5" t="s">
        <v>914</v>
      </c>
      <c r="I4311" s="5" t="s">
        <v>31</v>
      </c>
      <c r="J4311" s="5">
        <v>16.026660961870999</v>
      </c>
      <c r="K4311" s="5">
        <v>-96.647628749348996</v>
      </c>
      <c r="L4311" s="5" t="str">
        <f>HYPERLINK("https://maps.google.com/?q=16.026660961871,-96.647628749349295", "🔗 Ver Mapa")</f>
        <v>🔗 Ver Mapa</v>
      </c>
    </row>
    <row r="4312" spans="1:12" ht="43.5" x14ac:dyDescent="0.35">
      <c r="A4312" s="6" t="s">
        <v>98</v>
      </c>
      <c r="B4312" s="6" t="s">
        <v>99</v>
      </c>
      <c r="C4312" s="6" t="s">
        <v>913</v>
      </c>
      <c r="D4312" s="6" t="s">
        <v>14</v>
      </c>
      <c r="E4312" s="6" t="s">
        <v>17</v>
      </c>
      <c r="F4312" s="6" t="s">
        <v>20</v>
      </c>
      <c r="G4312" s="6" t="s">
        <v>77</v>
      </c>
      <c r="H4312" s="6" t="s">
        <v>914</v>
      </c>
      <c r="I4312" s="6" t="s">
        <v>31</v>
      </c>
      <c r="J4312" s="6">
        <v>16.026677769732999</v>
      </c>
      <c r="K4312" s="6">
        <v>-96.638875235155993</v>
      </c>
      <c r="L4312" s="6" t="str">
        <f>HYPERLINK("https://maps.google.com/?q=16.0266777697335,-96.638875235156306", "🔗 Ver Mapa")</f>
        <v>🔗 Ver Mapa</v>
      </c>
    </row>
    <row r="4313" spans="1:12" ht="43.5" x14ac:dyDescent="0.35">
      <c r="A4313" s="5" t="s">
        <v>98</v>
      </c>
      <c r="B4313" s="5" t="s">
        <v>99</v>
      </c>
      <c r="C4313" s="5" t="s">
        <v>913</v>
      </c>
      <c r="D4313" s="5" t="s">
        <v>14</v>
      </c>
      <c r="E4313" s="5" t="s">
        <v>17</v>
      </c>
      <c r="F4313" s="5" t="s">
        <v>20</v>
      </c>
      <c r="G4313" s="5" t="s">
        <v>77</v>
      </c>
      <c r="H4313" s="5" t="s">
        <v>914</v>
      </c>
      <c r="I4313" s="5" t="s">
        <v>31</v>
      </c>
      <c r="J4313" s="5">
        <v>16.026821335413</v>
      </c>
      <c r="K4313" s="5">
        <v>-96.639104418757995</v>
      </c>
      <c r="L4313" s="5" t="str">
        <f>HYPERLINK("https://maps.google.com/?q=16.0268213354132,-96.639104418758194", "🔗 Ver Mapa")</f>
        <v>🔗 Ver Mapa</v>
      </c>
    </row>
    <row r="4314" spans="1:12" ht="43.5" x14ac:dyDescent="0.35">
      <c r="A4314" s="6" t="s">
        <v>98</v>
      </c>
      <c r="B4314" s="6" t="s">
        <v>99</v>
      </c>
      <c r="C4314" s="6" t="s">
        <v>913</v>
      </c>
      <c r="D4314" s="6" t="s">
        <v>14</v>
      </c>
      <c r="E4314" s="6" t="s">
        <v>17</v>
      </c>
      <c r="F4314" s="6" t="s">
        <v>20</v>
      </c>
      <c r="G4314" s="6" t="s">
        <v>77</v>
      </c>
      <c r="H4314" s="6" t="s">
        <v>914</v>
      </c>
      <c r="I4314" s="6" t="s">
        <v>31</v>
      </c>
      <c r="J4314" s="6">
        <v>16.026938204074</v>
      </c>
      <c r="K4314" s="6">
        <v>-96.640515486151997</v>
      </c>
      <c r="L4314" s="6" t="str">
        <f>HYPERLINK("https://maps.google.com/?q=16.026938204074,-96.640515486151699", "🔗 Ver Mapa")</f>
        <v>🔗 Ver Mapa</v>
      </c>
    </row>
    <row r="4315" spans="1:12" ht="43.5" x14ac:dyDescent="0.35">
      <c r="A4315" s="5" t="s">
        <v>98</v>
      </c>
      <c r="B4315" s="5" t="s">
        <v>99</v>
      </c>
      <c r="C4315" s="5" t="s">
        <v>913</v>
      </c>
      <c r="D4315" s="5" t="s">
        <v>14</v>
      </c>
      <c r="E4315" s="5" t="s">
        <v>17</v>
      </c>
      <c r="F4315" s="5" t="s">
        <v>20</v>
      </c>
      <c r="G4315" s="5" t="s">
        <v>77</v>
      </c>
      <c r="H4315" s="5" t="s">
        <v>914</v>
      </c>
      <c r="I4315" s="5" t="s">
        <v>31</v>
      </c>
      <c r="J4315" s="5">
        <v>16.027305347194002</v>
      </c>
      <c r="K4315" s="5">
        <v>-96.647355364177997</v>
      </c>
      <c r="L4315" s="5" t="str">
        <f>HYPERLINK("https://maps.google.com/?q=16.0273053471943,-96.647355364178395", "🔗 Ver Mapa")</f>
        <v>🔗 Ver Mapa</v>
      </c>
    </row>
    <row r="4316" spans="1:12" ht="43.5" x14ac:dyDescent="0.35">
      <c r="A4316" s="6" t="s">
        <v>98</v>
      </c>
      <c r="B4316" s="6" t="s">
        <v>99</v>
      </c>
      <c r="C4316" s="6" t="s">
        <v>913</v>
      </c>
      <c r="D4316" s="6" t="s">
        <v>14</v>
      </c>
      <c r="E4316" s="6" t="s">
        <v>17</v>
      </c>
      <c r="F4316" s="6" t="s">
        <v>20</v>
      </c>
      <c r="G4316" s="6" t="s">
        <v>77</v>
      </c>
      <c r="H4316" s="6" t="s">
        <v>914</v>
      </c>
      <c r="I4316" s="6" t="s">
        <v>31</v>
      </c>
      <c r="J4316" s="6">
        <v>16.027445009432</v>
      </c>
      <c r="K4316" s="6">
        <v>-96.641833292209</v>
      </c>
      <c r="L4316" s="6" t="str">
        <f>HYPERLINK("https://maps.google.com/?q=16.0274450094324,-96.641833292209", "🔗 Ver Mapa")</f>
        <v>🔗 Ver Mapa</v>
      </c>
    </row>
    <row r="4317" spans="1:12" ht="43.5" x14ac:dyDescent="0.35">
      <c r="A4317" s="5" t="s">
        <v>98</v>
      </c>
      <c r="B4317" s="5" t="s">
        <v>99</v>
      </c>
      <c r="C4317" s="5" t="s">
        <v>913</v>
      </c>
      <c r="D4317" s="5" t="s">
        <v>14</v>
      </c>
      <c r="E4317" s="5" t="s">
        <v>17</v>
      </c>
      <c r="F4317" s="5" t="s">
        <v>20</v>
      </c>
      <c r="G4317" s="5" t="s">
        <v>77</v>
      </c>
      <c r="H4317" s="5" t="s">
        <v>914</v>
      </c>
      <c r="I4317" s="5" t="s">
        <v>31</v>
      </c>
      <c r="J4317" s="5">
        <v>16.027911808841001</v>
      </c>
      <c r="K4317" s="5">
        <v>-96.640432112219003</v>
      </c>
      <c r="L4317" s="5" t="str">
        <f>HYPERLINK("https://maps.google.com/?q=16.0279118088414,-96.640432112219401", "🔗 Ver Mapa")</f>
        <v>🔗 Ver Mapa</v>
      </c>
    </row>
    <row r="4318" spans="1:12" ht="43.5" x14ac:dyDescent="0.35">
      <c r="A4318" s="6" t="s">
        <v>98</v>
      </c>
      <c r="B4318" s="6" t="s">
        <v>99</v>
      </c>
      <c r="C4318" s="6" t="s">
        <v>913</v>
      </c>
      <c r="D4318" s="6" t="s">
        <v>14</v>
      </c>
      <c r="E4318" s="6" t="s">
        <v>17</v>
      </c>
      <c r="F4318" s="6" t="s">
        <v>20</v>
      </c>
      <c r="G4318" s="6" t="s">
        <v>77</v>
      </c>
      <c r="H4318" s="6" t="s">
        <v>914</v>
      </c>
      <c r="I4318" s="6" t="s">
        <v>31</v>
      </c>
      <c r="J4318" s="6">
        <v>16.028843907749</v>
      </c>
      <c r="K4318" s="6">
        <v>-96.647300574350993</v>
      </c>
      <c r="L4318" s="6" t="str">
        <f>HYPERLINK("https://maps.google.com/?q=16.028843907749,-96.647300574351107", "🔗 Ver Mapa")</f>
        <v>🔗 Ver Mapa</v>
      </c>
    </row>
    <row r="4319" spans="1:12" ht="43.5" x14ac:dyDescent="0.35">
      <c r="A4319" s="5" t="s">
        <v>98</v>
      </c>
      <c r="B4319" s="5" t="s">
        <v>99</v>
      </c>
      <c r="C4319" s="5" t="s">
        <v>913</v>
      </c>
      <c r="D4319" s="5" t="s">
        <v>14</v>
      </c>
      <c r="E4319" s="5" t="s">
        <v>17</v>
      </c>
      <c r="F4319" s="5" t="s">
        <v>20</v>
      </c>
      <c r="G4319" s="5" t="s">
        <v>77</v>
      </c>
      <c r="H4319" s="5" t="s">
        <v>914</v>
      </c>
      <c r="I4319" s="5" t="s">
        <v>31</v>
      </c>
      <c r="J4319" s="5">
        <v>16.029395988728002</v>
      </c>
      <c r="K4319" s="5">
        <v>-96.649945629742007</v>
      </c>
      <c r="L4319" s="5" t="str">
        <f>HYPERLINK("https://maps.google.com/?q=16.0293959887275,-96.649945629742405", "🔗 Ver Mapa")</f>
        <v>🔗 Ver Mapa</v>
      </c>
    </row>
    <row r="4320" spans="1:12" ht="43.5" x14ac:dyDescent="0.35">
      <c r="A4320" s="6" t="s">
        <v>98</v>
      </c>
      <c r="B4320" s="6" t="s">
        <v>99</v>
      </c>
      <c r="C4320" s="6" t="s">
        <v>913</v>
      </c>
      <c r="D4320" s="6" t="s">
        <v>14</v>
      </c>
      <c r="E4320" s="6" t="s">
        <v>17</v>
      </c>
      <c r="F4320" s="6" t="s">
        <v>20</v>
      </c>
      <c r="G4320" s="6" t="s">
        <v>77</v>
      </c>
      <c r="H4320" s="6" t="s">
        <v>914</v>
      </c>
      <c r="I4320" s="6" t="s">
        <v>31</v>
      </c>
      <c r="J4320" s="6">
        <v>16.029972209383999</v>
      </c>
      <c r="K4320" s="6">
        <v>-96.644333942209002</v>
      </c>
      <c r="L4320" s="6" t="str">
        <f>HYPERLINK("https://maps.google.com/?q=16.029972209384,-96.644333942208902", "🔗 Ver Mapa")</f>
        <v>🔗 Ver Mapa</v>
      </c>
    </row>
    <row r="4321" spans="1:12" ht="43.5" x14ac:dyDescent="0.35">
      <c r="A4321" s="5" t="s">
        <v>98</v>
      </c>
      <c r="B4321" s="5" t="s">
        <v>99</v>
      </c>
      <c r="C4321" s="5" t="s">
        <v>913</v>
      </c>
      <c r="D4321" s="5" t="s">
        <v>14</v>
      </c>
      <c r="E4321" s="5" t="s">
        <v>17</v>
      </c>
      <c r="F4321" s="5" t="s">
        <v>20</v>
      </c>
      <c r="G4321" s="5" t="s">
        <v>77</v>
      </c>
      <c r="H4321" s="5" t="s">
        <v>914</v>
      </c>
      <c r="I4321" s="5" t="s">
        <v>31</v>
      </c>
      <c r="J4321" s="5">
        <v>16.031262983331999</v>
      </c>
      <c r="K4321" s="5">
        <v>-96.640676357746997</v>
      </c>
      <c r="L4321" s="5" t="str">
        <f>HYPERLINK("https://maps.google.com/?q=16.0312629833325,-96.640676357746798", "🔗 Ver Mapa")</f>
        <v>🔗 Ver Mapa</v>
      </c>
    </row>
    <row r="4322" spans="1:12" ht="43.5" x14ac:dyDescent="0.35">
      <c r="A4322" s="6" t="s">
        <v>98</v>
      </c>
      <c r="B4322" s="6" t="s">
        <v>99</v>
      </c>
      <c r="C4322" s="6" t="s">
        <v>913</v>
      </c>
      <c r="D4322" s="6" t="s">
        <v>14</v>
      </c>
      <c r="E4322" s="6" t="s">
        <v>17</v>
      </c>
      <c r="F4322" s="6" t="s">
        <v>20</v>
      </c>
      <c r="G4322" s="6" t="s">
        <v>77</v>
      </c>
      <c r="H4322" s="6" t="s">
        <v>914</v>
      </c>
      <c r="I4322" s="6" t="s">
        <v>31</v>
      </c>
      <c r="J4322" s="6">
        <v>16.031437444584999</v>
      </c>
      <c r="K4322" s="6">
        <v>-96.649881924081001</v>
      </c>
      <c r="L4322" s="6" t="str">
        <f>HYPERLINK("https://maps.google.com/?q=16.0314374445845,-96.649881924080901", "🔗 Ver Mapa")</f>
        <v>🔗 Ver Mapa</v>
      </c>
    </row>
    <row r="4323" spans="1:12" ht="43.5" x14ac:dyDescent="0.35">
      <c r="A4323" s="5" t="s">
        <v>98</v>
      </c>
      <c r="B4323" s="5" t="s">
        <v>99</v>
      </c>
      <c r="C4323" s="5" t="s">
        <v>913</v>
      </c>
      <c r="D4323" s="5" t="s">
        <v>14</v>
      </c>
      <c r="E4323" s="5" t="s">
        <v>17</v>
      </c>
      <c r="F4323" s="5" t="s">
        <v>20</v>
      </c>
      <c r="G4323" s="5" t="s">
        <v>77</v>
      </c>
      <c r="H4323" s="5" t="s">
        <v>914</v>
      </c>
      <c r="I4323" s="5" t="s">
        <v>31</v>
      </c>
      <c r="J4323" s="5">
        <v>16.032367759909999</v>
      </c>
      <c r="K4323" s="5">
        <v>-96.641371478916</v>
      </c>
      <c r="L4323" s="5" t="str">
        <f>HYPERLINK("https://maps.google.com/?q=16.0323677599097,-96.641371478916298", "🔗 Ver Mapa")</f>
        <v>🔗 Ver Mapa</v>
      </c>
    </row>
    <row r="4324" spans="1:12" ht="43.5" x14ac:dyDescent="0.35">
      <c r="A4324" s="6" t="s">
        <v>98</v>
      </c>
      <c r="B4324" s="6" t="s">
        <v>99</v>
      </c>
      <c r="C4324" s="6" t="s">
        <v>915</v>
      </c>
      <c r="D4324" s="6" t="s">
        <v>14</v>
      </c>
      <c r="E4324" s="6" t="s">
        <v>17</v>
      </c>
      <c r="F4324" s="6" t="s">
        <v>20</v>
      </c>
      <c r="G4324" s="6" t="s">
        <v>77</v>
      </c>
      <c r="H4324" s="6" t="s">
        <v>916</v>
      </c>
      <c r="I4324" s="6" t="s">
        <v>31</v>
      </c>
      <c r="J4324" s="6">
        <v>16.013667473440002</v>
      </c>
      <c r="K4324" s="6">
        <v>-96.612624580000002</v>
      </c>
      <c r="L4324" s="6" t="str">
        <f>HYPERLINK("https://maps.google.com/?q=16.0136674734404,-96.612624580000002", "🔗 Ver Mapa")</f>
        <v>🔗 Ver Mapa</v>
      </c>
    </row>
    <row r="4325" spans="1:12" ht="43.5" x14ac:dyDescent="0.35">
      <c r="A4325" s="5" t="s">
        <v>98</v>
      </c>
      <c r="B4325" s="5" t="s">
        <v>99</v>
      </c>
      <c r="C4325" s="5" t="s">
        <v>915</v>
      </c>
      <c r="D4325" s="5" t="s">
        <v>14</v>
      </c>
      <c r="E4325" s="5" t="s">
        <v>17</v>
      </c>
      <c r="F4325" s="5" t="s">
        <v>20</v>
      </c>
      <c r="G4325" s="5" t="s">
        <v>77</v>
      </c>
      <c r="H4325" s="5" t="s">
        <v>916</v>
      </c>
      <c r="I4325" s="5" t="s">
        <v>31</v>
      </c>
      <c r="J4325" s="5">
        <v>16.014085129796999</v>
      </c>
      <c r="K4325" s="5">
        <v>-96.611956709956004</v>
      </c>
      <c r="L4325" s="5" t="str">
        <f>HYPERLINK("https://maps.google.com/?q=16.0140851297969,-96.611956709955507", "🔗 Ver Mapa")</f>
        <v>🔗 Ver Mapa</v>
      </c>
    </row>
    <row r="4326" spans="1:12" ht="43.5" x14ac:dyDescent="0.35">
      <c r="A4326" s="6" t="s">
        <v>98</v>
      </c>
      <c r="B4326" s="6" t="s">
        <v>99</v>
      </c>
      <c r="C4326" s="6" t="s">
        <v>915</v>
      </c>
      <c r="D4326" s="6" t="s">
        <v>14</v>
      </c>
      <c r="E4326" s="6" t="s">
        <v>17</v>
      </c>
      <c r="F4326" s="6" t="s">
        <v>20</v>
      </c>
      <c r="G4326" s="6" t="s">
        <v>77</v>
      </c>
      <c r="H4326" s="6" t="s">
        <v>916</v>
      </c>
      <c r="I4326" s="6" t="s">
        <v>31</v>
      </c>
      <c r="J4326" s="6">
        <v>16.014157317226999</v>
      </c>
      <c r="K4326" s="6">
        <v>-96.611811870669001</v>
      </c>
      <c r="L4326" s="6" t="str">
        <f>HYPERLINK("https://maps.google.com/?q=16.0141573172267,-96.611811870668703", "🔗 Ver Mapa")</f>
        <v>🔗 Ver Mapa</v>
      </c>
    </row>
    <row r="4327" spans="1:12" ht="43.5" x14ac:dyDescent="0.35">
      <c r="A4327" s="5" t="s">
        <v>98</v>
      </c>
      <c r="B4327" s="5" t="s">
        <v>99</v>
      </c>
      <c r="C4327" s="5" t="s">
        <v>915</v>
      </c>
      <c r="D4327" s="5" t="s">
        <v>14</v>
      </c>
      <c r="E4327" s="5" t="s">
        <v>17</v>
      </c>
      <c r="F4327" s="5" t="s">
        <v>20</v>
      </c>
      <c r="G4327" s="5" t="s">
        <v>77</v>
      </c>
      <c r="H4327" s="5" t="s">
        <v>916</v>
      </c>
      <c r="I4327" s="5" t="s">
        <v>31</v>
      </c>
      <c r="J4327" s="5">
        <v>16.014340363807001</v>
      </c>
      <c r="K4327" s="5">
        <v>-96.611599976156995</v>
      </c>
      <c r="L4327" s="5" t="str">
        <f>HYPERLINK("https://maps.google.com/?q=16.0143403638067,-96.611599976156597", "🔗 Ver Mapa")</f>
        <v>🔗 Ver Mapa</v>
      </c>
    </row>
    <row r="4328" spans="1:12" ht="43.5" x14ac:dyDescent="0.35">
      <c r="A4328" s="6" t="s">
        <v>98</v>
      </c>
      <c r="B4328" s="6" t="s">
        <v>99</v>
      </c>
      <c r="C4328" s="6" t="s">
        <v>915</v>
      </c>
      <c r="D4328" s="6" t="s">
        <v>14</v>
      </c>
      <c r="E4328" s="6" t="s">
        <v>17</v>
      </c>
      <c r="F4328" s="6" t="s">
        <v>20</v>
      </c>
      <c r="G4328" s="6" t="s">
        <v>77</v>
      </c>
      <c r="H4328" s="6" t="s">
        <v>916</v>
      </c>
      <c r="I4328" s="6" t="s">
        <v>31</v>
      </c>
      <c r="J4328" s="6">
        <v>16.014430002750998</v>
      </c>
      <c r="K4328" s="6">
        <v>-96.611098523611005</v>
      </c>
      <c r="L4328" s="6" t="str">
        <f>HYPERLINK("https://maps.google.com/?q=16.0144300027508,-96.611098523610707", "🔗 Ver Mapa")</f>
        <v>🔗 Ver Mapa</v>
      </c>
    </row>
    <row r="4329" spans="1:12" ht="43.5" x14ac:dyDescent="0.35">
      <c r="A4329" s="5" t="s">
        <v>98</v>
      </c>
      <c r="B4329" s="5" t="s">
        <v>99</v>
      </c>
      <c r="C4329" s="5" t="s">
        <v>915</v>
      </c>
      <c r="D4329" s="5" t="s">
        <v>14</v>
      </c>
      <c r="E4329" s="5" t="s">
        <v>17</v>
      </c>
      <c r="F4329" s="5" t="s">
        <v>20</v>
      </c>
      <c r="G4329" s="5" t="s">
        <v>77</v>
      </c>
      <c r="H4329" s="5" t="s">
        <v>916</v>
      </c>
      <c r="I4329" s="5" t="s">
        <v>31</v>
      </c>
      <c r="J4329" s="5">
        <v>16.014809581034001</v>
      </c>
      <c r="K4329" s="5">
        <v>-96.613445335958005</v>
      </c>
      <c r="L4329" s="5" t="str">
        <f>HYPERLINK("https://maps.google.com/?q=16.0148095810341,-96.613445335958303", "🔗 Ver Mapa")</f>
        <v>🔗 Ver Mapa</v>
      </c>
    </row>
    <row r="4330" spans="1:12" ht="43.5" x14ac:dyDescent="0.35">
      <c r="A4330" s="6" t="s">
        <v>98</v>
      </c>
      <c r="B4330" s="6" t="s">
        <v>99</v>
      </c>
      <c r="C4330" s="6" t="s">
        <v>915</v>
      </c>
      <c r="D4330" s="6" t="s">
        <v>14</v>
      </c>
      <c r="E4330" s="6" t="s">
        <v>17</v>
      </c>
      <c r="F4330" s="6" t="s">
        <v>20</v>
      </c>
      <c r="G4330" s="6" t="s">
        <v>77</v>
      </c>
      <c r="H4330" s="6" t="s">
        <v>916</v>
      </c>
      <c r="I4330" s="6" t="s">
        <v>31</v>
      </c>
      <c r="J4330" s="6">
        <v>16.014969424014001</v>
      </c>
      <c r="K4330" s="6">
        <v>-96.613203937147006</v>
      </c>
      <c r="L4330" s="6" t="str">
        <f>HYPERLINK("https://maps.google.com/?q=16.0149694240136,-96.613203937147006", "🔗 Ver Mapa")</f>
        <v>🔗 Ver Mapa</v>
      </c>
    </row>
    <row r="4331" spans="1:12" ht="43.5" x14ac:dyDescent="0.35">
      <c r="A4331" s="5" t="s">
        <v>98</v>
      </c>
      <c r="B4331" s="5" t="s">
        <v>99</v>
      </c>
      <c r="C4331" s="5" t="s">
        <v>915</v>
      </c>
      <c r="D4331" s="5" t="s">
        <v>14</v>
      </c>
      <c r="E4331" s="5" t="s">
        <v>17</v>
      </c>
      <c r="F4331" s="5" t="s">
        <v>20</v>
      </c>
      <c r="G4331" s="5" t="s">
        <v>77</v>
      </c>
      <c r="H4331" s="5" t="s">
        <v>916</v>
      </c>
      <c r="I4331" s="5" t="s">
        <v>31</v>
      </c>
      <c r="J4331" s="5">
        <v>16.016795447724999</v>
      </c>
      <c r="K4331" s="5">
        <v>-96.617635000000007</v>
      </c>
      <c r="L4331" s="5" t="str">
        <f>HYPERLINK("https://maps.google.com/?q=16.0167954477253,-96.617635000000107", "🔗 Ver Mapa")</f>
        <v>🔗 Ver Mapa</v>
      </c>
    </row>
    <row r="4332" spans="1:12" ht="43.5" x14ac:dyDescent="0.35">
      <c r="A4332" s="6" t="s">
        <v>98</v>
      </c>
      <c r="B4332" s="6" t="s">
        <v>99</v>
      </c>
      <c r="C4332" s="6" t="s">
        <v>915</v>
      </c>
      <c r="D4332" s="6" t="s">
        <v>14</v>
      </c>
      <c r="E4332" s="6" t="s">
        <v>17</v>
      </c>
      <c r="F4332" s="6" t="s">
        <v>20</v>
      </c>
      <c r="G4332" s="6" t="s">
        <v>77</v>
      </c>
      <c r="H4332" s="6" t="s">
        <v>916</v>
      </c>
      <c r="I4332" s="6" t="s">
        <v>31</v>
      </c>
      <c r="J4332" s="6">
        <v>16.016834119041</v>
      </c>
      <c r="K4332" s="6">
        <v>-96.618788349875999</v>
      </c>
      <c r="L4332" s="6" t="str">
        <f>HYPERLINK("https://maps.google.com/?q=16.0168341190408,-96.618788349876098", "🔗 Ver Mapa")</f>
        <v>🔗 Ver Mapa</v>
      </c>
    </row>
    <row r="4333" spans="1:12" ht="43.5" x14ac:dyDescent="0.35">
      <c r="A4333" s="5" t="s">
        <v>98</v>
      </c>
      <c r="B4333" s="5" t="s">
        <v>99</v>
      </c>
      <c r="C4333" s="5" t="s">
        <v>915</v>
      </c>
      <c r="D4333" s="5" t="s">
        <v>14</v>
      </c>
      <c r="E4333" s="5" t="s">
        <v>17</v>
      </c>
      <c r="F4333" s="5" t="s">
        <v>20</v>
      </c>
      <c r="G4333" s="5" t="s">
        <v>77</v>
      </c>
      <c r="H4333" s="5" t="s">
        <v>916</v>
      </c>
      <c r="I4333" s="5" t="s">
        <v>31</v>
      </c>
      <c r="J4333" s="5">
        <v>16.016908883563001</v>
      </c>
      <c r="K4333" s="5">
        <v>-96.618589866408996</v>
      </c>
      <c r="L4333" s="5" t="str">
        <f>HYPERLINK("https://maps.google.com/?q=16.016908883563,-96.618589866409096", "🔗 Ver Mapa")</f>
        <v>🔗 Ver Mapa</v>
      </c>
    </row>
    <row r="4334" spans="1:12" ht="43.5" x14ac:dyDescent="0.35">
      <c r="A4334" s="6" t="s">
        <v>98</v>
      </c>
      <c r="B4334" s="6" t="s">
        <v>99</v>
      </c>
      <c r="C4334" s="6" t="s">
        <v>915</v>
      </c>
      <c r="D4334" s="6" t="s">
        <v>14</v>
      </c>
      <c r="E4334" s="6" t="s">
        <v>17</v>
      </c>
      <c r="F4334" s="6" t="s">
        <v>20</v>
      </c>
      <c r="G4334" s="6" t="s">
        <v>77</v>
      </c>
      <c r="H4334" s="6" t="s">
        <v>916</v>
      </c>
      <c r="I4334" s="6" t="s">
        <v>31</v>
      </c>
      <c r="J4334" s="6">
        <v>16.016937242512</v>
      </c>
      <c r="K4334" s="6">
        <v>-96.617702055224996</v>
      </c>
      <c r="L4334" s="6" t="str">
        <f>HYPERLINK("https://maps.google.com/?q=16.0169372425124,-96.617702055225394", "🔗 Ver Mapa")</f>
        <v>🔗 Ver Mapa</v>
      </c>
    </row>
    <row r="4335" spans="1:12" ht="43.5" x14ac:dyDescent="0.35">
      <c r="A4335" s="5" t="s">
        <v>98</v>
      </c>
      <c r="B4335" s="5" t="s">
        <v>99</v>
      </c>
      <c r="C4335" s="5" t="s">
        <v>915</v>
      </c>
      <c r="D4335" s="5" t="s">
        <v>14</v>
      </c>
      <c r="E4335" s="5" t="s">
        <v>17</v>
      </c>
      <c r="F4335" s="5" t="s">
        <v>20</v>
      </c>
      <c r="G4335" s="5" t="s">
        <v>77</v>
      </c>
      <c r="H4335" s="5" t="s">
        <v>916</v>
      </c>
      <c r="I4335" s="5" t="s">
        <v>31</v>
      </c>
      <c r="J4335" s="5">
        <v>16.016970757629</v>
      </c>
      <c r="K4335" s="5">
        <v>-96.618332374344007</v>
      </c>
      <c r="L4335" s="5" t="str">
        <f>HYPERLINK("https://maps.google.com/?q=16.0169707576292,-96.618332374343694", "🔗 Ver Mapa")</f>
        <v>🔗 Ver Mapa</v>
      </c>
    </row>
    <row r="4336" spans="1:12" ht="43.5" x14ac:dyDescent="0.35">
      <c r="A4336" s="6" t="s">
        <v>98</v>
      </c>
      <c r="B4336" s="6" t="s">
        <v>99</v>
      </c>
      <c r="C4336" s="6" t="s">
        <v>915</v>
      </c>
      <c r="D4336" s="6" t="s">
        <v>14</v>
      </c>
      <c r="E4336" s="6" t="s">
        <v>17</v>
      </c>
      <c r="F4336" s="6" t="s">
        <v>20</v>
      </c>
      <c r="G4336" s="6" t="s">
        <v>77</v>
      </c>
      <c r="H4336" s="6" t="s">
        <v>916</v>
      </c>
      <c r="I4336" s="6" t="s">
        <v>31</v>
      </c>
      <c r="J4336" s="6">
        <v>16.016996538484001</v>
      </c>
      <c r="K4336" s="6">
        <v>-96.617570626984005</v>
      </c>
      <c r="L4336" s="6" t="str">
        <f>HYPERLINK("https://maps.google.com/?q=16.0169965384844,-96.617570626983706", "🔗 Ver Mapa")</f>
        <v>🔗 Ver Mapa</v>
      </c>
    </row>
    <row r="4337" spans="1:12" ht="43.5" x14ac:dyDescent="0.35">
      <c r="A4337" s="5" t="s">
        <v>98</v>
      </c>
      <c r="B4337" s="5" t="s">
        <v>99</v>
      </c>
      <c r="C4337" s="5" t="s">
        <v>915</v>
      </c>
      <c r="D4337" s="5" t="s">
        <v>14</v>
      </c>
      <c r="E4337" s="5" t="s">
        <v>17</v>
      </c>
      <c r="F4337" s="5" t="s">
        <v>20</v>
      </c>
      <c r="G4337" s="5" t="s">
        <v>77</v>
      </c>
      <c r="H4337" s="5" t="s">
        <v>916</v>
      </c>
      <c r="I4337" s="5" t="s">
        <v>31</v>
      </c>
      <c r="J4337" s="5">
        <v>16.017249190689999</v>
      </c>
      <c r="K4337" s="5">
        <v>-96.618756163368005</v>
      </c>
      <c r="L4337" s="5" t="str">
        <f>HYPERLINK("https://maps.google.com/?q=16.0172491906895,-96.618756163367905", "🔗 Ver Mapa")</f>
        <v>🔗 Ver Mapa</v>
      </c>
    </row>
    <row r="4338" spans="1:12" ht="43.5" x14ac:dyDescent="0.35">
      <c r="A4338" s="6" t="s">
        <v>98</v>
      </c>
      <c r="B4338" s="6" t="s">
        <v>99</v>
      </c>
      <c r="C4338" s="6" t="s">
        <v>915</v>
      </c>
      <c r="D4338" s="6" t="s">
        <v>14</v>
      </c>
      <c r="E4338" s="6" t="s">
        <v>17</v>
      </c>
      <c r="F4338" s="6" t="s">
        <v>20</v>
      </c>
      <c r="G4338" s="6" t="s">
        <v>77</v>
      </c>
      <c r="H4338" s="6" t="s">
        <v>916</v>
      </c>
      <c r="I4338" s="6" t="s">
        <v>31</v>
      </c>
      <c r="J4338" s="6">
        <v>16.017256924936</v>
      </c>
      <c r="K4338" s="6">
        <v>-96.615607249985004</v>
      </c>
      <c r="L4338" s="6" t="str">
        <f>HYPERLINK("https://maps.google.com/?q=16.0172569249356,-96.615607249985402", "🔗 Ver Mapa")</f>
        <v>🔗 Ver Mapa</v>
      </c>
    </row>
    <row r="4339" spans="1:12" ht="43.5" x14ac:dyDescent="0.35">
      <c r="A4339" s="5" t="s">
        <v>98</v>
      </c>
      <c r="B4339" s="5" t="s">
        <v>99</v>
      </c>
      <c r="C4339" s="5" t="s">
        <v>915</v>
      </c>
      <c r="D4339" s="5" t="s">
        <v>14</v>
      </c>
      <c r="E4339" s="5" t="s">
        <v>17</v>
      </c>
      <c r="F4339" s="5" t="s">
        <v>20</v>
      </c>
      <c r="G4339" s="5" t="s">
        <v>77</v>
      </c>
      <c r="H4339" s="5" t="s">
        <v>916</v>
      </c>
      <c r="I4339" s="5" t="s">
        <v>31</v>
      </c>
      <c r="J4339" s="5">
        <v>16.017305908488002</v>
      </c>
      <c r="K4339" s="5">
        <v>-96.618603277454</v>
      </c>
      <c r="L4339" s="5" t="str">
        <f>HYPERLINK("https://maps.google.com/?q=16.0173059084875,-96.618603277454099", "🔗 Ver Mapa")</f>
        <v>🔗 Ver Mapa</v>
      </c>
    </row>
    <row r="4340" spans="1:12" ht="43.5" x14ac:dyDescent="0.35">
      <c r="A4340" s="6" t="s">
        <v>98</v>
      </c>
      <c r="B4340" s="6" t="s">
        <v>99</v>
      </c>
      <c r="C4340" s="6" t="s">
        <v>915</v>
      </c>
      <c r="D4340" s="6" t="s">
        <v>14</v>
      </c>
      <c r="E4340" s="6" t="s">
        <v>17</v>
      </c>
      <c r="F4340" s="6" t="s">
        <v>20</v>
      </c>
      <c r="G4340" s="6" t="s">
        <v>77</v>
      </c>
      <c r="H4340" s="6" t="s">
        <v>916</v>
      </c>
      <c r="I4340" s="6" t="s">
        <v>31</v>
      </c>
      <c r="J4340" s="6">
        <v>16.017383250912999</v>
      </c>
      <c r="K4340" s="6">
        <v>-96.613960373650997</v>
      </c>
      <c r="L4340" s="6" t="str">
        <f>HYPERLINK("https://maps.google.com/?q=16.0173832509134,-96.613960373650798", "🔗 Ver Mapa")</f>
        <v>🔗 Ver Mapa</v>
      </c>
    </row>
    <row r="4341" spans="1:12" ht="43.5" x14ac:dyDescent="0.35">
      <c r="A4341" s="5" t="s">
        <v>98</v>
      </c>
      <c r="B4341" s="5" t="s">
        <v>99</v>
      </c>
      <c r="C4341" s="5" t="s">
        <v>915</v>
      </c>
      <c r="D4341" s="5" t="s">
        <v>14</v>
      </c>
      <c r="E4341" s="5" t="s">
        <v>17</v>
      </c>
      <c r="F4341" s="5" t="s">
        <v>20</v>
      </c>
      <c r="G4341" s="5" t="s">
        <v>77</v>
      </c>
      <c r="H4341" s="5" t="s">
        <v>916</v>
      </c>
      <c r="I4341" s="5" t="s">
        <v>31</v>
      </c>
      <c r="J4341" s="5">
        <v>16.017385828994001</v>
      </c>
      <c r="K4341" s="5">
        <v>-96.618195581684006</v>
      </c>
      <c r="L4341" s="5" t="str">
        <f>HYPERLINK("https://maps.google.com/?q=16.0173858289937,-96.618195581684006", "🔗 Ver Mapa")</f>
        <v>🔗 Ver Mapa</v>
      </c>
    </row>
    <row r="4342" spans="1:12" ht="43.5" x14ac:dyDescent="0.35">
      <c r="A4342" s="6" t="s">
        <v>98</v>
      </c>
      <c r="B4342" s="6" t="s">
        <v>99</v>
      </c>
      <c r="C4342" s="6" t="s">
        <v>915</v>
      </c>
      <c r="D4342" s="6" t="s">
        <v>14</v>
      </c>
      <c r="E4342" s="6" t="s">
        <v>17</v>
      </c>
      <c r="F4342" s="6" t="s">
        <v>20</v>
      </c>
      <c r="G4342" s="6" t="s">
        <v>77</v>
      </c>
      <c r="H4342" s="6" t="s">
        <v>916</v>
      </c>
      <c r="I4342" s="6" t="s">
        <v>31</v>
      </c>
      <c r="J4342" s="6">
        <v>16.017452859071</v>
      </c>
      <c r="K4342" s="6">
        <v>-96.617629635582006</v>
      </c>
      <c r="L4342" s="6" t="str">
        <f>HYPERLINK("https://maps.google.com/?q=16.017452859071,-96.617629635582006", "🔗 Ver Mapa")</f>
        <v>🔗 Ver Mapa</v>
      </c>
    </row>
    <row r="4343" spans="1:12" ht="43.5" x14ac:dyDescent="0.35">
      <c r="A4343" s="5" t="s">
        <v>98</v>
      </c>
      <c r="B4343" s="5" t="s">
        <v>99</v>
      </c>
      <c r="C4343" s="5" t="s">
        <v>915</v>
      </c>
      <c r="D4343" s="5" t="s">
        <v>14</v>
      </c>
      <c r="E4343" s="5" t="s">
        <v>17</v>
      </c>
      <c r="F4343" s="5" t="s">
        <v>20</v>
      </c>
      <c r="G4343" s="5" t="s">
        <v>77</v>
      </c>
      <c r="H4343" s="5" t="s">
        <v>916</v>
      </c>
      <c r="I4343" s="5" t="s">
        <v>31</v>
      </c>
      <c r="J4343" s="5">
        <v>16.017476061785</v>
      </c>
      <c r="K4343" s="5">
        <v>-96.616830337295994</v>
      </c>
      <c r="L4343" s="5" t="str">
        <f>HYPERLINK("https://maps.google.com/?q=16.0174760617848,-96.616830337295795", "🔗 Ver Mapa")</f>
        <v>🔗 Ver Mapa</v>
      </c>
    </row>
    <row r="4344" spans="1:12" ht="43.5" x14ac:dyDescent="0.35">
      <c r="A4344" s="6" t="s">
        <v>98</v>
      </c>
      <c r="B4344" s="6" t="s">
        <v>99</v>
      </c>
      <c r="C4344" s="6" t="s">
        <v>915</v>
      </c>
      <c r="D4344" s="6" t="s">
        <v>14</v>
      </c>
      <c r="E4344" s="6" t="s">
        <v>17</v>
      </c>
      <c r="F4344" s="6" t="s">
        <v>20</v>
      </c>
      <c r="G4344" s="6" t="s">
        <v>77</v>
      </c>
      <c r="H4344" s="6" t="s">
        <v>916</v>
      </c>
      <c r="I4344" s="6" t="s">
        <v>31</v>
      </c>
      <c r="J4344" s="6">
        <v>16.017555982223001</v>
      </c>
      <c r="K4344" s="6">
        <v>-96.612439561139993</v>
      </c>
      <c r="L4344" s="6" t="str">
        <f>HYPERLINK("https://maps.google.com/?q=16.0175559822229,-96.612439561139794", "🔗 Ver Mapa")</f>
        <v>🔗 Ver Mapa</v>
      </c>
    </row>
    <row r="4345" spans="1:12" ht="43.5" x14ac:dyDescent="0.35">
      <c r="A4345" s="5" t="s">
        <v>98</v>
      </c>
      <c r="B4345" s="5" t="s">
        <v>99</v>
      </c>
      <c r="C4345" s="5" t="s">
        <v>915</v>
      </c>
      <c r="D4345" s="5" t="s">
        <v>14</v>
      </c>
      <c r="E4345" s="5" t="s">
        <v>17</v>
      </c>
      <c r="F4345" s="5" t="s">
        <v>20</v>
      </c>
      <c r="G4345" s="5" t="s">
        <v>77</v>
      </c>
      <c r="H4345" s="5" t="s">
        <v>916</v>
      </c>
      <c r="I4345" s="5" t="s">
        <v>31</v>
      </c>
      <c r="J4345" s="5">
        <v>16.017555982223001</v>
      </c>
      <c r="K4345" s="5">
        <v>-96.616953718909997</v>
      </c>
      <c r="L4345" s="5" t="str">
        <f>HYPERLINK("https://maps.google.com/?q=16.0175559822229,-96.616953718910494", "🔗 Ver Mapa")</f>
        <v>🔗 Ver Mapa</v>
      </c>
    </row>
    <row r="4346" spans="1:12" ht="43.5" x14ac:dyDescent="0.35">
      <c r="A4346" s="6" t="s">
        <v>98</v>
      </c>
      <c r="B4346" s="6" t="s">
        <v>99</v>
      </c>
      <c r="C4346" s="6" t="s">
        <v>915</v>
      </c>
      <c r="D4346" s="6" t="s">
        <v>14</v>
      </c>
      <c r="E4346" s="6" t="s">
        <v>17</v>
      </c>
      <c r="F4346" s="6" t="s">
        <v>20</v>
      </c>
      <c r="G4346" s="6" t="s">
        <v>77</v>
      </c>
      <c r="H4346" s="6" t="s">
        <v>916</v>
      </c>
      <c r="I4346" s="6" t="s">
        <v>31</v>
      </c>
      <c r="J4346" s="6">
        <v>16.017699828478001</v>
      </c>
      <c r="K4346" s="6">
        <v>-96.608613877910003</v>
      </c>
      <c r="L4346" s="6" t="str">
        <f>HYPERLINK("https://maps.google.com/?q=16.0176998284785,-96.608613877910003", "🔗 Ver Mapa")</f>
        <v>🔗 Ver Mapa</v>
      </c>
    </row>
    <row r="4347" spans="1:12" ht="43.5" x14ac:dyDescent="0.35">
      <c r="A4347" s="5" t="s">
        <v>98</v>
      </c>
      <c r="B4347" s="5" t="s">
        <v>99</v>
      </c>
      <c r="C4347" s="5" t="s">
        <v>917</v>
      </c>
      <c r="D4347" s="5" t="s">
        <v>14</v>
      </c>
      <c r="E4347" s="5" t="s">
        <v>17</v>
      </c>
      <c r="F4347" s="5" t="s">
        <v>20</v>
      </c>
      <c r="G4347" s="5" t="s">
        <v>77</v>
      </c>
      <c r="H4347" s="5" t="s">
        <v>918</v>
      </c>
      <c r="I4347" s="5" t="s">
        <v>31</v>
      </c>
      <c r="J4347" s="5">
        <v>15.956579680000001</v>
      </c>
      <c r="K4347" s="5">
        <v>-96.644389959999998</v>
      </c>
      <c r="L4347" s="5" t="str">
        <f>HYPERLINK("https://maps.google.com/?q=15.95657968,-96.644389959999998", "🔗 Ver Mapa")</f>
        <v>🔗 Ver Mapa</v>
      </c>
    </row>
    <row r="4348" spans="1:12" ht="43.5" x14ac:dyDescent="0.35">
      <c r="A4348" s="6" t="s">
        <v>98</v>
      </c>
      <c r="B4348" s="6" t="s">
        <v>99</v>
      </c>
      <c r="C4348" s="6" t="s">
        <v>917</v>
      </c>
      <c r="D4348" s="6" t="s">
        <v>14</v>
      </c>
      <c r="E4348" s="6" t="s">
        <v>17</v>
      </c>
      <c r="F4348" s="6" t="s">
        <v>20</v>
      </c>
      <c r="G4348" s="6" t="s">
        <v>77</v>
      </c>
      <c r="H4348" s="6" t="s">
        <v>918</v>
      </c>
      <c r="I4348" s="6" t="s">
        <v>31</v>
      </c>
      <c r="J4348" s="6">
        <v>15.956724400000001</v>
      </c>
      <c r="K4348" s="6">
        <v>-96.644197030000001</v>
      </c>
      <c r="L4348" s="6" t="str">
        <f>HYPERLINK("https://maps.google.com/?q=15.9567244,-96.644197030000001", "🔗 Ver Mapa")</f>
        <v>🔗 Ver Mapa</v>
      </c>
    </row>
    <row r="4349" spans="1:12" ht="43.5" x14ac:dyDescent="0.35">
      <c r="A4349" s="5" t="s">
        <v>98</v>
      </c>
      <c r="B4349" s="5" t="s">
        <v>99</v>
      </c>
      <c r="C4349" s="5" t="s">
        <v>917</v>
      </c>
      <c r="D4349" s="5" t="s">
        <v>14</v>
      </c>
      <c r="E4349" s="5" t="s">
        <v>17</v>
      </c>
      <c r="F4349" s="5" t="s">
        <v>20</v>
      </c>
      <c r="G4349" s="5" t="s">
        <v>77</v>
      </c>
      <c r="H4349" s="5" t="s">
        <v>918</v>
      </c>
      <c r="I4349" s="5" t="s">
        <v>31</v>
      </c>
      <c r="J4349" s="5">
        <v>15.95675247</v>
      </c>
      <c r="K4349" s="5">
        <v>-96.644022500000005</v>
      </c>
      <c r="L4349" s="5" t="str">
        <f>HYPERLINK("https://maps.google.com/?q=15.95675247,-96.644022500000005", "🔗 Ver Mapa")</f>
        <v>🔗 Ver Mapa</v>
      </c>
    </row>
    <row r="4350" spans="1:12" ht="43.5" x14ac:dyDescent="0.35">
      <c r="A4350" s="6" t="s">
        <v>98</v>
      </c>
      <c r="B4350" s="6" t="s">
        <v>99</v>
      </c>
      <c r="C4350" s="6" t="s">
        <v>917</v>
      </c>
      <c r="D4350" s="6" t="s">
        <v>14</v>
      </c>
      <c r="E4350" s="6" t="s">
        <v>17</v>
      </c>
      <c r="F4350" s="6" t="s">
        <v>20</v>
      </c>
      <c r="G4350" s="6" t="s">
        <v>77</v>
      </c>
      <c r="H4350" s="6" t="s">
        <v>918</v>
      </c>
      <c r="I4350" s="6" t="s">
        <v>31</v>
      </c>
      <c r="J4350" s="6">
        <v>15.95735616</v>
      </c>
      <c r="K4350" s="6">
        <v>-96.636230359999999</v>
      </c>
      <c r="L4350" s="6" t="str">
        <f>HYPERLINK("https://maps.google.com/?q=15.95735616,-96.636230359999999", "🔗 Ver Mapa")</f>
        <v>🔗 Ver Mapa</v>
      </c>
    </row>
    <row r="4351" spans="1:12" ht="43.5" x14ac:dyDescent="0.35">
      <c r="A4351" s="5" t="s">
        <v>98</v>
      </c>
      <c r="B4351" s="5" t="s">
        <v>99</v>
      </c>
      <c r="C4351" s="5" t="s">
        <v>917</v>
      </c>
      <c r="D4351" s="5" t="s">
        <v>14</v>
      </c>
      <c r="E4351" s="5" t="s">
        <v>17</v>
      </c>
      <c r="F4351" s="5" t="s">
        <v>20</v>
      </c>
      <c r="G4351" s="5" t="s">
        <v>77</v>
      </c>
      <c r="H4351" s="5" t="s">
        <v>918</v>
      </c>
      <c r="I4351" s="5" t="s">
        <v>31</v>
      </c>
      <c r="J4351" s="5">
        <v>15.958316630000001</v>
      </c>
      <c r="K4351" s="5">
        <v>-96.637442340000007</v>
      </c>
      <c r="L4351" s="5" t="str">
        <f>HYPERLINK("https://maps.google.com/?q=15.95831663,-96.637442340000007", "🔗 Ver Mapa")</f>
        <v>🔗 Ver Mapa</v>
      </c>
    </row>
    <row r="4352" spans="1:12" ht="43.5" x14ac:dyDescent="0.35">
      <c r="A4352" s="6" t="s">
        <v>98</v>
      </c>
      <c r="B4352" s="6" t="s">
        <v>99</v>
      </c>
      <c r="C4352" s="6" t="s">
        <v>917</v>
      </c>
      <c r="D4352" s="6" t="s">
        <v>14</v>
      </c>
      <c r="E4352" s="6" t="s">
        <v>17</v>
      </c>
      <c r="F4352" s="6" t="s">
        <v>20</v>
      </c>
      <c r="G4352" s="6" t="s">
        <v>77</v>
      </c>
      <c r="H4352" s="6" t="s">
        <v>918</v>
      </c>
      <c r="I4352" s="6" t="s">
        <v>31</v>
      </c>
      <c r="J4352" s="6">
        <v>15.958527370000001</v>
      </c>
      <c r="K4352" s="6">
        <v>-96.639835529999999</v>
      </c>
      <c r="L4352" s="6" t="str">
        <f>HYPERLINK("https://maps.google.com/?q=15.95852737,-96.639835529999999", "🔗 Ver Mapa")</f>
        <v>🔗 Ver Mapa</v>
      </c>
    </row>
    <row r="4353" spans="1:12" ht="43.5" x14ac:dyDescent="0.35">
      <c r="A4353" s="5" t="s">
        <v>98</v>
      </c>
      <c r="B4353" s="5" t="s">
        <v>99</v>
      </c>
      <c r="C4353" s="5" t="s">
        <v>917</v>
      </c>
      <c r="D4353" s="5" t="s">
        <v>14</v>
      </c>
      <c r="E4353" s="5" t="s">
        <v>17</v>
      </c>
      <c r="F4353" s="5" t="s">
        <v>20</v>
      </c>
      <c r="G4353" s="5" t="s">
        <v>77</v>
      </c>
      <c r="H4353" s="5" t="s">
        <v>918</v>
      </c>
      <c r="I4353" s="5" t="s">
        <v>31</v>
      </c>
      <c r="J4353" s="5">
        <v>15.95864132</v>
      </c>
      <c r="K4353" s="5">
        <v>-96.637736169999997</v>
      </c>
      <c r="L4353" s="5" t="str">
        <f>HYPERLINK("https://maps.google.com/?q=15.95864132,-96.637736169999997", "🔗 Ver Mapa")</f>
        <v>🔗 Ver Mapa</v>
      </c>
    </row>
    <row r="4354" spans="1:12" ht="43.5" x14ac:dyDescent="0.35">
      <c r="A4354" s="6" t="s">
        <v>98</v>
      </c>
      <c r="B4354" s="6" t="s">
        <v>99</v>
      </c>
      <c r="C4354" s="6" t="s">
        <v>917</v>
      </c>
      <c r="D4354" s="6" t="s">
        <v>14</v>
      </c>
      <c r="E4354" s="6" t="s">
        <v>17</v>
      </c>
      <c r="F4354" s="6" t="s">
        <v>20</v>
      </c>
      <c r="G4354" s="6" t="s">
        <v>77</v>
      </c>
      <c r="H4354" s="6" t="s">
        <v>918</v>
      </c>
      <c r="I4354" s="6" t="s">
        <v>31</v>
      </c>
      <c r="J4354" s="6">
        <v>15.958984790000001</v>
      </c>
      <c r="K4354" s="6">
        <v>-96.634505989999994</v>
      </c>
      <c r="L4354" s="6" t="str">
        <f>HYPERLINK("https://maps.google.com/?q=15.95898479,-96.634505989999994", "🔗 Ver Mapa")</f>
        <v>🔗 Ver Mapa</v>
      </c>
    </row>
    <row r="4355" spans="1:12" ht="43.5" x14ac:dyDescent="0.35">
      <c r="A4355" s="5" t="s">
        <v>98</v>
      </c>
      <c r="B4355" s="5" t="s">
        <v>99</v>
      </c>
      <c r="C4355" s="5" t="s">
        <v>917</v>
      </c>
      <c r="D4355" s="5" t="s">
        <v>14</v>
      </c>
      <c r="E4355" s="5" t="s">
        <v>17</v>
      </c>
      <c r="F4355" s="5" t="s">
        <v>20</v>
      </c>
      <c r="G4355" s="5" t="s">
        <v>77</v>
      </c>
      <c r="H4355" s="5" t="s">
        <v>918</v>
      </c>
      <c r="I4355" s="5" t="s">
        <v>31</v>
      </c>
      <c r="J4355" s="5">
        <v>15.95900187</v>
      </c>
      <c r="K4355" s="5">
        <v>-96.638277549999998</v>
      </c>
      <c r="L4355" s="5" t="str">
        <f>HYPERLINK("https://maps.google.com/?q=15.95900187,-96.638277549999998", "🔗 Ver Mapa")</f>
        <v>🔗 Ver Mapa</v>
      </c>
    </row>
    <row r="4356" spans="1:12" ht="43.5" x14ac:dyDescent="0.35">
      <c r="A4356" s="6" t="s">
        <v>98</v>
      </c>
      <c r="B4356" s="6" t="s">
        <v>99</v>
      </c>
      <c r="C4356" s="6" t="s">
        <v>917</v>
      </c>
      <c r="D4356" s="6" t="s">
        <v>14</v>
      </c>
      <c r="E4356" s="6" t="s">
        <v>17</v>
      </c>
      <c r="F4356" s="6" t="s">
        <v>20</v>
      </c>
      <c r="G4356" s="6" t="s">
        <v>77</v>
      </c>
      <c r="H4356" s="6" t="s">
        <v>918</v>
      </c>
      <c r="I4356" s="6" t="s">
        <v>31</v>
      </c>
      <c r="J4356" s="6">
        <v>15.95917723</v>
      </c>
      <c r="K4356" s="6">
        <v>-96.63810857</v>
      </c>
      <c r="L4356" s="6" t="str">
        <f>HYPERLINK("https://maps.google.com/?q=15.95917723,-96.63810857", "🔗 Ver Mapa")</f>
        <v>🔗 Ver Mapa</v>
      </c>
    </row>
    <row r="4357" spans="1:12" ht="43.5" x14ac:dyDescent="0.35">
      <c r="A4357" s="5" t="s">
        <v>98</v>
      </c>
      <c r="B4357" s="5" t="s">
        <v>99</v>
      </c>
      <c r="C4357" s="5" t="s">
        <v>917</v>
      </c>
      <c r="D4357" s="5" t="s">
        <v>14</v>
      </c>
      <c r="E4357" s="5" t="s">
        <v>17</v>
      </c>
      <c r="F4357" s="5" t="s">
        <v>20</v>
      </c>
      <c r="G4357" s="5" t="s">
        <v>77</v>
      </c>
      <c r="H4357" s="5" t="s">
        <v>918</v>
      </c>
      <c r="I4357" s="5" t="s">
        <v>31</v>
      </c>
      <c r="J4357" s="5">
        <v>15.95921849</v>
      </c>
      <c r="K4357" s="5">
        <v>-96.638020060000002</v>
      </c>
      <c r="L4357" s="5" t="str">
        <f>HYPERLINK("https://maps.google.com/?q=15.95921849,-96.638020060000002", "🔗 Ver Mapa")</f>
        <v>🔗 Ver Mapa</v>
      </c>
    </row>
    <row r="4358" spans="1:12" ht="43.5" x14ac:dyDescent="0.35">
      <c r="A4358" s="6" t="s">
        <v>98</v>
      </c>
      <c r="B4358" s="6" t="s">
        <v>99</v>
      </c>
      <c r="C4358" s="6" t="s">
        <v>917</v>
      </c>
      <c r="D4358" s="6" t="s">
        <v>14</v>
      </c>
      <c r="E4358" s="6" t="s">
        <v>17</v>
      </c>
      <c r="F4358" s="6" t="s">
        <v>20</v>
      </c>
      <c r="G4358" s="6" t="s">
        <v>77</v>
      </c>
      <c r="H4358" s="6" t="s">
        <v>918</v>
      </c>
      <c r="I4358" s="6" t="s">
        <v>31</v>
      </c>
      <c r="J4358" s="6">
        <v>15.959496919999999</v>
      </c>
      <c r="K4358" s="6">
        <v>-96.637996270000002</v>
      </c>
      <c r="L4358" s="6" t="str">
        <f>HYPERLINK("https://maps.google.com/?q=15.95949692,-96.637996270000002", "🔗 Ver Mapa")</f>
        <v>🔗 Ver Mapa</v>
      </c>
    </row>
    <row r="4359" spans="1:12" ht="43.5" x14ac:dyDescent="0.35">
      <c r="A4359" s="5" t="s">
        <v>98</v>
      </c>
      <c r="B4359" s="5" t="s">
        <v>99</v>
      </c>
      <c r="C4359" s="5" t="s">
        <v>917</v>
      </c>
      <c r="D4359" s="5" t="s">
        <v>14</v>
      </c>
      <c r="E4359" s="5" t="s">
        <v>17</v>
      </c>
      <c r="F4359" s="5" t="s">
        <v>20</v>
      </c>
      <c r="G4359" s="5" t="s">
        <v>77</v>
      </c>
      <c r="H4359" s="5" t="s">
        <v>918</v>
      </c>
      <c r="I4359" s="5" t="s">
        <v>31</v>
      </c>
      <c r="J4359" s="5">
        <v>15.9596207</v>
      </c>
      <c r="K4359" s="5">
        <v>-96.638094179999996</v>
      </c>
      <c r="L4359" s="5" t="str">
        <f>HYPERLINK("https://maps.google.com/?q=15.9596207,-96.638094179999996", "🔗 Ver Mapa")</f>
        <v>🔗 Ver Mapa</v>
      </c>
    </row>
    <row r="4360" spans="1:12" ht="43.5" x14ac:dyDescent="0.35">
      <c r="A4360" s="6" t="s">
        <v>98</v>
      </c>
      <c r="B4360" s="6" t="s">
        <v>99</v>
      </c>
      <c r="C4360" s="6" t="s">
        <v>917</v>
      </c>
      <c r="D4360" s="6" t="s">
        <v>14</v>
      </c>
      <c r="E4360" s="6" t="s">
        <v>17</v>
      </c>
      <c r="F4360" s="6" t="s">
        <v>20</v>
      </c>
      <c r="G4360" s="6" t="s">
        <v>77</v>
      </c>
      <c r="H4360" s="6" t="s">
        <v>918</v>
      </c>
      <c r="I4360" s="6" t="s">
        <v>31</v>
      </c>
      <c r="J4360" s="6">
        <v>15.959625600000001</v>
      </c>
      <c r="K4360" s="6">
        <v>-96.637671220000001</v>
      </c>
      <c r="L4360" s="6" t="str">
        <f>HYPERLINK("https://maps.google.com/?q=15.9596256,-96.637671220000001", "🔗 Ver Mapa")</f>
        <v>🔗 Ver Mapa</v>
      </c>
    </row>
    <row r="4361" spans="1:12" ht="43.5" x14ac:dyDescent="0.35">
      <c r="A4361" s="5" t="s">
        <v>98</v>
      </c>
      <c r="B4361" s="5" t="s">
        <v>99</v>
      </c>
      <c r="C4361" s="5" t="s">
        <v>917</v>
      </c>
      <c r="D4361" s="5" t="s">
        <v>14</v>
      </c>
      <c r="E4361" s="5" t="s">
        <v>17</v>
      </c>
      <c r="F4361" s="5" t="s">
        <v>20</v>
      </c>
      <c r="G4361" s="5" t="s">
        <v>77</v>
      </c>
      <c r="H4361" s="5" t="s">
        <v>918</v>
      </c>
      <c r="I4361" s="5" t="s">
        <v>31</v>
      </c>
      <c r="J4361" s="5">
        <v>15.95983706</v>
      </c>
      <c r="K4361" s="5">
        <v>-96.637628300000003</v>
      </c>
      <c r="L4361" s="5" t="str">
        <f>HYPERLINK("https://maps.google.com/?q=15.95983706,-96.637628300000003", "🔗 Ver Mapa")</f>
        <v>🔗 Ver Mapa</v>
      </c>
    </row>
    <row r="4362" spans="1:12" ht="43.5" x14ac:dyDescent="0.35">
      <c r="A4362" s="6" t="s">
        <v>98</v>
      </c>
      <c r="B4362" s="6" t="s">
        <v>99</v>
      </c>
      <c r="C4362" s="6" t="s">
        <v>917</v>
      </c>
      <c r="D4362" s="6" t="s">
        <v>14</v>
      </c>
      <c r="E4362" s="6" t="s">
        <v>17</v>
      </c>
      <c r="F4362" s="6" t="s">
        <v>20</v>
      </c>
      <c r="G4362" s="6" t="s">
        <v>77</v>
      </c>
      <c r="H4362" s="6" t="s">
        <v>918</v>
      </c>
      <c r="I4362" s="6" t="s">
        <v>31</v>
      </c>
      <c r="J4362" s="6">
        <v>15.959995360000001</v>
      </c>
      <c r="K4362" s="6">
        <v>-96.641245069999997</v>
      </c>
      <c r="L4362" s="6" t="str">
        <f>HYPERLINK("https://maps.google.com/?q=15.95999536,-96.641245069999997", "🔗 Ver Mapa")</f>
        <v>🔗 Ver Mapa</v>
      </c>
    </row>
    <row r="4363" spans="1:12" ht="43.5" x14ac:dyDescent="0.35">
      <c r="A4363" s="5" t="s">
        <v>98</v>
      </c>
      <c r="B4363" s="5" t="s">
        <v>99</v>
      </c>
      <c r="C4363" s="5" t="s">
        <v>917</v>
      </c>
      <c r="D4363" s="5" t="s">
        <v>14</v>
      </c>
      <c r="E4363" s="5" t="s">
        <v>17</v>
      </c>
      <c r="F4363" s="5" t="s">
        <v>20</v>
      </c>
      <c r="G4363" s="5" t="s">
        <v>77</v>
      </c>
      <c r="H4363" s="5" t="s">
        <v>918</v>
      </c>
      <c r="I4363" s="5" t="s">
        <v>31</v>
      </c>
      <c r="J4363" s="5">
        <v>15.96016199</v>
      </c>
      <c r="K4363" s="5">
        <v>-96.64473615</v>
      </c>
      <c r="L4363" s="5" t="str">
        <f>HYPERLINK("https://maps.google.com/?q=15.96016199,-96.64473615", "🔗 Ver Mapa")</f>
        <v>🔗 Ver Mapa</v>
      </c>
    </row>
    <row r="4364" spans="1:12" ht="43.5" x14ac:dyDescent="0.35">
      <c r="A4364" s="6" t="s">
        <v>98</v>
      </c>
      <c r="B4364" s="6" t="s">
        <v>99</v>
      </c>
      <c r="C4364" s="6" t="s">
        <v>917</v>
      </c>
      <c r="D4364" s="6" t="s">
        <v>14</v>
      </c>
      <c r="E4364" s="6" t="s">
        <v>17</v>
      </c>
      <c r="F4364" s="6" t="s">
        <v>20</v>
      </c>
      <c r="G4364" s="6" t="s">
        <v>77</v>
      </c>
      <c r="H4364" s="6" t="s">
        <v>918</v>
      </c>
      <c r="I4364" s="6" t="s">
        <v>31</v>
      </c>
      <c r="J4364" s="6">
        <v>15.96042972</v>
      </c>
      <c r="K4364" s="6">
        <v>-96.63390656</v>
      </c>
      <c r="L4364" s="6" t="str">
        <f>HYPERLINK("https://maps.google.com/?q=15.96042972,-96.63390656", "🔗 Ver Mapa")</f>
        <v>🔗 Ver Mapa</v>
      </c>
    </row>
    <row r="4365" spans="1:12" ht="43.5" x14ac:dyDescent="0.35">
      <c r="A4365" s="5" t="s">
        <v>98</v>
      </c>
      <c r="B4365" s="5" t="s">
        <v>99</v>
      </c>
      <c r="C4365" s="5" t="s">
        <v>917</v>
      </c>
      <c r="D4365" s="5" t="s">
        <v>14</v>
      </c>
      <c r="E4365" s="5" t="s">
        <v>17</v>
      </c>
      <c r="F4365" s="5" t="s">
        <v>20</v>
      </c>
      <c r="G4365" s="5" t="s">
        <v>77</v>
      </c>
      <c r="H4365" s="5" t="s">
        <v>918</v>
      </c>
      <c r="I4365" s="5" t="s">
        <v>31</v>
      </c>
      <c r="J4365" s="5">
        <v>15.96085721</v>
      </c>
      <c r="K4365" s="5">
        <v>-96.640889369999996</v>
      </c>
      <c r="L4365" s="5" t="str">
        <f>HYPERLINK("https://maps.google.com/?q=15.96085721,-96.640889369999996", "🔗 Ver Mapa")</f>
        <v>🔗 Ver Mapa</v>
      </c>
    </row>
    <row r="4366" spans="1:12" ht="43.5" x14ac:dyDescent="0.35">
      <c r="A4366" s="6" t="s">
        <v>98</v>
      </c>
      <c r="B4366" s="6" t="s">
        <v>99</v>
      </c>
      <c r="C4366" s="6" t="s">
        <v>917</v>
      </c>
      <c r="D4366" s="6" t="s">
        <v>14</v>
      </c>
      <c r="E4366" s="6" t="s">
        <v>17</v>
      </c>
      <c r="F4366" s="6" t="s">
        <v>20</v>
      </c>
      <c r="G4366" s="6" t="s">
        <v>77</v>
      </c>
      <c r="H4366" s="6" t="s">
        <v>918</v>
      </c>
      <c r="I4366" s="6" t="s">
        <v>31</v>
      </c>
      <c r="J4366" s="6">
        <v>15.96087369</v>
      </c>
      <c r="K4366" s="6">
        <v>-96.640025690000002</v>
      </c>
      <c r="L4366" s="6" t="str">
        <f>HYPERLINK("https://maps.google.com/?q=15.96087369,-96.640025690000002", "🔗 Ver Mapa")</f>
        <v>🔗 Ver Mapa</v>
      </c>
    </row>
    <row r="4367" spans="1:12" ht="43.5" x14ac:dyDescent="0.35">
      <c r="A4367" s="5" t="s">
        <v>98</v>
      </c>
      <c r="B4367" s="5" t="s">
        <v>99</v>
      </c>
      <c r="C4367" s="5" t="s">
        <v>917</v>
      </c>
      <c r="D4367" s="5" t="s">
        <v>14</v>
      </c>
      <c r="E4367" s="5" t="s">
        <v>17</v>
      </c>
      <c r="F4367" s="5" t="s">
        <v>20</v>
      </c>
      <c r="G4367" s="5" t="s">
        <v>77</v>
      </c>
      <c r="H4367" s="5" t="s">
        <v>918</v>
      </c>
      <c r="I4367" s="5" t="s">
        <v>31</v>
      </c>
      <c r="J4367" s="5">
        <v>15.96144659</v>
      </c>
      <c r="K4367" s="5">
        <v>-96.640439409999999</v>
      </c>
      <c r="L4367" s="5" t="str">
        <f>HYPERLINK("https://maps.google.com/?q=15.96144659,-96.640439409999999", "🔗 Ver Mapa")</f>
        <v>🔗 Ver Mapa</v>
      </c>
    </row>
    <row r="4368" spans="1:12" ht="43.5" x14ac:dyDescent="0.35">
      <c r="A4368" s="6" t="s">
        <v>98</v>
      </c>
      <c r="B4368" s="6" t="s">
        <v>99</v>
      </c>
      <c r="C4368" s="6" t="s">
        <v>917</v>
      </c>
      <c r="D4368" s="6" t="s">
        <v>14</v>
      </c>
      <c r="E4368" s="6" t="s">
        <v>17</v>
      </c>
      <c r="F4368" s="6" t="s">
        <v>20</v>
      </c>
      <c r="G4368" s="6" t="s">
        <v>77</v>
      </c>
      <c r="H4368" s="6" t="s">
        <v>918</v>
      </c>
      <c r="I4368" s="6" t="s">
        <v>31</v>
      </c>
      <c r="J4368" s="6">
        <v>15.96147719</v>
      </c>
      <c r="K4368" s="6">
        <v>-96.639213490000003</v>
      </c>
      <c r="L4368" s="6" t="str">
        <f>HYPERLINK("https://maps.google.com/?q=15.96147719,-96.639213490000003", "🔗 Ver Mapa")</f>
        <v>🔗 Ver Mapa</v>
      </c>
    </row>
    <row r="4369" spans="1:12" ht="43.5" x14ac:dyDescent="0.35">
      <c r="A4369" s="5" t="s">
        <v>98</v>
      </c>
      <c r="B4369" s="5" t="s">
        <v>99</v>
      </c>
      <c r="C4369" s="5" t="s">
        <v>917</v>
      </c>
      <c r="D4369" s="5" t="s">
        <v>14</v>
      </c>
      <c r="E4369" s="5" t="s">
        <v>17</v>
      </c>
      <c r="F4369" s="5" t="s">
        <v>20</v>
      </c>
      <c r="G4369" s="5" t="s">
        <v>77</v>
      </c>
      <c r="H4369" s="5" t="s">
        <v>918</v>
      </c>
      <c r="I4369" s="5" t="s">
        <v>31</v>
      </c>
      <c r="J4369" s="5">
        <v>15.96215145</v>
      </c>
      <c r="K4369" s="5">
        <v>-96.634237339999999</v>
      </c>
      <c r="L4369" s="5" t="str">
        <f>HYPERLINK("https://maps.google.com/?q=15.96215145,-96.634237339999999", "🔗 Ver Mapa")</f>
        <v>🔗 Ver Mapa</v>
      </c>
    </row>
    <row r="4370" spans="1:12" ht="43.5" x14ac:dyDescent="0.35">
      <c r="A4370" s="6" t="s">
        <v>98</v>
      </c>
      <c r="B4370" s="6" t="s">
        <v>99</v>
      </c>
      <c r="C4370" s="6" t="s">
        <v>917</v>
      </c>
      <c r="D4370" s="6" t="s">
        <v>14</v>
      </c>
      <c r="E4370" s="6" t="s">
        <v>17</v>
      </c>
      <c r="F4370" s="6" t="s">
        <v>20</v>
      </c>
      <c r="G4370" s="6" t="s">
        <v>77</v>
      </c>
      <c r="H4370" s="6" t="s">
        <v>918</v>
      </c>
      <c r="I4370" s="6" t="s">
        <v>31</v>
      </c>
      <c r="J4370" s="6">
        <v>15.96242443</v>
      </c>
      <c r="K4370" s="6">
        <v>-96.634756229999994</v>
      </c>
      <c r="L4370" s="6" t="str">
        <f>HYPERLINK("https://maps.google.com/?q=15.96242443,-96.634756229999994", "🔗 Ver Mapa")</f>
        <v>🔗 Ver Mapa</v>
      </c>
    </row>
    <row r="4371" spans="1:12" ht="43.5" x14ac:dyDescent="0.35">
      <c r="A4371" s="5" t="s">
        <v>98</v>
      </c>
      <c r="B4371" s="5" t="s">
        <v>99</v>
      </c>
      <c r="C4371" s="5" t="s">
        <v>917</v>
      </c>
      <c r="D4371" s="5" t="s">
        <v>14</v>
      </c>
      <c r="E4371" s="5" t="s">
        <v>17</v>
      </c>
      <c r="F4371" s="5" t="s">
        <v>20</v>
      </c>
      <c r="G4371" s="5" t="s">
        <v>77</v>
      </c>
      <c r="H4371" s="5" t="s">
        <v>918</v>
      </c>
      <c r="I4371" s="5" t="s">
        <v>31</v>
      </c>
      <c r="J4371" s="5">
        <v>15.963831880000001</v>
      </c>
      <c r="K4371" s="5">
        <v>-96.632251449999998</v>
      </c>
      <c r="L4371" s="5" t="str">
        <f>HYPERLINK("https://maps.google.com/?q=15.96383188,-96.632251449999998", "🔗 Ver Mapa")</f>
        <v>🔗 Ver Mapa</v>
      </c>
    </row>
    <row r="4372" spans="1:12" ht="43.5" x14ac:dyDescent="0.35">
      <c r="A4372" s="6" t="s">
        <v>98</v>
      </c>
      <c r="B4372" s="6" t="s">
        <v>99</v>
      </c>
      <c r="C4372" s="6" t="s">
        <v>917</v>
      </c>
      <c r="D4372" s="6" t="s">
        <v>14</v>
      </c>
      <c r="E4372" s="6" t="s">
        <v>17</v>
      </c>
      <c r="F4372" s="6" t="s">
        <v>20</v>
      </c>
      <c r="G4372" s="6" t="s">
        <v>77</v>
      </c>
      <c r="H4372" s="6" t="s">
        <v>918</v>
      </c>
      <c r="I4372" s="6" t="s">
        <v>31</v>
      </c>
      <c r="J4372" s="6">
        <v>15.963936179999999</v>
      </c>
      <c r="K4372" s="6">
        <v>-96.632137970000002</v>
      </c>
      <c r="L4372" s="6" t="str">
        <f>HYPERLINK("https://maps.google.com/?q=15.96393618,-96.632137970000002", "🔗 Ver Mapa")</f>
        <v>🔗 Ver Mapa</v>
      </c>
    </row>
    <row r="4373" spans="1:12" ht="43.5" x14ac:dyDescent="0.35">
      <c r="A4373" s="5" t="s">
        <v>98</v>
      </c>
      <c r="B4373" s="5" t="s">
        <v>99</v>
      </c>
      <c r="C4373" s="5" t="s">
        <v>917</v>
      </c>
      <c r="D4373" s="5" t="s">
        <v>14</v>
      </c>
      <c r="E4373" s="5" t="s">
        <v>17</v>
      </c>
      <c r="F4373" s="5" t="s">
        <v>20</v>
      </c>
      <c r="G4373" s="5" t="s">
        <v>77</v>
      </c>
      <c r="H4373" s="5" t="s">
        <v>918</v>
      </c>
      <c r="I4373" s="5" t="s">
        <v>31</v>
      </c>
      <c r="J4373" s="5">
        <v>15.9655103</v>
      </c>
      <c r="K4373" s="5">
        <v>-96.63167851</v>
      </c>
      <c r="L4373" s="5" t="str">
        <f>HYPERLINK("https://maps.google.com/?q=15.9655103,-96.63167851", "🔗 Ver Mapa")</f>
        <v>🔗 Ver Mapa</v>
      </c>
    </row>
    <row r="4374" spans="1:12" ht="43.5" x14ac:dyDescent="0.35">
      <c r="A4374" s="6" t="s">
        <v>98</v>
      </c>
      <c r="B4374" s="6" t="s">
        <v>99</v>
      </c>
      <c r="C4374" s="6" t="s">
        <v>917</v>
      </c>
      <c r="D4374" s="6" t="s">
        <v>14</v>
      </c>
      <c r="E4374" s="6" t="s">
        <v>17</v>
      </c>
      <c r="F4374" s="6" t="s">
        <v>20</v>
      </c>
      <c r="G4374" s="6" t="s">
        <v>77</v>
      </c>
      <c r="H4374" s="6" t="s">
        <v>918</v>
      </c>
      <c r="I4374" s="6" t="s">
        <v>31</v>
      </c>
      <c r="J4374" s="6">
        <v>15.96597399</v>
      </c>
      <c r="K4374" s="6">
        <v>-96.633173659999997</v>
      </c>
      <c r="L4374" s="6" t="str">
        <f>HYPERLINK("https://maps.google.com/?q=15.96597399,-96.633173659999997", "🔗 Ver Mapa")</f>
        <v>🔗 Ver Mapa</v>
      </c>
    </row>
    <row r="4375" spans="1:12" ht="43.5" x14ac:dyDescent="0.35">
      <c r="A4375" s="5" t="s">
        <v>98</v>
      </c>
      <c r="B4375" s="5" t="s">
        <v>99</v>
      </c>
      <c r="C4375" s="5" t="s">
        <v>917</v>
      </c>
      <c r="D4375" s="5" t="s">
        <v>14</v>
      </c>
      <c r="E4375" s="5" t="s">
        <v>17</v>
      </c>
      <c r="F4375" s="5" t="s">
        <v>20</v>
      </c>
      <c r="G4375" s="5" t="s">
        <v>77</v>
      </c>
      <c r="H4375" s="5" t="s">
        <v>918</v>
      </c>
      <c r="I4375" s="5" t="s">
        <v>31</v>
      </c>
      <c r="J4375" s="5">
        <v>15.96598257</v>
      </c>
      <c r="K4375" s="5">
        <v>-96.635281550000002</v>
      </c>
      <c r="L4375" s="5" t="str">
        <f>HYPERLINK("https://maps.google.com/?q=15.96598257,-96.635281550000002", "🔗 Ver Mapa")</f>
        <v>🔗 Ver Mapa</v>
      </c>
    </row>
    <row r="4376" spans="1:12" ht="43.5" x14ac:dyDescent="0.35">
      <c r="A4376" s="6" t="s">
        <v>98</v>
      </c>
      <c r="B4376" s="6" t="s">
        <v>99</v>
      </c>
      <c r="C4376" s="6" t="s">
        <v>917</v>
      </c>
      <c r="D4376" s="6" t="s">
        <v>14</v>
      </c>
      <c r="E4376" s="6" t="s">
        <v>17</v>
      </c>
      <c r="F4376" s="6" t="s">
        <v>20</v>
      </c>
      <c r="G4376" s="6" t="s">
        <v>77</v>
      </c>
      <c r="H4376" s="6" t="s">
        <v>918</v>
      </c>
      <c r="I4376" s="6" t="s">
        <v>31</v>
      </c>
      <c r="J4376" s="6">
        <v>15.966211189999999</v>
      </c>
      <c r="K4376" s="6">
        <v>-96.63253057</v>
      </c>
      <c r="L4376" s="6" t="str">
        <f>HYPERLINK("https://maps.google.com/?q=15.96621119,-96.63253057", "🔗 Ver Mapa")</f>
        <v>🔗 Ver Mapa</v>
      </c>
    </row>
    <row r="4377" spans="1:12" ht="43.5" x14ac:dyDescent="0.35">
      <c r="A4377" s="5" t="s">
        <v>98</v>
      </c>
      <c r="B4377" s="5" t="s">
        <v>99</v>
      </c>
      <c r="C4377" s="5" t="s">
        <v>919</v>
      </c>
      <c r="D4377" s="5" t="s">
        <v>14</v>
      </c>
      <c r="E4377" s="5" t="s">
        <v>17</v>
      </c>
      <c r="F4377" s="5" t="s">
        <v>20</v>
      </c>
      <c r="G4377" s="5" t="s">
        <v>77</v>
      </c>
      <c r="H4377" s="5" t="s">
        <v>920</v>
      </c>
      <c r="I4377" s="5" t="s">
        <v>31</v>
      </c>
      <c r="J4377" s="5">
        <v>15.99527846</v>
      </c>
      <c r="K4377" s="5">
        <v>-96.681896050000006</v>
      </c>
      <c r="L4377" s="5" t="str">
        <f>HYPERLINK("https://maps.google.com/?q=15.99527846,-96.681896050000006", "🔗 Ver Mapa")</f>
        <v>🔗 Ver Mapa</v>
      </c>
    </row>
    <row r="4378" spans="1:12" ht="43.5" x14ac:dyDescent="0.35">
      <c r="A4378" s="6" t="s">
        <v>98</v>
      </c>
      <c r="B4378" s="6" t="s">
        <v>99</v>
      </c>
      <c r="C4378" s="6" t="s">
        <v>919</v>
      </c>
      <c r="D4378" s="6" t="s">
        <v>14</v>
      </c>
      <c r="E4378" s="6" t="s">
        <v>17</v>
      </c>
      <c r="F4378" s="6" t="s">
        <v>20</v>
      </c>
      <c r="G4378" s="6" t="s">
        <v>77</v>
      </c>
      <c r="H4378" s="6" t="s">
        <v>920</v>
      </c>
      <c r="I4378" s="6" t="s">
        <v>31</v>
      </c>
      <c r="J4378" s="6">
        <v>15.99569915</v>
      </c>
      <c r="K4378" s="6">
        <v>-96.681429390000005</v>
      </c>
      <c r="L4378" s="6" t="str">
        <f>HYPERLINK("https://maps.google.com/?q=15.99569915,-96.681429390000005", "🔗 Ver Mapa")</f>
        <v>🔗 Ver Mapa</v>
      </c>
    </row>
    <row r="4379" spans="1:12" ht="43.5" x14ac:dyDescent="0.35">
      <c r="A4379" s="5" t="s">
        <v>98</v>
      </c>
      <c r="B4379" s="5" t="s">
        <v>99</v>
      </c>
      <c r="C4379" s="5" t="s">
        <v>919</v>
      </c>
      <c r="D4379" s="5" t="s">
        <v>14</v>
      </c>
      <c r="E4379" s="5" t="s">
        <v>17</v>
      </c>
      <c r="F4379" s="5" t="s">
        <v>20</v>
      </c>
      <c r="G4379" s="5" t="s">
        <v>77</v>
      </c>
      <c r="H4379" s="5" t="s">
        <v>920</v>
      </c>
      <c r="I4379" s="5" t="s">
        <v>31</v>
      </c>
      <c r="J4379" s="5">
        <v>15.99591781</v>
      </c>
      <c r="K4379" s="5">
        <v>-96.681335239999996</v>
      </c>
      <c r="L4379" s="5" t="str">
        <f>HYPERLINK("https://maps.google.com/?q=15.99591781,-96.681335239999996", "🔗 Ver Mapa")</f>
        <v>🔗 Ver Mapa</v>
      </c>
    </row>
    <row r="4380" spans="1:12" ht="43.5" x14ac:dyDescent="0.35">
      <c r="A4380" s="6" t="s">
        <v>98</v>
      </c>
      <c r="B4380" s="6" t="s">
        <v>99</v>
      </c>
      <c r="C4380" s="6" t="s">
        <v>919</v>
      </c>
      <c r="D4380" s="6" t="s">
        <v>14</v>
      </c>
      <c r="E4380" s="6" t="s">
        <v>17</v>
      </c>
      <c r="F4380" s="6" t="s">
        <v>20</v>
      </c>
      <c r="G4380" s="6" t="s">
        <v>77</v>
      </c>
      <c r="H4380" s="6" t="s">
        <v>920</v>
      </c>
      <c r="I4380" s="6" t="s">
        <v>31</v>
      </c>
      <c r="J4380" s="6">
        <v>15.9961629</v>
      </c>
      <c r="K4380" s="6">
        <v>-96.681866749999998</v>
      </c>
      <c r="L4380" s="6" t="str">
        <f>HYPERLINK("https://maps.google.com/?q=15.9961629,-96.681866749999998", "🔗 Ver Mapa")</f>
        <v>🔗 Ver Mapa</v>
      </c>
    </row>
    <row r="4381" spans="1:12" ht="43.5" x14ac:dyDescent="0.35">
      <c r="A4381" s="5" t="s">
        <v>98</v>
      </c>
      <c r="B4381" s="5" t="s">
        <v>99</v>
      </c>
      <c r="C4381" s="5" t="s">
        <v>919</v>
      </c>
      <c r="D4381" s="5" t="s">
        <v>14</v>
      </c>
      <c r="E4381" s="5" t="s">
        <v>17</v>
      </c>
      <c r="F4381" s="5" t="s">
        <v>20</v>
      </c>
      <c r="G4381" s="5" t="s">
        <v>77</v>
      </c>
      <c r="H4381" s="5" t="s">
        <v>920</v>
      </c>
      <c r="I4381" s="5" t="s">
        <v>31</v>
      </c>
      <c r="J4381" s="5">
        <v>15.99728691</v>
      </c>
      <c r="K4381" s="5">
        <v>-96.680472570000006</v>
      </c>
      <c r="L4381" s="5" t="str">
        <f>HYPERLINK("https://maps.google.com/?q=15.99728691,-96.680472570000006", "🔗 Ver Mapa")</f>
        <v>🔗 Ver Mapa</v>
      </c>
    </row>
    <row r="4382" spans="1:12" ht="43.5" x14ac:dyDescent="0.35">
      <c r="A4382" s="6" t="s">
        <v>98</v>
      </c>
      <c r="B4382" s="6" t="s">
        <v>99</v>
      </c>
      <c r="C4382" s="6" t="s">
        <v>919</v>
      </c>
      <c r="D4382" s="6" t="s">
        <v>14</v>
      </c>
      <c r="E4382" s="6" t="s">
        <v>17</v>
      </c>
      <c r="F4382" s="6" t="s">
        <v>20</v>
      </c>
      <c r="G4382" s="6" t="s">
        <v>77</v>
      </c>
      <c r="H4382" s="6" t="s">
        <v>920</v>
      </c>
      <c r="I4382" s="6" t="s">
        <v>31</v>
      </c>
      <c r="J4382" s="6">
        <v>15.997519029999999</v>
      </c>
      <c r="K4382" s="6">
        <v>-96.680830169999993</v>
      </c>
      <c r="L4382" s="6" t="str">
        <f>HYPERLINK("https://maps.google.com/?q=15.99751903,-96.680830169999993", "🔗 Ver Mapa")</f>
        <v>🔗 Ver Mapa</v>
      </c>
    </row>
    <row r="4383" spans="1:12" ht="43.5" x14ac:dyDescent="0.35">
      <c r="A4383" s="5" t="s">
        <v>98</v>
      </c>
      <c r="B4383" s="5" t="s">
        <v>99</v>
      </c>
      <c r="C4383" s="5" t="s">
        <v>919</v>
      </c>
      <c r="D4383" s="5" t="s">
        <v>14</v>
      </c>
      <c r="E4383" s="5" t="s">
        <v>17</v>
      </c>
      <c r="F4383" s="5" t="s">
        <v>20</v>
      </c>
      <c r="G4383" s="5" t="s">
        <v>77</v>
      </c>
      <c r="H4383" s="5" t="s">
        <v>920</v>
      </c>
      <c r="I4383" s="5" t="s">
        <v>31</v>
      </c>
      <c r="J4383" s="5">
        <v>15.998011849999999</v>
      </c>
      <c r="K4383" s="5">
        <v>-96.68790018</v>
      </c>
      <c r="L4383" s="5" t="str">
        <f>HYPERLINK("https://maps.google.com/?q=15.99801185,-96.68790018", "🔗 Ver Mapa")</f>
        <v>🔗 Ver Mapa</v>
      </c>
    </row>
    <row r="4384" spans="1:12" ht="43.5" x14ac:dyDescent="0.35">
      <c r="A4384" s="6" t="s">
        <v>98</v>
      </c>
      <c r="B4384" s="6" t="s">
        <v>99</v>
      </c>
      <c r="C4384" s="6" t="s">
        <v>919</v>
      </c>
      <c r="D4384" s="6" t="s">
        <v>14</v>
      </c>
      <c r="E4384" s="6" t="s">
        <v>17</v>
      </c>
      <c r="F4384" s="6" t="s">
        <v>20</v>
      </c>
      <c r="G4384" s="6" t="s">
        <v>77</v>
      </c>
      <c r="H4384" s="6" t="s">
        <v>920</v>
      </c>
      <c r="I4384" s="6" t="s">
        <v>31</v>
      </c>
      <c r="J4384" s="6">
        <v>15.998042249999999</v>
      </c>
      <c r="K4384" s="6">
        <v>-96.686907500000004</v>
      </c>
      <c r="L4384" s="6" t="str">
        <f>HYPERLINK("https://maps.google.com/?q=15.99804225,-96.686907500000004", "🔗 Ver Mapa")</f>
        <v>🔗 Ver Mapa</v>
      </c>
    </row>
    <row r="4385" spans="1:12" ht="43.5" x14ac:dyDescent="0.35">
      <c r="A4385" s="5" t="s">
        <v>98</v>
      </c>
      <c r="B4385" s="5" t="s">
        <v>99</v>
      </c>
      <c r="C4385" s="5" t="s">
        <v>919</v>
      </c>
      <c r="D4385" s="5" t="s">
        <v>14</v>
      </c>
      <c r="E4385" s="5" t="s">
        <v>17</v>
      </c>
      <c r="F4385" s="5" t="s">
        <v>20</v>
      </c>
      <c r="G4385" s="5" t="s">
        <v>77</v>
      </c>
      <c r="H4385" s="5" t="s">
        <v>920</v>
      </c>
      <c r="I4385" s="5" t="s">
        <v>31</v>
      </c>
      <c r="J4385" s="5">
        <v>15.998051390000001</v>
      </c>
      <c r="K4385" s="5">
        <v>-96.680227149999993</v>
      </c>
      <c r="L4385" s="5" t="str">
        <f>HYPERLINK("https://maps.google.com/?q=15.99805139,-96.680227149999993", "🔗 Ver Mapa")</f>
        <v>🔗 Ver Mapa</v>
      </c>
    </row>
    <row r="4386" spans="1:12" ht="43.5" x14ac:dyDescent="0.35">
      <c r="A4386" s="6" t="s">
        <v>98</v>
      </c>
      <c r="B4386" s="6" t="s">
        <v>99</v>
      </c>
      <c r="C4386" s="6" t="s">
        <v>919</v>
      </c>
      <c r="D4386" s="6" t="s">
        <v>14</v>
      </c>
      <c r="E4386" s="6" t="s">
        <v>17</v>
      </c>
      <c r="F4386" s="6" t="s">
        <v>20</v>
      </c>
      <c r="G4386" s="6" t="s">
        <v>77</v>
      </c>
      <c r="H4386" s="6" t="s">
        <v>920</v>
      </c>
      <c r="I4386" s="6" t="s">
        <v>31</v>
      </c>
      <c r="J4386" s="6">
        <v>15.998065540000001</v>
      </c>
      <c r="K4386" s="6">
        <v>-96.687995060000006</v>
      </c>
      <c r="L4386" s="6" t="str">
        <f>HYPERLINK("https://maps.google.com/?q=15.99806554,-96.687995060000006", "🔗 Ver Mapa")</f>
        <v>🔗 Ver Mapa</v>
      </c>
    </row>
    <row r="4387" spans="1:12" ht="43.5" x14ac:dyDescent="0.35">
      <c r="A4387" s="5" t="s">
        <v>98</v>
      </c>
      <c r="B4387" s="5" t="s">
        <v>99</v>
      </c>
      <c r="C4387" s="5" t="s">
        <v>919</v>
      </c>
      <c r="D4387" s="5" t="s">
        <v>14</v>
      </c>
      <c r="E4387" s="5" t="s">
        <v>17</v>
      </c>
      <c r="F4387" s="5" t="s">
        <v>20</v>
      </c>
      <c r="G4387" s="5" t="s">
        <v>77</v>
      </c>
      <c r="H4387" s="5" t="s">
        <v>920</v>
      </c>
      <c r="I4387" s="5" t="s">
        <v>31</v>
      </c>
      <c r="J4387" s="5">
        <v>15.99820222</v>
      </c>
      <c r="K4387" s="5">
        <v>-96.680298230000005</v>
      </c>
      <c r="L4387" s="5" t="str">
        <f>HYPERLINK("https://maps.google.com/?q=15.99820222,-96.680298230000005", "🔗 Ver Mapa")</f>
        <v>🔗 Ver Mapa</v>
      </c>
    </row>
    <row r="4388" spans="1:12" ht="43.5" x14ac:dyDescent="0.35">
      <c r="A4388" s="6" t="s">
        <v>98</v>
      </c>
      <c r="B4388" s="6" t="s">
        <v>99</v>
      </c>
      <c r="C4388" s="6" t="s">
        <v>919</v>
      </c>
      <c r="D4388" s="6" t="s">
        <v>14</v>
      </c>
      <c r="E4388" s="6" t="s">
        <v>17</v>
      </c>
      <c r="F4388" s="6" t="s">
        <v>20</v>
      </c>
      <c r="G4388" s="6" t="s">
        <v>77</v>
      </c>
      <c r="H4388" s="6" t="s">
        <v>920</v>
      </c>
      <c r="I4388" s="6" t="s">
        <v>31</v>
      </c>
      <c r="J4388" s="6">
        <v>15.99824519</v>
      </c>
      <c r="K4388" s="6">
        <v>-96.688650550000006</v>
      </c>
      <c r="L4388" s="6" t="str">
        <f>HYPERLINK("https://maps.google.com/?q=15.99824519,-96.688650550000006", "🔗 Ver Mapa")</f>
        <v>🔗 Ver Mapa</v>
      </c>
    </row>
    <row r="4389" spans="1:12" ht="43.5" x14ac:dyDescent="0.35">
      <c r="A4389" s="5" t="s">
        <v>98</v>
      </c>
      <c r="B4389" s="5" t="s">
        <v>99</v>
      </c>
      <c r="C4389" s="5" t="s">
        <v>919</v>
      </c>
      <c r="D4389" s="5" t="s">
        <v>14</v>
      </c>
      <c r="E4389" s="5" t="s">
        <v>17</v>
      </c>
      <c r="F4389" s="5" t="s">
        <v>20</v>
      </c>
      <c r="G4389" s="5" t="s">
        <v>77</v>
      </c>
      <c r="H4389" s="5" t="s">
        <v>920</v>
      </c>
      <c r="I4389" s="5" t="s">
        <v>31</v>
      </c>
      <c r="J4389" s="5">
        <v>15.998740229999999</v>
      </c>
      <c r="K4389" s="5">
        <v>-96.689012649999995</v>
      </c>
      <c r="L4389" s="5" t="str">
        <f>HYPERLINK("https://maps.google.com/?q=15.99874023,-96.689012649999995", "🔗 Ver Mapa")</f>
        <v>🔗 Ver Mapa</v>
      </c>
    </row>
    <row r="4390" spans="1:12" ht="43.5" x14ac:dyDescent="0.35">
      <c r="A4390" s="6" t="s">
        <v>98</v>
      </c>
      <c r="B4390" s="6" t="s">
        <v>99</v>
      </c>
      <c r="C4390" s="6" t="s">
        <v>919</v>
      </c>
      <c r="D4390" s="6" t="s">
        <v>14</v>
      </c>
      <c r="E4390" s="6" t="s">
        <v>17</v>
      </c>
      <c r="F4390" s="6" t="s">
        <v>20</v>
      </c>
      <c r="G4390" s="6" t="s">
        <v>77</v>
      </c>
      <c r="H4390" s="6" t="s">
        <v>920</v>
      </c>
      <c r="I4390" s="6" t="s">
        <v>31</v>
      </c>
      <c r="J4390" s="6">
        <v>15.998967070000001</v>
      </c>
      <c r="K4390" s="6">
        <v>-96.690763970000006</v>
      </c>
      <c r="L4390" s="6" t="str">
        <f>HYPERLINK("https://maps.google.com/?q=15.99896707,-96.690763970000006", "🔗 Ver Mapa")</f>
        <v>🔗 Ver Mapa</v>
      </c>
    </row>
    <row r="4391" spans="1:12" ht="43.5" x14ac:dyDescent="0.35">
      <c r="A4391" s="5" t="s">
        <v>98</v>
      </c>
      <c r="B4391" s="5" t="s">
        <v>99</v>
      </c>
      <c r="C4391" s="5" t="s">
        <v>919</v>
      </c>
      <c r="D4391" s="5" t="s">
        <v>14</v>
      </c>
      <c r="E4391" s="5" t="s">
        <v>17</v>
      </c>
      <c r="F4391" s="5" t="s">
        <v>20</v>
      </c>
      <c r="G4391" s="5" t="s">
        <v>77</v>
      </c>
      <c r="H4391" s="5" t="s">
        <v>920</v>
      </c>
      <c r="I4391" s="5" t="s">
        <v>31</v>
      </c>
      <c r="J4391" s="5">
        <v>15.999049660000001</v>
      </c>
      <c r="K4391" s="5">
        <v>-96.68854872</v>
      </c>
      <c r="L4391" s="5" t="str">
        <f>HYPERLINK("https://maps.google.com/?q=15.99904966,-96.68854872", "🔗 Ver Mapa")</f>
        <v>🔗 Ver Mapa</v>
      </c>
    </row>
    <row r="4392" spans="1:12" ht="43.5" x14ac:dyDescent="0.35">
      <c r="A4392" s="6" t="s">
        <v>98</v>
      </c>
      <c r="B4392" s="6" t="s">
        <v>99</v>
      </c>
      <c r="C4392" s="6" t="s">
        <v>919</v>
      </c>
      <c r="D4392" s="6" t="s">
        <v>14</v>
      </c>
      <c r="E4392" s="6" t="s">
        <v>17</v>
      </c>
      <c r="F4392" s="6" t="s">
        <v>20</v>
      </c>
      <c r="G4392" s="6" t="s">
        <v>77</v>
      </c>
      <c r="H4392" s="6" t="s">
        <v>920</v>
      </c>
      <c r="I4392" s="6" t="s">
        <v>31</v>
      </c>
      <c r="J4392" s="6">
        <v>15.99913044</v>
      </c>
      <c r="K4392" s="6">
        <v>-96.688092080000004</v>
      </c>
      <c r="L4392" s="6" t="str">
        <f>HYPERLINK("https://maps.google.com/?q=15.99913044,-96.688092080000004", "🔗 Ver Mapa")</f>
        <v>🔗 Ver Mapa</v>
      </c>
    </row>
    <row r="4393" spans="1:12" ht="43.5" x14ac:dyDescent="0.35">
      <c r="A4393" s="5" t="s">
        <v>98</v>
      </c>
      <c r="B4393" s="5" t="s">
        <v>99</v>
      </c>
      <c r="C4393" s="5" t="s">
        <v>919</v>
      </c>
      <c r="D4393" s="5" t="s">
        <v>14</v>
      </c>
      <c r="E4393" s="5" t="s">
        <v>17</v>
      </c>
      <c r="F4393" s="5" t="s">
        <v>20</v>
      </c>
      <c r="G4393" s="5" t="s">
        <v>77</v>
      </c>
      <c r="H4393" s="5" t="s">
        <v>920</v>
      </c>
      <c r="I4393" s="5" t="s">
        <v>31</v>
      </c>
      <c r="J4393" s="5">
        <v>15.99951327</v>
      </c>
      <c r="K4393" s="5">
        <v>-96.689529949999994</v>
      </c>
      <c r="L4393" s="5" t="str">
        <f>HYPERLINK("https://maps.google.com/?q=15.99951327,-96.689529949999994", "🔗 Ver Mapa")</f>
        <v>🔗 Ver Mapa</v>
      </c>
    </row>
    <row r="4394" spans="1:12" ht="43.5" x14ac:dyDescent="0.35">
      <c r="A4394" s="6" t="s">
        <v>98</v>
      </c>
      <c r="B4394" s="6" t="s">
        <v>99</v>
      </c>
      <c r="C4394" s="6" t="s">
        <v>919</v>
      </c>
      <c r="D4394" s="6" t="s">
        <v>14</v>
      </c>
      <c r="E4394" s="6" t="s">
        <v>17</v>
      </c>
      <c r="F4394" s="6" t="s">
        <v>20</v>
      </c>
      <c r="G4394" s="6" t="s">
        <v>77</v>
      </c>
      <c r="H4394" s="6" t="s">
        <v>920</v>
      </c>
      <c r="I4394" s="6" t="s">
        <v>31</v>
      </c>
      <c r="J4394" s="6">
        <v>16.00004517</v>
      </c>
      <c r="K4394" s="6">
        <v>-96.686296659999996</v>
      </c>
      <c r="L4394" s="6" t="str">
        <f>HYPERLINK("https://maps.google.com/?q=16.00004517,-96.686296659999996", "🔗 Ver Mapa")</f>
        <v>🔗 Ver Mapa</v>
      </c>
    </row>
    <row r="4395" spans="1:12" ht="43.5" x14ac:dyDescent="0.35">
      <c r="A4395" s="5" t="s">
        <v>98</v>
      </c>
      <c r="B4395" s="5" t="s">
        <v>99</v>
      </c>
      <c r="C4395" s="5" t="s">
        <v>919</v>
      </c>
      <c r="D4395" s="5" t="s">
        <v>14</v>
      </c>
      <c r="E4395" s="5" t="s">
        <v>17</v>
      </c>
      <c r="F4395" s="5" t="s">
        <v>20</v>
      </c>
      <c r="G4395" s="5" t="s">
        <v>77</v>
      </c>
      <c r="H4395" s="5" t="s">
        <v>920</v>
      </c>
      <c r="I4395" s="5" t="s">
        <v>31</v>
      </c>
      <c r="J4395" s="5">
        <v>16.000056050000001</v>
      </c>
      <c r="K4395" s="5">
        <v>-96.689752369999994</v>
      </c>
      <c r="L4395" s="5" t="str">
        <f>HYPERLINK("https://maps.google.com/?q=16.00005605,-96.689752369999994", "🔗 Ver Mapa")</f>
        <v>🔗 Ver Mapa</v>
      </c>
    </row>
    <row r="4396" spans="1:12" ht="43.5" x14ac:dyDescent="0.35">
      <c r="A4396" s="6" t="s">
        <v>98</v>
      </c>
      <c r="B4396" s="6" t="s">
        <v>99</v>
      </c>
      <c r="C4396" s="6" t="s">
        <v>919</v>
      </c>
      <c r="D4396" s="6" t="s">
        <v>14</v>
      </c>
      <c r="E4396" s="6" t="s">
        <v>17</v>
      </c>
      <c r="F4396" s="6" t="s">
        <v>20</v>
      </c>
      <c r="G4396" s="6" t="s">
        <v>77</v>
      </c>
      <c r="H4396" s="6" t="s">
        <v>920</v>
      </c>
      <c r="I4396" s="6" t="s">
        <v>31</v>
      </c>
      <c r="J4396" s="6">
        <v>16.000130819999999</v>
      </c>
      <c r="K4396" s="6">
        <v>-96.686158210000002</v>
      </c>
      <c r="L4396" s="6" t="str">
        <f>HYPERLINK("https://maps.google.com/?q=16.00013082,-96.686158210000002", "🔗 Ver Mapa")</f>
        <v>🔗 Ver Mapa</v>
      </c>
    </row>
    <row r="4397" spans="1:12" ht="43.5" x14ac:dyDescent="0.35">
      <c r="A4397" s="5" t="s">
        <v>98</v>
      </c>
      <c r="B4397" s="5" t="s">
        <v>99</v>
      </c>
      <c r="C4397" s="5" t="s">
        <v>919</v>
      </c>
      <c r="D4397" s="5" t="s">
        <v>14</v>
      </c>
      <c r="E4397" s="5" t="s">
        <v>17</v>
      </c>
      <c r="F4397" s="5" t="s">
        <v>20</v>
      </c>
      <c r="G4397" s="5" t="s">
        <v>77</v>
      </c>
      <c r="H4397" s="5" t="s">
        <v>920</v>
      </c>
      <c r="I4397" s="5" t="s">
        <v>31</v>
      </c>
      <c r="J4397" s="5">
        <v>16.000150090000002</v>
      </c>
      <c r="K4397" s="5">
        <v>-96.688534779999998</v>
      </c>
      <c r="L4397" s="5" t="str">
        <f>HYPERLINK("https://maps.google.com/?q=16.00015009,-96.688534779999998", "🔗 Ver Mapa")</f>
        <v>🔗 Ver Mapa</v>
      </c>
    </row>
    <row r="4398" spans="1:12" ht="43.5" x14ac:dyDescent="0.35">
      <c r="A4398" s="6" t="s">
        <v>98</v>
      </c>
      <c r="B4398" s="6" t="s">
        <v>99</v>
      </c>
      <c r="C4398" s="6" t="s">
        <v>919</v>
      </c>
      <c r="D4398" s="6" t="s">
        <v>14</v>
      </c>
      <c r="E4398" s="6" t="s">
        <v>17</v>
      </c>
      <c r="F4398" s="6" t="s">
        <v>20</v>
      </c>
      <c r="G4398" s="6" t="s">
        <v>77</v>
      </c>
      <c r="H4398" s="6" t="s">
        <v>920</v>
      </c>
      <c r="I4398" s="6" t="s">
        <v>31</v>
      </c>
      <c r="J4398" s="6">
        <v>16.000317209999999</v>
      </c>
      <c r="K4398" s="6">
        <v>-96.687958760000001</v>
      </c>
      <c r="L4398" s="6" t="str">
        <f>HYPERLINK("https://maps.google.com/?q=16.00031721,-96.687958760000001", "🔗 Ver Mapa")</f>
        <v>🔗 Ver Mapa</v>
      </c>
    </row>
    <row r="4399" spans="1:12" ht="43.5" x14ac:dyDescent="0.35">
      <c r="A4399" s="5" t="s">
        <v>98</v>
      </c>
      <c r="B4399" s="5" t="s">
        <v>99</v>
      </c>
      <c r="C4399" s="5" t="s">
        <v>919</v>
      </c>
      <c r="D4399" s="5" t="s">
        <v>14</v>
      </c>
      <c r="E4399" s="5" t="s">
        <v>17</v>
      </c>
      <c r="F4399" s="5" t="s">
        <v>20</v>
      </c>
      <c r="G4399" s="5" t="s">
        <v>77</v>
      </c>
      <c r="H4399" s="5" t="s">
        <v>920</v>
      </c>
      <c r="I4399" s="5" t="s">
        <v>31</v>
      </c>
      <c r="J4399" s="5">
        <v>16.001322439999999</v>
      </c>
      <c r="K4399" s="5">
        <v>-96.679781730000002</v>
      </c>
      <c r="L4399" s="5" t="str">
        <f>HYPERLINK("https://maps.google.com/?q=16.00132244,-96.679781730000002", "🔗 Ver Mapa")</f>
        <v>🔗 Ver Mapa</v>
      </c>
    </row>
    <row r="4400" spans="1:12" ht="43.5" x14ac:dyDescent="0.35">
      <c r="A4400" s="6" t="s">
        <v>98</v>
      </c>
      <c r="B4400" s="6" t="s">
        <v>99</v>
      </c>
      <c r="C4400" s="6" t="s">
        <v>919</v>
      </c>
      <c r="D4400" s="6" t="s">
        <v>14</v>
      </c>
      <c r="E4400" s="6" t="s">
        <v>17</v>
      </c>
      <c r="F4400" s="6" t="s">
        <v>20</v>
      </c>
      <c r="G4400" s="6" t="s">
        <v>77</v>
      </c>
      <c r="H4400" s="6" t="s">
        <v>920</v>
      </c>
      <c r="I4400" s="6" t="s">
        <v>31</v>
      </c>
      <c r="J4400" s="6">
        <v>16.00138514</v>
      </c>
      <c r="K4400" s="6">
        <v>-96.680761820000001</v>
      </c>
      <c r="L4400" s="6" t="str">
        <f>HYPERLINK("https://maps.google.com/?q=16.00138514,-96.680761820000001", "🔗 Ver Mapa")</f>
        <v>🔗 Ver Mapa</v>
      </c>
    </row>
    <row r="4401" spans="1:12" ht="43.5" x14ac:dyDescent="0.35">
      <c r="A4401" s="5" t="s">
        <v>98</v>
      </c>
      <c r="B4401" s="5" t="s">
        <v>99</v>
      </c>
      <c r="C4401" s="5" t="s">
        <v>919</v>
      </c>
      <c r="D4401" s="5" t="s">
        <v>14</v>
      </c>
      <c r="E4401" s="5" t="s">
        <v>17</v>
      </c>
      <c r="F4401" s="5" t="s">
        <v>20</v>
      </c>
      <c r="G4401" s="5" t="s">
        <v>77</v>
      </c>
      <c r="H4401" s="5" t="s">
        <v>920</v>
      </c>
      <c r="I4401" s="5" t="s">
        <v>31</v>
      </c>
      <c r="J4401" s="5">
        <v>16.001652459999999</v>
      </c>
      <c r="K4401" s="5">
        <v>-96.678633739999995</v>
      </c>
      <c r="L4401" s="5" t="str">
        <f>HYPERLINK("https://maps.google.com/?q=16.00165246,-96.678633739999995", "🔗 Ver Mapa")</f>
        <v>🔗 Ver Mapa</v>
      </c>
    </row>
    <row r="4402" spans="1:12" ht="43.5" x14ac:dyDescent="0.35">
      <c r="A4402" s="6" t="s">
        <v>98</v>
      </c>
      <c r="B4402" s="6" t="s">
        <v>99</v>
      </c>
      <c r="C4402" s="6" t="s">
        <v>919</v>
      </c>
      <c r="D4402" s="6" t="s">
        <v>14</v>
      </c>
      <c r="E4402" s="6" t="s">
        <v>17</v>
      </c>
      <c r="F4402" s="6" t="s">
        <v>20</v>
      </c>
      <c r="G4402" s="6" t="s">
        <v>77</v>
      </c>
      <c r="H4402" s="6" t="s">
        <v>920</v>
      </c>
      <c r="I4402" s="6" t="s">
        <v>31</v>
      </c>
      <c r="J4402" s="6">
        <v>16.00169</v>
      </c>
      <c r="K4402" s="6">
        <v>-96.67922222</v>
      </c>
      <c r="L4402" s="6" t="str">
        <f>HYPERLINK("https://maps.google.com/?q=16.00169,-96.67922222", "🔗 Ver Mapa")</f>
        <v>🔗 Ver Mapa</v>
      </c>
    </row>
    <row r="4403" spans="1:12" ht="43.5" x14ac:dyDescent="0.35">
      <c r="A4403" s="5" t="s">
        <v>98</v>
      </c>
      <c r="B4403" s="5" t="s">
        <v>99</v>
      </c>
      <c r="C4403" s="5" t="s">
        <v>919</v>
      </c>
      <c r="D4403" s="5" t="s">
        <v>14</v>
      </c>
      <c r="E4403" s="5" t="s">
        <v>17</v>
      </c>
      <c r="F4403" s="5" t="s">
        <v>20</v>
      </c>
      <c r="G4403" s="5" t="s">
        <v>77</v>
      </c>
      <c r="H4403" s="5" t="s">
        <v>920</v>
      </c>
      <c r="I4403" s="5" t="s">
        <v>31</v>
      </c>
      <c r="J4403" s="5">
        <v>16.002008150000002</v>
      </c>
      <c r="K4403" s="5">
        <v>-96.677475810000004</v>
      </c>
      <c r="L4403" s="5" t="str">
        <f>HYPERLINK("https://maps.google.com/?q=16.00200815,-96.677475810000004", "🔗 Ver Mapa")</f>
        <v>🔗 Ver Mapa</v>
      </c>
    </row>
    <row r="4404" spans="1:12" ht="43.5" x14ac:dyDescent="0.35">
      <c r="A4404" s="6" t="s">
        <v>98</v>
      </c>
      <c r="B4404" s="6" t="s">
        <v>99</v>
      </c>
      <c r="C4404" s="6" t="s">
        <v>919</v>
      </c>
      <c r="D4404" s="6" t="s">
        <v>14</v>
      </c>
      <c r="E4404" s="6" t="s">
        <v>17</v>
      </c>
      <c r="F4404" s="6" t="s">
        <v>20</v>
      </c>
      <c r="G4404" s="6" t="s">
        <v>77</v>
      </c>
      <c r="H4404" s="6" t="s">
        <v>920</v>
      </c>
      <c r="I4404" s="6" t="s">
        <v>31</v>
      </c>
      <c r="J4404" s="6">
        <v>16.00205905</v>
      </c>
      <c r="K4404" s="6">
        <v>-96.68171916</v>
      </c>
      <c r="L4404" s="6" t="str">
        <f>HYPERLINK("https://maps.google.com/?q=16.00205905,-96.68171916", "🔗 Ver Mapa")</f>
        <v>🔗 Ver Mapa</v>
      </c>
    </row>
    <row r="4405" spans="1:12" ht="43.5" x14ac:dyDescent="0.35">
      <c r="A4405" s="5" t="s">
        <v>98</v>
      </c>
      <c r="B4405" s="5" t="s">
        <v>99</v>
      </c>
      <c r="C4405" s="5" t="s">
        <v>919</v>
      </c>
      <c r="D4405" s="5" t="s">
        <v>14</v>
      </c>
      <c r="E4405" s="5" t="s">
        <v>17</v>
      </c>
      <c r="F4405" s="5" t="s">
        <v>20</v>
      </c>
      <c r="G4405" s="5" t="s">
        <v>77</v>
      </c>
      <c r="H4405" s="5" t="s">
        <v>920</v>
      </c>
      <c r="I4405" s="5" t="s">
        <v>31</v>
      </c>
      <c r="J4405" s="5">
        <v>16.002180890000002</v>
      </c>
      <c r="K4405" s="5">
        <v>-96.68182032</v>
      </c>
      <c r="L4405" s="5" t="str">
        <f>HYPERLINK("https://maps.google.com/?q=16.00218089,-96.68182032", "🔗 Ver Mapa")</f>
        <v>🔗 Ver Mapa</v>
      </c>
    </row>
    <row r="4406" spans="1:12" ht="43.5" x14ac:dyDescent="0.35">
      <c r="A4406" s="6" t="s">
        <v>98</v>
      </c>
      <c r="B4406" s="6" t="s">
        <v>99</v>
      </c>
      <c r="C4406" s="6" t="s">
        <v>919</v>
      </c>
      <c r="D4406" s="6" t="s">
        <v>14</v>
      </c>
      <c r="E4406" s="6" t="s">
        <v>17</v>
      </c>
      <c r="F4406" s="6" t="s">
        <v>20</v>
      </c>
      <c r="G4406" s="6" t="s">
        <v>77</v>
      </c>
      <c r="H4406" s="6" t="s">
        <v>920</v>
      </c>
      <c r="I4406" s="6" t="s">
        <v>31</v>
      </c>
      <c r="J4406" s="6">
        <v>16.002352980000001</v>
      </c>
      <c r="K4406" s="6">
        <v>-96.67956787</v>
      </c>
      <c r="L4406" s="6" t="str">
        <f>HYPERLINK("https://maps.google.com/?q=16.00235298,-96.67956787", "🔗 Ver Mapa")</f>
        <v>🔗 Ver Mapa</v>
      </c>
    </row>
    <row r="4407" spans="1:12" ht="43.5" x14ac:dyDescent="0.35">
      <c r="A4407" s="5" t="s">
        <v>98</v>
      </c>
      <c r="B4407" s="5" t="s">
        <v>99</v>
      </c>
      <c r="C4407" s="5" t="s">
        <v>919</v>
      </c>
      <c r="D4407" s="5" t="s">
        <v>14</v>
      </c>
      <c r="E4407" s="5" t="s">
        <v>17</v>
      </c>
      <c r="F4407" s="5" t="s">
        <v>20</v>
      </c>
      <c r="G4407" s="5" t="s">
        <v>77</v>
      </c>
      <c r="H4407" s="5" t="s">
        <v>920</v>
      </c>
      <c r="I4407" s="5" t="s">
        <v>31</v>
      </c>
      <c r="J4407" s="5">
        <v>16.002407890000001</v>
      </c>
      <c r="K4407" s="5">
        <v>-96.682477349999999</v>
      </c>
      <c r="L4407" s="5" t="str">
        <f>HYPERLINK("https://maps.google.com/?q=16.00240789,-96.682477349999999", "🔗 Ver Mapa")</f>
        <v>🔗 Ver Mapa</v>
      </c>
    </row>
    <row r="4408" spans="1:12" ht="43.5" x14ac:dyDescent="0.35">
      <c r="A4408" s="6" t="s">
        <v>98</v>
      </c>
      <c r="B4408" s="6" t="s">
        <v>99</v>
      </c>
      <c r="C4408" s="6" t="s">
        <v>919</v>
      </c>
      <c r="D4408" s="6" t="s">
        <v>14</v>
      </c>
      <c r="E4408" s="6" t="s">
        <v>17</v>
      </c>
      <c r="F4408" s="6" t="s">
        <v>20</v>
      </c>
      <c r="G4408" s="6" t="s">
        <v>77</v>
      </c>
      <c r="H4408" s="6" t="s">
        <v>920</v>
      </c>
      <c r="I4408" s="6" t="s">
        <v>31</v>
      </c>
      <c r="J4408" s="6">
        <v>16.002633221894001</v>
      </c>
      <c r="K4408" s="6">
        <v>-96.679483177752005</v>
      </c>
      <c r="L4408" s="6" t="str">
        <f>HYPERLINK("https://maps.google.com/?q=16.0026332218945,-96.679483177752005", "🔗 Ver Mapa")</f>
        <v>🔗 Ver Mapa</v>
      </c>
    </row>
    <row r="4409" spans="1:12" ht="43.5" x14ac:dyDescent="0.35">
      <c r="A4409" s="5" t="s">
        <v>98</v>
      </c>
      <c r="B4409" s="5" t="s">
        <v>99</v>
      </c>
      <c r="C4409" s="5" t="s">
        <v>919</v>
      </c>
      <c r="D4409" s="5" t="s">
        <v>14</v>
      </c>
      <c r="E4409" s="5" t="s">
        <v>17</v>
      </c>
      <c r="F4409" s="5" t="s">
        <v>20</v>
      </c>
      <c r="G4409" s="5" t="s">
        <v>77</v>
      </c>
      <c r="H4409" s="5" t="s">
        <v>920</v>
      </c>
      <c r="I4409" s="5" t="s">
        <v>31</v>
      </c>
      <c r="J4409" s="5">
        <v>16.00295449</v>
      </c>
      <c r="K4409" s="5">
        <v>-96.682493440000002</v>
      </c>
      <c r="L4409" s="5" t="str">
        <f>HYPERLINK("https://maps.google.com/?q=16.00295449,-96.682493440000002", "🔗 Ver Mapa")</f>
        <v>🔗 Ver Mapa</v>
      </c>
    </row>
    <row r="4410" spans="1:12" ht="43.5" x14ac:dyDescent="0.35">
      <c r="A4410" s="6" t="s">
        <v>98</v>
      </c>
      <c r="B4410" s="6" t="s">
        <v>99</v>
      </c>
      <c r="C4410" s="6" t="s">
        <v>919</v>
      </c>
      <c r="D4410" s="6" t="s">
        <v>14</v>
      </c>
      <c r="E4410" s="6" t="s">
        <v>17</v>
      </c>
      <c r="F4410" s="6" t="s">
        <v>20</v>
      </c>
      <c r="G4410" s="6" t="s">
        <v>77</v>
      </c>
      <c r="H4410" s="6" t="s">
        <v>920</v>
      </c>
      <c r="I4410" s="6" t="s">
        <v>31</v>
      </c>
      <c r="J4410" s="6">
        <v>16.003441779999999</v>
      </c>
      <c r="K4410" s="6">
        <v>-96.682957459999997</v>
      </c>
      <c r="L4410" s="6" t="str">
        <f>HYPERLINK("https://maps.google.com/?q=16.00344178,-96.682957459999997", "🔗 Ver Mapa")</f>
        <v>🔗 Ver Mapa</v>
      </c>
    </row>
    <row r="4411" spans="1:12" ht="43.5" x14ac:dyDescent="0.35">
      <c r="A4411" s="5" t="s">
        <v>98</v>
      </c>
      <c r="B4411" s="5" t="s">
        <v>99</v>
      </c>
      <c r="C4411" s="5" t="s">
        <v>919</v>
      </c>
      <c r="D4411" s="5" t="s">
        <v>14</v>
      </c>
      <c r="E4411" s="5" t="s">
        <v>17</v>
      </c>
      <c r="F4411" s="5" t="s">
        <v>20</v>
      </c>
      <c r="G4411" s="5" t="s">
        <v>77</v>
      </c>
      <c r="H4411" s="5" t="s">
        <v>920</v>
      </c>
      <c r="I4411" s="5" t="s">
        <v>31</v>
      </c>
      <c r="J4411" s="5">
        <v>16.004327809999999</v>
      </c>
      <c r="K4411" s="5">
        <v>-96.675083610000001</v>
      </c>
      <c r="L4411" s="5" t="str">
        <f>HYPERLINK("https://maps.google.com/?q=16.00432781,-96.675083610000001", "🔗 Ver Mapa")</f>
        <v>🔗 Ver Mapa</v>
      </c>
    </row>
    <row r="4412" spans="1:12" ht="43.5" x14ac:dyDescent="0.35">
      <c r="A4412" s="6" t="s">
        <v>98</v>
      </c>
      <c r="B4412" s="6" t="s">
        <v>99</v>
      </c>
      <c r="C4412" s="6" t="s">
        <v>919</v>
      </c>
      <c r="D4412" s="6" t="s">
        <v>14</v>
      </c>
      <c r="E4412" s="6" t="s">
        <v>17</v>
      </c>
      <c r="F4412" s="6" t="s">
        <v>20</v>
      </c>
      <c r="G4412" s="6" t="s">
        <v>77</v>
      </c>
      <c r="H4412" s="6" t="s">
        <v>920</v>
      </c>
      <c r="I4412" s="6" t="s">
        <v>31</v>
      </c>
      <c r="J4412" s="6">
        <v>16.004336160000001</v>
      </c>
      <c r="K4412" s="6">
        <v>-96.681282940000003</v>
      </c>
      <c r="L4412" s="6" t="str">
        <f>HYPERLINK("https://maps.google.com/?q=16.00433616,-96.681282940000003", "🔗 Ver Mapa")</f>
        <v>🔗 Ver Mapa</v>
      </c>
    </row>
    <row r="4413" spans="1:12" ht="43.5" x14ac:dyDescent="0.35">
      <c r="A4413" s="5" t="s">
        <v>98</v>
      </c>
      <c r="B4413" s="5" t="s">
        <v>99</v>
      </c>
      <c r="C4413" s="5" t="s">
        <v>919</v>
      </c>
      <c r="D4413" s="5" t="s">
        <v>14</v>
      </c>
      <c r="E4413" s="5" t="s">
        <v>17</v>
      </c>
      <c r="F4413" s="5" t="s">
        <v>20</v>
      </c>
      <c r="G4413" s="5" t="s">
        <v>77</v>
      </c>
      <c r="H4413" s="5" t="s">
        <v>920</v>
      </c>
      <c r="I4413" s="5" t="s">
        <v>31</v>
      </c>
      <c r="J4413" s="5">
        <v>16.00441623</v>
      </c>
      <c r="K4413" s="5">
        <v>-96.682397989999998</v>
      </c>
      <c r="L4413" s="5" t="str">
        <f>HYPERLINK("https://maps.google.com/?q=16.00441623,-96.682397989999998", "🔗 Ver Mapa")</f>
        <v>🔗 Ver Mapa</v>
      </c>
    </row>
    <row r="4414" spans="1:12" ht="43.5" x14ac:dyDescent="0.35">
      <c r="A4414" s="6" t="s">
        <v>98</v>
      </c>
      <c r="B4414" s="6" t="s">
        <v>99</v>
      </c>
      <c r="C4414" s="6" t="s">
        <v>919</v>
      </c>
      <c r="D4414" s="6" t="s">
        <v>14</v>
      </c>
      <c r="E4414" s="6" t="s">
        <v>17</v>
      </c>
      <c r="F4414" s="6" t="s">
        <v>20</v>
      </c>
      <c r="G4414" s="6" t="s">
        <v>77</v>
      </c>
      <c r="H4414" s="6" t="s">
        <v>920</v>
      </c>
      <c r="I4414" s="6" t="s">
        <v>31</v>
      </c>
      <c r="J4414" s="6">
        <v>16.004464519999999</v>
      </c>
      <c r="K4414" s="6">
        <v>-96.678747509999994</v>
      </c>
      <c r="L4414" s="6" t="str">
        <f>HYPERLINK("https://maps.google.com/?q=16.00446452,-96.678747509999994", "🔗 Ver Mapa")</f>
        <v>🔗 Ver Mapa</v>
      </c>
    </row>
    <row r="4415" spans="1:12" ht="43.5" x14ac:dyDescent="0.35">
      <c r="A4415" s="5" t="s">
        <v>98</v>
      </c>
      <c r="B4415" s="5" t="s">
        <v>99</v>
      </c>
      <c r="C4415" s="5" t="s">
        <v>919</v>
      </c>
      <c r="D4415" s="5" t="s">
        <v>14</v>
      </c>
      <c r="E4415" s="5" t="s">
        <v>17</v>
      </c>
      <c r="F4415" s="5" t="s">
        <v>20</v>
      </c>
      <c r="G4415" s="5" t="s">
        <v>77</v>
      </c>
      <c r="H4415" s="5" t="s">
        <v>920</v>
      </c>
      <c r="I4415" s="5" t="s">
        <v>31</v>
      </c>
      <c r="J4415" s="5">
        <v>16.0045283</v>
      </c>
      <c r="K4415" s="5">
        <v>-96.679553900000002</v>
      </c>
      <c r="L4415" s="5" t="str">
        <f>HYPERLINK("https://maps.google.com/?q=16.0045283,-96.679553900000002", "🔗 Ver Mapa")</f>
        <v>🔗 Ver Mapa</v>
      </c>
    </row>
    <row r="4416" spans="1:12" ht="43.5" x14ac:dyDescent="0.35">
      <c r="A4416" s="6" t="s">
        <v>98</v>
      </c>
      <c r="B4416" s="6" t="s">
        <v>99</v>
      </c>
      <c r="C4416" s="6" t="s">
        <v>919</v>
      </c>
      <c r="D4416" s="6" t="s">
        <v>14</v>
      </c>
      <c r="E4416" s="6" t="s">
        <v>17</v>
      </c>
      <c r="F4416" s="6" t="s">
        <v>20</v>
      </c>
      <c r="G4416" s="6" t="s">
        <v>77</v>
      </c>
      <c r="H4416" s="6" t="s">
        <v>920</v>
      </c>
      <c r="I4416" s="6" t="s">
        <v>31</v>
      </c>
      <c r="J4416" s="6">
        <v>16.004570350000002</v>
      </c>
      <c r="K4416" s="6">
        <v>-96.674834469999993</v>
      </c>
      <c r="L4416" s="6" t="str">
        <f>HYPERLINK("https://maps.google.com/?q=16.00457035,-96.674834469999993", "🔗 Ver Mapa")</f>
        <v>🔗 Ver Mapa</v>
      </c>
    </row>
    <row r="4417" spans="1:12" ht="43.5" x14ac:dyDescent="0.35">
      <c r="A4417" s="5" t="s">
        <v>98</v>
      </c>
      <c r="B4417" s="5" t="s">
        <v>99</v>
      </c>
      <c r="C4417" s="5" t="s">
        <v>919</v>
      </c>
      <c r="D4417" s="5" t="s">
        <v>14</v>
      </c>
      <c r="E4417" s="5" t="s">
        <v>17</v>
      </c>
      <c r="F4417" s="5" t="s">
        <v>20</v>
      </c>
      <c r="G4417" s="5" t="s">
        <v>77</v>
      </c>
      <c r="H4417" s="5" t="s">
        <v>920</v>
      </c>
      <c r="I4417" s="5" t="s">
        <v>31</v>
      </c>
      <c r="J4417" s="5">
        <v>16.006071930000001</v>
      </c>
      <c r="K4417" s="5">
        <v>-96.679507560000005</v>
      </c>
      <c r="L4417" s="5" t="str">
        <f>HYPERLINK("https://maps.google.com/?q=16.00607193,-96.679507560000005", "🔗 Ver Mapa")</f>
        <v>🔗 Ver Mapa</v>
      </c>
    </row>
    <row r="4418" spans="1:12" ht="43.5" x14ac:dyDescent="0.35">
      <c r="A4418" s="6" t="s">
        <v>98</v>
      </c>
      <c r="B4418" s="6" t="s">
        <v>99</v>
      </c>
      <c r="C4418" s="6" t="s">
        <v>919</v>
      </c>
      <c r="D4418" s="6" t="s">
        <v>14</v>
      </c>
      <c r="E4418" s="6" t="s">
        <v>17</v>
      </c>
      <c r="F4418" s="6" t="s">
        <v>20</v>
      </c>
      <c r="G4418" s="6" t="s">
        <v>77</v>
      </c>
      <c r="H4418" s="6" t="s">
        <v>920</v>
      </c>
      <c r="I4418" s="6" t="s">
        <v>31</v>
      </c>
      <c r="J4418" s="6">
        <v>16.006559960000001</v>
      </c>
      <c r="K4418" s="6">
        <v>-96.681990729999995</v>
      </c>
      <c r="L4418" s="6" t="str">
        <f>HYPERLINK("https://maps.google.com/?q=16.00655996,-96.681990729999995", "🔗 Ver Mapa")</f>
        <v>🔗 Ver Mapa</v>
      </c>
    </row>
    <row r="4419" spans="1:12" ht="43.5" x14ac:dyDescent="0.35">
      <c r="A4419" s="5" t="s">
        <v>98</v>
      </c>
      <c r="B4419" s="5" t="s">
        <v>99</v>
      </c>
      <c r="C4419" s="5" t="s">
        <v>919</v>
      </c>
      <c r="D4419" s="5" t="s">
        <v>14</v>
      </c>
      <c r="E4419" s="5" t="s">
        <v>17</v>
      </c>
      <c r="F4419" s="5" t="s">
        <v>20</v>
      </c>
      <c r="G4419" s="5" t="s">
        <v>77</v>
      </c>
      <c r="H4419" s="5" t="s">
        <v>920</v>
      </c>
      <c r="I4419" s="5" t="s">
        <v>31</v>
      </c>
      <c r="J4419" s="5">
        <v>16.006675349999998</v>
      </c>
      <c r="K4419" s="5">
        <v>-96.6804731</v>
      </c>
      <c r="L4419" s="5" t="str">
        <f>HYPERLINK("https://maps.google.com/?q=16.00667535,-96.6804731", "🔗 Ver Mapa")</f>
        <v>🔗 Ver Mapa</v>
      </c>
    </row>
    <row r="4420" spans="1:12" ht="43.5" x14ac:dyDescent="0.35">
      <c r="A4420" s="6" t="s">
        <v>98</v>
      </c>
      <c r="B4420" s="6" t="s">
        <v>99</v>
      </c>
      <c r="C4420" s="6" t="s">
        <v>919</v>
      </c>
      <c r="D4420" s="6" t="s">
        <v>14</v>
      </c>
      <c r="E4420" s="6" t="s">
        <v>17</v>
      </c>
      <c r="F4420" s="6" t="s">
        <v>20</v>
      </c>
      <c r="G4420" s="6" t="s">
        <v>77</v>
      </c>
      <c r="H4420" s="6" t="s">
        <v>920</v>
      </c>
      <c r="I4420" s="6" t="s">
        <v>31</v>
      </c>
      <c r="J4420" s="6">
        <v>16.007109119999999</v>
      </c>
      <c r="K4420" s="6">
        <v>-96.67724054</v>
      </c>
      <c r="L4420" s="6" t="str">
        <f>HYPERLINK("https://maps.google.com/?q=16.00710912,-96.67724054", "🔗 Ver Mapa")</f>
        <v>🔗 Ver Mapa</v>
      </c>
    </row>
    <row r="4421" spans="1:12" ht="43.5" x14ac:dyDescent="0.35">
      <c r="A4421" s="5" t="s">
        <v>98</v>
      </c>
      <c r="B4421" s="5" t="s">
        <v>99</v>
      </c>
      <c r="C4421" s="5" t="s">
        <v>919</v>
      </c>
      <c r="D4421" s="5" t="s">
        <v>14</v>
      </c>
      <c r="E4421" s="5" t="s">
        <v>17</v>
      </c>
      <c r="F4421" s="5" t="s">
        <v>20</v>
      </c>
      <c r="G4421" s="5" t="s">
        <v>77</v>
      </c>
      <c r="H4421" s="5" t="s">
        <v>920</v>
      </c>
      <c r="I4421" s="5" t="s">
        <v>31</v>
      </c>
      <c r="J4421" s="5">
        <v>16.007310870000001</v>
      </c>
      <c r="K4421" s="5">
        <v>-96.683151550000005</v>
      </c>
      <c r="L4421" s="5" t="str">
        <f>HYPERLINK("https://maps.google.com/?q=16.00731087,-96.683151550000005", "🔗 Ver Mapa")</f>
        <v>🔗 Ver Mapa</v>
      </c>
    </row>
    <row r="4422" spans="1:12" ht="43.5" x14ac:dyDescent="0.35">
      <c r="A4422" s="6" t="s">
        <v>98</v>
      </c>
      <c r="B4422" s="6" t="s">
        <v>99</v>
      </c>
      <c r="C4422" s="6" t="s">
        <v>919</v>
      </c>
      <c r="D4422" s="6" t="s">
        <v>14</v>
      </c>
      <c r="E4422" s="6" t="s">
        <v>17</v>
      </c>
      <c r="F4422" s="6" t="s">
        <v>20</v>
      </c>
      <c r="G4422" s="6" t="s">
        <v>77</v>
      </c>
      <c r="H4422" s="6" t="s">
        <v>920</v>
      </c>
      <c r="I4422" s="6" t="s">
        <v>31</v>
      </c>
      <c r="J4422" s="6">
        <v>16.007388219999999</v>
      </c>
      <c r="K4422" s="6">
        <v>-96.682829679999998</v>
      </c>
      <c r="L4422" s="6" t="str">
        <f>HYPERLINK("https://maps.google.com/?q=16.00738822,-96.682829679999998", "🔗 Ver Mapa")</f>
        <v>🔗 Ver Mapa</v>
      </c>
    </row>
    <row r="4423" spans="1:12" ht="43.5" x14ac:dyDescent="0.35">
      <c r="A4423" s="5" t="s">
        <v>98</v>
      </c>
      <c r="B4423" s="5" t="s">
        <v>99</v>
      </c>
      <c r="C4423" s="5" t="s">
        <v>919</v>
      </c>
      <c r="D4423" s="5" t="s">
        <v>14</v>
      </c>
      <c r="E4423" s="5" t="s">
        <v>17</v>
      </c>
      <c r="F4423" s="5" t="s">
        <v>20</v>
      </c>
      <c r="G4423" s="5" t="s">
        <v>77</v>
      </c>
      <c r="H4423" s="5" t="s">
        <v>920</v>
      </c>
      <c r="I4423" s="5" t="s">
        <v>31</v>
      </c>
      <c r="J4423" s="5">
        <v>16.0073908</v>
      </c>
      <c r="K4423" s="5">
        <v>-96.681802399999995</v>
      </c>
      <c r="L4423" s="5" t="str">
        <f>HYPERLINK("https://maps.google.com/?q=16.0073908,-96.681802399999995", "🔗 Ver Mapa")</f>
        <v>🔗 Ver Mapa</v>
      </c>
    </row>
    <row r="4424" spans="1:12" ht="43.5" x14ac:dyDescent="0.35">
      <c r="A4424" s="6" t="s">
        <v>98</v>
      </c>
      <c r="B4424" s="6" t="s">
        <v>99</v>
      </c>
      <c r="C4424" s="6" t="s">
        <v>919</v>
      </c>
      <c r="D4424" s="6" t="s">
        <v>14</v>
      </c>
      <c r="E4424" s="6" t="s">
        <v>17</v>
      </c>
      <c r="F4424" s="6" t="s">
        <v>20</v>
      </c>
      <c r="G4424" s="6" t="s">
        <v>77</v>
      </c>
      <c r="H4424" s="6" t="s">
        <v>920</v>
      </c>
      <c r="I4424" s="6" t="s">
        <v>31</v>
      </c>
      <c r="J4424" s="6">
        <v>16.007429009999999</v>
      </c>
      <c r="K4424" s="6">
        <v>-96.679609380000002</v>
      </c>
      <c r="L4424" s="6" t="str">
        <f>HYPERLINK("https://maps.google.com/?q=16.00742901,-96.679609380000002", "🔗 Ver Mapa")</f>
        <v>🔗 Ver Mapa</v>
      </c>
    </row>
    <row r="4425" spans="1:12" ht="43.5" x14ac:dyDescent="0.35">
      <c r="A4425" s="5" t="s">
        <v>98</v>
      </c>
      <c r="B4425" s="5" t="s">
        <v>99</v>
      </c>
      <c r="C4425" s="5" t="s">
        <v>919</v>
      </c>
      <c r="D4425" s="5" t="s">
        <v>14</v>
      </c>
      <c r="E4425" s="5" t="s">
        <v>17</v>
      </c>
      <c r="F4425" s="5" t="s">
        <v>20</v>
      </c>
      <c r="G4425" s="5" t="s">
        <v>77</v>
      </c>
      <c r="H4425" s="5" t="s">
        <v>920</v>
      </c>
      <c r="I4425" s="5" t="s">
        <v>31</v>
      </c>
      <c r="J4425" s="5">
        <v>16.007506159999998</v>
      </c>
      <c r="K4425" s="5">
        <v>-96.678603100000004</v>
      </c>
      <c r="L4425" s="5" t="str">
        <f>HYPERLINK("https://maps.google.com/?q=16.00750616,-96.678603100000004", "🔗 Ver Mapa")</f>
        <v>🔗 Ver Mapa</v>
      </c>
    </row>
    <row r="4426" spans="1:12" ht="43.5" x14ac:dyDescent="0.35">
      <c r="A4426" s="6" t="s">
        <v>98</v>
      </c>
      <c r="B4426" s="6" t="s">
        <v>99</v>
      </c>
      <c r="C4426" s="6" t="s">
        <v>919</v>
      </c>
      <c r="D4426" s="6" t="s">
        <v>14</v>
      </c>
      <c r="E4426" s="6" t="s">
        <v>17</v>
      </c>
      <c r="F4426" s="6" t="s">
        <v>20</v>
      </c>
      <c r="G4426" s="6" t="s">
        <v>77</v>
      </c>
      <c r="H4426" s="6" t="s">
        <v>920</v>
      </c>
      <c r="I4426" s="6" t="s">
        <v>31</v>
      </c>
      <c r="J4426" s="6">
        <v>16.007622179999998</v>
      </c>
      <c r="K4426" s="6">
        <v>-96.677650920000005</v>
      </c>
      <c r="L4426" s="6" t="str">
        <f>HYPERLINK("https://maps.google.com/?q=16.00762218,-96.677650920000005", "🔗 Ver Mapa")</f>
        <v>🔗 Ver Mapa</v>
      </c>
    </row>
    <row r="4427" spans="1:12" ht="43.5" x14ac:dyDescent="0.35">
      <c r="A4427" s="5" t="s">
        <v>98</v>
      </c>
      <c r="B4427" s="5" t="s">
        <v>99</v>
      </c>
      <c r="C4427" s="5" t="s">
        <v>919</v>
      </c>
      <c r="D4427" s="5" t="s">
        <v>14</v>
      </c>
      <c r="E4427" s="5" t="s">
        <v>17</v>
      </c>
      <c r="F4427" s="5" t="s">
        <v>20</v>
      </c>
      <c r="G4427" s="5" t="s">
        <v>77</v>
      </c>
      <c r="H4427" s="5" t="s">
        <v>920</v>
      </c>
      <c r="I4427" s="5" t="s">
        <v>31</v>
      </c>
      <c r="J4427" s="5">
        <v>16.0087537</v>
      </c>
      <c r="K4427" s="5">
        <v>-96.682226240000006</v>
      </c>
      <c r="L4427" s="5" t="str">
        <f>HYPERLINK("https://maps.google.com/?q=16.0087537,-96.682226240000006", "🔗 Ver Mapa")</f>
        <v>🔗 Ver Mapa</v>
      </c>
    </row>
    <row r="4428" spans="1:12" ht="43.5" x14ac:dyDescent="0.35">
      <c r="A4428" s="6" t="s">
        <v>98</v>
      </c>
      <c r="B4428" s="6" t="s">
        <v>99</v>
      </c>
      <c r="C4428" s="6" t="s">
        <v>921</v>
      </c>
      <c r="D4428" s="6" t="s">
        <v>14</v>
      </c>
      <c r="E4428" s="6" t="s">
        <v>16</v>
      </c>
      <c r="F4428" s="6" t="s">
        <v>21</v>
      </c>
      <c r="G4428" s="6" t="s">
        <v>922</v>
      </c>
      <c r="H4428" s="6" t="s">
        <v>923</v>
      </c>
      <c r="I4428" s="6" t="s">
        <v>31</v>
      </c>
      <c r="J4428" s="6">
        <v>17.265526881513001</v>
      </c>
      <c r="K4428" s="6">
        <v>-97.532509735212997</v>
      </c>
      <c r="L4428" s="6" t="str">
        <f>HYPERLINK("https://maps.google.com/?q=17.2655268815131,-97.532509735212997", "🔗 Ver Mapa")</f>
        <v>🔗 Ver Mapa</v>
      </c>
    </row>
    <row r="4429" spans="1:12" ht="43.5" x14ac:dyDescent="0.35">
      <c r="A4429" s="5" t="s">
        <v>98</v>
      </c>
      <c r="B4429" s="5" t="s">
        <v>99</v>
      </c>
      <c r="C4429" s="5" t="s">
        <v>921</v>
      </c>
      <c r="D4429" s="5" t="s">
        <v>14</v>
      </c>
      <c r="E4429" s="5" t="s">
        <v>16</v>
      </c>
      <c r="F4429" s="5" t="s">
        <v>21</v>
      </c>
      <c r="G4429" s="5" t="s">
        <v>922</v>
      </c>
      <c r="H4429" s="5" t="s">
        <v>923</v>
      </c>
      <c r="I4429" s="5" t="s">
        <v>31</v>
      </c>
      <c r="J4429" s="5">
        <v>17.266780655824</v>
      </c>
      <c r="K4429" s="5">
        <v>-97.532937178701999</v>
      </c>
      <c r="L4429" s="5" t="str">
        <f>HYPERLINK("https://maps.google.com/?q=17.2667806558239,-97.532937178702198", "🔗 Ver Mapa")</f>
        <v>🔗 Ver Mapa</v>
      </c>
    </row>
    <row r="4430" spans="1:12" ht="43.5" x14ac:dyDescent="0.35">
      <c r="A4430" s="6" t="s">
        <v>98</v>
      </c>
      <c r="B4430" s="6" t="s">
        <v>99</v>
      </c>
      <c r="C4430" s="6" t="s">
        <v>921</v>
      </c>
      <c r="D4430" s="6" t="s">
        <v>14</v>
      </c>
      <c r="E4430" s="6" t="s">
        <v>16</v>
      </c>
      <c r="F4430" s="6" t="s">
        <v>21</v>
      </c>
      <c r="G4430" s="6" t="s">
        <v>922</v>
      </c>
      <c r="H4430" s="6" t="s">
        <v>923</v>
      </c>
      <c r="I4430" s="6" t="s">
        <v>31</v>
      </c>
      <c r="J4430" s="6">
        <v>17.267386225763001</v>
      </c>
      <c r="K4430" s="6">
        <v>-97.531967865490003</v>
      </c>
      <c r="L4430" s="6" t="str">
        <f>HYPERLINK("https://maps.google.com/?q=17.2673862257633,-97.531967865490302", "🔗 Ver Mapa")</f>
        <v>🔗 Ver Mapa</v>
      </c>
    </row>
    <row r="4431" spans="1:12" ht="43.5" x14ac:dyDescent="0.35">
      <c r="A4431" s="5" t="s">
        <v>98</v>
      </c>
      <c r="B4431" s="5" t="s">
        <v>99</v>
      </c>
      <c r="C4431" s="5" t="s">
        <v>921</v>
      </c>
      <c r="D4431" s="5" t="s">
        <v>14</v>
      </c>
      <c r="E4431" s="5" t="s">
        <v>16</v>
      </c>
      <c r="F4431" s="5" t="s">
        <v>21</v>
      </c>
      <c r="G4431" s="5" t="s">
        <v>922</v>
      </c>
      <c r="H4431" s="5" t="s">
        <v>923</v>
      </c>
      <c r="I4431" s="5" t="s">
        <v>31</v>
      </c>
      <c r="J4431" s="5">
        <v>17.267736603296001</v>
      </c>
      <c r="K4431" s="5">
        <v>-97.533459772070003</v>
      </c>
      <c r="L4431" s="5" t="str">
        <f>HYPERLINK("https://maps.google.com/?q=17.267736603296,-97.533459772069506", "🔗 Ver Mapa")</f>
        <v>🔗 Ver Mapa</v>
      </c>
    </row>
    <row r="4432" spans="1:12" ht="43.5" x14ac:dyDescent="0.35">
      <c r="A4432" s="6" t="s">
        <v>98</v>
      </c>
      <c r="B4432" s="6" t="s">
        <v>99</v>
      </c>
      <c r="C4432" s="6" t="s">
        <v>921</v>
      </c>
      <c r="D4432" s="6" t="s">
        <v>14</v>
      </c>
      <c r="E4432" s="6" t="s">
        <v>16</v>
      </c>
      <c r="F4432" s="6" t="s">
        <v>21</v>
      </c>
      <c r="G4432" s="6" t="s">
        <v>922</v>
      </c>
      <c r="H4432" s="6" t="s">
        <v>923</v>
      </c>
      <c r="I4432" s="6" t="s">
        <v>31</v>
      </c>
      <c r="J4432" s="6">
        <v>17.269891562093999</v>
      </c>
      <c r="K4432" s="6">
        <v>-97.534694530343003</v>
      </c>
      <c r="L4432" s="6" t="str">
        <f>HYPERLINK("https://maps.google.com/?q=17.2698915620939,-97.534694530342605", "🔗 Ver Mapa")</f>
        <v>🔗 Ver Mapa</v>
      </c>
    </row>
    <row r="4433" spans="1:12" ht="43.5" x14ac:dyDescent="0.35">
      <c r="A4433" s="5" t="s">
        <v>98</v>
      </c>
      <c r="B4433" s="5" t="s">
        <v>99</v>
      </c>
      <c r="C4433" s="5" t="s">
        <v>921</v>
      </c>
      <c r="D4433" s="5" t="s">
        <v>14</v>
      </c>
      <c r="E4433" s="5" t="s">
        <v>16</v>
      </c>
      <c r="F4433" s="5" t="s">
        <v>21</v>
      </c>
      <c r="G4433" s="5" t="s">
        <v>922</v>
      </c>
      <c r="H4433" s="5" t="s">
        <v>923</v>
      </c>
      <c r="I4433" s="5" t="s">
        <v>31</v>
      </c>
      <c r="J4433" s="5">
        <v>17.270051379426</v>
      </c>
      <c r="K4433" s="5">
        <v>-97.530505480599999</v>
      </c>
      <c r="L4433" s="5" t="str">
        <f>HYPERLINK("https://maps.google.com/?q=17.2700513794257,-97.530505480600198", "🔗 Ver Mapa")</f>
        <v>🔗 Ver Mapa</v>
      </c>
    </row>
    <row r="4434" spans="1:12" ht="43.5" x14ac:dyDescent="0.35">
      <c r="A4434" s="6" t="s">
        <v>98</v>
      </c>
      <c r="B4434" s="6" t="s">
        <v>99</v>
      </c>
      <c r="C4434" s="6" t="s">
        <v>921</v>
      </c>
      <c r="D4434" s="6" t="s">
        <v>14</v>
      </c>
      <c r="E4434" s="6" t="s">
        <v>16</v>
      </c>
      <c r="F4434" s="6" t="s">
        <v>21</v>
      </c>
      <c r="G4434" s="6" t="s">
        <v>922</v>
      </c>
      <c r="H4434" s="6" t="s">
        <v>923</v>
      </c>
      <c r="I4434" s="6" t="s">
        <v>31</v>
      </c>
      <c r="J4434" s="6">
        <v>17.270053684690001</v>
      </c>
      <c r="K4434" s="6">
        <v>-97.529707162069002</v>
      </c>
      <c r="L4434" s="6" t="str">
        <f>HYPERLINK("https://maps.google.com/?q=17.2700536846901,-97.529707162068505", "🔗 Ver Mapa")</f>
        <v>🔗 Ver Mapa</v>
      </c>
    </row>
    <row r="4435" spans="1:12" ht="43.5" x14ac:dyDescent="0.35">
      <c r="A4435" s="5" t="s">
        <v>98</v>
      </c>
      <c r="B4435" s="5" t="s">
        <v>99</v>
      </c>
      <c r="C4435" s="5" t="s">
        <v>921</v>
      </c>
      <c r="D4435" s="5" t="s">
        <v>14</v>
      </c>
      <c r="E4435" s="5" t="s">
        <v>16</v>
      </c>
      <c r="F4435" s="5" t="s">
        <v>21</v>
      </c>
      <c r="G4435" s="5" t="s">
        <v>922</v>
      </c>
      <c r="H4435" s="5" t="s">
        <v>923</v>
      </c>
      <c r="I4435" s="5" t="s">
        <v>31</v>
      </c>
      <c r="J4435" s="5">
        <v>17.270846459068999</v>
      </c>
      <c r="K4435" s="5">
        <v>-97.534763996202997</v>
      </c>
      <c r="L4435" s="5" t="str">
        <f>HYPERLINK("https://maps.google.com/?q=17.2708464590695,-97.534763996202898", "🔗 Ver Mapa")</f>
        <v>🔗 Ver Mapa</v>
      </c>
    </row>
    <row r="4436" spans="1:12" ht="43.5" x14ac:dyDescent="0.35">
      <c r="A4436" s="6" t="s">
        <v>98</v>
      </c>
      <c r="B4436" s="6" t="s">
        <v>99</v>
      </c>
      <c r="C4436" s="6" t="s">
        <v>921</v>
      </c>
      <c r="D4436" s="6" t="s">
        <v>14</v>
      </c>
      <c r="E4436" s="6" t="s">
        <v>16</v>
      </c>
      <c r="F4436" s="6" t="s">
        <v>21</v>
      </c>
      <c r="G4436" s="6" t="s">
        <v>922</v>
      </c>
      <c r="H4436" s="6" t="s">
        <v>923</v>
      </c>
      <c r="I4436" s="6" t="s">
        <v>31</v>
      </c>
      <c r="J4436" s="6">
        <v>17.271320167871998</v>
      </c>
      <c r="K4436" s="6">
        <v>-97.533956256523993</v>
      </c>
      <c r="L4436" s="6" t="str">
        <f>HYPERLINK("https://maps.google.com/?q=17.2713201678719,-97.533956256524306", "🔗 Ver Mapa")</f>
        <v>🔗 Ver Mapa</v>
      </c>
    </row>
    <row r="4437" spans="1:12" ht="43.5" x14ac:dyDescent="0.35">
      <c r="A4437" s="5" t="s">
        <v>98</v>
      </c>
      <c r="B4437" s="5" t="s">
        <v>99</v>
      </c>
      <c r="C4437" s="5" t="s">
        <v>921</v>
      </c>
      <c r="D4437" s="5" t="s">
        <v>14</v>
      </c>
      <c r="E4437" s="5" t="s">
        <v>16</v>
      </c>
      <c r="F4437" s="5" t="s">
        <v>21</v>
      </c>
      <c r="G4437" s="5" t="s">
        <v>922</v>
      </c>
      <c r="H4437" s="5" t="s">
        <v>923</v>
      </c>
      <c r="I4437" s="5" t="s">
        <v>31</v>
      </c>
      <c r="J4437" s="5">
        <v>17.271832285148001</v>
      </c>
      <c r="K4437" s="5">
        <v>-97.532398653900003</v>
      </c>
      <c r="L4437" s="5" t="str">
        <f>HYPERLINK("https://maps.google.com/?q=17.2718322851485,-97.532398653899904", "🔗 Ver Mapa")</f>
        <v>🔗 Ver Mapa</v>
      </c>
    </row>
    <row r="4438" spans="1:12" ht="43.5" x14ac:dyDescent="0.35">
      <c r="A4438" s="6" t="s">
        <v>98</v>
      </c>
      <c r="B4438" s="6" t="s">
        <v>99</v>
      </c>
      <c r="C4438" s="6" t="s">
        <v>921</v>
      </c>
      <c r="D4438" s="6" t="s">
        <v>14</v>
      </c>
      <c r="E4438" s="6" t="s">
        <v>16</v>
      </c>
      <c r="F4438" s="6" t="s">
        <v>21</v>
      </c>
      <c r="G4438" s="6" t="s">
        <v>922</v>
      </c>
      <c r="H4438" s="6" t="s">
        <v>923</v>
      </c>
      <c r="I4438" s="6" t="s">
        <v>31</v>
      </c>
      <c r="J4438" s="6">
        <v>17.273236740135999</v>
      </c>
      <c r="K4438" s="6">
        <v>-97.533268310669996</v>
      </c>
      <c r="L4438" s="6" t="str">
        <f>HYPERLINK("https://maps.google.com/?q=17.273236740136,-97.533268310669897", "🔗 Ver Mapa")</f>
        <v>🔗 Ver Mapa</v>
      </c>
    </row>
    <row r="4439" spans="1:12" ht="43.5" x14ac:dyDescent="0.35">
      <c r="A4439" s="5" t="s">
        <v>98</v>
      </c>
      <c r="B4439" s="5" t="s">
        <v>99</v>
      </c>
      <c r="C4439" s="5" t="s">
        <v>924</v>
      </c>
      <c r="D4439" s="5" t="s">
        <v>14</v>
      </c>
      <c r="E4439" s="5" t="s">
        <v>52</v>
      </c>
      <c r="F4439" s="5" t="s">
        <v>421</v>
      </c>
      <c r="G4439" s="5" t="s">
        <v>422</v>
      </c>
      <c r="H4439" s="5" t="s">
        <v>425</v>
      </c>
      <c r="I4439" s="5" t="s">
        <v>31</v>
      </c>
      <c r="J4439" s="5">
        <v>16.563481200243999</v>
      </c>
      <c r="K4439" s="5">
        <v>-96.706640160142996</v>
      </c>
      <c r="L4439" s="5" t="str">
        <f>HYPERLINK("https://maps.google.com/?q=16.5634812002438,-96.706640160142598", "🔗 Ver Mapa")</f>
        <v>🔗 Ver Mapa</v>
      </c>
    </row>
    <row r="4440" spans="1:12" ht="43.5" x14ac:dyDescent="0.35">
      <c r="A4440" s="6" t="s">
        <v>98</v>
      </c>
      <c r="B4440" s="6" t="s">
        <v>99</v>
      </c>
      <c r="C4440" s="6" t="s">
        <v>924</v>
      </c>
      <c r="D4440" s="6" t="s">
        <v>14</v>
      </c>
      <c r="E4440" s="6" t="s">
        <v>52</v>
      </c>
      <c r="F4440" s="6" t="s">
        <v>421</v>
      </c>
      <c r="G4440" s="6" t="s">
        <v>422</v>
      </c>
      <c r="H4440" s="6" t="s">
        <v>425</v>
      </c>
      <c r="I4440" s="6" t="s">
        <v>31</v>
      </c>
      <c r="J4440" s="6">
        <v>16.564454673598</v>
      </c>
      <c r="K4440" s="6">
        <v>-96.698199276474</v>
      </c>
      <c r="L4440" s="6" t="str">
        <f>HYPERLINK("https://maps.google.com/?q=16.5644546735984,-96.698199276474298", "🔗 Ver Mapa")</f>
        <v>🔗 Ver Mapa</v>
      </c>
    </row>
    <row r="4441" spans="1:12" ht="43.5" x14ac:dyDescent="0.35">
      <c r="A4441" s="5" t="s">
        <v>98</v>
      </c>
      <c r="B4441" s="5" t="s">
        <v>99</v>
      </c>
      <c r="C4441" s="5" t="s">
        <v>924</v>
      </c>
      <c r="D4441" s="5" t="s">
        <v>14</v>
      </c>
      <c r="E4441" s="5" t="s">
        <v>52</v>
      </c>
      <c r="F4441" s="5" t="s">
        <v>421</v>
      </c>
      <c r="G4441" s="5" t="s">
        <v>422</v>
      </c>
      <c r="H4441" s="5" t="s">
        <v>425</v>
      </c>
      <c r="I4441" s="5" t="s">
        <v>31</v>
      </c>
      <c r="J4441" s="5">
        <v>16.567514144307001</v>
      </c>
      <c r="K4441" s="5">
        <v>-96.698032393847996</v>
      </c>
      <c r="L4441" s="5" t="str">
        <f>HYPERLINK("https://maps.google.com/?q=16.5675141443069,-96.698032393848095", "🔗 Ver Mapa")</f>
        <v>🔗 Ver Mapa</v>
      </c>
    </row>
    <row r="4442" spans="1:12" ht="43.5" x14ac:dyDescent="0.35">
      <c r="A4442" s="6" t="s">
        <v>98</v>
      </c>
      <c r="B4442" s="6" t="s">
        <v>99</v>
      </c>
      <c r="C4442" s="6" t="s">
        <v>924</v>
      </c>
      <c r="D4442" s="6" t="s">
        <v>14</v>
      </c>
      <c r="E4442" s="6" t="s">
        <v>52</v>
      </c>
      <c r="F4442" s="6" t="s">
        <v>421</v>
      </c>
      <c r="G4442" s="6" t="s">
        <v>422</v>
      </c>
      <c r="H4442" s="6" t="s">
        <v>425</v>
      </c>
      <c r="I4442" s="6" t="s">
        <v>31</v>
      </c>
      <c r="J4442" s="6">
        <v>16.567530518074001</v>
      </c>
      <c r="K4442" s="6">
        <v>-96.699069393214998</v>
      </c>
      <c r="L4442" s="6" t="str">
        <f>HYPERLINK("https://maps.google.com/?q=16.5675305180743,-96.699069393214799", "🔗 Ver Mapa")</f>
        <v>🔗 Ver Mapa</v>
      </c>
    </row>
    <row r="4443" spans="1:12" ht="43.5" x14ac:dyDescent="0.35">
      <c r="A4443" s="5" t="s">
        <v>98</v>
      </c>
      <c r="B4443" s="5" t="s">
        <v>99</v>
      </c>
      <c r="C4443" s="5" t="s">
        <v>924</v>
      </c>
      <c r="D4443" s="5" t="s">
        <v>14</v>
      </c>
      <c r="E4443" s="5" t="s">
        <v>52</v>
      </c>
      <c r="F4443" s="5" t="s">
        <v>421</v>
      </c>
      <c r="G4443" s="5" t="s">
        <v>422</v>
      </c>
      <c r="H4443" s="5" t="s">
        <v>425</v>
      </c>
      <c r="I4443" s="5" t="s">
        <v>31</v>
      </c>
      <c r="J4443" s="5">
        <v>16.568895029482999</v>
      </c>
      <c r="K4443" s="5">
        <v>-96.698966813051001</v>
      </c>
      <c r="L4443" s="5" t="str">
        <f>HYPERLINK("https://maps.google.com/?q=16.5688950294833,-96.698966813050902", "🔗 Ver Mapa")</f>
        <v>🔗 Ver Mapa</v>
      </c>
    </row>
    <row r="4444" spans="1:12" ht="58" x14ac:dyDescent="0.35">
      <c r="A4444" s="6" t="s">
        <v>98</v>
      </c>
      <c r="B4444" s="6" t="s">
        <v>99</v>
      </c>
      <c r="C4444" s="6" t="s">
        <v>925</v>
      </c>
      <c r="D4444" s="6" t="s">
        <v>14</v>
      </c>
      <c r="E4444" s="6" t="s">
        <v>52</v>
      </c>
      <c r="F4444" s="6" t="s">
        <v>421</v>
      </c>
      <c r="G4444" s="6" t="s">
        <v>422</v>
      </c>
      <c r="H4444" s="6" t="s">
        <v>447</v>
      </c>
      <c r="I4444" s="6" t="s">
        <v>31</v>
      </c>
      <c r="J4444" s="6">
        <v>16.645820000000001</v>
      </c>
      <c r="K4444" s="6">
        <v>-96.774657000000005</v>
      </c>
      <c r="L4444" s="6" t="str">
        <f>HYPERLINK("https://maps.google.com/?q=16.64582,-96.774657000000005", "🔗 Ver Mapa")</f>
        <v>🔗 Ver Mapa</v>
      </c>
    </row>
    <row r="4445" spans="1:12" ht="58" x14ac:dyDescent="0.35">
      <c r="A4445" s="5" t="s">
        <v>98</v>
      </c>
      <c r="B4445" s="5" t="s">
        <v>99</v>
      </c>
      <c r="C4445" s="5" t="s">
        <v>925</v>
      </c>
      <c r="D4445" s="5" t="s">
        <v>14</v>
      </c>
      <c r="E4445" s="5" t="s">
        <v>52</v>
      </c>
      <c r="F4445" s="5" t="s">
        <v>421</v>
      </c>
      <c r="G4445" s="5" t="s">
        <v>422</v>
      </c>
      <c r="H4445" s="5" t="s">
        <v>447</v>
      </c>
      <c r="I4445" s="5" t="s">
        <v>31</v>
      </c>
      <c r="J4445" s="5">
        <v>16.646919432815999</v>
      </c>
      <c r="K4445" s="5" t="s">
        <v>926</v>
      </c>
      <c r="L4445" s="5" t="str">
        <f>HYPERLINK("https://maps.google.com/?q=16.6469194328162, -96.77114090674593", "🔗 Ver Mapa")</f>
        <v>🔗 Ver Mapa</v>
      </c>
    </row>
    <row r="4446" spans="1:12" ht="58" x14ac:dyDescent="0.35">
      <c r="A4446" s="6" t="s">
        <v>98</v>
      </c>
      <c r="B4446" s="6" t="s">
        <v>99</v>
      </c>
      <c r="C4446" s="6" t="s">
        <v>925</v>
      </c>
      <c r="D4446" s="6" t="s">
        <v>14</v>
      </c>
      <c r="E4446" s="6" t="s">
        <v>52</v>
      </c>
      <c r="F4446" s="6" t="s">
        <v>421</v>
      </c>
      <c r="G4446" s="6" t="s">
        <v>422</v>
      </c>
      <c r="H4446" s="6" t="s">
        <v>447</v>
      </c>
      <c r="I4446" s="6" t="s">
        <v>31</v>
      </c>
      <c r="J4446" s="6">
        <v>16.647455176864</v>
      </c>
      <c r="K4446" s="6">
        <v>-96.775637835615001</v>
      </c>
      <c r="L4446" s="6" t="str">
        <f>HYPERLINK("https://maps.google.com/?q=16.6474551768643,-96.775637835614603", "🔗 Ver Mapa")</f>
        <v>🔗 Ver Mapa</v>
      </c>
    </row>
    <row r="4447" spans="1:12" ht="58" x14ac:dyDescent="0.35">
      <c r="A4447" s="5" t="s">
        <v>98</v>
      </c>
      <c r="B4447" s="5" t="s">
        <v>99</v>
      </c>
      <c r="C4447" s="5" t="s">
        <v>925</v>
      </c>
      <c r="D4447" s="5" t="s">
        <v>14</v>
      </c>
      <c r="E4447" s="5" t="s">
        <v>52</v>
      </c>
      <c r="F4447" s="5" t="s">
        <v>421</v>
      </c>
      <c r="G4447" s="5" t="s">
        <v>422</v>
      </c>
      <c r="H4447" s="5" t="s">
        <v>447</v>
      </c>
      <c r="I4447" s="5" t="s">
        <v>31</v>
      </c>
      <c r="J4447" s="5">
        <v>16.647573999999999</v>
      </c>
      <c r="K4447" s="5">
        <v>-96.772368999999998</v>
      </c>
      <c r="L4447" s="5" t="str">
        <f>HYPERLINK("https://maps.google.com/?q=16.647574,-96.772368999999998", "🔗 Ver Mapa")</f>
        <v>🔗 Ver Mapa</v>
      </c>
    </row>
    <row r="4448" spans="1:12" ht="58" x14ac:dyDescent="0.35">
      <c r="A4448" s="6" t="s">
        <v>98</v>
      </c>
      <c r="B4448" s="6" t="s">
        <v>99</v>
      </c>
      <c r="C4448" s="6" t="s">
        <v>925</v>
      </c>
      <c r="D4448" s="6" t="s">
        <v>14</v>
      </c>
      <c r="E4448" s="6" t="s">
        <v>52</v>
      </c>
      <c r="F4448" s="6" t="s">
        <v>421</v>
      </c>
      <c r="G4448" s="6" t="s">
        <v>422</v>
      </c>
      <c r="H4448" s="6" t="s">
        <v>447</v>
      </c>
      <c r="I4448" s="6" t="s">
        <v>31</v>
      </c>
      <c r="J4448" s="6">
        <v>16.64865743284</v>
      </c>
      <c r="K4448" s="6">
        <v>-96.771462449073994</v>
      </c>
      <c r="L4448" s="6" t="str">
        <f>HYPERLINK("https://maps.google.com/?q=16.6486574328398,-96.771462449073795", "🔗 Ver Mapa")</f>
        <v>🔗 Ver Mapa</v>
      </c>
    </row>
    <row r="4449" spans="1:12" ht="58" x14ac:dyDescent="0.35">
      <c r="A4449" s="5" t="s">
        <v>98</v>
      </c>
      <c r="B4449" s="5" t="s">
        <v>99</v>
      </c>
      <c r="C4449" s="5" t="s">
        <v>925</v>
      </c>
      <c r="D4449" s="5" t="s">
        <v>14</v>
      </c>
      <c r="E4449" s="5" t="s">
        <v>52</v>
      </c>
      <c r="F4449" s="5" t="s">
        <v>421</v>
      </c>
      <c r="G4449" s="5" t="s">
        <v>422</v>
      </c>
      <c r="H4449" s="5" t="s">
        <v>447</v>
      </c>
      <c r="I4449" s="5" t="s">
        <v>31</v>
      </c>
      <c r="J4449" s="5">
        <v>16.64960817</v>
      </c>
      <c r="K4449" s="5">
        <v>-96.7719697</v>
      </c>
      <c r="L4449" s="5" t="str">
        <f>HYPERLINK("https://maps.google.com/?q=16.64960817,-96.7719697", "🔗 Ver Mapa")</f>
        <v>🔗 Ver Mapa</v>
      </c>
    </row>
    <row r="4450" spans="1:12" ht="58" x14ac:dyDescent="0.35">
      <c r="A4450" s="6" t="s">
        <v>98</v>
      </c>
      <c r="B4450" s="6" t="s">
        <v>99</v>
      </c>
      <c r="C4450" s="6" t="s">
        <v>925</v>
      </c>
      <c r="D4450" s="6" t="s">
        <v>14</v>
      </c>
      <c r="E4450" s="6" t="s">
        <v>52</v>
      </c>
      <c r="F4450" s="6" t="s">
        <v>421</v>
      </c>
      <c r="G4450" s="6" t="s">
        <v>422</v>
      </c>
      <c r="H4450" s="6" t="s">
        <v>447</v>
      </c>
      <c r="I4450" s="6" t="s">
        <v>31</v>
      </c>
      <c r="J4450" s="6">
        <v>16.651677548553</v>
      </c>
      <c r="K4450" s="6">
        <v>-96.773414046626996</v>
      </c>
      <c r="L4450" s="6" t="str">
        <f>HYPERLINK("https://maps.google.com/?q=16.6516775485529,-96.773414046626996", "🔗 Ver Mapa")</f>
        <v>🔗 Ver Mapa</v>
      </c>
    </row>
    <row r="4451" spans="1:12" ht="58" x14ac:dyDescent="0.35">
      <c r="A4451" s="5" t="s">
        <v>98</v>
      </c>
      <c r="B4451" s="5" t="s">
        <v>99</v>
      </c>
      <c r="C4451" s="5" t="s">
        <v>925</v>
      </c>
      <c r="D4451" s="5" t="s">
        <v>14</v>
      </c>
      <c r="E4451" s="5" t="s">
        <v>52</v>
      </c>
      <c r="F4451" s="5" t="s">
        <v>421</v>
      </c>
      <c r="G4451" s="5" t="s">
        <v>422</v>
      </c>
      <c r="H4451" s="5" t="s">
        <v>447</v>
      </c>
      <c r="I4451" s="5" t="s">
        <v>31</v>
      </c>
      <c r="J4451" s="5">
        <v>16.654271000000001</v>
      </c>
      <c r="K4451" s="5">
        <v>-96.774266999999995</v>
      </c>
      <c r="L4451" s="5" t="str">
        <f>HYPERLINK("https://maps.google.com/?q=16.654271,-96.774266999999995", "🔗 Ver Mapa")</f>
        <v>🔗 Ver Mapa</v>
      </c>
    </row>
    <row r="4452" spans="1:12" ht="43.5" x14ac:dyDescent="0.35">
      <c r="A4452" s="6" t="s">
        <v>98</v>
      </c>
      <c r="B4452" s="6" t="s">
        <v>99</v>
      </c>
      <c r="C4452" s="6" t="s">
        <v>927</v>
      </c>
      <c r="D4452" s="6" t="s">
        <v>14</v>
      </c>
      <c r="E4452" s="6" t="s">
        <v>16</v>
      </c>
      <c r="F4452" s="6" t="s">
        <v>195</v>
      </c>
      <c r="G4452" s="6" t="s">
        <v>758</v>
      </c>
      <c r="H4452" s="6" t="s">
        <v>759</v>
      </c>
      <c r="I4452" s="6" t="s">
        <v>31</v>
      </c>
      <c r="J4452" s="6">
        <v>17.607928000000001</v>
      </c>
      <c r="K4452" s="6">
        <v>-98.007031999999995</v>
      </c>
      <c r="L4452" s="6" t="str">
        <f>HYPERLINK("https://maps.google.com/?q=17.607928,-98.007031999999995", "🔗 Ver Mapa")</f>
        <v>🔗 Ver Mapa</v>
      </c>
    </row>
    <row r="4453" spans="1:12" ht="43.5" x14ac:dyDescent="0.35">
      <c r="A4453" s="5" t="s">
        <v>98</v>
      </c>
      <c r="B4453" s="5" t="s">
        <v>99</v>
      </c>
      <c r="C4453" s="5" t="s">
        <v>927</v>
      </c>
      <c r="D4453" s="5" t="s">
        <v>14</v>
      </c>
      <c r="E4453" s="5" t="s">
        <v>16</v>
      </c>
      <c r="F4453" s="5" t="s">
        <v>195</v>
      </c>
      <c r="G4453" s="5" t="s">
        <v>758</v>
      </c>
      <c r="H4453" s="5" t="s">
        <v>759</v>
      </c>
      <c r="I4453" s="5" t="s">
        <v>31</v>
      </c>
      <c r="J4453" s="5">
        <v>17.608508</v>
      </c>
      <c r="K4453" s="5">
        <v>-98.010454999999993</v>
      </c>
      <c r="L4453" s="5" t="str">
        <f>HYPERLINK("https://maps.google.com/?q=17.608508,-98.010454999999993", "🔗 Ver Mapa")</f>
        <v>🔗 Ver Mapa</v>
      </c>
    </row>
    <row r="4454" spans="1:12" ht="43.5" x14ac:dyDescent="0.35">
      <c r="A4454" s="6" t="s">
        <v>98</v>
      </c>
      <c r="B4454" s="6" t="s">
        <v>99</v>
      </c>
      <c r="C4454" s="6" t="s">
        <v>927</v>
      </c>
      <c r="D4454" s="6" t="s">
        <v>14</v>
      </c>
      <c r="E4454" s="6" t="s">
        <v>16</v>
      </c>
      <c r="F4454" s="6" t="s">
        <v>195</v>
      </c>
      <c r="G4454" s="6" t="s">
        <v>758</v>
      </c>
      <c r="H4454" s="6" t="s">
        <v>759</v>
      </c>
      <c r="I4454" s="6" t="s">
        <v>31</v>
      </c>
      <c r="J4454" s="6">
        <v>17.608716000000001</v>
      </c>
      <c r="K4454" s="6">
        <v>-98.010305000000002</v>
      </c>
      <c r="L4454" s="6" t="str">
        <f>HYPERLINK("https://maps.google.com/?q=17.608716,-98.010305000000002", "🔗 Ver Mapa")</f>
        <v>🔗 Ver Mapa</v>
      </c>
    </row>
    <row r="4455" spans="1:12" ht="43.5" x14ac:dyDescent="0.35">
      <c r="A4455" s="5" t="s">
        <v>98</v>
      </c>
      <c r="B4455" s="5" t="s">
        <v>99</v>
      </c>
      <c r="C4455" s="5" t="s">
        <v>927</v>
      </c>
      <c r="D4455" s="5" t="s">
        <v>14</v>
      </c>
      <c r="E4455" s="5" t="s">
        <v>16</v>
      </c>
      <c r="F4455" s="5" t="s">
        <v>195</v>
      </c>
      <c r="G4455" s="5" t="s">
        <v>758</v>
      </c>
      <c r="H4455" s="5" t="s">
        <v>759</v>
      </c>
      <c r="I4455" s="5" t="s">
        <v>31</v>
      </c>
      <c r="J4455" s="5">
        <v>17.609787000000001</v>
      </c>
      <c r="K4455" s="5">
        <v>-98.007259000000005</v>
      </c>
      <c r="L4455" s="5" t="str">
        <f>HYPERLINK("https://maps.google.com/?q=17.609787,-98.007259000000005", "🔗 Ver Mapa")</f>
        <v>🔗 Ver Mapa</v>
      </c>
    </row>
    <row r="4456" spans="1:12" ht="43.5" x14ac:dyDescent="0.35">
      <c r="A4456" s="6" t="s">
        <v>98</v>
      </c>
      <c r="B4456" s="6" t="s">
        <v>99</v>
      </c>
      <c r="C4456" s="6" t="s">
        <v>927</v>
      </c>
      <c r="D4456" s="6" t="s">
        <v>14</v>
      </c>
      <c r="E4456" s="6" t="s">
        <v>16</v>
      </c>
      <c r="F4456" s="6" t="s">
        <v>195</v>
      </c>
      <c r="G4456" s="6" t="s">
        <v>758</v>
      </c>
      <c r="H4456" s="6" t="s">
        <v>759</v>
      </c>
      <c r="I4456" s="6" t="s">
        <v>31</v>
      </c>
      <c r="J4456" s="6">
        <v>17.610213000000002</v>
      </c>
      <c r="K4456" s="6">
        <v>-98.008121000000003</v>
      </c>
      <c r="L4456" s="6" t="str">
        <f>HYPERLINK("https://maps.google.com/?q=17.610213,-98.008121000000003", "🔗 Ver Mapa")</f>
        <v>🔗 Ver Mapa</v>
      </c>
    </row>
    <row r="4457" spans="1:12" ht="43.5" x14ac:dyDescent="0.35">
      <c r="A4457" s="5" t="s">
        <v>98</v>
      </c>
      <c r="B4457" s="5" t="s">
        <v>99</v>
      </c>
      <c r="C4457" s="5" t="s">
        <v>927</v>
      </c>
      <c r="D4457" s="5" t="s">
        <v>14</v>
      </c>
      <c r="E4457" s="5" t="s">
        <v>16</v>
      </c>
      <c r="F4457" s="5" t="s">
        <v>195</v>
      </c>
      <c r="G4457" s="5" t="s">
        <v>758</v>
      </c>
      <c r="H4457" s="5" t="s">
        <v>759</v>
      </c>
      <c r="I4457" s="5" t="s">
        <v>31</v>
      </c>
      <c r="J4457" s="5">
        <v>17.610700999999999</v>
      </c>
      <c r="K4457" s="5">
        <v>-98.003985</v>
      </c>
      <c r="L4457" s="5" t="str">
        <f>HYPERLINK("https://maps.google.com/?q=17.610701,-98.003985", "🔗 Ver Mapa")</f>
        <v>🔗 Ver Mapa</v>
      </c>
    </row>
    <row r="4458" spans="1:12" ht="43.5" x14ac:dyDescent="0.35">
      <c r="A4458" s="6" t="s">
        <v>98</v>
      </c>
      <c r="B4458" s="6" t="s">
        <v>99</v>
      </c>
      <c r="C4458" s="6" t="s">
        <v>927</v>
      </c>
      <c r="D4458" s="6" t="s">
        <v>14</v>
      </c>
      <c r="E4458" s="6" t="s">
        <v>16</v>
      </c>
      <c r="F4458" s="6" t="s">
        <v>195</v>
      </c>
      <c r="G4458" s="6" t="s">
        <v>758</v>
      </c>
      <c r="H4458" s="6" t="s">
        <v>759</v>
      </c>
      <c r="I4458" s="6" t="s">
        <v>31</v>
      </c>
      <c r="J4458" s="6">
        <v>17.610917000000001</v>
      </c>
      <c r="K4458" s="6">
        <v>-98.004158000000004</v>
      </c>
      <c r="L4458" s="6" t="str">
        <f>HYPERLINK("https://maps.google.com/?q=17.610917,-98.004158000000004", "🔗 Ver Mapa")</f>
        <v>🔗 Ver Mapa</v>
      </c>
    </row>
    <row r="4459" spans="1:12" ht="43.5" x14ac:dyDescent="0.35">
      <c r="A4459" s="5" t="s">
        <v>98</v>
      </c>
      <c r="B4459" s="5" t="s">
        <v>99</v>
      </c>
      <c r="C4459" s="5" t="s">
        <v>927</v>
      </c>
      <c r="D4459" s="5" t="s">
        <v>14</v>
      </c>
      <c r="E4459" s="5" t="s">
        <v>16</v>
      </c>
      <c r="F4459" s="5" t="s">
        <v>195</v>
      </c>
      <c r="G4459" s="5" t="s">
        <v>758</v>
      </c>
      <c r="H4459" s="5" t="s">
        <v>759</v>
      </c>
      <c r="I4459" s="5" t="s">
        <v>31</v>
      </c>
      <c r="J4459" s="5">
        <v>17.611934000000002</v>
      </c>
      <c r="K4459" s="5">
        <v>-98.013998999999998</v>
      </c>
      <c r="L4459" s="5" t="str">
        <f>HYPERLINK("https://maps.google.com/?q=17.611934,-98.013998999999998", "🔗 Ver Mapa")</f>
        <v>🔗 Ver Mapa</v>
      </c>
    </row>
    <row r="4460" spans="1:12" ht="43.5" x14ac:dyDescent="0.35">
      <c r="A4460" s="6" t="s">
        <v>98</v>
      </c>
      <c r="B4460" s="6" t="s">
        <v>99</v>
      </c>
      <c r="C4460" s="6" t="s">
        <v>927</v>
      </c>
      <c r="D4460" s="6" t="s">
        <v>14</v>
      </c>
      <c r="E4460" s="6" t="s">
        <v>16</v>
      </c>
      <c r="F4460" s="6" t="s">
        <v>195</v>
      </c>
      <c r="G4460" s="6" t="s">
        <v>758</v>
      </c>
      <c r="H4460" s="6" t="s">
        <v>759</v>
      </c>
      <c r="I4460" s="6" t="s">
        <v>31</v>
      </c>
      <c r="J4460" s="6">
        <v>17.612867999999999</v>
      </c>
      <c r="K4460" s="6">
        <v>-98.012505000000004</v>
      </c>
      <c r="L4460" s="6" t="str">
        <f>HYPERLINK("https://maps.google.com/?q=17.612868,-98.012505000000004", "🔗 Ver Mapa")</f>
        <v>🔗 Ver Mapa</v>
      </c>
    </row>
    <row r="4461" spans="1:12" ht="43.5" x14ac:dyDescent="0.35">
      <c r="A4461" s="5" t="s">
        <v>98</v>
      </c>
      <c r="B4461" s="5" t="s">
        <v>99</v>
      </c>
      <c r="C4461" s="5" t="s">
        <v>927</v>
      </c>
      <c r="D4461" s="5" t="s">
        <v>14</v>
      </c>
      <c r="E4461" s="5" t="s">
        <v>16</v>
      </c>
      <c r="F4461" s="5" t="s">
        <v>195</v>
      </c>
      <c r="G4461" s="5" t="s">
        <v>758</v>
      </c>
      <c r="H4461" s="5" t="s">
        <v>759</v>
      </c>
      <c r="I4461" s="5" t="s">
        <v>31</v>
      </c>
      <c r="J4461" s="5">
        <v>17.613606999999998</v>
      </c>
      <c r="K4461" s="5">
        <v>-98.003966000000005</v>
      </c>
      <c r="L4461" s="5" t="str">
        <f>HYPERLINK("https://maps.google.com/?q=17.613607,-98.003966000000005", "🔗 Ver Mapa")</f>
        <v>🔗 Ver Mapa</v>
      </c>
    </row>
    <row r="4462" spans="1:12" ht="43.5" x14ac:dyDescent="0.35">
      <c r="A4462" s="6" t="s">
        <v>98</v>
      </c>
      <c r="B4462" s="6" t="s">
        <v>99</v>
      </c>
      <c r="C4462" s="6" t="s">
        <v>927</v>
      </c>
      <c r="D4462" s="6" t="s">
        <v>14</v>
      </c>
      <c r="E4462" s="6" t="s">
        <v>16</v>
      </c>
      <c r="F4462" s="6" t="s">
        <v>195</v>
      </c>
      <c r="G4462" s="6" t="s">
        <v>758</v>
      </c>
      <c r="H4462" s="6" t="s">
        <v>759</v>
      </c>
      <c r="I4462" s="6" t="s">
        <v>31</v>
      </c>
      <c r="J4462" s="6">
        <v>17.614228000000001</v>
      </c>
      <c r="K4462" s="6">
        <v>-98.012384999999995</v>
      </c>
      <c r="L4462" s="6" t="str">
        <f>HYPERLINK("https://maps.google.com/?q=17.614228,-98.012384999999995", "🔗 Ver Mapa")</f>
        <v>🔗 Ver Mapa</v>
      </c>
    </row>
    <row r="4463" spans="1:12" ht="43.5" x14ac:dyDescent="0.35">
      <c r="A4463" s="5" t="s">
        <v>98</v>
      </c>
      <c r="B4463" s="5" t="s">
        <v>99</v>
      </c>
      <c r="C4463" s="5" t="s">
        <v>927</v>
      </c>
      <c r="D4463" s="5" t="s">
        <v>14</v>
      </c>
      <c r="E4463" s="5" t="s">
        <v>16</v>
      </c>
      <c r="F4463" s="5" t="s">
        <v>195</v>
      </c>
      <c r="G4463" s="5" t="s">
        <v>758</v>
      </c>
      <c r="H4463" s="5" t="s">
        <v>759</v>
      </c>
      <c r="I4463" s="5" t="s">
        <v>31</v>
      </c>
      <c r="J4463" s="5">
        <v>17.615336025025002</v>
      </c>
      <c r="K4463" s="5">
        <v>-98.014280081596993</v>
      </c>
      <c r="L4463" s="5" t="str">
        <f>HYPERLINK("https://maps.google.com/?q=17.6153360250251,-98.014280081597306", "🔗 Ver Mapa")</f>
        <v>🔗 Ver Mapa</v>
      </c>
    </row>
    <row r="4464" spans="1:12" ht="43.5" x14ac:dyDescent="0.35">
      <c r="A4464" s="6" t="s">
        <v>98</v>
      </c>
      <c r="B4464" s="6" t="s">
        <v>99</v>
      </c>
      <c r="C4464" s="6" t="s">
        <v>927</v>
      </c>
      <c r="D4464" s="6" t="s">
        <v>14</v>
      </c>
      <c r="E4464" s="6" t="s">
        <v>16</v>
      </c>
      <c r="F4464" s="6" t="s">
        <v>195</v>
      </c>
      <c r="G4464" s="6" t="s">
        <v>758</v>
      </c>
      <c r="H4464" s="6" t="s">
        <v>759</v>
      </c>
      <c r="I4464" s="6" t="s">
        <v>31</v>
      </c>
      <c r="J4464" s="6">
        <v>17.615591999999999</v>
      </c>
      <c r="K4464" s="6">
        <v>-98.014685999999998</v>
      </c>
      <c r="L4464" s="6" t="str">
        <f>HYPERLINK("https://maps.google.com/?q=17.615592,-98.014685999999998", "🔗 Ver Mapa")</f>
        <v>🔗 Ver Mapa</v>
      </c>
    </row>
    <row r="4465" spans="1:12" ht="43.5" x14ac:dyDescent="0.35">
      <c r="A4465" s="5" t="s">
        <v>98</v>
      </c>
      <c r="B4465" s="5" t="s">
        <v>99</v>
      </c>
      <c r="C4465" s="5" t="s">
        <v>927</v>
      </c>
      <c r="D4465" s="5" t="s">
        <v>14</v>
      </c>
      <c r="E4465" s="5" t="s">
        <v>16</v>
      </c>
      <c r="F4465" s="5" t="s">
        <v>195</v>
      </c>
      <c r="G4465" s="5" t="s">
        <v>758</v>
      </c>
      <c r="H4465" s="5" t="s">
        <v>759</v>
      </c>
      <c r="I4465" s="5" t="s">
        <v>31</v>
      </c>
      <c r="J4465" s="5">
        <v>17.615630762024001</v>
      </c>
      <c r="K4465" s="5">
        <v>-98.015292444493994</v>
      </c>
      <c r="L4465" s="5" t="str">
        <f>HYPERLINK("https://maps.google.com/?q=17.6156307620243,-98.015292444494406", "🔗 Ver Mapa")</f>
        <v>🔗 Ver Mapa</v>
      </c>
    </row>
    <row r="4466" spans="1:12" ht="43.5" x14ac:dyDescent="0.35">
      <c r="A4466" s="6" t="s">
        <v>98</v>
      </c>
      <c r="B4466" s="6" t="s">
        <v>99</v>
      </c>
      <c r="C4466" s="6" t="s">
        <v>927</v>
      </c>
      <c r="D4466" s="6" t="s">
        <v>14</v>
      </c>
      <c r="E4466" s="6" t="s">
        <v>16</v>
      </c>
      <c r="F4466" s="6" t="s">
        <v>195</v>
      </c>
      <c r="G4466" s="6" t="s">
        <v>758</v>
      </c>
      <c r="H4466" s="6" t="s">
        <v>759</v>
      </c>
      <c r="I4466" s="6" t="s">
        <v>31</v>
      </c>
      <c r="J4466" s="6">
        <v>17.615718999999999</v>
      </c>
      <c r="K4466" s="6">
        <v>-98.015229000000005</v>
      </c>
      <c r="L4466" s="6" t="str">
        <f>HYPERLINK("https://maps.google.com/?q=17.615719,-98.015229000000005", "🔗 Ver Mapa")</f>
        <v>🔗 Ver Mapa</v>
      </c>
    </row>
    <row r="4467" spans="1:12" ht="43.5" x14ac:dyDescent="0.35">
      <c r="A4467" s="5" t="s">
        <v>98</v>
      </c>
      <c r="B4467" s="5" t="s">
        <v>99</v>
      </c>
      <c r="C4467" s="5" t="s">
        <v>927</v>
      </c>
      <c r="D4467" s="5" t="s">
        <v>14</v>
      </c>
      <c r="E4467" s="5" t="s">
        <v>16</v>
      </c>
      <c r="F4467" s="5" t="s">
        <v>195</v>
      </c>
      <c r="G4467" s="5" t="s">
        <v>758</v>
      </c>
      <c r="H4467" s="5" t="s">
        <v>759</v>
      </c>
      <c r="I4467" s="5" t="s">
        <v>31</v>
      </c>
      <c r="J4467" s="5">
        <v>17.620857999999998</v>
      </c>
      <c r="K4467" s="5">
        <v>-98.002036000000004</v>
      </c>
      <c r="L4467" s="5" t="str">
        <f>HYPERLINK("https://maps.google.com/?q=17.620858,-98.002036000000004", "🔗 Ver Mapa")</f>
        <v>🔗 Ver Mapa</v>
      </c>
    </row>
    <row r="4468" spans="1:12" ht="43.5" x14ac:dyDescent="0.35">
      <c r="A4468" s="6" t="s">
        <v>98</v>
      </c>
      <c r="B4468" s="6" t="s">
        <v>99</v>
      </c>
      <c r="C4468" s="6" t="s">
        <v>927</v>
      </c>
      <c r="D4468" s="6" t="s">
        <v>14</v>
      </c>
      <c r="E4468" s="6" t="s">
        <v>16</v>
      </c>
      <c r="F4468" s="6" t="s">
        <v>195</v>
      </c>
      <c r="G4468" s="6" t="s">
        <v>758</v>
      </c>
      <c r="H4468" s="6" t="s">
        <v>759</v>
      </c>
      <c r="I4468" s="6" t="s">
        <v>31</v>
      </c>
      <c r="J4468" s="6">
        <v>17.621170386454001</v>
      </c>
      <c r="K4468" s="6">
        <v>-98.001998953373004</v>
      </c>
      <c r="L4468" s="6" t="str">
        <f>HYPERLINK("https://maps.google.com/?q=17.6211703864539,-98.001998953373104", "🔗 Ver Mapa")</f>
        <v>🔗 Ver Mapa</v>
      </c>
    </row>
    <row r="4469" spans="1:12" ht="43.5" x14ac:dyDescent="0.35">
      <c r="A4469" s="5" t="s">
        <v>98</v>
      </c>
      <c r="B4469" s="5" t="s">
        <v>99</v>
      </c>
      <c r="C4469" s="5" t="s">
        <v>927</v>
      </c>
      <c r="D4469" s="5" t="s">
        <v>14</v>
      </c>
      <c r="E4469" s="5" t="s">
        <v>16</v>
      </c>
      <c r="F4469" s="5" t="s">
        <v>195</v>
      </c>
      <c r="G4469" s="5" t="s">
        <v>758</v>
      </c>
      <c r="H4469" s="5" t="s">
        <v>759</v>
      </c>
      <c r="I4469" s="5" t="s">
        <v>31</v>
      </c>
      <c r="J4469" s="5">
        <v>17.621400000000001</v>
      </c>
      <c r="K4469" s="5">
        <v>-98.002206000000001</v>
      </c>
      <c r="L4469" s="5" t="str">
        <f>HYPERLINK("https://maps.google.com/?q=17.6214,-98.002206000000001", "🔗 Ver Mapa")</f>
        <v>🔗 Ver Mapa</v>
      </c>
    </row>
    <row r="4470" spans="1:12" ht="43.5" x14ac:dyDescent="0.35">
      <c r="A4470" s="6" t="s">
        <v>98</v>
      </c>
      <c r="B4470" s="6" t="s">
        <v>99</v>
      </c>
      <c r="C4470" s="6" t="s">
        <v>928</v>
      </c>
      <c r="D4470" s="6" t="s">
        <v>14</v>
      </c>
      <c r="E4470" s="6" t="s">
        <v>16</v>
      </c>
      <c r="F4470" s="6" t="s">
        <v>19</v>
      </c>
      <c r="G4470" s="6" t="s">
        <v>929</v>
      </c>
      <c r="H4470" s="6" t="s">
        <v>930</v>
      </c>
      <c r="I4470" s="6" t="s">
        <v>31</v>
      </c>
      <c r="J4470" s="6">
        <v>17.166140778679999</v>
      </c>
      <c r="K4470" s="6">
        <v>-97.310119419643996</v>
      </c>
      <c r="L4470" s="6" t="str">
        <f>HYPERLINK("https://maps.google.com/?q=17.1661407786797,-97.310119419643598", "🔗 Ver Mapa")</f>
        <v>🔗 Ver Mapa</v>
      </c>
    </row>
    <row r="4471" spans="1:12" ht="43.5" x14ac:dyDescent="0.35">
      <c r="A4471" s="5" t="s">
        <v>98</v>
      </c>
      <c r="B4471" s="5" t="s">
        <v>99</v>
      </c>
      <c r="C4471" s="5" t="s">
        <v>928</v>
      </c>
      <c r="D4471" s="5" t="s">
        <v>14</v>
      </c>
      <c r="E4471" s="5" t="s">
        <v>16</v>
      </c>
      <c r="F4471" s="5" t="s">
        <v>19</v>
      </c>
      <c r="G4471" s="5" t="s">
        <v>929</v>
      </c>
      <c r="H4471" s="5" t="s">
        <v>930</v>
      </c>
      <c r="I4471" s="5" t="s">
        <v>31</v>
      </c>
      <c r="J4471" s="5">
        <v>17.167349850088002</v>
      </c>
      <c r="K4471" s="5">
        <v>-97.309599900628996</v>
      </c>
      <c r="L4471" s="5" t="str">
        <f>HYPERLINK("https://maps.google.com/?q=17.1673498500878,-97.309599900628996", "🔗 Ver Mapa")</f>
        <v>🔗 Ver Mapa</v>
      </c>
    </row>
    <row r="4472" spans="1:12" ht="43.5" x14ac:dyDescent="0.35">
      <c r="A4472" s="6" t="s">
        <v>98</v>
      </c>
      <c r="B4472" s="6" t="s">
        <v>99</v>
      </c>
      <c r="C4472" s="6" t="s">
        <v>928</v>
      </c>
      <c r="D4472" s="6" t="s">
        <v>14</v>
      </c>
      <c r="E4472" s="6" t="s">
        <v>16</v>
      </c>
      <c r="F4472" s="6" t="s">
        <v>19</v>
      </c>
      <c r="G4472" s="6" t="s">
        <v>929</v>
      </c>
      <c r="H4472" s="6" t="s">
        <v>930</v>
      </c>
      <c r="I4472" s="6" t="s">
        <v>31</v>
      </c>
      <c r="J4472" s="6">
        <v>17.167419629766002</v>
      </c>
      <c r="K4472" s="6">
        <v>-97.309807833169998</v>
      </c>
      <c r="L4472" s="6" t="str">
        <f>HYPERLINK("https://maps.google.com/?q=17.167419629766,-97.309807833169899", "🔗 Ver Mapa")</f>
        <v>🔗 Ver Mapa</v>
      </c>
    </row>
    <row r="4473" spans="1:12" ht="43.5" x14ac:dyDescent="0.35">
      <c r="A4473" s="5" t="s">
        <v>98</v>
      </c>
      <c r="B4473" s="5" t="s">
        <v>99</v>
      </c>
      <c r="C4473" s="5" t="s">
        <v>928</v>
      </c>
      <c r="D4473" s="5" t="s">
        <v>14</v>
      </c>
      <c r="E4473" s="5" t="s">
        <v>16</v>
      </c>
      <c r="F4473" s="5" t="s">
        <v>19</v>
      </c>
      <c r="G4473" s="5" t="s">
        <v>929</v>
      </c>
      <c r="H4473" s="5" t="s">
        <v>930</v>
      </c>
      <c r="I4473" s="5" t="s">
        <v>31</v>
      </c>
      <c r="J4473" s="5">
        <v>17.167992158648001</v>
      </c>
      <c r="K4473" s="5">
        <v>-97.309354233134997</v>
      </c>
      <c r="L4473" s="5" t="str">
        <f>HYPERLINK("https://maps.google.com/?q=17.1679921586476,-97.309354233135295", "🔗 Ver Mapa")</f>
        <v>🔗 Ver Mapa</v>
      </c>
    </row>
    <row r="4474" spans="1:12" ht="43.5" x14ac:dyDescent="0.35">
      <c r="A4474" s="6" t="s">
        <v>98</v>
      </c>
      <c r="B4474" s="6" t="s">
        <v>99</v>
      </c>
      <c r="C4474" s="6" t="s">
        <v>928</v>
      </c>
      <c r="D4474" s="6" t="s">
        <v>14</v>
      </c>
      <c r="E4474" s="6" t="s">
        <v>16</v>
      </c>
      <c r="F4474" s="6" t="s">
        <v>19</v>
      </c>
      <c r="G4474" s="6" t="s">
        <v>929</v>
      </c>
      <c r="H4474" s="6" t="s">
        <v>930</v>
      </c>
      <c r="I4474" s="6" t="s">
        <v>31</v>
      </c>
      <c r="J4474" s="6">
        <v>17.169029919010999</v>
      </c>
      <c r="K4474" s="6">
        <v>-97.309144469044</v>
      </c>
      <c r="L4474" s="6" t="str">
        <f>HYPERLINK("https://maps.google.com/?q=17.169029919011,-97.309144469043602", "🔗 Ver Mapa")</f>
        <v>🔗 Ver Mapa</v>
      </c>
    </row>
    <row r="4475" spans="1:12" ht="43.5" x14ac:dyDescent="0.35">
      <c r="A4475" s="5" t="s">
        <v>98</v>
      </c>
      <c r="B4475" s="5" t="s">
        <v>99</v>
      </c>
      <c r="C4475" s="5" t="s">
        <v>928</v>
      </c>
      <c r="D4475" s="5" t="s">
        <v>14</v>
      </c>
      <c r="E4475" s="5" t="s">
        <v>16</v>
      </c>
      <c r="F4475" s="5" t="s">
        <v>19</v>
      </c>
      <c r="G4475" s="5" t="s">
        <v>929</v>
      </c>
      <c r="H4475" s="5" t="s">
        <v>930</v>
      </c>
      <c r="I4475" s="5" t="s">
        <v>31</v>
      </c>
      <c r="J4475" s="5">
        <v>17.169120894291002</v>
      </c>
      <c r="K4475" s="5">
        <v>-97.309346975823999</v>
      </c>
      <c r="L4475" s="5" t="str">
        <f>HYPERLINK("https://maps.google.com/?q=17.1691208942913,-97.309346975824099", "🔗 Ver Mapa")</f>
        <v>🔗 Ver Mapa</v>
      </c>
    </row>
    <row r="4476" spans="1:12" ht="43.5" x14ac:dyDescent="0.35">
      <c r="A4476" s="6" t="s">
        <v>98</v>
      </c>
      <c r="B4476" s="6" t="s">
        <v>99</v>
      </c>
      <c r="C4476" s="6" t="s">
        <v>928</v>
      </c>
      <c r="D4476" s="6" t="s">
        <v>14</v>
      </c>
      <c r="E4476" s="6" t="s">
        <v>16</v>
      </c>
      <c r="F4476" s="6" t="s">
        <v>19</v>
      </c>
      <c r="G4476" s="6" t="s">
        <v>929</v>
      </c>
      <c r="H4476" s="6" t="s">
        <v>930</v>
      </c>
      <c r="I4476" s="6" t="s">
        <v>31</v>
      </c>
      <c r="J4476" s="6">
        <v>17.169290648770001</v>
      </c>
      <c r="K4476" s="6">
        <v>-97.307774647236997</v>
      </c>
      <c r="L4476" s="6" t="str">
        <f>HYPERLINK("https://maps.google.com/?q=17.1692906487696,-97.307774647237096", "🔗 Ver Mapa")</f>
        <v>🔗 Ver Mapa</v>
      </c>
    </row>
    <row r="4477" spans="1:12" ht="43.5" x14ac:dyDescent="0.35">
      <c r="A4477" s="5" t="s">
        <v>98</v>
      </c>
      <c r="B4477" s="5" t="s">
        <v>99</v>
      </c>
      <c r="C4477" s="5" t="s">
        <v>928</v>
      </c>
      <c r="D4477" s="5" t="s">
        <v>14</v>
      </c>
      <c r="E4477" s="5" t="s">
        <v>16</v>
      </c>
      <c r="F4477" s="5" t="s">
        <v>19</v>
      </c>
      <c r="G4477" s="5" t="s">
        <v>929</v>
      </c>
      <c r="H4477" s="5" t="s">
        <v>930</v>
      </c>
      <c r="I4477" s="5" t="s">
        <v>31</v>
      </c>
      <c r="J4477" s="5">
        <v>17.16940790796</v>
      </c>
      <c r="K4477" s="5">
        <v>-97.308961603669999</v>
      </c>
      <c r="L4477" s="5" t="str">
        <f>HYPERLINK("https://maps.google.com/?q=17.1694079079603,-97.308961603670099", "🔗 Ver Mapa")</f>
        <v>🔗 Ver Mapa</v>
      </c>
    </row>
    <row r="4478" spans="1:12" ht="43.5" x14ac:dyDescent="0.35">
      <c r="A4478" s="6" t="s">
        <v>98</v>
      </c>
      <c r="B4478" s="6" t="s">
        <v>99</v>
      </c>
      <c r="C4478" s="6" t="s">
        <v>928</v>
      </c>
      <c r="D4478" s="6" t="s">
        <v>14</v>
      </c>
      <c r="E4478" s="6" t="s">
        <v>16</v>
      </c>
      <c r="F4478" s="6" t="s">
        <v>19</v>
      </c>
      <c r="G4478" s="6" t="s">
        <v>929</v>
      </c>
      <c r="H4478" s="6" t="s">
        <v>930</v>
      </c>
      <c r="I4478" s="6" t="s">
        <v>31</v>
      </c>
      <c r="J4478" s="6">
        <v>17.169474855238999</v>
      </c>
      <c r="K4478" s="6">
        <v>-97.309204124188994</v>
      </c>
      <c r="L4478" s="6" t="str">
        <f>HYPERLINK("https://maps.google.com/?q=17.1694748552386,-97.309204124189307", "🔗 Ver Mapa")</f>
        <v>🔗 Ver Mapa</v>
      </c>
    </row>
    <row r="4479" spans="1:12" ht="43.5" x14ac:dyDescent="0.35">
      <c r="A4479" s="5" t="s">
        <v>98</v>
      </c>
      <c r="B4479" s="5" t="s">
        <v>99</v>
      </c>
      <c r="C4479" s="5" t="s">
        <v>928</v>
      </c>
      <c r="D4479" s="5" t="s">
        <v>14</v>
      </c>
      <c r="E4479" s="5" t="s">
        <v>16</v>
      </c>
      <c r="F4479" s="5" t="s">
        <v>19</v>
      </c>
      <c r="G4479" s="5" t="s">
        <v>929</v>
      </c>
      <c r="H4479" s="5" t="s">
        <v>930</v>
      </c>
      <c r="I4479" s="5" t="s">
        <v>31</v>
      </c>
      <c r="J4479" s="5">
        <v>17.169743284033999</v>
      </c>
      <c r="K4479" s="5">
        <v>-97.308296417161998</v>
      </c>
      <c r="L4479" s="5" t="str">
        <f>HYPERLINK("https://maps.google.com/?q=17.1697432840336,-97.308296417161898", "🔗 Ver Mapa")</f>
        <v>🔗 Ver Mapa</v>
      </c>
    </row>
    <row r="4480" spans="1:12" ht="43.5" x14ac:dyDescent="0.35">
      <c r="A4480" s="6" t="s">
        <v>98</v>
      </c>
      <c r="B4480" s="6" t="s">
        <v>99</v>
      </c>
      <c r="C4480" s="6" t="s">
        <v>928</v>
      </c>
      <c r="D4480" s="6" t="s">
        <v>14</v>
      </c>
      <c r="E4480" s="6" t="s">
        <v>16</v>
      </c>
      <c r="F4480" s="6" t="s">
        <v>19</v>
      </c>
      <c r="G4480" s="6" t="s">
        <v>929</v>
      </c>
      <c r="H4480" s="6" t="s">
        <v>930</v>
      </c>
      <c r="I4480" s="6" t="s">
        <v>31</v>
      </c>
      <c r="J4480" s="6">
        <v>17.169860830000001</v>
      </c>
      <c r="K4480" s="6">
        <v>-97.308509755207993</v>
      </c>
      <c r="L4480" s="6" t="str">
        <f>HYPERLINK("https://maps.google.com/?q=17.1698608299995,-97.308509755207993", "🔗 Ver Mapa")</f>
        <v>🔗 Ver Mapa</v>
      </c>
    </row>
    <row r="4481" spans="1:12" ht="43.5" x14ac:dyDescent="0.35">
      <c r="A4481" s="5" t="s">
        <v>98</v>
      </c>
      <c r="B4481" s="5" t="s">
        <v>99</v>
      </c>
      <c r="C4481" s="5" t="s">
        <v>928</v>
      </c>
      <c r="D4481" s="5" t="s">
        <v>14</v>
      </c>
      <c r="E4481" s="5" t="s">
        <v>16</v>
      </c>
      <c r="F4481" s="5" t="s">
        <v>19</v>
      </c>
      <c r="G4481" s="5" t="s">
        <v>929</v>
      </c>
      <c r="H4481" s="5" t="s">
        <v>930</v>
      </c>
      <c r="I4481" s="5" t="s">
        <v>31</v>
      </c>
      <c r="J4481" s="5">
        <v>17.170017721360999</v>
      </c>
      <c r="K4481" s="5">
        <v>-97.307642798776996</v>
      </c>
      <c r="L4481" s="5" t="str">
        <f>HYPERLINK("https://maps.google.com/?q=17.1700177213609,-97.307642798776598", "🔗 Ver Mapa")</f>
        <v>🔗 Ver Mapa</v>
      </c>
    </row>
    <row r="4482" spans="1:12" ht="43.5" x14ac:dyDescent="0.35">
      <c r="A4482" s="6" t="s">
        <v>98</v>
      </c>
      <c r="B4482" s="6" t="s">
        <v>99</v>
      </c>
      <c r="C4482" s="6" t="s">
        <v>928</v>
      </c>
      <c r="D4482" s="6" t="s">
        <v>14</v>
      </c>
      <c r="E4482" s="6" t="s">
        <v>16</v>
      </c>
      <c r="F4482" s="6" t="s">
        <v>19</v>
      </c>
      <c r="G4482" s="6" t="s">
        <v>929</v>
      </c>
      <c r="H4482" s="6" t="s">
        <v>930</v>
      </c>
      <c r="I4482" s="6" t="s">
        <v>31</v>
      </c>
      <c r="J4482" s="6">
        <v>17.170143281327999</v>
      </c>
      <c r="K4482" s="6">
        <v>-97.308408512897003</v>
      </c>
      <c r="L4482" s="6" t="str">
        <f>HYPERLINK("https://maps.google.com/?q=17.1701432813281,-97.308408512897401", "🔗 Ver Mapa")</f>
        <v>🔗 Ver Mapa</v>
      </c>
    </row>
    <row r="4483" spans="1:12" ht="43.5" x14ac:dyDescent="0.35">
      <c r="A4483" s="5" t="s">
        <v>98</v>
      </c>
      <c r="B4483" s="5" t="s">
        <v>99</v>
      </c>
      <c r="C4483" s="5" t="s">
        <v>928</v>
      </c>
      <c r="D4483" s="5" t="s">
        <v>14</v>
      </c>
      <c r="E4483" s="5" t="s">
        <v>16</v>
      </c>
      <c r="F4483" s="5" t="s">
        <v>19</v>
      </c>
      <c r="G4483" s="5" t="s">
        <v>929</v>
      </c>
      <c r="H4483" s="5" t="s">
        <v>930</v>
      </c>
      <c r="I4483" s="5" t="s">
        <v>31</v>
      </c>
      <c r="J4483" s="5">
        <v>17.17053106405</v>
      </c>
      <c r="K4483" s="5">
        <v>-97.307388288360002</v>
      </c>
      <c r="L4483" s="5" t="str">
        <f>HYPERLINK("https://maps.google.com/?q=17.1705310640504,-97.307388288360499", "🔗 Ver Mapa")</f>
        <v>🔗 Ver Mapa</v>
      </c>
    </row>
    <row r="4484" spans="1:12" ht="43.5" x14ac:dyDescent="0.35">
      <c r="A4484" s="6" t="s">
        <v>98</v>
      </c>
      <c r="B4484" s="6" t="s">
        <v>99</v>
      </c>
      <c r="C4484" s="6" t="s">
        <v>928</v>
      </c>
      <c r="D4484" s="6" t="s">
        <v>14</v>
      </c>
      <c r="E4484" s="6" t="s">
        <v>16</v>
      </c>
      <c r="F4484" s="6" t="s">
        <v>19</v>
      </c>
      <c r="G4484" s="6" t="s">
        <v>929</v>
      </c>
      <c r="H4484" s="6" t="s">
        <v>930</v>
      </c>
      <c r="I4484" s="6" t="s">
        <v>31</v>
      </c>
      <c r="J4484" s="6">
        <v>17.170772454131999</v>
      </c>
      <c r="K4484" s="6">
        <v>-97.308039301392</v>
      </c>
      <c r="L4484" s="6" t="str">
        <f>HYPERLINK("https://maps.google.com/?q=17.1707724541317,-97.308039301392299", "🔗 Ver Mapa")</f>
        <v>🔗 Ver Mapa</v>
      </c>
    </row>
    <row r="4485" spans="1:12" ht="43.5" x14ac:dyDescent="0.35">
      <c r="A4485" s="5" t="s">
        <v>98</v>
      </c>
      <c r="B4485" s="5" t="s">
        <v>99</v>
      </c>
      <c r="C4485" s="5" t="s">
        <v>928</v>
      </c>
      <c r="D4485" s="5" t="s">
        <v>14</v>
      </c>
      <c r="E4485" s="5" t="s">
        <v>16</v>
      </c>
      <c r="F4485" s="5" t="s">
        <v>19</v>
      </c>
      <c r="G4485" s="5" t="s">
        <v>929</v>
      </c>
      <c r="H4485" s="5" t="s">
        <v>930</v>
      </c>
      <c r="I4485" s="5" t="s">
        <v>31</v>
      </c>
      <c r="J4485" s="5">
        <v>17.171134214976</v>
      </c>
      <c r="K4485" s="5">
        <v>-97.306310144953002</v>
      </c>
      <c r="L4485" s="5" t="str">
        <f>HYPERLINK("https://maps.google.com/?q=17.1711342149757,-97.306310144952604", "🔗 Ver Mapa")</f>
        <v>🔗 Ver Mapa</v>
      </c>
    </row>
    <row r="4486" spans="1:12" ht="43.5" x14ac:dyDescent="0.35">
      <c r="A4486" s="6" t="s">
        <v>98</v>
      </c>
      <c r="B4486" s="6" t="s">
        <v>99</v>
      </c>
      <c r="C4486" s="6" t="s">
        <v>928</v>
      </c>
      <c r="D4486" s="6" t="s">
        <v>14</v>
      </c>
      <c r="E4486" s="6" t="s">
        <v>16</v>
      </c>
      <c r="F4486" s="6" t="s">
        <v>19</v>
      </c>
      <c r="G4486" s="6" t="s">
        <v>929</v>
      </c>
      <c r="H4486" s="6" t="s">
        <v>930</v>
      </c>
      <c r="I4486" s="6" t="s">
        <v>31</v>
      </c>
      <c r="J4486" s="6">
        <v>17.171224069063999</v>
      </c>
      <c r="K4486" s="6">
        <v>-97.306534815972995</v>
      </c>
      <c r="L4486" s="6" t="str">
        <f>HYPERLINK("https://maps.google.com/?q=17.1712240690641,-97.306534815973293", "🔗 Ver Mapa")</f>
        <v>🔗 Ver Mapa</v>
      </c>
    </row>
    <row r="4487" spans="1:12" ht="43.5" x14ac:dyDescent="0.35">
      <c r="A4487" s="5" t="s">
        <v>98</v>
      </c>
      <c r="B4487" s="5" t="s">
        <v>99</v>
      </c>
      <c r="C4487" s="5" t="s">
        <v>928</v>
      </c>
      <c r="D4487" s="5" t="s">
        <v>14</v>
      </c>
      <c r="E4487" s="5" t="s">
        <v>16</v>
      </c>
      <c r="F4487" s="5" t="s">
        <v>19</v>
      </c>
      <c r="G4487" s="5" t="s">
        <v>929</v>
      </c>
      <c r="H4487" s="5" t="s">
        <v>930</v>
      </c>
      <c r="I4487" s="5" t="s">
        <v>31</v>
      </c>
      <c r="J4487" s="5">
        <v>17.171314600976</v>
      </c>
      <c r="K4487" s="5">
        <v>-97.306742084655994</v>
      </c>
      <c r="L4487" s="5" t="str">
        <f>HYPERLINK("https://maps.google.com/?q=17.1713146009756,-97.306742084655795", "🔗 Ver Mapa")</f>
        <v>🔗 Ver Mapa</v>
      </c>
    </row>
    <row r="4488" spans="1:12" ht="43.5" x14ac:dyDescent="0.35">
      <c r="A4488" s="6" t="s">
        <v>98</v>
      </c>
      <c r="B4488" s="6" t="s">
        <v>99</v>
      </c>
      <c r="C4488" s="6" t="s">
        <v>928</v>
      </c>
      <c r="D4488" s="6" t="s">
        <v>14</v>
      </c>
      <c r="E4488" s="6" t="s">
        <v>16</v>
      </c>
      <c r="F4488" s="6" t="s">
        <v>19</v>
      </c>
      <c r="G4488" s="6" t="s">
        <v>929</v>
      </c>
      <c r="H4488" s="6" t="s">
        <v>930</v>
      </c>
      <c r="I4488" s="6" t="s">
        <v>31</v>
      </c>
      <c r="J4488" s="6">
        <v>17.171364736154</v>
      </c>
      <c r="K4488" s="6">
        <v>-97.306900360783004</v>
      </c>
      <c r="L4488" s="6" t="str">
        <f>HYPERLINK("https://maps.google.com/?q=17.1713647361541,-97.306900360782507", "🔗 Ver Mapa")</f>
        <v>🔗 Ver Mapa</v>
      </c>
    </row>
    <row r="4489" spans="1:12" ht="43.5" x14ac:dyDescent="0.35">
      <c r="A4489" s="5" t="s">
        <v>98</v>
      </c>
      <c r="B4489" s="5" t="s">
        <v>99</v>
      </c>
      <c r="C4489" s="5" t="s">
        <v>928</v>
      </c>
      <c r="D4489" s="5" t="s">
        <v>14</v>
      </c>
      <c r="E4489" s="5" t="s">
        <v>16</v>
      </c>
      <c r="F4489" s="5" t="s">
        <v>19</v>
      </c>
      <c r="G4489" s="5" t="s">
        <v>929</v>
      </c>
      <c r="H4489" s="5" t="s">
        <v>930</v>
      </c>
      <c r="I4489" s="5" t="s">
        <v>31</v>
      </c>
      <c r="J4489" s="5">
        <v>17.175115586722999</v>
      </c>
      <c r="K4489" s="5">
        <v>-97.305333352183993</v>
      </c>
      <c r="L4489" s="5" t="str">
        <f>HYPERLINK("https://maps.google.com/?q=17.1751155867228,-97.305333352184107", "🔗 Ver Mapa")</f>
        <v>🔗 Ver Mapa</v>
      </c>
    </row>
    <row r="4490" spans="1:12" ht="43.5" x14ac:dyDescent="0.35">
      <c r="A4490" s="6" t="s">
        <v>98</v>
      </c>
      <c r="B4490" s="6" t="s">
        <v>99</v>
      </c>
      <c r="C4490" s="6" t="s">
        <v>928</v>
      </c>
      <c r="D4490" s="6" t="s">
        <v>14</v>
      </c>
      <c r="E4490" s="6" t="s">
        <v>16</v>
      </c>
      <c r="F4490" s="6" t="s">
        <v>19</v>
      </c>
      <c r="G4490" s="6" t="s">
        <v>929</v>
      </c>
      <c r="H4490" s="6" t="s">
        <v>930</v>
      </c>
      <c r="I4490" s="6" t="s">
        <v>31</v>
      </c>
      <c r="J4490" s="6">
        <v>17.177057410315001</v>
      </c>
      <c r="K4490" s="6">
        <v>-97.304641635582001</v>
      </c>
      <c r="L4490" s="6" t="str">
        <f>HYPERLINK("https://maps.google.com/?q=17.1770574103155,-97.304641635581902", "🔗 Ver Mapa")</f>
        <v>🔗 Ver Mapa</v>
      </c>
    </row>
    <row r="4491" spans="1:12" ht="43.5" x14ac:dyDescent="0.35">
      <c r="A4491" s="5" t="s">
        <v>98</v>
      </c>
      <c r="B4491" s="5" t="s">
        <v>99</v>
      </c>
      <c r="C4491" s="5" t="s">
        <v>928</v>
      </c>
      <c r="D4491" s="5" t="s">
        <v>14</v>
      </c>
      <c r="E4491" s="5" t="s">
        <v>16</v>
      </c>
      <c r="F4491" s="5" t="s">
        <v>19</v>
      </c>
      <c r="G4491" s="5" t="s">
        <v>929</v>
      </c>
      <c r="H4491" s="5" t="s">
        <v>930</v>
      </c>
      <c r="I4491" s="5" t="s">
        <v>31</v>
      </c>
      <c r="J4491" s="5">
        <v>17.177182971699001</v>
      </c>
      <c r="K4491" s="5">
        <v>-97.305031008597993</v>
      </c>
      <c r="L4491" s="5" t="str">
        <f>HYPERLINK("https://maps.google.com/?q=17.1771829716994,-97.305031008598206", "🔗 Ver Mapa")</f>
        <v>🔗 Ver Mapa</v>
      </c>
    </row>
    <row r="4492" spans="1:12" ht="43.5" x14ac:dyDescent="0.35">
      <c r="A4492" s="6" t="s">
        <v>98</v>
      </c>
      <c r="B4492" s="6" t="s">
        <v>99</v>
      </c>
      <c r="C4492" s="6" t="s">
        <v>928</v>
      </c>
      <c r="D4492" s="6" t="s">
        <v>14</v>
      </c>
      <c r="E4492" s="6" t="s">
        <v>16</v>
      </c>
      <c r="F4492" s="6" t="s">
        <v>19</v>
      </c>
      <c r="G4492" s="6" t="s">
        <v>929</v>
      </c>
      <c r="H4492" s="6" t="s">
        <v>930</v>
      </c>
      <c r="I4492" s="6" t="s">
        <v>31</v>
      </c>
      <c r="J4492" s="6">
        <v>17.177450524434001</v>
      </c>
      <c r="K4492" s="6">
        <v>-97.305926775463007</v>
      </c>
      <c r="L4492" s="6" t="str">
        <f>HYPERLINK("https://maps.google.com/?q=17.1774505244337,-97.305926775463007", "🔗 Ver Mapa")</f>
        <v>🔗 Ver Mapa</v>
      </c>
    </row>
    <row r="4493" spans="1:12" ht="43.5" x14ac:dyDescent="0.35">
      <c r="A4493" s="5" t="s">
        <v>98</v>
      </c>
      <c r="B4493" s="5" t="s">
        <v>99</v>
      </c>
      <c r="C4493" s="5" t="s">
        <v>928</v>
      </c>
      <c r="D4493" s="5" t="s">
        <v>14</v>
      </c>
      <c r="E4493" s="5" t="s">
        <v>16</v>
      </c>
      <c r="F4493" s="5" t="s">
        <v>19</v>
      </c>
      <c r="G4493" s="5" t="s">
        <v>929</v>
      </c>
      <c r="H4493" s="5" t="s">
        <v>930</v>
      </c>
      <c r="I4493" s="5" t="s">
        <v>31</v>
      </c>
      <c r="J4493" s="5">
        <v>17.177474564183999</v>
      </c>
      <c r="K4493" s="5">
        <v>-97.305013484043997</v>
      </c>
      <c r="L4493" s="5" t="str">
        <f>HYPERLINK("https://maps.google.com/?q=17.1774745641837,-97.305013484044096", "🔗 Ver Mapa")</f>
        <v>🔗 Ver Mapa</v>
      </c>
    </row>
    <row r="4494" spans="1:12" ht="43.5" x14ac:dyDescent="0.35">
      <c r="A4494" s="6" t="s">
        <v>98</v>
      </c>
      <c r="B4494" s="6" t="s">
        <v>99</v>
      </c>
      <c r="C4494" s="6" t="s">
        <v>928</v>
      </c>
      <c r="D4494" s="6" t="s">
        <v>14</v>
      </c>
      <c r="E4494" s="6" t="s">
        <v>16</v>
      </c>
      <c r="F4494" s="6" t="s">
        <v>19</v>
      </c>
      <c r="G4494" s="6" t="s">
        <v>929</v>
      </c>
      <c r="H4494" s="6" t="s">
        <v>930</v>
      </c>
      <c r="I4494" s="6" t="s">
        <v>31</v>
      </c>
      <c r="J4494" s="6">
        <v>17.177514588628</v>
      </c>
      <c r="K4494" s="6">
        <v>-97.305140888221999</v>
      </c>
      <c r="L4494" s="6" t="str">
        <f>HYPERLINK("https://maps.google.com/?q=17.1775145886278,-97.305140888222098", "🔗 Ver Mapa")</f>
        <v>🔗 Ver Mapa</v>
      </c>
    </row>
    <row r="4495" spans="1:12" ht="43.5" x14ac:dyDescent="0.35">
      <c r="A4495" s="5" t="s">
        <v>98</v>
      </c>
      <c r="B4495" s="5" t="s">
        <v>99</v>
      </c>
      <c r="C4495" s="5" t="s">
        <v>928</v>
      </c>
      <c r="D4495" s="5" t="s">
        <v>14</v>
      </c>
      <c r="E4495" s="5" t="s">
        <v>16</v>
      </c>
      <c r="F4495" s="5" t="s">
        <v>19</v>
      </c>
      <c r="G4495" s="5" t="s">
        <v>929</v>
      </c>
      <c r="H4495" s="5" t="s">
        <v>930</v>
      </c>
      <c r="I4495" s="5" t="s">
        <v>31</v>
      </c>
      <c r="J4495" s="5">
        <v>17.177563104522001</v>
      </c>
      <c r="K4495" s="5">
        <v>-97.304340233134994</v>
      </c>
      <c r="L4495" s="5" t="str">
        <f>HYPERLINK("https://maps.google.com/?q=17.1775631045216,-97.304340233135306", "🔗 Ver Mapa")</f>
        <v>🔗 Ver Mapa</v>
      </c>
    </row>
    <row r="4496" spans="1:12" ht="43.5" x14ac:dyDescent="0.35">
      <c r="A4496" s="6" t="s">
        <v>98</v>
      </c>
      <c r="B4496" s="6" t="s">
        <v>99</v>
      </c>
      <c r="C4496" s="6" t="s">
        <v>928</v>
      </c>
      <c r="D4496" s="6" t="s">
        <v>14</v>
      </c>
      <c r="E4496" s="6" t="s">
        <v>16</v>
      </c>
      <c r="F4496" s="6" t="s">
        <v>19</v>
      </c>
      <c r="G4496" s="6" t="s">
        <v>929</v>
      </c>
      <c r="H4496" s="6" t="s">
        <v>930</v>
      </c>
      <c r="I4496" s="6" t="s">
        <v>31</v>
      </c>
      <c r="J4496" s="6">
        <v>17.177600343927999</v>
      </c>
      <c r="K4496" s="6">
        <v>-97.305435271164001</v>
      </c>
      <c r="L4496" s="6" t="str">
        <f>HYPERLINK("https://maps.google.com/?q=17.1776003439284,-97.305435271164001", "🔗 Ver Mapa")</f>
        <v>🔗 Ver Mapa</v>
      </c>
    </row>
    <row r="4497" spans="1:12" ht="43.5" x14ac:dyDescent="0.35">
      <c r="A4497" s="5" t="s">
        <v>98</v>
      </c>
      <c r="B4497" s="5" t="s">
        <v>99</v>
      </c>
      <c r="C4497" s="5" t="s">
        <v>928</v>
      </c>
      <c r="D4497" s="5" t="s">
        <v>14</v>
      </c>
      <c r="E4497" s="5" t="s">
        <v>16</v>
      </c>
      <c r="F4497" s="5" t="s">
        <v>19</v>
      </c>
      <c r="G4497" s="5" t="s">
        <v>929</v>
      </c>
      <c r="H4497" s="5" t="s">
        <v>930</v>
      </c>
      <c r="I4497" s="5" t="s">
        <v>31</v>
      </c>
      <c r="J4497" s="5">
        <v>17.177769503208999</v>
      </c>
      <c r="K4497" s="5">
        <v>-97.304292892031</v>
      </c>
      <c r="L4497" s="5" t="str">
        <f>HYPERLINK("https://maps.google.com/?q=17.177769503209,-97.304292892030702", "🔗 Ver Mapa")</f>
        <v>🔗 Ver Mapa</v>
      </c>
    </row>
    <row r="4498" spans="1:12" ht="43.5" x14ac:dyDescent="0.35">
      <c r="A4498" s="6" t="s">
        <v>98</v>
      </c>
      <c r="B4498" s="6" t="s">
        <v>99</v>
      </c>
      <c r="C4498" s="6" t="s">
        <v>928</v>
      </c>
      <c r="D4498" s="6" t="s">
        <v>14</v>
      </c>
      <c r="E4498" s="6" t="s">
        <v>16</v>
      </c>
      <c r="F4498" s="6" t="s">
        <v>19</v>
      </c>
      <c r="G4498" s="6" t="s">
        <v>929</v>
      </c>
      <c r="H4498" s="6" t="s">
        <v>930</v>
      </c>
      <c r="I4498" s="6" t="s">
        <v>31</v>
      </c>
      <c r="J4498" s="6">
        <v>17.177825941656</v>
      </c>
      <c r="K4498" s="6">
        <v>-97.304602944774999</v>
      </c>
      <c r="L4498" s="6" t="str">
        <f>HYPERLINK("https://maps.google.com/?q=17.1778259416559,-97.3046029447747", "🔗 Ver Mapa")</f>
        <v>🔗 Ver Mapa</v>
      </c>
    </row>
    <row r="4499" spans="1:12" ht="43.5" x14ac:dyDescent="0.35">
      <c r="A4499" s="5" t="s">
        <v>98</v>
      </c>
      <c r="B4499" s="5" t="s">
        <v>99</v>
      </c>
      <c r="C4499" s="5" t="s">
        <v>928</v>
      </c>
      <c r="D4499" s="5" t="s">
        <v>14</v>
      </c>
      <c r="E4499" s="5" t="s">
        <v>16</v>
      </c>
      <c r="F4499" s="5" t="s">
        <v>19</v>
      </c>
      <c r="G4499" s="5" t="s">
        <v>929</v>
      </c>
      <c r="H4499" s="5" t="s">
        <v>930</v>
      </c>
      <c r="I4499" s="5" t="s">
        <v>31</v>
      </c>
      <c r="J4499" s="5">
        <v>17.177955906678001</v>
      </c>
      <c r="K4499" s="5">
        <v>-97.305768836805001</v>
      </c>
      <c r="L4499" s="5" t="str">
        <f>HYPERLINK("https://maps.google.com/?q=17.1779559066775,-97.305768836805299", "🔗 Ver Mapa")</f>
        <v>🔗 Ver Mapa</v>
      </c>
    </row>
    <row r="4500" spans="1:12" ht="43.5" x14ac:dyDescent="0.35">
      <c r="A4500" s="6" t="s">
        <v>98</v>
      </c>
      <c r="B4500" s="6" t="s">
        <v>99</v>
      </c>
      <c r="C4500" s="6" t="s">
        <v>928</v>
      </c>
      <c r="D4500" s="6" t="s">
        <v>14</v>
      </c>
      <c r="E4500" s="6" t="s">
        <v>16</v>
      </c>
      <c r="F4500" s="6" t="s">
        <v>19</v>
      </c>
      <c r="G4500" s="6" t="s">
        <v>929</v>
      </c>
      <c r="H4500" s="6" t="s">
        <v>930</v>
      </c>
      <c r="I4500" s="6" t="s">
        <v>31</v>
      </c>
      <c r="J4500" s="6">
        <v>17.177988855571002</v>
      </c>
      <c r="K4500" s="6">
        <v>-97.304214892209004</v>
      </c>
      <c r="L4500" s="6" t="str">
        <f>HYPERLINK("https://maps.google.com/?q=17.1779888555706,-97.304214892208904", "🔗 Ver Mapa")</f>
        <v>🔗 Ver Mapa</v>
      </c>
    </row>
    <row r="4501" spans="1:12" ht="43.5" x14ac:dyDescent="0.35">
      <c r="A4501" s="5" t="s">
        <v>98</v>
      </c>
      <c r="B4501" s="5" t="s">
        <v>99</v>
      </c>
      <c r="C4501" s="5" t="s">
        <v>928</v>
      </c>
      <c r="D4501" s="5" t="s">
        <v>14</v>
      </c>
      <c r="E4501" s="5" t="s">
        <v>16</v>
      </c>
      <c r="F4501" s="5" t="s">
        <v>19</v>
      </c>
      <c r="G4501" s="5" t="s">
        <v>929</v>
      </c>
      <c r="H4501" s="5" t="s">
        <v>930</v>
      </c>
      <c r="I4501" s="5" t="s">
        <v>31</v>
      </c>
      <c r="J4501" s="5">
        <v>17.178147348907999</v>
      </c>
      <c r="K4501" s="5">
        <v>-97.304716224537003</v>
      </c>
      <c r="L4501" s="5" t="str">
        <f>HYPERLINK("https://maps.google.com/?q=17.1781473489083,-97.304716224536904", "🔗 Ver Mapa")</f>
        <v>🔗 Ver Mapa</v>
      </c>
    </row>
    <row r="4502" spans="1:12" ht="43.5" x14ac:dyDescent="0.35">
      <c r="A4502" s="6" t="s">
        <v>98</v>
      </c>
      <c r="B4502" s="6" t="s">
        <v>99</v>
      </c>
      <c r="C4502" s="6" t="s">
        <v>928</v>
      </c>
      <c r="D4502" s="6" t="s">
        <v>14</v>
      </c>
      <c r="E4502" s="6" t="s">
        <v>16</v>
      </c>
      <c r="F4502" s="6" t="s">
        <v>19</v>
      </c>
      <c r="G4502" s="6" t="s">
        <v>929</v>
      </c>
      <c r="H4502" s="6" t="s">
        <v>930</v>
      </c>
      <c r="I4502" s="6" t="s">
        <v>31</v>
      </c>
      <c r="J4502" s="6">
        <v>17.178279035578999</v>
      </c>
      <c r="K4502" s="6">
        <v>-97.305247116567998</v>
      </c>
      <c r="L4502" s="6" t="str">
        <f>HYPERLINK("https://maps.google.com/?q=17.178279035579,-97.3052471165676", "🔗 Ver Mapa")</f>
        <v>🔗 Ver Mapa</v>
      </c>
    </row>
    <row r="4503" spans="1:12" ht="43.5" x14ac:dyDescent="0.35">
      <c r="A4503" s="5" t="s">
        <v>98</v>
      </c>
      <c r="B4503" s="5" t="s">
        <v>99</v>
      </c>
      <c r="C4503" s="5" t="s">
        <v>928</v>
      </c>
      <c r="D4503" s="5" t="s">
        <v>14</v>
      </c>
      <c r="E4503" s="5" t="s">
        <v>16</v>
      </c>
      <c r="F4503" s="5" t="s">
        <v>19</v>
      </c>
      <c r="G4503" s="5" t="s">
        <v>929</v>
      </c>
      <c r="H4503" s="5" t="s">
        <v>930</v>
      </c>
      <c r="I4503" s="5" t="s">
        <v>31</v>
      </c>
      <c r="J4503" s="5">
        <v>17.178352534199</v>
      </c>
      <c r="K4503" s="5">
        <v>-97.305964752150004</v>
      </c>
      <c r="L4503" s="5" t="str">
        <f>HYPERLINK("https://maps.google.com/?q=17.1783525341988,-97.305964752149507", "🔗 Ver Mapa")</f>
        <v>🔗 Ver Mapa</v>
      </c>
    </row>
    <row r="4504" spans="1:12" ht="43.5" x14ac:dyDescent="0.35">
      <c r="A4504" s="6" t="s">
        <v>98</v>
      </c>
      <c r="B4504" s="6" t="s">
        <v>99</v>
      </c>
      <c r="C4504" s="6" t="s">
        <v>928</v>
      </c>
      <c r="D4504" s="6" t="s">
        <v>14</v>
      </c>
      <c r="E4504" s="6" t="s">
        <v>16</v>
      </c>
      <c r="F4504" s="6" t="s">
        <v>19</v>
      </c>
      <c r="G4504" s="6" t="s">
        <v>929</v>
      </c>
      <c r="H4504" s="6" t="s">
        <v>930</v>
      </c>
      <c r="I4504" s="6" t="s">
        <v>31</v>
      </c>
      <c r="J4504" s="6">
        <v>17.178412017911999</v>
      </c>
      <c r="K4504" s="6">
        <v>-97.304479961970998</v>
      </c>
      <c r="L4504" s="6" t="str">
        <f>HYPERLINK("https://maps.google.com/?q=17.1784120179121,-97.304479961971197", "🔗 Ver Mapa")</f>
        <v>🔗 Ver Mapa</v>
      </c>
    </row>
    <row r="4505" spans="1:12" ht="43.5" x14ac:dyDescent="0.35">
      <c r="A4505" s="5" t="s">
        <v>98</v>
      </c>
      <c r="B4505" s="5" t="s">
        <v>99</v>
      </c>
      <c r="C4505" s="5" t="s">
        <v>928</v>
      </c>
      <c r="D4505" s="5" t="s">
        <v>14</v>
      </c>
      <c r="E4505" s="5" t="s">
        <v>16</v>
      </c>
      <c r="F4505" s="5" t="s">
        <v>19</v>
      </c>
      <c r="G4505" s="5" t="s">
        <v>929</v>
      </c>
      <c r="H4505" s="5" t="s">
        <v>930</v>
      </c>
      <c r="I4505" s="5" t="s">
        <v>31</v>
      </c>
      <c r="J4505" s="5">
        <v>17.178822424217</v>
      </c>
      <c r="K4505" s="5">
        <v>-97.304031539269005</v>
      </c>
      <c r="L4505" s="5" t="str">
        <f>HYPERLINK("https://maps.google.com/?q=17.1788224242169,-97.304031539269303", "🔗 Ver Mapa")</f>
        <v>🔗 Ver Mapa</v>
      </c>
    </row>
    <row r="4506" spans="1:12" ht="43.5" x14ac:dyDescent="0.35">
      <c r="A4506" s="6" t="s">
        <v>98</v>
      </c>
      <c r="B4506" s="6" t="s">
        <v>99</v>
      </c>
      <c r="C4506" s="6" t="s">
        <v>928</v>
      </c>
      <c r="D4506" s="6" t="s">
        <v>14</v>
      </c>
      <c r="E4506" s="6" t="s">
        <v>16</v>
      </c>
      <c r="F4506" s="6" t="s">
        <v>19</v>
      </c>
      <c r="G4506" s="6" t="s">
        <v>929</v>
      </c>
      <c r="H4506" s="6" t="s">
        <v>930</v>
      </c>
      <c r="I4506" s="6" t="s">
        <v>31</v>
      </c>
      <c r="J4506" s="6">
        <v>17.178899437142999</v>
      </c>
      <c r="K4506" s="6">
        <v>-97.303864047781005</v>
      </c>
      <c r="L4506" s="6" t="str">
        <f>HYPERLINK("https://maps.google.com/?q=17.1788994371425,-97.303864047781104", "🔗 Ver Mapa")</f>
        <v>🔗 Ver Mapa</v>
      </c>
    </row>
    <row r="4507" spans="1:12" ht="43.5" x14ac:dyDescent="0.35">
      <c r="A4507" s="5" t="s">
        <v>98</v>
      </c>
      <c r="B4507" s="5" t="s">
        <v>99</v>
      </c>
      <c r="C4507" s="5" t="s">
        <v>928</v>
      </c>
      <c r="D4507" s="5" t="s">
        <v>14</v>
      </c>
      <c r="E4507" s="5" t="s">
        <v>16</v>
      </c>
      <c r="F4507" s="5" t="s">
        <v>19</v>
      </c>
      <c r="G4507" s="5" t="s">
        <v>929</v>
      </c>
      <c r="H4507" s="5" t="s">
        <v>930</v>
      </c>
      <c r="I4507" s="5" t="s">
        <v>31</v>
      </c>
      <c r="J4507" s="5">
        <v>17.179129444630998</v>
      </c>
      <c r="K4507" s="5">
        <v>-97.304440209822005</v>
      </c>
      <c r="L4507" s="5" t="str">
        <f>HYPERLINK("https://maps.google.com/?q=17.1791294446305,-97.304440209821607", "🔗 Ver Mapa")</f>
        <v>🔗 Ver Mapa</v>
      </c>
    </row>
    <row r="4508" spans="1:12" ht="43.5" x14ac:dyDescent="0.35">
      <c r="A4508" s="6" t="s">
        <v>98</v>
      </c>
      <c r="B4508" s="6" t="s">
        <v>99</v>
      </c>
      <c r="C4508" s="6" t="s">
        <v>928</v>
      </c>
      <c r="D4508" s="6" t="s">
        <v>14</v>
      </c>
      <c r="E4508" s="6" t="s">
        <v>16</v>
      </c>
      <c r="F4508" s="6" t="s">
        <v>19</v>
      </c>
      <c r="G4508" s="6" t="s">
        <v>929</v>
      </c>
      <c r="H4508" s="6" t="s">
        <v>930</v>
      </c>
      <c r="I4508" s="6" t="s">
        <v>31</v>
      </c>
      <c r="J4508" s="6">
        <v>17.179217217807</v>
      </c>
      <c r="K4508" s="6">
        <v>-97.304661234714999</v>
      </c>
      <c r="L4508" s="6" t="str">
        <f>HYPERLINK("https://maps.google.com/?q=17.1792172178072,-97.304661234715098", "🔗 Ver Mapa")</f>
        <v>🔗 Ver Mapa</v>
      </c>
    </row>
    <row r="4509" spans="1:12" ht="43.5" x14ac:dyDescent="0.35">
      <c r="A4509" s="5" t="s">
        <v>98</v>
      </c>
      <c r="B4509" s="5" t="s">
        <v>99</v>
      </c>
      <c r="C4509" s="5" t="s">
        <v>928</v>
      </c>
      <c r="D4509" s="5" t="s">
        <v>14</v>
      </c>
      <c r="E4509" s="5" t="s">
        <v>16</v>
      </c>
      <c r="F4509" s="5" t="s">
        <v>19</v>
      </c>
      <c r="G4509" s="5" t="s">
        <v>929</v>
      </c>
      <c r="H4509" s="5" t="s">
        <v>930</v>
      </c>
      <c r="I4509" s="5" t="s">
        <v>31</v>
      </c>
      <c r="J4509" s="5">
        <v>17.179236810747</v>
      </c>
      <c r="K4509" s="5">
        <v>-97.305419915344004</v>
      </c>
      <c r="L4509" s="5" t="str">
        <f>HYPERLINK("https://maps.google.com/?q=17.1792368107471,-97.305419915344103", "🔗 Ver Mapa")</f>
        <v>🔗 Ver Mapa</v>
      </c>
    </row>
    <row r="4510" spans="1:12" ht="43.5" x14ac:dyDescent="0.35">
      <c r="A4510" s="6" t="s">
        <v>98</v>
      </c>
      <c r="B4510" s="6" t="s">
        <v>99</v>
      </c>
      <c r="C4510" s="6" t="s">
        <v>928</v>
      </c>
      <c r="D4510" s="6" t="s">
        <v>14</v>
      </c>
      <c r="E4510" s="6" t="s">
        <v>16</v>
      </c>
      <c r="F4510" s="6" t="s">
        <v>19</v>
      </c>
      <c r="G4510" s="6" t="s">
        <v>929</v>
      </c>
      <c r="H4510" s="6" t="s">
        <v>930</v>
      </c>
      <c r="I4510" s="6" t="s">
        <v>31</v>
      </c>
      <c r="J4510" s="6">
        <v>17.179309862402999</v>
      </c>
      <c r="K4510" s="6">
        <v>-97.305639883431994</v>
      </c>
      <c r="L4510" s="6" t="str">
        <f>HYPERLINK("https://maps.google.com/?q=17.1793098624031,-97.305639883432406", "🔗 Ver Mapa")</f>
        <v>🔗 Ver Mapa</v>
      </c>
    </row>
    <row r="4511" spans="1:12" ht="43.5" x14ac:dyDescent="0.35">
      <c r="A4511" s="5" t="s">
        <v>98</v>
      </c>
      <c r="B4511" s="5" t="s">
        <v>99</v>
      </c>
      <c r="C4511" s="5" t="s">
        <v>928</v>
      </c>
      <c r="D4511" s="5" t="s">
        <v>14</v>
      </c>
      <c r="E4511" s="5" t="s">
        <v>16</v>
      </c>
      <c r="F4511" s="5" t="s">
        <v>19</v>
      </c>
      <c r="G4511" s="5" t="s">
        <v>929</v>
      </c>
      <c r="H4511" s="5" t="s">
        <v>930</v>
      </c>
      <c r="I4511" s="5" t="s">
        <v>31</v>
      </c>
      <c r="J4511" s="5">
        <v>17.179472910026</v>
      </c>
      <c r="K4511" s="5">
        <v>-97.304333519013994</v>
      </c>
      <c r="L4511" s="5" t="str">
        <f>HYPERLINK("https://maps.google.com/?q=17.1794729100263,-97.304333519014193", "🔗 Ver Mapa")</f>
        <v>🔗 Ver Mapa</v>
      </c>
    </row>
    <row r="4512" spans="1:12" ht="43.5" x14ac:dyDescent="0.35">
      <c r="A4512" s="6" t="s">
        <v>98</v>
      </c>
      <c r="B4512" s="6" t="s">
        <v>99</v>
      </c>
      <c r="C4512" s="6" t="s">
        <v>928</v>
      </c>
      <c r="D4512" s="6" t="s">
        <v>14</v>
      </c>
      <c r="E4512" s="6" t="s">
        <v>16</v>
      </c>
      <c r="F4512" s="6" t="s">
        <v>19</v>
      </c>
      <c r="G4512" s="6" t="s">
        <v>929</v>
      </c>
      <c r="H4512" s="6" t="s">
        <v>930</v>
      </c>
      <c r="I4512" s="6" t="s">
        <v>31</v>
      </c>
      <c r="J4512" s="6">
        <v>17.179537969733001</v>
      </c>
      <c r="K4512" s="6">
        <v>-97.304536093254001</v>
      </c>
      <c r="L4512" s="6" t="str">
        <f>HYPERLINK("https://maps.google.com/?q=17.1795379697329,-97.304536093254001", "🔗 Ver Mapa")</f>
        <v>🔗 Ver Mapa</v>
      </c>
    </row>
    <row r="4513" spans="1:12" ht="43.5" x14ac:dyDescent="0.35">
      <c r="A4513" s="5" t="s">
        <v>98</v>
      </c>
      <c r="B4513" s="5" t="s">
        <v>99</v>
      </c>
      <c r="C4513" s="5" t="s">
        <v>928</v>
      </c>
      <c r="D4513" s="5" t="s">
        <v>14</v>
      </c>
      <c r="E4513" s="5" t="s">
        <v>16</v>
      </c>
      <c r="F4513" s="5" t="s">
        <v>19</v>
      </c>
      <c r="G4513" s="5" t="s">
        <v>929</v>
      </c>
      <c r="H4513" s="5" t="s">
        <v>930</v>
      </c>
      <c r="I4513" s="5" t="s">
        <v>31</v>
      </c>
      <c r="J4513" s="5">
        <v>17.179928782120001</v>
      </c>
      <c r="K4513" s="5">
        <v>-97.305369746032994</v>
      </c>
      <c r="L4513" s="5" t="str">
        <f>HYPERLINK("https://maps.google.com/?q=17.1799287821198,-97.305369746032795", "🔗 Ver Mapa")</f>
        <v>🔗 Ver Mapa</v>
      </c>
    </row>
    <row r="4514" spans="1:12" ht="43.5" x14ac:dyDescent="0.35">
      <c r="A4514" s="6" t="s">
        <v>98</v>
      </c>
      <c r="B4514" s="6" t="s">
        <v>99</v>
      </c>
      <c r="C4514" s="6" t="s">
        <v>928</v>
      </c>
      <c r="D4514" s="6" t="s">
        <v>14</v>
      </c>
      <c r="E4514" s="6" t="s">
        <v>16</v>
      </c>
      <c r="F4514" s="6" t="s">
        <v>19</v>
      </c>
      <c r="G4514" s="6" t="s">
        <v>929</v>
      </c>
      <c r="H4514" s="6" t="s">
        <v>930</v>
      </c>
      <c r="I4514" s="6" t="s">
        <v>31</v>
      </c>
      <c r="J4514" s="6">
        <v>17.180077971559999</v>
      </c>
      <c r="K4514" s="6">
        <v>-97.304100991401995</v>
      </c>
      <c r="L4514" s="6" t="str">
        <f>HYPERLINK("https://maps.google.com/?q=17.1800779715598,-97.304100991401697", "🔗 Ver Mapa")</f>
        <v>🔗 Ver Mapa</v>
      </c>
    </row>
    <row r="4515" spans="1:12" ht="43.5" x14ac:dyDescent="0.35">
      <c r="A4515" s="5" t="s">
        <v>98</v>
      </c>
      <c r="B4515" s="5" t="s">
        <v>99</v>
      </c>
      <c r="C4515" s="5" t="s">
        <v>928</v>
      </c>
      <c r="D4515" s="5" t="s">
        <v>14</v>
      </c>
      <c r="E4515" s="5" t="s">
        <v>16</v>
      </c>
      <c r="F4515" s="5" t="s">
        <v>19</v>
      </c>
      <c r="G4515" s="5" t="s">
        <v>929</v>
      </c>
      <c r="H4515" s="5" t="s">
        <v>930</v>
      </c>
      <c r="I4515" s="5" t="s">
        <v>31</v>
      </c>
      <c r="J4515" s="5">
        <v>17.180150877148002</v>
      </c>
      <c r="K4515" s="5">
        <v>-97.304297635582003</v>
      </c>
      <c r="L4515" s="5" t="str">
        <f>HYPERLINK("https://maps.google.com/?q=17.1801508771483,-97.304297635581904", "🔗 Ver Mapa")</f>
        <v>🔗 Ver Mapa</v>
      </c>
    </row>
    <row r="4516" spans="1:12" ht="43.5" x14ac:dyDescent="0.35">
      <c r="A4516" s="6" t="s">
        <v>98</v>
      </c>
      <c r="B4516" s="6" t="s">
        <v>99</v>
      </c>
      <c r="C4516" s="6" t="s">
        <v>928</v>
      </c>
      <c r="D4516" s="6" t="s">
        <v>14</v>
      </c>
      <c r="E4516" s="6" t="s">
        <v>16</v>
      </c>
      <c r="F4516" s="6" t="s">
        <v>19</v>
      </c>
      <c r="G4516" s="6" t="s">
        <v>929</v>
      </c>
      <c r="H4516" s="6" t="s">
        <v>930</v>
      </c>
      <c r="I4516" s="6" t="s">
        <v>31</v>
      </c>
      <c r="J4516" s="6">
        <v>17.180274264095001</v>
      </c>
      <c r="K4516" s="6">
        <v>-97.305172195533004</v>
      </c>
      <c r="L4516" s="6" t="str">
        <f>HYPERLINK("https://maps.google.com/?q=17.1802742640954,-97.305172195532606", "🔗 Ver Mapa")</f>
        <v>🔗 Ver Mapa</v>
      </c>
    </row>
    <row r="4517" spans="1:12" ht="43.5" x14ac:dyDescent="0.35">
      <c r="A4517" s="5" t="s">
        <v>98</v>
      </c>
      <c r="B4517" s="5" t="s">
        <v>99</v>
      </c>
      <c r="C4517" s="5" t="s">
        <v>928</v>
      </c>
      <c r="D4517" s="5" t="s">
        <v>14</v>
      </c>
      <c r="E4517" s="5" t="s">
        <v>16</v>
      </c>
      <c r="F4517" s="5" t="s">
        <v>19</v>
      </c>
      <c r="G4517" s="5" t="s">
        <v>929</v>
      </c>
      <c r="H4517" s="5" t="s">
        <v>930</v>
      </c>
      <c r="I4517" s="5" t="s">
        <v>31</v>
      </c>
      <c r="J4517" s="5">
        <v>17.180320389614</v>
      </c>
      <c r="K4517" s="5">
        <v>-97.305381407835995</v>
      </c>
      <c r="L4517" s="5" t="str">
        <f>HYPERLINK("https://maps.google.com/?q=17.1803203896143,-97.305381407835696", "🔗 Ver Mapa")</f>
        <v>🔗 Ver Mapa</v>
      </c>
    </row>
    <row r="4518" spans="1:12" ht="43.5" x14ac:dyDescent="0.35">
      <c r="A4518" s="6" t="s">
        <v>98</v>
      </c>
      <c r="B4518" s="6" t="s">
        <v>99</v>
      </c>
      <c r="C4518" s="6" t="s">
        <v>928</v>
      </c>
      <c r="D4518" s="6" t="s">
        <v>14</v>
      </c>
      <c r="E4518" s="6" t="s">
        <v>16</v>
      </c>
      <c r="F4518" s="6" t="s">
        <v>19</v>
      </c>
      <c r="G4518" s="6" t="s">
        <v>929</v>
      </c>
      <c r="H4518" s="6" t="s">
        <v>930</v>
      </c>
      <c r="I4518" s="6" t="s">
        <v>31</v>
      </c>
      <c r="J4518" s="6">
        <v>17.180857095901999</v>
      </c>
      <c r="K4518" s="6">
        <v>-97.304874650296995</v>
      </c>
      <c r="L4518" s="6" t="str">
        <f>HYPERLINK("https://maps.google.com/?q=17.1808570959016,-97.304874650297194", "🔗 Ver Mapa")</f>
        <v>🔗 Ver Mapa</v>
      </c>
    </row>
    <row r="4519" spans="1:12" ht="43.5" x14ac:dyDescent="0.35">
      <c r="A4519" s="5" t="s">
        <v>98</v>
      </c>
      <c r="B4519" s="5" t="s">
        <v>99</v>
      </c>
      <c r="C4519" s="5" t="s">
        <v>928</v>
      </c>
      <c r="D4519" s="5" t="s">
        <v>14</v>
      </c>
      <c r="E4519" s="5" t="s">
        <v>16</v>
      </c>
      <c r="F4519" s="5" t="s">
        <v>19</v>
      </c>
      <c r="G4519" s="5" t="s">
        <v>929</v>
      </c>
      <c r="H4519" s="5" t="s">
        <v>930</v>
      </c>
      <c r="I4519" s="5" t="s">
        <v>31</v>
      </c>
      <c r="J4519" s="5">
        <v>17.180890419666</v>
      </c>
      <c r="K4519" s="5">
        <v>-97.305162704750003</v>
      </c>
      <c r="L4519" s="5" t="str">
        <f>HYPERLINK("https://maps.google.com/?q=17.1808904196662,-97.305162704750401", "🔗 Ver Mapa")</f>
        <v>🔗 Ver Mapa</v>
      </c>
    </row>
    <row r="4520" spans="1:12" ht="43.5" x14ac:dyDescent="0.35">
      <c r="A4520" s="6" t="s">
        <v>98</v>
      </c>
      <c r="B4520" s="6" t="s">
        <v>99</v>
      </c>
      <c r="C4520" s="6" t="s">
        <v>928</v>
      </c>
      <c r="D4520" s="6" t="s">
        <v>14</v>
      </c>
      <c r="E4520" s="6" t="s">
        <v>16</v>
      </c>
      <c r="F4520" s="6" t="s">
        <v>19</v>
      </c>
      <c r="G4520" s="6" t="s">
        <v>929</v>
      </c>
      <c r="H4520" s="6" t="s">
        <v>930</v>
      </c>
      <c r="I4520" s="6" t="s">
        <v>31</v>
      </c>
      <c r="J4520" s="6">
        <v>17.180926294951998</v>
      </c>
      <c r="K4520" s="6">
        <v>-97.305420196816002</v>
      </c>
      <c r="L4520" s="6" t="str">
        <f>HYPERLINK("https://maps.google.com/?q=17.1809262949515,-97.305420196815703", "🔗 Ver Mapa")</f>
        <v>🔗 Ver Mapa</v>
      </c>
    </row>
    <row r="4521" spans="1:12" ht="43.5" x14ac:dyDescent="0.35">
      <c r="A4521" s="5" t="s">
        <v>98</v>
      </c>
      <c r="B4521" s="5" t="s">
        <v>99</v>
      </c>
      <c r="C4521" s="5" t="s">
        <v>928</v>
      </c>
      <c r="D4521" s="5" t="s">
        <v>14</v>
      </c>
      <c r="E4521" s="5" t="s">
        <v>16</v>
      </c>
      <c r="F4521" s="5" t="s">
        <v>19</v>
      </c>
      <c r="G4521" s="5" t="s">
        <v>929</v>
      </c>
      <c r="H4521" s="5" t="s">
        <v>930</v>
      </c>
      <c r="I4521" s="5" t="s">
        <v>31</v>
      </c>
      <c r="J4521" s="5">
        <v>17.181098564936001</v>
      </c>
      <c r="K4521" s="5">
        <v>-97.304880055224999</v>
      </c>
      <c r="L4521" s="5" t="str">
        <f>HYPERLINK("https://maps.google.com/?q=17.181098564936,-97.304880055225397", "🔗 Ver Mapa")</f>
        <v>🔗 Ver Mapa</v>
      </c>
    </row>
    <row r="4522" spans="1:12" ht="43.5" x14ac:dyDescent="0.35">
      <c r="A4522" s="6" t="s">
        <v>98</v>
      </c>
      <c r="B4522" s="6" t="s">
        <v>99</v>
      </c>
      <c r="C4522" s="6" t="s">
        <v>928</v>
      </c>
      <c r="D4522" s="6" t="s">
        <v>14</v>
      </c>
      <c r="E4522" s="6" t="s">
        <v>16</v>
      </c>
      <c r="F4522" s="6" t="s">
        <v>19</v>
      </c>
      <c r="G4522" s="6" t="s">
        <v>929</v>
      </c>
      <c r="H4522" s="6" t="s">
        <v>930</v>
      </c>
      <c r="I4522" s="6" t="s">
        <v>31</v>
      </c>
      <c r="J4522" s="6">
        <v>17.181288094719999</v>
      </c>
      <c r="K4522" s="6">
        <v>-97.305238661922004</v>
      </c>
      <c r="L4522" s="6" t="str">
        <f>HYPERLINK("https://maps.google.com/?q=17.1812880947201,-97.305238661921905", "🔗 Ver Mapa")</f>
        <v>🔗 Ver Mapa</v>
      </c>
    </row>
    <row r="4523" spans="1:12" ht="43.5" x14ac:dyDescent="0.35">
      <c r="A4523" s="5" t="s">
        <v>98</v>
      </c>
      <c r="B4523" s="5" t="s">
        <v>99</v>
      </c>
      <c r="C4523" s="5" t="s">
        <v>928</v>
      </c>
      <c r="D4523" s="5" t="s">
        <v>14</v>
      </c>
      <c r="E4523" s="5" t="s">
        <v>16</v>
      </c>
      <c r="F4523" s="5" t="s">
        <v>19</v>
      </c>
      <c r="G4523" s="5" t="s">
        <v>929</v>
      </c>
      <c r="H4523" s="5" t="s">
        <v>930</v>
      </c>
      <c r="I4523" s="5" t="s">
        <v>31</v>
      </c>
      <c r="J4523" s="5">
        <v>17.181304408523999</v>
      </c>
      <c r="K4523" s="5">
        <v>-97.304788044145994</v>
      </c>
      <c r="L4523" s="5" t="str">
        <f>HYPERLINK("https://maps.google.com/?q=17.181304408524,-97.304788044145695", "🔗 Ver Mapa")</f>
        <v>🔗 Ver Mapa</v>
      </c>
    </row>
    <row r="4524" spans="1:12" ht="43.5" x14ac:dyDescent="0.35">
      <c r="A4524" s="6" t="s">
        <v>98</v>
      </c>
      <c r="B4524" s="6" t="s">
        <v>99</v>
      </c>
      <c r="C4524" s="6" t="s">
        <v>928</v>
      </c>
      <c r="D4524" s="6" t="s">
        <v>14</v>
      </c>
      <c r="E4524" s="6" t="s">
        <v>16</v>
      </c>
      <c r="F4524" s="6" t="s">
        <v>19</v>
      </c>
      <c r="G4524" s="6" t="s">
        <v>929</v>
      </c>
      <c r="H4524" s="6" t="s">
        <v>930</v>
      </c>
      <c r="I4524" s="6" t="s">
        <v>31</v>
      </c>
      <c r="J4524" s="6">
        <v>17.181322815135001</v>
      </c>
      <c r="K4524" s="6">
        <v>-97.304302694270007</v>
      </c>
      <c r="L4524" s="6" t="str">
        <f>HYPERLINK("https://maps.google.com/?q=17.1813228151348,-97.304302694270106", "🔗 Ver Mapa")</f>
        <v>🔗 Ver Mapa</v>
      </c>
    </row>
    <row r="4525" spans="1:12" ht="43.5" x14ac:dyDescent="0.35">
      <c r="A4525" s="5" t="s">
        <v>98</v>
      </c>
      <c r="B4525" s="5" t="s">
        <v>99</v>
      </c>
      <c r="C4525" s="5" t="s">
        <v>928</v>
      </c>
      <c r="D4525" s="5" t="s">
        <v>14</v>
      </c>
      <c r="E4525" s="5" t="s">
        <v>16</v>
      </c>
      <c r="F4525" s="5" t="s">
        <v>19</v>
      </c>
      <c r="G4525" s="5" t="s">
        <v>929</v>
      </c>
      <c r="H4525" s="5" t="s">
        <v>930</v>
      </c>
      <c r="I4525" s="5" t="s">
        <v>31</v>
      </c>
      <c r="J4525" s="5">
        <v>17.181324565956999</v>
      </c>
      <c r="K4525" s="5">
        <v>-97.305023667493998</v>
      </c>
      <c r="L4525" s="5" t="str">
        <f>HYPERLINK("https://maps.google.com/?q=17.1813245659573,-97.305023667493799", "🔗 Ver Mapa")</f>
        <v>🔗 Ver Mapa</v>
      </c>
    </row>
    <row r="4526" spans="1:12" ht="43.5" x14ac:dyDescent="0.35">
      <c r="A4526" s="6" t="s">
        <v>98</v>
      </c>
      <c r="B4526" s="6" t="s">
        <v>99</v>
      </c>
      <c r="C4526" s="6" t="s">
        <v>928</v>
      </c>
      <c r="D4526" s="6" t="s">
        <v>14</v>
      </c>
      <c r="E4526" s="6" t="s">
        <v>16</v>
      </c>
      <c r="F4526" s="6" t="s">
        <v>19</v>
      </c>
      <c r="G4526" s="6" t="s">
        <v>929</v>
      </c>
      <c r="H4526" s="6" t="s">
        <v>930</v>
      </c>
      <c r="I4526" s="6" t="s">
        <v>31</v>
      </c>
      <c r="J4526" s="6">
        <v>17.181331175720999</v>
      </c>
      <c r="K4526" s="6">
        <v>-97.305455060781995</v>
      </c>
      <c r="L4526" s="6" t="str">
        <f>HYPERLINK("https://maps.google.com/?q=17.1813311757214,-97.305455060782293", "🔗 Ver Mapa")</f>
        <v>🔗 Ver Mapa</v>
      </c>
    </row>
    <row r="4527" spans="1:12" ht="43.5" x14ac:dyDescent="0.35">
      <c r="A4527" s="5" t="s">
        <v>98</v>
      </c>
      <c r="B4527" s="5" t="s">
        <v>99</v>
      </c>
      <c r="C4527" s="5" t="s">
        <v>928</v>
      </c>
      <c r="D4527" s="5" t="s">
        <v>14</v>
      </c>
      <c r="E4527" s="5" t="s">
        <v>16</v>
      </c>
      <c r="F4527" s="5" t="s">
        <v>19</v>
      </c>
      <c r="G4527" s="5" t="s">
        <v>929</v>
      </c>
      <c r="H4527" s="5" t="s">
        <v>930</v>
      </c>
      <c r="I4527" s="5" t="s">
        <v>31</v>
      </c>
      <c r="J4527" s="5">
        <v>17.181724283952999</v>
      </c>
      <c r="K4527" s="5">
        <v>-97.304225988343006</v>
      </c>
      <c r="L4527" s="5" t="str">
        <f>HYPERLINK("https://maps.google.com/?q=17.1817242839529,-97.304225988343205", "🔗 Ver Mapa")</f>
        <v>🔗 Ver Mapa</v>
      </c>
    </row>
    <row r="4528" spans="1:12" ht="43.5" x14ac:dyDescent="0.35">
      <c r="A4528" s="6" t="s">
        <v>98</v>
      </c>
      <c r="B4528" s="6" t="s">
        <v>99</v>
      </c>
      <c r="C4528" s="6" t="s">
        <v>928</v>
      </c>
      <c r="D4528" s="6" t="s">
        <v>14</v>
      </c>
      <c r="E4528" s="6" t="s">
        <v>16</v>
      </c>
      <c r="F4528" s="6" t="s">
        <v>19</v>
      </c>
      <c r="G4528" s="6" t="s">
        <v>929</v>
      </c>
      <c r="H4528" s="6" t="s">
        <v>930</v>
      </c>
      <c r="I4528" s="6" t="s">
        <v>31</v>
      </c>
      <c r="J4528" s="6">
        <v>17.181809974334001</v>
      </c>
      <c r="K4528" s="6">
        <v>-97.304806203576007</v>
      </c>
      <c r="L4528" s="6" t="str">
        <f>HYPERLINK("https://maps.google.com/?q=17.1818099743336,-97.304806203576106", "🔗 Ver Mapa")</f>
        <v>🔗 Ver Mapa</v>
      </c>
    </row>
    <row r="4529" spans="1:12" ht="43.5" x14ac:dyDescent="0.35">
      <c r="A4529" s="5" t="s">
        <v>98</v>
      </c>
      <c r="B4529" s="5" t="s">
        <v>99</v>
      </c>
      <c r="C4529" s="5" t="s">
        <v>928</v>
      </c>
      <c r="D4529" s="5" t="s">
        <v>14</v>
      </c>
      <c r="E4529" s="5" t="s">
        <v>16</v>
      </c>
      <c r="F4529" s="5" t="s">
        <v>19</v>
      </c>
      <c r="G4529" s="5" t="s">
        <v>929</v>
      </c>
      <c r="H4529" s="5" t="s">
        <v>930</v>
      </c>
      <c r="I4529" s="5" t="s">
        <v>31</v>
      </c>
      <c r="J4529" s="5">
        <v>17.181944096481999</v>
      </c>
      <c r="K4529" s="5">
        <v>-97.305367480984998</v>
      </c>
      <c r="L4529" s="5" t="str">
        <f>HYPERLINK("https://maps.google.com/?q=17.1819440964822,-97.305367480985495", "🔗 Ver Mapa")</f>
        <v>🔗 Ver Mapa</v>
      </c>
    </row>
    <row r="4530" spans="1:12" ht="43.5" x14ac:dyDescent="0.35">
      <c r="A4530" s="6" t="s">
        <v>98</v>
      </c>
      <c r="B4530" s="6" t="s">
        <v>99</v>
      </c>
      <c r="C4530" s="6" t="s">
        <v>928</v>
      </c>
      <c r="D4530" s="6" t="s">
        <v>14</v>
      </c>
      <c r="E4530" s="6" t="s">
        <v>16</v>
      </c>
      <c r="F4530" s="6" t="s">
        <v>19</v>
      </c>
      <c r="G4530" s="6" t="s">
        <v>929</v>
      </c>
      <c r="H4530" s="6" t="s">
        <v>930</v>
      </c>
      <c r="I4530" s="6" t="s">
        <v>31</v>
      </c>
      <c r="J4530" s="6">
        <v>17.181964107146001</v>
      </c>
      <c r="K4530" s="6">
        <v>-97.304999087886998</v>
      </c>
      <c r="L4530" s="6" t="str">
        <f>HYPERLINK("https://maps.google.com/?q=17.1819641071462,-97.304999087887396", "🔗 Ver Mapa")</f>
        <v>🔗 Ver Mapa</v>
      </c>
    </row>
    <row r="4531" spans="1:12" ht="43.5" x14ac:dyDescent="0.35">
      <c r="A4531" s="5" t="s">
        <v>98</v>
      </c>
      <c r="B4531" s="5" t="s">
        <v>99</v>
      </c>
      <c r="C4531" s="5" t="s">
        <v>928</v>
      </c>
      <c r="D4531" s="5" t="s">
        <v>14</v>
      </c>
      <c r="E4531" s="5" t="s">
        <v>16</v>
      </c>
      <c r="F4531" s="5" t="s">
        <v>19</v>
      </c>
      <c r="G4531" s="5" t="s">
        <v>929</v>
      </c>
      <c r="H4531" s="5" t="s">
        <v>930</v>
      </c>
      <c r="I4531" s="5" t="s">
        <v>31</v>
      </c>
      <c r="J4531" s="5">
        <v>17.181965002249999</v>
      </c>
      <c r="K4531" s="5">
        <v>-97.305153391193002</v>
      </c>
      <c r="L4531" s="5" t="str">
        <f>HYPERLINK("https://maps.google.com/?q=17.1819650022502,-97.305153391193201", "🔗 Ver Mapa")</f>
        <v>🔗 Ver Mapa</v>
      </c>
    </row>
    <row r="4532" spans="1:12" ht="43.5" x14ac:dyDescent="0.35">
      <c r="A4532" s="6" t="s">
        <v>98</v>
      </c>
      <c r="B4532" s="6" t="s">
        <v>99</v>
      </c>
      <c r="C4532" s="6" t="s">
        <v>928</v>
      </c>
      <c r="D4532" s="6" t="s">
        <v>14</v>
      </c>
      <c r="E4532" s="6" t="s">
        <v>16</v>
      </c>
      <c r="F4532" s="6" t="s">
        <v>19</v>
      </c>
      <c r="G4532" s="6" t="s">
        <v>929</v>
      </c>
      <c r="H4532" s="6" t="s">
        <v>930</v>
      </c>
      <c r="I4532" s="6" t="s">
        <v>31</v>
      </c>
      <c r="J4532" s="6">
        <v>17.18198008525</v>
      </c>
      <c r="K4532" s="6">
        <v>-97.304769604111002</v>
      </c>
      <c r="L4532" s="6" t="str">
        <f>HYPERLINK("https://maps.google.com/?q=17.1819800852498,-97.304769604110902", "🔗 Ver Mapa")</f>
        <v>🔗 Ver Mapa</v>
      </c>
    </row>
    <row r="4533" spans="1:12" ht="43.5" x14ac:dyDescent="0.35">
      <c r="A4533" s="5" t="s">
        <v>98</v>
      </c>
      <c r="B4533" s="5" t="s">
        <v>99</v>
      </c>
      <c r="C4533" s="5" t="s">
        <v>928</v>
      </c>
      <c r="D4533" s="5" t="s">
        <v>14</v>
      </c>
      <c r="E4533" s="5" t="s">
        <v>16</v>
      </c>
      <c r="F4533" s="5" t="s">
        <v>19</v>
      </c>
      <c r="G4533" s="5" t="s">
        <v>929</v>
      </c>
      <c r="H4533" s="5" t="s">
        <v>930</v>
      </c>
      <c r="I4533" s="5" t="s">
        <v>31</v>
      </c>
      <c r="J4533" s="5">
        <v>17.182444576357</v>
      </c>
      <c r="K4533" s="5">
        <v>-97.304285620290003</v>
      </c>
      <c r="L4533" s="5" t="str">
        <f>HYPERLINK("https://maps.google.com/?q=17.1824445763569,-97.304285620289605", "🔗 Ver Mapa")</f>
        <v>🔗 Ver Mapa</v>
      </c>
    </row>
    <row r="4534" spans="1:12" ht="43.5" x14ac:dyDescent="0.35">
      <c r="A4534" s="6" t="s">
        <v>98</v>
      </c>
      <c r="B4534" s="6" t="s">
        <v>99</v>
      </c>
      <c r="C4534" s="6" t="s">
        <v>928</v>
      </c>
      <c r="D4534" s="6" t="s">
        <v>14</v>
      </c>
      <c r="E4534" s="6" t="s">
        <v>16</v>
      </c>
      <c r="F4534" s="6" t="s">
        <v>19</v>
      </c>
      <c r="G4534" s="6" t="s">
        <v>929</v>
      </c>
      <c r="H4534" s="6" t="s">
        <v>930</v>
      </c>
      <c r="I4534" s="6" t="s">
        <v>31</v>
      </c>
      <c r="J4534" s="6">
        <v>17.182848956069002</v>
      </c>
      <c r="K4534" s="6">
        <v>-97.304256629465002</v>
      </c>
      <c r="L4534" s="6" t="str">
        <f>HYPERLINK("https://maps.google.com/?q=17.1828489560694,-97.304256629465002", "🔗 Ver Mapa")</f>
        <v>🔗 Ver Mapa</v>
      </c>
    </row>
    <row r="4535" spans="1:12" ht="43.5" x14ac:dyDescent="0.35">
      <c r="A4535" s="5" t="s">
        <v>98</v>
      </c>
      <c r="B4535" s="5" t="s">
        <v>99</v>
      </c>
      <c r="C4535" s="5" t="s">
        <v>928</v>
      </c>
      <c r="D4535" s="5" t="s">
        <v>14</v>
      </c>
      <c r="E4535" s="5" t="s">
        <v>16</v>
      </c>
      <c r="F4535" s="5" t="s">
        <v>19</v>
      </c>
      <c r="G4535" s="5" t="s">
        <v>929</v>
      </c>
      <c r="H4535" s="5" t="s">
        <v>930</v>
      </c>
      <c r="I4535" s="5" t="s">
        <v>31</v>
      </c>
      <c r="J4535" s="5">
        <v>17.183083471195001</v>
      </c>
      <c r="K4535" s="5">
        <v>-97.304127961971005</v>
      </c>
      <c r="L4535" s="5" t="str">
        <f>HYPERLINK("https://maps.google.com/?q=17.1830834711951,-97.304127961971403", "🔗 Ver Mapa")</f>
        <v>🔗 Ver Mapa</v>
      </c>
    </row>
    <row r="4536" spans="1:12" ht="43.5" x14ac:dyDescent="0.35">
      <c r="A4536" s="6" t="s">
        <v>98</v>
      </c>
      <c r="B4536" s="6" t="s">
        <v>99</v>
      </c>
      <c r="C4536" s="6" t="s">
        <v>928</v>
      </c>
      <c r="D4536" s="6" t="s">
        <v>14</v>
      </c>
      <c r="E4536" s="6" t="s">
        <v>16</v>
      </c>
      <c r="F4536" s="6" t="s">
        <v>19</v>
      </c>
      <c r="G4536" s="6" t="s">
        <v>929</v>
      </c>
      <c r="H4536" s="6" t="s">
        <v>930</v>
      </c>
      <c r="I4536" s="6" t="s">
        <v>31</v>
      </c>
      <c r="J4536" s="6">
        <v>17.183276705337001</v>
      </c>
      <c r="K4536" s="6">
        <v>-97.302804887790003</v>
      </c>
      <c r="L4536" s="6" t="str">
        <f>HYPERLINK("https://maps.google.com/?q=17.1832767053369,-97.302804887790103", "🔗 Ver Mapa")</f>
        <v>🔗 Ver Mapa</v>
      </c>
    </row>
    <row r="4537" spans="1:12" ht="43.5" x14ac:dyDescent="0.35">
      <c r="A4537" s="5" t="s">
        <v>98</v>
      </c>
      <c r="B4537" s="5" t="s">
        <v>99</v>
      </c>
      <c r="C4537" s="5" t="s">
        <v>928</v>
      </c>
      <c r="D4537" s="5" t="s">
        <v>14</v>
      </c>
      <c r="E4537" s="5" t="s">
        <v>16</v>
      </c>
      <c r="F4537" s="5" t="s">
        <v>19</v>
      </c>
      <c r="G4537" s="5" t="s">
        <v>929</v>
      </c>
      <c r="H4537" s="5" t="s">
        <v>930</v>
      </c>
      <c r="I4537" s="5" t="s">
        <v>31</v>
      </c>
      <c r="J4537" s="5">
        <v>17.18331309581</v>
      </c>
      <c r="K4537" s="5">
        <v>-97.302465218419997</v>
      </c>
      <c r="L4537" s="5" t="str">
        <f>HYPERLINK("https://maps.google.com/?q=17.1833130958104,-97.302465218419997", "🔗 Ver Mapa")</f>
        <v>🔗 Ver Mapa</v>
      </c>
    </row>
    <row r="4538" spans="1:12" ht="43.5" x14ac:dyDescent="0.35">
      <c r="A4538" s="6" t="s">
        <v>98</v>
      </c>
      <c r="B4538" s="6" t="s">
        <v>99</v>
      </c>
      <c r="C4538" s="6" t="s">
        <v>928</v>
      </c>
      <c r="D4538" s="6" t="s">
        <v>14</v>
      </c>
      <c r="E4538" s="6" t="s">
        <v>16</v>
      </c>
      <c r="F4538" s="6" t="s">
        <v>19</v>
      </c>
      <c r="G4538" s="6" t="s">
        <v>929</v>
      </c>
      <c r="H4538" s="6" t="s">
        <v>930</v>
      </c>
      <c r="I4538" s="6" t="s">
        <v>31</v>
      </c>
      <c r="J4538" s="6">
        <v>17.183497314322999</v>
      </c>
      <c r="K4538" s="6">
        <v>-97.302502652778998</v>
      </c>
      <c r="L4538" s="6" t="str">
        <f>HYPERLINK("https://maps.google.com/?q=17.1834973143235,-97.302502652778699", "🔗 Ver Mapa")</f>
        <v>🔗 Ver Mapa</v>
      </c>
    </row>
    <row r="4539" spans="1:12" ht="43.5" x14ac:dyDescent="0.35">
      <c r="A4539" s="5" t="s">
        <v>98</v>
      </c>
      <c r="B4539" s="5" t="s">
        <v>99</v>
      </c>
      <c r="C4539" s="5" t="s">
        <v>928</v>
      </c>
      <c r="D4539" s="5" t="s">
        <v>14</v>
      </c>
      <c r="E4539" s="5" t="s">
        <v>16</v>
      </c>
      <c r="F4539" s="5" t="s">
        <v>19</v>
      </c>
      <c r="G4539" s="5" t="s">
        <v>929</v>
      </c>
      <c r="H4539" s="5" t="s">
        <v>930</v>
      </c>
      <c r="I4539" s="5" t="s">
        <v>31</v>
      </c>
      <c r="J4539" s="5">
        <v>17.183705659124001</v>
      </c>
      <c r="K4539" s="5">
        <v>-97.302862720237997</v>
      </c>
      <c r="L4539" s="5" t="str">
        <f>HYPERLINK("https://maps.google.com/?q=17.1837056591241,-97.302862720237798", "🔗 Ver Mapa")</f>
        <v>🔗 Ver Mapa</v>
      </c>
    </row>
    <row r="4540" spans="1:12" ht="43.5" x14ac:dyDescent="0.35">
      <c r="A4540" s="6" t="s">
        <v>98</v>
      </c>
      <c r="B4540" s="6" t="s">
        <v>99</v>
      </c>
      <c r="C4540" s="6" t="s">
        <v>928</v>
      </c>
      <c r="D4540" s="6" t="s">
        <v>14</v>
      </c>
      <c r="E4540" s="6" t="s">
        <v>16</v>
      </c>
      <c r="F4540" s="6" t="s">
        <v>19</v>
      </c>
      <c r="G4540" s="6" t="s">
        <v>929</v>
      </c>
      <c r="H4540" s="6" t="s">
        <v>930</v>
      </c>
      <c r="I4540" s="6" t="s">
        <v>31</v>
      </c>
      <c r="J4540" s="6">
        <v>17.183757495144</v>
      </c>
      <c r="K4540" s="6">
        <v>-97.302548198528996</v>
      </c>
      <c r="L4540" s="6" t="str">
        <f>HYPERLINK("https://maps.google.com/?q=17.1837574951438,-97.302548198528896", "🔗 Ver Mapa")</f>
        <v>🔗 Ver Mapa</v>
      </c>
    </row>
    <row r="4541" spans="1:12" ht="43.5" x14ac:dyDescent="0.35">
      <c r="A4541" s="5" t="s">
        <v>98</v>
      </c>
      <c r="B4541" s="5" t="s">
        <v>99</v>
      </c>
      <c r="C4541" s="5" t="s">
        <v>928</v>
      </c>
      <c r="D4541" s="5" t="s">
        <v>14</v>
      </c>
      <c r="E4541" s="5" t="s">
        <v>16</v>
      </c>
      <c r="F4541" s="5" t="s">
        <v>19</v>
      </c>
      <c r="G4541" s="5" t="s">
        <v>929</v>
      </c>
      <c r="H4541" s="5" t="s">
        <v>930</v>
      </c>
      <c r="I4541" s="5" t="s">
        <v>31</v>
      </c>
      <c r="J4541" s="5">
        <v>17.184131442712001</v>
      </c>
      <c r="K4541" s="5">
        <v>-97.303964029430006</v>
      </c>
      <c r="L4541" s="5" t="str">
        <f>HYPERLINK("https://maps.google.com/?q=17.1841314427122,-97.303964029430404", "🔗 Ver Mapa")</f>
        <v>🔗 Ver Mapa</v>
      </c>
    </row>
    <row r="4542" spans="1:12" ht="43.5" x14ac:dyDescent="0.35">
      <c r="A4542" s="6" t="s">
        <v>98</v>
      </c>
      <c r="B4542" s="6" t="s">
        <v>99</v>
      </c>
      <c r="C4542" s="6" t="s">
        <v>928</v>
      </c>
      <c r="D4542" s="6" t="s">
        <v>14</v>
      </c>
      <c r="E4542" s="6" t="s">
        <v>16</v>
      </c>
      <c r="F4542" s="6" t="s">
        <v>19</v>
      </c>
      <c r="G4542" s="6" t="s">
        <v>929</v>
      </c>
      <c r="H4542" s="6" t="s">
        <v>930</v>
      </c>
      <c r="I4542" s="6" t="s">
        <v>31</v>
      </c>
      <c r="J4542" s="6">
        <v>17.184144429366999</v>
      </c>
      <c r="K4542" s="6">
        <v>-97.302569656201001</v>
      </c>
      <c r="L4542" s="6" t="str">
        <f>HYPERLINK("https://maps.google.com/?q=17.1841444293674,-97.302569656201001", "🔗 Ver Mapa")</f>
        <v>🔗 Ver Mapa</v>
      </c>
    </row>
    <row r="4543" spans="1:12" ht="43.5" x14ac:dyDescent="0.35">
      <c r="A4543" s="5" t="s">
        <v>98</v>
      </c>
      <c r="B4543" s="5" t="s">
        <v>99</v>
      </c>
      <c r="C4543" s="5" t="s">
        <v>928</v>
      </c>
      <c r="D4543" s="5" t="s">
        <v>14</v>
      </c>
      <c r="E4543" s="5" t="s">
        <v>16</v>
      </c>
      <c r="F4543" s="5" t="s">
        <v>19</v>
      </c>
      <c r="G4543" s="5" t="s">
        <v>929</v>
      </c>
      <c r="H4543" s="5" t="s">
        <v>930</v>
      </c>
      <c r="I4543" s="5" t="s">
        <v>31</v>
      </c>
      <c r="J4543" s="5">
        <v>17.184366988718001</v>
      </c>
      <c r="K4543" s="5">
        <v>-97.303999196766</v>
      </c>
      <c r="L4543" s="5" t="str">
        <f>HYPERLINK("https://maps.google.com/?q=17.1843669887178,-97.303999196766", "🔗 Ver Mapa")</f>
        <v>🔗 Ver Mapa</v>
      </c>
    </row>
    <row r="4544" spans="1:12" ht="43.5" x14ac:dyDescent="0.35">
      <c r="A4544" s="6" t="s">
        <v>98</v>
      </c>
      <c r="B4544" s="6" t="s">
        <v>99</v>
      </c>
      <c r="C4544" s="6" t="s">
        <v>928</v>
      </c>
      <c r="D4544" s="6" t="s">
        <v>14</v>
      </c>
      <c r="E4544" s="6" t="s">
        <v>16</v>
      </c>
      <c r="F4544" s="6" t="s">
        <v>19</v>
      </c>
      <c r="G4544" s="6" t="s">
        <v>929</v>
      </c>
      <c r="H4544" s="6" t="s">
        <v>930</v>
      </c>
      <c r="I4544" s="6" t="s">
        <v>31</v>
      </c>
      <c r="J4544" s="6">
        <v>17.184383489567999</v>
      </c>
      <c r="K4544" s="6">
        <v>-97.303644187017994</v>
      </c>
      <c r="L4544" s="6" t="str">
        <f>HYPERLINK("https://maps.google.com/?q=17.1843834895685,-97.303644187018193", "🔗 Ver Mapa")</f>
        <v>🔗 Ver Mapa</v>
      </c>
    </row>
    <row r="4545" spans="1:12" ht="43.5" x14ac:dyDescent="0.35">
      <c r="A4545" s="5" t="s">
        <v>98</v>
      </c>
      <c r="B4545" s="5" t="s">
        <v>99</v>
      </c>
      <c r="C4545" s="5" t="s">
        <v>928</v>
      </c>
      <c r="D4545" s="5" t="s">
        <v>14</v>
      </c>
      <c r="E4545" s="5" t="s">
        <v>16</v>
      </c>
      <c r="F4545" s="5" t="s">
        <v>19</v>
      </c>
      <c r="G4545" s="5" t="s">
        <v>929</v>
      </c>
      <c r="H4545" s="5" t="s">
        <v>930</v>
      </c>
      <c r="I4545" s="5" t="s">
        <v>31</v>
      </c>
      <c r="J4545" s="5">
        <v>17.184574550728001</v>
      </c>
      <c r="K4545" s="5">
        <v>-97.304021460730993</v>
      </c>
      <c r="L4545" s="5" t="str">
        <f>HYPERLINK("https://maps.google.com/?q=17.1845745507279,-97.304021460730695", "🔗 Ver Mapa")</f>
        <v>🔗 Ver Mapa</v>
      </c>
    </row>
    <row r="4546" spans="1:12" ht="43.5" x14ac:dyDescent="0.35">
      <c r="A4546" s="6" t="s">
        <v>98</v>
      </c>
      <c r="B4546" s="6" t="s">
        <v>99</v>
      </c>
      <c r="C4546" s="6" t="s">
        <v>928</v>
      </c>
      <c r="D4546" s="6" t="s">
        <v>14</v>
      </c>
      <c r="E4546" s="6" t="s">
        <v>16</v>
      </c>
      <c r="F4546" s="6" t="s">
        <v>19</v>
      </c>
      <c r="G4546" s="6" t="s">
        <v>929</v>
      </c>
      <c r="H4546" s="6" t="s">
        <v>930</v>
      </c>
      <c r="I4546" s="6" t="s">
        <v>31</v>
      </c>
      <c r="J4546" s="6">
        <v>17.184576064451001</v>
      </c>
      <c r="K4546" s="6">
        <v>-97.303651856483</v>
      </c>
      <c r="L4546" s="6" t="str">
        <f>HYPERLINK("https://maps.google.com/?q=17.1845760644513,-97.303651856483299", "🔗 Ver Mapa")</f>
        <v>🔗 Ver Mapa</v>
      </c>
    </row>
    <row r="4547" spans="1:12" ht="43.5" x14ac:dyDescent="0.35">
      <c r="A4547" s="5" t="s">
        <v>98</v>
      </c>
      <c r="B4547" s="5" t="s">
        <v>99</v>
      </c>
      <c r="C4547" s="5" t="s">
        <v>928</v>
      </c>
      <c r="D4547" s="5" t="s">
        <v>14</v>
      </c>
      <c r="E4547" s="5" t="s">
        <v>16</v>
      </c>
      <c r="F4547" s="5" t="s">
        <v>19</v>
      </c>
      <c r="G4547" s="5" t="s">
        <v>929</v>
      </c>
      <c r="H4547" s="5" t="s">
        <v>930</v>
      </c>
      <c r="I4547" s="5" t="s">
        <v>31</v>
      </c>
      <c r="J4547" s="5">
        <v>17.184583862326001</v>
      </c>
      <c r="K4547" s="5">
        <v>-97.302916457671998</v>
      </c>
      <c r="L4547" s="5" t="str">
        <f>HYPERLINK("https://maps.google.com/?q=17.1845838623262,-97.302916457672097", "🔗 Ver Mapa")</f>
        <v>🔗 Ver Mapa</v>
      </c>
    </row>
    <row r="4548" spans="1:12" ht="43.5" x14ac:dyDescent="0.35">
      <c r="A4548" s="6" t="s">
        <v>98</v>
      </c>
      <c r="B4548" s="6" t="s">
        <v>99</v>
      </c>
      <c r="C4548" s="6" t="s">
        <v>928</v>
      </c>
      <c r="D4548" s="6" t="s">
        <v>14</v>
      </c>
      <c r="E4548" s="6" t="s">
        <v>16</v>
      </c>
      <c r="F4548" s="6" t="s">
        <v>19</v>
      </c>
      <c r="G4548" s="6" t="s">
        <v>929</v>
      </c>
      <c r="H4548" s="6" t="s">
        <v>930</v>
      </c>
      <c r="I4548" s="6" t="s">
        <v>31</v>
      </c>
      <c r="J4548" s="6">
        <v>17.184688030768001</v>
      </c>
      <c r="K4548" s="6">
        <v>-97.303030346471004</v>
      </c>
      <c r="L4548" s="6" t="str">
        <f>HYPERLINK("https://maps.google.com/?q=17.1846880307675,-97.303030346471004", "🔗 Ver Mapa")</f>
        <v>🔗 Ver Mapa</v>
      </c>
    </row>
    <row r="4549" spans="1:12" ht="43.5" x14ac:dyDescent="0.35">
      <c r="A4549" s="5" t="s">
        <v>98</v>
      </c>
      <c r="B4549" s="5" t="s">
        <v>99</v>
      </c>
      <c r="C4549" s="5" t="s">
        <v>928</v>
      </c>
      <c r="D4549" s="5" t="s">
        <v>14</v>
      </c>
      <c r="E4549" s="5" t="s">
        <v>16</v>
      </c>
      <c r="F4549" s="5" t="s">
        <v>19</v>
      </c>
      <c r="G4549" s="5" t="s">
        <v>929</v>
      </c>
      <c r="H4549" s="5" t="s">
        <v>930</v>
      </c>
      <c r="I4549" s="5" t="s">
        <v>31</v>
      </c>
      <c r="J4549" s="5">
        <v>17.184880910848999</v>
      </c>
      <c r="K4549" s="5">
        <v>-97.304086440475004</v>
      </c>
      <c r="L4549" s="5" t="str">
        <f>HYPERLINK("https://maps.google.com/?q=17.1848809108486,-97.304086440475302", "🔗 Ver Mapa")</f>
        <v>🔗 Ver Mapa</v>
      </c>
    </row>
    <row r="4550" spans="1:12" ht="43.5" x14ac:dyDescent="0.35">
      <c r="A4550" s="6" t="s">
        <v>98</v>
      </c>
      <c r="B4550" s="6" t="s">
        <v>99</v>
      </c>
      <c r="C4550" s="6" t="s">
        <v>928</v>
      </c>
      <c r="D4550" s="6" t="s">
        <v>14</v>
      </c>
      <c r="E4550" s="6" t="s">
        <v>16</v>
      </c>
      <c r="F4550" s="6" t="s">
        <v>19</v>
      </c>
      <c r="G4550" s="6" t="s">
        <v>929</v>
      </c>
      <c r="H4550" s="6" t="s">
        <v>930</v>
      </c>
      <c r="I4550" s="6" t="s">
        <v>31</v>
      </c>
      <c r="J4550" s="6">
        <v>17.184986159585002</v>
      </c>
      <c r="K4550" s="6">
        <v>-97.303441495700994</v>
      </c>
      <c r="L4550" s="6" t="str">
        <f>HYPERLINK("https://maps.google.com/?q=17.1849861595845,-97.303441495700795", "🔗 Ver Mapa")</f>
        <v>🔗 Ver Mapa</v>
      </c>
    </row>
    <row r="4551" spans="1:12" ht="43.5" x14ac:dyDescent="0.35">
      <c r="A4551" s="5" t="s">
        <v>98</v>
      </c>
      <c r="B4551" s="5" t="s">
        <v>99</v>
      </c>
      <c r="C4551" s="5" t="s">
        <v>928</v>
      </c>
      <c r="D4551" s="5" t="s">
        <v>14</v>
      </c>
      <c r="E4551" s="5" t="s">
        <v>16</v>
      </c>
      <c r="F4551" s="5" t="s">
        <v>19</v>
      </c>
      <c r="G4551" s="5" t="s">
        <v>929</v>
      </c>
      <c r="H4551" s="5" t="s">
        <v>930</v>
      </c>
      <c r="I4551" s="5" t="s">
        <v>31</v>
      </c>
      <c r="J4551" s="5">
        <v>17.185018792208002</v>
      </c>
      <c r="K4551" s="5">
        <v>-97.303584126665001</v>
      </c>
      <c r="L4551" s="5" t="str">
        <f>HYPERLINK("https://maps.google.com/?q=17.1850187922075,-97.303584126665001", "🔗 Ver Mapa")</f>
        <v>🔗 Ver Mapa</v>
      </c>
    </row>
    <row r="4552" spans="1:12" ht="43.5" x14ac:dyDescent="0.35">
      <c r="A4552" s="6" t="s">
        <v>98</v>
      </c>
      <c r="B4552" s="6" t="s">
        <v>99</v>
      </c>
      <c r="C4552" s="6" t="s">
        <v>928</v>
      </c>
      <c r="D4552" s="6" t="s">
        <v>14</v>
      </c>
      <c r="E4552" s="6" t="s">
        <v>16</v>
      </c>
      <c r="F4552" s="6" t="s">
        <v>19</v>
      </c>
      <c r="G4552" s="6" t="s">
        <v>929</v>
      </c>
      <c r="H4552" s="6" t="s">
        <v>930</v>
      </c>
      <c r="I4552" s="6" t="s">
        <v>31</v>
      </c>
      <c r="J4552" s="6">
        <v>17.185046041804</v>
      </c>
      <c r="K4552" s="6">
        <v>-97.303116746289007</v>
      </c>
      <c r="L4552" s="6" t="str">
        <f>HYPERLINK("https://maps.google.com/?q=17.1850460418039,-97.303116746288893", "🔗 Ver Mapa")</f>
        <v>🔗 Ver Mapa</v>
      </c>
    </row>
    <row r="4553" spans="1:12" ht="43.5" x14ac:dyDescent="0.35">
      <c r="A4553" s="5" t="s">
        <v>98</v>
      </c>
      <c r="B4553" s="5" t="s">
        <v>99</v>
      </c>
      <c r="C4553" s="5" t="s">
        <v>928</v>
      </c>
      <c r="D4553" s="5" t="s">
        <v>14</v>
      </c>
      <c r="E4553" s="5" t="s">
        <v>16</v>
      </c>
      <c r="F4553" s="5" t="s">
        <v>19</v>
      </c>
      <c r="G4553" s="5" t="s">
        <v>929</v>
      </c>
      <c r="H4553" s="5" t="s">
        <v>930</v>
      </c>
      <c r="I4553" s="5" t="s">
        <v>31</v>
      </c>
      <c r="J4553" s="5">
        <v>17.185055744576001</v>
      </c>
      <c r="K4553" s="5">
        <v>-97.302870755035002</v>
      </c>
      <c r="L4553" s="5" t="str">
        <f>HYPERLINK("https://maps.google.com/?q=17.185055744576,-97.302870755034704", "🔗 Ver Mapa")</f>
        <v>🔗 Ver Mapa</v>
      </c>
    </row>
    <row r="4554" spans="1:12" ht="43.5" x14ac:dyDescent="0.35">
      <c r="A4554" s="6" t="s">
        <v>98</v>
      </c>
      <c r="B4554" s="6" t="s">
        <v>99</v>
      </c>
      <c r="C4554" s="6" t="s">
        <v>928</v>
      </c>
      <c r="D4554" s="6" t="s">
        <v>14</v>
      </c>
      <c r="E4554" s="6" t="s">
        <v>16</v>
      </c>
      <c r="F4554" s="6" t="s">
        <v>19</v>
      </c>
      <c r="G4554" s="6" t="s">
        <v>929</v>
      </c>
      <c r="H4554" s="6" t="s">
        <v>930</v>
      </c>
      <c r="I4554" s="6" t="s">
        <v>31</v>
      </c>
      <c r="J4554" s="6">
        <v>17.185132816867998</v>
      </c>
      <c r="K4554" s="6">
        <v>-97.304028991402006</v>
      </c>
      <c r="L4554" s="6" t="str">
        <f>HYPERLINK("https://maps.google.com/?q=17.1851328168676,-97.304028991401594", "🔗 Ver Mapa")</f>
        <v>🔗 Ver Mapa</v>
      </c>
    </row>
    <row r="4555" spans="1:12" ht="43.5" x14ac:dyDescent="0.35">
      <c r="A4555" s="5" t="s">
        <v>98</v>
      </c>
      <c r="B4555" s="5" t="s">
        <v>99</v>
      </c>
      <c r="C4555" s="5" t="s">
        <v>928</v>
      </c>
      <c r="D4555" s="5" t="s">
        <v>14</v>
      </c>
      <c r="E4555" s="5" t="s">
        <v>16</v>
      </c>
      <c r="F4555" s="5" t="s">
        <v>19</v>
      </c>
      <c r="G4555" s="5" t="s">
        <v>929</v>
      </c>
      <c r="H4555" s="5" t="s">
        <v>930</v>
      </c>
      <c r="I4555" s="5" t="s">
        <v>31</v>
      </c>
      <c r="J4555" s="5">
        <v>17.185213034718998</v>
      </c>
      <c r="K4555" s="5">
        <v>-97.303538466269998</v>
      </c>
      <c r="L4555" s="5" t="str">
        <f>HYPERLINK("https://maps.google.com/?q=17.1852130347192,-97.303538466270496", "🔗 Ver Mapa")</f>
        <v>🔗 Ver Mapa</v>
      </c>
    </row>
    <row r="4556" spans="1:12" ht="43.5" x14ac:dyDescent="0.35">
      <c r="A4556" s="6" t="s">
        <v>98</v>
      </c>
      <c r="B4556" s="6" t="s">
        <v>99</v>
      </c>
      <c r="C4556" s="6" t="s">
        <v>928</v>
      </c>
      <c r="D4556" s="6" t="s">
        <v>14</v>
      </c>
      <c r="E4556" s="6" t="s">
        <v>16</v>
      </c>
      <c r="F4556" s="6" t="s">
        <v>19</v>
      </c>
      <c r="G4556" s="6" t="s">
        <v>929</v>
      </c>
      <c r="H4556" s="6" t="s">
        <v>930</v>
      </c>
      <c r="I4556" s="6" t="s">
        <v>31</v>
      </c>
      <c r="J4556" s="6">
        <v>17.185304501739001</v>
      </c>
      <c r="K4556" s="6">
        <v>-97.303896222055002</v>
      </c>
      <c r="L4556" s="6" t="str">
        <f>HYPERLINK("https://maps.google.com/?q=17.1853045017391,-97.3038962220554", "🔗 Ver Mapa")</f>
        <v>🔗 Ver Mapa</v>
      </c>
    </row>
    <row r="4557" spans="1:12" ht="43.5" x14ac:dyDescent="0.35">
      <c r="A4557" s="5" t="s">
        <v>98</v>
      </c>
      <c r="B4557" s="5" t="s">
        <v>99</v>
      </c>
      <c r="C4557" s="5" t="s">
        <v>928</v>
      </c>
      <c r="D4557" s="5" t="s">
        <v>14</v>
      </c>
      <c r="E4557" s="5" t="s">
        <v>16</v>
      </c>
      <c r="F4557" s="5" t="s">
        <v>19</v>
      </c>
      <c r="G4557" s="5" t="s">
        <v>929</v>
      </c>
      <c r="H4557" s="5" t="s">
        <v>930</v>
      </c>
      <c r="I4557" s="5" t="s">
        <v>31</v>
      </c>
      <c r="J4557" s="5">
        <v>17.185332693724</v>
      </c>
      <c r="K4557" s="5">
        <v>-97.303341386748997</v>
      </c>
      <c r="L4557" s="5" t="str">
        <f>HYPERLINK("https://maps.google.com/?q=17.1853326937243,-97.303341386749196", "🔗 Ver Mapa")</f>
        <v>🔗 Ver Mapa</v>
      </c>
    </row>
    <row r="4558" spans="1:12" ht="43.5" x14ac:dyDescent="0.35">
      <c r="A4558" s="6" t="s">
        <v>98</v>
      </c>
      <c r="B4558" s="6" t="s">
        <v>99</v>
      </c>
      <c r="C4558" s="6" t="s">
        <v>928</v>
      </c>
      <c r="D4558" s="6" t="s">
        <v>14</v>
      </c>
      <c r="E4558" s="6" t="s">
        <v>16</v>
      </c>
      <c r="F4558" s="6" t="s">
        <v>19</v>
      </c>
      <c r="G4558" s="6" t="s">
        <v>929</v>
      </c>
      <c r="H4558" s="6" t="s">
        <v>930</v>
      </c>
      <c r="I4558" s="6" t="s">
        <v>31</v>
      </c>
      <c r="J4558" s="6">
        <v>17.185386909243</v>
      </c>
      <c r="K4558" s="6">
        <v>-97.303919347846005</v>
      </c>
      <c r="L4558" s="6" t="str">
        <f>HYPERLINK("https://maps.google.com/?q=17.185386909243,-97.303919347845806", "🔗 Ver Mapa")</f>
        <v>🔗 Ver Mapa</v>
      </c>
    </row>
    <row r="4559" spans="1:12" ht="43.5" x14ac:dyDescent="0.35">
      <c r="A4559" s="5" t="s">
        <v>98</v>
      </c>
      <c r="B4559" s="5" t="s">
        <v>99</v>
      </c>
      <c r="C4559" s="5" t="s">
        <v>928</v>
      </c>
      <c r="D4559" s="5" t="s">
        <v>14</v>
      </c>
      <c r="E4559" s="5" t="s">
        <v>16</v>
      </c>
      <c r="F4559" s="5" t="s">
        <v>19</v>
      </c>
      <c r="G4559" s="5" t="s">
        <v>929</v>
      </c>
      <c r="H4559" s="5" t="s">
        <v>930</v>
      </c>
      <c r="I4559" s="5" t="s">
        <v>31</v>
      </c>
      <c r="J4559" s="5">
        <v>17.185436658674998</v>
      </c>
      <c r="K4559" s="5">
        <v>-97.303489961970996</v>
      </c>
      <c r="L4559" s="5" t="str">
        <f>HYPERLINK("https://maps.google.com/?q=17.185436658675,-97.303489961971295", "🔗 Ver Mapa")</f>
        <v>🔗 Ver Mapa</v>
      </c>
    </row>
    <row r="4560" spans="1:12" ht="43.5" x14ac:dyDescent="0.35">
      <c r="A4560" s="6" t="s">
        <v>98</v>
      </c>
      <c r="B4560" s="6" t="s">
        <v>99</v>
      </c>
      <c r="C4560" s="6" t="s">
        <v>928</v>
      </c>
      <c r="D4560" s="6" t="s">
        <v>14</v>
      </c>
      <c r="E4560" s="6" t="s">
        <v>16</v>
      </c>
      <c r="F4560" s="6" t="s">
        <v>19</v>
      </c>
      <c r="G4560" s="6" t="s">
        <v>929</v>
      </c>
      <c r="H4560" s="6" t="s">
        <v>930</v>
      </c>
      <c r="I4560" s="6" t="s">
        <v>31</v>
      </c>
      <c r="J4560" s="6">
        <v>17.185534924540999</v>
      </c>
      <c r="K4560" s="6">
        <v>-97.303843055802005</v>
      </c>
      <c r="L4560" s="6" t="str">
        <f>HYPERLINK("https://maps.google.com/?q=17.1855349245413,-97.303843055802304", "🔗 Ver Mapa")</f>
        <v>🔗 Ver Mapa</v>
      </c>
    </row>
    <row r="4561" spans="1:12" ht="43.5" x14ac:dyDescent="0.35">
      <c r="A4561" s="5" t="s">
        <v>98</v>
      </c>
      <c r="B4561" s="5" t="s">
        <v>99</v>
      </c>
      <c r="C4561" s="5" t="s">
        <v>928</v>
      </c>
      <c r="D4561" s="5" t="s">
        <v>14</v>
      </c>
      <c r="E4561" s="5" t="s">
        <v>16</v>
      </c>
      <c r="F4561" s="5" t="s">
        <v>19</v>
      </c>
      <c r="G4561" s="5" t="s">
        <v>929</v>
      </c>
      <c r="H4561" s="5" t="s">
        <v>930</v>
      </c>
      <c r="I4561" s="5" t="s">
        <v>31</v>
      </c>
      <c r="J4561" s="5">
        <v>17.185649814257999</v>
      </c>
      <c r="K4561" s="5">
        <v>-97.303438798776995</v>
      </c>
      <c r="L4561" s="5" t="str">
        <f>HYPERLINK("https://maps.google.com/?q=17.1856498142577,-97.303438798776696", "🔗 Ver Mapa")</f>
        <v>🔗 Ver Mapa</v>
      </c>
    </row>
    <row r="4562" spans="1:12" ht="43.5" x14ac:dyDescent="0.35">
      <c r="A4562" s="6" t="s">
        <v>98</v>
      </c>
      <c r="B4562" s="6" t="s">
        <v>99</v>
      </c>
      <c r="C4562" s="6" t="s">
        <v>928</v>
      </c>
      <c r="D4562" s="6" t="s">
        <v>14</v>
      </c>
      <c r="E4562" s="6" t="s">
        <v>16</v>
      </c>
      <c r="F4562" s="6" t="s">
        <v>19</v>
      </c>
      <c r="G4562" s="6" t="s">
        <v>929</v>
      </c>
      <c r="H4562" s="6" t="s">
        <v>930</v>
      </c>
      <c r="I4562" s="6" t="s">
        <v>31</v>
      </c>
      <c r="J4562" s="6">
        <v>17.185734801586001</v>
      </c>
      <c r="K4562" s="6">
        <v>-97.303745157286002</v>
      </c>
      <c r="L4562" s="6" t="str">
        <f>HYPERLINK("https://maps.google.com/?q=17.1857348015855,-97.303745157285704", "🔗 Ver Mapa")</f>
        <v>🔗 Ver Mapa</v>
      </c>
    </row>
    <row r="4563" spans="1:12" ht="43.5" x14ac:dyDescent="0.35">
      <c r="A4563" s="5" t="s">
        <v>98</v>
      </c>
      <c r="B4563" s="5" t="s">
        <v>99</v>
      </c>
      <c r="C4563" s="5" t="s">
        <v>928</v>
      </c>
      <c r="D4563" s="5" t="s">
        <v>14</v>
      </c>
      <c r="E4563" s="5" t="s">
        <v>16</v>
      </c>
      <c r="F4563" s="5" t="s">
        <v>19</v>
      </c>
      <c r="G4563" s="5" t="s">
        <v>929</v>
      </c>
      <c r="H4563" s="5" t="s">
        <v>930</v>
      </c>
      <c r="I4563" s="5" t="s">
        <v>31</v>
      </c>
      <c r="J4563" s="5">
        <v>17.185855043657</v>
      </c>
      <c r="K4563" s="5">
        <v>-97.303818200858004</v>
      </c>
      <c r="L4563" s="5" t="str">
        <f>HYPERLINK("https://maps.google.com/?q=17.1858550436574,-97.303818200857606", "🔗 Ver Mapa")</f>
        <v>🔗 Ver Mapa</v>
      </c>
    </row>
    <row r="4564" spans="1:12" ht="43.5" x14ac:dyDescent="0.35">
      <c r="A4564" s="6" t="s">
        <v>98</v>
      </c>
      <c r="B4564" s="6" t="s">
        <v>99</v>
      </c>
      <c r="C4564" s="6" t="s">
        <v>928</v>
      </c>
      <c r="D4564" s="6" t="s">
        <v>14</v>
      </c>
      <c r="E4564" s="6" t="s">
        <v>16</v>
      </c>
      <c r="F4564" s="6" t="s">
        <v>19</v>
      </c>
      <c r="G4564" s="6" t="s">
        <v>929</v>
      </c>
      <c r="H4564" s="6" t="s">
        <v>930</v>
      </c>
      <c r="I4564" s="6" t="s">
        <v>31</v>
      </c>
      <c r="J4564" s="6">
        <v>17.185857799318999</v>
      </c>
      <c r="K4564" s="6">
        <v>-97.303373671336999</v>
      </c>
      <c r="L4564" s="6" t="str">
        <f>HYPERLINK("https://maps.google.com/?q=17.1858577993188,-97.303373671337297", "🔗 Ver Mapa")</f>
        <v>🔗 Ver Mapa</v>
      </c>
    </row>
    <row r="4565" spans="1:12" ht="43.5" x14ac:dyDescent="0.35">
      <c r="A4565" s="5" t="s">
        <v>98</v>
      </c>
      <c r="B4565" s="5" t="s">
        <v>99</v>
      </c>
      <c r="C4565" s="5" t="s">
        <v>928</v>
      </c>
      <c r="D4565" s="5" t="s">
        <v>14</v>
      </c>
      <c r="E4565" s="5" t="s">
        <v>16</v>
      </c>
      <c r="F4565" s="5" t="s">
        <v>19</v>
      </c>
      <c r="G4565" s="5" t="s">
        <v>929</v>
      </c>
      <c r="H4565" s="5" t="s">
        <v>930</v>
      </c>
      <c r="I4565" s="5" t="s">
        <v>31</v>
      </c>
      <c r="J4565" s="5">
        <v>17.185971182229</v>
      </c>
      <c r="K4565" s="5">
        <v>-97.303702239828993</v>
      </c>
      <c r="L4565" s="5" t="str">
        <f>HYPERLINK("https://maps.google.com/?q=17.1859711822286,-97.303702239829093", "🔗 Ver Mapa")</f>
        <v>🔗 Ver Mapa</v>
      </c>
    </row>
    <row r="4566" spans="1:12" ht="43.5" x14ac:dyDescent="0.35">
      <c r="A4566" s="6" t="s">
        <v>98</v>
      </c>
      <c r="B4566" s="6" t="s">
        <v>99</v>
      </c>
      <c r="C4566" s="6" t="s">
        <v>928</v>
      </c>
      <c r="D4566" s="6" t="s">
        <v>14</v>
      </c>
      <c r="E4566" s="6" t="s">
        <v>16</v>
      </c>
      <c r="F4566" s="6" t="s">
        <v>19</v>
      </c>
      <c r="G4566" s="6" t="s">
        <v>929</v>
      </c>
      <c r="H4566" s="6" t="s">
        <v>930</v>
      </c>
      <c r="I4566" s="6" t="s">
        <v>31</v>
      </c>
      <c r="J4566" s="6">
        <v>17.186076883276002</v>
      </c>
      <c r="K4566" s="6">
        <v>-97.303301249580997</v>
      </c>
      <c r="L4566" s="6" t="str">
        <f>HYPERLINK("https://maps.google.com/?q=17.1860768832758,-97.303301249581494", "🔗 Ver Mapa")</f>
        <v>🔗 Ver Mapa</v>
      </c>
    </row>
    <row r="4567" spans="1:12" ht="43.5" x14ac:dyDescent="0.35">
      <c r="A4567" s="5" t="s">
        <v>98</v>
      </c>
      <c r="B4567" s="5" t="s">
        <v>99</v>
      </c>
      <c r="C4567" s="5" t="s">
        <v>928</v>
      </c>
      <c r="D4567" s="5" t="s">
        <v>14</v>
      </c>
      <c r="E4567" s="5" t="s">
        <v>16</v>
      </c>
      <c r="F4567" s="5" t="s">
        <v>19</v>
      </c>
      <c r="G4567" s="5" t="s">
        <v>929</v>
      </c>
      <c r="H4567" s="5" t="s">
        <v>930</v>
      </c>
      <c r="I4567" s="5" t="s">
        <v>31</v>
      </c>
      <c r="J4567" s="5">
        <v>17.186157219414</v>
      </c>
      <c r="K4567" s="5">
        <v>-97.303648061342003</v>
      </c>
      <c r="L4567" s="5" t="str">
        <f>HYPERLINK("https://maps.google.com/?q=17.1861572194142,-97.303648061342102", "🔗 Ver Mapa")</f>
        <v>🔗 Ver Mapa</v>
      </c>
    </row>
    <row r="4568" spans="1:12" ht="43.5" x14ac:dyDescent="0.35">
      <c r="A4568" s="6" t="s">
        <v>98</v>
      </c>
      <c r="B4568" s="6" t="s">
        <v>99</v>
      </c>
      <c r="C4568" s="6" t="s">
        <v>928</v>
      </c>
      <c r="D4568" s="6" t="s">
        <v>14</v>
      </c>
      <c r="E4568" s="6" t="s">
        <v>16</v>
      </c>
      <c r="F4568" s="6" t="s">
        <v>19</v>
      </c>
      <c r="G4568" s="6" t="s">
        <v>929</v>
      </c>
      <c r="H4568" s="6" t="s">
        <v>930</v>
      </c>
      <c r="I4568" s="6" t="s">
        <v>31</v>
      </c>
      <c r="J4568" s="6">
        <v>17.186295518419001</v>
      </c>
      <c r="K4568" s="6">
        <v>-97.303178434358998</v>
      </c>
      <c r="L4568" s="6" t="str">
        <f>HYPERLINK("https://maps.google.com/?q=17.1862955184187,-97.3031784343586", "🔗 Ver Mapa")</f>
        <v>🔗 Ver Mapa</v>
      </c>
    </row>
    <row r="4569" spans="1:12" ht="43.5" x14ac:dyDescent="0.35">
      <c r="A4569" s="5" t="s">
        <v>98</v>
      </c>
      <c r="B4569" s="5" t="s">
        <v>99</v>
      </c>
      <c r="C4569" s="5" t="s">
        <v>928</v>
      </c>
      <c r="D4569" s="5" t="s">
        <v>14</v>
      </c>
      <c r="E4569" s="5" t="s">
        <v>16</v>
      </c>
      <c r="F4569" s="5" t="s">
        <v>19</v>
      </c>
      <c r="G4569" s="5" t="s">
        <v>929</v>
      </c>
      <c r="H4569" s="5" t="s">
        <v>930</v>
      </c>
      <c r="I4569" s="5" t="s">
        <v>31</v>
      </c>
      <c r="J4569" s="5">
        <v>17.186399874321999</v>
      </c>
      <c r="K4569" s="5">
        <v>-97.303682883432003</v>
      </c>
      <c r="L4569" s="5" t="str">
        <f>HYPERLINK("https://maps.google.com/?q=17.1863998743219,-97.303682883432401", "🔗 Ver Mapa")</f>
        <v>🔗 Ver Mapa</v>
      </c>
    </row>
    <row r="4570" spans="1:12" ht="43.5" x14ac:dyDescent="0.35">
      <c r="A4570" s="6" t="s">
        <v>98</v>
      </c>
      <c r="B4570" s="6" t="s">
        <v>99</v>
      </c>
      <c r="C4570" s="6" t="s">
        <v>931</v>
      </c>
      <c r="D4570" s="6" t="s">
        <v>14</v>
      </c>
      <c r="E4570" s="6" t="s">
        <v>52</v>
      </c>
      <c r="F4570" s="6" t="s">
        <v>421</v>
      </c>
      <c r="G4570" s="6" t="s">
        <v>932</v>
      </c>
      <c r="H4570" s="6" t="s">
        <v>933</v>
      </c>
      <c r="I4570" s="6" t="s">
        <v>31</v>
      </c>
      <c r="J4570" s="6">
        <v>16.55189</v>
      </c>
      <c r="K4570" s="6">
        <v>-96.817926999999997</v>
      </c>
      <c r="L4570" s="6" t="str">
        <f>HYPERLINK("https://maps.google.com/?q=16.55189,-96.817926999999997", "🔗 Ver Mapa")</f>
        <v>🔗 Ver Mapa</v>
      </c>
    </row>
    <row r="4571" spans="1:12" ht="43.5" x14ac:dyDescent="0.35">
      <c r="A4571" s="5" t="s">
        <v>98</v>
      </c>
      <c r="B4571" s="5" t="s">
        <v>99</v>
      </c>
      <c r="C4571" s="5" t="s">
        <v>931</v>
      </c>
      <c r="D4571" s="5" t="s">
        <v>14</v>
      </c>
      <c r="E4571" s="5" t="s">
        <v>52</v>
      </c>
      <c r="F4571" s="5" t="s">
        <v>421</v>
      </c>
      <c r="G4571" s="5" t="s">
        <v>932</v>
      </c>
      <c r="H4571" s="5" t="s">
        <v>933</v>
      </c>
      <c r="I4571" s="5" t="s">
        <v>31</v>
      </c>
      <c r="J4571" s="5">
        <v>16.552607999999999</v>
      </c>
      <c r="K4571" s="5">
        <v>-96.818879999999993</v>
      </c>
      <c r="L4571" s="5" t="str">
        <f>HYPERLINK("https://maps.google.com/?q=16.552608,-96.818879999999993", "🔗 Ver Mapa")</f>
        <v>🔗 Ver Mapa</v>
      </c>
    </row>
    <row r="4572" spans="1:12" ht="43.5" x14ac:dyDescent="0.35">
      <c r="A4572" s="6" t="s">
        <v>98</v>
      </c>
      <c r="B4572" s="6" t="s">
        <v>99</v>
      </c>
      <c r="C4572" s="6" t="s">
        <v>931</v>
      </c>
      <c r="D4572" s="6" t="s">
        <v>14</v>
      </c>
      <c r="E4572" s="6" t="s">
        <v>52</v>
      </c>
      <c r="F4572" s="6" t="s">
        <v>421</v>
      </c>
      <c r="G4572" s="6" t="s">
        <v>932</v>
      </c>
      <c r="H4572" s="6" t="s">
        <v>933</v>
      </c>
      <c r="I4572" s="6" t="s">
        <v>31</v>
      </c>
      <c r="J4572" s="6">
        <v>16.553229000000002</v>
      </c>
      <c r="K4572" s="6">
        <v>-96.820554000000001</v>
      </c>
      <c r="L4572" s="6" t="str">
        <f>HYPERLINK("https://maps.google.com/?q=16.553229,-96.820554000000001", "🔗 Ver Mapa")</f>
        <v>🔗 Ver Mapa</v>
      </c>
    </row>
    <row r="4573" spans="1:12" ht="43.5" x14ac:dyDescent="0.35">
      <c r="A4573" s="5" t="s">
        <v>98</v>
      </c>
      <c r="B4573" s="5" t="s">
        <v>99</v>
      </c>
      <c r="C4573" s="5" t="s">
        <v>931</v>
      </c>
      <c r="D4573" s="5" t="s">
        <v>14</v>
      </c>
      <c r="E4573" s="5" t="s">
        <v>52</v>
      </c>
      <c r="F4573" s="5" t="s">
        <v>421</v>
      </c>
      <c r="G4573" s="5" t="s">
        <v>932</v>
      </c>
      <c r="H4573" s="5" t="s">
        <v>933</v>
      </c>
      <c r="I4573" s="5" t="s">
        <v>31</v>
      </c>
      <c r="J4573" s="5">
        <v>16.553305000000002</v>
      </c>
      <c r="K4573" s="5">
        <v>-96.819693999999998</v>
      </c>
      <c r="L4573" s="5" t="str">
        <f>HYPERLINK("https://maps.google.com/?q=16.553305,-96.819693999999998", "🔗 Ver Mapa")</f>
        <v>🔗 Ver Mapa</v>
      </c>
    </row>
    <row r="4574" spans="1:12" ht="43.5" x14ac:dyDescent="0.35">
      <c r="A4574" s="6" t="s">
        <v>98</v>
      </c>
      <c r="B4574" s="6" t="s">
        <v>99</v>
      </c>
      <c r="C4574" s="6" t="s">
        <v>931</v>
      </c>
      <c r="D4574" s="6" t="s">
        <v>14</v>
      </c>
      <c r="E4574" s="6" t="s">
        <v>52</v>
      </c>
      <c r="F4574" s="6" t="s">
        <v>421</v>
      </c>
      <c r="G4574" s="6" t="s">
        <v>932</v>
      </c>
      <c r="H4574" s="6" t="s">
        <v>933</v>
      </c>
      <c r="I4574" s="6" t="s">
        <v>31</v>
      </c>
      <c r="J4574" s="6">
        <v>16.553407</v>
      </c>
      <c r="K4574" s="6">
        <v>-96.818708000000001</v>
      </c>
      <c r="L4574" s="6" t="str">
        <f>HYPERLINK("https://maps.google.com/?q=16.553407,-96.818708000000001", "🔗 Ver Mapa")</f>
        <v>🔗 Ver Mapa</v>
      </c>
    </row>
    <row r="4575" spans="1:12" ht="43.5" x14ac:dyDescent="0.35">
      <c r="A4575" s="5" t="s">
        <v>98</v>
      </c>
      <c r="B4575" s="5" t="s">
        <v>99</v>
      </c>
      <c r="C4575" s="5" t="s">
        <v>931</v>
      </c>
      <c r="D4575" s="5" t="s">
        <v>14</v>
      </c>
      <c r="E4575" s="5" t="s">
        <v>52</v>
      </c>
      <c r="F4575" s="5" t="s">
        <v>421</v>
      </c>
      <c r="G4575" s="5" t="s">
        <v>932</v>
      </c>
      <c r="H4575" s="5" t="s">
        <v>933</v>
      </c>
      <c r="I4575" s="5" t="s">
        <v>31</v>
      </c>
      <c r="J4575" s="5">
        <v>16.553775999999999</v>
      </c>
      <c r="K4575" s="5">
        <v>-96.819081999999995</v>
      </c>
      <c r="L4575" s="5" t="str">
        <f>HYPERLINK("https://maps.google.com/?q=16.553776,-96.819081999999995", "🔗 Ver Mapa")</f>
        <v>🔗 Ver Mapa</v>
      </c>
    </row>
    <row r="4576" spans="1:12" ht="43.5" x14ac:dyDescent="0.35">
      <c r="A4576" s="6" t="s">
        <v>98</v>
      </c>
      <c r="B4576" s="6" t="s">
        <v>99</v>
      </c>
      <c r="C4576" s="6" t="s">
        <v>931</v>
      </c>
      <c r="D4576" s="6" t="s">
        <v>14</v>
      </c>
      <c r="E4576" s="6" t="s">
        <v>52</v>
      </c>
      <c r="F4576" s="6" t="s">
        <v>421</v>
      </c>
      <c r="G4576" s="6" t="s">
        <v>932</v>
      </c>
      <c r="H4576" s="6" t="s">
        <v>933</v>
      </c>
      <c r="I4576" s="6" t="s">
        <v>31</v>
      </c>
      <c r="J4576" s="6">
        <v>16.553811</v>
      </c>
      <c r="K4576" s="6">
        <v>-96.819737000000003</v>
      </c>
      <c r="L4576" s="6" t="str">
        <f>HYPERLINK("https://maps.google.com/?q=16.553811,-96.819737000000003", "🔗 Ver Mapa")</f>
        <v>🔗 Ver Mapa</v>
      </c>
    </row>
    <row r="4577" spans="1:12" ht="43.5" x14ac:dyDescent="0.35">
      <c r="A4577" s="5" t="s">
        <v>98</v>
      </c>
      <c r="B4577" s="5" t="s">
        <v>99</v>
      </c>
      <c r="C4577" s="5" t="s">
        <v>931</v>
      </c>
      <c r="D4577" s="5" t="s">
        <v>14</v>
      </c>
      <c r="E4577" s="5" t="s">
        <v>52</v>
      </c>
      <c r="F4577" s="5" t="s">
        <v>421</v>
      </c>
      <c r="G4577" s="5" t="s">
        <v>932</v>
      </c>
      <c r="H4577" s="5" t="s">
        <v>933</v>
      </c>
      <c r="I4577" s="5" t="s">
        <v>31</v>
      </c>
      <c r="J4577" s="5">
        <v>16.553955999999999</v>
      </c>
      <c r="K4577" s="5">
        <v>-96.820483999999993</v>
      </c>
      <c r="L4577" s="5" t="str">
        <f>HYPERLINK("https://maps.google.com/?q=16.553956,-96.820483999999993", "🔗 Ver Mapa")</f>
        <v>🔗 Ver Mapa</v>
      </c>
    </row>
    <row r="4578" spans="1:12" ht="43.5" x14ac:dyDescent="0.35">
      <c r="A4578" s="6" t="s">
        <v>98</v>
      </c>
      <c r="B4578" s="6" t="s">
        <v>99</v>
      </c>
      <c r="C4578" s="6" t="s">
        <v>931</v>
      </c>
      <c r="D4578" s="6" t="s">
        <v>14</v>
      </c>
      <c r="E4578" s="6" t="s">
        <v>52</v>
      </c>
      <c r="F4578" s="6" t="s">
        <v>421</v>
      </c>
      <c r="G4578" s="6" t="s">
        <v>932</v>
      </c>
      <c r="H4578" s="6" t="s">
        <v>933</v>
      </c>
      <c r="I4578" s="6" t="s">
        <v>31</v>
      </c>
      <c r="J4578" s="6">
        <v>16.554017999999999</v>
      </c>
      <c r="K4578" s="6">
        <v>-96.818657000000002</v>
      </c>
      <c r="L4578" s="6" t="str">
        <f>HYPERLINK("https://maps.google.com/?q=16.554018,-96.818657000000002", "🔗 Ver Mapa")</f>
        <v>🔗 Ver Mapa</v>
      </c>
    </row>
    <row r="4579" spans="1:12" ht="43.5" x14ac:dyDescent="0.35">
      <c r="A4579" s="5" t="s">
        <v>98</v>
      </c>
      <c r="B4579" s="5" t="s">
        <v>99</v>
      </c>
      <c r="C4579" s="5" t="s">
        <v>931</v>
      </c>
      <c r="D4579" s="5" t="s">
        <v>14</v>
      </c>
      <c r="E4579" s="5" t="s">
        <v>52</v>
      </c>
      <c r="F4579" s="5" t="s">
        <v>421</v>
      </c>
      <c r="G4579" s="5" t="s">
        <v>932</v>
      </c>
      <c r="H4579" s="5" t="s">
        <v>933</v>
      </c>
      <c r="I4579" s="5" t="s">
        <v>31</v>
      </c>
      <c r="J4579" s="5">
        <v>16.554027999999999</v>
      </c>
      <c r="K4579" s="5">
        <v>-96.814317000000003</v>
      </c>
      <c r="L4579" s="5" t="str">
        <f>HYPERLINK("https://maps.google.com/?q=16.554028,-96.814317000000003", "🔗 Ver Mapa")</f>
        <v>🔗 Ver Mapa</v>
      </c>
    </row>
    <row r="4580" spans="1:12" ht="43.5" x14ac:dyDescent="0.35">
      <c r="A4580" s="6" t="s">
        <v>98</v>
      </c>
      <c r="B4580" s="6" t="s">
        <v>99</v>
      </c>
      <c r="C4580" s="6" t="s">
        <v>931</v>
      </c>
      <c r="D4580" s="6" t="s">
        <v>14</v>
      </c>
      <c r="E4580" s="6" t="s">
        <v>52</v>
      </c>
      <c r="F4580" s="6" t="s">
        <v>421</v>
      </c>
      <c r="G4580" s="6" t="s">
        <v>932</v>
      </c>
      <c r="H4580" s="6" t="s">
        <v>933</v>
      </c>
      <c r="I4580" s="6" t="s">
        <v>31</v>
      </c>
      <c r="J4580" s="6">
        <v>16.554124000000002</v>
      </c>
      <c r="K4580" s="6">
        <v>-96.819534000000004</v>
      </c>
      <c r="L4580" s="6" t="str">
        <f>HYPERLINK("https://maps.google.com/?q=16.554124,-96.819534000000004", "🔗 Ver Mapa")</f>
        <v>🔗 Ver Mapa</v>
      </c>
    </row>
    <row r="4581" spans="1:12" ht="43.5" x14ac:dyDescent="0.35">
      <c r="A4581" s="5" t="s">
        <v>98</v>
      </c>
      <c r="B4581" s="5" t="s">
        <v>99</v>
      </c>
      <c r="C4581" s="5" t="s">
        <v>931</v>
      </c>
      <c r="D4581" s="5" t="s">
        <v>14</v>
      </c>
      <c r="E4581" s="5" t="s">
        <v>52</v>
      </c>
      <c r="F4581" s="5" t="s">
        <v>421</v>
      </c>
      <c r="G4581" s="5" t="s">
        <v>932</v>
      </c>
      <c r="H4581" s="5" t="s">
        <v>933</v>
      </c>
      <c r="I4581" s="5" t="s">
        <v>31</v>
      </c>
      <c r="J4581" s="5">
        <v>16.554203999999999</v>
      </c>
      <c r="K4581" s="5">
        <v>-96.819051999999999</v>
      </c>
      <c r="L4581" s="5" t="str">
        <f>HYPERLINK("https://maps.google.com/?q=16.554204,-96.819051999999999", "🔗 Ver Mapa")</f>
        <v>🔗 Ver Mapa</v>
      </c>
    </row>
    <row r="4582" spans="1:12" ht="43.5" x14ac:dyDescent="0.35">
      <c r="A4582" s="6" t="s">
        <v>98</v>
      </c>
      <c r="B4582" s="6" t="s">
        <v>99</v>
      </c>
      <c r="C4582" s="6" t="s">
        <v>931</v>
      </c>
      <c r="D4582" s="6" t="s">
        <v>14</v>
      </c>
      <c r="E4582" s="6" t="s">
        <v>52</v>
      </c>
      <c r="F4582" s="6" t="s">
        <v>421</v>
      </c>
      <c r="G4582" s="6" t="s">
        <v>932</v>
      </c>
      <c r="H4582" s="6" t="s">
        <v>933</v>
      </c>
      <c r="I4582" s="6" t="s">
        <v>31</v>
      </c>
      <c r="J4582" s="6">
        <v>16.554362000000001</v>
      </c>
      <c r="K4582" s="6">
        <v>-96.819086999999996</v>
      </c>
      <c r="L4582" s="6" t="str">
        <f>HYPERLINK("https://maps.google.com/?q=16.554362,-96.819086999999996", "🔗 Ver Mapa")</f>
        <v>🔗 Ver Mapa</v>
      </c>
    </row>
    <row r="4583" spans="1:12" ht="43.5" x14ac:dyDescent="0.35">
      <c r="A4583" s="5" t="s">
        <v>98</v>
      </c>
      <c r="B4583" s="5" t="s">
        <v>99</v>
      </c>
      <c r="C4583" s="5" t="s">
        <v>931</v>
      </c>
      <c r="D4583" s="5" t="s">
        <v>14</v>
      </c>
      <c r="E4583" s="5" t="s">
        <v>52</v>
      </c>
      <c r="F4583" s="5" t="s">
        <v>421</v>
      </c>
      <c r="G4583" s="5" t="s">
        <v>932</v>
      </c>
      <c r="H4583" s="5" t="s">
        <v>933</v>
      </c>
      <c r="I4583" s="5" t="s">
        <v>31</v>
      </c>
      <c r="J4583" s="5">
        <v>16.554531999999998</v>
      </c>
      <c r="K4583" s="5">
        <v>-96.819874999999996</v>
      </c>
      <c r="L4583" s="5" t="str">
        <f>HYPERLINK("https://maps.google.com/?q=16.554532,-96.819874999999996", "🔗 Ver Mapa")</f>
        <v>🔗 Ver Mapa</v>
      </c>
    </row>
    <row r="4584" spans="1:12" ht="43.5" x14ac:dyDescent="0.35">
      <c r="A4584" s="6" t="s">
        <v>98</v>
      </c>
      <c r="B4584" s="6" t="s">
        <v>99</v>
      </c>
      <c r="C4584" s="6" t="s">
        <v>931</v>
      </c>
      <c r="D4584" s="6" t="s">
        <v>14</v>
      </c>
      <c r="E4584" s="6" t="s">
        <v>52</v>
      </c>
      <c r="F4584" s="6" t="s">
        <v>421</v>
      </c>
      <c r="G4584" s="6" t="s">
        <v>932</v>
      </c>
      <c r="H4584" s="6" t="s">
        <v>933</v>
      </c>
      <c r="I4584" s="6" t="s">
        <v>31</v>
      </c>
      <c r="J4584" s="6">
        <v>16.554876</v>
      </c>
      <c r="K4584" s="6">
        <v>-96.814491000000004</v>
      </c>
      <c r="L4584" s="6" t="str">
        <f>HYPERLINK("https://maps.google.com/?q=16.554876,-96.814491000000004", "🔗 Ver Mapa")</f>
        <v>🔗 Ver Mapa</v>
      </c>
    </row>
    <row r="4585" spans="1:12" ht="43.5" x14ac:dyDescent="0.35">
      <c r="A4585" s="5" t="s">
        <v>98</v>
      </c>
      <c r="B4585" s="5" t="s">
        <v>99</v>
      </c>
      <c r="C4585" s="5" t="s">
        <v>931</v>
      </c>
      <c r="D4585" s="5" t="s">
        <v>14</v>
      </c>
      <c r="E4585" s="5" t="s">
        <v>52</v>
      </c>
      <c r="F4585" s="5" t="s">
        <v>421</v>
      </c>
      <c r="G4585" s="5" t="s">
        <v>932</v>
      </c>
      <c r="H4585" s="5" t="s">
        <v>933</v>
      </c>
      <c r="I4585" s="5" t="s">
        <v>31</v>
      </c>
      <c r="J4585" s="5">
        <v>16.555111</v>
      </c>
      <c r="K4585" s="5">
        <v>-96.814998000000003</v>
      </c>
      <c r="L4585" s="5" t="str">
        <f>HYPERLINK("https://maps.google.com/?q=16.555111,-96.814998000000003", "🔗 Ver Mapa")</f>
        <v>🔗 Ver Mapa</v>
      </c>
    </row>
    <row r="4586" spans="1:12" ht="43.5" x14ac:dyDescent="0.35">
      <c r="A4586" s="6" t="s">
        <v>98</v>
      </c>
      <c r="B4586" s="6" t="s">
        <v>99</v>
      </c>
      <c r="C4586" s="6" t="s">
        <v>931</v>
      </c>
      <c r="D4586" s="6" t="s">
        <v>14</v>
      </c>
      <c r="E4586" s="6" t="s">
        <v>52</v>
      </c>
      <c r="F4586" s="6" t="s">
        <v>421</v>
      </c>
      <c r="G4586" s="6" t="s">
        <v>932</v>
      </c>
      <c r="H4586" s="6" t="s">
        <v>933</v>
      </c>
      <c r="I4586" s="6" t="s">
        <v>31</v>
      </c>
      <c r="J4586" s="6">
        <v>16.556155</v>
      </c>
      <c r="K4586" s="6">
        <v>-96.821871000000002</v>
      </c>
      <c r="L4586" s="6" t="str">
        <f>HYPERLINK("https://maps.google.com/?q=16.556155,-96.821871000000002", "🔗 Ver Mapa")</f>
        <v>🔗 Ver Mapa</v>
      </c>
    </row>
    <row r="4587" spans="1:12" ht="43.5" x14ac:dyDescent="0.35">
      <c r="A4587" s="5" t="s">
        <v>98</v>
      </c>
      <c r="B4587" s="5" t="s">
        <v>99</v>
      </c>
      <c r="C4587" s="5" t="s">
        <v>931</v>
      </c>
      <c r="D4587" s="5" t="s">
        <v>14</v>
      </c>
      <c r="E4587" s="5" t="s">
        <v>52</v>
      </c>
      <c r="F4587" s="5" t="s">
        <v>421</v>
      </c>
      <c r="G4587" s="5" t="s">
        <v>932</v>
      </c>
      <c r="H4587" s="5" t="s">
        <v>933</v>
      </c>
      <c r="I4587" s="5" t="s">
        <v>31</v>
      </c>
      <c r="J4587" s="5">
        <v>16.556514</v>
      </c>
      <c r="K4587" s="5">
        <v>-96.822697000000005</v>
      </c>
      <c r="L4587" s="5" t="str">
        <f>HYPERLINK("https://maps.google.com/?q=16.556514,-96.822697000000005", "🔗 Ver Mapa")</f>
        <v>🔗 Ver Mapa</v>
      </c>
    </row>
    <row r="4588" spans="1:12" ht="43.5" x14ac:dyDescent="0.35">
      <c r="A4588" s="6" t="s">
        <v>98</v>
      </c>
      <c r="B4588" s="6" t="s">
        <v>99</v>
      </c>
      <c r="C4588" s="6" t="s">
        <v>931</v>
      </c>
      <c r="D4588" s="6" t="s">
        <v>14</v>
      </c>
      <c r="E4588" s="6" t="s">
        <v>52</v>
      </c>
      <c r="F4588" s="6" t="s">
        <v>421</v>
      </c>
      <c r="G4588" s="6" t="s">
        <v>932</v>
      </c>
      <c r="H4588" s="6" t="s">
        <v>933</v>
      </c>
      <c r="I4588" s="6" t="s">
        <v>31</v>
      </c>
      <c r="J4588" s="6">
        <v>16.556702000000001</v>
      </c>
      <c r="K4588" s="6">
        <v>-96.815528999999998</v>
      </c>
      <c r="L4588" s="6" t="str">
        <f>HYPERLINK("https://maps.google.com/?q=16.556702,-96.815528999999998", "🔗 Ver Mapa")</f>
        <v>🔗 Ver Mapa</v>
      </c>
    </row>
    <row r="4589" spans="1:12" ht="43.5" x14ac:dyDescent="0.35">
      <c r="A4589" s="5" t="s">
        <v>98</v>
      </c>
      <c r="B4589" s="5" t="s">
        <v>99</v>
      </c>
      <c r="C4589" s="5" t="s">
        <v>931</v>
      </c>
      <c r="D4589" s="5" t="s">
        <v>14</v>
      </c>
      <c r="E4589" s="5" t="s">
        <v>52</v>
      </c>
      <c r="F4589" s="5" t="s">
        <v>421</v>
      </c>
      <c r="G4589" s="5" t="s">
        <v>932</v>
      </c>
      <c r="H4589" s="5" t="s">
        <v>933</v>
      </c>
      <c r="I4589" s="5" t="s">
        <v>31</v>
      </c>
      <c r="J4589" s="5">
        <v>16.556771999999999</v>
      </c>
      <c r="K4589" s="5">
        <v>-96.822006999999999</v>
      </c>
      <c r="L4589" s="5" t="str">
        <f>HYPERLINK("https://maps.google.com/?q=16.556772,-96.822006999999999", "🔗 Ver Mapa")</f>
        <v>🔗 Ver Mapa</v>
      </c>
    </row>
    <row r="4590" spans="1:12" ht="43.5" x14ac:dyDescent="0.35">
      <c r="A4590" s="6" t="s">
        <v>98</v>
      </c>
      <c r="B4590" s="6" t="s">
        <v>99</v>
      </c>
      <c r="C4590" s="6" t="s">
        <v>931</v>
      </c>
      <c r="D4590" s="6" t="s">
        <v>14</v>
      </c>
      <c r="E4590" s="6" t="s">
        <v>52</v>
      </c>
      <c r="F4590" s="6" t="s">
        <v>421</v>
      </c>
      <c r="G4590" s="6" t="s">
        <v>932</v>
      </c>
      <c r="H4590" s="6" t="s">
        <v>933</v>
      </c>
      <c r="I4590" s="6" t="s">
        <v>31</v>
      </c>
      <c r="J4590" s="6">
        <v>16.556861999999999</v>
      </c>
      <c r="K4590" s="6">
        <v>-96.820757999999998</v>
      </c>
      <c r="L4590" s="6" t="str">
        <f>HYPERLINK("https://maps.google.com/?q=16.556862,-96.820757999999998", "🔗 Ver Mapa")</f>
        <v>🔗 Ver Mapa</v>
      </c>
    </row>
    <row r="4591" spans="1:12" ht="43.5" x14ac:dyDescent="0.35">
      <c r="A4591" s="5" t="s">
        <v>98</v>
      </c>
      <c r="B4591" s="5" t="s">
        <v>99</v>
      </c>
      <c r="C4591" s="5" t="s">
        <v>931</v>
      </c>
      <c r="D4591" s="5" t="s">
        <v>14</v>
      </c>
      <c r="E4591" s="5" t="s">
        <v>52</v>
      </c>
      <c r="F4591" s="5" t="s">
        <v>421</v>
      </c>
      <c r="G4591" s="5" t="s">
        <v>932</v>
      </c>
      <c r="H4591" s="5" t="s">
        <v>933</v>
      </c>
      <c r="I4591" s="5" t="s">
        <v>31</v>
      </c>
      <c r="J4591" s="5">
        <v>16.556978000000001</v>
      </c>
      <c r="K4591" s="5">
        <v>-96.822840999999997</v>
      </c>
      <c r="L4591" s="5" t="str">
        <f>HYPERLINK("https://maps.google.com/?q=16.556978,-96.822840999999997", "🔗 Ver Mapa")</f>
        <v>🔗 Ver Mapa</v>
      </c>
    </row>
    <row r="4592" spans="1:12" ht="43.5" x14ac:dyDescent="0.35">
      <c r="A4592" s="6" t="s">
        <v>98</v>
      </c>
      <c r="B4592" s="6" t="s">
        <v>99</v>
      </c>
      <c r="C4592" s="6" t="s">
        <v>931</v>
      </c>
      <c r="D4592" s="6" t="s">
        <v>14</v>
      </c>
      <c r="E4592" s="6" t="s">
        <v>52</v>
      </c>
      <c r="F4592" s="6" t="s">
        <v>421</v>
      </c>
      <c r="G4592" s="6" t="s">
        <v>932</v>
      </c>
      <c r="H4592" s="6" t="s">
        <v>933</v>
      </c>
      <c r="I4592" s="6" t="s">
        <v>31</v>
      </c>
      <c r="J4592" s="6">
        <v>16.557009000000001</v>
      </c>
      <c r="K4592" s="6">
        <v>-96.823670000000007</v>
      </c>
      <c r="L4592" s="6" t="str">
        <f>HYPERLINK("https://maps.google.com/?q=16.557009,-96.823670000000007", "🔗 Ver Mapa")</f>
        <v>🔗 Ver Mapa</v>
      </c>
    </row>
    <row r="4593" spans="1:12" ht="43.5" x14ac:dyDescent="0.35">
      <c r="A4593" s="5" t="s">
        <v>98</v>
      </c>
      <c r="B4593" s="5" t="s">
        <v>99</v>
      </c>
      <c r="C4593" s="5" t="s">
        <v>931</v>
      </c>
      <c r="D4593" s="5" t="s">
        <v>14</v>
      </c>
      <c r="E4593" s="5" t="s">
        <v>52</v>
      </c>
      <c r="F4593" s="5" t="s">
        <v>421</v>
      </c>
      <c r="G4593" s="5" t="s">
        <v>932</v>
      </c>
      <c r="H4593" s="5" t="s">
        <v>933</v>
      </c>
      <c r="I4593" s="5" t="s">
        <v>31</v>
      </c>
      <c r="J4593" s="5">
        <v>16.557048999999999</v>
      </c>
      <c r="K4593" s="5">
        <v>-96.816828000000001</v>
      </c>
      <c r="L4593" s="5" t="str">
        <f>HYPERLINK("https://maps.google.com/?q=16.557049,-96.816828000000001", "🔗 Ver Mapa")</f>
        <v>🔗 Ver Mapa</v>
      </c>
    </row>
    <row r="4594" spans="1:12" ht="43.5" x14ac:dyDescent="0.35">
      <c r="A4594" s="6" t="s">
        <v>98</v>
      </c>
      <c r="B4594" s="6" t="s">
        <v>99</v>
      </c>
      <c r="C4594" s="6" t="s">
        <v>931</v>
      </c>
      <c r="D4594" s="6" t="s">
        <v>14</v>
      </c>
      <c r="E4594" s="6" t="s">
        <v>52</v>
      </c>
      <c r="F4594" s="6" t="s">
        <v>421</v>
      </c>
      <c r="G4594" s="6" t="s">
        <v>932</v>
      </c>
      <c r="H4594" s="6" t="s">
        <v>933</v>
      </c>
      <c r="I4594" s="6" t="s">
        <v>31</v>
      </c>
      <c r="J4594" s="6">
        <v>16.55705</v>
      </c>
      <c r="K4594" s="6">
        <v>-96.816535999999999</v>
      </c>
      <c r="L4594" s="6" t="str">
        <f>HYPERLINK("https://maps.google.com/?q=16.55705,-96.816535999999999", "🔗 Ver Mapa")</f>
        <v>🔗 Ver Mapa</v>
      </c>
    </row>
    <row r="4595" spans="1:12" ht="43.5" x14ac:dyDescent="0.35">
      <c r="A4595" s="5" t="s">
        <v>98</v>
      </c>
      <c r="B4595" s="5" t="s">
        <v>99</v>
      </c>
      <c r="C4595" s="5" t="s">
        <v>931</v>
      </c>
      <c r="D4595" s="5" t="s">
        <v>14</v>
      </c>
      <c r="E4595" s="5" t="s">
        <v>52</v>
      </c>
      <c r="F4595" s="5" t="s">
        <v>421</v>
      </c>
      <c r="G4595" s="5" t="s">
        <v>932</v>
      </c>
      <c r="H4595" s="5" t="s">
        <v>933</v>
      </c>
      <c r="I4595" s="5" t="s">
        <v>31</v>
      </c>
      <c r="J4595" s="5">
        <v>16.557134000000001</v>
      </c>
      <c r="K4595" s="5">
        <v>-96.819225000000003</v>
      </c>
      <c r="L4595" s="5" t="str">
        <f>HYPERLINK("https://maps.google.com/?q=16.557134,-96.819225000000003", "🔗 Ver Mapa")</f>
        <v>🔗 Ver Mapa</v>
      </c>
    </row>
    <row r="4596" spans="1:12" ht="43.5" x14ac:dyDescent="0.35">
      <c r="A4596" s="6" t="s">
        <v>98</v>
      </c>
      <c r="B4596" s="6" t="s">
        <v>99</v>
      </c>
      <c r="C4596" s="6" t="s">
        <v>931</v>
      </c>
      <c r="D4596" s="6" t="s">
        <v>14</v>
      </c>
      <c r="E4596" s="6" t="s">
        <v>52</v>
      </c>
      <c r="F4596" s="6" t="s">
        <v>421</v>
      </c>
      <c r="G4596" s="6" t="s">
        <v>932</v>
      </c>
      <c r="H4596" s="6" t="s">
        <v>933</v>
      </c>
      <c r="I4596" s="6" t="s">
        <v>31</v>
      </c>
      <c r="J4596" s="6">
        <v>16.557193000000002</v>
      </c>
      <c r="K4596" s="6">
        <v>-96.818737999999996</v>
      </c>
      <c r="L4596" s="6" t="str">
        <f>HYPERLINK("https://maps.google.com/?q=16.557193,-96.818737999999996", "🔗 Ver Mapa")</f>
        <v>🔗 Ver Mapa</v>
      </c>
    </row>
    <row r="4597" spans="1:12" ht="43.5" x14ac:dyDescent="0.35">
      <c r="A4597" s="5" t="s">
        <v>98</v>
      </c>
      <c r="B4597" s="5" t="s">
        <v>99</v>
      </c>
      <c r="C4597" s="5" t="s">
        <v>931</v>
      </c>
      <c r="D4597" s="5" t="s">
        <v>14</v>
      </c>
      <c r="E4597" s="5" t="s">
        <v>52</v>
      </c>
      <c r="F4597" s="5" t="s">
        <v>421</v>
      </c>
      <c r="G4597" s="5" t="s">
        <v>932</v>
      </c>
      <c r="H4597" s="5" t="s">
        <v>933</v>
      </c>
      <c r="I4597" s="5" t="s">
        <v>31</v>
      </c>
      <c r="J4597" s="5">
        <v>16.557210999999999</v>
      </c>
      <c r="K4597" s="5">
        <v>-96.817125000000004</v>
      </c>
      <c r="L4597" s="5" t="str">
        <f>HYPERLINK("https://maps.google.com/?q=16.557211,-96.817125000000004", "🔗 Ver Mapa")</f>
        <v>🔗 Ver Mapa</v>
      </c>
    </row>
    <row r="4598" spans="1:12" ht="43.5" x14ac:dyDescent="0.35">
      <c r="A4598" s="6" t="s">
        <v>98</v>
      </c>
      <c r="B4598" s="6" t="s">
        <v>99</v>
      </c>
      <c r="C4598" s="6" t="s">
        <v>931</v>
      </c>
      <c r="D4598" s="6" t="s">
        <v>14</v>
      </c>
      <c r="E4598" s="6" t="s">
        <v>52</v>
      </c>
      <c r="F4598" s="6" t="s">
        <v>421</v>
      </c>
      <c r="G4598" s="6" t="s">
        <v>932</v>
      </c>
      <c r="H4598" s="6" t="s">
        <v>933</v>
      </c>
      <c r="I4598" s="6" t="s">
        <v>31</v>
      </c>
      <c r="J4598" s="6">
        <v>16.55734</v>
      </c>
      <c r="K4598" s="6">
        <v>-96.821676999999994</v>
      </c>
      <c r="L4598" s="6" t="str">
        <f>HYPERLINK("https://maps.google.com/?q=16.55734,-96.821676999999994", "🔗 Ver Mapa")</f>
        <v>🔗 Ver Mapa</v>
      </c>
    </row>
    <row r="4599" spans="1:12" ht="43.5" x14ac:dyDescent="0.35">
      <c r="A4599" s="5" t="s">
        <v>98</v>
      </c>
      <c r="B4599" s="5" t="s">
        <v>99</v>
      </c>
      <c r="C4599" s="5" t="s">
        <v>931</v>
      </c>
      <c r="D4599" s="5" t="s">
        <v>14</v>
      </c>
      <c r="E4599" s="5" t="s">
        <v>52</v>
      </c>
      <c r="F4599" s="5" t="s">
        <v>421</v>
      </c>
      <c r="G4599" s="5" t="s">
        <v>932</v>
      </c>
      <c r="H4599" s="5" t="s">
        <v>933</v>
      </c>
      <c r="I4599" s="5" t="s">
        <v>31</v>
      </c>
      <c r="J4599" s="5">
        <v>16.557368</v>
      </c>
      <c r="K4599" s="5">
        <v>-96.818251000000004</v>
      </c>
      <c r="L4599" s="5" t="str">
        <f>HYPERLINK("https://maps.google.com/?q=16.557368,-96.818251000000004", "🔗 Ver Mapa")</f>
        <v>🔗 Ver Mapa</v>
      </c>
    </row>
    <row r="4600" spans="1:12" ht="43.5" x14ac:dyDescent="0.35">
      <c r="A4600" s="6" t="s">
        <v>98</v>
      </c>
      <c r="B4600" s="6" t="s">
        <v>99</v>
      </c>
      <c r="C4600" s="6" t="s">
        <v>931</v>
      </c>
      <c r="D4600" s="6" t="s">
        <v>14</v>
      </c>
      <c r="E4600" s="6" t="s">
        <v>52</v>
      </c>
      <c r="F4600" s="6" t="s">
        <v>421</v>
      </c>
      <c r="G4600" s="6" t="s">
        <v>932</v>
      </c>
      <c r="H4600" s="6" t="s">
        <v>933</v>
      </c>
      <c r="I4600" s="6" t="s">
        <v>31</v>
      </c>
      <c r="J4600" s="6">
        <v>16.557375</v>
      </c>
      <c r="K4600" s="6">
        <v>-96.816162000000006</v>
      </c>
      <c r="L4600" s="6" t="str">
        <f>HYPERLINK("https://maps.google.com/?q=16.557375,-96.816162000000006", "🔗 Ver Mapa")</f>
        <v>🔗 Ver Mapa</v>
      </c>
    </row>
    <row r="4601" spans="1:12" ht="43.5" x14ac:dyDescent="0.35">
      <c r="A4601" s="5" t="s">
        <v>98</v>
      </c>
      <c r="B4601" s="5" t="s">
        <v>99</v>
      </c>
      <c r="C4601" s="5" t="s">
        <v>931</v>
      </c>
      <c r="D4601" s="5" t="s">
        <v>14</v>
      </c>
      <c r="E4601" s="5" t="s">
        <v>52</v>
      </c>
      <c r="F4601" s="5" t="s">
        <v>421</v>
      </c>
      <c r="G4601" s="5" t="s">
        <v>932</v>
      </c>
      <c r="H4601" s="5" t="s">
        <v>933</v>
      </c>
      <c r="I4601" s="5" t="s">
        <v>31</v>
      </c>
      <c r="J4601" s="5">
        <v>16.557393600000001</v>
      </c>
      <c r="K4601" s="5">
        <v>-96.818583000000004</v>
      </c>
      <c r="L4601" s="5" t="str">
        <f>HYPERLINK("https://maps.google.com/?q=16.5573936,-96.818583000000004", "🔗 Ver Mapa")</f>
        <v>🔗 Ver Mapa</v>
      </c>
    </row>
    <row r="4602" spans="1:12" ht="43.5" x14ac:dyDescent="0.35">
      <c r="A4602" s="6" t="s">
        <v>98</v>
      </c>
      <c r="B4602" s="6" t="s">
        <v>99</v>
      </c>
      <c r="C4602" s="6" t="s">
        <v>931</v>
      </c>
      <c r="D4602" s="6" t="s">
        <v>14</v>
      </c>
      <c r="E4602" s="6" t="s">
        <v>52</v>
      </c>
      <c r="F4602" s="6" t="s">
        <v>421</v>
      </c>
      <c r="G4602" s="6" t="s">
        <v>932</v>
      </c>
      <c r="H4602" s="6" t="s">
        <v>933</v>
      </c>
      <c r="I4602" s="6" t="s">
        <v>31</v>
      </c>
      <c r="J4602" s="6">
        <v>16.557452999999999</v>
      </c>
      <c r="K4602" s="6">
        <v>-96.819429999999997</v>
      </c>
      <c r="L4602" s="6" t="str">
        <f>HYPERLINK("https://maps.google.com/?q=16.557453,-96.819429999999997", "🔗 Ver Mapa")</f>
        <v>🔗 Ver Mapa</v>
      </c>
    </row>
    <row r="4603" spans="1:12" ht="43.5" x14ac:dyDescent="0.35">
      <c r="A4603" s="5" t="s">
        <v>98</v>
      </c>
      <c r="B4603" s="5" t="s">
        <v>99</v>
      </c>
      <c r="C4603" s="5" t="s">
        <v>931</v>
      </c>
      <c r="D4603" s="5" t="s">
        <v>14</v>
      </c>
      <c r="E4603" s="5" t="s">
        <v>52</v>
      </c>
      <c r="F4603" s="5" t="s">
        <v>421</v>
      </c>
      <c r="G4603" s="5" t="s">
        <v>932</v>
      </c>
      <c r="H4603" s="5" t="s">
        <v>933</v>
      </c>
      <c r="I4603" s="5" t="s">
        <v>31</v>
      </c>
      <c r="J4603" s="5">
        <v>16.557516</v>
      </c>
      <c r="K4603" s="5">
        <v>-96.816880999999995</v>
      </c>
      <c r="L4603" s="5" t="str">
        <f>HYPERLINK("https://maps.google.com/?q=16.557516,-96.816880999999995", "🔗 Ver Mapa")</f>
        <v>🔗 Ver Mapa</v>
      </c>
    </row>
    <row r="4604" spans="1:12" ht="43.5" x14ac:dyDescent="0.35">
      <c r="A4604" s="6" t="s">
        <v>98</v>
      </c>
      <c r="B4604" s="6" t="s">
        <v>99</v>
      </c>
      <c r="C4604" s="6" t="s">
        <v>931</v>
      </c>
      <c r="D4604" s="6" t="s">
        <v>14</v>
      </c>
      <c r="E4604" s="6" t="s">
        <v>52</v>
      </c>
      <c r="F4604" s="6" t="s">
        <v>421</v>
      </c>
      <c r="G4604" s="6" t="s">
        <v>932</v>
      </c>
      <c r="H4604" s="6" t="s">
        <v>933</v>
      </c>
      <c r="I4604" s="6" t="s">
        <v>31</v>
      </c>
      <c r="J4604" s="6">
        <v>16.557646999999999</v>
      </c>
      <c r="K4604" s="6">
        <v>-96.821262000000004</v>
      </c>
      <c r="L4604" s="6" t="str">
        <f>HYPERLINK("https://maps.google.com/?q=16.557647,-96.821262000000004", "🔗 Ver Mapa")</f>
        <v>🔗 Ver Mapa</v>
      </c>
    </row>
    <row r="4605" spans="1:12" ht="43.5" x14ac:dyDescent="0.35">
      <c r="A4605" s="5" t="s">
        <v>98</v>
      </c>
      <c r="B4605" s="5" t="s">
        <v>99</v>
      </c>
      <c r="C4605" s="5" t="s">
        <v>931</v>
      </c>
      <c r="D4605" s="5" t="s">
        <v>14</v>
      </c>
      <c r="E4605" s="5" t="s">
        <v>52</v>
      </c>
      <c r="F4605" s="5" t="s">
        <v>421</v>
      </c>
      <c r="G4605" s="5" t="s">
        <v>932</v>
      </c>
      <c r="H4605" s="5" t="s">
        <v>933</v>
      </c>
      <c r="I4605" s="5" t="s">
        <v>31</v>
      </c>
      <c r="J4605" s="5">
        <v>16.557683999999998</v>
      </c>
      <c r="K4605" s="5">
        <v>-96.818535999999995</v>
      </c>
      <c r="L4605" s="5" t="str">
        <f>HYPERLINK("https://maps.google.com/?q=16.557684,-96.818535999999995", "🔗 Ver Mapa")</f>
        <v>🔗 Ver Mapa</v>
      </c>
    </row>
    <row r="4606" spans="1:12" ht="43.5" x14ac:dyDescent="0.35">
      <c r="A4606" s="6" t="s">
        <v>98</v>
      </c>
      <c r="B4606" s="6" t="s">
        <v>99</v>
      </c>
      <c r="C4606" s="6" t="s">
        <v>931</v>
      </c>
      <c r="D4606" s="6" t="s">
        <v>14</v>
      </c>
      <c r="E4606" s="6" t="s">
        <v>52</v>
      </c>
      <c r="F4606" s="6" t="s">
        <v>421</v>
      </c>
      <c r="G4606" s="6" t="s">
        <v>932</v>
      </c>
      <c r="H4606" s="6" t="s">
        <v>933</v>
      </c>
      <c r="I4606" s="6" t="s">
        <v>31</v>
      </c>
      <c r="J4606" s="6">
        <v>16.557746999999999</v>
      </c>
      <c r="K4606" s="6">
        <v>-96.823244000000003</v>
      </c>
      <c r="L4606" s="6" t="str">
        <f>HYPERLINK("https://maps.google.com/?q=16.557747,-96.823244000000003", "🔗 Ver Mapa")</f>
        <v>🔗 Ver Mapa</v>
      </c>
    </row>
    <row r="4607" spans="1:12" ht="43.5" x14ac:dyDescent="0.35">
      <c r="A4607" s="5" t="s">
        <v>98</v>
      </c>
      <c r="B4607" s="5" t="s">
        <v>99</v>
      </c>
      <c r="C4607" s="5" t="s">
        <v>931</v>
      </c>
      <c r="D4607" s="5" t="s">
        <v>14</v>
      </c>
      <c r="E4607" s="5" t="s">
        <v>52</v>
      </c>
      <c r="F4607" s="5" t="s">
        <v>421</v>
      </c>
      <c r="G4607" s="5" t="s">
        <v>932</v>
      </c>
      <c r="H4607" s="5" t="s">
        <v>933</v>
      </c>
      <c r="I4607" s="5" t="s">
        <v>31</v>
      </c>
      <c r="J4607" s="5">
        <v>16.557884000000001</v>
      </c>
      <c r="K4607" s="5">
        <v>-96.820132999999998</v>
      </c>
      <c r="L4607" s="5" t="str">
        <f>HYPERLINK("https://maps.google.com/?q=16.557884,-96.820132999999998", "🔗 Ver Mapa")</f>
        <v>🔗 Ver Mapa</v>
      </c>
    </row>
    <row r="4608" spans="1:12" ht="43.5" x14ac:dyDescent="0.35">
      <c r="A4608" s="6" t="s">
        <v>98</v>
      </c>
      <c r="B4608" s="6" t="s">
        <v>99</v>
      </c>
      <c r="C4608" s="6" t="s">
        <v>931</v>
      </c>
      <c r="D4608" s="6" t="s">
        <v>14</v>
      </c>
      <c r="E4608" s="6" t="s">
        <v>52</v>
      </c>
      <c r="F4608" s="6" t="s">
        <v>421</v>
      </c>
      <c r="G4608" s="6" t="s">
        <v>932</v>
      </c>
      <c r="H4608" s="6" t="s">
        <v>933</v>
      </c>
      <c r="I4608" s="6" t="s">
        <v>31</v>
      </c>
      <c r="J4608" s="6">
        <v>16.557997</v>
      </c>
      <c r="K4608" s="6">
        <v>-96.818960000000004</v>
      </c>
      <c r="L4608" s="6" t="str">
        <f>HYPERLINK("https://maps.google.com/?q=16.557997,-96.818960000000004", "🔗 Ver Mapa")</f>
        <v>🔗 Ver Mapa</v>
      </c>
    </row>
    <row r="4609" spans="1:12" ht="43.5" x14ac:dyDescent="0.35">
      <c r="A4609" s="5" t="s">
        <v>98</v>
      </c>
      <c r="B4609" s="5" t="s">
        <v>99</v>
      </c>
      <c r="C4609" s="5" t="s">
        <v>931</v>
      </c>
      <c r="D4609" s="5" t="s">
        <v>14</v>
      </c>
      <c r="E4609" s="5" t="s">
        <v>52</v>
      </c>
      <c r="F4609" s="5" t="s">
        <v>421</v>
      </c>
      <c r="G4609" s="5" t="s">
        <v>932</v>
      </c>
      <c r="H4609" s="5" t="s">
        <v>933</v>
      </c>
      <c r="I4609" s="5" t="s">
        <v>31</v>
      </c>
      <c r="J4609" s="5">
        <v>16.558275999999999</v>
      </c>
      <c r="K4609" s="5">
        <v>-96.818670999999995</v>
      </c>
      <c r="L4609" s="5" t="str">
        <f>HYPERLINK("https://maps.google.com/?q=16.558276,-96.818670999999995", "🔗 Ver Mapa")</f>
        <v>🔗 Ver Mapa</v>
      </c>
    </row>
    <row r="4610" spans="1:12" ht="43.5" x14ac:dyDescent="0.35">
      <c r="A4610" s="6" t="s">
        <v>98</v>
      </c>
      <c r="B4610" s="6" t="s">
        <v>99</v>
      </c>
      <c r="C4610" s="6" t="s">
        <v>931</v>
      </c>
      <c r="D4610" s="6" t="s">
        <v>14</v>
      </c>
      <c r="E4610" s="6" t="s">
        <v>52</v>
      </c>
      <c r="F4610" s="6" t="s">
        <v>421</v>
      </c>
      <c r="G4610" s="6" t="s">
        <v>932</v>
      </c>
      <c r="H4610" s="6" t="s">
        <v>933</v>
      </c>
      <c r="I4610" s="6" t="s">
        <v>31</v>
      </c>
      <c r="J4610" s="6">
        <v>16.558474</v>
      </c>
      <c r="K4610" s="6">
        <v>-96.817357000000001</v>
      </c>
      <c r="L4610" s="6" t="str">
        <f>HYPERLINK("https://maps.google.com/?q=16.558474,-96.817357000000001", "🔗 Ver Mapa")</f>
        <v>🔗 Ver Mapa</v>
      </c>
    </row>
    <row r="4611" spans="1:12" ht="43.5" x14ac:dyDescent="0.35">
      <c r="A4611" s="5" t="s">
        <v>98</v>
      </c>
      <c r="B4611" s="5" t="s">
        <v>99</v>
      </c>
      <c r="C4611" s="5" t="s">
        <v>931</v>
      </c>
      <c r="D4611" s="5" t="s">
        <v>14</v>
      </c>
      <c r="E4611" s="5" t="s">
        <v>52</v>
      </c>
      <c r="F4611" s="5" t="s">
        <v>421</v>
      </c>
      <c r="G4611" s="5" t="s">
        <v>932</v>
      </c>
      <c r="H4611" s="5" t="s">
        <v>933</v>
      </c>
      <c r="I4611" s="5" t="s">
        <v>31</v>
      </c>
      <c r="J4611" s="5">
        <v>16.558515</v>
      </c>
      <c r="K4611" s="5">
        <v>-96.820802</v>
      </c>
      <c r="L4611" s="5" t="str">
        <f>HYPERLINK("https://maps.google.com/?q=16.558515,-96.820802", "🔗 Ver Mapa")</f>
        <v>🔗 Ver Mapa</v>
      </c>
    </row>
    <row r="4612" spans="1:12" ht="43.5" x14ac:dyDescent="0.35">
      <c r="A4612" s="6" t="s">
        <v>98</v>
      </c>
      <c r="B4612" s="6" t="s">
        <v>99</v>
      </c>
      <c r="C4612" s="6" t="s">
        <v>931</v>
      </c>
      <c r="D4612" s="6" t="s">
        <v>14</v>
      </c>
      <c r="E4612" s="6" t="s">
        <v>52</v>
      </c>
      <c r="F4612" s="6" t="s">
        <v>421</v>
      </c>
      <c r="G4612" s="6" t="s">
        <v>932</v>
      </c>
      <c r="H4612" s="6" t="s">
        <v>933</v>
      </c>
      <c r="I4612" s="6" t="s">
        <v>31</v>
      </c>
      <c r="J4612" s="6">
        <v>16.558564000000001</v>
      </c>
      <c r="K4612" s="6">
        <v>-96.817871999999994</v>
      </c>
      <c r="L4612" s="6" t="str">
        <f>HYPERLINK("https://maps.google.com/?q=16.558564,-96.817871999999994", "🔗 Ver Mapa")</f>
        <v>🔗 Ver Mapa</v>
      </c>
    </row>
    <row r="4613" spans="1:12" ht="43.5" x14ac:dyDescent="0.35">
      <c r="A4613" s="5" t="s">
        <v>98</v>
      </c>
      <c r="B4613" s="5" t="s">
        <v>99</v>
      </c>
      <c r="C4613" s="5" t="s">
        <v>931</v>
      </c>
      <c r="D4613" s="5" t="s">
        <v>14</v>
      </c>
      <c r="E4613" s="5" t="s">
        <v>52</v>
      </c>
      <c r="F4613" s="5" t="s">
        <v>421</v>
      </c>
      <c r="G4613" s="5" t="s">
        <v>932</v>
      </c>
      <c r="H4613" s="5" t="s">
        <v>933</v>
      </c>
      <c r="I4613" s="5" t="s">
        <v>31</v>
      </c>
      <c r="J4613" s="5">
        <v>16.558574</v>
      </c>
      <c r="K4613" s="5">
        <v>-96.818833999999995</v>
      </c>
      <c r="L4613" s="5" t="str">
        <f>HYPERLINK("https://maps.google.com/?q=16.558574,-96.818833999999995", "🔗 Ver Mapa")</f>
        <v>🔗 Ver Mapa</v>
      </c>
    </row>
    <row r="4614" spans="1:12" ht="43.5" x14ac:dyDescent="0.35">
      <c r="A4614" s="6" t="s">
        <v>98</v>
      </c>
      <c r="B4614" s="6" t="s">
        <v>99</v>
      </c>
      <c r="C4614" s="6" t="s">
        <v>931</v>
      </c>
      <c r="D4614" s="6" t="s">
        <v>14</v>
      </c>
      <c r="E4614" s="6" t="s">
        <v>52</v>
      </c>
      <c r="F4614" s="6" t="s">
        <v>421</v>
      </c>
      <c r="G4614" s="6" t="s">
        <v>932</v>
      </c>
      <c r="H4614" s="6" t="s">
        <v>933</v>
      </c>
      <c r="I4614" s="6" t="s">
        <v>31</v>
      </c>
      <c r="J4614" s="6">
        <v>16.558646</v>
      </c>
      <c r="K4614" s="6">
        <v>-96.820363</v>
      </c>
      <c r="L4614" s="6" t="str">
        <f>HYPERLINK("https://maps.google.com/?q=16.558646,-96.820363", "🔗 Ver Mapa")</f>
        <v>🔗 Ver Mapa</v>
      </c>
    </row>
    <row r="4615" spans="1:12" ht="43.5" x14ac:dyDescent="0.35">
      <c r="A4615" s="5" t="s">
        <v>98</v>
      </c>
      <c r="B4615" s="5" t="s">
        <v>99</v>
      </c>
      <c r="C4615" s="5" t="s">
        <v>931</v>
      </c>
      <c r="D4615" s="5" t="s">
        <v>14</v>
      </c>
      <c r="E4615" s="5" t="s">
        <v>52</v>
      </c>
      <c r="F4615" s="5" t="s">
        <v>421</v>
      </c>
      <c r="G4615" s="5" t="s">
        <v>932</v>
      </c>
      <c r="H4615" s="5" t="s">
        <v>933</v>
      </c>
      <c r="I4615" s="5" t="s">
        <v>31</v>
      </c>
      <c r="J4615" s="5">
        <v>16.558996</v>
      </c>
      <c r="K4615" s="5">
        <v>-96.821376000000001</v>
      </c>
      <c r="L4615" s="5" t="str">
        <f>HYPERLINK("https://maps.google.com/?q=16.558996,-96.821376000000001", "🔗 Ver Mapa")</f>
        <v>🔗 Ver Mapa</v>
      </c>
    </row>
    <row r="4616" spans="1:12" ht="43.5" x14ac:dyDescent="0.35">
      <c r="A4616" s="6" t="s">
        <v>98</v>
      </c>
      <c r="B4616" s="6" t="s">
        <v>99</v>
      </c>
      <c r="C4616" s="6" t="s">
        <v>931</v>
      </c>
      <c r="D4616" s="6" t="s">
        <v>14</v>
      </c>
      <c r="E4616" s="6" t="s">
        <v>52</v>
      </c>
      <c r="F4616" s="6" t="s">
        <v>421</v>
      </c>
      <c r="G4616" s="6" t="s">
        <v>932</v>
      </c>
      <c r="H4616" s="6" t="s">
        <v>933</v>
      </c>
      <c r="I4616" s="6" t="s">
        <v>31</v>
      </c>
      <c r="J4616" s="6">
        <v>16.559004999999999</v>
      </c>
      <c r="K4616" s="6">
        <v>-96.816484000000003</v>
      </c>
      <c r="L4616" s="6" t="str">
        <f>HYPERLINK("https://maps.google.com/?q=16.559005,-96.816484000000003", "🔗 Ver Mapa")</f>
        <v>🔗 Ver Mapa</v>
      </c>
    </row>
    <row r="4617" spans="1:12" ht="43.5" x14ac:dyDescent="0.35">
      <c r="A4617" s="5" t="s">
        <v>98</v>
      </c>
      <c r="B4617" s="5" t="s">
        <v>99</v>
      </c>
      <c r="C4617" s="5" t="s">
        <v>931</v>
      </c>
      <c r="D4617" s="5" t="s">
        <v>14</v>
      </c>
      <c r="E4617" s="5" t="s">
        <v>52</v>
      </c>
      <c r="F4617" s="5" t="s">
        <v>421</v>
      </c>
      <c r="G4617" s="5" t="s">
        <v>932</v>
      </c>
      <c r="H4617" s="5" t="s">
        <v>933</v>
      </c>
      <c r="I4617" s="5" t="s">
        <v>31</v>
      </c>
      <c r="J4617" s="5">
        <v>16.559106</v>
      </c>
      <c r="K4617" s="5">
        <v>-96.817795000000004</v>
      </c>
      <c r="L4617" s="5" t="str">
        <f>HYPERLINK("https://maps.google.com/?q=16.559106,-96.817795000000004", "🔗 Ver Mapa")</f>
        <v>🔗 Ver Mapa</v>
      </c>
    </row>
    <row r="4618" spans="1:12" ht="43.5" x14ac:dyDescent="0.35">
      <c r="A4618" s="6" t="s">
        <v>98</v>
      </c>
      <c r="B4618" s="6" t="s">
        <v>99</v>
      </c>
      <c r="C4618" s="6" t="s">
        <v>931</v>
      </c>
      <c r="D4618" s="6" t="s">
        <v>14</v>
      </c>
      <c r="E4618" s="6" t="s">
        <v>52</v>
      </c>
      <c r="F4618" s="6" t="s">
        <v>421</v>
      </c>
      <c r="G4618" s="6" t="s">
        <v>932</v>
      </c>
      <c r="H4618" s="6" t="s">
        <v>933</v>
      </c>
      <c r="I4618" s="6" t="s">
        <v>31</v>
      </c>
      <c r="J4618" s="6">
        <v>16.559121000000001</v>
      </c>
      <c r="K4618" s="6">
        <v>-96.817239000000001</v>
      </c>
      <c r="L4618" s="6" t="str">
        <f>HYPERLINK("https://maps.google.com/?q=16.559121,-96.817239000000001", "🔗 Ver Mapa")</f>
        <v>🔗 Ver Mapa</v>
      </c>
    </row>
    <row r="4619" spans="1:12" ht="43.5" x14ac:dyDescent="0.35">
      <c r="A4619" s="5" t="s">
        <v>98</v>
      </c>
      <c r="B4619" s="5" t="s">
        <v>99</v>
      </c>
      <c r="C4619" s="5" t="s">
        <v>931</v>
      </c>
      <c r="D4619" s="5" t="s">
        <v>14</v>
      </c>
      <c r="E4619" s="5" t="s">
        <v>52</v>
      </c>
      <c r="F4619" s="5" t="s">
        <v>421</v>
      </c>
      <c r="G4619" s="5" t="s">
        <v>932</v>
      </c>
      <c r="H4619" s="5" t="s">
        <v>933</v>
      </c>
      <c r="I4619" s="5" t="s">
        <v>31</v>
      </c>
      <c r="J4619" s="5">
        <v>16.559253999999999</v>
      </c>
      <c r="K4619" s="5">
        <v>-96.820601999999994</v>
      </c>
      <c r="L4619" s="5" t="str">
        <f>HYPERLINK("https://maps.google.com/?q=16.559254,-96.820601999999994", "🔗 Ver Mapa")</f>
        <v>🔗 Ver Mapa</v>
      </c>
    </row>
    <row r="4620" spans="1:12" ht="43.5" x14ac:dyDescent="0.35">
      <c r="A4620" s="6" t="s">
        <v>98</v>
      </c>
      <c r="B4620" s="6" t="s">
        <v>99</v>
      </c>
      <c r="C4620" s="6" t="s">
        <v>934</v>
      </c>
      <c r="D4620" s="6" t="s">
        <v>14</v>
      </c>
      <c r="E4620" s="6" t="s">
        <v>52</v>
      </c>
      <c r="F4620" s="6" t="s">
        <v>421</v>
      </c>
      <c r="G4620" s="6" t="s">
        <v>422</v>
      </c>
      <c r="H4620" s="6" t="s">
        <v>935</v>
      </c>
      <c r="I4620" s="6" t="s">
        <v>31</v>
      </c>
      <c r="J4620" s="6">
        <v>16.547919161875999</v>
      </c>
      <c r="K4620" s="6">
        <v>-96.710974884535005</v>
      </c>
      <c r="L4620" s="6" t="str">
        <f>HYPERLINK("https://maps.google.com/?q=16.5479191618764,-96.710974884534593", "🔗 Ver Mapa")</f>
        <v>🔗 Ver Mapa</v>
      </c>
    </row>
    <row r="4621" spans="1:12" ht="43.5" x14ac:dyDescent="0.35">
      <c r="A4621" s="5" t="s">
        <v>98</v>
      </c>
      <c r="B4621" s="5" t="s">
        <v>99</v>
      </c>
      <c r="C4621" s="5" t="s">
        <v>934</v>
      </c>
      <c r="D4621" s="5" t="s">
        <v>14</v>
      </c>
      <c r="E4621" s="5" t="s">
        <v>52</v>
      </c>
      <c r="F4621" s="5" t="s">
        <v>421</v>
      </c>
      <c r="G4621" s="5" t="s">
        <v>422</v>
      </c>
      <c r="H4621" s="5" t="s">
        <v>935</v>
      </c>
      <c r="I4621" s="5" t="s">
        <v>31</v>
      </c>
      <c r="J4621" s="5">
        <v>16.548029201980999</v>
      </c>
      <c r="K4621" s="5">
        <v>-96.709945627300996</v>
      </c>
      <c r="L4621" s="5" t="str">
        <f>HYPERLINK("https://maps.google.com/?q=16.5480292019812,-96.709945627300598", "🔗 Ver Mapa")</f>
        <v>🔗 Ver Mapa</v>
      </c>
    </row>
    <row r="4622" spans="1:12" ht="43.5" x14ac:dyDescent="0.35">
      <c r="A4622" s="6" t="s">
        <v>98</v>
      </c>
      <c r="B4622" s="6" t="s">
        <v>99</v>
      </c>
      <c r="C4622" s="6" t="s">
        <v>934</v>
      </c>
      <c r="D4622" s="6" t="s">
        <v>14</v>
      </c>
      <c r="E4622" s="6" t="s">
        <v>52</v>
      </c>
      <c r="F4622" s="6" t="s">
        <v>421</v>
      </c>
      <c r="G4622" s="6" t="s">
        <v>422</v>
      </c>
      <c r="H4622" s="6" t="s">
        <v>935</v>
      </c>
      <c r="I4622" s="6" t="s">
        <v>31</v>
      </c>
      <c r="J4622" s="6">
        <v>16.548689240609999</v>
      </c>
      <c r="K4622" s="6">
        <v>-96.707619955685004</v>
      </c>
      <c r="L4622" s="6" t="str">
        <f>HYPERLINK("https://maps.google.com/?q=16.5486892406104,-96.707619955685203", "🔗 Ver Mapa")</f>
        <v>🔗 Ver Mapa</v>
      </c>
    </row>
    <row r="4623" spans="1:12" ht="43.5" x14ac:dyDescent="0.35">
      <c r="A4623" s="5" t="s">
        <v>98</v>
      </c>
      <c r="B4623" s="5" t="s">
        <v>99</v>
      </c>
      <c r="C4623" s="5" t="s">
        <v>934</v>
      </c>
      <c r="D4623" s="5" t="s">
        <v>14</v>
      </c>
      <c r="E4623" s="5" t="s">
        <v>52</v>
      </c>
      <c r="F4623" s="5" t="s">
        <v>421</v>
      </c>
      <c r="G4623" s="5" t="s">
        <v>422</v>
      </c>
      <c r="H4623" s="5" t="s">
        <v>935</v>
      </c>
      <c r="I4623" s="5" t="s">
        <v>31</v>
      </c>
      <c r="J4623" s="5">
        <v>16.548947289716999</v>
      </c>
      <c r="K4623" s="5">
        <v>-96.708044270490007</v>
      </c>
      <c r="L4623" s="5" t="str">
        <f>HYPERLINK("https://maps.google.com/?q=16.5489472897175,-96.708044270489594", "🔗 Ver Mapa")</f>
        <v>🔗 Ver Mapa</v>
      </c>
    </row>
    <row r="4624" spans="1:12" ht="43.5" x14ac:dyDescent="0.35">
      <c r="A4624" s="6" t="s">
        <v>98</v>
      </c>
      <c r="B4624" s="6" t="s">
        <v>99</v>
      </c>
      <c r="C4624" s="6" t="s">
        <v>934</v>
      </c>
      <c r="D4624" s="6" t="s">
        <v>14</v>
      </c>
      <c r="E4624" s="6" t="s">
        <v>52</v>
      </c>
      <c r="F4624" s="6" t="s">
        <v>421</v>
      </c>
      <c r="G4624" s="6" t="s">
        <v>422</v>
      </c>
      <c r="H4624" s="6" t="s">
        <v>935</v>
      </c>
      <c r="I4624" s="6" t="s">
        <v>31</v>
      </c>
      <c r="J4624" s="6">
        <v>16.549055074317</v>
      </c>
      <c r="K4624" s="6">
        <v>-96.708123066276002</v>
      </c>
      <c r="L4624" s="6" t="str">
        <f>HYPERLINK("https://maps.google.com/?q=16.5490550743167,-96.708123066275505", "🔗 Ver Mapa")</f>
        <v>🔗 Ver Mapa</v>
      </c>
    </row>
    <row r="4625" spans="1:12" ht="58" x14ac:dyDescent="0.35">
      <c r="A4625" s="5" t="s">
        <v>516</v>
      </c>
      <c r="B4625" s="5" t="s">
        <v>517</v>
      </c>
      <c r="C4625" s="5" t="s">
        <v>936</v>
      </c>
      <c r="D4625" s="5" t="s">
        <v>58</v>
      </c>
      <c r="E4625" s="5" t="s">
        <v>52</v>
      </c>
      <c r="F4625" s="5" t="s">
        <v>70</v>
      </c>
      <c r="G4625" s="5" t="s">
        <v>71</v>
      </c>
      <c r="H4625" s="5" t="s">
        <v>72</v>
      </c>
      <c r="I4625" s="5" t="s">
        <v>32</v>
      </c>
      <c r="J4625" s="5">
        <v>17.035658999999999</v>
      </c>
      <c r="K4625" s="5">
        <v>-96.709142999999997</v>
      </c>
      <c r="L4625" s="5" t="str">
        <f>HYPERLINK("https://maps.google.com/?q=17.035659,-96.709142999999997", "🔗 Ver Mapa")</f>
        <v>🔗 Ver Mapa</v>
      </c>
    </row>
    <row r="4626" spans="1:12" ht="58" x14ac:dyDescent="0.35">
      <c r="A4626" s="6" t="s">
        <v>516</v>
      </c>
      <c r="B4626" s="6" t="s">
        <v>517</v>
      </c>
      <c r="C4626" s="6" t="s">
        <v>936</v>
      </c>
      <c r="D4626" s="6" t="s">
        <v>58</v>
      </c>
      <c r="E4626" s="6" t="s">
        <v>52</v>
      </c>
      <c r="F4626" s="6" t="s">
        <v>70</v>
      </c>
      <c r="G4626" s="6" t="s">
        <v>71</v>
      </c>
      <c r="H4626" s="6" t="s">
        <v>72</v>
      </c>
      <c r="I4626" s="6" t="s">
        <v>32</v>
      </c>
      <c r="J4626" s="6">
        <v>17.035775000000001</v>
      </c>
      <c r="K4626" s="6">
        <v>-96.709637000000001</v>
      </c>
      <c r="L4626" s="6" t="str">
        <f>HYPERLINK("https://maps.google.com/?q=17.035775,-96.709637000000001", "🔗 Ver Mapa")</f>
        <v>🔗 Ver Mapa</v>
      </c>
    </row>
    <row r="4627" spans="1:12" ht="58" x14ac:dyDescent="0.35">
      <c r="A4627" s="5" t="s">
        <v>516</v>
      </c>
      <c r="B4627" s="5" t="s">
        <v>517</v>
      </c>
      <c r="C4627" s="5" t="s">
        <v>936</v>
      </c>
      <c r="D4627" s="5" t="s">
        <v>58</v>
      </c>
      <c r="E4627" s="5" t="s">
        <v>52</v>
      </c>
      <c r="F4627" s="5" t="s">
        <v>70</v>
      </c>
      <c r="G4627" s="5" t="s">
        <v>71</v>
      </c>
      <c r="H4627" s="5" t="s">
        <v>72</v>
      </c>
      <c r="I4627" s="5" t="s">
        <v>32</v>
      </c>
      <c r="J4627" s="5">
        <v>17.035854629999999</v>
      </c>
      <c r="K4627" s="5">
        <v>-96.712191730000001</v>
      </c>
      <c r="L4627" s="5" t="str">
        <f>HYPERLINK("https://maps.google.com/?q=17.03585463,-96.712191730000001", "🔗 Ver Mapa")</f>
        <v>🔗 Ver Mapa</v>
      </c>
    </row>
    <row r="4628" spans="1:12" ht="58" x14ac:dyDescent="0.35">
      <c r="A4628" s="6" t="s">
        <v>516</v>
      </c>
      <c r="B4628" s="6" t="s">
        <v>517</v>
      </c>
      <c r="C4628" s="6" t="s">
        <v>936</v>
      </c>
      <c r="D4628" s="6" t="s">
        <v>58</v>
      </c>
      <c r="E4628" s="6" t="s">
        <v>52</v>
      </c>
      <c r="F4628" s="6" t="s">
        <v>70</v>
      </c>
      <c r="G4628" s="6" t="s">
        <v>71</v>
      </c>
      <c r="H4628" s="6" t="s">
        <v>72</v>
      </c>
      <c r="I4628" s="6" t="s">
        <v>32</v>
      </c>
      <c r="J4628" s="6">
        <v>17.035962000000001</v>
      </c>
      <c r="K4628" s="6">
        <v>-96.710431</v>
      </c>
      <c r="L4628" s="6" t="str">
        <f>HYPERLINK("https://maps.google.com/?q=17.035962,-96.710431", "🔗 Ver Mapa")</f>
        <v>🔗 Ver Mapa</v>
      </c>
    </row>
    <row r="4629" spans="1:12" ht="58" x14ac:dyDescent="0.35">
      <c r="A4629" s="5" t="s">
        <v>516</v>
      </c>
      <c r="B4629" s="5" t="s">
        <v>517</v>
      </c>
      <c r="C4629" s="5" t="s">
        <v>936</v>
      </c>
      <c r="D4629" s="5" t="s">
        <v>58</v>
      </c>
      <c r="E4629" s="5" t="s">
        <v>52</v>
      </c>
      <c r="F4629" s="5" t="s">
        <v>70</v>
      </c>
      <c r="G4629" s="5" t="s">
        <v>71</v>
      </c>
      <c r="H4629" s="5" t="s">
        <v>72</v>
      </c>
      <c r="I4629" s="5" t="s">
        <v>32</v>
      </c>
      <c r="J4629" s="5">
        <v>17.036035559999998</v>
      </c>
      <c r="K4629" s="5">
        <v>-96.712064909999995</v>
      </c>
      <c r="L4629" s="5" t="str">
        <f>HYPERLINK("https://maps.google.com/?q=17.03603556,-96.712064909999995", "🔗 Ver Mapa")</f>
        <v>🔗 Ver Mapa</v>
      </c>
    </row>
    <row r="4630" spans="1:12" ht="58" x14ac:dyDescent="0.35">
      <c r="A4630" s="6" t="s">
        <v>516</v>
      </c>
      <c r="B4630" s="6" t="s">
        <v>517</v>
      </c>
      <c r="C4630" s="6" t="s">
        <v>936</v>
      </c>
      <c r="D4630" s="6" t="s">
        <v>58</v>
      </c>
      <c r="E4630" s="6" t="s">
        <v>52</v>
      </c>
      <c r="F4630" s="6" t="s">
        <v>70</v>
      </c>
      <c r="G4630" s="6" t="s">
        <v>71</v>
      </c>
      <c r="H4630" s="6" t="s">
        <v>72</v>
      </c>
      <c r="I4630" s="6" t="s">
        <v>32</v>
      </c>
      <c r="J4630" s="6">
        <v>17.036149000000002</v>
      </c>
      <c r="K4630" s="6">
        <v>-96.711225999999996</v>
      </c>
      <c r="L4630" s="6" t="str">
        <f>HYPERLINK("https://maps.google.com/?q=17.036149,-96.711225999999996", "🔗 Ver Mapa")</f>
        <v>🔗 Ver Mapa</v>
      </c>
    </row>
    <row r="4631" spans="1:12" ht="58" x14ac:dyDescent="0.35">
      <c r="A4631" s="5" t="s">
        <v>516</v>
      </c>
      <c r="B4631" s="5" t="s">
        <v>517</v>
      </c>
      <c r="C4631" s="5" t="s">
        <v>936</v>
      </c>
      <c r="D4631" s="5" t="s">
        <v>58</v>
      </c>
      <c r="E4631" s="5" t="s">
        <v>52</v>
      </c>
      <c r="F4631" s="5" t="s">
        <v>70</v>
      </c>
      <c r="G4631" s="5" t="s">
        <v>71</v>
      </c>
      <c r="H4631" s="5" t="s">
        <v>72</v>
      </c>
      <c r="I4631" s="5" t="s">
        <v>32</v>
      </c>
      <c r="J4631" s="5">
        <v>17.036300709999999</v>
      </c>
      <c r="K4631" s="5">
        <v>-96.711885069999994</v>
      </c>
      <c r="L4631" s="5" t="str">
        <f>HYPERLINK("https://maps.google.com/?q=17.03630071,-96.711885069999994", "🔗 Ver Mapa")</f>
        <v>🔗 Ver Mapa</v>
      </c>
    </row>
    <row r="4632" spans="1:12" ht="58" x14ac:dyDescent="0.35">
      <c r="A4632" s="6" t="s">
        <v>73</v>
      </c>
      <c r="B4632" s="6" t="s">
        <v>74</v>
      </c>
      <c r="C4632" s="6" t="s">
        <v>937</v>
      </c>
      <c r="D4632" s="6" t="s">
        <v>76</v>
      </c>
      <c r="E4632" s="6" t="s">
        <v>52</v>
      </c>
      <c r="F4632" s="6" t="s">
        <v>421</v>
      </c>
      <c r="G4632" s="6" t="s">
        <v>422</v>
      </c>
      <c r="H4632" s="6" t="s">
        <v>423</v>
      </c>
      <c r="I4632" s="6" t="s">
        <v>31</v>
      </c>
      <c r="J4632" s="6">
        <v>16.576399593331001</v>
      </c>
      <c r="K4632" s="6">
        <v>-96.736220193774997</v>
      </c>
      <c r="L4632" s="6" t="str">
        <f>HYPERLINK("https://maps.google.com/?q=16.576399593330667,-96.73622019377473", "🔗 Ver Mapa")</f>
        <v>🔗 Ver Mapa</v>
      </c>
    </row>
    <row r="4633" spans="1:12" ht="43.5" x14ac:dyDescent="0.35">
      <c r="A4633" s="5" t="s">
        <v>73</v>
      </c>
      <c r="B4633" s="5" t="s">
        <v>74</v>
      </c>
      <c r="C4633" s="5" t="s">
        <v>938</v>
      </c>
      <c r="D4633" s="5" t="s">
        <v>76</v>
      </c>
      <c r="E4633" s="5" t="s">
        <v>52</v>
      </c>
      <c r="F4633" s="5" t="s">
        <v>70</v>
      </c>
      <c r="G4633" s="5" t="s">
        <v>225</v>
      </c>
      <c r="H4633" s="5" t="s">
        <v>226</v>
      </c>
      <c r="I4633" s="5" t="s">
        <v>31</v>
      </c>
      <c r="J4633" s="5">
        <v>16.991503165162001</v>
      </c>
      <c r="K4633" s="5">
        <v>-96.782872655025002</v>
      </c>
      <c r="L4633" s="5" t="str">
        <f>HYPERLINK("https://maps.google.com/?q=16.99150316516188,-96.78287265502478", "🔗 Ver Mapa")</f>
        <v>🔗 Ver Mapa</v>
      </c>
    </row>
    <row r="4634" spans="1:12" ht="58" x14ac:dyDescent="0.35">
      <c r="A4634" s="6" t="s">
        <v>73</v>
      </c>
      <c r="B4634" s="6" t="s">
        <v>74</v>
      </c>
      <c r="C4634" s="6" t="s">
        <v>939</v>
      </c>
      <c r="D4634" s="6" t="s">
        <v>76</v>
      </c>
      <c r="E4634" s="6" t="s">
        <v>16</v>
      </c>
      <c r="F4634" s="6" t="s">
        <v>19</v>
      </c>
      <c r="G4634" s="6" t="s">
        <v>199</v>
      </c>
      <c r="H4634" s="6" t="s">
        <v>200</v>
      </c>
      <c r="I4634" s="6" t="s">
        <v>31</v>
      </c>
      <c r="J4634" s="6">
        <v>17.458776193711</v>
      </c>
      <c r="K4634" s="6">
        <v>-97.242523570882</v>
      </c>
      <c r="L4634" s="6" t="str">
        <f>HYPERLINK("https://maps.google.com/?q=17.458776193710985,-97.2425235708823", "🔗 Ver Mapa")</f>
        <v>🔗 Ver Mapa</v>
      </c>
    </row>
    <row r="4635" spans="1:12" ht="72.5" x14ac:dyDescent="0.35">
      <c r="A4635" s="5" t="s">
        <v>73</v>
      </c>
      <c r="B4635" s="5" t="s">
        <v>74</v>
      </c>
      <c r="C4635" s="5" t="s">
        <v>940</v>
      </c>
      <c r="D4635" s="5" t="s">
        <v>76</v>
      </c>
      <c r="E4635" s="5" t="s">
        <v>39</v>
      </c>
      <c r="F4635" s="5" t="s">
        <v>40</v>
      </c>
      <c r="G4635" s="5" t="s">
        <v>184</v>
      </c>
      <c r="H4635" s="5" t="s">
        <v>941</v>
      </c>
      <c r="I4635" s="5" t="s">
        <v>31</v>
      </c>
      <c r="J4635" s="5">
        <v>17.053962409855</v>
      </c>
      <c r="K4635" s="5">
        <v>-97.912066874041003</v>
      </c>
      <c r="L4635" s="5" t="str">
        <f>HYPERLINK("https://maps.google.com/?q=17.053962409855473,-97.91206687404056", "🔗 Ver Mapa")</f>
        <v>🔗 Ver Mapa</v>
      </c>
    </row>
    <row r="4636" spans="1:12" ht="43.5" x14ac:dyDescent="0.35">
      <c r="A4636" s="6" t="s">
        <v>73</v>
      </c>
      <c r="B4636" s="6" t="s">
        <v>74</v>
      </c>
      <c r="C4636" s="6" t="s">
        <v>942</v>
      </c>
      <c r="D4636" s="6" t="s">
        <v>76</v>
      </c>
      <c r="E4636" s="6" t="s">
        <v>39</v>
      </c>
      <c r="F4636" s="6" t="s">
        <v>353</v>
      </c>
      <c r="G4636" s="6" t="s">
        <v>943</v>
      </c>
      <c r="H4636" s="6" t="s">
        <v>944</v>
      </c>
      <c r="I4636" s="6" t="s">
        <v>31</v>
      </c>
      <c r="J4636" s="6">
        <v>16.195076226163</v>
      </c>
      <c r="K4636" s="6">
        <v>-96.519751451996001</v>
      </c>
      <c r="L4636" s="6" t="str">
        <f>HYPERLINK("https://maps.google.com/?q=16.195076226162914,-96.51975145199636", "🔗 Ver Mapa")</f>
        <v>🔗 Ver Mapa</v>
      </c>
    </row>
    <row r="4637" spans="1:12" ht="43.5" x14ac:dyDescent="0.35">
      <c r="A4637" s="5" t="s">
        <v>297</v>
      </c>
      <c r="B4637" s="5" t="s">
        <v>298</v>
      </c>
      <c r="C4637" s="5" t="s">
        <v>945</v>
      </c>
      <c r="D4637" s="5" t="s">
        <v>13</v>
      </c>
      <c r="E4637" s="5" t="s">
        <v>52</v>
      </c>
      <c r="F4637" s="5" t="s">
        <v>70</v>
      </c>
      <c r="G4637" s="5" t="s">
        <v>71</v>
      </c>
      <c r="H4637" s="5" t="s">
        <v>72</v>
      </c>
      <c r="I4637" s="5" t="s">
        <v>31</v>
      </c>
      <c r="J4637" s="5">
        <v>17.050433000000002</v>
      </c>
      <c r="K4637" s="5">
        <v>-96.728480000000005</v>
      </c>
      <c r="L4637" s="5" t="str">
        <f>HYPERLINK("https://maps.google.com/?q=17.050433,-96.72848", "🔗 Ver Mapa")</f>
        <v>🔗 Ver Mapa</v>
      </c>
    </row>
    <row r="4638" spans="1:12" ht="43.5" x14ac:dyDescent="0.35">
      <c r="A4638" s="6" t="s">
        <v>297</v>
      </c>
      <c r="B4638" s="6" t="s">
        <v>298</v>
      </c>
      <c r="C4638" s="6" t="s">
        <v>945</v>
      </c>
      <c r="D4638" s="6" t="s">
        <v>13</v>
      </c>
      <c r="E4638" s="6" t="s">
        <v>52</v>
      </c>
      <c r="F4638" s="6" t="s">
        <v>70</v>
      </c>
      <c r="G4638" s="6" t="s">
        <v>71</v>
      </c>
      <c r="H4638" s="6" t="s">
        <v>72</v>
      </c>
      <c r="I4638" s="6" t="s">
        <v>31</v>
      </c>
      <c r="J4638" s="6">
        <v>17.053894</v>
      </c>
      <c r="K4638" s="6">
        <v>-96.735401999999993</v>
      </c>
      <c r="L4638" s="6" t="str">
        <f>HYPERLINK("https://maps.google.com/?q=17.053894,-96.735402", "🔗 Ver Mapa")</f>
        <v>🔗 Ver Mapa</v>
      </c>
    </row>
    <row r="4639" spans="1:12" ht="43.5" x14ac:dyDescent="0.35">
      <c r="A4639" s="5" t="s">
        <v>297</v>
      </c>
      <c r="B4639" s="5" t="s">
        <v>298</v>
      </c>
      <c r="C4639" s="5" t="s">
        <v>945</v>
      </c>
      <c r="D4639" s="5" t="s">
        <v>13</v>
      </c>
      <c r="E4639" s="5" t="s">
        <v>52</v>
      </c>
      <c r="F4639" s="5" t="s">
        <v>70</v>
      </c>
      <c r="G4639" s="5" t="s">
        <v>71</v>
      </c>
      <c r="H4639" s="5" t="s">
        <v>72</v>
      </c>
      <c r="I4639" s="5" t="s">
        <v>31</v>
      </c>
      <c r="J4639" s="5">
        <v>17.1188</v>
      </c>
      <c r="K4639" s="5">
        <v>-96.772509999999997</v>
      </c>
      <c r="L4639" s="5" t="str">
        <f>HYPERLINK("https://maps.google.com/?q=17.1188,-96.77251", "🔗 Ver Mapa")</f>
        <v>🔗 Ver Mapa</v>
      </c>
    </row>
    <row r="4640" spans="1:12" ht="58" x14ac:dyDescent="0.35">
      <c r="A4640" s="6" t="s">
        <v>297</v>
      </c>
      <c r="B4640" s="6" t="s">
        <v>298</v>
      </c>
      <c r="C4640" s="6" t="s">
        <v>946</v>
      </c>
      <c r="D4640" s="6" t="s">
        <v>13</v>
      </c>
      <c r="E4640" s="6" t="s">
        <v>52</v>
      </c>
      <c r="F4640" s="6" t="s">
        <v>70</v>
      </c>
      <c r="G4640" s="6" t="s">
        <v>71</v>
      </c>
      <c r="H4640" s="6" t="s">
        <v>72</v>
      </c>
      <c r="I4640" s="6" t="s">
        <v>32</v>
      </c>
      <c r="J4640" s="6">
        <v>17.061717000000002</v>
      </c>
      <c r="K4640" s="6">
        <v>-96.737660000000005</v>
      </c>
      <c r="L4640" s="6" t="str">
        <f>HYPERLINK("https://maps.google.com/?q=17.061717,-96.73766", "🔗 Ver Mapa")</f>
        <v>🔗 Ver Mapa</v>
      </c>
    </row>
    <row r="4641" spans="1:12" ht="58" x14ac:dyDescent="0.35">
      <c r="A4641" s="5" t="s">
        <v>297</v>
      </c>
      <c r="B4641" s="5" t="s">
        <v>298</v>
      </c>
      <c r="C4641" s="5" t="s">
        <v>946</v>
      </c>
      <c r="D4641" s="5" t="s">
        <v>13</v>
      </c>
      <c r="E4641" s="5" t="s">
        <v>52</v>
      </c>
      <c r="F4641" s="5" t="s">
        <v>70</v>
      </c>
      <c r="G4641" s="5" t="s">
        <v>71</v>
      </c>
      <c r="H4641" s="5" t="s">
        <v>72</v>
      </c>
      <c r="I4641" s="5" t="s">
        <v>32</v>
      </c>
      <c r="J4641" s="5">
        <v>17.061720999999999</v>
      </c>
      <c r="K4641" s="5">
        <v>-96.737656999999999</v>
      </c>
      <c r="L4641" s="5" t="str">
        <f>HYPERLINK("https://maps.google.com/?q=17.061721,-96.73765700", "🔗 Ver Mapa")</f>
        <v>🔗 Ver Mapa</v>
      </c>
    </row>
    <row r="4642" spans="1:12" ht="58" x14ac:dyDescent="0.35">
      <c r="A4642" s="6" t="s">
        <v>297</v>
      </c>
      <c r="B4642" s="6" t="s">
        <v>298</v>
      </c>
      <c r="C4642" s="6" t="s">
        <v>946</v>
      </c>
      <c r="D4642" s="6" t="s">
        <v>13</v>
      </c>
      <c r="E4642" s="6" t="s">
        <v>52</v>
      </c>
      <c r="F4642" s="6" t="s">
        <v>70</v>
      </c>
      <c r="G4642" s="6" t="s">
        <v>71</v>
      </c>
      <c r="H4642" s="6" t="s">
        <v>72</v>
      </c>
      <c r="I4642" s="6" t="s">
        <v>32</v>
      </c>
      <c r="J4642" s="6">
        <v>17.062470999999999</v>
      </c>
      <c r="K4642" s="6">
        <v>-96.737970000000004</v>
      </c>
      <c r="L4642" s="6" t="str">
        <f>HYPERLINK("https://maps.google.com/?q=17.062471,-96.73797", "🔗 Ver Mapa")</f>
        <v>🔗 Ver Mapa</v>
      </c>
    </row>
    <row r="4643" spans="1:12" ht="58" x14ac:dyDescent="0.35">
      <c r="A4643" s="5" t="s">
        <v>297</v>
      </c>
      <c r="B4643" s="5" t="s">
        <v>298</v>
      </c>
      <c r="C4643" s="5" t="s">
        <v>946</v>
      </c>
      <c r="D4643" s="5" t="s">
        <v>13</v>
      </c>
      <c r="E4643" s="5" t="s">
        <v>52</v>
      </c>
      <c r="F4643" s="5" t="s">
        <v>70</v>
      </c>
      <c r="G4643" s="5" t="s">
        <v>71</v>
      </c>
      <c r="H4643" s="5" t="s">
        <v>72</v>
      </c>
      <c r="I4643" s="5" t="s">
        <v>32</v>
      </c>
      <c r="J4643" s="5">
        <v>17.062473000000001</v>
      </c>
      <c r="K4643" s="5">
        <v>-96.737964000000005</v>
      </c>
      <c r="L4643" s="5" t="str">
        <f>HYPERLINK("https://maps.google.com/?q=17.062473,-96.73796400", "🔗 Ver Mapa")</f>
        <v>🔗 Ver Mapa</v>
      </c>
    </row>
    <row r="4644" spans="1:12" ht="43.5" x14ac:dyDescent="0.35">
      <c r="A4644" s="6" t="s">
        <v>297</v>
      </c>
      <c r="B4644" s="6" t="s">
        <v>298</v>
      </c>
      <c r="C4644" s="6" t="s">
        <v>947</v>
      </c>
      <c r="D4644" s="6" t="s">
        <v>58</v>
      </c>
      <c r="E4644" s="6" t="s">
        <v>52</v>
      </c>
      <c r="F4644" s="6" t="s">
        <v>70</v>
      </c>
      <c r="G4644" s="6" t="s">
        <v>71</v>
      </c>
      <c r="H4644" s="6" t="s">
        <v>72</v>
      </c>
      <c r="I4644" s="6" t="s">
        <v>32</v>
      </c>
      <c r="J4644" s="6">
        <v>17.081185999999999</v>
      </c>
      <c r="K4644" s="6">
        <v>-96.744056</v>
      </c>
      <c r="L4644" s="6" t="str">
        <f>HYPERLINK("https://maps.google.com/?q=17.081186,-96.74405600", "🔗 Ver Mapa")</f>
        <v>🔗 Ver Mapa</v>
      </c>
    </row>
    <row r="4645" spans="1:12" ht="43.5" x14ac:dyDescent="0.35">
      <c r="A4645" s="5" t="s">
        <v>297</v>
      </c>
      <c r="B4645" s="5" t="s">
        <v>298</v>
      </c>
      <c r="C4645" s="5" t="s">
        <v>947</v>
      </c>
      <c r="D4645" s="5" t="s">
        <v>58</v>
      </c>
      <c r="E4645" s="5" t="s">
        <v>52</v>
      </c>
      <c r="F4645" s="5" t="s">
        <v>70</v>
      </c>
      <c r="G4645" s="5" t="s">
        <v>71</v>
      </c>
      <c r="H4645" s="5" t="s">
        <v>72</v>
      </c>
      <c r="I4645" s="5" t="s">
        <v>32</v>
      </c>
      <c r="J4645" s="5">
        <v>17.081887999999999</v>
      </c>
      <c r="K4645" s="5">
        <v>-96.746965000000003</v>
      </c>
      <c r="L4645" s="5" t="str">
        <f>HYPERLINK("https://maps.google.com/?q=17.081888,-96.74696500", "🔗 Ver Mapa")</f>
        <v>🔗 Ver Mapa</v>
      </c>
    </row>
    <row r="4646" spans="1:12" ht="43.5" x14ac:dyDescent="0.35">
      <c r="A4646" s="6" t="s">
        <v>297</v>
      </c>
      <c r="B4646" s="6" t="s">
        <v>298</v>
      </c>
      <c r="C4646" s="6" t="s">
        <v>947</v>
      </c>
      <c r="D4646" s="6" t="s">
        <v>58</v>
      </c>
      <c r="E4646" s="6" t="s">
        <v>52</v>
      </c>
      <c r="F4646" s="6" t="s">
        <v>70</v>
      </c>
      <c r="G4646" s="6" t="s">
        <v>71</v>
      </c>
      <c r="H4646" s="6" t="s">
        <v>72</v>
      </c>
      <c r="I4646" s="6" t="s">
        <v>32</v>
      </c>
      <c r="J4646" s="6">
        <v>17.081949000000002</v>
      </c>
      <c r="K4646" s="6">
        <v>-96.744416999999999</v>
      </c>
      <c r="L4646" s="6" t="str">
        <f>HYPERLINK("https://maps.google.com/?q=17.081949,-96.74441700", "🔗 Ver Mapa")</f>
        <v>🔗 Ver Mapa</v>
      </c>
    </row>
    <row r="4647" spans="1:12" ht="43.5" x14ac:dyDescent="0.35">
      <c r="A4647" s="5" t="s">
        <v>297</v>
      </c>
      <c r="B4647" s="5" t="s">
        <v>298</v>
      </c>
      <c r="C4647" s="5" t="s">
        <v>947</v>
      </c>
      <c r="D4647" s="5" t="s">
        <v>58</v>
      </c>
      <c r="E4647" s="5" t="s">
        <v>52</v>
      </c>
      <c r="F4647" s="5" t="s">
        <v>70</v>
      </c>
      <c r="G4647" s="5" t="s">
        <v>71</v>
      </c>
      <c r="H4647" s="5" t="s">
        <v>72</v>
      </c>
      <c r="I4647" s="5" t="s">
        <v>32</v>
      </c>
      <c r="J4647" s="5">
        <v>17.082128000000001</v>
      </c>
      <c r="K4647" s="5">
        <v>-96.746464000000003</v>
      </c>
      <c r="L4647" s="5" t="str">
        <f>HYPERLINK("https://maps.google.com/?q=17.082128,-96.74646400", "🔗 Ver Mapa")</f>
        <v>🔗 Ver Mapa</v>
      </c>
    </row>
    <row r="4648" spans="1:12" ht="43.5" x14ac:dyDescent="0.35">
      <c r="A4648" s="6" t="s">
        <v>297</v>
      </c>
      <c r="B4648" s="6" t="s">
        <v>298</v>
      </c>
      <c r="C4648" s="6" t="s">
        <v>947</v>
      </c>
      <c r="D4648" s="6" t="s">
        <v>58</v>
      </c>
      <c r="E4648" s="6" t="s">
        <v>52</v>
      </c>
      <c r="F4648" s="6" t="s">
        <v>70</v>
      </c>
      <c r="G4648" s="6" t="s">
        <v>71</v>
      </c>
      <c r="H4648" s="6" t="s">
        <v>72</v>
      </c>
      <c r="I4648" s="6" t="s">
        <v>32</v>
      </c>
      <c r="J4648" s="6">
        <v>17.082395000000002</v>
      </c>
      <c r="K4648" s="6">
        <v>-96.745947000000001</v>
      </c>
      <c r="L4648" s="6" t="str">
        <f>HYPERLINK("https://maps.google.com/?q=17.082395,-96.74594700", "🔗 Ver Mapa")</f>
        <v>🔗 Ver Mapa</v>
      </c>
    </row>
    <row r="4649" spans="1:12" ht="43.5" x14ac:dyDescent="0.35">
      <c r="A4649" s="5" t="s">
        <v>297</v>
      </c>
      <c r="B4649" s="5" t="s">
        <v>298</v>
      </c>
      <c r="C4649" s="5" t="s">
        <v>947</v>
      </c>
      <c r="D4649" s="5" t="s">
        <v>58</v>
      </c>
      <c r="E4649" s="5" t="s">
        <v>52</v>
      </c>
      <c r="F4649" s="5" t="s">
        <v>70</v>
      </c>
      <c r="G4649" s="5" t="s">
        <v>71</v>
      </c>
      <c r="H4649" s="5" t="s">
        <v>72</v>
      </c>
      <c r="I4649" s="5" t="s">
        <v>32</v>
      </c>
      <c r="J4649" s="5">
        <v>17.082792999999999</v>
      </c>
      <c r="K4649" s="5">
        <v>-96.744811999999996</v>
      </c>
      <c r="L4649" s="5" t="str">
        <f>HYPERLINK("https://maps.google.com/?q=17.082793,-96.74481200", "🔗 Ver Mapa")</f>
        <v>🔗 Ver Mapa</v>
      </c>
    </row>
    <row r="4650" spans="1:12" ht="43.5" x14ac:dyDescent="0.35">
      <c r="A4650" s="6" t="s">
        <v>297</v>
      </c>
      <c r="B4650" s="6" t="s">
        <v>298</v>
      </c>
      <c r="C4650" s="6" t="s">
        <v>947</v>
      </c>
      <c r="D4650" s="6" t="s">
        <v>58</v>
      </c>
      <c r="E4650" s="6" t="s">
        <v>52</v>
      </c>
      <c r="F4650" s="6" t="s">
        <v>70</v>
      </c>
      <c r="G4650" s="6" t="s">
        <v>71</v>
      </c>
      <c r="H4650" s="6" t="s">
        <v>72</v>
      </c>
      <c r="I4650" s="6" t="s">
        <v>32</v>
      </c>
      <c r="J4650" s="6">
        <v>17.082833000000001</v>
      </c>
      <c r="K4650" s="6">
        <v>-96.745103</v>
      </c>
      <c r="L4650" s="6" t="str">
        <f>HYPERLINK("https://maps.google.com/?q=17.082833,-96.74510300", "🔗 Ver Mapa")</f>
        <v>🔗 Ver Mapa</v>
      </c>
    </row>
    <row r="4651" spans="1:12" ht="43.5" x14ac:dyDescent="0.35">
      <c r="A4651" s="5" t="s">
        <v>297</v>
      </c>
      <c r="B4651" s="5" t="s">
        <v>298</v>
      </c>
      <c r="C4651" s="5" t="s">
        <v>948</v>
      </c>
      <c r="D4651" s="5" t="s">
        <v>58</v>
      </c>
      <c r="E4651" s="5" t="s">
        <v>52</v>
      </c>
      <c r="F4651" s="5" t="s">
        <v>70</v>
      </c>
      <c r="G4651" s="5" t="s">
        <v>71</v>
      </c>
      <c r="H4651" s="5" t="s">
        <v>72</v>
      </c>
      <c r="I4651" s="5" t="s">
        <v>32</v>
      </c>
      <c r="J4651" s="5">
        <v>17.07105</v>
      </c>
      <c r="K4651" s="5">
        <v>-96.741822999999997</v>
      </c>
      <c r="L4651" s="5" t="str">
        <f>HYPERLINK("https://maps.google.com/?q=17.07105,-96.741822999999997", "🔗 Ver Mapa")</f>
        <v>🔗 Ver Mapa</v>
      </c>
    </row>
    <row r="4652" spans="1:12" ht="43.5" x14ac:dyDescent="0.35">
      <c r="A4652" s="6" t="s">
        <v>297</v>
      </c>
      <c r="B4652" s="6" t="s">
        <v>298</v>
      </c>
      <c r="C4652" s="6" t="s">
        <v>948</v>
      </c>
      <c r="D4652" s="6" t="s">
        <v>58</v>
      </c>
      <c r="E4652" s="6" t="s">
        <v>52</v>
      </c>
      <c r="F4652" s="6" t="s">
        <v>70</v>
      </c>
      <c r="G4652" s="6" t="s">
        <v>71</v>
      </c>
      <c r="H4652" s="6" t="s">
        <v>72</v>
      </c>
      <c r="I4652" s="6" t="s">
        <v>32</v>
      </c>
      <c r="J4652" s="6">
        <v>17.071470999999999</v>
      </c>
      <c r="K4652" s="6">
        <v>-96.742028000000005</v>
      </c>
      <c r="L4652" s="6" t="str">
        <f>HYPERLINK("https://maps.google.com/?q=17.071471,-96.742028000000005", "🔗 Ver Mapa")</f>
        <v>🔗 Ver Mapa</v>
      </c>
    </row>
    <row r="4653" spans="1:12" ht="43.5" x14ac:dyDescent="0.35">
      <c r="A4653" s="5" t="s">
        <v>297</v>
      </c>
      <c r="B4653" s="5" t="s">
        <v>298</v>
      </c>
      <c r="C4653" s="5" t="s">
        <v>948</v>
      </c>
      <c r="D4653" s="5" t="s">
        <v>58</v>
      </c>
      <c r="E4653" s="5" t="s">
        <v>52</v>
      </c>
      <c r="F4653" s="5" t="s">
        <v>70</v>
      </c>
      <c r="G4653" s="5" t="s">
        <v>71</v>
      </c>
      <c r="H4653" s="5" t="s">
        <v>72</v>
      </c>
      <c r="I4653" s="5" t="s">
        <v>32</v>
      </c>
      <c r="J4653" s="5">
        <v>17.071829000000001</v>
      </c>
      <c r="K4653" s="5">
        <v>-96.742204999999998</v>
      </c>
      <c r="L4653" s="5" t="str">
        <f>HYPERLINK("https://maps.google.com/?q=17.071829,-96.742204999999998", "🔗 Ver Mapa")</f>
        <v>🔗 Ver Mapa</v>
      </c>
    </row>
    <row r="4654" spans="1:12" ht="43.5" x14ac:dyDescent="0.35">
      <c r="A4654" s="6" t="s">
        <v>297</v>
      </c>
      <c r="B4654" s="6" t="s">
        <v>298</v>
      </c>
      <c r="C4654" s="6" t="s">
        <v>948</v>
      </c>
      <c r="D4654" s="6" t="s">
        <v>58</v>
      </c>
      <c r="E4654" s="6" t="s">
        <v>52</v>
      </c>
      <c r="F4654" s="6" t="s">
        <v>70</v>
      </c>
      <c r="G4654" s="6" t="s">
        <v>71</v>
      </c>
      <c r="H4654" s="6" t="s">
        <v>72</v>
      </c>
      <c r="I4654" s="6" t="s">
        <v>32</v>
      </c>
      <c r="J4654" s="6">
        <v>17.071883</v>
      </c>
      <c r="K4654" s="6">
        <v>-96.742366000000004</v>
      </c>
      <c r="L4654" s="6" t="str">
        <f>HYPERLINK("https://maps.google.com/?q=17.071883,-96.742366000000004", "🔗 Ver Mapa")</f>
        <v>🔗 Ver Mapa</v>
      </c>
    </row>
    <row r="4655" spans="1:12" ht="43.5" x14ac:dyDescent="0.35">
      <c r="A4655" s="5" t="s">
        <v>297</v>
      </c>
      <c r="B4655" s="5" t="s">
        <v>298</v>
      </c>
      <c r="C4655" s="5" t="s">
        <v>948</v>
      </c>
      <c r="D4655" s="5" t="s">
        <v>58</v>
      </c>
      <c r="E4655" s="5" t="s">
        <v>52</v>
      </c>
      <c r="F4655" s="5" t="s">
        <v>70</v>
      </c>
      <c r="G4655" s="5" t="s">
        <v>71</v>
      </c>
      <c r="H4655" s="5" t="s">
        <v>72</v>
      </c>
      <c r="I4655" s="5" t="s">
        <v>32</v>
      </c>
      <c r="J4655" s="5">
        <v>17.071964000000001</v>
      </c>
      <c r="K4655" s="5">
        <v>-96.742474000000001</v>
      </c>
      <c r="L4655" s="5" t="str">
        <f>HYPERLINK("https://maps.google.com/?q=17.071964,-96.742474000000001", "🔗 Ver Mapa")</f>
        <v>🔗 Ver Mapa</v>
      </c>
    </row>
    <row r="4656" spans="1:12" ht="43.5" x14ac:dyDescent="0.35">
      <c r="A4656" s="6" t="s">
        <v>297</v>
      </c>
      <c r="B4656" s="6" t="s">
        <v>298</v>
      </c>
      <c r="C4656" s="6" t="s">
        <v>948</v>
      </c>
      <c r="D4656" s="6" t="s">
        <v>58</v>
      </c>
      <c r="E4656" s="6" t="s">
        <v>52</v>
      </c>
      <c r="F4656" s="6" t="s">
        <v>70</v>
      </c>
      <c r="G4656" s="6" t="s">
        <v>71</v>
      </c>
      <c r="H4656" s="6" t="s">
        <v>72</v>
      </c>
      <c r="I4656" s="6" t="s">
        <v>32</v>
      </c>
      <c r="J4656" s="6">
        <v>17.072279999999999</v>
      </c>
      <c r="K4656" s="6">
        <v>-96.742705000000001</v>
      </c>
      <c r="L4656" s="6" t="str">
        <f>HYPERLINK("https://maps.google.com/?q=17.07228,-96.742705000000001", "🔗 Ver Mapa")</f>
        <v>🔗 Ver Mapa</v>
      </c>
    </row>
    <row r="4657" spans="1:12" ht="43.5" x14ac:dyDescent="0.35">
      <c r="A4657" s="5" t="s">
        <v>297</v>
      </c>
      <c r="B4657" s="5" t="s">
        <v>298</v>
      </c>
      <c r="C4657" s="5" t="s">
        <v>948</v>
      </c>
      <c r="D4657" s="5" t="s">
        <v>58</v>
      </c>
      <c r="E4657" s="5" t="s">
        <v>52</v>
      </c>
      <c r="F4657" s="5" t="s">
        <v>70</v>
      </c>
      <c r="G4657" s="5" t="s">
        <v>71</v>
      </c>
      <c r="H4657" s="5" t="s">
        <v>72</v>
      </c>
      <c r="I4657" s="5" t="s">
        <v>32</v>
      </c>
      <c r="J4657" s="5">
        <v>17.072358999999999</v>
      </c>
      <c r="K4657" s="5">
        <v>-96.742718999999994</v>
      </c>
      <c r="L4657" s="5" t="str">
        <f>HYPERLINK("https://maps.google.com/?q=17.072359,-96.742718999999994", "🔗 Ver Mapa")</f>
        <v>🔗 Ver Mapa</v>
      </c>
    </row>
    <row r="4658" spans="1:12" ht="43.5" x14ac:dyDescent="0.35">
      <c r="A4658" s="6" t="s">
        <v>297</v>
      </c>
      <c r="B4658" s="6" t="s">
        <v>298</v>
      </c>
      <c r="C4658" s="6" t="s">
        <v>948</v>
      </c>
      <c r="D4658" s="6" t="s">
        <v>58</v>
      </c>
      <c r="E4658" s="6" t="s">
        <v>52</v>
      </c>
      <c r="F4658" s="6" t="s">
        <v>70</v>
      </c>
      <c r="G4658" s="6" t="s">
        <v>71</v>
      </c>
      <c r="H4658" s="6" t="s">
        <v>72</v>
      </c>
      <c r="I4658" s="6" t="s">
        <v>32</v>
      </c>
      <c r="J4658" s="6">
        <v>17.072427999999999</v>
      </c>
      <c r="K4658" s="6">
        <v>-96.742863</v>
      </c>
      <c r="L4658" s="6" t="str">
        <f>HYPERLINK("https://maps.google.com/?q=17.072428,-96.742863", "🔗 Ver Mapa")</f>
        <v>🔗 Ver Mapa</v>
      </c>
    </row>
    <row r="4659" spans="1:12" ht="43.5" x14ac:dyDescent="0.35">
      <c r="A4659" s="5" t="s">
        <v>297</v>
      </c>
      <c r="B4659" s="5" t="s">
        <v>298</v>
      </c>
      <c r="C4659" s="5" t="s">
        <v>948</v>
      </c>
      <c r="D4659" s="5" t="s">
        <v>58</v>
      </c>
      <c r="E4659" s="5" t="s">
        <v>52</v>
      </c>
      <c r="F4659" s="5" t="s">
        <v>70</v>
      </c>
      <c r="G4659" s="5" t="s">
        <v>71</v>
      </c>
      <c r="H4659" s="5" t="s">
        <v>72</v>
      </c>
      <c r="I4659" s="5" t="s">
        <v>32</v>
      </c>
      <c r="J4659" s="5">
        <v>17.072478</v>
      </c>
      <c r="K4659" s="5">
        <v>-96.742842999999993</v>
      </c>
      <c r="L4659" s="5" t="str">
        <f>HYPERLINK("https://maps.google.com/?q=17.072478,-96.742842999999993", "🔗 Ver Mapa")</f>
        <v>🔗 Ver Mapa</v>
      </c>
    </row>
    <row r="4660" spans="1:12" ht="43.5" x14ac:dyDescent="0.35">
      <c r="A4660" s="6" t="s">
        <v>297</v>
      </c>
      <c r="B4660" s="6" t="s">
        <v>298</v>
      </c>
      <c r="C4660" s="6" t="s">
        <v>948</v>
      </c>
      <c r="D4660" s="6" t="s">
        <v>58</v>
      </c>
      <c r="E4660" s="6" t="s">
        <v>52</v>
      </c>
      <c r="F4660" s="6" t="s">
        <v>70</v>
      </c>
      <c r="G4660" s="6" t="s">
        <v>71</v>
      </c>
      <c r="H4660" s="6" t="s">
        <v>72</v>
      </c>
      <c r="I4660" s="6" t="s">
        <v>32</v>
      </c>
      <c r="J4660" s="6">
        <v>17.072671</v>
      </c>
      <c r="K4660" s="6">
        <v>-96.743015999999997</v>
      </c>
      <c r="L4660" s="6" t="str">
        <f>HYPERLINK("https://maps.google.com/?q=17.072671,-96.743015999999997", "🔗 Ver Mapa")</f>
        <v>🔗 Ver Mapa</v>
      </c>
    </row>
    <row r="4661" spans="1:12" ht="43.5" x14ac:dyDescent="0.35">
      <c r="A4661" s="5" t="s">
        <v>297</v>
      </c>
      <c r="B4661" s="5" t="s">
        <v>298</v>
      </c>
      <c r="C4661" s="5" t="s">
        <v>948</v>
      </c>
      <c r="D4661" s="5" t="s">
        <v>58</v>
      </c>
      <c r="E4661" s="5" t="s">
        <v>52</v>
      </c>
      <c r="F4661" s="5" t="s">
        <v>70</v>
      </c>
      <c r="G4661" s="5" t="s">
        <v>71</v>
      </c>
      <c r="H4661" s="5" t="s">
        <v>72</v>
      </c>
      <c r="I4661" s="5" t="s">
        <v>32</v>
      </c>
      <c r="J4661" s="5">
        <v>17.072858</v>
      </c>
      <c r="K4661" s="5">
        <v>-96.743183999999999</v>
      </c>
      <c r="L4661" s="5" t="str">
        <f>HYPERLINK("https://maps.google.com/?q=17.072858,-96.743183999999999", "🔗 Ver Mapa")</f>
        <v>🔗 Ver Mapa</v>
      </c>
    </row>
    <row r="4662" spans="1:12" ht="43.5" x14ac:dyDescent="0.35">
      <c r="A4662" s="6" t="s">
        <v>297</v>
      </c>
      <c r="B4662" s="6" t="s">
        <v>298</v>
      </c>
      <c r="C4662" s="6" t="s">
        <v>948</v>
      </c>
      <c r="D4662" s="6" t="s">
        <v>58</v>
      </c>
      <c r="E4662" s="6" t="s">
        <v>52</v>
      </c>
      <c r="F4662" s="6" t="s">
        <v>70</v>
      </c>
      <c r="G4662" s="6" t="s">
        <v>71</v>
      </c>
      <c r="H4662" s="6" t="s">
        <v>72</v>
      </c>
      <c r="I4662" s="6" t="s">
        <v>32</v>
      </c>
      <c r="J4662" s="6">
        <v>17.073059000000001</v>
      </c>
      <c r="K4662" s="6">
        <v>-96.743347</v>
      </c>
      <c r="L4662" s="6" t="str">
        <f>HYPERLINK("https://maps.google.com/?q=17.073059,-96.743347", "🔗 Ver Mapa")</f>
        <v>🔗 Ver Mapa</v>
      </c>
    </row>
    <row r="4663" spans="1:12" ht="43.5" x14ac:dyDescent="0.35">
      <c r="A4663" s="5" t="s">
        <v>297</v>
      </c>
      <c r="B4663" s="5" t="s">
        <v>298</v>
      </c>
      <c r="C4663" s="5" t="s">
        <v>948</v>
      </c>
      <c r="D4663" s="5" t="s">
        <v>58</v>
      </c>
      <c r="E4663" s="5" t="s">
        <v>52</v>
      </c>
      <c r="F4663" s="5" t="s">
        <v>70</v>
      </c>
      <c r="G4663" s="5" t="s">
        <v>71</v>
      </c>
      <c r="H4663" s="5" t="s">
        <v>72</v>
      </c>
      <c r="I4663" s="5" t="s">
        <v>32</v>
      </c>
      <c r="J4663" s="5">
        <v>17.073066000000001</v>
      </c>
      <c r="K4663" s="5">
        <v>-96.743436000000003</v>
      </c>
      <c r="L4663" s="5" t="str">
        <f>HYPERLINK("https://maps.google.com/?q=17.073066,-96.743436000000003", "🔗 Ver Mapa")</f>
        <v>🔗 Ver Mapa</v>
      </c>
    </row>
    <row r="4664" spans="1:12" ht="43.5" x14ac:dyDescent="0.35">
      <c r="A4664" s="6" t="s">
        <v>297</v>
      </c>
      <c r="B4664" s="6" t="s">
        <v>298</v>
      </c>
      <c r="C4664" s="6" t="s">
        <v>948</v>
      </c>
      <c r="D4664" s="6" t="s">
        <v>58</v>
      </c>
      <c r="E4664" s="6" t="s">
        <v>52</v>
      </c>
      <c r="F4664" s="6" t="s">
        <v>70</v>
      </c>
      <c r="G4664" s="6" t="s">
        <v>71</v>
      </c>
      <c r="H4664" s="6" t="s">
        <v>72</v>
      </c>
      <c r="I4664" s="6" t="s">
        <v>32</v>
      </c>
      <c r="J4664" s="6">
        <v>17.073132999999999</v>
      </c>
      <c r="K4664" s="6">
        <v>-96.743409</v>
      </c>
      <c r="L4664" s="6" t="str">
        <f>HYPERLINK("https://maps.google.com/?q=17.073133,-96.743409", "🔗 Ver Mapa")</f>
        <v>🔗 Ver Mapa</v>
      </c>
    </row>
    <row r="4665" spans="1:12" ht="43.5" x14ac:dyDescent="0.35">
      <c r="A4665" s="5" t="s">
        <v>297</v>
      </c>
      <c r="B4665" s="5" t="s">
        <v>298</v>
      </c>
      <c r="C4665" s="5" t="s">
        <v>948</v>
      </c>
      <c r="D4665" s="5" t="s">
        <v>58</v>
      </c>
      <c r="E4665" s="5" t="s">
        <v>52</v>
      </c>
      <c r="F4665" s="5" t="s">
        <v>70</v>
      </c>
      <c r="G4665" s="5" t="s">
        <v>71</v>
      </c>
      <c r="H4665" s="5" t="s">
        <v>72</v>
      </c>
      <c r="I4665" s="5" t="s">
        <v>32</v>
      </c>
      <c r="J4665" s="5">
        <v>17.073136999999999</v>
      </c>
      <c r="K4665" s="5">
        <v>-96.743375</v>
      </c>
      <c r="L4665" s="5" t="str">
        <f>HYPERLINK("https://maps.google.com/?q=17.073137,-96.743375", "🔗 Ver Mapa")</f>
        <v>🔗 Ver Mapa</v>
      </c>
    </row>
    <row r="4666" spans="1:12" ht="43.5" x14ac:dyDescent="0.35">
      <c r="A4666" s="6" t="s">
        <v>297</v>
      </c>
      <c r="B4666" s="6" t="s">
        <v>298</v>
      </c>
      <c r="C4666" s="6" t="s">
        <v>948</v>
      </c>
      <c r="D4666" s="6" t="s">
        <v>58</v>
      </c>
      <c r="E4666" s="6" t="s">
        <v>52</v>
      </c>
      <c r="F4666" s="6" t="s">
        <v>70</v>
      </c>
      <c r="G4666" s="6" t="s">
        <v>71</v>
      </c>
      <c r="H4666" s="6" t="s">
        <v>72</v>
      </c>
      <c r="I4666" s="6" t="s">
        <v>32</v>
      </c>
      <c r="J4666" s="6">
        <v>17.073996000000001</v>
      </c>
      <c r="K4666" s="6">
        <v>-96.743902000000006</v>
      </c>
      <c r="L4666" s="6" t="str">
        <f>HYPERLINK("https://maps.google.com/?q=17.073996,-96.743902000000006", "🔗 Ver Mapa")</f>
        <v>🔗 Ver Mapa</v>
      </c>
    </row>
    <row r="4667" spans="1:12" ht="43.5" x14ac:dyDescent="0.35">
      <c r="A4667" s="5" t="s">
        <v>297</v>
      </c>
      <c r="B4667" s="5" t="s">
        <v>298</v>
      </c>
      <c r="C4667" s="5" t="s">
        <v>948</v>
      </c>
      <c r="D4667" s="5" t="s">
        <v>58</v>
      </c>
      <c r="E4667" s="5" t="s">
        <v>52</v>
      </c>
      <c r="F4667" s="5" t="s">
        <v>70</v>
      </c>
      <c r="G4667" s="5" t="s">
        <v>71</v>
      </c>
      <c r="H4667" s="5" t="s">
        <v>72</v>
      </c>
      <c r="I4667" s="5" t="s">
        <v>32</v>
      </c>
      <c r="J4667" s="5">
        <v>17.074041999999999</v>
      </c>
      <c r="K4667" s="5">
        <v>-96.743859</v>
      </c>
      <c r="L4667" s="5" t="str">
        <f>HYPERLINK("https://maps.google.com/?q=17.074042,-96.743859", "🔗 Ver Mapa")</f>
        <v>🔗 Ver Mapa</v>
      </c>
    </row>
    <row r="4668" spans="1:12" ht="43.5" x14ac:dyDescent="0.35">
      <c r="A4668" s="6" t="s">
        <v>297</v>
      </c>
      <c r="B4668" s="6" t="s">
        <v>298</v>
      </c>
      <c r="C4668" s="6" t="s">
        <v>948</v>
      </c>
      <c r="D4668" s="6" t="s">
        <v>58</v>
      </c>
      <c r="E4668" s="6" t="s">
        <v>52</v>
      </c>
      <c r="F4668" s="6" t="s">
        <v>70</v>
      </c>
      <c r="G4668" s="6" t="s">
        <v>71</v>
      </c>
      <c r="H4668" s="6" t="s">
        <v>72</v>
      </c>
      <c r="I4668" s="6" t="s">
        <v>32</v>
      </c>
      <c r="J4668" s="6">
        <v>17.074473999999999</v>
      </c>
      <c r="K4668" s="6">
        <v>-96.744178000000005</v>
      </c>
      <c r="L4668" s="6" t="str">
        <f>HYPERLINK("https://maps.google.com/?q=17.074474,-96.744178000000005", "🔗 Ver Mapa")</f>
        <v>🔗 Ver Mapa</v>
      </c>
    </row>
    <row r="4669" spans="1:12" ht="29" x14ac:dyDescent="0.35">
      <c r="A4669" s="5" t="s">
        <v>344</v>
      </c>
      <c r="B4669" s="5" t="s">
        <v>345</v>
      </c>
      <c r="C4669" s="5" t="s">
        <v>949</v>
      </c>
      <c r="D4669" s="5" t="s">
        <v>950</v>
      </c>
      <c r="E4669" s="5" t="s">
        <v>90</v>
      </c>
      <c r="F4669" s="5" t="s">
        <v>119</v>
      </c>
      <c r="G4669" s="5" t="s">
        <v>347</v>
      </c>
      <c r="H4669" s="5" t="s">
        <v>348</v>
      </c>
      <c r="I4669" s="5" t="s">
        <v>31</v>
      </c>
      <c r="J4669" s="5">
        <v>17.316621837768</v>
      </c>
      <c r="K4669" s="5">
        <v>-96.482242048207993</v>
      </c>
      <c r="L4669" s="5" t="str">
        <f>HYPERLINK("https://maps.google.com/?q=17.316621837768256,-96.4822420482081", "🔗 Ver Mapa")</f>
        <v>🔗 Ver Mapa</v>
      </c>
    </row>
    <row r="4670" spans="1:12" ht="29" x14ac:dyDescent="0.35">
      <c r="A4670" s="6" t="s">
        <v>344</v>
      </c>
      <c r="B4670" s="6" t="s">
        <v>345</v>
      </c>
      <c r="C4670" s="6" t="s">
        <v>951</v>
      </c>
      <c r="D4670" s="6" t="s">
        <v>76</v>
      </c>
      <c r="E4670" s="6" t="s">
        <v>90</v>
      </c>
      <c r="F4670" s="6" t="s">
        <v>119</v>
      </c>
      <c r="G4670" s="6" t="s">
        <v>347</v>
      </c>
      <c r="H4670" s="6" t="s">
        <v>348</v>
      </c>
      <c r="I4670" s="6" t="s">
        <v>31</v>
      </c>
      <c r="J4670" s="6">
        <v>17.316619776604998</v>
      </c>
      <c r="K4670" s="6">
        <v>-96.482245214951007</v>
      </c>
      <c r="L4670" s="6" t="str">
        <f>HYPERLINK("https://maps.google.com/?q=17.31661977660524,-96.48224521495084", "🔗 Ver Mapa")</f>
        <v>🔗 Ver Mapa</v>
      </c>
    </row>
    <row r="4671" spans="1:12" ht="29" x14ac:dyDescent="0.35">
      <c r="A4671" s="5" t="s">
        <v>344</v>
      </c>
      <c r="B4671" s="5" t="s">
        <v>345</v>
      </c>
      <c r="C4671" s="5" t="s">
        <v>952</v>
      </c>
      <c r="D4671" s="5" t="s">
        <v>950</v>
      </c>
      <c r="E4671" s="5" t="s">
        <v>90</v>
      </c>
      <c r="F4671" s="5" t="s">
        <v>119</v>
      </c>
      <c r="G4671" s="5" t="s">
        <v>347</v>
      </c>
      <c r="H4671" s="5" t="s">
        <v>348</v>
      </c>
      <c r="I4671" s="5" t="s">
        <v>31</v>
      </c>
      <c r="J4671" s="5">
        <v>17.315659523322001</v>
      </c>
      <c r="K4671" s="5">
        <v>-96.483097116663004</v>
      </c>
      <c r="L4671" s="5" t="str">
        <f>HYPERLINK("https://maps.google.com/?q=17.31565952332221,-96.48309711666313", "🔗 Ver Mapa")</f>
        <v>🔗 Ver Mapa</v>
      </c>
    </row>
    <row r="4672" spans="1:12" ht="29" x14ac:dyDescent="0.35">
      <c r="A4672" s="6" t="s">
        <v>344</v>
      </c>
      <c r="B4672" s="6" t="s">
        <v>345</v>
      </c>
      <c r="C4672" s="6" t="s">
        <v>953</v>
      </c>
      <c r="D4672" s="6" t="s">
        <v>950</v>
      </c>
      <c r="E4672" s="6" t="s">
        <v>90</v>
      </c>
      <c r="F4672" s="6" t="s">
        <v>119</v>
      </c>
      <c r="G4672" s="6" t="s">
        <v>347</v>
      </c>
      <c r="H4672" s="6" t="s">
        <v>348</v>
      </c>
      <c r="I4672" s="6" t="s">
        <v>31</v>
      </c>
      <c r="J4672" s="6">
        <v>17.317202150541998</v>
      </c>
      <c r="K4672" s="6">
        <v>-96.483923293930005</v>
      </c>
      <c r="L4672" s="6" t="str">
        <f>HYPERLINK("https://maps.google.com/?q=17.317202150541767,-96.48392329392969", "🔗 Ver Mapa")</f>
        <v>🔗 Ver Mapa</v>
      </c>
    </row>
    <row r="4673" spans="1:12" ht="29" x14ac:dyDescent="0.35">
      <c r="A4673" s="5" t="s">
        <v>344</v>
      </c>
      <c r="B4673" s="5" t="s">
        <v>345</v>
      </c>
      <c r="C4673" s="5" t="s">
        <v>954</v>
      </c>
      <c r="D4673" s="5" t="s">
        <v>950</v>
      </c>
      <c r="E4673" s="5" t="s">
        <v>90</v>
      </c>
      <c r="F4673" s="5" t="s">
        <v>119</v>
      </c>
      <c r="G4673" s="5" t="s">
        <v>347</v>
      </c>
      <c r="H4673" s="5" t="s">
        <v>348</v>
      </c>
      <c r="I4673" s="5" t="s">
        <v>31</v>
      </c>
      <c r="J4673" s="5">
        <v>17.317049357087001</v>
      </c>
      <c r="K4673" s="5">
        <v>-96.483413094346005</v>
      </c>
      <c r="L4673" s="5" t="str">
        <f>HYPERLINK("https://maps.google.com/?q=17.31704935708711,-96.48341309434608", "🔗 Ver Mapa")</f>
        <v>🔗 Ver Mapa</v>
      </c>
    </row>
    <row r="4674" spans="1:12" ht="43.5" x14ac:dyDescent="0.35">
      <c r="A4674" s="6" t="s">
        <v>344</v>
      </c>
      <c r="B4674" s="6" t="s">
        <v>345</v>
      </c>
      <c r="C4674" s="6" t="s">
        <v>955</v>
      </c>
      <c r="D4674" s="6" t="s">
        <v>76</v>
      </c>
      <c r="E4674" s="6" t="s">
        <v>90</v>
      </c>
      <c r="F4674" s="6" t="s">
        <v>119</v>
      </c>
      <c r="G4674" s="6" t="s">
        <v>347</v>
      </c>
      <c r="H4674" s="6" t="s">
        <v>348</v>
      </c>
      <c r="I4674" s="6" t="s">
        <v>31</v>
      </c>
      <c r="J4674" s="6">
        <v>17.315442740350999</v>
      </c>
      <c r="K4674" s="6">
        <v>-96.484718242436003</v>
      </c>
      <c r="L4674" s="6" t="str">
        <f>HYPERLINK("https://maps.google.com/?q=17.315442740351056,-96.48471824243596", "🔗 Ver Mapa")</f>
        <v>🔗 Ver Mapa</v>
      </c>
    </row>
    <row r="4675" spans="1:12" ht="43.5" x14ac:dyDescent="0.35">
      <c r="A4675" s="5" t="s">
        <v>344</v>
      </c>
      <c r="B4675" s="5" t="s">
        <v>345</v>
      </c>
      <c r="C4675" s="5" t="s">
        <v>956</v>
      </c>
      <c r="D4675" s="5" t="s">
        <v>76</v>
      </c>
      <c r="E4675" s="5" t="s">
        <v>90</v>
      </c>
      <c r="F4675" s="5" t="s">
        <v>119</v>
      </c>
      <c r="G4675" s="5" t="s">
        <v>347</v>
      </c>
      <c r="H4675" s="5" t="s">
        <v>348</v>
      </c>
      <c r="I4675" s="5" t="s">
        <v>31</v>
      </c>
      <c r="J4675" s="5">
        <v>17.315463437889001</v>
      </c>
      <c r="K4675" s="5">
        <v>-96.484691604019005</v>
      </c>
      <c r="L4675" s="5" t="str">
        <f>HYPERLINK("https://maps.google.com/?q=17.315463437888607,-96.48469160401864", "🔗 Ver Mapa")</f>
        <v>🔗 Ver Mapa</v>
      </c>
    </row>
    <row r="4676" spans="1:12" ht="29" x14ac:dyDescent="0.35">
      <c r="A4676" s="6" t="s">
        <v>344</v>
      </c>
      <c r="B4676" s="6" t="s">
        <v>345</v>
      </c>
      <c r="C4676" s="6" t="s">
        <v>957</v>
      </c>
      <c r="D4676" s="6" t="s">
        <v>58</v>
      </c>
      <c r="E4676" s="6" t="s">
        <v>90</v>
      </c>
      <c r="F4676" s="6" t="s">
        <v>119</v>
      </c>
      <c r="G4676" s="6" t="s">
        <v>347</v>
      </c>
      <c r="H4676" s="6" t="s">
        <v>348</v>
      </c>
      <c r="I4676" s="6" t="s">
        <v>31</v>
      </c>
      <c r="J4676" s="6">
        <v>17.317322581795001</v>
      </c>
      <c r="K4676" s="6">
        <v>-96.484581857511998</v>
      </c>
      <c r="L4676" s="6" t="str">
        <f>HYPERLINK("https://maps.google.com/?q=17.31732258179546,-96.48458185751169", "🔗 Ver Mapa")</f>
        <v>🔗 Ver Mapa</v>
      </c>
    </row>
    <row r="4677" spans="1:12" ht="29" x14ac:dyDescent="0.35">
      <c r="A4677" s="5" t="s">
        <v>782</v>
      </c>
      <c r="B4677" s="5" t="s">
        <v>783</v>
      </c>
      <c r="C4677" s="5" t="s">
        <v>958</v>
      </c>
      <c r="D4677" s="5" t="s">
        <v>785</v>
      </c>
      <c r="E4677" s="5" t="s">
        <v>17</v>
      </c>
      <c r="F4677" s="5" t="s">
        <v>46</v>
      </c>
      <c r="G4677" s="5" t="s">
        <v>212</v>
      </c>
      <c r="H4677" s="5" t="s">
        <v>213</v>
      </c>
      <c r="I4677" s="5" t="s">
        <v>31</v>
      </c>
      <c r="J4677" s="5">
        <v>15.9898486</v>
      </c>
      <c r="K4677" s="5">
        <v>-97.4153807</v>
      </c>
      <c r="L4677" s="5" t="str">
        <f>HYPERLINK("https://maps.google.com/?q=15.9898486,-97.4153807", "🔗 Ver Mapa")</f>
        <v>🔗 Ver Mapa</v>
      </c>
    </row>
    <row r="4678" spans="1:12" ht="29" x14ac:dyDescent="0.35">
      <c r="A4678" s="6" t="s">
        <v>782</v>
      </c>
      <c r="B4678" s="6" t="s">
        <v>783</v>
      </c>
      <c r="C4678" s="6" t="s">
        <v>959</v>
      </c>
      <c r="D4678" s="6" t="s">
        <v>785</v>
      </c>
      <c r="E4678" s="6" t="s">
        <v>17</v>
      </c>
      <c r="F4678" s="6" t="s">
        <v>46</v>
      </c>
      <c r="G4678" s="6" t="s">
        <v>546</v>
      </c>
      <c r="H4678" s="6" t="s">
        <v>960</v>
      </c>
      <c r="I4678" s="6" t="s">
        <v>31</v>
      </c>
      <c r="J4678" s="6">
        <v>16.1005772</v>
      </c>
      <c r="K4678" s="6">
        <v>-97.144174500000005</v>
      </c>
      <c r="L4678" s="6" t="str">
        <f>HYPERLINK("https://maps.google.com/?q=16.1005772,-97.1441745", "🔗 Ver Mapa")</f>
        <v>🔗 Ver Mapa</v>
      </c>
    </row>
    <row r="4679" spans="1:12" ht="29" x14ac:dyDescent="0.35">
      <c r="A4679" s="5" t="s">
        <v>782</v>
      </c>
      <c r="B4679" s="5" t="s">
        <v>783</v>
      </c>
      <c r="C4679" s="5" t="s">
        <v>961</v>
      </c>
      <c r="D4679" s="5" t="s">
        <v>785</v>
      </c>
      <c r="E4679" s="5" t="s">
        <v>90</v>
      </c>
      <c r="F4679" s="5" t="s">
        <v>91</v>
      </c>
      <c r="G4679" s="5" t="s">
        <v>962</v>
      </c>
      <c r="H4679" s="5" t="s">
        <v>963</v>
      </c>
      <c r="I4679" s="5" t="s">
        <v>31</v>
      </c>
      <c r="J4679" s="5">
        <v>17.159444341690001</v>
      </c>
      <c r="K4679" s="5">
        <v>-95.913836279761995</v>
      </c>
      <c r="L4679" s="5" t="str">
        <f>HYPERLINK("https://maps.google.com/?q=17.1594443416902,-95.91383627976226", "🔗 Ver Mapa")</f>
        <v>🔗 Ver Mapa</v>
      </c>
    </row>
    <row r="4680" spans="1:12" ht="29" x14ac:dyDescent="0.35">
      <c r="A4680" s="6" t="s">
        <v>782</v>
      </c>
      <c r="B4680" s="6" t="s">
        <v>783</v>
      </c>
      <c r="C4680" s="6" t="s">
        <v>964</v>
      </c>
      <c r="D4680" s="6" t="s">
        <v>785</v>
      </c>
      <c r="E4680" s="6" t="s">
        <v>52</v>
      </c>
      <c r="F4680" s="6" t="s">
        <v>53</v>
      </c>
      <c r="G4680" s="6" t="s">
        <v>252</v>
      </c>
      <c r="H4680" s="6" t="s">
        <v>253</v>
      </c>
      <c r="I4680" s="6" t="s">
        <v>31</v>
      </c>
      <c r="J4680" s="6">
        <v>16.952510775530001</v>
      </c>
      <c r="K4680" s="6">
        <v>-96.479260412421993</v>
      </c>
      <c r="L4680" s="6" t="str">
        <f>HYPERLINK("https://maps.google.com/?q=16.952510775529536,-96.47926041242161", "🔗 Ver Mapa")</f>
        <v>🔗 Ver Mapa</v>
      </c>
    </row>
    <row r="4681" spans="1:12" ht="43.5" x14ac:dyDescent="0.35">
      <c r="A4681" s="5" t="s">
        <v>297</v>
      </c>
      <c r="B4681" s="5" t="s">
        <v>298</v>
      </c>
      <c r="C4681" s="5" t="s">
        <v>965</v>
      </c>
      <c r="D4681" s="5" t="s">
        <v>13</v>
      </c>
      <c r="E4681" s="5" t="s">
        <v>52</v>
      </c>
      <c r="F4681" s="5" t="s">
        <v>70</v>
      </c>
      <c r="G4681" s="5" t="s">
        <v>71</v>
      </c>
      <c r="H4681" s="5" t="s">
        <v>72</v>
      </c>
      <c r="I4681" s="5" t="s">
        <v>31</v>
      </c>
      <c r="J4681" s="5">
        <v>17.047000000000001</v>
      </c>
      <c r="K4681" s="5">
        <v>-96.713660000000004</v>
      </c>
      <c r="L4681" s="5" t="str">
        <f>HYPERLINK("https://maps.google.com/?q=17.047,-96.71366", "🔗 Ver Mapa")</f>
        <v>🔗 Ver Mapa</v>
      </c>
    </row>
    <row r="4682" spans="1:12" ht="87" x14ac:dyDescent="0.35">
      <c r="A4682" s="6" t="s">
        <v>297</v>
      </c>
      <c r="B4682" s="6" t="s">
        <v>298</v>
      </c>
      <c r="C4682" s="6" t="s">
        <v>966</v>
      </c>
      <c r="D4682" s="6" t="s">
        <v>13</v>
      </c>
      <c r="E4682" s="6" t="s">
        <v>52</v>
      </c>
      <c r="F4682" s="6" t="s">
        <v>70</v>
      </c>
      <c r="G4682" s="6" t="s">
        <v>71</v>
      </c>
      <c r="H4682" s="6" t="s">
        <v>72</v>
      </c>
      <c r="I4682" s="6" t="s">
        <v>32</v>
      </c>
      <c r="J4682" s="6">
        <v>17.058717000000001</v>
      </c>
      <c r="K4682" s="6">
        <v>-96.753580999999997</v>
      </c>
      <c r="L4682" s="6" t="str">
        <f>HYPERLINK("https://maps.google.com/?q=17.058717,-96.753580999999997", "🔗 Ver Mapa")</f>
        <v>🔗 Ver Mapa</v>
      </c>
    </row>
    <row r="4683" spans="1:12" ht="87" x14ac:dyDescent="0.35">
      <c r="A4683" s="5" t="s">
        <v>297</v>
      </c>
      <c r="B4683" s="5" t="s">
        <v>298</v>
      </c>
      <c r="C4683" s="5" t="s">
        <v>966</v>
      </c>
      <c r="D4683" s="5" t="s">
        <v>13</v>
      </c>
      <c r="E4683" s="5" t="s">
        <v>52</v>
      </c>
      <c r="F4683" s="5" t="s">
        <v>70</v>
      </c>
      <c r="G4683" s="5" t="s">
        <v>71</v>
      </c>
      <c r="H4683" s="5" t="s">
        <v>72</v>
      </c>
      <c r="I4683" s="5" t="s">
        <v>32</v>
      </c>
      <c r="J4683" s="5">
        <v>17.058951</v>
      </c>
      <c r="K4683" s="5">
        <v>-96.751512000000005</v>
      </c>
      <c r="L4683" s="5" t="str">
        <f>HYPERLINK("https://maps.google.com/?q=17.058951,-96.751512000000005", "🔗 Ver Mapa")</f>
        <v>🔗 Ver Mapa</v>
      </c>
    </row>
    <row r="4684" spans="1:12" ht="87" x14ac:dyDescent="0.35">
      <c r="A4684" s="6" t="s">
        <v>297</v>
      </c>
      <c r="B4684" s="6" t="s">
        <v>298</v>
      </c>
      <c r="C4684" s="6" t="s">
        <v>966</v>
      </c>
      <c r="D4684" s="6" t="s">
        <v>13</v>
      </c>
      <c r="E4684" s="6" t="s">
        <v>52</v>
      </c>
      <c r="F4684" s="6" t="s">
        <v>70</v>
      </c>
      <c r="G4684" s="6" t="s">
        <v>71</v>
      </c>
      <c r="H4684" s="6" t="s">
        <v>72</v>
      </c>
      <c r="I4684" s="6" t="s">
        <v>32</v>
      </c>
      <c r="J4684" s="6">
        <v>17.058954</v>
      </c>
      <c r="K4684" s="6">
        <v>-96.752435000000006</v>
      </c>
      <c r="L4684" s="6" t="str">
        <f>HYPERLINK("https://maps.google.com/?q=17.058954,-96.752435000000006", "🔗 Ver Mapa")</f>
        <v>🔗 Ver Mapa</v>
      </c>
    </row>
    <row r="4685" spans="1:12" ht="87" x14ac:dyDescent="0.35">
      <c r="A4685" s="5" t="s">
        <v>297</v>
      </c>
      <c r="B4685" s="5" t="s">
        <v>298</v>
      </c>
      <c r="C4685" s="5" t="s">
        <v>966</v>
      </c>
      <c r="D4685" s="5" t="s">
        <v>13</v>
      </c>
      <c r="E4685" s="5" t="s">
        <v>52</v>
      </c>
      <c r="F4685" s="5" t="s">
        <v>70</v>
      </c>
      <c r="G4685" s="5" t="s">
        <v>71</v>
      </c>
      <c r="H4685" s="5" t="s">
        <v>72</v>
      </c>
      <c r="I4685" s="5" t="s">
        <v>32</v>
      </c>
      <c r="J4685" s="5">
        <v>17.059170999999999</v>
      </c>
      <c r="K4685" s="5">
        <v>-96.750380000000007</v>
      </c>
      <c r="L4685" s="5" t="str">
        <f>HYPERLINK("https://maps.google.com/?q=17.059171,-96.750380000000007", "🔗 Ver Mapa")</f>
        <v>🔗 Ver Mapa</v>
      </c>
    </row>
    <row r="4686" spans="1:12" ht="87" x14ac:dyDescent="0.35">
      <c r="A4686" s="6" t="s">
        <v>297</v>
      </c>
      <c r="B4686" s="6" t="s">
        <v>298</v>
      </c>
      <c r="C4686" s="6" t="s">
        <v>966</v>
      </c>
      <c r="D4686" s="6" t="s">
        <v>13</v>
      </c>
      <c r="E4686" s="6" t="s">
        <v>52</v>
      </c>
      <c r="F4686" s="6" t="s">
        <v>70</v>
      </c>
      <c r="G4686" s="6" t="s">
        <v>71</v>
      </c>
      <c r="H4686" s="6" t="s">
        <v>72</v>
      </c>
      <c r="I4686" s="6" t="s">
        <v>32</v>
      </c>
      <c r="J4686" s="6">
        <v>17.059207000000001</v>
      </c>
      <c r="K4686" s="6">
        <v>-96.749972</v>
      </c>
      <c r="L4686" s="6" t="str">
        <f>HYPERLINK("https://maps.google.com/?q=17.059207,-96.749972", "🔗 Ver Mapa")</f>
        <v>🔗 Ver Mapa</v>
      </c>
    </row>
    <row r="4687" spans="1:12" ht="87" x14ac:dyDescent="0.35">
      <c r="A4687" s="5" t="s">
        <v>297</v>
      </c>
      <c r="B4687" s="5" t="s">
        <v>298</v>
      </c>
      <c r="C4687" s="5" t="s">
        <v>966</v>
      </c>
      <c r="D4687" s="5" t="s">
        <v>13</v>
      </c>
      <c r="E4687" s="5" t="s">
        <v>52</v>
      </c>
      <c r="F4687" s="5" t="s">
        <v>70</v>
      </c>
      <c r="G4687" s="5" t="s">
        <v>71</v>
      </c>
      <c r="H4687" s="5" t="s">
        <v>72</v>
      </c>
      <c r="I4687" s="5" t="s">
        <v>32</v>
      </c>
      <c r="J4687" s="5">
        <v>17.061036000000001</v>
      </c>
      <c r="K4687" s="5">
        <v>-96.755902000000006</v>
      </c>
      <c r="L4687" s="5" t="str">
        <f>HYPERLINK("https://maps.google.com/?q=17.061036,-96.755902000000006", "🔗 Ver Mapa")</f>
        <v>🔗 Ver Mapa</v>
      </c>
    </row>
    <row r="4688" spans="1:12" ht="87" x14ac:dyDescent="0.35">
      <c r="A4688" s="6" t="s">
        <v>297</v>
      </c>
      <c r="B4688" s="6" t="s">
        <v>298</v>
      </c>
      <c r="C4688" s="6" t="s">
        <v>966</v>
      </c>
      <c r="D4688" s="6" t="s">
        <v>13</v>
      </c>
      <c r="E4688" s="6" t="s">
        <v>52</v>
      </c>
      <c r="F4688" s="6" t="s">
        <v>70</v>
      </c>
      <c r="G4688" s="6" t="s">
        <v>71</v>
      </c>
      <c r="H4688" s="6" t="s">
        <v>72</v>
      </c>
      <c r="I4688" s="6" t="s">
        <v>32</v>
      </c>
      <c r="J4688" s="6">
        <v>17.061053999999999</v>
      </c>
      <c r="K4688" s="6">
        <v>-96.756463999999994</v>
      </c>
      <c r="L4688" s="6" t="str">
        <f>HYPERLINK("https://maps.google.com/?q=17.061054,-96.756463999999994", "🔗 Ver Mapa")</f>
        <v>🔗 Ver Mapa</v>
      </c>
    </row>
    <row r="4689" spans="1:12" ht="87" x14ac:dyDescent="0.35">
      <c r="A4689" s="5" t="s">
        <v>297</v>
      </c>
      <c r="B4689" s="5" t="s">
        <v>298</v>
      </c>
      <c r="C4689" s="5" t="s">
        <v>966</v>
      </c>
      <c r="D4689" s="5" t="s">
        <v>13</v>
      </c>
      <c r="E4689" s="5" t="s">
        <v>52</v>
      </c>
      <c r="F4689" s="5" t="s">
        <v>70</v>
      </c>
      <c r="G4689" s="5" t="s">
        <v>71</v>
      </c>
      <c r="H4689" s="5" t="s">
        <v>72</v>
      </c>
      <c r="I4689" s="5" t="s">
        <v>32</v>
      </c>
      <c r="J4689" s="5">
        <v>17.061150000000001</v>
      </c>
      <c r="K4689" s="5">
        <v>-96.755579999999995</v>
      </c>
      <c r="L4689" s="5" t="str">
        <f>HYPERLINK("https://maps.google.com/?q=17.06115,-96.755579999999995", "🔗 Ver Mapa")</f>
        <v>🔗 Ver Mapa</v>
      </c>
    </row>
    <row r="4690" spans="1:12" ht="87" x14ac:dyDescent="0.35">
      <c r="A4690" s="6" t="s">
        <v>297</v>
      </c>
      <c r="B4690" s="6" t="s">
        <v>298</v>
      </c>
      <c r="C4690" s="6" t="s">
        <v>966</v>
      </c>
      <c r="D4690" s="6" t="s">
        <v>13</v>
      </c>
      <c r="E4690" s="6" t="s">
        <v>52</v>
      </c>
      <c r="F4690" s="6" t="s">
        <v>70</v>
      </c>
      <c r="G4690" s="6" t="s">
        <v>71</v>
      </c>
      <c r="H4690" s="6" t="s">
        <v>72</v>
      </c>
      <c r="I4690" s="6" t="s">
        <v>32</v>
      </c>
      <c r="J4690" s="6">
        <v>17.061239</v>
      </c>
      <c r="K4690" s="6">
        <v>-96.756981999999994</v>
      </c>
      <c r="L4690" s="6" t="str">
        <f>HYPERLINK("https://maps.google.com/?q=17.061239,-96.756981999999994", "🔗 Ver Mapa")</f>
        <v>🔗 Ver Mapa</v>
      </c>
    </row>
    <row r="4691" spans="1:12" ht="87" x14ac:dyDescent="0.35">
      <c r="A4691" s="5" t="s">
        <v>297</v>
      </c>
      <c r="B4691" s="5" t="s">
        <v>298</v>
      </c>
      <c r="C4691" s="5" t="s">
        <v>966</v>
      </c>
      <c r="D4691" s="5" t="s">
        <v>13</v>
      </c>
      <c r="E4691" s="5" t="s">
        <v>52</v>
      </c>
      <c r="F4691" s="5" t="s">
        <v>70</v>
      </c>
      <c r="G4691" s="5" t="s">
        <v>71</v>
      </c>
      <c r="H4691" s="5" t="s">
        <v>72</v>
      </c>
      <c r="I4691" s="5" t="s">
        <v>32</v>
      </c>
      <c r="J4691" s="5">
        <v>17.061461999999999</v>
      </c>
      <c r="K4691" s="5">
        <v>-96.754750999999999</v>
      </c>
      <c r="L4691" s="5" t="str">
        <f>HYPERLINK("https://maps.google.com/?q=17.061462,-96.754750999999999", "🔗 Ver Mapa")</f>
        <v>🔗 Ver Mapa</v>
      </c>
    </row>
    <row r="4692" spans="1:12" ht="87" x14ac:dyDescent="0.35">
      <c r="A4692" s="6" t="s">
        <v>297</v>
      </c>
      <c r="B4692" s="6" t="s">
        <v>298</v>
      </c>
      <c r="C4692" s="6" t="s">
        <v>966</v>
      </c>
      <c r="D4692" s="6" t="s">
        <v>13</v>
      </c>
      <c r="E4692" s="6" t="s">
        <v>52</v>
      </c>
      <c r="F4692" s="6" t="s">
        <v>70</v>
      </c>
      <c r="G4692" s="6" t="s">
        <v>71</v>
      </c>
      <c r="H4692" s="6" t="s">
        <v>72</v>
      </c>
      <c r="I4692" s="6" t="s">
        <v>32</v>
      </c>
      <c r="J4692" s="6">
        <v>17.06147</v>
      </c>
      <c r="K4692" s="6">
        <v>-96.757279999999994</v>
      </c>
      <c r="L4692" s="6" t="str">
        <f>HYPERLINK("https://maps.google.com/?q=17.06147,-96.757279999999994", "🔗 Ver Mapa")</f>
        <v>🔗 Ver Mapa</v>
      </c>
    </row>
    <row r="4693" spans="1:12" ht="87" x14ac:dyDescent="0.35">
      <c r="A4693" s="5" t="s">
        <v>297</v>
      </c>
      <c r="B4693" s="5" t="s">
        <v>298</v>
      </c>
      <c r="C4693" s="5" t="s">
        <v>966</v>
      </c>
      <c r="D4693" s="5" t="s">
        <v>13</v>
      </c>
      <c r="E4693" s="5" t="s">
        <v>52</v>
      </c>
      <c r="F4693" s="5" t="s">
        <v>70</v>
      </c>
      <c r="G4693" s="5" t="s">
        <v>71</v>
      </c>
      <c r="H4693" s="5" t="s">
        <v>72</v>
      </c>
      <c r="I4693" s="5" t="s">
        <v>32</v>
      </c>
      <c r="J4693" s="5">
        <v>17.061861</v>
      </c>
      <c r="K4693" s="5">
        <v>-96.753832000000003</v>
      </c>
      <c r="L4693" s="5" t="str">
        <f>HYPERLINK("https://maps.google.com/?q=17.061861,-96.753832000000003", "🔗 Ver Mapa")</f>
        <v>🔗 Ver Mapa</v>
      </c>
    </row>
    <row r="4694" spans="1:12" ht="87" x14ac:dyDescent="0.35">
      <c r="A4694" s="6" t="s">
        <v>297</v>
      </c>
      <c r="B4694" s="6" t="s">
        <v>298</v>
      </c>
      <c r="C4694" s="6" t="s">
        <v>966</v>
      </c>
      <c r="D4694" s="6" t="s">
        <v>13</v>
      </c>
      <c r="E4694" s="6" t="s">
        <v>52</v>
      </c>
      <c r="F4694" s="6" t="s">
        <v>70</v>
      </c>
      <c r="G4694" s="6" t="s">
        <v>71</v>
      </c>
      <c r="H4694" s="6" t="s">
        <v>72</v>
      </c>
      <c r="I4694" s="6" t="s">
        <v>32</v>
      </c>
      <c r="J4694" s="6">
        <v>17.062009</v>
      </c>
      <c r="K4694" s="6">
        <v>-96.757019999999997</v>
      </c>
      <c r="L4694" s="6" t="str">
        <f>HYPERLINK("https://maps.google.com/?q=17.062009,-96.757019999999997", "🔗 Ver Mapa")</f>
        <v>🔗 Ver Mapa</v>
      </c>
    </row>
    <row r="4695" spans="1:12" ht="87" x14ac:dyDescent="0.35">
      <c r="A4695" s="5" t="s">
        <v>297</v>
      </c>
      <c r="B4695" s="5" t="s">
        <v>298</v>
      </c>
      <c r="C4695" s="5" t="s">
        <v>966</v>
      </c>
      <c r="D4695" s="5" t="s">
        <v>13</v>
      </c>
      <c r="E4695" s="5" t="s">
        <v>52</v>
      </c>
      <c r="F4695" s="5" t="s">
        <v>70</v>
      </c>
      <c r="G4695" s="5" t="s">
        <v>71</v>
      </c>
      <c r="H4695" s="5" t="s">
        <v>72</v>
      </c>
      <c r="I4695" s="5" t="s">
        <v>32</v>
      </c>
      <c r="J4695" s="5">
        <v>17.062101999999999</v>
      </c>
      <c r="K4695" s="5">
        <v>-96.753140999999999</v>
      </c>
      <c r="L4695" s="5" t="str">
        <f>HYPERLINK("https://maps.google.com/?q=17.062102,-96.753140999999999", "🔗 Ver Mapa")</f>
        <v>🔗 Ver Mapa</v>
      </c>
    </row>
    <row r="4696" spans="1:12" ht="87" x14ac:dyDescent="0.35">
      <c r="A4696" s="6" t="s">
        <v>297</v>
      </c>
      <c r="B4696" s="6" t="s">
        <v>298</v>
      </c>
      <c r="C4696" s="6" t="s">
        <v>966</v>
      </c>
      <c r="D4696" s="6" t="s">
        <v>13</v>
      </c>
      <c r="E4696" s="6" t="s">
        <v>52</v>
      </c>
      <c r="F4696" s="6" t="s">
        <v>70</v>
      </c>
      <c r="G4696" s="6" t="s">
        <v>71</v>
      </c>
      <c r="H4696" s="6" t="s">
        <v>72</v>
      </c>
      <c r="I4696" s="6" t="s">
        <v>32</v>
      </c>
      <c r="J4696" s="6">
        <v>17.062180000000001</v>
      </c>
      <c r="K4696" s="6">
        <v>-96.753029999999995</v>
      </c>
      <c r="L4696" s="6" t="str">
        <f>HYPERLINK("https://maps.google.com/?q=17.06218,-96.753029999999995", "🔗 Ver Mapa")</f>
        <v>🔗 Ver Mapa</v>
      </c>
    </row>
    <row r="4697" spans="1:12" ht="87" x14ac:dyDescent="0.35">
      <c r="A4697" s="5" t="s">
        <v>297</v>
      </c>
      <c r="B4697" s="5" t="s">
        <v>298</v>
      </c>
      <c r="C4697" s="5" t="s">
        <v>966</v>
      </c>
      <c r="D4697" s="5" t="s">
        <v>13</v>
      </c>
      <c r="E4697" s="5" t="s">
        <v>52</v>
      </c>
      <c r="F4697" s="5" t="s">
        <v>70</v>
      </c>
      <c r="G4697" s="5" t="s">
        <v>71</v>
      </c>
      <c r="H4697" s="5" t="s">
        <v>72</v>
      </c>
      <c r="I4697" s="5" t="s">
        <v>32</v>
      </c>
      <c r="J4697" s="5">
        <v>17.062460999999999</v>
      </c>
      <c r="K4697" s="5">
        <v>-96.757001000000002</v>
      </c>
      <c r="L4697" s="5" t="str">
        <f>HYPERLINK("https://maps.google.com/?q=17.062461,-96.757001000000002", "🔗 Ver Mapa")</f>
        <v>🔗 Ver Mapa</v>
      </c>
    </row>
    <row r="4698" spans="1:12" ht="87" x14ac:dyDescent="0.35">
      <c r="A4698" s="6" t="s">
        <v>297</v>
      </c>
      <c r="B4698" s="6" t="s">
        <v>298</v>
      </c>
      <c r="C4698" s="6" t="s">
        <v>966</v>
      </c>
      <c r="D4698" s="6" t="s">
        <v>13</v>
      </c>
      <c r="E4698" s="6" t="s">
        <v>52</v>
      </c>
      <c r="F4698" s="6" t="s">
        <v>70</v>
      </c>
      <c r="G4698" s="6" t="s">
        <v>71</v>
      </c>
      <c r="H4698" s="6" t="s">
        <v>72</v>
      </c>
      <c r="I4698" s="6" t="s">
        <v>32</v>
      </c>
      <c r="J4698" s="6">
        <v>17.062860000000001</v>
      </c>
      <c r="K4698" s="6">
        <v>-96.757170000000002</v>
      </c>
      <c r="L4698" s="6" t="str">
        <f>HYPERLINK("https://maps.google.com/?q=17.06286,-96.757170000000002", "🔗 Ver Mapa")</f>
        <v>🔗 Ver Mapa</v>
      </c>
    </row>
    <row r="4699" spans="1:12" ht="43.5" x14ac:dyDescent="0.35">
      <c r="A4699" s="5" t="s">
        <v>297</v>
      </c>
      <c r="B4699" s="5" t="s">
        <v>298</v>
      </c>
      <c r="C4699" s="5" t="s">
        <v>967</v>
      </c>
      <c r="D4699" s="5" t="s">
        <v>13</v>
      </c>
      <c r="E4699" s="5" t="s">
        <v>52</v>
      </c>
      <c r="F4699" s="5" t="s">
        <v>70</v>
      </c>
      <c r="G4699" s="5" t="s">
        <v>71</v>
      </c>
      <c r="H4699" s="5" t="s">
        <v>72</v>
      </c>
      <c r="I4699" s="5" t="s">
        <v>31</v>
      </c>
      <c r="J4699" s="5">
        <v>17.05386</v>
      </c>
      <c r="K4699" s="5">
        <v>-96.735389999999995</v>
      </c>
      <c r="L4699" s="5" t="str">
        <f>HYPERLINK("https://maps.google.com/?q=17.05386,-96.735390", "🔗 Ver Mapa")</f>
        <v>🔗 Ver Mapa</v>
      </c>
    </row>
    <row r="4700" spans="1:12" ht="43.5" x14ac:dyDescent="0.35">
      <c r="A4700" s="6" t="s">
        <v>297</v>
      </c>
      <c r="B4700" s="6" t="s">
        <v>298</v>
      </c>
      <c r="C4700" s="6" t="s">
        <v>968</v>
      </c>
      <c r="D4700" s="6" t="s">
        <v>13</v>
      </c>
      <c r="E4700" s="6" t="s">
        <v>52</v>
      </c>
      <c r="F4700" s="6" t="s">
        <v>70</v>
      </c>
      <c r="G4700" s="6" t="s">
        <v>304</v>
      </c>
      <c r="H4700" s="6" t="s">
        <v>305</v>
      </c>
      <c r="I4700" s="6" t="s">
        <v>31</v>
      </c>
      <c r="J4700" s="6">
        <v>17.094465</v>
      </c>
      <c r="K4700" s="6">
        <v>-96.755263999999997</v>
      </c>
      <c r="L4700" s="6" t="str">
        <f>HYPERLINK("https://maps.google.com/?q=17.094465,-96.7552640", "🔗 Ver Mapa")</f>
        <v>🔗 Ver Mapa</v>
      </c>
    </row>
    <row r="4701" spans="1:12" ht="58" x14ac:dyDescent="0.35">
      <c r="A4701" s="5" t="s">
        <v>297</v>
      </c>
      <c r="B4701" s="5" t="s">
        <v>298</v>
      </c>
      <c r="C4701" s="5" t="s">
        <v>969</v>
      </c>
      <c r="D4701" s="5" t="s">
        <v>13</v>
      </c>
      <c r="E4701" s="5" t="s">
        <v>52</v>
      </c>
      <c r="F4701" s="5" t="s">
        <v>70</v>
      </c>
      <c r="G4701" s="5" t="s">
        <v>123</v>
      </c>
      <c r="H4701" s="5" t="s">
        <v>307</v>
      </c>
      <c r="I4701" s="5" t="s">
        <v>32</v>
      </c>
      <c r="J4701" s="5">
        <v>17.017726432307999</v>
      </c>
      <c r="K4701" s="5">
        <v>-96.718593038468001</v>
      </c>
      <c r="L4701" s="5" t="str">
        <f>HYPERLINK("https://maps.google.com/?q=17.01772643230838,-96.71859303846837", "🔗 Ver Mapa")</f>
        <v>🔗 Ver Mapa</v>
      </c>
    </row>
    <row r="4702" spans="1:12" ht="58" x14ac:dyDescent="0.35">
      <c r="A4702" s="6" t="s">
        <v>297</v>
      </c>
      <c r="B4702" s="6" t="s">
        <v>298</v>
      </c>
      <c r="C4702" s="6" t="s">
        <v>969</v>
      </c>
      <c r="D4702" s="6" t="s">
        <v>13</v>
      </c>
      <c r="E4702" s="6" t="s">
        <v>52</v>
      </c>
      <c r="F4702" s="6" t="s">
        <v>70</v>
      </c>
      <c r="G4702" s="6" t="s">
        <v>123</v>
      </c>
      <c r="H4702" s="6" t="s">
        <v>307</v>
      </c>
      <c r="I4702" s="6" t="s">
        <v>32</v>
      </c>
      <c r="J4702" s="6">
        <v>17.018052318891002</v>
      </c>
      <c r="K4702" s="6">
        <v>-96.718519935407002</v>
      </c>
      <c r="L4702" s="6" t="str">
        <f>HYPERLINK("https://maps.google.com/?q=17.018052318891478,-96.718519935406704", "🔗 Ver Mapa")</f>
        <v>🔗 Ver Mapa</v>
      </c>
    </row>
    <row r="4703" spans="1:12" ht="58" x14ac:dyDescent="0.35">
      <c r="A4703" s="5" t="s">
        <v>297</v>
      </c>
      <c r="B4703" s="5" t="s">
        <v>298</v>
      </c>
      <c r="C4703" s="5" t="s">
        <v>969</v>
      </c>
      <c r="D4703" s="5" t="s">
        <v>13</v>
      </c>
      <c r="E4703" s="5" t="s">
        <v>52</v>
      </c>
      <c r="F4703" s="5" t="s">
        <v>70</v>
      </c>
      <c r="G4703" s="5" t="s">
        <v>123</v>
      </c>
      <c r="H4703" s="5" t="s">
        <v>307</v>
      </c>
      <c r="I4703" s="5" t="s">
        <v>32</v>
      </c>
      <c r="J4703" s="5">
        <v>17.018084698635999</v>
      </c>
      <c r="K4703" s="5">
        <v>-96.718677193271006</v>
      </c>
      <c r="L4703" s="5" t="str">
        <f>HYPERLINK("https://maps.google.com/?q=17.01808469863598,-96.718677193270977", "🔗 Ver Mapa")</f>
        <v>🔗 Ver Mapa</v>
      </c>
    </row>
    <row r="4704" spans="1:12" ht="58" x14ac:dyDescent="0.35">
      <c r="A4704" s="6" t="s">
        <v>297</v>
      </c>
      <c r="B4704" s="6" t="s">
        <v>298</v>
      </c>
      <c r="C4704" s="6" t="s">
        <v>969</v>
      </c>
      <c r="D4704" s="6" t="s">
        <v>13</v>
      </c>
      <c r="E4704" s="6" t="s">
        <v>52</v>
      </c>
      <c r="F4704" s="6" t="s">
        <v>70</v>
      </c>
      <c r="G4704" s="6" t="s">
        <v>123</v>
      </c>
      <c r="H4704" s="6" t="s">
        <v>307</v>
      </c>
      <c r="I4704" s="6" t="s">
        <v>32</v>
      </c>
      <c r="J4704" s="6">
        <v>17.018891150418</v>
      </c>
      <c r="K4704" s="6">
        <v>-96.718331767273995</v>
      </c>
      <c r="L4704" s="6" t="str">
        <f>HYPERLINK("https://maps.google.com/?q=17.018891150417932,-96.718331767274464", "🔗 Ver Mapa")</f>
        <v>🔗 Ver Mapa</v>
      </c>
    </row>
    <row r="4705" spans="1:12" ht="58" x14ac:dyDescent="0.35">
      <c r="A4705" s="5" t="s">
        <v>297</v>
      </c>
      <c r="B4705" s="5" t="s">
        <v>298</v>
      </c>
      <c r="C4705" s="5" t="s">
        <v>969</v>
      </c>
      <c r="D4705" s="5" t="s">
        <v>13</v>
      </c>
      <c r="E4705" s="5" t="s">
        <v>52</v>
      </c>
      <c r="F4705" s="5" t="s">
        <v>70</v>
      </c>
      <c r="G4705" s="5" t="s">
        <v>123</v>
      </c>
      <c r="H4705" s="5" t="s">
        <v>307</v>
      </c>
      <c r="I4705" s="5" t="s">
        <v>32</v>
      </c>
      <c r="J4705" s="5">
        <v>17.018946802456998</v>
      </c>
      <c r="K4705" s="5">
        <v>-96.718225001774002</v>
      </c>
      <c r="L4705" s="5" t="str">
        <f>HYPERLINK("https://maps.google.com/?q=17.018946802456792,-96.718225001774229", "🔗 Ver Mapa")</f>
        <v>🔗 Ver Mapa</v>
      </c>
    </row>
    <row r="4706" spans="1:12" ht="58" x14ac:dyDescent="0.35">
      <c r="A4706" s="6" t="s">
        <v>297</v>
      </c>
      <c r="B4706" s="6" t="s">
        <v>298</v>
      </c>
      <c r="C4706" s="6" t="s">
        <v>969</v>
      </c>
      <c r="D4706" s="6" t="s">
        <v>13</v>
      </c>
      <c r="E4706" s="6" t="s">
        <v>52</v>
      </c>
      <c r="F4706" s="6" t="s">
        <v>70</v>
      </c>
      <c r="G4706" s="6" t="s">
        <v>123</v>
      </c>
      <c r="H4706" s="6" t="s">
        <v>307</v>
      </c>
      <c r="I4706" s="6" t="s">
        <v>32</v>
      </c>
      <c r="J4706" s="6">
        <v>17.019725300400999</v>
      </c>
      <c r="K4706" s="6">
        <v>-96.718037502298998</v>
      </c>
      <c r="L4706" s="6" t="str">
        <f>HYPERLINK("https://maps.google.com/?q=17.0197253004008,-96.718037502299168", "🔗 Ver Mapa")</f>
        <v>🔗 Ver Mapa</v>
      </c>
    </row>
    <row r="4707" spans="1:12" ht="58" x14ac:dyDescent="0.35">
      <c r="A4707" s="5" t="s">
        <v>297</v>
      </c>
      <c r="B4707" s="5" t="s">
        <v>298</v>
      </c>
      <c r="C4707" s="5" t="s">
        <v>969</v>
      </c>
      <c r="D4707" s="5" t="s">
        <v>13</v>
      </c>
      <c r="E4707" s="5" t="s">
        <v>52</v>
      </c>
      <c r="F4707" s="5" t="s">
        <v>70</v>
      </c>
      <c r="G4707" s="5" t="s">
        <v>123</v>
      </c>
      <c r="H4707" s="5" t="s">
        <v>307</v>
      </c>
      <c r="I4707" s="5" t="s">
        <v>32</v>
      </c>
      <c r="J4707" s="5">
        <v>17.020021533144</v>
      </c>
      <c r="K4707" s="5">
        <v>-96.718138934853002</v>
      </c>
      <c r="L4707" s="5" t="str">
        <f>HYPERLINK("https://maps.google.com/?q=17.020021533143613,-96.718138934852632", "🔗 Ver Mapa")</f>
        <v>🔗 Ver Mapa</v>
      </c>
    </row>
    <row r="4708" spans="1:12" ht="58" x14ac:dyDescent="0.35">
      <c r="A4708" s="6" t="s">
        <v>297</v>
      </c>
      <c r="B4708" s="6" t="s">
        <v>298</v>
      </c>
      <c r="C4708" s="6" t="s">
        <v>969</v>
      </c>
      <c r="D4708" s="6" t="s">
        <v>13</v>
      </c>
      <c r="E4708" s="6" t="s">
        <v>52</v>
      </c>
      <c r="F4708" s="6" t="s">
        <v>70</v>
      </c>
      <c r="G4708" s="6" t="s">
        <v>123</v>
      </c>
      <c r="H4708" s="6" t="s">
        <v>307</v>
      </c>
      <c r="I4708" s="6" t="s">
        <v>32</v>
      </c>
      <c r="J4708" s="6">
        <v>17.020366885295001</v>
      </c>
      <c r="K4708" s="6">
        <v>-96.718112242423004</v>
      </c>
      <c r="L4708" s="6" t="str">
        <f>HYPERLINK("https://maps.google.com/?q=17.02036688529484,-96.718112242423189", "🔗 Ver Mapa")</f>
        <v>🔗 Ver Mapa</v>
      </c>
    </row>
    <row r="4709" spans="1:12" ht="58" x14ac:dyDescent="0.35">
      <c r="A4709" s="5" t="s">
        <v>297</v>
      </c>
      <c r="B4709" s="5" t="s">
        <v>298</v>
      </c>
      <c r="C4709" s="5" t="s">
        <v>969</v>
      </c>
      <c r="D4709" s="5" t="s">
        <v>13</v>
      </c>
      <c r="E4709" s="5" t="s">
        <v>52</v>
      </c>
      <c r="F4709" s="5" t="s">
        <v>70</v>
      </c>
      <c r="G4709" s="5" t="s">
        <v>123</v>
      </c>
      <c r="H4709" s="5" t="s">
        <v>307</v>
      </c>
      <c r="I4709" s="5" t="s">
        <v>32</v>
      </c>
      <c r="J4709" s="5">
        <v>17.020794443825</v>
      </c>
      <c r="K4709" s="5">
        <v>-96.717963454892995</v>
      </c>
      <c r="L4709" s="5" t="str">
        <f>HYPERLINK("https://maps.google.com/?q=17.020794443824677,-96.717963454893138", "🔗 Ver Mapa")</f>
        <v>🔗 Ver Mapa</v>
      </c>
    </row>
    <row r="4710" spans="1:12" ht="58" x14ac:dyDescent="0.35">
      <c r="A4710" s="6" t="s">
        <v>297</v>
      </c>
      <c r="B4710" s="6" t="s">
        <v>298</v>
      </c>
      <c r="C4710" s="6" t="s">
        <v>970</v>
      </c>
      <c r="D4710" s="6" t="s">
        <v>13</v>
      </c>
      <c r="E4710" s="6" t="s">
        <v>52</v>
      </c>
      <c r="F4710" s="6" t="s">
        <v>70</v>
      </c>
      <c r="G4710" s="6" t="s">
        <v>71</v>
      </c>
      <c r="H4710" s="6" t="s">
        <v>72</v>
      </c>
      <c r="I4710" s="6" t="s">
        <v>32</v>
      </c>
      <c r="J4710" s="6">
        <v>17.080069000000002</v>
      </c>
      <c r="K4710" s="6">
        <v>-96.725791999999998</v>
      </c>
      <c r="L4710" s="6" t="str">
        <f>HYPERLINK("https://maps.google.com/?q=17.080069,-96.725791999999998", "🔗 Ver Mapa")</f>
        <v>🔗 Ver Mapa</v>
      </c>
    </row>
    <row r="4711" spans="1:12" ht="58" x14ac:dyDescent="0.35">
      <c r="A4711" s="5" t="s">
        <v>297</v>
      </c>
      <c r="B4711" s="5" t="s">
        <v>298</v>
      </c>
      <c r="C4711" s="5" t="s">
        <v>970</v>
      </c>
      <c r="D4711" s="5" t="s">
        <v>13</v>
      </c>
      <c r="E4711" s="5" t="s">
        <v>52</v>
      </c>
      <c r="F4711" s="5" t="s">
        <v>70</v>
      </c>
      <c r="G4711" s="5" t="s">
        <v>71</v>
      </c>
      <c r="H4711" s="5" t="s">
        <v>72</v>
      </c>
      <c r="I4711" s="5" t="s">
        <v>32</v>
      </c>
      <c r="J4711" s="5">
        <v>17.080124000000001</v>
      </c>
      <c r="K4711" s="5">
        <v>-96.725837999999996</v>
      </c>
      <c r="L4711" s="5" t="str">
        <f>HYPERLINK("https://maps.google.com/?q=17.080124,-96.725837999999996", "🔗 Ver Mapa")</f>
        <v>🔗 Ver Mapa</v>
      </c>
    </row>
    <row r="4712" spans="1:12" ht="58" x14ac:dyDescent="0.35">
      <c r="A4712" s="6" t="s">
        <v>297</v>
      </c>
      <c r="B4712" s="6" t="s">
        <v>298</v>
      </c>
      <c r="C4712" s="6" t="s">
        <v>970</v>
      </c>
      <c r="D4712" s="6" t="s">
        <v>13</v>
      </c>
      <c r="E4712" s="6" t="s">
        <v>52</v>
      </c>
      <c r="F4712" s="6" t="s">
        <v>70</v>
      </c>
      <c r="G4712" s="6" t="s">
        <v>71</v>
      </c>
      <c r="H4712" s="6" t="s">
        <v>72</v>
      </c>
      <c r="I4712" s="6" t="s">
        <v>32</v>
      </c>
      <c r="J4712" s="6">
        <v>17.080154</v>
      </c>
      <c r="K4712" s="6">
        <v>-96.726937000000007</v>
      </c>
      <c r="L4712" s="6" t="str">
        <f>HYPERLINK("https://maps.google.com/?q=17.080154,-96.726937000000007", "🔗 Ver Mapa")</f>
        <v>🔗 Ver Mapa</v>
      </c>
    </row>
    <row r="4713" spans="1:12" ht="58" x14ac:dyDescent="0.35">
      <c r="A4713" s="5" t="s">
        <v>297</v>
      </c>
      <c r="B4713" s="5" t="s">
        <v>298</v>
      </c>
      <c r="C4713" s="5" t="s">
        <v>970</v>
      </c>
      <c r="D4713" s="5" t="s">
        <v>13</v>
      </c>
      <c r="E4713" s="5" t="s">
        <v>52</v>
      </c>
      <c r="F4713" s="5" t="s">
        <v>70</v>
      </c>
      <c r="G4713" s="5" t="s">
        <v>71</v>
      </c>
      <c r="H4713" s="5" t="s">
        <v>72</v>
      </c>
      <c r="I4713" s="5" t="s">
        <v>32</v>
      </c>
      <c r="J4713" s="5">
        <v>17.080164</v>
      </c>
      <c r="K4713" s="5">
        <v>-96.726157000000001</v>
      </c>
      <c r="L4713" s="5" t="str">
        <f>HYPERLINK("https://maps.google.com/?q=17.080164,-96.726157000000001", "🔗 Ver Mapa")</f>
        <v>🔗 Ver Mapa</v>
      </c>
    </row>
    <row r="4714" spans="1:12" ht="58" x14ac:dyDescent="0.35">
      <c r="A4714" s="6" t="s">
        <v>297</v>
      </c>
      <c r="B4714" s="6" t="s">
        <v>298</v>
      </c>
      <c r="C4714" s="6" t="s">
        <v>970</v>
      </c>
      <c r="D4714" s="6" t="s">
        <v>13</v>
      </c>
      <c r="E4714" s="6" t="s">
        <v>52</v>
      </c>
      <c r="F4714" s="6" t="s">
        <v>70</v>
      </c>
      <c r="G4714" s="6" t="s">
        <v>71</v>
      </c>
      <c r="H4714" s="6" t="s">
        <v>72</v>
      </c>
      <c r="I4714" s="6" t="s">
        <v>32</v>
      </c>
      <c r="J4714" s="6">
        <v>17.080188</v>
      </c>
      <c r="K4714" s="6">
        <v>-96.726730000000003</v>
      </c>
      <c r="L4714" s="6" t="str">
        <f>HYPERLINK("https://maps.google.com/?q=17.080188,-96.726730000000003", "🔗 Ver Mapa")</f>
        <v>🔗 Ver Mapa</v>
      </c>
    </row>
    <row r="4715" spans="1:12" ht="58" x14ac:dyDescent="0.35">
      <c r="A4715" s="5" t="s">
        <v>297</v>
      </c>
      <c r="B4715" s="5" t="s">
        <v>298</v>
      </c>
      <c r="C4715" s="5" t="s">
        <v>970</v>
      </c>
      <c r="D4715" s="5" t="s">
        <v>13</v>
      </c>
      <c r="E4715" s="5" t="s">
        <v>52</v>
      </c>
      <c r="F4715" s="5" t="s">
        <v>70</v>
      </c>
      <c r="G4715" s="5" t="s">
        <v>71</v>
      </c>
      <c r="H4715" s="5" t="s">
        <v>72</v>
      </c>
      <c r="I4715" s="5" t="s">
        <v>32</v>
      </c>
      <c r="J4715" s="5">
        <v>17.080200000000001</v>
      </c>
      <c r="K4715" s="5">
        <v>-96.726955000000004</v>
      </c>
      <c r="L4715" s="5" t="str">
        <f>HYPERLINK("https://maps.google.com/?q=17.0802,-96.726955000000004", "🔗 Ver Mapa")</f>
        <v>🔗 Ver Mapa</v>
      </c>
    </row>
    <row r="4716" spans="1:12" ht="58" x14ac:dyDescent="0.35">
      <c r="A4716" s="6" t="s">
        <v>297</v>
      </c>
      <c r="B4716" s="6" t="s">
        <v>298</v>
      </c>
      <c r="C4716" s="6" t="s">
        <v>970</v>
      </c>
      <c r="D4716" s="6" t="s">
        <v>13</v>
      </c>
      <c r="E4716" s="6" t="s">
        <v>52</v>
      </c>
      <c r="F4716" s="6" t="s">
        <v>70</v>
      </c>
      <c r="G4716" s="6" t="s">
        <v>71</v>
      </c>
      <c r="H4716" s="6" t="s">
        <v>72</v>
      </c>
      <c r="I4716" s="6" t="s">
        <v>31</v>
      </c>
      <c r="J4716" s="6">
        <v>17.080069000000002</v>
      </c>
      <c r="K4716" s="6">
        <v>-96.725791999999998</v>
      </c>
      <c r="L4716" s="6" t="str">
        <f>HYPERLINK("https://maps.google.com/?q=17.080069,-96.725792", "🔗 Ver Mapa")</f>
        <v>🔗 Ver Mapa</v>
      </c>
    </row>
    <row r="4717" spans="1:12" ht="58" x14ac:dyDescent="0.35">
      <c r="A4717" s="5" t="s">
        <v>297</v>
      </c>
      <c r="B4717" s="5" t="s">
        <v>298</v>
      </c>
      <c r="C4717" s="5" t="s">
        <v>970</v>
      </c>
      <c r="D4717" s="5" t="s">
        <v>13</v>
      </c>
      <c r="E4717" s="5" t="s">
        <v>52</v>
      </c>
      <c r="F4717" s="5" t="s">
        <v>70</v>
      </c>
      <c r="G4717" s="5" t="s">
        <v>71</v>
      </c>
      <c r="H4717" s="5" t="s">
        <v>72</v>
      </c>
      <c r="I4717" s="5" t="s">
        <v>31</v>
      </c>
      <c r="J4717" s="5">
        <v>17.081197</v>
      </c>
      <c r="K4717" s="5">
        <v>-96.727012000000002</v>
      </c>
      <c r="L4717" s="5" t="str">
        <f>HYPERLINK("https://maps.google.com/?q=17.081197,-96.727012", "🔗 Ver Mapa")</f>
        <v>🔗 Ver Mapa</v>
      </c>
    </row>
    <row r="4718" spans="1:12" ht="58" x14ac:dyDescent="0.35">
      <c r="A4718" s="6" t="s">
        <v>297</v>
      </c>
      <c r="B4718" s="6" t="s">
        <v>298</v>
      </c>
      <c r="C4718" s="6" t="s">
        <v>970</v>
      </c>
      <c r="D4718" s="6" t="s">
        <v>13</v>
      </c>
      <c r="E4718" s="6" t="s">
        <v>52</v>
      </c>
      <c r="F4718" s="6" t="s">
        <v>70</v>
      </c>
      <c r="G4718" s="6" t="s">
        <v>71</v>
      </c>
      <c r="H4718" s="6" t="s">
        <v>72</v>
      </c>
      <c r="I4718" s="6" t="s">
        <v>31</v>
      </c>
      <c r="J4718" s="6">
        <v>17.082947999999998</v>
      </c>
      <c r="K4718" s="6">
        <v>-96.727684999999994</v>
      </c>
      <c r="L4718" s="6" t="str">
        <f>HYPERLINK("https://maps.google.com/?q=17.082948,-96.727685", "🔗 Ver Mapa")</f>
        <v>🔗 Ver Mapa</v>
      </c>
    </row>
    <row r="4719" spans="1:12" ht="58" x14ac:dyDescent="0.35">
      <c r="A4719" s="5" t="s">
        <v>297</v>
      </c>
      <c r="B4719" s="5" t="s">
        <v>298</v>
      </c>
      <c r="C4719" s="5" t="s">
        <v>970</v>
      </c>
      <c r="D4719" s="5" t="s">
        <v>13</v>
      </c>
      <c r="E4719" s="5" t="s">
        <v>52</v>
      </c>
      <c r="F4719" s="5" t="s">
        <v>70</v>
      </c>
      <c r="G4719" s="5" t="s">
        <v>71</v>
      </c>
      <c r="H4719" s="5" t="s">
        <v>72</v>
      </c>
      <c r="I4719" s="5" t="s">
        <v>31</v>
      </c>
      <c r="J4719" s="5">
        <v>17.085681000000001</v>
      </c>
      <c r="K4719" s="5">
        <v>-96.731652999999994</v>
      </c>
      <c r="L4719" s="5" t="str">
        <f>HYPERLINK("https://maps.google.com/?q=17.085681,-96.731653", "🔗 Ver Mapa")</f>
        <v>🔗 Ver Mapa</v>
      </c>
    </row>
    <row r="4720" spans="1:12" ht="72.5" x14ac:dyDescent="0.35">
      <c r="A4720" s="6" t="s">
        <v>297</v>
      </c>
      <c r="B4720" s="6" t="s">
        <v>298</v>
      </c>
      <c r="C4720" s="6" t="s">
        <v>971</v>
      </c>
      <c r="D4720" s="6" t="s">
        <v>13</v>
      </c>
      <c r="E4720" s="6" t="s">
        <v>52</v>
      </c>
      <c r="F4720" s="6" t="s">
        <v>70</v>
      </c>
      <c r="G4720" s="6" t="s">
        <v>71</v>
      </c>
      <c r="H4720" s="6" t="s">
        <v>72</v>
      </c>
      <c r="I4720" s="6" t="s">
        <v>32</v>
      </c>
      <c r="J4720" s="6">
        <v>17.055754</v>
      </c>
      <c r="K4720" s="6">
        <v>-96.745626290000004</v>
      </c>
      <c r="L4720" s="6" t="str">
        <f>HYPERLINK("https://maps.google.com/?q=17.055754,-96.745626290000004", "🔗 Ver Mapa")</f>
        <v>🔗 Ver Mapa</v>
      </c>
    </row>
    <row r="4721" spans="1:12" ht="72.5" x14ac:dyDescent="0.35">
      <c r="A4721" s="5" t="s">
        <v>297</v>
      </c>
      <c r="B4721" s="5" t="s">
        <v>298</v>
      </c>
      <c r="C4721" s="5" t="s">
        <v>971</v>
      </c>
      <c r="D4721" s="5" t="s">
        <v>13</v>
      </c>
      <c r="E4721" s="5" t="s">
        <v>52</v>
      </c>
      <c r="F4721" s="5" t="s">
        <v>70</v>
      </c>
      <c r="G4721" s="5" t="s">
        <v>71</v>
      </c>
      <c r="H4721" s="5" t="s">
        <v>72</v>
      </c>
      <c r="I4721" s="5" t="s">
        <v>32</v>
      </c>
      <c r="J4721" s="5">
        <v>17.0558127189</v>
      </c>
      <c r="K4721" s="5">
        <v>-96.7456976</v>
      </c>
      <c r="L4721" s="5" t="str">
        <f>HYPERLINK("https://maps.google.com/?q=17.0558127189,-96.7456976", "🔗 Ver Mapa")</f>
        <v>🔗 Ver Mapa</v>
      </c>
    </row>
    <row r="4722" spans="1:12" ht="72.5" x14ac:dyDescent="0.35">
      <c r="A4722" s="6" t="s">
        <v>297</v>
      </c>
      <c r="B4722" s="6" t="s">
        <v>298</v>
      </c>
      <c r="C4722" s="6" t="s">
        <v>971</v>
      </c>
      <c r="D4722" s="6" t="s">
        <v>13</v>
      </c>
      <c r="E4722" s="6" t="s">
        <v>52</v>
      </c>
      <c r="F4722" s="6" t="s">
        <v>70</v>
      </c>
      <c r="G4722" s="6" t="s">
        <v>71</v>
      </c>
      <c r="H4722" s="6" t="s">
        <v>72</v>
      </c>
      <c r="I4722" s="6" t="s">
        <v>32</v>
      </c>
      <c r="J4722" s="6">
        <v>17.05601879</v>
      </c>
      <c r="K4722" s="6">
        <v>-96.745880600000007</v>
      </c>
      <c r="L4722" s="6" t="str">
        <f>HYPERLINK("https://maps.google.com/?q=17.05601879,-96.745880600000007", "🔗 Ver Mapa")</f>
        <v>🔗 Ver Mapa</v>
      </c>
    </row>
    <row r="4723" spans="1:12" ht="72.5" x14ac:dyDescent="0.35">
      <c r="A4723" s="5" t="s">
        <v>297</v>
      </c>
      <c r="B4723" s="5" t="s">
        <v>298</v>
      </c>
      <c r="C4723" s="5" t="s">
        <v>971</v>
      </c>
      <c r="D4723" s="5" t="s">
        <v>13</v>
      </c>
      <c r="E4723" s="5" t="s">
        <v>52</v>
      </c>
      <c r="F4723" s="5" t="s">
        <v>70</v>
      </c>
      <c r="G4723" s="5" t="s">
        <v>71</v>
      </c>
      <c r="H4723" s="5" t="s">
        <v>72</v>
      </c>
      <c r="I4723" s="5" t="s">
        <v>32</v>
      </c>
      <c r="J4723" s="5">
        <v>17.056115689999999</v>
      </c>
      <c r="K4723" s="5">
        <v>-96.745782180000006</v>
      </c>
      <c r="L4723" s="5" t="str">
        <f>HYPERLINK("https://maps.google.com/?q=17.05611569,-96.745782180000006", "🔗 Ver Mapa")</f>
        <v>🔗 Ver Mapa</v>
      </c>
    </row>
    <row r="4724" spans="1:12" ht="72.5" x14ac:dyDescent="0.35">
      <c r="A4724" s="6" t="s">
        <v>297</v>
      </c>
      <c r="B4724" s="6" t="s">
        <v>298</v>
      </c>
      <c r="C4724" s="6" t="s">
        <v>971</v>
      </c>
      <c r="D4724" s="6" t="s">
        <v>13</v>
      </c>
      <c r="E4724" s="6" t="s">
        <v>52</v>
      </c>
      <c r="F4724" s="6" t="s">
        <v>70</v>
      </c>
      <c r="G4724" s="6" t="s">
        <v>71</v>
      </c>
      <c r="H4724" s="6" t="s">
        <v>72</v>
      </c>
      <c r="I4724" s="6" t="s">
        <v>32</v>
      </c>
      <c r="J4724" s="6">
        <v>17.056291000000002</v>
      </c>
      <c r="K4724" s="6">
        <v>-96.746252900000002</v>
      </c>
      <c r="L4724" s="6" t="str">
        <f>HYPERLINK("https://maps.google.com/?q=17.056291,-96.746252900000002", "🔗 Ver Mapa")</f>
        <v>🔗 Ver Mapa</v>
      </c>
    </row>
    <row r="4725" spans="1:12" ht="72.5" x14ac:dyDescent="0.35">
      <c r="A4725" s="5" t="s">
        <v>297</v>
      </c>
      <c r="B4725" s="5" t="s">
        <v>298</v>
      </c>
      <c r="C4725" s="5" t="s">
        <v>971</v>
      </c>
      <c r="D4725" s="5" t="s">
        <v>13</v>
      </c>
      <c r="E4725" s="5" t="s">
        <v>52</v>
      </c>
      <c r="F4725" s="5" t="s">
        <v>70</v>
      </c>
      <c r="G4725" s="5" t="s">
        <v>71</v>
      </c>
      <c r="H4725" s="5" t="s">
        <v>72</v>
      </c>
      <c r="I4725" s="5" t="s">
        <v>32</v>
      </c>
      <c r="J4725" s="5">
        <v>17.056332917900001</v>
      </c>
      <c r="K4725" s="5">
        <v>-96.7461488</v>
      </c>
      <c r="L4725" s="5" t="str">
        <f>HYPERLINK("https://maps.google.com/?q=17.0563329179,-96.7461488", "🔗 Ver Mapa")</f>
        <v>🔗 Ver Mapa</v>
      </c>
    </row>
    <row r="4726" spans="1:12" ht="72.5" x14ac:dyDescent="0.35">
      <c r="A4726" s="6" t="s">
        <v>297</v>
      </c>
      <c r="B4726" s="6" t="s">
        <v>298</v>
      </c>
      <c r="C4726" s="6" t="s">
        <v>971</v>
      </c>
      <c r="D4726" s="6" t="s">
        <v>13</v>
      </c>
      <c r="E4726" s="6" t="s">
        <v>52</v>
      </c>
      <c r="F4726" s="6" t="s">
        <v>70</v>
      </c>
      <c r="G4726" s="6" t="s">
        <v>71</v>
      </c>
      <c r="H4726" s="6" t="s">
        <v>72</v>
      </c>
      <c r="I4726" s="6" t="s">
        <v>32</v>
      </c>
      <c r="J4726" s="6">
        <v>17.058568000000001</v>
      </c>
      <c r="K4726" s="6">
        <v>-96.743064000000004</v>
      </c>
      <c r="L4726" s="6" t="str">
        <f>HYPERLINK("https://maps.google.com/?q=17.058568,-96.743064000000004", "🔗 Ver Mapa")</f>
        <v>🔗 Ver Mapa</v>
      </c>
    </row>
    <row r="4727" spans="1:12" ht="72.5" x14ac:dyDescent="0.35">
      <c r="A4727" s="5" t="s">
        <v>297</v>
      </c>
      <c r="B4727" s="5" t="s">
        <v>298</v>
      </c>
      <c r="C4727" s="5" t="s">
        <v>971</v>
      </c>
      <c r="D4727" s="5" t="s">
        <v>13</v>
      </c>
      <c r="E4727" s="5" t="s">
        <v>52</v>
      </c>
      <c r="F4727" s="5" t="s">
        <v>70</v>
      </c>
      <c r="G4727" s="5" t="s">
        <v>71</v>
      </c>
      <c r="H4727" s="5" t="s">
        <v>72</v>
      </c>
      <c r="I4727" s="5" t="s">
        <v>32</v>
      </c>
      <c r="J4727" s="5">
        <v>17.058588</v>
      </c>
      <c r="K4727" s="5">
        <v>-96.743084899999999</v>
      </c>
      <c r="L4727" s="5" t="str">
        <f>HYPERLINK("https://maps.google.com/?q=17.058588,-96.743084899999999", "🔗 Ver Mapa")</f>
        <v>🔗 Ver Mapa</v>
      </c>
    </row>
    <row r="4728" spans="1:12" ht="72.5" x14ac:dyDescent="0.35">
      <c r="A4728" s="6" t="s">
        <v>297</v>
      </c>
      <c r="B4728" s="6" t="s">
        <v>298</v>
      </c>
      <c r="C4728" s="6" t="s">
        <v>971</v>
      </c>
      <c r="D4728" s="6" t="s">
        <v>13</v>
      </c>
      <c r="E4728" s="6" t="s">
        <v>52</v>
      </c>
      <c r="F4728" s="6" t="s">
        <v>70</v>
      </c>
      <c r="G4728" s="6" t="s">
        <v>71</v>
      </c>
      <c r="H4728" s="6" t="s">
        <v>72</v>
      </c>
      <c r="I4728" s="6" t="s">
        <v>32</v>
      </c>
      <c r="J4728" s="6">
        <v>17.058592900000001</v>
      </c>
      <c r="K4728" s="6">
        <v>-96.743018000000006</v>
      </c>
      <c r="L4728" s="6" t="str">
        <f>HYPERLINK("https://maps.google.com/?q=17.0585929,-96.743018000000006", "🔗 Ver Mapa")</f>
        <v>🔗 Ver Mapa</v>
      </c>
    </row>
    <row r="4729" spans="1:12" ht="72.5" x14ac:dyDescent="0.35">
      <c r="A4729" s="5" t="s">
        <v>297</v>
      </c>
      <c r="B4729" s="5" t="s">
        <v>298</v>
      </c>
      <c r="C4729" s="5" t="s">
        <v>971</v>
      </c>
      <c r="D4729" s="5" t="s">
        <v>13</v>
      </c>
      <c r="E4729" s="5" t="s">
        <v>52</v>
      </c>
      <c r="F4729" s="5" t="s">
        <v>70</v>
      </c>
      <c r="G4729" s="5" t="s">
        <v>71</v>
      </c>
      <c r="H4729" s="5" t="s">
        <v>72</v>
      </c>
      <c r="I4729" s="5" t="s">
        <v>32</v>
      </c>
      <c r="J4729" s="5">
        <v>17.058592900000001</v>
      </c>
      <c r="K4729" s="5">
        <v>-96.743078990000001</v>
      </c>
      <c r="L4729" s="5" t="str">
        <f>HYPERLINK("https://maps.google.com/?q=17.0585929,-96.743078990000001", "🔗 Ver Mapa")</f>
        <v>🔗 Ver Mapa</v>
      </c>
    </row>
    <row r="4730" spans="1:12" ht="72.5" x14ac:dyDescent="0.35">
      <c r="A4730" s="6" t="s">
        <v>297</v>
      </c>
      <c r="B4730" s="6" t="s">
        <v>298</v>
      </c>
      <c r="C4730" s="6" t="s">
        <v>971</v>
      </c>
      <c r="D4730" s="6" t="s">
        <v>13</v>
      </c>
      <c r="E4730" s="6" t="s">
        <v>52</v>
      </c>
      <c r="F4730" s="6" t="s">
        <v>70</v>
      </c>
      <c r="G4730" s="6" t="s">
        <v>71</v>
      </c>
      <c r="H4730" s="6" t="s">
        <v>72</v>
      </c>
      <c r="I4730" s="6" t="s">
        <v>32</v>
      </c>
      <c r="J4730" s="6">
        <v>17.058657</v>
      </c>
      <c r="K4730" s="6">
        <v>-96.743072990000002</v>
      </c>
      <c r="L4730" s="6" t="str">
        <f>HYPERLINK("https://maps.google.com/?q=17.058657,-96.743072990000002", "🔗 Ver Mapa")</f>
        <v>🔗 Ver Mapa</v>
      </c>
    </row>
    <row r="4731" spans="1:12" ht="72.5" x14ac:dyDescent="0.35">
      <c r="A4731" s="5" t="s">
        <v>297</v>
      </c>
      <c r="B4731" s="5" t="s">
        <v>298</v>
      </c>
      <c r="C4731" s="5" t="s">
        <v>971</v>
      </c>
      <c r="D4731" s="5" t="s">
        <v>13</v>
      </c>
      <c r="E4731" s="5" t="s">
        <v>52</v>
      </c>
      <c r="F4731" s="5" t="s">
        <v>70</v>
      </c>
      <c r="G4731" s="5" t="s">
        <v>71</v>
      </c>
      <c r="H4731" s="5" t="s">
        <v>72</v>
      </c>
      <c r="I4731" s="5" t="s">
        <v>32</v>
      </c>
      <c r="J4731" s="5">
        <v>17.058741900000001</v>
      </c>
      <c r="K4731" s="5">
        <v>-96.743148000000005</v>
      </c>
      <c r="L4731" s="5" t="str">
        <f>HYPERLINK("https://maps.google.com/?q=17.0587419,-96.743148000000005", "🔗 Ver Mapa")</f>
        <v>🔗 Ver Mapa</v>
      </c>
    </row>
    <row r="4732" spans="1:12" ht="29" x14ac:dyDescent="0.35">
      <c r="A4732" s="6" t="s">
        <v>782</v>
      </c>
      <c r="B4732" s="6" t="s">
        <v>783</v>
      </c>
      <c r="C4732" s="6" t="s">
        <v>972</v>
      </c>
      <c r="D4732" s="6" t="s">
        <v>785</v>
      </c>
      <c r="E4732" s="6" t="s">
        <v>158</v>
      </c>
      <c r="F4732" s="6" t="s">
        <v>159</v>
      </c>
      <c r="G4732" s="6" t="s">
        <v>192</v>
      </c>
      <c r="H4732" s="6" t="s">
        <v>193</v>
      </c>
      <c r="I4732" s="6" t="s">
        <v>31</v>
      </c>
      <c r="J4732" s="6">
        <v>16.370761000000002</v>
      </c>
      <c r="K4732" s="6">
        <v>-94.191479000000001</v>
      </c>
      <c r="L4732" s="6" t="str">
        <f>HYPERLINK("https://maps.google.com/?q=16.370761,-94.191479", "🔗 Ver Mapa")</f>
        <v>🔗 Ver Mapa</v>
      </c>
    </row>
    <row r="4733" spans="1:12" ht="43.5" x14ac:dyDescent="0.35">
      <c r="A4733" s="5" t="s">
        <v>73</v>
      </c>
      <c r="B4733" s="5" t="s">
        <v>74</v>
      </c>
      <c r="C4733" s="5" t="s">
        <v>973</v>
      </c>
      <c r="D4733" s="5" t="s">
        <v>76</v>
      </c>
      <c r="E4733" s="5" t="s">
        <v>52</v>
      </c>
      <c r="F4733" s="5" t="s">
        <v>53</v>
      </c>
      <c r="G4733" s="5" t="s">
        <v>974</v>
      </c>
      <c r="H4733" s="5" t="s">
        <v>975</v>
      </c>
      <c r="I4733" s="5" t="s">
        <v>31</v>
      </c>
      <c r="J4733" s="5">
        <v>16.898492999999998</v>
      </c>
      <c r="K4733" s="5">
        <v>-96.466696999999996</v>
      </c>
      <c r="L4733" s="5" t="str">
        <f>HYPERLINK("https://maps.google.com/?q=16.898493,-96.466697", "🔗 Ver Mapa")</f>
        <v>🔗 Ver Mapa</v>
      </c>
    </row>
    <row r="4734" spans="1:12" ht="43.5" x14ac:dyDescent="0.35">
      <c r="A4734" s="6" t="s">
        <v>782</v>
      </c>
      <c r="B4734" s="6" t="s">
        <v>783</v>
      </c>
      <c r="C4734" s="6" t="s">
        <v>976</v>
      </c>
      <c r="D4734" s="6" t="s">
        <v>785</v>
      </c>
      <c r="E4734" s="6" t="s">
        <v>158</v>
      </c>
      <c r="F4734" s="6" t="s">
        <v>159</v>
      </c>
      <c r="G4734" s="6" t="s">
        <v>278</v>
      </c>
      <c r="H4734" s="6" t="s">
        <v>279</v>
      </c>
      <c r="I4734" s="6" t="s">
        <v>31</v>
      </c>
      <c r="J4734" s="6">
        <v>16.433632811340999</v>
      </c>
      <c r="K4734" s="6">
        <v>-95.013237041734001</v>
      </c>
      <c r="L4734" s="6" t="str">
        <f>HYPERLINK("https://maps.google.com/?q=16.433632811340548,-95.01323704173355", "🔗 Ver Mapa")</f>
        <v>🔗 Ver Mapa</v>
      </c>
    </row>
    <row r="4735" spans="1:12" ht="58" x14ac:dyDescent="0.35">
      <c r="A4735" s="5" t="s">
        <v>73</v>
      </c>
      <c r="B4735" s="5" t="s">
        <v>74</v>
      </c>
      <c r="C4735" s="5" t="s">
        <v>977</v>
      </c>
      <c r="D4735" s="5" t="s">
        <v>76</v>
      </c>
      <c r="E4735" s="5" t="s">
        <v>16</v>
      </c>
      <c r="F4735" s="5" t="s">
        <v>195</v>
      </c>
      <c r="G4735" s="5" t="s">
        <v>978</v>
      </c>
      <c r="H4735" s="5" t="s">
        <v>979</v>
      </c>
      <c r="I4735" s="5" t="s">
        <v>31</v>
      </c>
      <c r="J4735" s="5">
        <v>17.782889334528999</v>
      </c>
      <c r="K4735" s="5">
        <v>-98.152072687488001</v>
      </c>
      <c r="L4735" s="5" t="str">
        <f>HYPERLINK("https://maps.google.com/?q=17.78288933452948,-98.15207268748826", "🔗 Ver Mapa")</f>
        <v>🔗 Ver Mapa</v>
      </c>
    </row>
    <row r="4736" spans="1:12" ht="58" x14ac:dyDescent="0.35">
      <c r="A4736" s="6" t="s">
        <v>73</v>
      </c>
      <c r="B4736" s="6" t="s">
        <v>74</v>
      </c>
      <c r="C4736" s="6" t="s">
        <v>980</v>
      </c>
      <c r="D4736" s="6" t="s">
        <v>76</v>
      </c>
      <c r="E4736" s="6" t="s">
        <v>16</v>
      </c>
      <c r="F4736" s="6" t="s">
        <v>409</v>
      </c>
      <c r="G4736" s="6" t="s">
        <v>410</v>
      </c>
      <c r="H4736" s="6" t="s">
        <v>411</v>
      </c>
      <c r="I4736" s="6" t="s">
        <v>31</v>
      </c>
      <c r="J4736" s="6">
        <v>17.723166735395001</v>
      </c>
      <c r="K4736" s="6">
        <v>-97.324414744877004</v>
      </c>
      <c r="L4736" s="6" t="str">
        <f>HYPERLINK("https://maps.google.com/?q=17.723166735395466,-97.32441474487686", "🔗 Ver Mapa")</f>
        <v>🔗 Ver Mapa</v>
      </c>
    </row>
    <row r="4737" spans="1:12" ht="58" x14ac:dyDescent="0.35">
      <c r="A4737" s="5" t="s">
        <v>73</v>
      </c>
      <c r="B4737" s="5" t="s">
        <v>74</v>
      </c>
      <c r="C4737" s="5" t="s">
        <v>981</v>
      </c>
      <c r="D4737" s="5" t="s">
        <v>76</v>
      </c>
      <c r="E4737" s="5" t="s">
        <v>17</v>
      </c>
      <c r="F4737" s="5" t="s">
        <v>59</v>
      </c>
      <c r="G4737" s="5" t="s">
        <v>982</v>
      </c>
      <c r="H4737" s="5" t="s">
        <v>983</v>
      </c>
      <c r="I4737" s="5" t="s">
        <v>31</v>
      </c>
      <c r="J4737" s="5">
        <v>16.340524008748002</v>
      </c>
      <c r="K4737" s="5">
        <v>-98.450533364964002</v>
      </c>
      <c r="L4737" s="5" t="str">
        <f>HYPERLINK("https://maps.google.com/?q=16.340524008748204,-98.4505333649635", "🔗 Ver Mapa")</f>
        <v>🔗 Ver Mapa</v>
      </c>
    </row>
    <row r="4738" spans="1:12" ht="58" x14ac:dyDescent="0.35">
      <c r="A4738" s="6" t="s">
        <v>73</v>
      </c>
      <c r="B4738" s="6" t="s">
        <v>74</v>
      </c>
      <c r="C4738" s="6" t="s">
        <v>984</v>
      </c>
      <c r="D4738" s="6" t="s">
        <v>76</v>
      </c>
      <c r="E4738" s="6" t="s">
        <v>16</v>
      </c>
      <c r="F4738" s="6" t="s">
        <v>195</v>
      </c>
      <c r="G4738" s="6" t="s">
        <v>978</v>
      </c>
      <c r="H4738" s="6" t="s">
        <v>979</v>
      </c>
      <c r="I4738" s="6" t="s">
        <v>31</v>
      </c>
      <c r="J4738" s="6">
        <v>17.784228406099</v>
      </c>
      <c r="K4738" s="6">
        <v>-98.147051599739001</v>
      </c>
      <c r="L4738" s="6" t="str">
        <f>HYPERLINK("https://maps.google.com/?q=17.78422840609877,-98.14705159973938", "🔗 Ver Mapa")</f>
        <v>🔗 Ver Mapa</v>
      </c>
    </row>
    <row r="4739" spans="1:12" ht="43.5" x14ac:dyDescent="0.35">
      <c r="A4739" s="5" t="s">
        <v>98</v>
      </c>
      <c r="B4739" s="5" t="s">
        <v>99</v>
      </c>
      <c r="C4739" s="5" t="s">
        <v>985</v>
      </c>
      <c r="D4739" s="5" t="s">
        <v>14</v>
      </c>
      <c r="E4739" s="5" t="s">
        <v>110</v>
      </c>
      <c r="F4739" s="5" t="s">
        <v>126</v>
      </c>
      <c r="G4739" s="5" t="s">
        <v>986</v>
      </c>
      <c r="H4739" s="5" t="s">
        <v>987</v>
      </c>
      <c r="I4739" s="5" t="s">
        <v>31</v>
      </c>
      <c r="J4739" s="5">
        <v>17.948218824015001</v>
      </c>
      <c r="K4739" s="5">
        <v>-96.657026370267999</v>
      </c>
      <c r="L4739" s="5" t="str">
        <f>HYPERLINK("https://maps.google.com/?q=17.9482188240153,-96.657026370267801", "🔗 Ver Mapa")</f>
        <v>🔗 Ver Mapa</v>
      </c>
    </row>
    <row r="4740" spans="1:12" ht="43.5" x14ac:dyDescent="0.35">
      <c r="A4740" s="6" t="s">
        <v>98</v>
      </c>
      <c r="B4740" s="6" t="s">
        <v>99</v>
      </c>
      <c r="C4740" s="6" t="s">
        <v>985</v>
      </c>
      <c r="D4740" s="6" t="s">
        <v>14</v>
      </c>
      <c r="E4740" s="6" t="s">
        <v>110</v>
      </c>
      <c r="F4740" s="6" t="s">
        <v>126</v>
      </c>
      <c r="G4740" s="6" t="s">
        <v>986</v>
      </c>
      <c r="H4740" s="6" t="s">
        <v>987</v>
      </c>
      <c r="I4740" s="6" t="s">
        <v>31</v>
      </c>
      <c r="J4740" s="6">
        <v>17.948525025397</v>
      </c>
      <c r="K4740" s="6">
        <v>-96.656886895398998</v>
      </c>
      <c r="L4740" s="6" t="str">
        <f>HYPERLINK("https://maps.google.com/?q=17.948525025397,-96.656886895398898", "🔗 Ver Mapa")</f>
        <v>🔗 Ver Mapa</v>
      </c>
    </row>
    <row r="4741" spans="1:12" ht="43.5" x14ac:dyDescent="0.35">
      <c r="A4741" s="5" t="s">
        <v>98</v>
      </c>
      <c r="B4741" s="5" t="s">
        <v>99</v>
      </c>
      <c r="C4741" s="5" t="s">
        <v>985</v>
      </c>
      <c r="D4741" s="5" t="s">
        <v>14</v>
      </c>
      <c r="E4741" s="5" t="s">
        <v>110</v>
      </c>
      <c r="F4741" s="5" t="s">
        <v>126</v>
      </c>
      <c r="G4741" s="5" t="s">
        <v>986</v>
      </c>
      <c r="H4741" s="5" t="s">
        <v>987</v>
      </c>
      <c r="I4741" s="5" t="s">
        <v>31</v>
      </c>
      <c r="J4741" s="5">
        <v>17.949338957763999</v>
      </c>
      <c r="K4741" s="5">
        <v>-96.656344005944007</v>
      </c>
      <c r="L4741" s="5" t="str">
        <f>HYPERLINK("https://maps.google.com/?q=17.9493389577644,-96.656344005943794", "🔗 Ver Mapa")</f>
        <v>🔗 Ver Mapa</v>
      </c>
    </row>
    <row r="4742" spans="1:12" ht="43.5" x14ac:dyDescent="0.35">
      <c r="A4742" s="6" t="s">
        <v>98</v>
      </c>
      <c r="B4742" s="6" t="s">
        <v>99</v>
      </c>
      <c r="C4742" s="6" t="s">
        <v>985</v>
      </c>
      <c r="D4742" s="6" t="s">
        <v>14</v>
      </c>
      <c r="E4742" s="6" t="s">
        <v>110</v>
      </c>
      <c r="F4742" s="6" t="s">
        <v>126</v>
      </c>
      <c r="G4742" s="6" t="s">
        <v>986</v>
      </c>
      <c r="H4742" s="6" t="s">
        <v>987</v>
      </c>
      <c r="I4742" s="6" t="s">
        <v>31</v>
      </c>
      <c r="J4742" s="6">
        <v>17.949538037858002</v>
      </c>
      <c r="K4742" s="6">
        <v>-96.656117101410999</v>
      </c>
      <c r="L4742" s="6" t="str">
        <f>HYPERLINK("https://maps.google.com/?q=17.9495380378582,-96.656117101411198", "🔗 Ver Mapa")</f>
        <v>🔗 Ver Mapa</v>
      </c>
    </row>
    <row r="4743" spans="1:12" ht="43.5" x14ac:dyDescent="0.35">
      <c r="A4743" s="5" t="s">
        <v>98</v>
      </c>
      <c r="B4743" s="5" t="s">
        <v>99</v>
      </c>
      <c r="C4743" s="5" t="s">
        <v>985</v>
      </c>
      <c r="D4743" s="5" t="s">
        <v>14</v>
      </c>
      <c r="E4743" s="5" t="s">
        <v>110</v>
      </c>
      <c r="F4743" s="5" t="s">
        <v>126</v>
      </c>
      <c r="G4743" s="5" t="s">
        <v>986</v>
      </c>
      <c r="H4743" s="5" t="s">
        <v>987</v>
      </c>
      <c r="I4743" s="5" t="s">
        <v>31</v>
      </c>
      <c r="J4743" s="5">
        <v>17.950137626865999</v>
      </c>
      <c r="K4743" s="5">
        <v>-96.657306918979998</v>
      </c>
      <c r="L4743" s="5" t="str">
        <f>HYPERLINK("https://maps.google.com/?q=17.9501376268659,-96.657306918979899", "🔗 Ver Mapa")</f>
        <v>🔗 Ver Mapa</v>
      </c>
    </row>
    <row r="4744" spans="1:12" ht="43.5" x14ac:dyDescent="0.35">
      <c r="A4744" s="6" t="s">
        <v>98</v>
      </c>
      <c r="B4744" s="6" t="s">
        <v>99</v>
      </c>
      <c r="C4744" s="6" t="s">
        <v>985</v>
      </c>
      <c r="D4744" s="6" t="s">
        <v>14</v>
      </c>
      <c r="E4744" s="6" t="s">
        <v>110</v>
      </c>
      <c r="F4744" s="6" t="s">
        <v>126</v>
      </c>
      <c r="G4744" s="6" t="s">
        <v>986</v>
      </c>
      <c r="H4744" s="6" t="s">
        <v>987</v>
      </c>
      <c r="I4744" s="6" t="s">
        <v>31</v>
      </c>
      <c r="J4744" s="6">
        <v>17.950307430472002</v>
      </c>
      <c r="K4744" s="6">
        <v>-96.655844043873003</v>
      </c>
      <c r="L4744" s="6" t="str">
        <f>HYPERLINK("https://maps.google.com/?q=17.9503074304722,-96.655844043873202", "🔗 Ver Mapa")</f>
        <v>🔗 Ver Mapa</v>
      </c>
    </row>
    <row r="4745" spans="1:12" ht="43.5" x14ac:dyDescent="0.35">
      <c r="A4745" s="5" t="s">
        <v>98</v>
      </c>
      <c r="B4745" s="5" t="s">
        <v>99</v>
      </c>
      <c r="C4745" s="5" t="s">
        <v>985</v>
      </c>
      <c r="D4745" s="5" t="s">
        <v>14</v>
      </c>
      <c r="E4745" s="5" t="s">
        <v>110</v>
      </c>
      <c r="F4745" s="5" t="s">
        <v>126</v>
      </c>
      <c r="G4745" s="5" t="s">
        <v>986</v>
      </c>
      <c r="H4745" s="5" t="s">
        <v>987</v>
      </c>
      <c r="I4745" s="5" t="s">
        <v>31</v>
      </c>
      <c r="J4745" s="5">
        <v>17.950311139164999</v>
      </c>
      <c r="K4745" s="5">
        <v>-96.657481262565994</v>
      </c>
      <c r="L4745" s="5" t="str">
        <f>HYPERLINK("https://maps.google.com/?q=17.9503111391649,-96.657481262565696", "🔗 Ver Mapa")</f>
        <v>🔗 Ver Mapa</v>
      </c>
    </row>
    <row r="4746" spans="1:12" ht="43.5" x14ac:dyDescent="0.35">
      <c r="A4746" s="6" t="s">
        <v>98</v>
      </c>
      <c r="B4746" s="6" t="s">
        <v>99</v>
      </c>
      <c r="C4746" s="6" t="s">
        <v>985</v>
      </c>
      <c r="D4746" s="6" t="s">
        <v>14</v>
      </c>
      <c r="E4746" s="6" t="s">
        <v>110</v>
      </c>
      <c r="F4746" s="6" t="s">
        <v>126</v>
      </c>
      <c r="G4746" s="6" t="s">
        <v>986</v>
      </c>
      <c r="H4746" s="6" t="s">
        <v>987</v>
      </c>
      <c r="I4746" s="6" t="s">
        <v>31</v>
      </c>
      <c r="J4746" s="6">
        <v>17.951106095200998</v>
      </c>
      <c r="K4746" s="6">
        <v>-96.655911099098006</v>
      </c>
      <c r="L4746" s="6" t="str">
        <f>HYPERLINK("https://maps.google.com/?q=17.9511060952007,-96.655911099097906", "🔗 Ver Mapa")</f>
        <v>🔗 Ver Mapa</v>
      </c>
    </row>
    <row r="4747" spans="1:12" ht="43.5" x14ac:dyDescent="0.35">
      <c r="A4747" s="5" t="s">
        <v>98</v>
      </c>
      <c r="B4747" s="5" t="s">
        <v>99</v>
      </c>
      <c r="C4747" s="5" t="s">
        <v>985</v>
      </c>
      <c r="D4747" s="5" t="s">
        <v>14</v>
      </c>
      <c r="E4747" s="5" t="s">
        <v>110</v>
      </c>
      <c r="F4747" s="5" t="s">
        <v>126</v>
      </c>
      <c r="G4747" s="5" t="s">
        <v>986</v>
      </c>
      <c r="H4747" s="5" t="s">
        <v>987</v>
      </c>
      <c r="I4747" s="5" t="s">
        <v>31</v>
      </c>
      <c r="J4747" s="5">
        <v>17.951793657713999</v>
      </c>
      <c r="K4747" s="5">
        <v>-96.65549</v>
      </c>
      <c r="L4747" s="5" t="str">
        <f>HYPERLINK("https://maps.google.com/?q=17.9517936577139,-96.65549", "🔗 Ver Mapa")</f>
        <v>🔗 Ver Mapa</v>
      </c>
    </row>
    <row r="4748" spans="1:12" ht="43.5" x14ac:dyDescent="0.35">
      <c r="A4748" s="6" t="s">
        <v>98</v>
      </c>
      <c r="B4748" s="6" t="s">
        <v>99</v>
      </c>
      <c r="C4748" s="6" t="s">
        <v>985</v>
      </c>
      <c r="D4748" s="6" t="s">
        <v>14</v>
      </c>
      <c r="E4748" s="6" t="s">
        <v>110</v>
      </c>
      <c r="F4748" s="6" t="s">
        <v>126</v>
      </c>
      <c r="G4748" s="6" t="s">
        <v>986</v>
      </c>
      <c r="H4748" s="6" t="s">
        <v>987</v>
      </c>
      <c r="I4748" s="6" t="s">
        <v>31</v>
      </c>
      <c r="J4748" s="6">
        <v>17.952723378990999</v>
      </c>
      <c r="K4748" s="6">
        <v>-96.656076070721994</v>
      </c>
      <c r="L4748" s="6" t="str">
        <f>HYPERLINK("https://maps.google.com/?q=17.9527233789912,-96.656076070721795", "🔗 Ver Mapa")</f>
        <v>🔗 Ver Mapa</v>
      </c>
    </row>
    <row r="4749" spans="1:12" ht="43.5" x14ac:dyDescent="0.35">
      <c r="A4749" s="5" t="s">
        <v>98</v>
      </c>
      <c r="B4749" s="5" t="s">
        <v>99</v>
      </c>
      <c r="C4749" s="5" t="s">
        <v>985</v>
      </c>
      <c r="D4749" s="5" t="s">
        <v>14</v>
      </c>
      <c r="E4749" s="5" t="s">
        <v>110</v>
      </c>
      <c r="F4749" s="5" t="s">
        <v>126</v>
      </c>
      <c r="G4749" s="5" t="s">
        <v>986</v>
      </c>
      <c r="H4749" s="5" t="s">
        <v>987</v>
      </c>
      <c r="I4749" s="5" t="s">
        <v>31</v>
      </c>
      <c r="J4749" s="5">
        <v>17.952853538172999</v>
      </c>
      <c r="K4749" s="5">
        <v>-96.656297857810998</v>
      </c>
      <c r="L4749" s="5" t="str">
        <f>HYPERLINK("https://maps.google.com/?q=17.9528535381729,-96.656297857810799", "🔗 Ver Mapa")</f>
        <v>🔗 Ver Mapa</v>
      </c>
    </row>
    <row r="4750" spans="1:12" ht="43.5" x14ac:dyDescent="0.35">
      <c r="A4750" s="6" t="s">
        <v>98</v>
      </c>
      <c r="B4750" s="6" t="s">
        <v>99</v>
      </c>
      <c r="C4750" s="6" t="s">
        <v>985</v>
      </c>
      <c r="D4750" s="6" t="s">
        <v>14</v>
      </c>
      <c r="E4750" s="6" t="s">
        <v>110</v>
      </c>
      <c r="F4750" s="6" t="s">
        <v>126</v>
      </c>
      <c r="G4750" s="6" t="s">
        <v>986</v>
      </c>
      <c r="H4750" s="6" t="s">
        <v>987</v>
      </c>
      <c r="I4750" s="6" t="s">
        <v>31</v>
      </c>
      <c r="J4750" s="6">
        <v>17.952930059718</v>
      </c>
      <c r="K4750" s="6">
        <v>-96.657041665967</v>
      </c>
      <c r="L4750" s="6" t="str">
        <f>HYPERLINK("https://maps.google.com/?q=17.9529300597181,-96.6570416659671", "🔗 Ver Mapa")</f>
        <v>🔗 Ver Mapa</v>
      </c>
    </row>
    <row r="4751" spans="1:12" ht="43.5" x14ac:dyDescent="0.35">
      <c r="A4751" s="5" t="s">
        <v>98</v>
      </c>
      <c r="B4751" s="5" t="s">
        <v>99</v>
      </c>
      <c r="C4751" s="5" t="s">
        <v>985</v>
      </c>
      <c r="D4751" s="5" t="s">
        <v>14</v>
      </c>
      <c r="E4751" s="5" t="s">
        <v>110</v>
      </c>
      <c r="F4751" s="5" t="s">
        <v>126</v>
      </c>
      <c r="G4751" s="5" t="s">
        <v>986</v>
      </c>
      <c r="H4751" s="5" t="s">
        <v>987</v>
      </c>
      <c r="I4751" s="5" t="s">
        <v>31</v>
      </c>
      <c r="J4751" s="5">
        <v>17.953032124185999</v>
      </c>
      <c r="K4751" s="5">
        <v>-96.656859275754002</v>
      </c>
      <c r="L4751" s="5" t="str">
        <f>HYPERLINK("https://maps.google.com/?q=17.9530321241855,-96.656859275754101", "🔗 Ver Mapa")</f>
        <v>🔗 Ver Mapa</v>
      </c>
    </row>
    <row r="4752" spans="1:12" ht="43.5" x14ac:dyDescent="0.35">
      <c r="A4752" s="6" t="s">
        <v>98</v>
      </c>
      <c r="B4752" s="6" t="s">
        <v>99</v>
      </c>
      <c r="C4752" s="6" t="s">
        <v>985</v>
      </c>
      <c r="D4752" s="6" t="s">
        <v>14</v>
      </c>
      <c r="E4752" s="6" t="s">
        <v>110</v>
      </c>
      <c r="F4752" s="6" t="s">
        <v>126</v>
      </c>
      <c r="G4752" s="6" t="s">
        <v>986</v>
      </c>
      <c r="H4752" s="6" t="s">
        <v>987</v>
      </c>
      <c r="I4752" s="6" t="s">
        <v>31</v>
      </c>
      <c r="J4752" s="6">
        <v>17.953544050428999</v>
      </c>
      <c r="K4752" s="6">
        <v>-96.657905051591001</v>
      </c>
      <c r="L4752" s="6" t="str">
        <f>HYPERLINK("https://maps.google.com/?q=17.9535440504292,-96.657905051590703", "🔗 Ver Mapa")</f>
        <v>🔗 Ver Mapa</v>
      </c>
    </row>
    <row r="4753" spans="1:12" ht="43.5" x14ac:dyDescent="0.35">
      <c r="A4753" s="5" t="s">
        <v>98</v>
      </c>
      <c r="B4753" s="5" t="s">
        <v>99</v>
      </c>
      <c r="C4753" s="5" t="s">
        <v>985</v>
      </c>
      <c r="D4753" s="5" t="s">
        <v>14</v>
      </c>
      <c r="E4753" s="5" t="s">
        <v>110</v>
      </c>
      <c r="F4753" s="5" t="s">
        <v>126</v>
      </c>
      <c r="G4753" s="5" t="s">
        <v>986</v>
      </c>
      <c r="H4753" s="5" t="s">
        <v>987</v>
      </c>
      <c r="I4753" s="5" t="s">
        <v>31</v>
      </c>
      <c r="J4753" s="5">
        <v>17.953610406534999</v>
      </c>
      <c r="K4753" s="5">
        <v>-96.657715401833002</v>
      </c>
      <c r="L4753" s="5" t="str">
        <f>HYPERLINK("https://maps.google.com/?q=17.9536104065353,-96.657715401832704", "🔗 Ver Mapa")</f>
        <v>🔗 Ver Mapa</v>
      </c>
    </row>
    <row r="4754" spans="1:12" ht="43.5" x14ac:dyDescent="0.35">
      <c r="A4754" s="6" t="s">
        <v>98</v>
      </c>
      <c r="B4754" s="6" t="s">
        <v>99</v>
      </c>
      <c r="C4754" s="6" t="s">
        <v>985</v>
      </c>
      <c r="D4754" s="6" t="s">
        <v>14</v>
      </c>
      <c r="E4754" s="6" t="s">
        <v>110</v>
      </c>
      <c r="F4754" s="6" t="s">
        <v>126</v>
      </c>
      <c r="G4754" s="6" t="s">
        <v>986</v>
      </c>
      <c r="H4754" s="6" t="s">
        <v>987</v>
      </c>
      <c r="I4754" s="6" t="s">
        <v>31</v>
      </c>
      <c r="J4754" s="6">
        <v>17.953961070403</v>
      </c>
      <c r="K4754" s="6">
        <v>-96.654490084656004</v>
      </c>
      <c r="L4754" s="6" t="str">
        <f>HYPERLINK("https://maps.google.com/?q=17.9539610704029,-96.654490084655905", "🔗 Ver Mapa")</f>
        <v>🔗 Ver Mapa</v>
      </c>
    </row>
    <row r="4755" spans="1:12" ht="43.5" x14ac:dyDescent="0.35">
      <c r="A4755" s="5" t="s">
        <v>98</v>
      </c>
      <c r="B4755" s="5" t="s">
        <v>99</v>
      </c>
      <c r="C4755" s="5" t="s">
        <v>985</v>
      </c>
      <c r="D4755" s="5" t="s">
        <v>14</v>
      </c>
      <c r="E4755" s="5" t="s">
        <v>110</v>
      </c>
      <c r="F4755" s="5" t="s">
        <v>126</v>
      </c>
      <c r="G4755" s="5" t="s">
        <v>986</v>
      </c>
      <c r="H4755" s="5" t="s">
        <v>987</v>
      </c>
      <c r="I4755" s="5" t="s">
        <v>31</v>
      </c>
      <c r="J4755" s="5">
        <v>17.954390023765999</v>
      </c>
      <c r="K4755" s="5">
        <v>-96.655350517415002</v>
      </c>
      <c r="L4755" s="5" t="str">
        <f>HYPERLINK("https://maps.google.com/?q=17.954390023766,-96.655350517414604", "🔗 Ver Mapa")</f>
        <v>🔗 Ver Mapa</v>
      </c>
    </row>
    <row r="4756" spans="1:12" ht="43.5" x14ac:dyDescent="0.35">
      <c r="A4756" s="6" t="s">
        <v>98</v>
      </c>
      <c r="B4756" s="6" t="s">
        <v>99</v>
      </c>
      <c r="C4756" s="6" t="s">
        <v>985</v>
      </c>
      <c r="D4756" s="6" t="s">
        <v>14</v>
      </c>
      <c r="E4756" s="6" t="s">
        <v>110</v>
      </c>
      <c r="F4756" s="6" t="s">
        <v>126</v>
      </c>
      <c r="G4756" s="6" t="s">
        <v>986</v>
      </c>
      <c r="H4756" s="6" t="s">
        <v>987</v>
      </c>
      <c r="I4756" s="6" t="s">
        <v>31</v>
      </c>
      <c r="J4756" s="6">
        <v>17.954517182364999</v>
      </c>
      <c r="K4756" s="6">
        <v>-96.654082353164</v>
      </c>
      <c r="L4756" s="6" t="str">
        <f>HYPERLINK("https://maps.google.com/?q=17.9545171823649,-96.654082353164497", "🔗 Ver Mapa")</f>
        <v>🔗 Ver Mapa</v>
      </c>
    </row>
    <row r="4757" spans="1:12" ht="43.5" x14ac:dyDescent="0.35">
      <c r="A4757" s="5" t="s">
        <v>98</v>
      </c>
      <c r="B4757" s="5" t="s">
        <v>99</v>
      </c>
      <c r="C4757" s="5" t="s">
        <v>985</v>
      </c>
      <c r="D4757" s="5" t="s">
        <v>14</v>
      </c>
      <c r="E4757" s="5" t="s">
        <v>110</v>
      </c>
      <c r="F4757" s="5" t="s">
        <v>126</v>
      </c>
      <c r="G4757" s="5" t="s">
        <v>986</v>
      </c>
      <c r="H4757" s="5" t="s">
        <v>987</v>
      </c>
      <c r="I4757" s="5" t="s">
        <v>31</v>
      </c>
      <c r="J4757" s="5">
        <v>17.955266863904001</v>
      </c>
      <c r="K4757" s="5">
        <v>-96.658389999999997</v>
      </c>
      <c r="L4757" s="5" t="str">
        <f>HYPERLINK("https://maps.google.com/?q=17.955266863904,-96.658389999999997", "🔗 Ver Mapa")</f>
        <v>🔗 Ver Mapa</v>
      </c>
    </row>
    <row r="4758" spans="1:12" ht="43.5" x14ac:dyDescent="0.35">
      <c r="A4758" s="6" t="s">
        <v>98</v>
      </c>
      <c r="B4758" s="6" t="s">
        <v>99</v>
      </c>
      <c r="C4758" s="6" t="s">
        <v>985</v>
      </c>
      <c r="D4758" s="6" t="s">
        <v>14</v>
      </c>
      <c r="E4758" s="6" t="s">
        <v>110</v>
      </c>
      <c r="F4758" s="6" t="s">
        <v>126</v>
      </c>
      <c r="G4758" s="6" t="s">
        <v>986</v>
      </c>
      <c r="H4758" s="6" t="s">
        <v>987</v>
      </c>
      <c r="I4758" s="6" t="s">
        <v>31</v>
      </c>
      <c r="J4758" s="6">
        <v>17.955272451249002</v>
      </c>
      <c r="K4758" s="6">
        <v>-96.655396635581994</v>
      </c>
      <c r="L4758" s="6" t="str">
        <f>HYPERLINK("https://maps.google.com/?q=17.9552724512493,-96.655396635581994", "🔗 Ver Mapa")</f>
        <v>🔗 Ver Mapa</v>
      </c>
    </row>
    <row r="4759" spans="1:12" ht="43.5" x14ac:dyDescent="0.35">
      <c r="A4759" s="5" t="s">
        <v>98</v>
      </c>
      <c r="B4759" s="5" t="s">
        <v>99</v>
      </c>
      <c r="C4759" s="5" t="s">
        <v>985</v>
      </c>
      <c r="D4759" s="5" t="s">
        <v>14</v>
      </c>
      <c r="E4759" s="5" t="s">
        <v>110</v>
      </c>
      <c r="F4759" s="5" t="s">
        <v>126</v>
      </c>
      <c r="G4759" s="5" t="s">
        <v>986</v>
      </c>
      <c r="H4759" s="5" t="s">
        <v>987</v>
      </c>
      <c r="I4759" s="5" t="s">
        <v>31</v>
      </c>
      <c r="J4759" s="5">
        <v>17.955404962357999</v>
      </c>
      <c r="K4759" s="5">
        <v>-96.658459018835998</v>
      </c>
      <c r="L4759" s="5" t="str">
        <f>HYPERLINK("https://maps.google.com/?q=17.9554049623582,-96.658459018836098", "🔗 Ver Mapa")</f>
        <v>🔗 Ver Mapa</v>
      </c>
    </row>
    <row r="4760" spans="1:12" ht="43.5" x14ac:dyDescent="0.35">
      <c r="A4760" s="6" t="s">
        <v>98</v>
      </c>
      <c r="B4760" s="6" t="s">
        <v>99</v>
      </c>
      <c r="C4760" s="6" t="s">
        <v>985</v>
      </c>
      <c r="D4760" s="6" t="s">
        <v>14</v>
      </c>
      <c r="E4760" s="6" t="s">
        <v>110</v>
      </c>
      <c r="F4760" s="6" t="s">
        <v>126</v>
      </c>
      <c r="G4760" s="6" t="s">
        <v>986</v>
      </c>
      <c r="H4760" s="6" t="s">
        <v>987</v>
      </c>
      <c r="I4760" s="6" t="s">
        <v>31</v>
      </c>
      <c r="J4760" s="6">
        <v>17.955666210638999</v>
      </c>
      <c r="K4760" s="6">
        <v>-96.657796866507994</v>
      </c>
      <c r="L4760" s="6" t="str">
        <f>HYPERLINK("https://maps.google.com/?q=17.9556662106394,-96.657796866508093", "🔗 Ver Mapa")</f>
        <v>🔗 Ver Mapa</v>
      </c>
    </row>
    <row r="4761" spans="1:12" ht="43.5" x14ac:dyDescent="0.35">
      <c r="A4761" s="5" t="s">
        <v>98</v>
      </c>
      <c r="B4761" s="5" t="s">
        <v>99</v>
      </c>
      <c r="C4761" s="5" t="s">
        <v>985</v>
      </c>
      <c r="D4761" s="5" t="s">
        <v>14</v>
      </c>
      <c r="E4761" s="5" t="s">
        <v>110</v>
      </c>
      <c r="F4761" s="5" t="s">
        <v>126</v>
      </c>
      <c r="G4761" s="5" t="s">
        <v>986</v>
      </c>
      <c r="H4761" s="5" t="s">
        <v>987</v>
      </c>
      <c r="I4761" s="5" t="s">
        <v>31</v>
      </c>
      <c r="J4761" s="5">
        <v>17.955813588257001</v>
      </c>
      <c r="K4761" s="5">
        <v>-96.653643788574001</v>
      </c>
      <c r="L4761" s="5" t="str">
        <f>HYPERLINK("https://maps.google.com/?q=17.9558135882571,-96.653643788573604", "🔗 Ver Mapa")</f>
        <v>🔗 Ver Mapa</v>
      </c>
    </row>
    <row r="4762" spans="1:12" ht="43.5" x14ac:dyDescent="0.35">
      <c r="A4762" s="6" t="s">
        <v>98</v>
      </c>
      <c r="B4762" s="6" t="s">
        <v>99</v>
      </c>
      <c r="C4762" s="6" t="s">
        <v>985</v>
      </c>
      <c r="D4762" s="6" t="s">
        <v>14</v>
      </c>
      <c r="E4762" s="6" t="s">
        <v>110</v>
      </c>
      <c r="F4762" s="6" t="s">
        <v>126</v>
      </c>
      <c r="G4762" s="6" t="s">
        <v>986</v>
      </c>
      <c r="H4762" s="6" t="s">
        <v>987</v>
      </c>
      <c r="I4762" s="6" t="s">
        <v>31</v>
      </c>
      <c r="J4762" s="6">
        <v>17.955833797655</v>
      </c>
      <c r="K4762" s="6">
        <v>-96.653465445090006</v>
      </c>
      <c r="L4762" s="6" t="str">
        <f>HYPERLINK("https://maps.google.com/?q=17.9558337976547,-96.653465445090404", "🔗 Ver Mapa")</f>
        <v>🔗 Ver Mapa</v>
      </c>
    </row>
    <row r="4763" spans="1:12" ht="43.5" x14ac:dyDescent="0.35">
      <c r="A4763" s="5" t="s">
        <v>98</v>
      </c>
      <c r="B4763" s="5" t="s">
        <v>99</v>
      </c>
      <c r="C4763" s="5" t="s">
        <v>985</v>
      </c>
      <c r="D4763" s="5" t="s">
        <v>14</v>
      </c>
      <c r="E4763" s="5" t="s">
        <v>110</v>
      </c>
      <c r="F4763" s="5" t="s">
        <v>126</v>
      </c>
      <c r="G4763" s="5" t="s">
        <v>986</v>
      </c>
      <c r="H4763" s="5" t="s">
        <v>987</v>
      </c>
      <c r="I4763" s="5" t="s">
        <v>31</v>
      </c>
      <c r="J4763" s="5">
        <v>17.955837002852</v>
      </c>
      <c r="K4763" s="5">
        <v>-96.657854</v>
      </c>
      <c r="L4763" s="5" t="str">
        <f>HYPERLINK("https://maps.google.com/?q=17.9558370028523,-96.657854", "🔗 Ver Mapa")</f>
        <v>🔗 Ver Mapa</v>
      </c>
    </row>
    <row r="4764" spans="1:12" ht="43.5" x14ac:dyDescent="0.35">
      <c r="A4764" s="6" t="s">
        <v>98</v>
      </c>
      <c r="B4764" s="6" t="s">
        <v>99</v>
      </c>
      <c r="C4764" s="6" t="s">
        <v>985</v>
      </c>
      <c r="D4764" s="6" t="s">
        <v>14</v>
      </c>
      <c r="E4764" s="6" t="s">
        <v>110</v>
      </c>
      <c r="F4764" s="6" t="s">
        <v>126</v>
      </c>
      <c r="G4764" s="6" t="s">
        <v>986</v>
      </c>
      <c r="H4764" s="6" t="s">
        <v>987</v>
      </c>
      <c r="I4764" s="6" t="s">
        <v>31</v>
      </c>
      <c r="J4764" s="6">
        <v>17.956387760641</v>
      </c>
      <c r="K4764" s="6">
        <v>-96.654756635582004</v>
      </c>
      <c r="L4764" s="6" t="str">
        <f>HYPERLINK("https://maps.google.com/?q=17.9563877606412,-96.654756635582004", "🔗 Ver Mapa")</f>
        <v>🔗 Ver Mapa</v>
      </c>
    </row>
    <row r="4765" spans="1:12" ht="43.5" x14ac:dyDescent="0.35">
      <c r="A4765" s="5" t="s">
        <v>98</v>
      </c>
      <c r="B4765" s="5" t="s">
        <v>99</v>
      </c>
      <c r="C4765" s="5" t="s">
        <v>985</v>
      </c>
      <c r="D4765" s="5" t="s">
        <v>14</v>
      </c>
      <c r="E4765" s="5" t="s">
        <v>110</v>
      </c>
      <c r="F4765" s="5" t="s">
        <v>126</v>
      </c>
      <c r="G4765" s="5" t="s">
        <v>986</v>
      </c>
      <c r="H4765" s="5" t="s">
        <v>987</v>
      </c>
      <c r="I4765" s="5" t="s">
        <v>31</v>
      </c>
      <c r="J4765" s="5">
        <v>17.956539028750001</v>
      </c>
      <c r="K4765" s="5">
        <v>-96.656404619311999</v>
      </c>
      <c r="L4765" s="5" t="str">
        <f>HYPERLINK("https://maps.google.com/?q=17.95653902875,-96.656404619311601", "🔗 Ver Mapa")</f>
        <v>🔗 Ver Mapa</v>
      </c>
    </row>
    <row r="4766" spans="1:12" ht="43.5" x14ac:dyDescent="0.35">
      <c r="A4766" s="6" t="s">
        <v>98</v>
      </c>
      <c r="B4766" s="6" t="s">
        <v>99</v>
      </c>
      <c r="C4766" s="6" t="s">
        <v>985</v>
      </c>
      <c r="D4766" s="6" t="s">
        <v>14</v>
      </c>
      <c r="E4766" s="6" t="s">
        <v>110</v>
      </c>
      <c r="F4766" s="6" t="s">
        <v>126</v>
      </c>
      <c r="G4766" s="6" t="s">
        <v>986</v>
      </c>
      <c r="H4766" s="6" t="s">
        <v>987</v>
      </c>
      <c r="I4766" s="6" t="s">
        <v>31</v>
      </c>
      <c r="J4766" s="6">
        <v>17.956600518270001</v>
      </c>
      <c r="K4766" s="6">
        <v>-96.661747753967006</v>
      </c>
      <c r="L4766" s="6" t="str">
        <f>HYPERLINK("https://maps.google.com/?q=17.9566005182699,-96.661747753967305", "🔗 Ver Mapa")</f>
        <v>🔗 Ver Mapa</v>
      </c>
    </row>
    <row r="4767" spans="1:12" ht="43.5" x14ac:dyDescent="0.35">
      <c r="A4767" s="5" t="s">
        <v>98</v>
      </c>
      <c r="B4767" s="5" t="s">
        <v>99</v>
      </c>
      <c r="C4767" s="5" t="s">
        <v>985</v>
      </c>
      <c r="D4767" s="5" t="s">
        <v>14</v>
      </c>
      <c r="E4767" s="5" t="s">
        <v>110</v>
      </c>
      <c r="F4767" s="5" t="s">
        <v>126</v>
      </c>
      <c r="G4767" s="5" t="s">
        <v>986</v>
      </c>
      <c r="H4767" s="5" t="s">
        <v>987</v>
      </c>
      <c r="I4767" s="5" t="s">
        <v>31</v>
      </c>
      <c r="J4767" s="5">
        <v>17.956608316973</v>
      </c>
      <c r="K4767" s="5">
        <v>-96.655372143516004</v>
      </c>
      <c r="L4767" s="5" t="str">
        <f>HYPERLINK("https://maps.google.com/?q=17.9566083169734,-96.655372143516004", "🔗 Ver Mapa")</f>
        <v>🔗 Ver Mapa</v>
      </c>
    </row>
    <row r="4768" spans="1:12" ht="43.5" x14ac:dyDescent="0.35">
      <c r="A4768" s="6" t="s">
        <v>98</v>
      </c>
      <c r="B4768" s="6" t="s">
        <v>99</v>
      </c>
      <c r="C4768" s="6" t="s">
        <v>985</v>
      </c>
      <c r="D4768" s="6" t="s">
        <v>14</v>
      </c>
      <c r="E4768" s="6" t="s">
        <v>110</v>
      </c>
      <c r="F4768" s="6" t="s">
        <v>126</v>
      </c>
      <c r="G4768" s="6" t="s">
        <v>986</v>
      </c>
      <c r="H4768" s="6" t="s">
        <v>987</v>
      </c>
      <c r="I4768" s="6" t="s">
        <v>31</v>
      </c>
      <c r="J4768" s="6">
        <v>17.956684230619999</v>
      </c>
      <c r="K4768" s="6">
        <v>-96.656615974418003</v>
      </c>
      <c r="L4768" s="6" t="str">
        <f>HYPERLINK("https://maps.google.com/?q=17.9566842306199,-96.656615974418003", "🔗 Ver Mapa")</f>
        <v>🔗 Ver Mapa</v>
      </c>
    </row>
    <row r="4769" spans="1:12" ht="43.5" x14ac:dyDescent="0.35">
      <c r="A4769" s="5" t="s">
        <v>98</v>
      </c>
      <c r="B4769" s="5" t="s">
        <v>99</v>
      </c>
      <c r="C4769" s="5" t="s">
        <v>985</v>
      </c>
      <c r="D4769" s="5" t="s">
        <v>14</v>
      </c>
      <c r="E4769" s="5" t="s">
        <v>110</v>
      </c>
      <c r="F4769" s="5" t="s">
        <v>126</v>
      </c>
      <c r="G4769" s="5" t="s">
        <v>986</v>
      </c>
      <c r="H4769" s="5" t="s">
        <v>987</v>
      </c>
      <c r="I4769" s="5" t="s">
        <v>31</v>
      </c>
      <c r="J4769" s="5">
        <v>17.956705276200999</v>
      </c>
      <c r="K4769" s="5">
        <v>-96.655618906746</v>
      </c>
      <c r="L4769" s="5" t="str">
        <f>HYPERLINK("https://maps.google.com/?q=17.9567052762014,-96.6556189067459", "🔗 Ver Mapa")</f>
        <v>🔗 Ver Mapa</v>
      </c>
    </row>
    <row r="4770" spans="1:12" ht="43.5" x14ac:dyDescent="0.35">
      <c r="A4770" s="6" t="s">
        <v>98</v>
      </c>
      <c r="B4770" s="6" t="s">
        <v>99</v>
      </c>
      <c r="C4770" s="6" t="s">
        <v>985</v>
      </c>
      <c r="D4770" s="6" t="s">
        <v>14</v>
      </c>
      <c r="E4770" s="6" t="s">
        <v>110</v>
      </c>
      <c r="F4770" s="6" t="s">
        <v>126</v>
      </c>
      <c r="G4770" s="6" t="s">
        <v>986</v>
      </c>
      <c r="H4770" s="6" t="s">
        <v>987</v>
      </c>
      <c r="I4770" s="6" t="s">
        <v>31</v>
      </c>
      <c r="J4770" s="6">
        <v>17.956907107633999</v>
      </c>
      <c r="K4770" s="6">
        <v>-96.656464573925007</v>
      </c>
      <c r="L4770" s="6" t="str">
        <f>HYPERLINK("https://maps.google.com/?q=17.9569071076337,-96.656464573925305", "🔗 Ver Mapa")</f>
        <v>🔗 Ver Mapa</v>
      </c>
    </row>
    <row r="4771" spans="1:12" ht="43.5" x14ac:dyDescent="0.35">
      <c r="A4771" s="5" t="s">
        <v>98</v>
      </c>
      <c r="B4771" s="5" t="s">
        <v>99</v>
      </c>
      <c r="C4771" s="5" t="s">
        <v>985</v>
      </c>
      <c r="D4771" s="5" t="s">
        <v>14</v>
      </c>
      <c r="E4771" s="5" t="s">
        <v>110</v>
      </c>
      <c r="F4771" s="5" t="s">
        <v>126</v>
      </c>
      <c r="G4771" s="5" t="s">
        <v>986</v>
      </c>
      <c r="H4771" s="5" t="s">
        <v>987</v>
      </c>
      <c r="I4771" s="5" t="s">
        <v>31</v>
      </c>
      <c r="J4771" s="5">
        <v>17.956985314236</v>
      </c>
      <c r="K4771" s="5">
        <v>-96.658721508495006</v>
      </c>
      <c r="L4771" s="5" t="str">
        <f>HYPERLINK("https://maps.google.com/?q=17.9569853142363,-96.6587215084951", "🔗 Ver Mapa")</f>
        <v>🔗 Ver Mapa</v>
      </c>
    </row>
    <row r="4772" spans="1:12" ht="43.5" x14ac:dyDescent="0.35">
      <c r="A4772" s="6" t="s">
        <v>98</v>
      </c>
      <c r="B4772" s="6" t="s">
        <v>99</v>
      </c>
      <c r="C4772" s="6" t="s">
        <v>985</v>
      </c>
      <c r="D4772" s="6" t="s">
        <v>14</v>
      </c>
      <c r="E4772" s="6" t="s">
        <v>110</v>
      </c>
      <c r="F4772" s="6" t="s">
        <v>126</v>
      </c>
      <c r="G4772" s="6" t="s">
        <v>986</v>
      </c>
      <c r="H4772" s="6" t="s">
        <v>987</v>
      </c>
      <c r="I4772" s="6" t="s">
        <v>31</v>
      </c>
      <c r="J4772" s="6">
        <v>17.957015966810999</v>
      </c>
      <c r="K4772" s="6">
        <v>-96.655813813492003</v>
      </c>
      <c r="L4772" s="6" t="str">
        <f>HYPERLINK("https://maps.google.com/?q=17.9570159668108,-96.655813813491804", "🔗 Ver Mapa")</f>
        <v>🔗 Ver Mapa</v>
      </c>
    </row>
    <row r="4773" spans="1:12" ht="43.5" x14ac:dyDescent="0.35">
      <c r="A4773" s="5" t="s">
        <v>98</v>
      </c>
      <c r="B4773" s="5" t="s">
        <v>99</v>
      </c>
      <c r="C4773" s="5" t="s">
        <v>985</v>
      </c>
      <c r="D4773" s="5" t="s">
        <v>14</v>
      </c>
      <c r="E4773" s="5" t="s">
        <v>110</v>
      </c>
      <c r="F4773" s="5" t="s">
        <v>126</v>
      </c>
      <c r="G4773" s="5" t="s">
        <v>986</v>
      </c>
      <c r="H4773" s="5" t="s">
        <v>987</v>
      </c>
      <c r="I4773" s="5" t="s">
        <v>31</v>
      </c>
      <c r="J4773" s="5">
        <v>17.957024479126002</v>
      </c>
      <c r="K4773" s="5">
        <v>-96.657049295491007</v>
      </c>
      <c r="L4773" s="5" t="str">
        <f>HYPERLINK("https://maps.google.com/?q=17.9570244791259,-96.657049295491404", "🔗 Ver Mapa")</f>
        <v>🔗 Ver Mapa</v>
      </c>
    </row>
    <row r="4774" spans="1:12" ht="43.5" x14ac:dyDescent="0.35">
      <c r="A4774" s="6" t="s">
        <v>98</v>
      </c>
      <c r="B4774" s="6" t="s">
        <v>99</v>
      </c>
      <c r="C4774" s="6" t="s">
        <v>985</v>
      </c>
      <c r="D4774" s="6" t="s">
        <v>14</v>
      </c>
      <c r="E4774" s="6" t="s">
        <v>110</v>
      </c>
      <c r="F4774" s="6" t="s">
        <v>126</v>
      </c>
      <c r="G4774" s="6" t="s">
        <v>986</v>
      </c>
      <c r="H4774" s="6" t="s">
        <v>987</v>
      </c>
      <c r="I4774" s="6" t="s">
        <v>31</v>
      </c>
      <c r="J4774" s="6">
        <v>17.957031930791999</v>
      </c>
      <c r="K4774" s="6">
        <v>-96.658390495700999</v>
      </c>
      <c r="L4774" s="6" t="str">
        <f>HYPERLINK("https://maps.google.com/?q=17.9570319307922,-96.658390495700999", "🔗 Ver Mapa")</f>
        <v>🔗 Ver Mapa</v>
      </c>
    </row>
    <row r="4775" spans="1:12" ht="43.5" x14ac:dyDescent="0.35">
      <c r="A4775" s="5" t="s">
        <v>98</v>
      </c>
      <c r="B4775" s="5" t="s">
        <v>99</v>
      </c>
      <c r="C4775" s="5" t="s">
        <v>985</v>
      </c>
      <c r="D4775" s="5" t="s">
        <v>14</v>
      </c>
      <c r="E4775" s="5" t="s">
        <v>110</v>
      </c>
      <c r="F4775" s="5" t="s">
        <v>126</v>
      </c>
      <c r="G4775" s="5" t="s">
        <v>986</v>
      </c>
      <c r="H4775" s="5" t="s">
        <v>987</v>
      </c>
      <c r="I4775" s="5" t="s">
        <v>31</v>
      </c>
      <c r="J4775" s="5">
        <v>17.957175767307</v>
      </c>
      <c r="K4775" s="5">
        <v>-96.661624702639998</v>
      </c>
      <c r="L4775" s="5" t="str">
        <f>HYPERLINK("https://maps.google.com/?q=17.9571757673068,-96.661624702639699", "🔗 Ver Mapa")</f>
        <v>🔗 Ver Mapa</v>
      </c>
    </row>
    <row r="4776" spans="1:12" ht="43.5" x14ac:dyDescent="0.35">
      <c r="A4776" s="6" t="s">
        <v>98</v>
      </c>
      <c r="B4776" s="6" t="s">
        <v>99</v>
      </c>
      <c r="C4776" s="6" t="s">
        <v>985</v>
      </c>
      <c r="D4776" s="6" t="s">
        <v>14</v>
      </c>
      <c r="E4776" s="6" t="s">
        <v>110</v>
      </c>
      <c r="F4776" s="6" t="s">
        <v>126</v>
      </c>
      <c r="G4776" s="6" t="s">
        <v>986</v>
      </c>
      <c r="H4776" s="6" t="s">
        <v>987</v>
      </c>
      <c r="I4776" s="6" t="s">
        <v>31</v>
      </c>
      <c r="J4776" s="6">
        <v>17.957231830154001</v>
      </c>
      <c r="K4776" s="6">
        <v>-96.660983341104995</v>
      </c>
      <c r="L4776" s="6" t="str">
        <f>HYPERLINK("https://maps.google.com/?q=17.9572318301538,-96.660983341104597", "🔗 Ver Mapa")</f>
        <v>🔗 Ver Mapa</v>
      </c>
    </row>
    <row r="4777" spans="1:12" ht="43.5" x14ac:dyDescent="0.35">
      <c r="A4777" s="5" t="s">
        <v>98</v>
      </c>
      <c r="B4777" s="5" t="s">
        <v>99</v>
      </c>
      <c r="C4777" s="5" t="s">
        <v>985</v>
      </c>
      <c r="D4777" s="5" t="s">
        <v>14</v>
      </c>
      <c r="E4777" s="5" t="s">
        <v>110</v>
      </c>
      <c r="F4777" s="5" t="s">
        <v>126</v>
      </c>
      <c r="G4777" s="5" t="s">
        <v>986</v>
      </c>
      <c r="H4777" s="5" t="s">
        <v>987</v>
      </c>
      <c r="I4777" s="5" t="s">
        <v>31</v>
      </c>
      <c r="J4777" s="5">
        <v>17.957301617412998</v>
      </c>
      <c r="K4777" s="5">
        <v>-96.661582243235998</v>
      </c>
      <c r="L4777" s="5" t="str">
        <f>HYPERLINK("https://maps.google.com/?q=17.9573016174127,-96.661582243235998", "🔗 Ver Mapa")</f>
        <v>🔗 Ver Mapa</v>
      </c>
    </row>
    <row r="4778" spans="1:12" ht="43.5" x14ac:dyDescent="0.35">
      <c r="A4778" s="6" t="s">
        <v>98</v>
      </c>
      <c r="B4778" s="6" t="s">
        <v>99</v>
      </c>
      <c r="C4778" s="6" t="s">
        <v>985</v>
      </c>
      <c r="D4778" s="6" t="s">
        <v>14</v>
      </c>
      <c r="E4778" s="6" t="s">
        <v>110</v>
      </c>
      <c r="F4778" s="6" t="s">
        <v>126</v>
      </c>
      <c r="G4778" s="6" t="s">
        <v>986</v>
      </c>
      <c r="H4778" s="6" t="s">
        <v>987</v>
      </c>
      <c r="I4778" s="6" t="s">
        <v>31</v>
      </c>
      <c r="J4778" s="6">
        <v>17.957334307025</v>
      </c>
      <c r="K4778" s="6">
        <v>-96.656882644180001</v>
      </c>
      <c r="L4778" s="6" t="str">
        <f>HYPERLINK("https://maps.google.com/?q=17.9573343070248,-96.6568826441803", "🔗 Ver Mapa")</f>
        <v>🔗 Ver Mapa</v>
      </c>
    </row>
    <row r="4779" spans="1:12" ht="43.5" x14ac:dyDescent="0.35">
      <c r="A4779" s="5" t="s">
        <v>98</v>
      </c>
      <c r="B4779" s="5" t="s">
        <v>99</v>
      </c>
      <c r="C4779" s="5" t="s">
        <v>985</v>
      </c>
      <c r="D4779" s="5" t="s">
        <v>14</v>
      </c>
      <c r="E4779" s="5" t="s">
        <v>110</v>
      </c>
      <c r="F4779" s="5" t="s">
        <v>126</v>
      </c>
      <c r="G4779" s="5" t="s">
        <v>986</v>
      </c>
      <c r="H4779" s="5" t="s">
        <v>987</v>
      </c>
      <c r="I4779" s="5" t="s">
        <v>31</v>
      </c>
      <c r="J4779" s="5">
        <v>17.957555749148</v>
      </c>
      <c r="K4779" s="5">
        <v>-96.658494601045007</v>
      </c>
      <c r="L4779" s="5" t="str">
        <f>HYPERLINK("https://maps.google.com/?q=17.9575557491484,-96.658494601044595", "🔗 Ver Mapa")</f>
        <v>🔗 Ver Mapa</v>
      </c>
    </row>
    <row r="4780" spans="1:12" ht="43.5" x14ac:dyDescent="0.35">
      <c r="A4780" s="6" t="s">
        <v>98</v>
      </c>
      <c r="B4780" s="6" t="s">
        <v>99</v>
      </c>
      <c r="C4780" s="6" t="s">
        <v>985</v>
      </c>
      <c r="D4780" s="6" t="s">
        <v>14</v>
      </c>
      <c r="E4780" s="6" t="s">
        <v>110</v>
      </c>
      <c r="F4780" s="6" t="s">
        <v>126</v>
      </c>
      <c r="G4780" s="6" t="s">
        <v>986</v>
      </c>
      <c r="H4780" s="6" t="s">
        <v>987</v>
      </c>
      <c r="I4780" s="6" t="s">
        <v>31</v>
      </c>
      <c r="J4780" s="6">
        <v>17.957616438508001</v>
      </c>
      <c r="K4780" s="6">
        <v>-96.658089992590007</v>
      </c>
      <c r="L4780" s="6" t="str">
        <f>HYPERLINK("https://maps.google.com/?q=17.957616438508,-96.658089992589595", "🔗 Ver Mapa")</f>
        <v>🔗 Ver Mapa</v>
      </c>
    </row>
    <row r="4781" spans="1:12" ht="43.5" x14ac:dyDescent="0.35">
      <c r="A4781" s="5" t="s">
        <v>98</v>
      </c>
      <c r="B4781" s="5" t="s">
        <v>99</v>
      </c>
      <c r="C4781" s="5" t="s">
        <v>985</v>
      </c>
      <c r="D4781" s="5" t="s">
        <v>14</v>
      </c>
      <c r="E4781" s="5" t="s">
        <v>110</v>
      </c>
      <c r="F4781" s="5" t="s">
        <v>126</v>
      </c>
      <c r="G4781" s="5" t="s">
        <v>986</v>
      </c>
      <c r="H4781" s="5" t="s">
        <v>987</v>
      </c>
      <c r="I4781" s="5" t="s">
        <v>31</v>
      </c>
      <c r="J4781" s="5">
        <v>17.957779245116999</v>
      </c>
      <c r="K4781" s="5">
        <v>-96.659491023314004</v>
      </c>
      <c r="L4781" s="5" t="str">
        <f>HYPERLINK("https://maps.google.com/?q=17.9577792451166,-96.659491023313507", "🔗 Ver Mapa")</f>
        <v>🔗 Ver Mapa</v>
      </c>
    </row>
    <row r="4782" spans="1:12" ht="43.5" x14ac:dyDescent="0.35">
      <c r="A4782" s="6" t="s">
        <v>98</v>
      </c>
      <c r="B4782" s="6" t="s">
        <v>99</v>
      </c>
      <c r="C4782" s="6" t="s">
        <v>985</v>
      </c>
      <c r="D4782" s="6" t="s">
        <v>14</v>
      </c>
      <c r="E4782" s="6" t="s">
        <v>110</v>
      </c>
      <c r="F4782" s="6" t="s">
        <v>126</v>
      </c>
      <c r="G4782" s="6" t="s">
        <v>986</v>
      </c>
      <c r="H4782" s="6" t="s">
        <v>987</v>
      </c>
      <c r="I4782" s="6" t="s">
        <v>31</v>
      </c>
      <c r="J4782" s="6">
        <v>17.957852598654998</v>
      </c>
      <c r="K4782" s="6">
        <v>-96.658618751163999</v>
      </c>
      <c r="L4782" s="6" t="str">
        <f>HYPERLINK("https://maps.google.com/?q=17.9578525986554,-96.658618751163601", "🔗 Ver Mapa")</f>
        <v>🔗 Ver Mapa</v>
      </c>
    </row>
    <row r="4783" spans="1:12" ht="43.5" x14ac:dyDescent="0.35">
      <c r="A4783" s="5" t="s">
        <v>98</v>
      </c>
      <c r="B4783" s="5" t="s">
        <v>99</v>
      </c>
      <c r="C4783" s="5" t="s">
        <v>985</v>
      </c>
      <c r="D4783" s="5" t="s">
        <v>14</v>
      </c>
      <c r="E4783" s="5" t="s">
        <v>110</v>
      </c>
      <c r="F4783" s="5" t="s">
        <v>126</v>
      </c>
      <c r="G4783" s="5" t="s">
        <v>986</v>
      </c>
      <c r="H4783" s="5" t="s">
        <v>987</v>
      </c>
      <c r="I4783" s="5" t="s">
        <v>31</v>
      </c>
      <c r="J4783" s="5">
        <v>17.957861799837001</v>
      </c>
      <c r="K4783" s="5">
        <v>-96.658798680741995</v>
      </c>
      <c r="L4783" s="5" t="str">
        <f>HYPERLINK("https://maps.google.com/?q=17.9578617998371,-96.658798680742294", "🔗 Ver Mapa")</f>
        <v>🔗 Ver Mapa</v>
      </c>
    </row>
    <row r="4784" spans="1:12" ht="43.5" x14ac:dyDescent="0.35">
      <c r="A4784" s="6" t="s">
        <v>98</v>
      </c>
      <c r="B4784" s="6" t="s">
        <v>99</v>
      </c>
      <c r="C4784" s="6" t="s">
        <v>985</v>
      </c>
      <c r="D4784" s="6" t="s">
        <v>14</v>
      </c>
      <c r="E4784" s="6" t="s">
        <v>110</v>
      </c>
      <c r="F4784" s="6" t="s">
        <v>126</v>
      </c>
      <c r="G4784" s="6" t="s">
        <v>986</v>
      </c>
      <c r="H4784" s="6" t="s">
        <v>987</v>
      </c>
      <c r="I4784" s="6" t="s">
        <v>31</v>
      </c>
      <c r="J4784" s="6">
        <v>17.957891133793002</v>
      </c>
      <c r="K4784" s="6">
        <v>-96.660223702351999</v>
      </c>
      <c r="L4784" s="6" t="str">
        <f>HYPERLINK("https://maps.google.com/?q=17.9578911337928,-96.660223702352397", "🔗 Ver Mapa")</f>
        <v>🔗 Ver Mapa</v>
      </c>
    </row>
    <row r="4785" spans="1:12" ht="43.5" x14ac:dyDescent="0.35">
      <c r="A4785" s="5" t="s">
        <v>98</v>
      </c>
      <c r="B4785" s="5" t="s">
        <v>99</v>
      </c>
      <c r="C4785" s="5" t="s">
        <v>985</v>
      </c>
      <c r="D4785" s="5" t="s">
        <v>14</v>
      </c>
      <c r="E4785" s="5" t="s">
        <v>110</v>
      </c>
      <c r="F4785" s="5" t="s">
        <v>126</v>
      </c>
      <c r="G4785" s="5" t="s">
        <v>986</v>
      </c>
      <c r="H4785" s="5" t="s">
        <v>987</v>
      </c>
      <c r="I4785" s="5" t="s">
        <v>31</v>
      </c>
      <c r="J4785" s="5">
        <v>17.958010620987999</v>
      </c>
      <c r="K4785" s="5">
        <v>-96.659558495094998</v>
      </c>
      <c r="L4785" s="5" t="str">
        <f>HYPERLINK("https://maps.google.com/?q=17.9580106209881,-96.659558495095098", "🔗 Ver Mapa")</f>
        <v>🔗 Ver Mapa</v>
      </c>
    </row>
    <row r="4786" spans="1:12" ht="43.5" x14ac:dyDescent="0.35">
      <c r="A4786" s="6" t="s">
        <v>98</v>
      </c>
      <c r="B4786" s="6" t="s">
        <v>99</v>
      </c>
      <c r="C4786" s="6" t="s">
        <v>985</v>
      </c>
      <c r="D4786" s="6" t="s">
        <v>14</v>
      </c>
      <c r="E4786" s="6" t="s">
        <v>110</v>
      </c>
      <c r="F4786" s="6" t="s">
        <v>126</v>
      </c>
      <c r="G4786" s="6" t="s">
        <v>986</v>
      </c>
      <c r="H4786" s="6" t="s">
        <v>987</v>
      </c>
      <c r="I4786" s="6" t="s">
        <v>31</v>
      </c>
      <c r="J4786" s="6">
        <v>17.958030201479001</v>
      </c>
      <c r="K4786" s="6">
        <v>-96.660327539880996</v>
      </c>
      <c r="L4786" s="6" t="str">
        <f>HYPERLINK("https://maps.google.com/?q=17.9580302014788,-96.660327539881294", "🔗 Ver Mapa")</f>
        <v>🔗 Ver Mapa</v>
      </c>
    </row>
    <row r="4787" spans="1:12" ht="43.5" x14ac:dyDescent="0.35">
      <c r="A4787" s="5" t="s">
        <v>98</v>
      </c>
      <c r="B4787" s="5" t="s">
        <v>99</v>
      </c>
      <c r="C4787" s="5" t="s">
        <v>985</v>
      </c>
      <c r="D4787" s="5" t="s">
        <v>14</v>
      </c>
      <c r="E4787" s="5" t="s">
        <v>110</v>
      </c>
      <c r="F4787" s="5" t="s">
        <v>126</v>
      </c>
      <c r="G4787" s="5" t="s">
        <v>986</v>
      </c>
      <c r="H4787" s="5" t="s">
        <v>987</v>
      </c>
      <c r="I4787" s="5" t="s">
        <v>31</v>
      </c>
      <c r="J4787" s="5">
        <v>17.958040526678001</v>
      </c>
      <c r="K4787" s="5">
        <v>-96.660826128029001</v>
      </c>
      <c r="L4787" s="5" t="str">
        <f>HYPERLINK("https://maps.google.com/?q=17.9580405266777,-96.660826128028702", "🔗 Ver Mapa")</f>
        <v>🔗 Ver Mapa</v>
      </c>
    </row>
    <row r="4788" spans="1:12" ht="43.5" x14ac:dyDescent="0.35">
      <c r="A4788" s="6" t="s">
        <v>98</v>
      </c>
      <c r="B4788" s="6" t="s">
        <v>99</v>
      </c>
      <c r="C4788" s="6" t="s">
        <v>985</v>
      </c>
      <c r="D4788" s="6" t="s">
        <v>14</v>
      </c>
      <c r="E4788" s="6" t="s">
        <v>110</v>
      </c>
      <c r="F4788" s="6" t="s">
        <v>126</v>
      </c>
      <c r="G4788" s="6" t="s">
        <v>986</v>
      </c>
      <c r="H4788" s="6" t="s">
        <v>987</v>
      </c>
      <c r="I4788" s="6" t="s">
        <v>31</v>
      </c>
      <c r="J4788" s="6">
        <v>17.958049190821999</v>
      </c>
      <c r="K4788" s="6">
        <v>-96.659236451205004</v>
      </c>
      <c r="L4788" s="6" t="str">
        <f>HYPERLINK("https://maps.google.com/?q=17.958049190822,-96.659236451204706", "🔗 Ver Mapa")</f>
        <v>🔗 Ver Mapa</v>
      </c>
    </row>
    <row r="4789" spans="1:12" ht="43.5" x14ac:dyDescent="0.35">
      <c r="A4789" s="5" t="s">
        <v>98</v>
      </c>
      <c r="B4789" s="5" t="s">
        <v>99</v>
      </c>
      <c r="C4789" s="5" t="s">
        <v>985</v>
      </c>
      <c r="D4789" s="5" t="s">
        <v>14</v>
      </c>
      <c r="E4789" s="5" t="s">
        <v>110</v>
      </c>
      <c r="F4789" s="5" t="s">
        <v>126</v>
      </c>
      <c r="G4789" s="5" t="s">
        <v>986</v>
      </c>
      <c r="H4789" s="5" t="s">
        <v>987</v>
      </c>
      <c r="I4789" s="5" t="s">
        <v>31</v>
      </c>
      <c r="J4789" s="5">
        <v>17.958182880544999</v>
      </c>
      <c r="K4789" s="5">
        <v>-96.658544227148994</v>
      </c>
      <c r="L4789" s="5" t="str">
        <f>HYPERLINK("https://maps.google.com/?q=17.9581828805449,-96.658544227148695", "🔗 Ver Mapa")</f>
        <v>🔗 Ver Mapa</v>
      </c>
    </row>
    <row r="4790" spans="1:12" ht="43.5" x14ac:dyDescent="0.35">
      <c r="A4790" s="6" t="s">
        <v>98</v>
      </c>
      <c r="B4790" s="6" t="s">
        <v>99</v>
      </c>
      <c r="C4790" s="6" t="s">
        <v>985</v>
      </c>
      <c r="D4790" s="6" t="s">
        <v>14</v>
      </c>
      <c r="E4790" s="6" t="s">
        <v>110</v>
      </c>
      <c r="F4790" s="6" t="s">
        <v>126</v>
      </c>
      <c r="G4790" s="6" t="s">
        <v>986</v>
      </c>
      <c r="H4790" s="6" t="s">
        <v>987</v>
      </c>
      <c r="I4790" s="6" t="s">
        <v>31</v>
      </c>
      <c r="J4790" s="6">
        <v>17.958183079762001</v>
      </c>
      <c r="K4790" s="6">
        <v>-96.659076292996005</v>
      </c>
      <c r="L4790" s="6" t="str">
        <f>HYPERLINK("https://maps.google.com/?q=17.9581830797618,-96.659076292996204", "🔗 Ver Mapa")</f>
        <v>🔗 Ver Mapa</v>
      </c>
    </row>
    <row r="4791" spans="1:12" ht="43.5" x14ac:dyDescent="0.35">
      <c r="A4791" s="5" t="s">
        <v>98</v>
      </c>
      <c r="B4791" s="5" t="s">
        <v>99</v>
      </c>
      <c r="C4791" s="5" t="s">
        <v>985</v>
      </c>
      <c r="D4791" s="5" t="s">
        <v>14</v>
      </c>
      <c r="E4791" s="5" t="s">
        <v>110</v>
      </c>
      <c r="F4791" s="5" t="s">
        <v>126</v>
      </c>
      <c r="G4791" s="5" t="s">
        <v>986</v>
      </c>
      <c r="H4791" s="5" t="s">
        <v>987</v>
      </c>
      <c r="I4791" s="5" t="s">
        <v>31</v>
      </c>
      <c r="J4791" s="5">
        <v>17.958189440710999</v>
      </c>
      <c r="K4791" s="5">
        <v>-96.659689274634999</v>
      </c>
      <c r="L4791" s="5" t="str">
        <f>HYPERLINK("https://maps.google.com/?q=17.9581894407107,-96.659689274635397", "🔗 Ver Mapa")</f>
        <v>🔗 Ver Mapa</v>
      </c>
    </row>
    <row r="4792" spans="1:12" ht="43.5" x14ac:dyDescent="0.35">
      <c r="A4792" s="6" t="s">
        <v>98</v>
      </c>
      <c r="B4792" s="6" t="s">
        <v>99</v>
      </c>
      <c r="C4792" s="6" t="s">
        <v>985</v>
      </c>
      <c r="D4792" s="6" t="s">
        <v>14</v>
      </c>
      <c r="E4792" s="6" t="s">
        <v>110</v>
      </c>
      <c r="F4792" s="6" t="s">
        <v>126</v>
      </c>
      <c r="G4792" s="6" t="s">
        <v>986</v>
      </c>
      <c r="H4792" s="6" t="s">
        <v>987</v>
      </c>
      <c r="I4792" s="6" t="s">
        <v>31</v>
      </c>
      <c r="J4792" s="6">
        <v>17.958212404537999</v>
      </c>
      <c r="K4792" s="6">
        <v>-96.659965542164002</v>
      </c>
      <c r="L4792" s="6" t="str">
        <f>HYPERLINK("https://maps.google.com/?q=17.9582124045379,-96.659965542164002", "🔗 Ver Mapa")</f>
        <v>🔗 Ver Mapa</v>
      </c>
    </row>
    <row r="4793" spans="1:12" ht="43.5" x14ac:dyDescent="0.35">
      <c r="A4793" s="5" t="s">
        <v>98</v>
      </c>
      <c r="B4793" s="5" t="s">
        <v>99</v>
      </c>
      <c r="C4793" s="5" t="s">
        <v>985</v>
      </c>
      <c r="D4793" s="5" t="s">
        <v>14</v>
      </c>
      <c r="E4793" s="5" t="s">
        <v>110</v>
      </c>
      <c r="F4793" s="5" t="s">
        <v>126</v>
      </c>
      <c r="G4793" s="5" t="s">
        <v>986</v>
      </c>
      <c r="H4793" s="5" t="s">
        <v>987</v>
      </c>
      <c r="I4793" s="5" t="s">
        <v>31</v>
      </c>
      <c r="J4793" s="5">
        <v>17.958259426626999</v>
      </c>
      <c r="K4793" s="5">
        <v>-96.658352849072003</v>
      </c>
      <c r="L4793" s="5" t="str">
        <f>HYPERLINK("https://maps.google.com/?q=17.9582594266265,-96.658352849071804", "🔗 Ver Mapa")</f>
        <v>🔗 Ver Mapa</v>
      </c>
    </row>
    <row r="4794" spans="1:12" ht="43.5" x14ac:dyDescent="0.35">
      <c r="A4794" s="6" t="s">
        <v>98</v>
      </c>
      <c r="B4794" s="6" t="s">
        <v>99</v>
      </c>
      <c r="C4794" s="6" t="s">
        <v>985</v>
      </c>
      <c r="D4794" s="6" t="s">
        <v>14</v>
      </c>
      <c r="E4794" s="6" t="s">
        <v>110</v>
      </c>
      <c r="F4794" s="6" t="s">
        <v>126</v>
      </c>
      <c r="G4794" s="6" t="s">
        <v>986</v>
      </c>
      <c r="H4794" s="6" t="s">
        <v>987</v>
      </c>
      <c r="I4794" s="6" t="s">
        <v>31</v>
      </c>
      <c r="J4794" s="6">
        <v>17.958413664169001</v>
      </c>
      <c r="K4794" s="6">
        <v>-96.659235255989998</v>
      </c>
      <c r="L4794" s="6" t="str">
        <f>HYPERLINK("https://maps.google.com/?q=17.9584136641693,-96.659235255990097", "🔗 Ver Mapa")</f>
        <v>🔗 Ver Mapa</v>
      </c>
    </row>
    <row r="4795" spans="1:12" ht="43.5" x14ac:dyDescent="0.35">
      <c r="A4795" s="5" t="s">
        <v>98</v>
      </c>
      <c r="B4795" s="5" t="s">
        <v>99</v>
      </c>
      <c r="C4795" s="5" t="s">
        <v>985</v>
      </c>
      <c r="D4795" s="5" t="s">
        <v>14</v>
      </c>
      <c r="E4795" s="5" t="s">
        <v>110</v>
      </c>
      <c r="F4795" s="5" t="s">
        <v>126</v>
      </c>
      <c r="G4795" s="5" t="s">
        <v>986</v>
      </c>
      <c r="H4795" s="5" t="s">
        <v>987</v>
      </c>
      <c r="I4795" s="5" t="s">
        <v>31</v>
      </c>
      <c r="J4795" s="5">
        <v>17.958557012002</v>
      </c>
      <c r="K4795" s="5">
        <v>-96.658939618717</v>
      </c>
      <c r="L4795" s="5" t="str">
        <f>HYPERLINK("https://maps.google.com/?q=17.9585570120018,-96.658939618717199", "🔗 Ver Mapa")</f>
        <v>🔗 Ver Mapa</v>
      </c>
    </row>
    <row r="4796" spans="1:12" ht="43.5" x14ac:dyDescent="0.35">
      <c r="A4796" s="6" t="s">
        <v>98</v>
      </c>
      <c r="B4796" s="6" t="s">
        <v>99</v>
      </c>
      <c r="C4796" s="6" t="s">
        <v>985</v>
      </c>
      <c r="D4796" s="6" t="s">
        <v>14</v>
      </c>
      <c r="E4796" s="6" t="s">
        <v>110</v>
      </c>
      <c r="F4796" s="6" t="s">
        <v>126</v>
      </c>
      <c r="G4796" s="6" t="s">
        <v>986</v>
      </c>
      <c r="H4796" s="6" t="s">
        <v>987</v>
      </c>
      <c r="I4796" s="6" t="s">
        <v>31</v>
      </c>
      <c r="J4796" s="6">
        <v>17.958636655774999</v>
      </c>
      <c r="K4796" s="6">
        <v>-96.659408951757996</v>
      </c>
      <c r="L4796" s="6" t="str">
        <f>HYPERLINK("https://maps.google.com/?q=17.9586366557746,-96.659408951757797", "🔗 Ver Mapa")</f>
        <v>🔗 Ver Mapa</v>
      </c>
    </row>
    <row r="4797" spans="1:12" ht="43.5" x14ac:dyDescent="0.35">
      <c r="A4797" s="5" t="s">
        <v>98</v>
      </c>
      <c r="B4797" s="5" t="s">
        <v>99</v>
      </c>
      <c r="C4797" s="5" t="s">
        <v>985</v>
      </c>
      <c r="D4797" s="5" t="s">
        <v>14</v>
      </c>
      <c r="E4797" s="5" t="s">
        <v>110</v>
      </c>
      <c r="F4797" s="5" t="s">
        <v>126</v>
      </c>
      <c r="G4797" s="5" t="s">
        <v>986</v>
      </c>
      <c r="H4797" s="5" t="s">
        <v>987</v>
      </c>
      <c r="I4797" s="5" t="s">
        <v>31</v>
      </c>
      <c r="J4797" s="5">
        <v>17.958637264418002</v>
      </c>
      <c r="K4797" s="5">
        <v>-96.661810016982997</v>
      </c>
      <c r="L4797" s="5" t="str">
        <f>HYPERLINK("https://maps.google.com/?q=17.9586372644182,-96.661810016983296", "🔗 Ver Mapa")</f>
        <v>🔗 Ver Mapa</v>
      </c>
    </row>
    <row r="4798" spans="1:12" ht="43.5" x14ac:dyDescent="0.35">
      <c r="A4798" s="6" t="s">
        <v>98</v>
      </c>
      <c r="B4798" s="6" t="s">
        <v>99</v>
      </c>
      <c r="C4798" s="6" t="s">
        <v>985</v>
      </c>
      <c r="D4798" s="6" t="s">
        <v>14</v>
      </c>
      <c r="E4798" s="6" t="s">
        <v>110</v>
      </c>
      <c r="F4798" s="6" t="s">
        <v>126</v>
      </c>
      <c r="G4798" s="6" t="s">
        <v>986</v>
      </c>
      <c r="H4798" s="6" t="s">
        <v>987</v>
      </c>
      <c r="I4798" s="6" t="s">
        <v>31</v>
      </c>
      <c r="J4798" s="6">
        <v>17.958685743496002</v>
      </c>
      <c r="K4798" s="6">
        <v>-96.659634745472005</v>
      </c>
      <c r="L4798" s="6" t="str">
        <f>HYPERLINK("https://maps.google.com/?q=17.9586857434959,-96.659634745472005", "🔗 Ver Mapa")</f>
        <v>🔗 Ver Mapa</v>
      </c>
    </row>
    <row r="4799" spans="1:12" ht="58" x14ac:dyDescent="0.35">
      <c r="A4799" s="5" t="s">
        <v>98</v>
      </c>
      <c r="B4799" s="5" t="s">
        <v>99</v>
      </c>
      <c r="C4799" s="5" t="s">
        <v>988</v>
      </c>
      <c r="D4799" s="5" t="s">
        <v>14</v>
      </c>
      <c r="E4799" s="5" t="s">
        <v>52</v>
      </c>
      <c r="F4799" s="5" t="s">
        <v>53</v>
      </c>
      <c r="G4799" s="5" t="s">
        <v>989</v>
      </c>
      <c r="H4799" s="5" t="s">
        <v>990</v>
      </c>
      <c r="I4799" s="5" t="s">
        <v>31</v>
      </c>
      <c r="J4799" s="5">
        <v>16.893417399114</v>
      </c>
      <c r="K4799" s="5">
        <v>-96.506039636687007</v>
      </c>
      <c r="L4799" s="5" t="str">
        <f>HYPERLINK("https://maps.google.com/?q=16.8934173991136,-96.506039636686594", "🔗 Ver Mapa")</f>
        <v>🔗 Ver Mapa</v>
      </c>
    </row>
    <row r="4800" spans="1:12" ht="58" x14ac:dyDescent="0.35">
      <c r="A4800" s="6" t="s">
        <v>98</v>
      </c>
      <c r="B4800" s="6" t="s">
        <v>99</v>
      </c>
      <c r="C4800" s="6" t="s">
        <v>988</v>
      </c>
      <c r="D4800" s="6" t="s">
        <v>14</v>
      </c>
      <c r="E4800" s="6" t="s">
        <v>52</v>
      </c>
      <c r="F4800" s="6" t="s">
        <v>53</v>
      </c>
      <c r="G4800" s="6" t="s">
        <v>989</v>
      </c>
      <c r="H4800" s="6" t="s">
        <v>990</v>
      </c>
      <c r="I4800" s="6" t="s">
        <v>31</v>
      </c>
      <c r="J4800" s="6">
        <v>16.895630409083999</v>
      </c>
      <c r="K4800" s="6">
        <v>-96.499210814476996</v>
      </c>
      <c r="L4800" s="6" t="str">
        <f>HYPERLINK("https://maps.google.com/?q=16.8956304090841,-96.499210814477493", "🔗 Ver Mapa")</f>
        <v>🔗 Ver Mapa</v>
      </c>
    </row>
    <row r="4801" spans="1:12" ht="58" x14ac:dyDescent="0.35">
      <c r="A4801" s="5" t="s">
        <v>98</v>
      </c>
      <c r="B4801" s="5" t="s">
        <v>99</v>
      </c>
      <c r="C4801" s="5" t="s">
        <v>988</v>
      </c>
      <c r="D4801" s="5" t="s">
        <v>14</v>
      </c>
      <c r="E4801" s="5" t="s">
        <v>52</v>
      </c>
      <c r="F4801" s="5" t="s">
        <v>53</v>
      </c>
      <c r="G4801" s="5" t="s">
        <v>989</v>
      </c>
      <c r="H4801" s="5" t="s">
        <v>990</v>
      </c>
      <c r="I4801" s="5" t="s">
        <v>31</v>
      </c>
      <c r="J4801" s="5">
        <v>16.895832712651</v>
      </c>
      <c r="K4801" s="5">
        <v>-96.505565544478003</v>
      </c>
      <c r="L4801" s="5" t="str">
        <f>HYPERLINK("https://maps.google.com/?q=16.8958327126507,-96.505565544477506", "🔗 Ver Mapa")</f>
        <v>🔗 Ver Mapa</v>
      </c>
    </row>
    <row r="4802" spans="1:12" ht="58" x14ac:dyDescent="0.35">
      <c r="A4802" s="6" t="s">
        <v>98</v>
      </c>
      <c r="B4802" s="6" t="s">
        <v>99</v>
      </c>
      <c r="C4802" s="6" t="s">
        <v>988</v>
      </c>
      <c r="D4802" s="6" t="s">
        <v>14</v>
      </c>
      <c r="E4802" s="6" t="s">
        <v>52</v>
      </c>
      <c r="F4802" s="6" t="s">
        <v>53</v>
      </c>
      <c r="G4802" s="6" t="s">
        <v>989</v>
      </c>
      <c r="H4802" s="6" t="s">
        <v>990</v>
      </c>
      <c r="I4802" s="6" t="s">
        <v>31</v>
      </c>
      <c r="J4802" s="6">
        <v>16.896191429076001</v>
      </c>
      <c r="K4802" s="6">
        <v>-96.502105284478006</v>
      </c>
      <c r="L4802" s="6" t="str">
        <f>HYPERLINK("https://maps.google.com/?q=16.8961914290763,-96.502105284477594", "🔗 Ver Mapa")</f>
        <v>🔗 Ver Mapa</v>
      </c>
    </row>
    <row r="4803" spans="1:12" ht="58" x14ac:dyDescent="0.35">
      <c r="A4803" s="5" t="s">
        <v>98</v>
      </c>
      <c r="B4803" s="5" t="s">
        <v>99</v>
      </c>
      <c r="C4803" s="5" t="s">
        <v>988</v>
      </c>
      <c r="D4803" s="5" t="s">
        <v>14</v>
      </c>
      <c r="E4803" s="5" t="s">
        <v>52</v>
      </c>
      <c r="F4803" s="5" t="s">
        <v>53</v>
      </c>
      <c r="G4803" s="5" t="s">
        <v>989</v>
      </c>
      <c r="H4803" s="5" t="s">
        <v>990</v>
      </c>
      <c r="I4803" s="5" t="s">
        <v>31</v>
      </c>
      <c r="J4803" s="5">
        <v>16.898403007824999</v>
      </c>
      <c r="K4803" s="5">
        <v>-96.500210080551994</v>
      </c>
      <c r="L4803" s="5" t="str">
        <f>HYPERLINK("https://maps.google.com/?q=16.8984030078253,-96.500210080552407", "🔗 Ver Mapa")</f>
        <v>🔗 Ver Mapa</v>
      </c>
    </row>
    <row r="4804" spans="1:12" ht="58" x14ac:dyDescent="0.35">
      <c r="A4804" s="6" t="s">
        <v>98</v>
      </c>
      <c r="B4804" s="6" t="s">
        <v>99</v>
      </c>
      <c r="C4804" s="6" t="s">
        <v>988</v>
      </c>
      <c r="D4804" s="6" t="s">
        <v>14</v>
      </c>
      <c r="E4804" s="6" t="s">
        <v>52</v>
      </c>
      <c r="F4804" s="6" t="s">
        <v>53</v>
      </c>
      <c r="G4804" s="6" t="s">
        <v>989</v>
      </c>
      <c r="H4804" s="6" t="s">
        <v>990</v>
      </c>
      <c r="I4804" s="6" t="s">
        <v>31</v>
      </c>
      <c r="J4804" s="6">
        <v>16.89848378544</v>
      </c>
      <c r="K4804" s="6">
        <v>-96.505469376687003</v>
      </c>
      <c r="L4804" s="6" t="str">
        <f>HYPERLINK("https://maps.google.com/?q=16.8984837854403,-96.505469376687003", "🔗 Ver Mapa")</f>
        <v>🔗 Ver Mapa</v>
      </c>
    </row>
    <row r="4805" spans="1:12" ht="58" x14ac:dyDescent="0.35">
      <c r="A4805" s="5" t="s">
        <v>98</v>
      </c>
      <c r="B4805" s="5" t="s">
        <v>99</v>
      </c>
      <c r="C4805" s="5" t="s">
        <v>988</v>
      </c>
      <c r="D4805" s="5" t="s">
        <v>14</v>
      </c>
      <c r="E4805" s="5" t="s">
        <v>52</v>
      </c>
      <c r="F4805" s="5" t="s">
        <v>53</v>
      </c>
      <c r="G4805" s="5" t="s">
        <v>989</v>
      </c>
      <c r="H4805" s="5" t="s">
        <v>990</v>
      </c>
      <c r="I4805" s="5" t="s">
        <v>31</v>
      </c>
      <c r="J4805" s="5">
        <v>16.898492560678999</v>
      </c>
      <c r="K4805" s="5">
        <v>-96.504722843313999</v>
      </c>
      <c r="L4805" s="5" t="str">
        <f>HYPERLINK("https://maps.google.com/?q=16.8984925606789,-96.504722843313502", "🔗 Ver Mapa")</f>
        <v>🔗 Ver Mapa</v>
      </c>
    </row>
    <row r="4806" spans="1:12" ht="58" x14ac:dyDescent="0.35">
      <c r="A4806" s="6" t="s">
        <v>98</v>
      </c>
      <c r="B4806" s="6" t="s">
        <v>99</v>
      </c>
      <c r="C4806" s="6" t="s">
        <v>988</v>
      </c>
      <c r="D4806" s="6" t="s">
        <v>14</v>
      </c>
      <c r="E4806" s="6" t="s">
        <v>52</v>
      </c>
      <c r="F4806" s="6" t="s">
        <v>53</v>
      </c>
      <c r="G4806" s="6" t="s">
        <v>989</v>
      </c>
      <c r="H4806" s="6" t="s">
        <v>990</v>
      </c>
      <c r="I4806" s="6" t="s">
        <v>31</v>
      </c>
      <c r="J4806" s="6">
        <v>16.899105115423001</v>
      </c>
      <c r="K4806" s="6">
        <v>-96.499962424477999</v>
      </c>
      <c r="L4806" s="6" t="str">
        <f>HYPERLINK("https://maps.google.com/?q=16.899105115423,-96.4999624244778", "🔗 Ver Mapa")</f>
        <v>🔗 Ver Mapa</v>
      </c>
    </row>
    <row r="4807" spans="1:12" ht="58" x14ac:dyDescent="0.35">
      <c r="A4807" s="5" t="s">
        <v>98</v>
      </c>
      <c r="B4807" s="5" t="s">
        <v>99</v>
      </c>
      <c r="C4807" s="5" t="s">
        <v>988</v>
      </c>
      <c r="D4807" s="5" t="s">
        <v>14</v>
      </c>
      <c r="E4807" s="5" t="s">
        <v>52</v>
      </c>
      <c r="F4807" s="5" t="s">
        <v>53</v>
      </c>
      <c r="G4807" s="5" t="s">
        <v>989</v>
      </c>
      <c r="H4807" s="5" t="s">
        <v>990</v>
      </c>
      <c r="I4807" s="5" t="s">
        <v>31</v>
      </c>
      <c r="J4807" s="5">
        <v>16.899140879705001</v>
      </c>
      <c r="K4807" s="5">
        <v>-96.500138518895</v>
      </c>
      <c r="L4807" s="5" t="str">
        <f>HYPERLINK("https://maps.google.com/?q=16.8991408797055,-96.500138518895497", "🔗 Ver Mapa")</f>
        <v>🔗 Ver Mapa</v>
      </c>
    </row>
    <row r="4808" spans="1:12" ht="58" x14ac:dyDescent="0.35">
      <c r="A4808" s="6" t="s">
        <v>98</v>
      </c>
      <c r="B4808" s="6" t="s">
        <v>99</v>
      </c>
      <c r="C4808" s="6" t="s">
        <v>988</v>
      </c>
      <c r="D4808" s="6" t="s">
        <v>14</v>
      </c>
      <c r="E4808" s="6" t="s">
        <v>52</v>
      </c>
      <c r="F4808" s="6" t="s">
        <v>53</v>
      </c>
      <c r="G4808" s="6" t="s">
        <v>989</v>
      </c>
      <c r="H4808" s="6" t="s">
        <v>990</v>
      </c>
      <c r="I4808" s="6" t="s">
        <v>31</v>
      </c>
      <c r="J4808" s="6">
        <v>16.901883346302998</v>
      </c>
      <c r="K4808" s="6">
        <v>-96.502146026687001</v>
      </c>
      <c r="L4808" s="6" t="str">
        <f>HYPERLINK("https://maps.google.com/?q=16.9018833463033,-96.502146026686503", "🔗 Ver Mapa")</f>
        <v>🔗 Ver Mapa</v>
      </c>
    </row>
    <row r="4809" spans="1:12" ht="58" x14ac:dyDescent="0.35">
      <c r="A4809" s="5" t="s">
        <v>98</v>
      </c>
      <c r="B4809" s="5" t="s">
        <v>99</v>
      </c>
      <c r="C4809" s="5" t="s">
        <v>988</v>
      </c>
      <c r="D4809" s="5" t="s">
        <v>14</v>
      </c>
      <c r="E4809" s="5" t="s">
        <v>52</v>
      </c>
      <c r="F4809" s="5" t="s">
        <v>53</v>
      </c>
      <c r="G4809" s="5" t="s">
        <v>989</v>
      </c>
      <c r="H4809" s="5" t="s">
        <v>990</v>
      </c>
      <c r="I4809" s="5" t="s">
        <v>31</v>
      </c>
      <c r="J4809" s="5">
        <v>16.903010416318001</v>
      </c>
      <c r="K4809" s="5">
        <v>-96.499765268895999</v>
      </c>
      <c r="L4809" s="5" t="str">
        <f>HYPERLINK("https://maps.google.com/?q=16.9030104163184,-96.4997652688958", "🔗 Ver Mapa")</f>
        <v>🔗 Ver Mapa</v>
      </c>
    </row>
    <row r="4810" spans="1:12" ht="58" x14ac:dyDescent="0.35">
      <c r="A4810" s="6" t="s">
        <v>98</v>
      </c>
      <c r="B4810" s="6" t="s">
        <v>99</v>
      </c>
      <c r="C4810" s="6" t="s">
        <v>988</v>
      </c>
      <c r="D4810" s="6" t="s">
        <v>14</v>
      </c>
      <c r="E4810" s="6" t="s">
        <v>52</v>
      </c>
      <c r="F4810" s="6" t="s">
        <v>53</v>
      </c>
      <c r="G4810" s="6" t="s">
        <v>989</v>
      </c>
      <c r="H4810" s="6" t="s">
        <v>990</v>
      </c>
      <c r="I4810" s="6" t="s">
        <v>31</v>
      </c>
      <c r="J4810" s="6">
        <v>16.903250119991998</v>
      </c>
      <c r="K4810" s="6">
        <v>-96.500746488895999</v>
      </c>
      <c r="L4810" s="6" t="str">
        <f>HYPERLINK("https://maps.google.com/?q=16.9032501199921,-96.500746488895601", "🔗 Ver Mapa")</f>
        <v>🔗 Ver Mapa</v>
      </c>
    </row>
    <row r="4811" spans="1:12" ht="58" x14ac:dyDescent="0.35">
      <c r="A4811" s="5" t="s">
        <v>98</v>
      </c>
      <c r="B4811" s="5" t="s">
        <v>99</v>
      </c>
      <c r="C4811" s="5" t="s">
        <v>988</v>
      </c>
      <c r="D4811" s="5" t="s">
        <v>14</v>
      </c>
      <c r="E4811" s="5" t="s">
        <v>52</v>
      </c>
      <c r="F4811" s="5" t="s">
        <v>53</v>
      </c>
      <c r="G4811" s="5" t="s">
        <v>989</v>
      </c>
      <c r="H4811" s="5" t="s">
        <v>990</v>
      </c>
      <c r="I4811" s="5" t="s">
        <v>31</v>
      </c>
      <c r="J4811" s="5">
        <v>16.904292662652001</v>
      </c>
      <c r="K4811" s="5">
        <v>-96.500227868896005</v>
      </c>
      <c r="L4811" s="5" t="str">
        <f>HYPERLINK("https://maps.google.com/?q=16.9042926626517,-96.500227868895806", "🔗 Ver Mapa")</f>
        <v>🔗 Ver Mapa</v>
      </c>
    </row>
    <row r="4812" spans="1:12" ht="58" x14ac:dyDescent="0.35">
      <c r="A4812" s="6" t="s">
        <v>98</v>
      </c>
      <c r="B4812" s="6" t="s">
        <v>99</v>
      </c>
      <c r="C4812" s="6" t="s">
        <v>988</v>
      </c>
      <c r="D4812" s="6" t="s">
        <v>14</v>
      </c>
      <c r="E4812" s="6" t="s">
        <v>52</v>
      </c>
      <c r="F4812" s="6" t="s">
        <v>53</v>
      </c>
      <c r="G4812" s="6" t="s">
        <v>989</v>
      </c>
      <c r="H4812" s="6" t="s">
        <v>990</v>
      </c>
      <c r="I4812" s="6" t="s">
        <v>31</v>
      </c>
      <c r="J4812" s="6">
        <v>16.904459300026002</v>
      </c>
      <c r="K4812" s="6">
        <v>-96.500525249681999</v>
      </c>
      <c r="L4812" s="6" t="str">
        <f>HYPERLINK("https://maps.google.com/?q=16.9044593000255,-96.500525249681502", "🔗 Ver Mapa")</f>
        <v>🔗 Ver Mapa</v>
      </c>
    </row>
    <row r="4813" spans="1:12" ht="58" x14ac:dyDescent="0.35">
      <c r="A4813" s="5" t="s">
        <v>98</v>
      </c>
      <c r="B4813" s="5" t="s">
        <v>99</v>
      </c>
      <c r="C4813" s="5" t="s">
        <v>988</v>
      </c>
      <c r="D4813" s="5" t="s">
        <v>14</v>
      </c>
      <c r="E4813" s="5" t="s">
        <v>52</v>
      </c>
      <c r="F4813" s="5" t="s">
        <v>53</v>
      </c>
      <c r="G4813" s="5" t="s">
        <v>989</v>
      </c>
      <c r="H4813" s="5" t="s">
        <v>990</v>
      </c>
      <c r="I4813" s="5" t="s">
        <v>31</v>
      </c>
      <c r="J4813" s="5">
        <v>16.904694126151</v>
      </c>
      <c r="K4813" s="5">
        <v>-96.502043414265003</v>
      </c>
      <c r="L4813" s="5" t="str">
        <f>HYPERLINK("https://maps.google.com/?q=16.9046941261509,-96.502043414264506", "🔗 Ver Mapa")</f>
        <v>🔗 Ver Mapa</v>
      </c>
    </row>
    <row r="4814" spans="1:12" ht="58" x14ac:dyDescent="0.35">
      <c r="A4814" s="6" t="s">
        <v>98</v>
      </c>
      <c r="B4814" s="6" t="s">
        <v>99</v>
      </c>
      <c r="C4814" s="6" t="s">
        <v>988</v>
      </c>
      <c r="D4814" s="6" t="s">
        <v>14</v>
      </c>
      <c r="E4814" s="6" t="s">
        <v>52</v>
      </c>
      <c r="F4814" s="6" t="s">
        <v>53</v>
      </c>
      <c r="G4814" s="6" t="s">
        <v>989</v>
      </c>
      <c r="H4814" s="6" t="s">
        <v>990</v>
      </c>
      <c r="I4814" s="6" t="s">
        <v>31</v>
      </c>
      <c r="J4814" s="6">
        <v>16.904825650035999</v>
      </c>
      <c r="K4814" s="6">
        <v>-96.500599060842006</v>
      </c>
      <c r="L4814" s="6" t="str">
        <f>HYPERLINK("https://maps.google.com/?q=16.9048256500355,-96.500599060842305", "🔗 Ver Mapa")</f>
        <v>🔗 Ver Mapa</v>
      </c>
    </row>
    <row r="4815" spans="1:12" ht="58" x14ac:dyDescent="0.35">
      <c r="A4815" s="5" t="s">
        <v>98</v>
      </c>
      <c r="B4815" s="5" t="s">
        <v>99</v>
      </c>
      <c r="C4815" s="5" t="s">
        <v>988</v>
      </c>
      <c r="D4815" s="5" t="s">
        <v>14</v>
      </c>
      <c r="E4815" s="5" t="s">
        <v>52</v>
      </c>
      <c r="F4815" s="5" t="s">
        <v>53</v>
      </c>
      <c r="G4815" s="5" t="s">
        <v>989</v>
      </c>
      <c r="H4815" s="5" t="s">
        <v>990</v>
      </c>
      <c r="I4815" s="5" t="s">
        <v>31</v>
      </c>
      <c r="J4815" s="5">
        <v>16.905379476351001</v>
      </c>
      <c r="K4815" s="5">
        <v>-96.504435576687001</v>
      </c>
      <c r="L4815" s="5" t="str">
        <f>HYPERLINK("https://maps.google.com/?q=16.9053794763512,-96.504435576686802", "🔗 Ver Mapa")</f>
        <v>🔗 Ver Mapa</v>
      </c>
    </row>
    <row r="4816" spans="1:12" ht="58" x14ac:dyDescent="0.35">
      <c r="A4816" s="6" t="s">
        <v>98</v>
      </c>
      <c r="B4816" s="6" t="s">
        <v>99</v>
      </c>
      <c r="C4816" s="6" t="s">
        <v>988</v>
      </c>
      <c r="D4816" s="6" t="s">
        <v>14</v>
      </c>
      <c r="E4816" s="6" t="s">
        <v>52</v>
      </c>
      <c r="F4816" s="6" t="s">
        <v>53</v>
      </c>
      <c r="G4816" s="6" t="s">
        <v>989</v>
      </c>
      <c r="H4816" s="6" t="s">
        <v>990</v>
      </c>
      <c r="I4816" s="6" t="s">
        <v>31</v>
      </c>
      <c r="J4816" s="6">
        <v>16.905849892652</v>
      </c>
      <c r="K4816" s="6">
        <v>-96.502598188896002</v>
      </c>
      <c r="L4816" s="6" t="str">
        <f>HYPERLINK("https://maps.google.com/?q=16.9058498926522,-96.502598188895803", "🔗 Ver Mapa")</f>
        <v>🔗 Ver Mapa</v>
      </c>
    </row>
    <row r="4817" spans="1:12" ht="58" x14ac:dyDescent="0.35">
      <c r="A4817" s="5" t="s">
        <v>98</v>
      </c>
      <c r="B4817" s="5" t="s">
        <v>99</v>
      </c>
      <c r="C4817" s="5" t="s">
        <v>988</v>
      </c>
      <c r="D4817" s="5" t="s">
        <v>14</v>
      </c>
      <c r="E4817" s="5" t="s">
        <v>52</v>
      </c>
      <c r="F4817" s="5" t="s">
        <v>53</v>
      </c>
      <c r="G4817" s="5" t="s">
        <v>989</v>
      </c>
      <c r="H4817" s="5" t="s">
        <v>990</v>
      </c>
      <c r="I4817" s="5" t="s">
        <v>31</v>
      </c>
      <c r="J4817" s="5">
        <v>16.906560145275002</v>
      </c>
      <c r="K4817" s="5">
        <v>-96.497756005854001</v>
      </c>
      <c r="L4817" s="5" t="str">
        <f>HYPERLINK("https://maps.google.com/?q=16.9065601452754,-96.497756005854299", "🔗 Ver Mapa")</f>
        <v>🔗 Ver Mapa</v>
      </c>
    </row>
    <row r="4818" spans="1:12" ht="58" x14ac:dyDescent="0.35">
      <c r="A4818" s="6" t="s">
        <v>98</v>
      </c>
      <c r="B4818" s="6" t="s">
        <v>99</v>
      </c>
      <c r="C4818" s="6" t="s">
        <v>988</v>
      </c>
      <c r="D4818" s="6" t="s">
        <v>14</v>
      </c>
      <c r="E4818" s="6" t="s">
        <v>52</v>
      </c>
      <c r="F4818" s="6" t="s">
        <v>53</v>
      </c>
      <c r="G4818" s="6" t="s">
        <v>989</v>
      </c>
      <c r="H4818" s="6" t="s">
        <v>990</v>
      </c>
      <c r="I4818" s="6" t="s">
        <v>31</v>
      </c>
      <c r="J4818" s="6">
        <v>16.906982050094001</v>
      </c>
      <c r="K4818" s="6">
        <v>-96.496685324477994</v>
      </c>
      <c r="L4818" s="6" t="str">
        <f>HYPERLINK("https://maps.google.com/?q=16.9069820500939,-96.496685324477696", "🔗 Ver Mapa")</f>
        <v>🔗 Ver Mapa</v>
      </c>
    </row>
    <row r="4819" spans="1:12" ht="58" x14ac:dyDescent="0.35">
      <c r="A4819" s="5" t="s">
        <v>98</v>
      </c>
      <c r="B4819" s="5" t="s">
        <v>99</v>
      </c>
      <c r="C4819" s="5" t="s">
        <v>988</v>
      </c>
      <c r="D4819" s="5" t="s">
        <v>14</v>
      </c>
      <c r="E4819" s="5" t="s">
        <v>52</v>
      </c>
      <c r="F4819" s="5" t="s">
        <v>53</v>
      </c>
      <c r="G4819" s="5" t="s">
        <v>989</v>
      </c>
      <c r="H4819" s="5" t="s">
        <v>990</v>
      </c>
      <c r="I4819" s="5" t="s">
        <v>31</v>
      </c>
      <c r="J4819" s="5">
        <v>16.907282808927999</v>
      </c>
      <c r="K4819" s="5">
        <v>-96.493135568343007</v>
      </c>
      <c r="L4819" s="5" t="str">
        <f>HYPERLINK("https://maps.google.com/?q=16.9072828089275,-96.493135568343206", "🔗 Ver Mapa")</f>
        <v>🔗 Ver Mapa</v>
      </c>
    </row>
    <row r="4820" spans="1:12" ht="58" x14ac:dyDescent="0.35">
      <c r="A4820" s="6" t="s">
        <v>98</v>
      </c>
      <c r="B4820" s="6" t="s">
        <v>99</v>
      </c>
      <c r="C4820" s="6" t="s">
        <v>988</v>
      </c>
      <c r="D4820" s="6" t="s">
        <v>14</v>
      </c>
      <c r="E4820" s="6" t="s">
        <v>52</v>
      </c>
      <c r="F4820" s="6" t="s">
        <v>53</v>
      </c>
      <c r="G4820" s="6" t="s">
        <v>989</v>
      </c>
      <c r="H4820" s="6" t="s">
        <v>990</v>
      </c>
      <c r="I4820" s="6" t="s">
        <v>31</v>
      </c>
      <c r="J4820" s="6">
        <v>16.907480859517001</v>
      </c>
      <c r="K4820" s="6">
        <v>-96.497521504359</v>
      </c>
      <c r="L4820" s="6" t="str">
        <f>HYPERLINK("https://maps.google.com/?q=16.9074808595165,-96.497521504358602", "🔗 Ver Mapa")</f>
        <v>🔗 Ver Mapa</v>
      </c>
    </row>
    <row r="4821" spans="1:12" ht="58" x14ac:dyDescent="0.35">
      <c r="A4821" s="5" t="s">
        <v>98</v>
      </c>
      <c r="B4821" s="5" t="s">
        <v>99</v>
      </c>
      <c r="C4821" s="5" t="s">
        <v>988</v>
      </c>
      <c r="D4821" s="5" t="s">
        <v>14</v>
      </c>
      <c r="E4821" s="5" t="s">
        <v>52</v>
      </c>
      <c r="F4821" s="5" t="s">
        <v>53</v>
      </c>
      <c r="G4821" s="5" t="s">
        <v>989</v>
      </c>
      <c r="H4821" s="5" t="s">
        <v>990</v>
      </c>
      <c r="I4821" s="5" t="s">
        <v>31</v>
      </c>
      <c r="J4821" s="5">
        <v>16.907988002652999</v>
      </c>
      <c r="K4821" s="5">
        <v>-96.501942329447999</v>
      </c>
      <c r="L4821" s="5" t="str">
        <f>HYPERLINK("https://maps.google.com/?q=16.9079880026527,-96.501942329447701", "🔗 Ver Mapa")</f>
        <v>🔗 Ver Mapa</v>
      </c>
    </row>
    <row r="4822" spans="1:12" ht="58" x14ac:dyDescent="0.35">
      <c r="A4822" s="6" t="s">
        <v>98</v>
      </c>
      <c r="B4822" s="6" t="s">
        <v>99</v>
      </c>
      <c r="C4822" s="6" t="s">
        <v>988</v>
      </c>
      <c r="D4822" s="6" t="s">
        <v>14</v>
      </c>
      <c r="E4822" s="6" t="s">
        <v>52</v>
      </c>
      <c r="F4822" s="6" t="s">
        <v>53</v>
      </c>
      <c r="G4822" s="6" t="s">
        <v>989</v>
      </c>
      <c r="H4822" s="6" t="s">
        <v>990</v>
      </c>
      <c r="I4822" s="6" t="s">
        <v>31</v>
      </c>
      <c r="J4822" s="6">
        <v>16.908495003214998</v>
      </c>
      <c r="K4822" s="6">
        <v>-96.492729180552999</v>
      </c>
      <c r="L4822" s="6" t="str">
        <f>HYPERLINK("https://maps.google.com/?q=16.9084950032152,-96.492729180552899", "🔗 Ver Mapa")</f>
        <v>🔗 Ver Mapa</v>
      </c>
    </row>
    <row r="4823" spans="1:12" ht="58" x14ac:dyDescent="0.35">
      <c r="A4823" s="5" t="s">
        <v>98</v>
      </c>
      <c r="B4823" s="5" t="s">
        <v>99</v>
      </c>
      <c r="C4823" s="5" t="s">
        <v>988</v>
      </c>
      <c r="D4823" s="5" t="s">
        <v>14</v>
      </c>
      <c r="E4823" s="5" t="s">
        <v>52</v>
      </c>
      <c r="F4823" s="5" t="s">
        <v>53</v>
      </c>
      <c r="G4823" s="5" t="s">
        <v>989</v>
      </c>
      <c r="H4823" s="5" t="s">
        <v>990</v>
      </c>
      <c r="I4823" s="5" t="s">
        <v>31</v>
      </c>
      <c r="J4823" s="5">
        <v>16.909065906064999</v>
      </c>
      <c r="K4823" s="5">
        <v>-96.501971275581994</v>
      </c>
      <c r="L4823" s="5" t="str">
        <f>HYPERLINK("https://maps.google.com/?q=16.9090659060647,-96.501971275581994", "🔗 Ver Mapa")</f>
        <v>🔗 Ver Mapa</v>
      </c>
    </row>
    <row r="4824" spans="1:12" ht="58" x14ac:dyDescent="0.35">
      <c r="A4824" s="6" t="s">
        <v>98</v>
      </c>
      <c r="B4824" s="6" t="s">
        <v>99</v>
      </c>
      <c r="C4824" s="6" t="s">
        <v>988</v>
      </c>
      <c r="D4824" s="6" t="s">
        <v>14</v>
      </c>
      <c r="E4824" s="6" t="s">
        <v>52</v>
      </c>
      <c r="F4824" s="6" t="s">
        <v>53</v>
      </c>
      <c r="G4824" s="6" t="s">
        <v>989</v>
      </c>
      <c r="H4824" s="6" t="s">
        <v>990</v>
      </c>
      <c r="I4824" s="6" t="s">
        <v>31</v>
      </c>
      <c r="J4824" s="6">
        <v>16.909647795590999</v>
      </c>
      <c r="K4824" s="6">
        <v>-96.497688015180998</v>
      </c>
      <c r="L4824" s="6" t="str">
        <f>HYPERLINK("https://maps.google.com/?q=16.9096477955911,-96.497688015181296", "🔗 Ver Mapa")</f>
        <v>🔗 Ver Mapa</v>
      </c>
    </row>
    <row r="4825" spans="1:12" ht="58" x14ac:dyDescent="0.35">
      <c r="A4825" s="5" t="s">
        <v>98</v>
      </c>
      <c r="B4825" s="5" t="s">
        <v>99</v>
      </c>
      <c r="C4825" s="5" t="s">
        <v>988</v>
      </c>
      <c r="D4825" s="5" t="s">
        <v>14</v>
      </c>
      <c r="E4825" s="5" t="s">
        <v>52</v>
      </c>
      <c r="F4825" s="5" t="s">
        <v>53</v>
      </c>
      <c r="G4825" s="5" t="s">
        <v>989</v>
      </c>
      <c r="H4825" s="5" t="s">
        <v>990</v>
      </c>
      <c r="I4825" s="5" t="s">
        <v>31</v>
      </c>
      <c r="J4825" s="5">
        <v>16.909658333925002</v>
      </c>
      <c r="K4825" s="5">
        <v>-96.495428301044996</v>
      </c>
      <c r="L4825" s="5" t="str">
        <f>HYPERLINK("https://maps.google.com/?q=16.9096583339255,-96.495428301045095", "🔗 Ver Mapa")</f>
        <v>🔗 Ver Mapa</v>
      </c>
    </row>
    <row r="4826" spans="1:12" ht="58" x14ac:dyDescent="0.35">
      <c r="A4826" s="6" t="s">
        <v>98</v>
      </c>
      <c r="B4826" s="6" t="s">
        <v>99</v>
      </c>
      <c r="C4826" s="6" t="s">
        <v>988</v>
      </c>
      <c r="D4826" s="6" t="s">
        <v>14</v>
      </c>
      <c r="E4826" s="6" t="s">
        <v>52</v>
      </c>
      <c r="F4826" s="6" t="s">
        <v>53</v>
      </c>
      <c r="G4826" s="6" t="s">
        <v>989</v>
      </c>
      <c r="H4826" s="6" t="s">
        <v>990</v>
      </c>
      <c r="I4826" s="6" t="s">
        <v>31</v>
      </c>
      <c r="J4826" s="6">
        <v>16.909712973862</v>
      </c>
      <c r="K4826" s="6">
        <v>-96.502607336805994</v>
      </c>
      <c r="L4826" s="6" t="str">
        <f>HYPERLINK("https://maps.google.com/?q=16.9097129738624,-96.502607336806193", "🔗 Ver Mapa")</f>
        <v>🔗 Ver Mapa</v>
      </c>
    </row>
    <row r="4827" spans="1:12" ht="58" x14ac:dyDescent="0.35">
      <c r="A4827" s="5" t="s">
        <v>98</v>
      </c>
      <c r="B4827" s="5" t="s">
        <v>99</v>
      </c>
      <c r="C4827" s="5" t="s">
        <v>988</v>
      </c>
      <c r="D4827" s="5" t="s">
        <v>14</v>
      </c>
      <c r="E4827" s="5" t="s">
        <v>52</v>
      </c>
      <c r="F4827" s="5" t="s">
        <v>53</v>
      </c>
      <c r="G4827" s="5" t="s">
        <v>989</v>
      </c>
      <c r="H4827" s="5" t="s">
        <v>990</v>
      </c>
      <c r="I4827" s="5" t="s">
        <v>31</v>
      </c>
      <c r="J4827" s="5">
        <v>16.910078926415999</v>
      </c>
      <c r="K4827" s="5">
        <v>-96.498398736686994</v>
      </c>
      <c r="L4827" s="5" t="str">
        <f>HYPERLINK("https://maps.google.com/?q=16.9100789264162,-96.498398736686596", "🔗 Ver Mapa")</f>
        <v>🔗 Ver Mapa</v>
      </c>
    </row>
    <row r="4828" spans="1:12" ht="58" x14ac:dyDescent="0.35">
      <c r="A4828" s="6" t="s">
        <v>98</v>
      </c>
      <c r="B4828" s="6" t="s">
        <v>99</v>
      </c>
      <c r="C4828" s="6" t="s">
        <v>988</v>
      </c>
      <c r="D4828" s="6" t="s">
        <v>14</v>
      </c>
      <c r="E4828" s="6" t="s">
        <v>52</v>
      </c>
      <c r="F4828" s="6" t="s">
        <v>53</v>
      </c>
      <c r="G4828" s="6" t="s">
        <v>989</v>
      </c>
      <c r="H4828" s="6" t="s">
        <v>990</v>
      </c>
      <c r="I4828" s="6" t="s">
        <v>31</v>
      </c>
      <c r="J4828" s="6">
        <v>16.915517778965999</v>
      </c>
      <c r="K4828" s="6">
        <v>-96.495428559648005</v>
      </c>
      <c r="L4828" s="6" t="str">
        <f>HYPERLINK("https://maps.google.com/?q=16.9155177789659,-96.495428559648005", "🔗 Ver Mapa")</f>
        <v>🔗 Ver Mapa</v>
      </c>
    </row>
    <row r="4829" spans="1:12" ht="43.5" x14ac:dyDescent="0.35">
      <c r="A4829" s="5" t="s">
        <v>98</v>
      </c>
      <c r="B4829" s="5" t="s">
        <v>99</v>
      </c>
      <c r="C4829" s="5" t="s">
        <v>991</v>
      </c>
      <c r="D4829" s="5" t="s">
        <v>14</v>
      </c>
      <c r="E4829" s="5" t="s">
        <v>90</v>
      </c>
      <c r="F4829" s="5" t="s">
        <v>678</v>
      </c>
      <c r="G4829" s="5" t="s">
        <v>992</v>
      </c>
      <c r="H4829" s="5" t="s">
        <v>993</v>
      </c>
      <c r="I4829" s="5" t="s">
        <v>31</v>
      </c>
      <c r="J4829" s="5">
        <v>17.334150812047</v>
      </c>
      <c r="K4829" s="5">
        <v>-96.163176763806007</v>
      </c>
      <c r="L4829" s="5" t="str">
        <f>HYPERLINK("https://maps.google.com/?q=17.3341508120474,-96.163176763806206", "🔗 Ver Mapa")</f>
        <v>🔗 Ver Mapa</v>
      </c>
    </row>
    <row r="4830" spans="1:12" ht="43.5" x14ac:dyDescent="0.35">
      <c r="A4830" s="6" t="s">
        <v>98</v>
      </c>
      <c r="B4830" s="6" t="s">
        <v>99</v>
      </c>
      <c r="C4830" s="6" t="s">
        <v>991</v>
      </c>
      <c r="D4830" s="6" t="s">
        <v>14</v>
      </c>
      <c r="E4830" s="6" t="s">
        <v>90</v>
      </c>
      <c r="F4830" s="6" t="s">
        <v>678</v>
      </c>
      <c r="G4830" s="6" t="s">
        <v>992</v>
      </c>
      <c r="H4830" s="6" t="s">
        <v>993</v>
      </c>
      <c r="I4830" s="6" t="s">
        <v>31</v>
      </c>
      <c r="J4830" s="6">
        <v>17.334269757076999</v>
      </c>
      <c r="K4830" s="6">
        <v>-96.162499409877995</v>
      </c>
      <c r="L4830" s="6" t="str">
        <f>HYPERLINK("https://maps.google.com/?q=17.334269757077,-96.162499409877896", "🔗 Ver Mapa")</f>
        <v>🔗 Ver Mapa</v>
      </c>
    </row>
    <row r="4831" spans="1:12" ht="43.5" x14ac:dyDescent="0.35">
      <c r="A4831" s="5" t="s">
        <v>98</v>
      </c>
      <c r="B4831" s="5" t="s">
        <v>99</v>
      </c>
      <c r="C4831" s="5" t="s">
        <v>991</v>
      </c>
      <c r="D4831" s="5" t="s">
        <v>14</v>
      </c>
      <c r="E4831" s="5" t="s">
        <v>90</v>
      </c>
      <c r="F4831" s="5" t="s">
        <v>678</v>
      </c>
      <c r="G4831" s="5" t="s">
        <v>992</v>
      </c>
      <c r="H4831" s="5" t="s">
        <v>993</v>
      </c>
      <c r="I4831" s="5" t="s">
        <v>31</v>
      </c>
      <c r="J4831" s="5">
        <v>17.334367726063</v>
      </c>
      <c r="K4831" s="5">
        <v>-96.164187945063006</v>
      </c>
      <c r="L4831" s="5" t="str">
        <f>HYPERLINK("https://maps.google.com/?q=17.334367726062677,-96.16418794506305", "🔗 Ver Mapa")</f>
        <v>🔗 Ver Mapa</v>
      </c>
    </row>
    <row r="4832" spans="1:12" ht="43.5" x14ac:dyDescent="0.35">
      <c r="A4832" s="6" t="s">
        <v>98</v>
      </c>
      <c r="B4832" s="6" t="s">
        <v>99</v>
      </c>
      <c r="C4832" s="6" t="s">
        <v>991</v>
      </c>
      <c r="D4832" s="6" t="s">
        <v>14</v>
      </c>
      <c r="E4832" s="6" t="s">
        <v>90</v>
      </c>
      <c r="F4832" s="6" t="s">
        <v>678</v>
      </c>
      <c r="G4832" s="6" t="s">
        <v>992</v>
      </c>
      <c r="H4832" s="6" t="s">
        <v>993</v>
      </c>
      <c r="I4832" s="6" t="s">
        <v>31</v>
      </c>
      <c r="J4832" s="6">
        <v>17.334402714376001</v>
      </c>
      <c r="K4832" s="6">
        <v>-96.165887090956005</v>
      </c>
      <c r="L4832" s="6" t="str">
        <f>HYPERLINK("https://maps.google.com/?q=17.3344027143757,-96.165887090955906", "🔗 Ver Mapa")</f>
        <v>🔗 Ver Mapa</v>
      </c>
    </row>
    <row r="4833" spans="1:12" ht="43.5" x14ac:dyDescent="0.35">
      <c r="A4833" s="5" t="s">
        <v>98</v>
      </c>
      <c r="B4833" s="5" t="s">
        <v>99</v>
      </c>
      <c r="C4833" s="5" t="s">
        <v>991</v>
      </c>
      <c r="D4833" s="5" t="s">
        <v>14</v>
      </c>
      <c r="E4833" s="5" t="s">
        <v>90</v>
      </c>
      <c r="F4833" s="5" t="s">
        <v>678</v>
      </c>
      <c r="G4833" s="5" t="s">
        <v>992</v>
      </c>
      <c r="H4833" s="5" t="s">
        <v>993</v>
      </c>
      <c r="I4833" s="5" t="s">
        <v>31</v>
      </c>
      <c r="J4833" s="5">
        <v>17.334602938970001</v>
      </c>
      <c r="K4833" s="5" t="s">
        <v>994</v>
      </c>
      <c r="L4833" s="5" t="str">
        <f>HYPERLINK("https://maps.google.com/?q=17.3346029389698, -96.16437371483539", "🔗 Ver Mapa")</f>
        <v>🔗 Ver Mapa</v>
      </c>
    </row>
    <row r="4834" spans="1:12" ht="43.5" x14ac:dyDescent="0.35">
      <c r="A4834" s="6" t="s">
        <v>98</v>
      </c>
      <c r="B4834" s="6" t="s">
        <v>99</v>
      </c>
      <c r="C4834" s="6" t="s">
        <v>991</v>
      </c>
      <c r="D4834" s="6" t="s">
        <v>14</v>
      </c>
      <c r="E4834" s="6" t="s">
        <v>90</v>
      </c>
      <c r="F4834" s="6" t="s">
        <v>678</v>
      </c>
      <c r="G4834" s="6" t="s">
        <v>992</v>
      </c>
      <c r="H4834" s="6" t="s">
        <v>993</v>
      </c>
      <c r="I4834" s="6" t="s">
        <v>31</v>
      </c>
      <c r="J4834" s="6">
        <v>17.334689184346001</v>
      </c>
      <c r="K4834" s="6">
        <v>-96.163381740179005</v>
      </c>
      <c r="L4834" s="6" t="str">
        <f>HYPERLINK("https://maps.google.com/?q=17.3346891843463,-96.163381740178906", "🔗 Ver Mapa")</f>
        <v>🔗 Ver Mapa</v>
      </c>
    </row>
    <row r="4835" spans="1:12" ht="43.5" x14ac:dyDescent="0.35">
      <c r="A4835" s="5" t="s">
        <v>98</v>
      </c>
      <c r="B4835" s="5" t="s">
        <v>99</v>
      </c>
      <c r="C4835" s="5" t="s">
        <v>991</v>
      </c>
      <c r="D4835" s="5" t="s">
        <v>14</v>
      </c>
      <c r="E4835" s="5" t="s">
        <v>90</v>
      </c>
      <c r="F4835" s="5" t="s">
        <v>678</v>
      </c>
      <c r="G4835" s="5" t="s">
        <v>992</v>
      </c>
      <c r="H4835" s="5" t="s">
        <v>993</v>
      </c>
      <c r="I4835" s="5" t="s">
        <v>31</v>
      </c>
      <c r="J4835" s="5">
        <v>17.334779488191</v>
      </c>
      <c r="K4835" s="5" t="s">
        <v>995</v>
      </c>
      <c r="L4835" s="5" t="str">
        <f>HYPERLINK("https://maps.google.com/?q=17.3347794881906, -96.16645174049279", "🔗 Ver Mapa")</f>
        <v>🔗 Ver Mapa</v>
      </c>
    </row>
    <row r="4836" spans="1:12" ht="43.5" x14ac:dyDescent="0.35">
      <c r="A4836" s="6" t="s">
        <v>98</v>
      </c>
      <c r="B4836" s="6" t="s">
        <v>99</v>
      </c>
      <c r="C4836" s="6" t="s">
        <v>991</v>
      </c>
      <c r="D4836" s="6" t="s">
        <v>14</v>
      </c>
      <c r="E4836" s="6" t="s">
        <v>90</v>
      </c>
      <c r="F4836" s="6" t="s">
        <v>678</v>
      </c>
      <c r="G4836" s="6" t="s">
        <v>992</v>
      </c>
      <c r="H4836" s="6" t="s">
        <v>993</v>
      </c>
      <c r="I4836" s="6" t="s">
        <v>31</v>
      </c>
      <c r="J4836" s="6">
        <v>17.334815280522999</v>
      </c>
      <c r="K4836" s="6">
        <v>-96.163293897833995</v>
      </c>
      <c r="L4836" s="6" t="str">
        <f>HYPERLINK("https://maps.google.com/?q=17.3348152805227,-96.163293897833796", "🔗 Ver Mapa")</f>
        <v>🔗 Ver Mapa</v>
      </c>
    </row>
    <row r="4837" spans="1:12" ht="43.5" x14ac:dyDescent="0.35">
      <c r="A4837" s="5" t="s">
        <v>98</v>
      </c>
      <c r="B4837" s="5" t="s">
        <v>99</v>
      </c>
      <c r="C4837" s="5" t="s">
        <v>991</v>
      </c>
      <c r="D4837" s="5" t="s">
        <v>14</v>
      </c>
      <c r="E4837" s="5" t="s">
        <v>90</v>
      </c>
      <c r="F4837" s="5" t="s">
        <v>678</v>
      </c>
      <c r="G4837" s="5" t="s">
        <v>992</v>
      </c>
      <c r="H4837" s="5" t="s">
        <v>993</v>
      </c>
      <c r="I4837" s="5" t="s">
        <v>31</v>
      </c>
      <c r="J4837" s="5">
        <v>17.33561329374</v>
      </c>
      <c r="K4837" s="5">
        <v>-96.166652055514007</v>
      </c>
      <c r="L4837" s="5" t="str">
        <f>HYPERLINK("https://maps.google.com/?q=17.3356132937396,-96.166652055513893", "🔗 Ver Mapa")</f>
        <v>🔗 Ver Mapa</v>
      </c>
    </row>
    <row r="4838" spans="1:12" ht="43.5" x14ac:dyDescent="0.35">
      <c r="A4838" s="6" t="s">
        <v>98</v>
      </c>
      <c r="B4838" s="6" t="s">
        <v>99</v>
      </c>
      <c r="C4838" s="6" t="s">
        <v>991</v>
      </c>
      <c r="D4838" s="6" t="s">
        <v>14</v>
      </c>
      <c r="E4838" s="6" t="s">
        <v>90</v>
      </c>
      <c r="F4838" s="6" t="s">
        <v>678</v>
      </c>
      <c r="G4838" s="6" t="s">
        <v>992</v>
      </c>
      <c r="H4838" s="6" t="s">
        <v>993</v>
      </c>
      <c r="I4838" s="6" t="s">
        <v>31</v>
      </c>
      <c r="J4838" s="6">
        <v>17.335753780434999</v>
      </c>
      <c r="K4838" s="6">
        <v>-96.163913743869998</v>
      </c>
      <c r="L4838" s="6" t="str">
        <f>HYPERLINK("https://maps.google.com/?q=17.3357537804351,-96.163913743870395", "🔗 Ver Mapa")</f>
        <v>🔗 Ver Mapa</v>
      </c>
    </row>
    <row r="4839" spans="1:12" ht="43.5" x14ac:dyDescent="0.35">
      <c r="A4839" s="5" t="s">
        <v>98</v>
      </c>
      <c r="B4839" s="5" t="s">
        <v>99</v>
      </c>
      <c r="C4839" s="5" t="s">
        <v>991</v>
      </c>
      <c r="D4839" s="5" t="s">
        <v>14</v>
      </c>
      <c r="E4839" s="5" t="s">
        <v>90</v>
      </c>
      <c r="F4839" s="5" t="s">
        <v>678</v>
      </c>
      <c r="G4839" s="5" t="s">
        <v>992</v>
      </c>
      <c r="H4839" s="5" t="s">
        <v>993</v>
      </c>
      <c r="I4839" s="5" t="s">
        <v>31</v>
      </c>
      <c r="J4839" s="5">
        <v>17.336217962580001</v>
      </c>
      <c r="K4839" s="5">
        <v>-96.165846738778001</v>
      </c>
      <c r="L4839" s="5" t="str">
        <f>HYPERLINK("https://maps.google.com/?q=17.3362179625801,-96.1658467387781", "🔗 Ver Mapa")</f>
        <v>🔗 Ver Mapa</v>
      </c>
    </row>
    <row r="4840" spans="1:12" ht="43.5" x14ac:dyDescent="0.35">
      <c r="A4840" s="6" t="s">
        <v>98</v>
      </c>
      <c r="B4840" s="6" t="s">
        <v>99</v>
      </c>
      <c r="C4840" s="6" t="s">
        <v>991</v>
      </c>
      <c r="D4840" s="6" t="s">
        <v>14</v>
      </c>
      <c r="E4840" s="6" t="s">
        <v>90</v>
      </c>
      <c r="F4840" s="6" t="s">
        <v>678</v>
      </c>
      <c r="G4840" s="6" t="s">
        <v>992</v>
      </c>
      <c r="H4840" s="6" t="s">
        <v>993</v>
      </c>
      <c r="I4840" s="6" t="s">
        <v>31</v>
      </c>
      <c r="J4840" s="6">
        <v>17.336354986959002</v>
      </c>
      <c r="K4840" s="6">
        <v>-96.165767566827995</v>
      </c>
      <c r="L4840" s="6" t="str">
        <f>HYPERLINK("https://maps.google.com/?q=17.336354986959,-96.165767566827796", "🔗 Ver Mapa")</f>
        <v>🔗 Ver Mapa</v>
      </c>
    </row>
    <row r="4841" spans="1:12" ht="43.5" x14ac:dyDescent="0.35">
      <c r="A4841" s="5" t="s">
        <v>98</v>
      </c>
      <c r="B4841" s="5" t="s">
        <v>99</v>
      </c>
      <c r="C4841" s="5" t="s">
        <v>991</v>
      </c>
      <c r="D4841" s="5" t="s">
        <v>14</v>
      </c>
      <c r="E4841" s="5" t="s">
        <v>90</v>
      </c>
      <c r="F4841" s="5" t="s">
        <v>678</v>
      </c>
      <c r="G4841" s="5" t="s">
        <v>992</v>
      </c>
      <c r="H4841" s="5" t="s">
        <v>993</v>
      </c>
      <c r="I4841" s="5" t="s">
        <v>31</v>
      </c>
      <c r="J4841" s="5">
        <v>17.336717863859</v>
      </c>
      <c r="K4841" s="5" t="s">
        <v>996</v>
      </c>
      <c r="L4841" s="5" t="str">
        <f>HYPERLINK("https://maps.google.com/?q=17.336717863859, -96.16546064833362", "🔗 Ver Mapa")</f>
        <v>🔗 Ver Mapa</v>
      </c>
    </row>
    <row r="4842" spans="1:12" ht="43.5" x14ac:dyDescent="0.35">
      <c r="A4842" s="6" t="s">
        <v>98</v>
      </c>
      <c r="B4842" s="6" t="s">
        <v>99</v>
      </c>
      <c r="C4842" s="6" t="s">
        <v>991</v>
      </c>
      <c r="D4842" s="6" t="s">
        <v>14</v>
      </c>
      <c r="E4842" s="6" t="s">
        <v>90</v>
      </c>
      <c r="F4842" s="6" t="s">
        <v>678</v>
      </c>
      <c r="G4842" s="6" t="s">
        <v>992</v>
      </c>
      <c r="H4842" s="6" t="s">
        <v>993</v>
      </c>
      <c r="I4842" s="6" t="s">
        <v>31</v>
      </c>
      <c r="J4842" s="6">
        <v>17.336780338326999</v>
      </c>
      <c r="K4842" s="6">
        <v>-96.165960992880002</v>
      </c>
      <c r="L4842" s="6" t="str">
        <f>HYPERLINK("https://maps.google.com/?q=17.3367803383273,-96.165960992880002", "🔗 Ver Mapa")</f>
        <v>🔗 Ver Mapa</v>
      </c>
    </row>
    <row r="4843" spans="1:12" ht="43.5" x14ac:dyDescent="0.35">
      <c r="A4843" s="5" t="s">
        <v>98</v>
      </c>
      <c r="B4843" s="5" t="s">
        <v>99</v>
      </c>
      <c r="C4843" s="5" t="s">
        <v>991</v>
      </c>
      <c r="D4843" s="5" t="s">
        <v>14</v>
      </c>
      <c r="E4843" s="5" t="s">
        <v>90</v>
      </c>
      <c r="F4843" s="5" t="s">
        <v>678</v>
      </c>
      <c r="G4843" s="5" t="s">
        <v>992</v>
      </c>
      <c r="H4843" s="5" t="s">
        <v>993</v>
      </c>
      <c r="I4843" s="5" t="s">
        <v>31</v>
      </c>
      <c r="J4843" s="5">
        <v>17.336789942012999</v>
      </c>
      <c r="K4843" s="5">
        <v>-96.166052186746001</v>
      </c>
      <c r="L4843" s="5" t="str">
        <f>HYPERLINK("https://maps.google.com/?q=17.3367899420135,-96.166052186745901", "🔗 Ver Mapa")</f>
        <v>🔗 Ver Mapa</v>
      </c>
    </row>
    <row r="4844" spans="1:12" ht="43.5" x14ac:dyDescent="0.35">
      <c r="A4844" s="6" t="s">
        <v>98</v>
      </c>
      <c r="B4844" s="6" t="s">
        <v>99</v>
      </c>
      <c r="C4844" s="6" t="s">
        <v>991</v>
      </c>
      <c r="D4844" s="6" t="s">
        <v>14</v>
      </c>
      <c r="E4844" s="6" t="s">
        <v>90</v>
      </c>
      <c r="F4844" s="6" t="s">
        <v>678</v>
      </c>
      <c r="G4844" s="6" t="s">
        <v>992</v>
      </c>
      <c r="H4844" s="6" t="s">
        <v>993</v>
      </c>
      <c r="I4844" s="6" t="s">
        <v>31</v>
      </c>
      <c r="J4844" s="6">
        <v>17.337197035498001</v>
      </c>
      <c r="K4844" s="6">
        <v>-96.169501464885002</v>
      </c>
      <c r="L4844" s="6" t="str">
        <f>HYPERLINK("https://maps.google.com/?q=17.3371970354984,-96.1695014648854", "🔗 Ver Mapa")</f>
        <v>🔗 Ver Mapa</v>
      </c>
    </row>
    <row r="4845" spans="1:12" ht="43.5" x14ac:dyDescent="0.35">
      <c r="A4845" s="5" t="s">
        <v>98</v>
      </c>
      <c r="B4845" s="5" t="s">
        <v>99</v>
      </c>
      <c r="C4845" s="5" t="s">
        <v>991</v>
      </c>
      <c r="D4845" s="5" t="s">
        <v>14</v>
      </c>
      <c r="E4845" s="5" t="s">
        <v>90</v>
      </c>
      <c r="F4845" s="5" t="s">
        <v>678</v>
      </c>
      <c r="G4845" s="5" t="s">
        <v>992</v>
      </c>
      <c r="H4845" s="5" t="s">
        <v>993</v>
      </c>
      <c r="I4845" s="5" t="s">
        <v>31</v>
      </c>
      <c r="J4845" s="5">
        <v>17.337843476286999</v>
      </c>
      <c r="K4845" s="5">
        <v>-96.167700959525007</v>
      </c>
      <c r="L4845" s="5" t="str">
        <f>HYPERLINK("https://maps.google.com/?q=17.3378434762874,-96.167700959525305", "🔗 Ver Mapa")</f>
        <v>🔗 Ver Mapa</v>
      </c>
    </row>
    <row r="4846" spans="1:12" ht="43.5" x14ac:dyDescent="0.35">
      <c r="A4846" s="6" t="s">
        <v>98</v>
      </c>
      <c r="B4846" s="6" t="s">
        <v>99</v>
      </c>
      <c r="C4846" s="6" t="s">
        <v>991</v>
      </c>
      <c r="D4846" s="6" t="s">
        <v>14</v>
      </c>
      <c r="E4846" s="6" t="s">
        <v>90</v>
      </c>
      <c r="F4846" s="6" t="s">
        <v>678</v>
      </c>
      <c r="G4846" s="6" t="s">
        <v>992</v>
      </c>
      <c r="H4846" s="6" t="s">
        <v>993</v>
      </c>
      <c r="I4846" s="6" t="s">
        <v>31</v>
      </c>
      <c r="J4846" s="6">
        <v>17.337980129220998</v>
      </c>
      <c r="K4846" s="6">
        <v>-96.167615488858004</v>
      </c>
      <c r="L4846" s="6" t="str">
        <f>HYPERLINK("https://maps.google.com/?q=17.33798012922112,-96.167615488858004", "🔗 Ver Mapa")</f>
        <v>🔗 Ver Mapa</v>
      </c>
    </row>
    <row r="4847" spans="1:12" ht="43.5" x14ac:dyDescent="0.35">
      <c r="A4847" s="5" t="s">
        <v>98</v>
      </c>
      <c r="B4847" s="5" t="s">
        <v>99</v>
      </c>
      <c r="C4847" s="5" t="s">
        <v>991</v>
      </c>
      <c r="D4847" s="5" t="s">
        <v>14</v>
      </c>
      <c r="E4847" s="5" t="s">
        <v>90</v>
      </c>
      <c r="F4847" s="5" t="s">
        <v>678</v>
      </c>
      <c r="G4847" s="5" t="s">
        <v>992</v>
      </c>
      <c r="H4847" s="5" t="s">
        <v>993</v>
      </c>
      <c r="I4847" s="5" t="s">
        <v>31</v>
      </c>
      <c r="J4847" s="5">
        <v>17.338144719403999</v>
      </c>
      <c r="K4847" s="5">
        <v>-96.165131064112003</v>
      </c>
      <c r="L4847" s="5" t="str">
        <f>HYPERLINK("https://maps.google.com/?q=17.3381447194038,-96.165131064111804", "🔗 Ver Mapa")</f>
        <v>🔗 Ver Mapa</v>
      </c>
    </row>
    <row r="4848" spans="1:12" ht="43.5" x14ac:dyDescent="0.35">
      <c r="A4848" s="6" t="s">
        <v>98</v>
      </c>
      <c r="B4848" s="6" t="s">
        <v>99</v>
      </c>
      <c r="C4848" s="6" t="s">
        <v>991</v>
      </c>
      <c r="D4848" s="6" t="s">
        <v>14</v>
      </c>
      <c r="E4848" s="6" t="s">
        <v>90</v>
      </c>
      <c r="F4848" s="6" t="s">
        <v>678</v>
      </c>
      <c r="G4848" s="6" t="s">
        <v>992</v>
      </c>
      <c r="H4848" s="6" t="s">
        <v>993</v>
      </c>
      <c r="I4848" s="6" t="s">
        <v>31</v>
      </c>
      <c r="J4848" s="6">
        <v>17.338191807047998</v>
      </c>
      <c r="K4848" s="6">
        <v>-96.167251361164006</v>
      </c>
      <c r="L4848" s="6" t="str">
        <f>HYPERLINK("https://maps.google.com/?q=17.3381918070475,-96.167251361164105", "🔗 Ver Mapa")</f>
        <v>🔗 Ver Mapa</v>
      </c>
    </row>
    <row r="4849" spans="1:12" ht="43.5" x14ac:dyDescent="0.35">
      <c r="A4849" s="5" t="s">
        <v>98</v>
      </c>
      <c r="B4849" s="5" t="s">
        <v>99</v>
      </c>
      <c r="C4849" s="5" t="s">
        <v>991</v>
      </c>
      <c r="D4849" s="5" t="s">
        <v>14</v>
      </c>
      <c r="E4849" s="5" t="s">
        <v>90</v>
      </c>
      <c r="F4849" s="5" t="s">
        <v>678</v>
      </c>
      <c r="G4849" s="5" t="s">
        <v>992</v>
      </c>
      <c r="H4849" s="5" t="s">
        <v>993</v>
      </c>
      <c r="I4849" s="5" t="s">
        <v>31</v>
      </c>
      <c r="J4849" s="5">
        <v>17.338348185649</v>
      </c>
      <c r="K4849" s="5">
        <v>-96.168424819066004</v>
      </c>
      <c r="L4849" s="5" t="str">
        <f>HYPERLINK("https://maps.google.com/?q=17.3383481856491,-96.168424819066402", "🔗 Ver Mapa")</f>
        <v>🔗 Ver Mapa</v>
      </c>
    </row>
    <row r="4850" spans="1:12" ht="43.5" x14ac:dyDescent="0.35">
      <c r="A4850" s="6" t="s">
        <v>98</v>
      </c>
      <c r="B4850" s="6" t="s">
        <v>99</v>
      </c>
      <c r="C4850" s="6" t="s">
        <v>991</v>
      </c>
      <c r="D4850" s="6" t="s">
        <v>14</v>
      </c>
      <c r="E4850" s="6" t="s">
        <v>90</v>
      </c>
      <c r="F4850" s="6" t="s">
        <v>678</v>
      </c>
      <c r="G4850" s="6" t="s">
        <v>992</v>
      </c>
      <c r="H4850" s="6" t="s">
        <v>993</v>
      </c>
      <c r="I4850" s="6" t="s">
        <v>31</v>
      </c>
      <c r="J4850" s="6">
        <v>17.338497205149999</v>
      </c>
      <c r="K4850" s="6">
        <v>-96.168347988318004</v>
      </c>
      <c r="L4850" s="6" t="str">
        <f>HYPERLINK("https://maps.google.com/?q=17.3384972051496,-96.168347988317805", "🔗 Ver Mapa")</f>
        <v>🔗 Ver Mapa</v>
      </c>
    </row>
    <row r="4851" spans="1:12" ht="43.5" x14ac:dyDescent="0.35">
      <c r="A4851" s="5" t="s">
        <v>98</v>
      </c>
      <c r="B4851" s="5" t="s">
        <v>99</v>
      </c>
      <c r="C4851" s="5" t="s">
        <v>991</v>
      </c>
      <c r="D4851" s="5" t="s">
        <v>14</v>
      </c>
      <c r="E4851" s="5" t="s">
        <v>90</v>
      </c>
      <c r="F4851" s="5" t="s">
        <v>678</v>
      </c>
      <c r="G4851" s="5" t="s">
        <v>992</v>
      </c>
      <c r="H4851" s="5" t="s">
        <v>993</v>
      </c>
      <c r="I4851" s="5" t="s">
        <v>31</v>
      </c>
      <c r="J4851" s="5">
        <v>17.338579591087001</v>
      </c>
      <c r="K4851" s="5">
        <v>-96.166411631114997</v>
      </c>
      <c r="L4851" s="5" t="str">
        <f>HYPERLINK("https://maps.google.com/?q=17.3385795910875,-96.166411631114599", "🔗 Ver Mapa")</f>
        <v>🔗 Ver Mapa</v>
      </c>
    </row>
    <row r="4852" spans="1:12" ht="43.5" x14ac:dyDescent="0.35">
      <c r="A4852" s="6" t="s">
        <v>98</v>
      </c>
      <c r="B4852" s="6" t="s">
        <v>99</v>
      </c>
      <c r="C4852" s="6" t="s">
        <v>991</v>
      </c>
      <c r="D4852" s="6" t="s">
        <v>14</v>
      </c>
      <c r="E4852" s="6" t="s">
        <v>90</v>
      </c>
      <c r="F4852" s="6" t="s">
        <v>678</v>
      </c>
      <c r="G4852" s="6" t="s">
        <v>992</v>
      </c>
      <c r="H4852" s="6" t="s">
        <v>993</v>
      </c>
      <c r="I4852" s="6" t="s">
        <v>31</v>
      </c>
      <c r="J4852" s="6">
        <v>17.338612335049</v>
      </c>
      <c r="K4852" s="6">
        <v>-96.166190692940006</v>
      </c>
      <c r="L4852" s="6" t="str">
        <f>HYPERLINK("https://maps.google.com/?q=17.3386123350486,-96.166190692940006", "🔗 Ver Mapa")</f>
        <v>🔗 Ver Mapa</v>
      </c>
    </row>
    <row r="4853" spans="1:12" ht="43.5" x14ac:dyDescent="0.35">
      <c r="A4853" s="5" t="s">
        <v>98</v>
      </c>
      <c r="B4853" s="5" t="s">
        <v>99</v>
      </c>
      <c r="C4853" s="5" t="s">
        <v>991</v>
      </c>
      <c r="D4853" s="5" t="s">
        <v>14</v>
      </c>
      <c r="E4853" s="5" t="s">
        <v>90</v>
      </c>
      <c r="F4853" s="5" t="s">
        <v>678</v>
      </c>
      <c r="G4853" s="5" t="s">
        <v>992</v>
      </c>
      <c r="H4853" s="5" t="s">
        <v>993</v>
      </c>
      <c r="I4853" s="5" t="s">
        <v>31</v>
      </c>
      <c r="J4853" s="5">
        <v>17.338933892477002</v>
      </c>
      <c r="K4853" s="5">
        <v>-96.166505264267002</v>
      </c>
      <c r="L4853" s="5" t="str">
        <f>HYPERLINK("https://maps.google.com/?q=17.3389338924769,-96.166505264266803", "🔗 Ver Mapa")</f>
        <v>🔗 Ver Mapa</v>
      </c>
    </row>
    <row r="4854" spans="1:12" ht="43.5" x14ac:dyDescent="0.35">
      <c r="A4854" s="6" t="s">
        <v>98</v>
      </c>
      <c r="B4854" s="6" t="s">
        <v>99</v>
      </c>
      <c r="C4854" s="6" t="s">
        <v>991</v>
      </c>
      <c r="D4854" s="6" t="s">
        <v>14</v>
      </c>
      <c r="E4854" s="6" t="s">
        <v>90</v>
      </c>
      <c r="F4854" s="6" t="s">
        <v>678</v>
      </c>
      <c r="G4854" s="6" t="s">
        <v>992</v>
      </c>
      <c r="H4854" s="6" t="s">
        <v>993</v>
      </c>
      <c r="I4854" s="6" t="s">
        <v>31</v>
      </c>
      <c r="J4854" s="6">
        <v>17.33896825547</v>
      </c>
      <c r="K4854" s="6">
        <v>-96.166199227665004</v>
      </c>
      <c r="L4854" s="6" t="str">
        <f>HYPERLINK("https://maps.google.com/?q=17.3389682554698,-96.166199227665203", "🔗 Ver Mapa")</f>
        <v>🔗 Ver Mapa</v>
      </c>
    </row>
    <row r="4855" spans="1:12" ht="43.5" x14ac:dyDescent="0.35">
      <c r="A4855" s="5" t="s">
        <v>98</v>
      </c>
      <c r="B4855" s="5" t="s">
        <v>99</v>
      </c>
      <c r="C4855" s="5" t="s">
        <v>991</v>
      </c>
      <c r="D4855" s="5" t="s">
        <v>14</v>
      </c>
      <c r="E4855" s="5" t="s">
        <v>90</v>
      </c>
      <c r="F4855" s="5" t="s">
        <v>678</v>
      </c>
      <c r="G4855" s="5" t="s">
        <v>992</v>
      </c>
      <c r="H4855" s="5" t="s">
        <v>993</v>
      </c>
      <c r="I4855" s="5" t="s">
        <v>31</v>
      </c>
      <c r="J4855" s="5">
        <v>17.339933568465</v>
      </c>
      <c r="K4855" s="5">
        <v>-96.166615546195999</v>
      </c>
      <c r="L4855" s="5" t="str">
        <f>HYPERLINK("https://maps.google.com/?q=17.33993356846538,-96.16661554619614", "🔗 Ver Mapa")</f>
        <v>🔗 Ver Mapa</v>
      </c>
    </row>
    <row r="4856" spans="1:12" ht="43.5" x14ac:dyDescent="0.35">
      <c r="A4856" s="6" t="s">
        <v>98</v>
      </c>
      <c r="B4856" s="6" t="s">
        <v>99</v>
      </c>
      <c r="C4856" s="6" t="s">
        <v>991</v>
      </c>
      <c r="D4856" s="6" t="s">
        <v>14</v>
      </c>
      <c r="E4856" s="6" t="s">
        <v>90</v>
      </c>
      <c r="F4856" s="6" t="s">
        <v>678</v>
      </c>
      <c r="G4856" s="6" t="s">
        <v>992</v>
      </c>
      <c r="H4856" s="6" t="s">
        <v>993</v>
      </c>
      <c r="I4856" s="6" t="s">
        <v>31</v>
      </c>
      <c r="J4856" s="6">
        <v>17.340025768275002</v>
      </c>
      <c r="K4856" s="6">
        <v>-96.167916428530006</v>
      </c>
      <c r="L4856" s="6" t="str">
        <f>HYPERLINK("https://maps.google.com/?q=17.3400257682752,-96.167916428530106", "🔗 Ver Mapa")</f>
        <v>🔗 Ver Mapa</v>
      </c>
    </row>
    <row r="4857" spans="1:12" ht="43.5" x14ac:dyDescent="0.35">
      <c r="A4857" s="5" t="s">
        <v>98</v>
      </c>
      <c r="B4857" s="5" t="s">
        <v>99</v>
      </c>
      <c r="C4857" s="5" t="s">
        <v>997</v>
      </c>
      <c r="D4857" s="5" t="s">
        <v>14</v>
      </c>
      <c r="E4857" s="5" t="s">
        <v>52</v>
      </c>
      <c r="F4857" s="5" t="s">
        <v>53</v>
      </c>
      <c r="G4857" s="5" t="s">
        <v>998</v>
      </c>
      <c r="H4857" s="5" t="s">
        <v>999</v>
      </c>
      <c r="I4857" s="5" t="s">
        <v>31</v>
      </c>
      <c r="J4857" s="5">
        <v>16.788118781752001</v>
      </c>
      <c r="K4857" s="5">
        <v>-96.387643036483993</v>
      </c>
      <c r="L4857" s="5" t="str">
        <f>HYPERLINK("https://maps.google.com/?q=16.7881187817524,-96.387643036484207", "🔗 Ver Mapa")</f>
        <v>🔗 Ver Mapa</v>
      </c>
    </row>
    <row r="4858" spans="1:12" ht="43.5" x14ac:dyDescent="0.35">
      <c r="A4858" s="6" t="s">
        <v>98</v>
      </c>
      <c r="B4858" s="6" t="s">
        <v>99</v>
      </c>
      <c r="C4858" s="6" t="s">
        <v>997</v>
      </c>
      <c r="D4858" s="6" t="s">
        <v>14</v>
      </c>
      <c r="E4858" s="6" t="s">
        <v>52</v>
      </c>
      <c r="F4858" s="6" t="s">
        <v>53</v>
      </c>
      <c r="G4858" s="6" t="s">
        <v>998</v>
      </c>
      <c r="H4858" s="6" t="s">
        <v>999</v>
      </c>
      <c r="I4858" s="6" t="s">
        <v>31</v>
      </c>
      <c r="J4858" s="6">
        <v>16.789313782632998</v>
      </c>
      <c r="K4858" s="6">
        <v>-96.387768235582996</v>
      </c>
      <c r="L4858" s="6" t="str">
        <f>HYPERLINK("https://maps.google.com/?q=16.7893137826329,-96.387768235582897", "🔗 Ver Mapa")</f>
        <v>🔗 Ver Mapa</v>
      </c>
    </row>
    <row r="4859" spans="1:12" ht="43.5" x14ac:dyDescent="0.35">
      <c r="A4859" s="5" t="s">
        <v>98</v>
      </c>
      <c r="B4859" s="5" t="s">
        <v>99</v>
      </c>
      <c r="C4859" s="5" t="s">
        <v>997</v>
      </c>
      <c r="D4859" s="5" t="s">
        <v>14</v>
      </c>
      <c r="E4859" s="5" t="s">
        <v>52</v>
      </c>
      <c r="F4859" s="5" t="s">
        <v>53</v>
      </c>
      <c r="G4859" s="5" t="s">
        <v>998</v>
      </c>
      <c r="H4859" s="5" t="s">
        <v>999</v>
      </c>
      <c r="I4859" s="5" t="s">
        <v>31</v>
      </c>
      <c r="J4859" s="5">
        <v>16.789767361062999</v>
      </c>
      <c r="K4859" s="5">
        <v>-96.389002916454004</v>
      </c>
      <c r="L4859" s="5" t="str">
        <f>HYPERLINK("https://maps.google.com/?q=16.7897673610628,-96.389002916454402", "🔗 Ver Mapa")</f>
        <v>🔗 Ver Mapa</v>
      </c>
    </row>
    <row r="4860" spans="1:12" ht="43.5" x14ac:dyDescent="0.35">
      <c r="A4860" s="6" t="s">
        <v>98</v>
      </c>
      <c r="B4860" s="6" t="s">
        <v>99</v>
      </c>
      <c r="C4860" s="6" t="s">
        <v>997</v>
      </c>
      <c r="D4860" s="6" t="s">
        <v>14</v>
      </c>
      <c r="E4860" s="6" t="s">
        <v>52</v>
      </c>
      <c r="F4860" s="6" t="s">
        <v>53</v>
      </c>
      <c r="G4860" s="6" t="s">
        <v>998</v>
      </c>
      <c r="H4860" s="6" t="s">
        <v>999</v>
      </c>
      <c r="I4860" s="6" t="s">
        <v>31</v>
      </c>
      <c r="J4860" s="6">
        <v>16.789777632540002</v>
      </c>
      <c r="K4860" s="6">
        <v>-96.387999770283002</v>
      </c>
      <c r="L4860" s="6" t="str">
        <f>HYPERLINK("https://maps.google.com/?q=16.7897776325402,-96.387999770282704", "🔗 Ver Mapa")</f>
        <v>🔗 Ver Mapa</v>
      </c>
    </row>
    <row r="4861" spans="1:12" ht="43.5" x14ac:dyDescent="0.35">
      <c r="A4861" s="5" t="s">
        <v>98</v>
      </c>
      <c r="B4861" s="5" t="s">
        <v>99</v>
      </c>
      <c r="C4861" s="5" t="s">
        <v>997</v>
      </c>
      <c r="D4861" s="5" t="s">
        <v>14</v>
      </c>
      <c r="E4861" s="5" t="s">
        <v>52</v>
      </c>
      <c r="F4861" s="5" t="s">
        <v>53</v>
      </c>
      <c r="G4861" s="5" t="s">
        <v>998</v>
      </c>
      <c r="H4861" s="5" t="s">
        <v>999</v>
      </c>
      <c r="I4861" s="5" t="s">
        <v>31</v>
      </c>
      <c r="J4861" s="5">
        <v>16.789998469168001</v>
      </c>
      <c r="K4861" s="5">
        <v>-96.385325607894003</v>
      </c>
      <c r="L4861" s="5" t="str">
        <f>HYPERLINK("https://maps.google.com/?q=16.7899984691682,-96.385325607894302", "🔗 Ver Mapa")</f>
        <v>🔗 Ver Mapa</v>
      </c>
    </row>
    <row r="4862" spans="1:12" ht="43.5" x14ac:dyDescent="0.35">
      <c r="A4862" s="6" t="s">
        <v>98</v>
      </c>
      <c r="B4862" s="6" t="s">
        <v>99</v>
      </c>
      <c r="C4862" s="6" t="s">
        <v>997</v>
      </c>
      <c r="D4862" s="6" t="s">
        <v>14</v>
      </c>
      <c r="E4862" s="6" t="s">
        <v>52</v>
      </c>
      <c r="F4862" s="6" t="s">
        <v>53</v>
      </c>
      <c r="G4862" s="6" t="s">
        <v>998</v>
      </c>
      <c r="H4862" s="6" t="s">
        <v>999</v>
      </c>
      <c r="I4862" s="6" t="s">
        <v>31</v>
      </c>
      <c r="J4862" s="6">
        <v>16.790137142542001</v>
      </c>
      <c r="K4862" s="6">
        <v>-96.386399834011996</v>
      </c>
      <c r="L4862" s="6" t="str">
        <f>HYPERLINK("https://maps.google.com/?q=16.7901371425424,-96.386399834011698", "🔗 Ver Mapa")</f>
        <v>🔗 Ver Mapa</v>
      </c>
    </row>
    <row r="4863" spans="1:12" ht="43.5" x14ac:dyDescent="0.35">
      <c r="A4863" s="5" t="s">
        <v>98</v>
      </c>
      <c r="B4863" s="5" t="s">
        <v>99</v>
      </c>
      <c r="C4863" s="5" t="s">
        <v>997</v>
      </c>
      <c r="D4863" s="5" t="s">
        <v>14</v>
      </c>
      <c r="E4863" s="5" t="s">
        <v>52</v>
      </c>
      <c r="F4863" s="5" t="s">
        <v>53</v>
      </c>
      <c r="G4863" s="5" t="s">
        <v>998</v>
      </c>
      <c r="H4863" s="5" t="s">
        <v>999</v>
      </c>
      <c r="I4863" s="5" t="s">
        <v>31</v>
      </c>
      <c r="J4863" s="5">
        <v>16.790295854471001</v>
      </c>
      <c r="K4863" s="5">
        <v>-96.384640492041996</v>
      </c>
      <c r="L4863" s="5" t="str">
        <f>HYPERLINK("https://maps.google.com/?q=16.7902958544711,-96.384640492042195", "🔗 Ver Mapa")</f>
        <v>🔗 Ver Mapa</v>
      </c>
    </row>
    <row r="4864" spans="1:12" ht="43.5" x14ac:dyDescent="0.35">
      <c r="A4864" s="6" t="s">
        <v>98</v>
      </c>
      <c r="B4864" s="6" t="s">
        <v>99</v>
      </c>
      <c r="C4864" s="6" t="s">
        <v>997</v>
      </c>
      <c r="D4864" s="6" t="s">
        <v>14</v>
      </c>
      <c r="E4864" s="6" t="s">
        <v>52</v>
      </c>
      <c r="F4864" s="6" t="s">
        <v>53</v>
      </c>
      <c r="G4864" s="6" t="s">
        <v>998</v>
      </c>
      <c r="H4864" s="6" t="s">
        <v>999</v>
      </c>
      <c r="I4864" s="6" t="s">
        <v>31</v>
      </c>
      <c r="J4864" s="6">
        <v>16.790322028689001</v>
      </c>
      <c r="K4864" s="6">
        <v>-96.387448577735995</v>
      </c>
      <c r="L4864" s="6" t="str">
        <f>HYPERLINK("https://maps.google.com/?q=16.7903220286888,-96.387448577735995", "🔗 Ver Mapa")</f>
        <v>🔗 Ver Mapa</v>
      </c>
    </row>
    <row r="4865" spans="1:12" ht="43.5" x14ac:dyDescent="0.35">
      <c r="A4865" s="5" t="s">
        <v>98</v>
      </c>
      <c r="B4865" s="5" t="s">
        <v>99</v>
      </c>
      <c r="C4865" s="5" t="s">
        <v>997</v>
      </c>
      <c r="D4865" s="5" t="s">
        <v>14</v>
      </c>
      <c r="E4865" s="5" t="s">
        <v>52</v>
      </c>
      <c r="F4865" s="5" t="s">
        <v>53</v>
      </c>
      <c r="G4865" s="5" t="s">
        <v>998</v>
      </c>
      <c r="H4865" s="5" t="s">
        <v>999</v>
      </c>
      <c r="I4865" s="5" t="s">
        <v>31</v>
      </c>
      <c r="J4865" s="5">
        <v>16.790430764772999</v>
      </c>
      <c r="K4865" s="5">
        <v>-96.389647297791001</v>
      </c>
      <c r="L4865" s="5" t="str">
        <f>HYPERLINK("https://maps.google.com/?q=16.7904307647726,-96.389647297791498", "🔗 Ver Mapa")</f>
        <v>🔗 Ver Mapa</v>
      </c>
    </row>
    <row r="4866" spans="1:12" ht="43.5" x14ac:dyDescent="0.35">
      <c r="A4866" s="6" t="s">
        <v>98</v>
      </c>
      <c r="B4866" s="6" t="s">
        <v>99</v>
      </c>
      <c r="C4866" s="6" t="s">
        <v>997</v>
      </c>
      <c r="D4866" s="6" t="s">
        <v>14</v>
      </c>
      <c r="E4866" s="6" t="s">
        <v>52</v>
      </c>
      <c r="F4866" s="6" t="s">
        <v>53</v>
      </c>
      <c r="G4866" s="6" t="s">
        <v>998</v>
      </c>
      <c r="H4866" s="6" t="s">
        <v>999</v>
      </c>
      <c r="I4866" s="6" t="s">
        <v>31</v>
      </c>
      <c r="J4866" s="6">
        <v>16.790609620358001</v>
      </c>
      <c r="K4866" s="6">
        <v>-96.387584027884998</v>
      </c>
      <c r="L4866" s="6" t="str">
        <f>HYPERLINK("https://maps.google.com/?q=16.7906096203579,-96.387584027885197", "🔗 Ver Mapa")</f>
        <v>🔗 Ver Mapa</v>
      </c>
    </row>
    <row r="4867" spans="1:12" ht="43.5" x14ac:dyDescent="0.35">
      <c r="A4867" s="5" t="s">
        <v>98</v>
      </c>
      <c r="B4867" s="5" t="s">
        <v>99</v>
      </c>
      <c r="C4867" s="5" t="s">
        <v>997</v>
      </c>
      <c r="D4867" s="5" t="s">
        <v>14</v>
      </c>
      <c r="E4867" s="5" t="s">
        <v>52</v>
      </c>
      <c r="F4867" s="5" t="s">
        <v>53</v>
      </c>
      <c r="G4867" s="5" t="s">
        <v>998</v>
      </c>
      <c r="H4867" s="5" t="s">
        <v>999</v>
      </c>
      <c r="I4867" s="5" t="s">
        <v>31</v>
      </c>
      <c r="J4867" s="5">
        <v>16.790713274359</v>
      </c>
      <c r="K4867" s="5">
        <v>-96.396928375648997</v>
      </c>
      <c r="L4867" s="5" t="str">
        <f>HYPERLINK("https://maps.google.com/?q=16.7907132743592,-96.396928375648699", "🔗 Ver Mapa")</f>
        <v>🔗 Ver Mapa</v>
      </c>
    </row>
    <row r="4868" spans="1:12" ht="43.5" x14ac:dyDescent="0.35">
      <c r="A4868" s="6" t="s">
        <v>98</v>
      </c>
      <c r="B4868" s="6" t="s">
        <v>99</v>
      </c>
      <c r="C4868" s="6" t="s">
        <v>997</v>
      </c>
      <c r="D4868" s="6" t="s">
        <v>14</v>
      </c>
      <c r="E4868" s="6" t="s">
        <v>52</v>
      </c>
      <c r="F4868" s="6" t="s">
        <v>53</v>
      </c>
      <c r="G4868" s="6" t="s">
        <v>998</v>
      </c>
      <c r="H4868" s="6" t="s">
        <v>999</v>
      </c>
      <c r="I4868" s="6" t="s">
        <v>31</v>
      </c>
      <c r="J4868" s="6">
        <v>16.790822265502999</v>
      </c>
      <c r="K4868" s="6">
        <v>-96.396096206745995</v>
      </c>
      <c r="L4868" s="6" t="str">
        <f>HYPERLINK("https://maps.google.com/?q=16.790822265503,-96.396096206745895", "🔗 Ver Mapa")</f>
        <v>🔗 Ver Mapa</v>
      </c>
    </row>
    <row r="4869" spans="1:12" ht="43.5" x14ac:dyDescent="0.35">
      <c r="A4869" s="5" t="s">
        <v>98</v>
      </c>
      <c r="B4869" s="5" t="s">
        <v>99</v>
      </c>
      <c r="C4869" s="5" t="s">
        <v>997</v>
      </c>
      <c r="D4869" s="5" t="s">
        <v>14</v>
      </c>
      <c r="E4869" s="5" t="s">
        <v>52</v>
      </c>
      <c r="F4869" s="5" t="s">
        <v>53</v>
      </c>
      <c r="G4869" s="5" t="s">
        <v>998</v>
      </c>
      <c r="H4869" s="5" t="s">
        <v>999</v>
      </c>
      <c r="I4869" s="5" t="s">
        <v>31</v>
      </c>
      <c r="J4869" s="5">
        <v>16.791039744824001</v>
      </c>
      <c r="K4869" s="5">
        <v>-96.386002863065997</v>
      </c>
      <c r="L4869" s="5" t="str">
        <f>HYPERLINK("https://maps.google.com/?q=16.7910397448236,-96.3860028630659", "🔗 Ver Mapa")</f>
        <v>🔗 Ver Mapa</v>
      </c>
    </row>
    <row r="4870" spans="1:12" ht="43.5" x14ac:dyDescent="0.35">
      <c r="A4870" s="6" t="s">
        <v>98</v>
      </c>
      <c r="B4870" s="6" t="s">
        <v>99</v>
      </c>
      <c r="C4870" s="6" t="s">
        <v>997</v>
      </c>
      <c r="D4870" s="6" t="s">
        <v>14</v>
      </c>
      <c r="E4870" s="6" t="s">
        <v>52</v>
      </c>
      <c r="F4870" s="6" t="s">
        <v>53</v>
      </c>
      <c r="G4870" s="6" t="s">
        <v>998</v>
      </c>
      <c r="H4870" s="6" t="s">
        <v>999</v>
      </c>
      <c r="I4870" s="6" t="s">
        <v>31</v>
      </c>
      <c r="J4870" s="6">
        <v>16.791158586931999</v>
      </c>
      <c r="K4870" s="6">
        <v>-96.389535325582003</v>
      </c>
      <c r="L4870" s="6" t="str">
        <f>HYPERLINK("https://maps.google.com/?q=16.7911585869322,-96.389535325582003", "🔗 Ver Mapa")</f>
        <v>🔗 Ver Mapa</v>
      </c>
    </row>
    <row r="4871" spans="1:12" ht="43.5" x14ac:dyDescent="0.35">
      <c r="A4871" s="5" t="s">
        <v>98</v>
      </c>
      <c r="B4871" s="5" t="s">
        <v>99</v>
      </c>
      <c r="C4871" s="5" t="s">
        <v>997</v>
      </c>
      <c r="D4871" s="5" t="s">
        <v>14</v>
      </c>
      <c r="E4871" s="5" t="s">
        <v>52</v>
      </c>
      <c r="F4871" s="5" t="s">
        <v>53</v>
      </c>
      <c r="G4871" s="5" t="s">
        <v>998</v>
      </c>
      <c r="H4871" s="5" t="s">
        <v>999</v>
      </c>
      <c r="I4871" s="5" t="s">
        <v>31</v>
      </c>
      <c r="J4871" s="5">
        <v>16.791403095471001</v>
      </c>
      <c r="K4871" s="5">
        <v>-96.391091017579001</v>
      </c>
      <c r="L4871" s="5" t="str">
        <f>HYPERLINK("https://maps.google.com/?q=16.7914030954706,-96.391091017578603", "🔗 Ver Mapa")</f>
        <v>🔗 Ver Mapa</v>
      </c>
    </row>
    <row r="4872" spans="1:12" ht="43.5" x14ac:dyDescent="0.35">
      <c r="A4872" s="6" t="s">
        <v>98</v>
      </c>
      <c r="B4872" s="6" t="s">
        <v>99</v>
      </c>
      <c r="C4872" s="6" t="s">
        <v>997</v>
      </c>
      <c r="D4872" s="6" t="s">
        <v>14</v>
      </c>
      <c r="E4872" s="6" t="s">
        <v>52</v>
      </c>
      <c r="F4872" s="6" t="s">
        <v>53</v>
      </c>
      <c r="G4872" s="6" t="s">
        <v>998</v>
      </c>
      <c r="H4872" s="6" t="s">
        <v>999</v>
      </c>
      <c r="I4872" s="6" t="s">
        <v>31</v>
      </c>
      <c r="J4872" s="6">
        <v>16.791416338327</v>
      </c>
      <c r="K4872" s="6">
        <v>-96.387868235582999</v>
      </c>
      <c r="L4872" s="6" t="str">
        <f>HYPERLINK("https://maps.google.com/?q=16.7914163383274,-96.3878682355829", "🔗 Ver Mapa")</f>
        <v>🔗 Ver Mapa</v>
      </c>
    </row>
    <row r="4873" spans="1:12" ht="43.5" x14ac:dyDescent="0.35">
      <c r="A4873" s="5" t="s">
        <v>98</v>
      </c>
      <c r="B4873" s="5" t="s">
        <v>99</v>
      </c>
      <c r="C4873" s="5" t="s">
        <v>997</v>
      </c>
      <c r="D4873" s="5" t="s">
        <v>14</v>
      </c>
      <c r="E4873" s="5" t="s">
        <v>52</v>
      </c>
      <c r="F4873" s="5" t="s">
        <v>53</v>
      </c>
      <c r="G4873" s="5" t="s">
        <v>998</v>
      </c>
      <c r="H4873" s="5" t="s">
        <v>999</v>
      </c>
      <c r="I4873" s="5" t="s">
        <v>31</v>
      </c>
      <c r="J4873" s="5">
        <v>16.791939766148001</v>
      </c>
      <c r="K4873" s="5">
        <v>-96.389633235573001</v>
      </c>
      <c r="L4873" s="5" t="str">
        <f>HYPERLINK("https://maps.google.com/?q=16.7919397661478,-96.389633235572802", "🔗 Ver Mapa")</f>
        <v>🔗 Ver Mapa</v>
      </c>
    </row>
    <row r="4874" spans="1:12" ht="43.5" x14ac:dyDescent="0.35">
      <c r="A4874" s="6" t="s">
        <v>98</v>
      </c>
      <c r="B4874" s="6" t="s">
        <v>99</v>
      </c>
      <c r="C4874" s="6" t="s">
        <v>997</v>
      </c>
      <c r="D4874" s="6" t="s">
        <v>14</v>
      </c>
      <c r="E4874" s="6" t="s">
        <v>52</v>
      </c>
      <c r="F4874" s="6" t="s">
        <v>53</v>
      </c>
      <c r="G4874" s="6" t="s">
        <v>998</v>
      </c>
      <c r="H4874" s="6" t="s">
        <v>999</v>
      </c>
      <c r="I4874" s="6" t="s">
        <v>31</v>
      </c>
      <c r="J4874" s="6">
        <v>16.791942342633</v>
      </c>
      <c r="K4874" s="6">
        <v>-96.389269797658002</v>
      </c>
      <c r="L4874" s="6" t="str">
        <f>HYPERLINK("https://maps.google.com/?q=16.7919423426334,-96.389269797657803", "🔗 Ver Mapa")</f>
        <v>🔗 Ver Mapa</v>
      </c>
    </row>
    <row r="4875" spans="1:12" ht="43.5" x14ac:dyDescent="0.35">
      <c r="A4875" s="5" t="s">
        <v>98</v>
      </c>
      <c r="B4875" s="5" t="s">
        <v>99</v>
      </c>
      <c r="C4875" s="5" t="s">
        <v>997</v>
      </c>
      <c r="D4875" s="5" t="s">
        <v>14</v>
      </c>
      <c r="E4875" s="5" t="s">
        <v>52</v>
      </c>
      <c r="F4875" s="5" t="s">
        <v>53</v>
      </c>
      <c r="G4875" s="5" t="s">
        <v>998</v>
      </c>
      <c r="H4875" s="5" t="s">
        <v>999</v>
      </c>
      <c r="I4875" s="5" t="s">
        <v>31</v>
      </c>
      <c r="J4875" s="5">
        <v>16.792131867104999</v>
      </c>
      <c r="K4875" s="5">
        <v>-96.383728540977003</v>
      </c>
      <c r="L4875" s="5" t="str">
        <f>HYPERLINK("https://maps.google.com/?q=16.7921318671053,-96.383728540977302", "🔗 Ver Mapa")</f>
        <v>🔗 Ver Mapa</v>
      </c>
    </row>
    <row r="4876" spans="1:12" ht="43.5" x14ac:dyDescent="0.35">
      <c r="A4876" s="6" t="s">
        <v>98</v>
      </c>
      <c r="B4876" s="6" t="s">
        <v>99</v>
      </c>
      <c r="C4876" s="6" t="s">
        <v>997</v>
      </c>
      <c r="D4876" s="6" t="s">
        <v>14</v>
      </c>
      <c r="E4876" s="6" t="s">
        <v>52</v>
      </c>
      <c r="F4876" s="6" t="s">
        <v>53</v>
      </c>
      <c r="G4876" s="6" t="s">
        <v>998</v>
      </c>
      <c r="H4876" s="6" t="s">
        <v>999</v>
      </c>
      <c r="I4876" s="6" t="s">
        <v>31</v>
      </c>
      <c r="J4876" s="6">
        <v>16.792684438293001</v>
      </c>
      <c r="K4876" s="6">
        <v>-96.387380179999994</v>
      </c>
      <c r="L4876" s="6" t="str">
        <f>HYPERLINK("https://maps.google.com/?q=16.7926844382935,-96.387380179999994", "🔗 Ver Mapa")</f>
        <v>🔗 Ver Mapa</v>
      </c>
    </row>
    <row r="4877" spans="1:12" ht="43.5" x14ac:dyDescent="0.35">
      <c r="A4877" s="5" t="s">
        <v>98</v>
      </c>
      <c r="B4877" s="5" t="s">
        <v>99</v>
      </c>
      <c r="C4877" s="5" t="s">
        <v>997</v>
      </c>
      <c r="D4877" s="5" t="s">
        <v>14</v>
      </c>
      <c r="E4877" s="5" t="s">
        <v>52</v>
      </c>
      <c r="F4877" s="5" t="s">
        <v>53</v>
      </c>
      <c r="G4877" s="5" t="s">
        <v>998</v>
      </c>
      <c r="H4877" s="5" t="s">
        <v>999</v>
      </c>
      <c r="I4877" s="5" t="s">
        <v>31</v>
      </c>
      <c r="J4877" s="5">
        <v>16.793014059939999</v>
      </c>
      <c r="K4877" s="5">
        <v>-96.386749392434993</v>
      </c>
      <c r="L4877" s="5" t="str">
        <f>HYPERLINK("https://maps.google.com/?q=16.7930140599401,-96.386749392435405", "🔗 Ver Mapa")</f>
        <v>🔗 Ver Mapa</v>
      </c>
    </row>
    <row r="4878" spans="1:12" ht="43.5" x14ac:dyDescent="0.35">
      <c r="A4878" s="6" t="s">
        <v>98</v>
      </c>
      <c r="B4878" s="6" t="s">
        <v>99</v>
      </c>
      <c r="C4878" s="6" t="s">
        <v>997</v>
      </c>
      <c r="D4878" s="6" t="s">
        <v>14</v>
      </c>
      <c r="E4878" s="6" t="s">
        <v>52</v>
      </c>
      <c r="F4878" s="6" t="s">
        <v>53</v>
      </c>
      <c r="G4878" s="6" t="s">
        <v>998</v>
      </c>
      <c r="H4878" s="6" t="s">
        <v>999</v>
      </c>
      <c r="I4878" s="6" t="s">
        <v>31</v>
      </c>
      <c r="J4878" s="6">
        <v>16.793110706232</v>
      </c>
      <c r="K4878" s="6">
        <v>-96.392442850923004</v>
      </c>
      <c r="L4878" s="6" t="str">
        <f>HYPERLINK("https://maps.google.com/?q=16.7931107062324,-96.392442850922507", "🔗 Ver Mapa")</f>
        <v>🔗 Ver Mapa</v>
      </c>
    </row>
    <row r="4879" spans="1:12" ht="43.5" x14ac:dyDescent="0.35">
      <c r="A4879" s="5" t="s">
        <v>98</v>
      </c>
      <c r="B4879" s="5" t="s">
        <v>99</v>
      </c>
      <c r="C4879" s="5" t="s">
        <v>997</v>
      </c>
      <c r="D4879" s="5" t="s">
        <v>14</v>
      </c>
      <c r="E4879" s="5" t="s">
        <v>52</v>
      </c>
      <c r="F4879" s="5" t="s">
        <v>53</v>
      </c>
      <c r="G4879" s="5" t="s">
        <v>998</v>
      </c>
      <c r="H4879" s="5" t="s">
        <v>999</v>
      </c>
      <c r="I4879" s="5" t="s">
        <v>31</v>
      </c>
      <c r="J4879" s="5">
        <v>16.793333540431998</v>
      </c>
      <c r="K4879" s="5">
        <v>-96.393279688139003</v>
      </c>
      <c r="L4879" s="5" t="str">
        <f>HYPERLINK("https://maps.google.com/?q=16.7933335404317,-96.393279688139003", "🔗 Ver Mapa")</f>
        <v>🔗 Ver Mapa</v>
      </c>
    </row>
    <row r="4880" spans="1:12" ht="43.5" x14ac:dyDescent="0.35">
      <c r="A4880" s="6" t="s">
        <v>98</v>
      </c>
      <c r="B4880" s="6" t="s">
        <v>99</v>
      </c>
      <c r="C4880" s="6" t="s">
        <v>997</v>
      </c>
      <c r="D4880" s="6" t="s">
        <v>14</v>
      </c>
      <c r="E4880" s="6" t="s">
        <v>52</v>
      </c>
      <c r="F4880" s="6" t="s">
        <v>53</v>
      </c>
      <c r="G4880" s="6" t="s">
        <v>998</v>
      </c>
      <c r="H4880" s="6" t="s">
        <v>999</v>
      </c>
      <c r="I4880" s="6" t="s">
        <v>31</v>
      </c>
      <c r="J4880" s="6">
        <v>16.793393538274</v>
      </c>
      <c r="K4880" s="6">
        <v>-96.393391379999997</v>
      </c>
      <c r="L4880" s="6" t="str">
        <f>HYPERLINK("https://maps.google.com/?q=16.7933935382742,-96.393391380000494", "🔗 Ver Mapa")</f>
        <v>🔗 Ver Mapa</v>
      </c>
    </row>
    <row r="4881" spans="1:12" ht="43.5" x14ac:dyDescent="0.35">
      <c r="A4881" s="5" t="s">
        <v>98</v>
      </c>
      <c r="B4881" s="5" t="s">
        <v>99</v>
      </c>
      <c r="C4881" s="5" t="s">
        <v>997</v>
      </c>
      <c r="D4881" s="5" t="s">
        <v>14</v>
      </c>
      <c r="E4881" s="5" t="s">
        <v>52</v>
      </c>
      <c r="F4881" s="5" t="s">
        <v>53</v>
      </c>
      <c r="G4881" s="5" t="s">
        <v>998</v>
      </c>
      <c r="H4881" s="5" t="s">
        <v>999</v>
      </c>
      <c r="I4881" s="5" t="s">
        <v>31</v>
      </c>
      <c r="J4881" s="5">
        <v>16.793508152190999</v>
      </c>
      <c r="K4881" s="5">
        <v>-96.393091933508003</v>
      </c>
      <c r="L4881" s="5" t="str">
        <f>HYPERLINK("https://maps.google.com/?q=16.7935081521908,-96.393091933507705", "🔗 Ver Mapa")</f>
        <v>🔗 Ver Mapa</v>
      </c>
    </row>
    <row r="4882" spans="1:12" ht="43.5" x14ac:dyDescent="0.35">
      <c r="A4882" s="6" t="s">
        <v>98</v>
      </c>
      <c r="B4882" s="6" t="s">
        <v>99</v>
      </c>
      <c r="C4882" s="6" t="s">
        <v>997</v>
      </c>
      <c r="D4882" s="6" t="s">
        <v>14</v>
      </c>
      <c r="E4882" s="6" t="s">
        <v>52</v>
      </c>
      <c r="F4882" s="6" t="s">
        <v>53</v>
      </c>
      <c r="G4882" s="6" t="s">
        <v>998</v>
      </c>
      <c r="H4882" s="6" t="s">
        <v>999</v>
      </c>
      <c r="I4882" s="6" t="s">
        <v>31</v>
      </c>
      <c r="J4882" s="6">
        <v>16.793984607009001</v>
      </c>
      <c r="K4882" s="6">
        <v>-96.401642677791997</v>
      </c>
      <c r="L4882" s="6" t="str">
        <f>HYPERLINK("https://maps.google.com/?q=16.7939846070089,-96.401642677791898", "🔗 Ver Mapa")</f>
        <v>🔗 Ver Mapa</v>
      </c>
    </row>
    <row r="4883" spans="1:12" ht="43.5" x14ac:dyDescent="0.35">
      <c r="A4883" s="5" t="s">
        <v>98</v>
      </c>
      <c r="B4883" s="5" t="s">
        <v>99</v>
      </c>
      <c r="C4883" s="5" t="s">
        <v>997</v>
      </c>
      <c r="D4883" s="5" t="s">
        <v>14</v>
      </c>
      <c r="E4883" s="5" t="s">
        <v>52</v>
      </c>
      <c r="F4883" s="5" t="s">
        <v>53</v>
      </c>
      <c r="G4883" s="5" t="s">
        <v>998</v>
      </c>
      <c r="H4883" s="5" t="s">
        <v>999</v>
      </c>
      <c r="I4883" s="5" t="s">
        <v>31</v>
      </c>
      <c r="J4883" s="5">
        <v>16.794480282634002</v>
      </c>
      <c r="K4883" s="5">
        <v>-96.392674392149999</v>
      </c>
      <c r="L4883" s="5" t="str">
        <f>HYPERLINK("https://maps.google.com/?q=16.7944802826338,-96.392674392149601", "🔗 Ver Mapa")</f>
        <v>🔗 Ver Mapa</v>
      </c>
    </row>
    <row r="4884" spans="1:12" ht="43.5" x14ac:dyDescent="0.35">
      <c r="A4884" s="6" t="s">
        <v>98</v>
      </c>
      <c r="B4884" s="6" t="s">
        <v>99</v>
      </c>
      <c r="C4884" s="6" t="s">
        <v>997</v>
      </c>
      <c r="D4884" s="6" t="s">
        <v>14</v>
      </c>
      <c r="E4884" s="6" t="s">
        <v>52</v>
      </c>
      <c r="F4884" s="6" t="s">
        <v>53</v>
      </c>
      <c r="G4884" s="6" t="s">
        <v>998</v>
      </c>
      <c r="H4884" s="6" t="s">
        <v>999</v>
      </c>
      <c r="I4884" s="6" t="s">
        <v>31</v>
      </c>
      <c r="J4884" s="6">
        <v>16.79454298384</v>
      </c>
      <c r="K4884" s="6">
        <v>-96.390238064344004</v>
      </c>
      <c r="L4884" s="6" t="str">
        <f>HYPERLINK("https://maps.google.com/?q=16.7945429838397,-96.390238064344004", "🔗 Ver Mapa")</f>
        <v>🔗 Ver Mapa</v>
      </c>
    </row>
    <row r="4885" spans="1:12" ht="43.5" x14ac:dyDescent="0.35">
      <c r="A4885" s="5" t="s">
        <v>98</v>
      </c>
      <c r="B4885" s="5" t="s">
        <v>99</v>
      </c>
      <c r="C4885" s="5" t="s">
        <v>997</v>
      </c>
      <c r="D4885" s="5" t="s">
        <v>14</v>
      </c>
      <c r="E4885" s="5" t="s">
        <v>52</v>
      </c>
      <c r="F4885" s="5" t="s">
        <v>53</v>
      </c>
      <c r="G4885" s="5" t="s">
        <v>998</v>
      </c>
      <c r="H4885" s="5" t="s">
        <v>999</v>
      </c>
      <c r="I4885" s="5" t="s">
        <v>31</v>
      </c>
      <c r="J4885" s="5">
        <v>16.794793554666001</v>
      </c>
      <c r="K4885" s="5">
        <v>-96.400973146843</v>
      </c>
      <c r="L4885" s="5" t="str">
        <f>HYPERLINK("https://maps.google.com/?q=16.7947935546658,-96.400973146843299", "🔗 Ver Mapa")</f>
        <v>🔗 Ver Mapa</v>
      </c>
    </row>
    <row r="4886" spans="1:12" ht="43.5" x14ac:dyDescent="0.35">
      <c r="A4886" s="6" t="s">
        <v>98</v>
      </c>
      <c r="B4886" s="6" t="s">
        <v>99</v>
      </c>
      <c r="C4886" s="6" t="s">
        <v>997</v>
      </c>
      <c r="D4886" s="6" t="s">
        <v>14</v>
      </c>
      <c r="E4886" s="6" t="s">
        <v>52</v>
      </c>
      <c r="F4886" s="6" t="s">
        <v>53</v>
      </c>
      <c r="G4886" s="6" t="s">
        <v>998</v>
      </c>
      <c r="H4886" s="6" t="s">
        <v>999</v>
      </c>
      <c r="I4886" s="6" t="s">
        <v>31</v>
      </c>
      <c r="J4886" s="6">
        <v>16.79554822926</v>
      </c>
      <c r="K4886" s="6">
        <v>-96.390926607791997</v>
      </c>
      <c r="L4886" s="6" t="str">
        <f>HYPERLINK("https://maps.google.com/?q=16.7955482292604,-96.390926607791599", "🔗 Ver Mapa")</f>
        <v>🔗 Ver Mapa</v>
      </c>
    </row>
    <row r="4887" spans="1:12" ht="43.5" x14ac:dyDescent="0.35">
      <c r="A4887" s="5" t="s">
        <v>98</v>
      </c>
      <c r="B4887" s="5" t="s">
        <v>99</v>
      </c>
      <c r="C4887" s="5" t="s">
        <v>997</v>
      </c>
      <c r="D4887" s="5" t="s">
        <v>14</v>
      </c>
      <c r="E4887" s="5" t="s">
        <v>52</v>
      </c>
      <c r="F4887" s="5" t="s">
        <v>53</v>
      </c>
      <c r="G4887" s="5" t="s">
        <v>998</v>
      </c>
      <c r="H4887" s="5" t="s">
        <v>999</v>
      </c>
      <c r="I4887" s="5" t="s">
        <v>31</v>
      </c>
      <c r="J4887" s="5">
        <v>16.796344500389001</v>
      </c>
      <c r="K4887" s="5">
        <v>-96.393208151744005</v>
      </c>
      <c r="L4887" s="5" t="str">
        <f>HYPERLINK("https://maps.google.com/?q=16.796344500389,-96.393208151743906", "🔗 Ver Mapa")</f>
        <v>🔗 Ver Mapa</v>
      </c>
    </row>
    <row r="4888" spans="1:12" ht="43.5" x14ac:dyDescent="0.35">
      <c r="A4888" s="6" t="s">
        <v>98</v>
      </c>
      <c r="B4888" s="6" t="s">
        <v>99</v>
      </c>
      <c r="C4888" s="6" t="s">
        <v>997</v>
      </c>
      <c r="D4888" s="6" t="s">
        <v>14</v>
      </c>
      <c r="E4888" s="6" t="s">
        <v>52</v>
      </c>
      <c r="F4888" s="6" t="s">
        <v>53</v>
      </c>
      <c r="G4888" s="6" t="s">
        <v>998</v>
      </c>
      <c r="H4888" s="6" t="s">
        <v>999</v>
      </c>
      <c r="I4888" s="6" t="s">
        <v>31</v>
      </c>
      <c r="J4888" s="6">
        <v>16.797836140394999</v>
      </c>
      <c r="K4888" s="6">
        <v>-96.399029565583007</v>
      </c>
      <c r="L4888" s="6" t="str">
        <f>HYPERLINK("https://maps.google.com/?q=16.7978361403945,-96.399029565582893", "🔗 Ver Mapa")</f>
        <v>🔗 Ver Mapa</v>
      </c>
    </row>
    <row r="4889" spans="1:12" ht="43.5" x14ac:dyDescent="0.35">
      <c r="A4889" s="5" t="s">
        <v>98</v>
      </c>
      <c r="B4889" s="5" t="s">
        <v>99</v>
      </c>
      <c r="C4889" s="5" t="s">
        <v>997</v>
      </c>
      <c r="D4889" s="5" t="s">
        <v>14</v>
      </c>
      <c r="E4889" s="5" t="s">
        <v>52</v>
      </c>
      <c r="F4889" s="5" t="s">
        <v>53</v>
      </c>
      <c r="G4889" s="5" t="s">
        <v>998</v>
      </c>
      <c r="H4889" s="5" t="s">
        <v>999</v>
      </c>
      <c r="I4889" s="5" t="s">
        <v>31</v>
      </c>
      <c r="J4889" s="5">
        <v>16.799201788118001</v>
      </c>
      <c r="K4889" s="5">
        <v>-96.396216661164004</v>
      </c>
      <c r="L4889" s="5" t="str">
        <f>HYPERLINK("https://maps.google.com/?q=16.7992017881182,-96.396216661164004", "🔗 Ver Mapa")</f>
        <v>🔗 Ver Mapa</v>
      </c>
    </row>
    <row r="4890" spans="1:12" ht="43.5" x14ac:dyDescent="0.35">
      <c r="A4890" s="6" t="s">
        <v>98</v>
      </c>
      <c r="B4890" s="6" t="s">
        <v>99</v>
      </c>
      <c r="C4890" s="6" t="s">
        <v>997</v>
      </c>
      <c r="D4890" s="6" t="s">
        <v>14</v>
      </c>
      <c r="E4890" s="6" t="s">
        <v>52</v>
      </c>
      <c r="F4890" s="6" t="s">
        <v>53</v>
      </c>
      <c r="G4890" s="6" t="s">
        <v>998</v>
      </c>
      <c r="H4890" s="6" t="s">
        <v>999</v>
      </c>
      <c r="I4890" s="6" t="s">
        <v>31</v>
      </c>
      <c r="J4890" s="6">
        <v>16.799351364894999</v>
      </c>
      <c r="K4890" s="6">
        <v>-96.396482203374006</v>
      </c>
      <c r="L4890" s="6" t="str">
        <f>HYPERLINK("https://maps.google.com/?q=16.7993513648949,-96.396482203373793", "🔗 Ver Mapa")</f>
        <v>🔗 Ver Mapa</v>
      </c>
    </row>
    <row r="4891" spans="1:12" ht="43.5" x14ac:dyDescent="0.35">
      <c r="A4891" s="5" t="s">
        <v>98</v>
      </c>
      <c r="B4891" s="5" t="s">
        <v>99</v>
      </c>
      <c r="C4891" s="5" t="s">
        <v>997</v>
      </c>
      <c r="D4891" s="5" t="s">
        <v>14</v>
      </c>
      <c r="E4891" s="5" t="s">
        <v>52</v>
      </c>
      <c r="F4891" s="5" t="s">
        <v>53</v>
      </c>
      <c r="G4891" s="5" t="s">
        <v>998</v>
      </c>
      <c r="H4891" s="5" t="s">
        <v>999</v>
      </c>
      <c r="I4891" s="5" t="s">
        <v>31</v>
      </c>
      <c r="J4891" s="5">
        <v>16.800829729429001</v>
      </c>
      <c r="K4891" s="5">
        <v>-96.390614867636003</v>
      </c>
      <c r="L4891" s="5" t="str">
        <f>HYPERLINK("https://maps.google.com/?q=16.8008297294286,-96.390614867636103", "🔗 Ver Mapa")</f>
        <v>🔗 Ver Mapa</v>
      </c>
    </row>
    <row r="4892" spans="1:12" ht="43.5" x14ac:dyDescent="0.35">
      <c r="A4892" s="6" t="s">
        <v>98</v>
      </c>
      <c r="B4892" s="6" t="s">
        <v>99</v>
      </c>
      <c r="C4892" s="6" t="s">
        <v>997</v>
      </c>
      <c r="D4892" s="6" t="s">
        <v>14</v>
      </c>
      <c r="E4892" s="6" t="s">
        <v>52</v>
      </c>
      <c r="F4892" s="6" t="s">
        <v>53</v>
      </c>
      <c r="G4892" s="6" t="s">
        <v>998</v>
      </c>
      <c r="H4892" s="6" t="s">
        <v>999</v>
      </c>
      <c r="I4892" s="6" t="s">
        <v>31</v>
      </c>
      <c r="J4892" s="6">
        <v>16.801423301419</v>
      </c>
      <c r="K4892" s="6">
        <v>-96.392851484690993</v>
      </c>
      <c r="L4892" s="6" t="str">
        <f>HYPERLINK("https://maps.google.com/?q=16.8014233014189,-96.392851484690894", "🔗 Ver Mapa")</f>
        <v>🔗 Ver Mapa</v>
      </c>
    </row>
    <row r="4893" spans="1:12" ht="43.5" x14ac:dyDescent="0.35">
      <c r="A4893" s="5" t="s">
        <v>98</v>
      </c>
      <c r="B4893" s="5" t="s">
        <v>99</v>
      </c>
      <c r="C4893" s="5" t="s">
        <v>997</v>
      </c>
      <c r="D4893" s="5" t="s">
        <v>14</v>
      </c>
      <c r="E4893" s="5" t="s">
        <v>52</v>
      </c>
      <c r="F4893" s="5" t="s">
        <v>53</v>
      </c>
      <c r="G4893" s="5" t="s">
        <v>998</v>
      </c>
      <c r="H4893" s="5" t="s">
        <v>999</v>
      </c>
      <c r="I4893" s="5" t="s">
        <v>31</v>
      </c>
      <c r="J4893" s="5">
        <v>16.803587010318001</v>
      </c>
      <c r="K4893" s="5">
        <v>-96.394543507791994</v>
      </c>
      <c r="L4893" s="5" t="str">
        <f>HYPERLINK("https://maps.google.com/?q=16.8035870103176,-96.394543507791695", "🔗 Ver Mapa")</f>
        <v>🔗 Ver Mapa</v>
      </c>
    </row>
    <row r="4894" spans="1:12" ht="43.5" x14ac:dyDescent="0.35">
      <c r="A4894" s="6" t="s">
        <v>98</v>
      </c>
      <c r="B4894" s="6" t="s">
        <v>99</v>
      </c>
      <c r="C4894" s="6" t="s">
        <v>997</v>
      </c>
      <c r="D4894" s="6" t="s">
        <v>14</v>
      </c>
      <c r="E4894" s="6" t="s">
        <v>52</v>
      </c>
      <c r="F4894" s="6" t="s">
        <v>53</v>
      </c>
      <c r="G4894" s="6" t="s">
        <v>998</v>
      </c>
      <c r="H4894" s="6" t="s">
        <v>999</v>
      </c>
      <c r="I4894" s="6" t="s">
        <v>31</v>
      </c>
      <c r="J4894" s="6">
        <v>16.804097986576</v>
      </c>
      <c r="K4894" s="6">
        <v>-96.394676277900999</v>
      </c>
      <c r="L4894" s="6" t="str">
        <f>HYPERLINK("https://maps.google.com/?q=16.8040979865761,-96.3946762779007", "🔗 Ver Mapa")</f>
        <v>🔗 Ver Mapa</v>
      </c>
    </row>
    <row r="4895" spans="1:12" ht="43.5" x14ac:dyDescent="0.35">
      <c r="A4895" s="5" t="s">
        <v>98</v>
      </c>
      <c r="B4895" s="5" t="s">
        <v>99</v>
      </c>
      <c r="C4895" s="5" t="s">
        <v>997</v>
      </c>
      <c r="D4895" s="5" t="s">
        <v>14</v>
      </c>
      <c r="E4895" s="5" t="s">
        <v>52</v>
      </c>
      <c r="F4895" s="5" t="s">
        <v>53</v>
      </c>
      <c r="G4895" s="5" t="s">
        <v>998</v>
      </c>
      <c r="H4895" s="5" t="s">
        <v>999</v>
      </c>
      <c r="I4895" s="5" t="s">
        <v>31</v>
      </c>
      <c r="J4895" s="5">
        <v>16.804741912634999</v>
      </c>
      <c r="K4895" s="5">
        <v>-96.398720365583003</v>
      </c>
      <c r="L4895" s="5" t="str">
        <f>HYPERLINK("https://maps.google.com/?q=16.8047419126354,-96.398720365582705", "🔗 Ver Mapa")</f>
        <v>🔗 Ver Mapa</v>
      </c>
    </row>
    <row r="4896" spans="1:12" ht="43.5" x14ac:dyDescent="0.35">
      <c r="A4896" s="6" t="s">
        <v>98</v>
      </c>
      <c r="B4896" s="6" t="s">
        <v>99</v>
      </c>
      <c r="C4896" s="6" t="s">
        <v>997</v>
      </c>
      <c r="D4896" s="6" t="s">
        <v>14</v>
      </c>
      <c r="E4896" s="6" t="s">
        <v>52</v>
      </c>
      <c r="F4896" s="6" t="s">
        <v>53</v>
      </c>
      <c r="G4896" s="6" t="s">
        <v>998</v>
      </c>
      <c r="H4896" s="6" t="s">
        <v>999</v>
      </c>
      <c r="I4896" s="6" t="s">
        <v>31</v>
      </c>
      <c r="J4896" s="6">
        <v>16.808017136446999</v>
      </c>
      <c r="K4896" s="6">
        <v>-96.390670987790998</v>
      </c>
      <c r="L4896" s="6" t="str">
        <f>HYPERLINK("https://maps.google.com/?q=16.8080171364473,-96.390670987791395", "🔗 Ver Mapa")</f>
        <v>🔗 Ver Mapa</v>
      </c>
    </row>
    <row r="4897" spans="1:12" ht="43.5" x14ac:dyDescent="0.35">
      <c r="A4897" s="5" t="s">
        <v>98</v>
      </c>
      <c r="B4897" s="5" t="s">
        <v>99</v>
      </c>
      <c r="C4897" s="5" t="s">
        <v>1000</v>
      </c>
      <c r="D4897" s="5" t="s">
        <v>14</v>
      </c>
      <c r="E4897" s="5" t="s">
        <v>110</v>
      </c>
      <c r="F4897" s="5" t="s">
        <v>111</v>
      </c>
      <c r="G4897" s="5" t="s">
        <v>1001</v>
      </c>
      <c r="H4897" s="5" t="s">
        <v>1002</v>
      </c>
      <c r="I4897" s="5" t="s">
        <v>31</v>
      </c>
      <c r="J4897" s="5">
        <v>18.028248000000001</v>
      </c>
      <c r="K4897" s="5">
        <v>-96.664038000000005</v>
      </c>
      <c r="L4897" s="5" t="str">
        <f>HYPERLINK("https://maps.google.com/?q=18.028248,-96.664038000000005", "🔗 Ver Mapa")</f>
        <v>🔗 Ver Mapa</v>
      </c>
    </row>
    <row r="4898" spans="1:12" ht="43.5" x14ac:dyDescent="0.35">
      <c r="A4898" s="6" t="s">
        <v>98</v>
      </c>
      <c r="B4898" s="6" t="s">
        <v>99</v>
      </c>
      <c r="C4898" s="6" t="s">
        <v>1000</v>
      </c>
      <c r="D4898" s="6" t="s">
        <v>14</v>
      </c>
      <c r="E4898" s="6" t="s">
        <v>110</v>
      </c>
      <c r="F4898" s="6" t="s">
        <v>111</v>
      </c>
      <c r="G4898" s="6" t="s">
        <v>1001</v>
      </c>
      <c r="H4898" s="6" t="s">
        <v>1002</v>
      </c>
      <c r="I4898" s="6" t="s">
        <v>31</v>
      </c>
      <c r="J4898" s="6">
        <v>18.028507000000001</v>
      </c>
      <c r="K4898" s="6">
        <v>-96.665893999999994</v>
      </c>
      <c r="L4898" s="6" t="str">
        <f>HYPERLINK("https://maps.google.com/?q=18.028507,-96.665893999999994", "🔗 Ver Mapa")</f>
        <v>🔗 Ver Mapa</v>
      </c>
    </row>
    <row r="4899" spans="1:12" ht="43.5" x14ac:dyDescent="0.35">
      <c r="A4899" s="5" t="s">
        <v>98</v>
      </c>
      <c r="B4899" s="5" t="s">
        <v>99</v>
      </c>
      <c r="C4899" s="5" t="s">
        <v>1000</v>
      </c>
      <c r="D4899" s="5" t="s">
        <v>14</v>
      </c>
      <c r="E4899" s="5" t="s">
        <v>110</v>
      </c>
      <c r="F4899" s="5" t="s">
        <v>111</v>
      </c>
      <c r="G4899" s="5" t="s">
        <v>1001</v>
      </c>
      <c r="H4899" s="5" t="s">
        <v>1002</v>
      </c>
      <c r="I4899" s="5" t="s">
        <v>31</v>
      </c>
      <c r="J4899" s="5">
        <v>18.029209999999999</v>
      </c>
      <c r="K4899" s="5">
        <v>-96.665215000000003</v>
      </c>
      <c r="L4899" s="5" t="str">
        <f>HYPERLINK("https://maps.google.com/?q=18.02921,-96.665215000000003", "🔗 Ver Mapa")</f>
        <v>🔗 Ver Mapa</v>
      </c>
    </row>
    <row r="4900" spans="1:12" ht="43.5" x14ac:dyDescent="0.35">
      <c r="A4900" s="6" t="s">
        <v>98</v>
      </c>
      <c r="B4900" s="6" t="s">
        <v>99</v>
      </c>
      <c r="C4900" s="6" t="s">
        <v>1000</v>
      </c>
      <c r="D4900" s="6" t="s">
        <v>14</v>
      </c>
      <c r="E4900" s="6" t="s">
        <v>110</v>
      </c>
      <c r="F4900" s="6" t="s">
        <v>111</v>
      </c>
      <c r="G4900" s="6" t="s">
        <v>1001</v>
      </c>
      <c r="H4900" s="6" t="s">
        <v>1002</v>
      </c>
      <c r="I4900" s="6" t="s">
        <v>31</v>
      </c>
      <c r="J4900" s="6">
        <v>18.029389435089001</v>
      </c>
      <c r="K4900" s="6">
        <v>-96.666717989616998</v>
      </c>
      <c r="L4900" s="6" t="str">
        <f>HYPERLINK("https://maps.google.com/?q=18.0293894350891,-96.666717989616899", "🔗 Ver Mapa")</f>
        <v>🔗 Ver Mapa</v>
      </c>
    </row>
    <row r="4901" spans="1:12" ht="43.5" x14ac:dyDescent="0.35">
      <c r="A4901" s="5" t="s">
        <v>98</v>
      </c>
      <c r="B4901" s="5" t="s">
        <v>99</v>
      </c>
      <c r="C4901" s="5" t="s">
        <v>1000</v>
      </c>
      <c r="D4901" s="5" t="s">
        <v>14</v>
      </c>
      <c r="E4901" s="5" t="s">
        <v>110</v>
      </c>
      <c r="F4901" s="5" t="s">
        <v>111</v>
      </c>
      <c r="G4901" s="5" t="s">
        <v>1001</v>
      </c>
      <c r="H4901" s="5" t="s">
        <v>1002</v>
      </c>
      <c r="I4901" s="5" t="s">
        <v>31</v>
      </c>
      <c r="J4901" s="5">
        <v>18.030011757665999</v>
      </c>
      <c r="K4901" s="5">
        <v>-96.669899089507993</v>
      </c>
      <c r="L4901" s="5" t="str">
        <f>HYPERLINK("https://maps.google.com/?q=18.0300117576662,-96.669899089507595", "🔗 Ver Mapa")</f>
        <v>🔗 Ver Mapa</v>
      </c>
    </row>
    <row r="4902" spans="1:12" ht="43.5" x14ac:dyDescent="0.35">
      <c r="A4902" s="6" t="s">
        <v>98</v>
      </c>
      <c r="B4902" s="6" t="s">
        <v>99</v>
      </c>
      <c r="C4902" s="6" t="s">
        <v>1000</v>
      </c>
      <c r="D4902" s="6" t="s">
        <v>14</v>
      </c>
      <c r="E4902" s="6" t="s">
        <v>110</v>
      </c>
      <c r="F4902" s="6" t="s">
        <v>111</v>
      </c>
      <c r="G4902" s="6" t="s">
        <v>1001</v>
      </c>
      <c r="H4902" s="6" t="s">
        <v>1002</v>
      </c>
      <c r="I4902" s="6" t="s">
        <v>31</v>
      </c>
      <c r="J4902" s="6">
        <v>18.030187261384999</v>
      </c>
      <c r="K4902" s="6">
        <v>-96.666625271162005</v>
      </c>
      <c r="L4902" s="6" t="str">
        <f>HYPERLINK("https://maps.google.com/?q=18.0301872613853,-96.666625271162303", "🔗 Ver Mapa")</f>
        <v>🔗 Ver Mapa</v>
      </c>
    </row>
    <row r="4903" spans="1:12" ht="43.5" x14ac:dyDescent="0.35">
      <c r="A4903" s="5" t="s">
        <v>98</v>
      </c>
      <c r="B4903" s="5" t="s">
        <v>99</v>
      </c>
      <c r="C4903" s="5" t="s">
        <v>1000</v>
      </c>
      <c r="D4903" s="5" t="s">
        <v>14</v>
      </c>
      <c r="E4903" s="5" t="s">
        <v>110</v>
      </c>
      <c r="F4903" s="5" t="s">
        <v>111</v>
      </c>
      <c r="G4903" s="5" t="s">
        <v>1001</v>
      </c>
      <c r="H4903" s="5" t="s">
        <v>1002</v>
      </c>
      <c r="I4903" s="5" t="s">
        <v>31</v>
      </c>
      <c r="J4903" s="5">
        <v>18.030356000000001</v>
      </c>
      <c r="K4903" s="5">
        <v>-96.673910000000006</v>
      </c>
      <c r="L4903" s="5" t="str">
        <f>HYPERLINK("https://maps.google.com/?q=18.030356,-96.673910000000006", "🔗 Ver Mapa")</f>
        <v>🔗 Ver Mapa</v>
      </c>
    </row>
    <row r="4904" spans="1:12" ht="43.5" x14ac:dyDescent="0.35">
      <c r="A4904" s="6" t="s">
        <v>98</v>
      </c>
      <c r="B4904" s="6" t="s">
        <v>99</v>
      </c>
      <c r="C4904" s="6" t="s">
        <v>1000</v>
      </c>
      <c r="D4904" s="6" t="s">
        <v>14</v>
      </c>
      <c r="E4904" s="6" t="s">
        <v>110</v>
      </c>
      <c r="F4904" s="6" t="s">
        <v>111</v>
      </c>
      <c r="G4904" s="6" t="s">
        <v>1001</v>
      </c>
      <c r="H4904" s="6" t="s">
        <v>1002</v>
      </c>
      <c r="I4904" s="6" t="s">
        <v>31</v>
      </c>
      <c r="J4904" s="6">
        <v>18.030396444352998</v>
      </c>
      <c r="K4904" s="6">
        <v>-96.669471737433994</v>
      </c>
      <c r="L4904" s="6" t="str">
        <f>HYPERLINK("https://maps.google.com/?q=18.0303964443527,-96.669471737434293", "🔗 Ver Mapa")</f>
        <v>🔗 Ver Mapa</v>
      </c>
    </row>
    <row r="4905" spans="1:12" ht="43.5" x14ac:dyDescent="0.35">
      <c r="A4905" s="5" t="s">
        <v>98</v>
      </c>
      <c r="B4905" s="5" t="s">
        <v>99</v>
      </c>
      <c r="C4905" s="5" t="s">
        <v>1000</v>
      </c>
      <c r="D4905" s="5" t="s">
        <v>14</v>
      </c>
      <c r="E4905" s="5" t="s">
        <v>110</v>
      </c>
      <c r="F4905" s="5" t="s">
        <v>111</v>
      </c>
      <c r="G4905" s="5" t="s">
        <v>1001</v>
      </c>
      <c r="H4905" s="5" t="s">
        <v>1002</v>
      </c>
      <c r="I4905" s="5" t="s">
        <v>31</v>
      </c>
      <c r="J4905" s="5">
        <v>18.030526519411001</v>
      </c>
      <c r="K4905" s="5">
        <v>-96.672687706041998</v>
      </c>
      <c r="L4905" s="5" t="str">
        <f>HYPERLINK("https://maps.google.com/?q=18.0305265194111,-96.672687706042197", "🔗 Ver Mapa")</f>
        <v>🔗 Ver Mapa</v>
      </c>
    </row>
    <row r="4906" spans="1:12" ht="43.5" x14ac:dyDescent="0.35">
      <c r="A4906" s="6" t="s">
        <v>98</v>
      </c>
      <c r="B4906" s="6" t="s">
        <v>99</v>
      </c>
      <c r="C4906" s="6" t="s">
        <v>1000</v>
      </c>
      <c r="D4906" s="6" t="s">
        <v>14</v>
      </c>
      <c r="E4906" s="6" t="s">
        <v>110</v>
      </c>
      <c r="F4906" s="6" t="s">
        <v>111</v>
      </c>
      <c r="G4906" s="6" t="s">
        <v>1001</v>
      </c>
      <c r="H4906" s="6" t="s">
        <v>1002</v>
      </c>
      <c r="I4906" s="6" t="s">
        <v>31</v>
      </c>
      <c r="J4906" s="6">
        <v>18.030702999999999</v>
      </c>
      <c r="K4906" s="6">
        <v>-96.672604000000007</v>
      </c>
      <c r="L4906" s="6" t="str">
        <f>HYPERLINK("https://maps.google.com/?q=18.030703,-96.672604000000007", "🔗 Ver Mapa")</f>
        <v>🔗 Ver Mapa</v>
      </c>
    </row>
    <row r="4907" spans="1:12" ht="43.5" x14ac:dyDescent="0.35">
      <c r="A4907" s="5" t="s">
        <v>98</v>
      </c>
      <c r="B4907" s="5" t="s">
        <v>99</v>
      </c>
      <c r="C4907" s="5" t="s">
        <v>1000</v>
      </c>
      <c r="D4907" s="5" t="s">
        <v>14</v>
      </c>
      <c r="E4907" s="5" t="s">
        <v>110</v>
      </c>
      <c r="F4907" s="5" t="s">
        <v>111</v>
      </c>
      <c r="G4907" s="5" t="s">
        <v>1001</v>
      </c>
      <c r="H4907" s="5" t="s">
        <v>1002</v>
      </c>
      <c r="I4907" s="5" t="s">
        <v>31</v>
      </c>
      <c r="J4907" s="5">
        <v>18.031192999999998</v>
      </c>
      <c r="K4907" s="5">
        <v>-96.667754000000002</v>
      </c>
      <c r="L4907" s="5" t="str">
        <f>HYPERLINK("https://maps.google.com/?q=18.031193,-96.667754000000002", "🔗 Ver Mapa")</f>
        <v>🔗 Ver Mapa</v>
      </c>
    </row>
    <row r="4908" spans="1:12" ht="43.5" x14ac:dyDescent="0.35">
      <c r="A4908" s="6" t="s">
        <v>98</v>
      </c>
      <c r="B4908" s="6" t="s">
        <v>99</v>
      </c>
      <c r="C4908" s="6" t="s">
        <v>1000</v>
      </c>
      <c r="D4908" s="6" t="s">
        <v>14</v>
      </c>
      <c r="E4908" s="6" t="s">
        <v>110</v>
      </c>
      <c r="F4908" s="6" t="s">
        <v>111</v>
      </c>
      <c r="G4908" s="6" t="s">
        <v>1001</v>
      </c>
      <c r="H4908" s="6" t="s">
        <v>1002</v>
      </c>
      <c r="I4908" s="6" t="s">
        <v>31</v>
      </c>
      <c r="J4908" s="6">
        <v>18.031241999999999</v>
      </c>
      <c r="K4908" s="6">
        <v>-96.672393999999997</v>
      </c>
      <c r="L4908" s="6" t="str">
        <f>HYPERLINK("https://maps.google.com/?q=18.031242,-96.672393999999997", "🔗 Ver Mapa")</f>
        <v>🔗 Ver Mapa</v>
      </c>
    </row>
    <row r="4909" spans="1:12" ht="43.5" x14ac:dyDescent="0.35">
      <c r="A4909" s="5" t="s">
        <v>98</v>
      </c>
      <c r="B4909" s="5" t="s">
        <v>99</v>
      </c>
      <c r="C4909" s="5" t="s">
        <v>1000</v>
      </c>
      <c r="D4909" s="5" t="s">
        <v>14</v>
      </c>
      <c r="E4909" s="5" t="s">
        <v>110</v>
      </c>
      <c r="F4909" s="5" t="s">
        <v>111</v>
      </c>
      <c r="G4909" s="5" t="s">
        <v>1001</v>
      </c>
      <c r="H4909" s="5" t="s">
        <v>1002</v>
      </c>
      <c r="I4909" s="5" t="s">
        <v>31</v>
      </c>
      <c r="J4909" s="5">
        <v>18.031282999999998</v>
      </c>
      <c r="K4909" s="5">
        <v>-96.671795000000003</v>
      </c>
      <c r="L4909" s="5" t="str">
        <f>HYPERLINK("https://maps.google.com/?q=18.031283,-96.671795000000003", "🔗 Ver Mapa")</f>
        <v>🔗 Ver Mapa</v>
      </c>
    </row>
    <row r="4910" spans="1:12" ht="43.5" x14ac:dyDescent="0.35">
      <c r="A4910" s="6" t="s">
        <v>98</v>
      </c>
      <c r="B4910" s="6" t="s">
        <v>99</v>
      </c>
      <c r="C4910" s="6" t="s">
        <v>1000</v>
      </c>
      <c r="D4910" s="6" t="s">
        <v>14</v>
      </c>
      <c r="E4910" s="6" t="s">
        <v>110</v>
      </c>
      <c r="F4910" s="6" t="s">
        <v>111</v>
      </c>
      <c r="G4910" s="6" t="s">
        <v>1001</v>
      </c>
      <c r="H4910" s="6" t="s">
        <v>1002</v>
      </c>
      <c r="I4910" s="6" t="s">
        <v>31</v>
      </c>
      <c r="J4910" s="6">
        <v>18.031311121354001</v>
      </c>
      <c r="K4910" s="6">
        <v>-96.668003289582003</v>
      </c>
      <c r="L4910" s="6" t="str">
        <f>HYPERLINK("https://maps.google.com/?q=18.0313111213535,-96.668003289582302", "🔗 Ver Mapa")</f>
        <v>🔗 Ver Mapa</v>
      </c>
    </row>
    <row r="4911" spans="1:12" ht="43.5" x14ac:dyDescent="0.35">
      <c r="A4911" s="5" t="s">
        <v>98</v>
      </c>
      <c r="B4911" s="5" t="s">
        <v>99</v>
      </c>
      <c r="C4911" s="5" t="s">
        <v>1000</v>
      </c>
      <c r="D4911" s="5" t="s">
        <v>14</v>
      </c>
      <c r="E4911" s="5" t="s">
        <v>110</v>
      </c>
      <c r="F4911" s="5" t="s">
        <v>111</v>
      </c>
      <c r="G4911" s="5" t="s">
        <v>1001</v>
      </c>
      <c r="H4911" s="5" t="s">
        <v>1002</v>
      </c>
      <c r="I4911" s="5" t="s">
        <v>31</v>
      </c>
      <c r="J4911" s="5">
        <v>18.031590000000001</v>
      </c>
      <c r="K4911" s="5">
        <v>-96.666118999999995</v>
      </c>
      <c r="L4911" s="5" t="str">
        <f>HYPERLINK("https://maps.google.com/?q=18.03159,-96.666118999999995", "🔗 Ver Mapa")</f>
        <v>🔗 Ver Mapa</v>
      </c>
    </row>
    <row r="4912" spans="1:12" ht="43.5" x14ac:dyDescent="0.35">
      <c r="A4912" s="6" t="s">
        <v>98</v>
      </c>
      <c r="B4912" s="6" t="s">
        <v>99</v>
      </c>
      <c r="C4912" s="6" t="s">
        <v>1000</v>
      </c>
      <c r="D4912" s="6" t="s">
        <v>14</v>
      </c>
      <c r="E4912" s="6" t="s">
        <v>110</v>
      </c>
      <c r="F4912" s="6" t="s">
        <v>111</v>
      </c>
      <c r="G4912" s="6" t="s">
        <v>1001</v>
      </c>
      <c r="H4912" s="6" t="s">
        <v>1002</v>
      </c>
      <c r="I4912" s="6" t="s">
        <v>31</v>
      </c>
      <c r="J4912" s="6">
        <v>18.031703013053001</v>
      </c>
      <c r="K4912" s="6">
        <v>-96.673488574237993</v>
      </c>
      <c r="L4912" s="6" t="str">
        <f>HYPERLINK("https://maps.google.com/?q=18.0317030130533,-96.673488574237993", "🔗 Ver Mapa")</f>
        <v>🔗 Ver Mapa</v>
      </c>
    </row>
    <row r="4913" spans="1:12" ht="43.5" x14ac:dyDescent="0.35">
      <c r="A4913" s="5" t="s">
        <v>98</v>
      </c>
      <c r="B4913" s="5" t="s">
        <v>99</v>
      </c>
      <c r="C4913" s="5" t="s">
        <v>1000</v>
      </c>
      <c r="D4913" s="5" t="s">
        <v>14</v>
      </c>
      <c r="E4913" s="5" t="s">
        <v>110</v>
      </c>
      <c r="F4913" s="5" t="s">
        <v>111</v>
      </c>
      <c r="G4913" s="5" t="s">
        <v>1001</v>
      </c>
      <c r="H4913" s="5" t="s">
        <v>1002</v>
      </c>
      <c r="I4913" s="5" t="s">
        <v>31</v>
      </c>
      <c r="J4913" s="5">
        <v>18.031737366729999</v>
      </c>
      <c r="K4913" s="5">
        <v>-96.670625877313995</v>
      </c>
      <c r="L4913" s="5" t="str">
        <f>HYPERLINK("https://maps.google.com/?q=18.0317373667304,-96.670625877313796", "🔗 Ver Mapa")</f>
        <v>🔗 Ver Mapa</v>
      </c>
    </row>
    <row r="4914" spans="1:12" ht="43.5" x14ac:dyDescent="0.35">
      <c r="A4914" s="6" t="s">
        <v>98</v>
      </c>
      <c r="B4914" s="6" t="s">
        <v>99</v>
      </c>
      <c r="C4914" s="6" t="s">
        <v>1000</v>
      </c>
      <c r="D4914" s="6" t="s">
        <v>14</v>
      </c>
      <c r="E4914" s="6" t="s">
        <v>110</v>
      </c>
      <c r="F4914" s="6" t="s">
        <v>111</v>
      </c>
      <c r="G4914" s="6" t="s">
        <v>1001</v>
      </c>
      <c r="H4914" s="6" t="s">
        <v>1002</v>
      </c>
      <c r="I4914" s="6" t="s">
        <v>31</v>
      </c>
      <c r="J4914" s="6">
        <v>18.031824</v>
      </c>
      <c r="K4914" s="6">
        <v>-96.668214000000006</v>
      </c>
      <c r="L4914" s="6" t="str">
        <f>HYPERLINK("https://maps.google.com/?q=18.031824,-96.668214000000006", "🔗 Ver Mapa")</f>
        <v>🔗 Ver Mapa</v>
      </c>
    </row>
    <row r="4915" spans="1:12" ht="43.5" x14ac:dyDescent="0.35">
      <c r="A4915" s="5" t="s">
        <v>98</v>
      </c>
      <c r="B4915" s="5" t="s">
        <v>99</v>
      </c>
      <c r="C4915" s="5" t="s">
        <v>1000</v>
      </c>
      <c r="D4915" s="5" t="s">
        <v>14</v>
      </c>
      <c r="E4915" s="5" t="s">
        <v>110</v>
      </c>
      <c r="F4915" s="5" t="s">
        <v>111</v>
      </c>
      <c r="G4915" s="5" t="s">
        <v>1001</v>
      </c>
      <c r="H4915" s="5" t="s">
        <v>1002</v>
      </c>
      <c r="I4915" s="5" t="s">
        <v>31</v>
      </c>
      <c r="J4915" s="5">
        <v>18.031859000000001</v>
      </c>
      <c r="K4915" s="5">
        <v>-96.666214999999994</v>
      </c>
      <c r="L4915" s="5" t="str">
        <f>HYPERLINK("https://maps.google.com/?q=18.031859,-96.666214999999994", "🔗 Ver Mapa")</f>
        <v>🔗 Ver Mapa</v>
      </c>
    </row>
    <row r="4916" spans="1:12" ht="43.5" x14ac:dyDescent="0.35">
      <c r="A4916" s="6" t="s">
        <v>98</v>
      </c>
      <c r="B4916" s="6" t="s">
        <v>99</v>
      </c>
      <c r="C4916" s="6" t="s">
        <v>1000</v>
      </c>
      <c r="D4916" s="6" t="s">
        <v>14</v>
      </c>
      <c r="E4916" s="6" t="s">
        <v>110</v>
      </c>
      <c r="F4916" s="6" t="s">
        <v>111</v>
      </c>
      <c r="G4916" s="6" t="s">
        <v>1001</v>
      </c>
      <c r="H4916" s="6" t="s">
        <v>1002</v>
      </c>
      <c r="I4916" s="6" t="s">
        <v>31</v>
      </c>
      <c r="J4916" s="6">
        <v>18.031912663008999</v>
      </c>
      <c r="K4916" s="6">
        <v>-96.665956060013002</v>
      </c>
      <c r="L4916" s="6" t="str">
        <f>HYPERLINK("https://maps.google.com/?q=18.0319126630086,-96.665956060013301", "🔗 Ver Mapa")</f>
        <v>🔗 Ver Mapa</v>
      </c>
    </row>
    <row r="4917" spans="1:12" ht="43.5" x14ac:dyDescent="0.35">
      <c r="A4917" s="5" t="s">
        <v>98</v>
      </c>
      <c r="B4917" s="5" t="s">
        <v>99</v>
      </c>
      <c r="C4917" s="5" t="s">
        <v>1000</v>
      </c>
      <c r="D4917" s="5" t="s">
        <v>14</v>
      </c>
      <c r="E4917" s="5" t="s">
        <v>110</v>
      </c>
      <c r="F4917" s="5" t="s">
        <v>111</v>
      </c>
      <c r="G4917" s="5" t="s">
        <v>1001</v>
      </c>
      <c r="H4917" s="5" t="s">
        <v>1002</v>
      </c>
      <c r="I4917" s="5" t="s">
        <v>31</v>
      </c>
      <c r="J4917" s="5">
        <v>18.031918000000001</v>
      </c>
      <c r="K4917" s="5">
        <v>-96.674605</v>
      </c>
      <c r="L4917" s="5" t="str">
        <f>HYPERLINK("https://maps.google.com/?q=18.031918,-96.674605", "🔗 Ver Mapa")</f>
        <v>🔗 Ver Mapa</v>
      </c>
    </row>
    <row r="4918" spans="1:12" ht="43.5" x14ac:dyDescent="0.35">
      <c r="A4918" s="6" t="s">
        <v>98</v>
      </c>
      <c r="B4918" s="6" t="s">
        <v>99</v>
      </c>
      <c r="C4918" s="6" t="s">
        <v>1000</v>
      </c>
      <c r="D4918" s="6" t="s">
        <v>14</v>
      </c>
      <c r="E4918" s="6" t="s">
        <v>110</v>
      </c>
      <c r="F4918" s="6" t="s">
        <v>111</v>
      </c>
      <c r="G4918" s="6" t="s">
        <v>1001</v>
      </c>
      <c r="H4918" s="6" t="s">
        <v>1002</v>
      </c>
      <c r="I4918" s="6" t="s">
        <v>31</v>
      </c>
      <c r="J4918" s="6">
        <v>18.031925999999999</v>
      </c>
      <c r="K4918" s="6">
        <v>-96.674699000000004</v>
      </c>
      <c r="L4918" s="6" t="str">
        <f>HYPERLINK("https://maps.google.com/?q=18.031926,-96.674699000000004", "🔗 Ver Mapa")</f>
        <v>🔗 Ver Mapa</v>
      </c>
    </row>
    <row r="4919" spans="1:12" ht="43.5" x14ac:dyDescent="0.35">
      <c r="A4919" s="5" t="s">
        <v>98</v>
      </c>
      <c r="B4919" s="5" t="s">
        <v>99</v>
      </c>
      <c r="C4919" s="5" t="s">
        <v>1000</v>
      </c>
      <c r="D4919" s="5" t="s">
        <v>14</v>
      </c>
      <c r="E4919" s="5" t="s">
        <v>110</v>
      </c>
      <c r="F4919" s="5" t="s">
        <v>111</v>
      </c>
      <c r="G4919" s="5" t="s">
        <v>1001</v>
      </c>
      <c r="H4919" s="5" t="s">
        <v>1002</v>
      </c>
      <c r="I4919" s="5" t="s">
        <v>31</v>
      </c>
      <c r="J4919" s="5">
        <v>18.031972</v>
      </c>
      <c r="K4919" s="5">
        <v>-96.666394999999994</v>
      </c>
      <c r="L4919" s="5" t="str">
        <f>HYPERLINK("https://maps.google.com/?q=18.031972,-96.666394999999994", "🔗 Ver Mapa")</f>
        <v>🔗 Ver Mapa</v>
      </c>
    </row>
    <row r="4920" spans="1:12" ht="43.5" x14ac:dyDescent="0.35">
      <c r="A4920" s="6" t="s">
        <v>98</v>
      </c>
      <c r="B4920" s="6" t="s">
        <v>99</v>
      </c>
      <c r="C4920" s="6" t="s">
        <v>1000</v>
      </c>
      <c r="D4920" s="6" t="s">
        <v>14</v>
      </c>
      <c r="E4920" s="6" t="s">
        <v>110</v>
      </c>
      <c r="F4920" s="6" t="s">
        <v>111</v>
      </c>
      <c r="G4920" s="6" t="s">
        <v>1001</v>
      </c>
      <c r="H4920" s="6" t="s">
        <v>1002</v>
      </c>
      <c r="I4920" s="6" t="s">
        <v>31</v>
      </c>
      <c r="J4920" s="6">
        <v>18.032041700000001</v>
      </c>
      <c r="K4920" s="6">
        <v>-96.667249200000001</v>
      </c>
      <c r="L4920" s="6" t="str">
        <f>HYPERLINK("https://maps.google.com/?q=18.0320417,-96.667249200000001", "🔗 Ver Mapa")</f>
        <v>🔗 Ver Mapa</v>
      </c>
    </row>
    <row r="4921" spans="1:12" ht="43.5" x14ac:dyDescent="0.35">
      <c r="A4921" s="5" t="s">
        <v>98</v>
      </c>
      <c r="B4921" s="5" t="s">
        <v>99</v>
      </c>
      <c r="C4921" s="5" t="s">
        <v>1000</v>
      </c>
      <c r="D4921" s="5" t="s">
        <v>14</v>
      </c>
      <c r="E4921" s="5" t="s">
        <v>110</v>
      </c>
      <c r="F4921" s="5" t="s">
        <v>111</v>
      </c>
      <c r="G4921" s="5" t="s">
        <v>1001</v>
      </c>
      <c r="H4921" s="5" t="s">
        <v>1002</v>
      </c>
      <c r="I4921" s="5" t="s">
        <v>31</v>
      </c>
      <c r="J4921" s="5">
        <v>18.032240000000002</v>
      </c>
      <c r="K4921" s="5">
        <v>-96.667541</v>
      </c>
      <c r="L4921" s="5" t="str">
        <f>HYPERLINK("https://maps.google.com/?q=18.03224,-96.667541", "🔗 Ver Mapa")</f>
        <v>🔗 Ver Mapa</v>
      </c>
    </row>
    <row r="4922" spans="1:12" ht="43.5" x14ac:dyDescent="0.35">
      <c r="A4922" s="6" t="s">
        <v>98</v>
      </c>
      <c r="B4922" s="6" t="s">
        <v>99</v>
      </c>
      <c r="C4922" s="6" t="s">
        <v>1000</v>
      </c>
      <c r="D4922" s="6" t="s">
        <v>14</v>
      </c>
      <c r="E4922" s="6" t="s">
        <v>110</v>
      </c>
      <c r="F4922" s="6" t="s">
        <v>111</v>
      </c>
      <c r="G4922" s="6" t="s">
        <v>1001</v>
      </c>
      <c r="H4922" s="6" t="s">
        <v>1002</v>
      </c>
      <c r="I4922" s="6" t="s">
        <v>31</v>
      </c>
      <c r="J4922" s="6">
        <v>18.032245</v>
      </c>
      <c r="K4922" s="6">
        <v>-96.670908999999995</v>
      </c>
      <c r="L4922" s="6" t="str">
        <f>HYPERLINK("https://maps.google.com/?q=18.032245,-96.670908999999995", "🔗 Ver Mapa")</f>
        <v>🔗 Ver Mapa</v>
      </c>
    </row>
    <row r="4923" spans="1:12" ht="43.5" x14ac:dyDescent="0.35">
      <c r="A4923" s="5" t="s">
        <v>98</v>
      </c>
      <c r="B4923" s="5" t="s">
        <v>99</v>
      </c>
      <c r="C4923" s="5" t="s">
        <v>1000</v>
      </c>
      <c r="D4923" s="5" t="s">
        <v>14</v>
      </c>
      <c r="E4923" s="5" t="s">
        <v>110</v>
      </c>
      <c r="F4923" s="5" t="s">
        <v>111</v>
      </c>
      <c r="G4923" s="5" t="s">
        <v>1001</v>
      </c>
      <c r="H4923" s="5" t="s">
        <v>1002</v>
      </c>
      <c r="I4923" s="5" t="s">
        <v>31</v>
      </c>
      <c r="J4923" s="5">
        <v>18.032307672582</v>
      </c>
      <c r="K4923" s="5">
        <v>-96.670681234862002</v>
      </c>
      <c r="L4923" s="5" t="str">
        <f>HYPERLINK("https://maps.google.com/?q=18.0323076725817,-96.670681234862201", "🔗 Ver Mapa")</f>
        <v>🔗 Ver Mapa</v>
      </c>
    </row>
    <row r="4924" spans="1:12" ht="43.5" x14ac:dyDescent="0.35">
      <c r="A4924" s="6" t="s">
        <v>98</v>
      </c>
      <c r="B4924" s="6" t="s">
        <v>99</v>
      </c>
      <c r="C4924" s="6" t="s">
        <v>1000</v>
      </c>
      <c r="D4924" s="6" t="s">
        <v>14</v>
      </c>
      <c r="E4924" s="6" t="s">
        <v>110</v>
      </c>
      <c r="F4924" s="6" t="s">
        <v>111</v>
      </c>
      <c r="G4924" s="6" t="s">
        <v>1001</v>
      </c>
      <c r="H4924" s="6" t="s">
        <v>1002</v>
      </c>
      <c r="I4924" s="6" t="s">
        <v>31</v>
      </c>
      <c r="J4924" s="6">
        <v>18.032343000000001</v>
      </c>
      <c r="K4924" s="6">
        <v>-96.669477000000001</v>
      </c>
      <c r="L4924" s="6" t="str">
        <f>HYPERLINK("https://maps.google.com/?q=18.032343,-96.669477000000001", "🔗 Ver Mapa")</f>
        <v>🔗 Ver Mapa</v>
      </c>
    </row>
    <row r="4925" spans="1:12" ht="43.5" x14ac:dyDescent="0.35">
      <c r="A4925" s="5" t="s">
        <v>98</v>
      </c>
      <c r="B4925" s="5" t="s">
        <v>99</v>
      </c>
      <c r="C4925" s="5" t="s">
        <v>1000</v>
      </c>
      <c r="D4925" s="5" t="s">
        <v>14</v>
      </c>
      <c r="E4925" s="5" t="s">
        <v>110</v>
      </c>
      <c r="F4925" s="5" t="s">
        <v>111</v>
      </c>
      <c r="G4925" s="5" t="s">
        <v>1001</v>
      </c>
      <c r="H4925" s="5" t="s">
        <v>1002</v>
      </c>
      <c r="I4925" s="5" t="s">
        <v>31</v>
      </c>
      <c r="J4925" s="5">
        <v>18.032413999999999</v>
      </c>
      <c r="K4925" s="5">
        <v>-96.674256</v>
      </c>
      <c r="L4925" s="5" t="str">
        <f>HYPERLINK("https://maps.google.com/?q=18.032414,-96.674256", "🔗 Ver Mapa")</f>
        <v>🔗 Ver Mapa</v>
      </c>
    </row>
    <row r="4926" spans="1:12" ht="43.5" x14ac:dyDescent="0.35">
      <c r="A4926" s="6" t="s">
        <v>98</v>
      </c>
      <c r="B4926" s="6" t="s">
        <v>99</v>
      </c>
      <c r="C4926" s="6" t="s">
        <v>1000</v>
      </c>
      <c r="D4926" s="6" t="s">
        <v>14</v>
      </c>
      <c r="E4926" s="6" t="s">
        <v>110</v>
      </c>
      <c r="F4926" s="6" t="s">
        <v>111</v>
      </c>
      <c r="G4926" s="6" t="s">
        <v>1001</v>
      </c>
      <c r="H4926" s="6" t="s">
        <v>1002</v>
      </c>
      <c r="I4926" s="6" t="s">
        <v>31</v>
      </c>
      <c r="J4926" s="6">
        <v>18.032589999999999</v>
      </c>
      <c r="K4926" s="6">
        <v>-96.672984999999997</v>
      </c>
      <c r="L4926" s="6" t="str">
        <f>HYPERLINK("https://maps.google.com/?q=18.03259,-96.672984999999997", "🔗 Ver Mapa")</f>
        <v>🔗 Ver Mapa</v>
      </c>
    </row>
    <row r="4927" spans="1:12" ht="43.5" x14ac:dyDescent="0.35">
      <c r="A4927" s="5" t="s">
        <v>98</v>
      </c>
      <c r="B4927" s="5" t="s">
        <v>99</v>
      </c>
      <c r="C4927" s="5" t="s">
        <v>1000</v>
      </c>
      <c r="D4927" s="5" t="s">
        <v>14</v>
      </c>
      <c r="E4927" s="5" t="s">
        <v>110</v>
      </c>
      <c r="F4927" s="5" t="s">
        <v>111</v>
      </c>
      <c r="G4927" s="5" t="s">
        <v>1001</v>
      </c>
      <c r="H4927" s="5" t="s">
        <v>1002</v>
      </c>
      <c r="I4927" s="5" t="s">
        <v>31</v>
      </c>
      <c r="J4927" s="5">
        <v>18.03265</v>
      </c>
      <c r="K4927" s="5">
        <v>-96.667210999999995</v>
      </c>
      <c r="L4927" s="5" t="str">
        <f>HYPERLINK("https://maps.google.com/?q=18.03265,-96.667210999999995", "🔗 Ver Mapa")</f>
        <v>🔗 Ver Mapa</v>
      </c>
    </row>
    <row r="4928" spans="1:12" ht="43.5" x14ac:dyDescent="0.35">
      <c r="A4928" s="6" t="s">
        <v>98</v>
      </c>
      <c r="B4928" s="6" t="s">
        <v>99</v>
      </c>
      <c r="C4928" s="6" t="s">
        <v>1000</v>
      </c>
      <c r="D4928" s="6" t="s">
        <v>14</v>
      </c>
      <c r="E4928" s="6" t="s">
        <v>110</v>
      </c>
      <c r="F4928" s="6" t="s">
        <v>111</v>
      </c>
      <c r="G4928" s="6" t="s">
        <v>1001</v>
      </c>
      <c r="H4928" s="6" t="s">
        <v>1002</v>
      </c>
      <c r="I4928" s="6" t="s">
        <v>31</v>
      </c>
      <c r="J4928" s="6">
        <v>18.032711596020999</v>
      </c>
      <c r="K4928" s="6">
        <v>-96.673143039067</v>
      </c>
      <c r="L4928" s="6" t="str">
        <f>HYPERLINK("https://maps.google.com/?q=18.0327115960207,-96.673143039066503", "🔗 Ver Mapa")</f>
        <v>🔗 Ver Mapa</v>
      </c>
    </row>
    <row r="4929" spans="1:12" ht="43.5" x14ac:dyDescent="0.35">
      <c r="A4929" s="5" t="s">
        <v>98</v>
      </c>
      <c r="B4929" s="5" t="s">
        <v>99</v>
      </c>
      <c r="C4929" s="5" t="s">
        <v>1000</v>
      </c>
      <c r="D4929" s="5" t="s">
        <v>14</v>
      </c>
      <c r="E4929" s="5" t="s">
        <v>110</v>
      </c>
      <c r="F4929" s="5" t="s">
        <v>111</v>
      </c>
      <c r="G4929" s="5" t="s">
        <v>1001</v>
      </c>
      <c r="H4929" s="5" t="s">
        <v>1002</v>
      </c>
      <c r="I4929" s="5" t="s">
        <v>31</v>
      </c>
      <c r="J4929" s="5">
        <v>18.032729487790998</v>
      </c>
      <c r="K4929" s="5">
        <v>-96.671600518591006</v>
      </c>
      <c r="L4929" s="5" t="str">
        <f>HYPERLINK("https://maps.google.com/?q=18.0327294877914,-96.671600518590594", "🔗 Ver Mapa")</f>
        <v>🔗 Ver Mapa</v>
      </c>
    </row>
    <row r="4930" spans="1:12" ht="43.5" x14ac:dyDescent="0.35">
      <c r="A4930" s="6" t="s">
        <v>98</v>
      </c>
      <c r="B4930" s="6" t="s">
        <v>99</v>
      </c>
      <c r="C4930" s="6" t="s">
        <v>1000</v>
      </c>
      <c r="D4930" s="6" t="s">
        <v>14</v>
      </c>
      <c r="E4930" s="6" t="s">
        <v>110</v>
      </c>
      <c r="F4930" s="6" t="s">
        <v>111</v>
      </c>
      <c r="G4930" s="6" t="s">
        <v>1001</v>
      </c>
      <c r="H4930" s="6" t="s">
        <v>1002</v>
      </c>
      <c r="I4930" s="6" t="s">
        <v>31</v>
      </c>
      <c r="J4930" s="6">
        <v>18.032779999999999</v>
      </c>
      <c r="K4930" s="6">
        <v>-96.674968000000007</v>
      </c>
      <c r="L4930" s="6" t="str">
        <f>HYPERLINK("https://maps.google.com/?q=18.03278,-96.674968000000007", "🔗 Ver Mapa")</f>
        <v>🔗 Ver Mapa</v>
      </c>
    </row>
    <row r="4931" spans="1:12" ht="43.5" x14ac:dyDescent="0.35">
      <c r="A4931" s="5" t="s">
        <v>98</v>
      </c>
      <c r="B4931" s="5" t="s">
        <v>99</v>
      </c>
      <c r="C4931" s="5" t="s">
        <v>1000</v>
      </c>
      <c r="D4931" s="5" t="s">
        <v>14</v>
      </c>
      <c r="E4931" s="5" t="s">
        <v>110</v>
      </c>
      <c r="F4931" s="5" t="s">
        <v>111</v>
      </c>
      <c r="G4931" s="5" t="s">
        <v>1001</v>
      </c>
      <c r="H4931" s="5" t="s">
        <v>1002</v>
      </c>
      <c r="I4931" s="5" t="s">
        <v>31</v>
      </c>
      <c r="J4931" s="5">
        <v>18.032799000000001</v>
      </c>
      <c r="K4931" s="5">
        <v>-96.669940999999994</v>
      </c>
      <c r="L4931" s="5" t="str">
        <f>HYPERLINK("https://maps.google.com/?q=18.032799,-96.669940999999994", "🔗 Ver Mapa")</f>
        <v>🔗 Ver Mapa</v>
      </c>
    </row>
    <row r="4932" spans="1:12" ht="43.5" x14ac:dyDescent="0.35">
      <c r="A4932" s="6" t="s">
        <v>98</v>
      </c>
      <c r="B4932" s="6" t="s">
        <v>99</v>
      </c>
      <c r="C4932" s="6" t="s">
        <v>1000</v>
      </c>
      <c r="D4932" s="6" t="s">
        <v>14</v>
      </c>
      <c r="E4932" s="6" t="s">
        <v>110</v>
      </c>
      <c r="F4932" s="6" t="s">
        <v>111</v>
      </c>
      <c r="G4932" s="6" t="s">
        <v>1001</v>
      </c>
      <c r="H4932" s="6" t="s">
        <v>1002</v>
      </c>
      <c r="I4932" s="6" t="s">
        <v>31</v>
      </c>
      <c r="J4932" s="6">
        <v>18.032827999999999</v>
      </c>
      <c r="K4932" s="6">
        <v>-96.667112000000003</v>
      </c>
      <c r="L4932" s="6" t="str">
        <f>HYPERLINK("https://maps.google.com/?q=18.032828,-96.667112000000003", "🔗 Ver Mapa")</f>
        <v>🔗 Ver Mapa</v>
      </c>
    </row>
    <row r="4933" spans="1:12" ht="43.5" x14ac:dyDescent="0.35">
      <c r="A4933" s="5" t="s">
        <v>98</v>
      </c>
      <c r="B4933" s="5" t="s">
        <v>99</v>
      </c>
      <c r="C4933" s="5" t="s">
        <v>1000</v>
      </c>
      <c r="D4933" s="5" t="s">
        <v>14</v>
      </c>
      <c r="E4933" s="5" t="s">
        <v>110</v>
      </c>
      <c r="F4933" s="5" t="s">
        <v>111</v>
      </c>
      <c r="G4933" s="5" t="s">
        <v>1001</v>
      </c>
      <c r="H4933" s="5" t="s">
        <v>1002</v>
      </c>
      <c r="I4933" s="5" t="s">
        <v>31</v>
      </c>
      <c r="J4933" s="5">
        <v>18.033099945410001</v>
      </c>
      <c r="K4933" s="5">
        <v>-96.669970628311006</v>
      </c>
      <c r="L4933" s="5" t="str">
        <f>HYPERLINK("https://maps.google.com/?q=18.03309994541,-96.669970628310907", "🔗 Ver Mapa")</f>
        <v>🔗 Ver Mapa</v>
      </c>
    </row>
    <row r="4934" spans="1:12" ht="43.5" x14ac:dyDescent="0.35">
      <c r="A4934" s="6" t="s">
        <v>98</v>
      </c>
      <c r="B4934" s="6" t="s">
        <v>99</v>
      </c>
      <c r="C4934" s="6" t="s">
        <v>1000</v>
      </c>
      <c r="D4934" s="6" t="s">
        <v>14</v>
      </c>
      <c r="E4934" s="6" t="s">
        <v>110</v>
      </c>
      <c r="F4934" s="6" t="s">
        <v>111</v>
      </c>
      <c r="G4934" s="6" t="s">
        <v>1001</v>
      </c>
      <c r="H4934" s="6" t="s">
        <v>1002</v>
      </c>
      <c r="I4934" s="6" t="s">
        <v>31</v>
      </c>
      <c r="J4934" s="6">
        <v>18.033204000000001</v>
      </c>
      <c r="K4934" s="6">
        <v>-96.671439000000007</v>
      </c>
      <c r="L4934" s="6" t="str">
        <f>HYPERLINK("https://maps.google.com/?q=18.033204,-96.671439000000007", "🔗 Ver Mapa")</f>
        <v>🔗 Ver Mapa</v>
      </c>
    </row>
    <row r="4935" spans="1:12" ht="43.5" x14ac:dyDescent="0.35">
      <c r="A4935" s="5" t="s">
        <v>98</v>
      </c>
      <c r="B4935" s="5" t="s">
        <v>99</v>
      </c>
      <c r="C4935" s="5" t="s">
        <v>1000</v>
      </c>
      <c r="D4935" s="5" t="s">
        <v>14</v>
      </c>
      <c r="E4935" s="5" t="s">
        <v>110</v>
      </c>
      <c r="F4935" s="5" t="s">
        <v>111</v>
      </c>
      <c r="G4935" s="5" t="s">
        <v>1001</v>
      </c>
      <c r="H4935" s="5" t="s">
        <v>1002</v>
      </c>
      <c r="I4935" s="5" t="s">
        <v>31</v>
      </c>
      <c r="J4935" s="5">
        <v>18.033326734888998</v>
      </c>
      <c r="K4935" s="5">
        <v>-96.673985203702998</v>
      </c>
      <c r="L4935" s="5" t="str">
        <f>HYPERLINK("https://maps.google.com/?q=18.0333267348887,-96.673985203703097", "🔗 Ver Mapa")</f>
        <v>🔗 Ver Mapa</v>
      </c>
    </row>
    <row r="4936" spans="1:12" ht="43.5" x14ac:dyDescent="0.35">
      <c r="A4936" s="6" t="s">
        <v>98</v>
      </c>
      <c r="B4936" s="6" t="s">
        <v>99</v>
      </c>
      <c r="C4936" s="6" t="s">
        <v>1000</v>
      </c>
      <c r="D4936" s="6" t="s">
        <v>14</v>
      </c>
      <c r="E4936" s="6" t="s">
        <v>110</v>
      </c>
      <c r="F4936" s="6" t="s">
        <v>111</v>
      </c>
      <c r="G4936" s="6" t="s">
        <v>1001</v>
      </c>
      <c r="H4936" s="6" t="s">
        <v>1002</v>
      </c>
      <c r="I4936" s="6" t="s">
        <v>31</v>
      </c>
      <c r="J4936" s="6">
        <v>18.033576</v>
      </c>
      <c r="K4936" s="6">
        <v>-96.668038999999993</v>
      </c>
      <c r="L4936" s="6" t="str">
        <f>HYPERLINK("https://maps.google.com/?q=18.033576,-96.668038999999993", "🔗 Ver Mapa")</f>
        <v>🔗 Ver Mapa</v>
      </c>
    </row>
    <row r="4937" spans="1:12" ht="43.5" x14ac:dyDescent="0.35">
      <c r="A4937" s="5" t="s">
        <v>98</v>
      </c>
      <c r="B4937" s="5" t="s">
        <v>99</v>
      </c>
      <c r="C4937" s="5" t="s">
        <v>1000</v>
      </c>
      <c r="D4937" s="5" t="s">
        <v>14</v>
      </c>
      <c r="E4937" s="5" t="s">
        <v>110</v>
      </c>
      <c r="F4937" s="5" t="s">
        <v>111</v>
      </c>
      <c r="G4937" s="5" t="s">
        <v>1001</v>
      </c>
      <c r="H4937" s="5" t="s">
        <v>1002</v>
      </c>
      <c r="I4937" s="5" t="s">
        <v>31</v>
      </c>
      <c r="J4937" s="5">
        <v>18.033722000000001</v>
      </c>
      <c r="K4937" s="5">
        <v>-96.671081999999998</v>
      </c>
      <c r="L4937" s="5" t="str">
        <f>HYPERLINK("https://maps.google.com/?q=18.033722,-96.671081999999998", "🔗 Ver Mapa")</f>
        <v>🔗 Ver Mapa</v>
      </c>
    </row>
    <row r="4938" spans="1:12" ht="43.5" x14ac:dyDescent="0.35">
      <c r="A4938" s="6" t="s">
        <v>98</v>
      </c>
      <c r="B4938" s="6" t="s">
        <v>99</v>
      </c>
      <c r="C4938" s="6" t="s">
        <v>1000</v>
      </c>
      <c r="D4938" s="6" t="s">
        <v>14</v>
      </c>
      <c r="E4938" s="6" t="s">
        <v>110</v>
      </c>
      <c r="F4938" s="6" t="s">
        <v>111</v>
      </c>
      <c r="G4938" s="6" t="s">
        <v>1001</v>
      </c>
      <c r="H4938" s="6" t="s">
        <v>1002</v>
      </c>
      <c r="I4938" s="6" t="s">
        <v>31</v>
      </c>
      <c r="J4938" s="6">
        <v>18.033728</v>
      </c>
      <c r="K4938" s="6">
        <v>-96.673451</v>
      </c>
      <c r="L4938" s="6" t="str">
        <f>HYPERLINK("https://maps.google.com/?q=18.033728,-96.673451", "🔗 Ver Mapa")</f>
        <v>🔗 Ver Mapa</v>
      </c>
    </row>
    <row r="4939" spans="1:12" ht="43.5" x14ac:dyDescent="0.35">
      <c r="A4939" s="5" t="s">
        <v>98</v>
      </c>
      <c r="B4939" s="5" t="s">
        <v>99</v>
      </c>
      <c r="C4939" s="5" t="s">
        <v>1000</v>
      </c>
      <c r="D4939" s="5" t="s">
        <v>14</v>
      </c>
      <c r="E4939" s="5" t="s">
        <v>110</v>
      </c>
      <c r="F4939" s="5" t="s">
        <v>111</v>
      </c>
      <c r="G4939" s="5" t="s">
        <v>1001</v>
      </c>
      <c r="H4939" s="5" t="s">
        <v>1002</v>
      </c>
      <c r="I4939" s="5" t="s">
        <v>31</v>
      </c>
      <c r="J4939" s="5">
        <v>18.033740000000002</v>
      </c>
      <c r="K4939" s="5">
        <v>-96.667925999999994</v>
      </c>
      <c r="L4939" s="5" t="str">
        <f>HYPERLINK("https://maps.google.com/?q=18.03374,-96.667925999999994", "🔗 Ver Mapa")</f>
        <v>🔗 Ver Mapa</v>
      </c>
    </row>
    <row r="4940" spans="1:12" ht="43.5" x14ac:dyDescent="0.35">
      <c r="A4940" s="6" t="s">
        <v>98</v>
      </c>
      <c r="B4940" s="6" t="s">
        <v>99</v>
      </c>
      <c r="C4940" s="6" t="s">
        <v>1000</v>
      </c>
      <c r="D4940" s="6" t="s">
        <v>14</v>
      </c>
      <c r="E4940" s="6" t="s">
        <v>110</v>
      </c>
      <c r="F4940" s="6" t="s">
        <v>111</v>
      </c>
      <c r="G4940" s="6" t="s">
        <v>1001</v>
      </c>
      <c r="H4940" s="6" t="s">
        <v>1002</v>
      </c>
      <c r="I4940" s="6" t="s">
        <v>31</v>
      </c>
      <c r="J4940" s="6">
        <v>18.033933999999999</v>
      </c>
      <c r="K4940" s="6">
        <v>-96.668595999999994</v>
      </c>
      <c r="L4940" s="6" t="str">
        <f>HYPERLINK("https://maps.google.com/?q=18.033934,-96.668595999999994", "🔗 Ver Mapa")</f>
        <v>🔗 Ver Mapa</v>
      </c>
    </row>
    <row r="4941" spans="1:12" ht="43.5" x14ac:dyDescent="0.35">
      <c r="A4941" s="5" t="s">
        <v>98</v>
      </c>
      <c r="B4941" s="5" t="s">
        <v>99</v>
      </c>
      <c r="C4941" s="5" t="s">
        <v>1000</v>
      </c>
      <c r="D4941" s="5" t="s">
        <v>14</v>
      </c>
      <c r="E4941" s="5" t="s">
        <v>110</v>
      </c>
      <c r="F4941" s="5" t="s">
        <v>111</v>
      </c>
      <c r="G4941" s="5" t="s">
        <v>1001</v>
      </c>
      <c r="H4941" s="5" t="s">
        <v>1002</v>
      </c>
      <c r="I4941" s="5" t="s">
        <v>31</v>
      </c>
      <c r="J4941" s="5">
        <v>18.034073377489001</v>
      </c>
      <c r="K4941" s="5">
        <v>-96.674367418486</v>
      </c>
      <c r="L4941" s="5" t="str">
        <f>HYPERLINK("https://maps.google.com/?q=18.0340733774895,-96.674367418486", "🔗 Ver Mapa")</f>
        <v>🔗 Ver Mapa</v>
      </c>
    </row>
    <row r="4942" spans="1:12" ht="43.5" x14ac:dyDescent="0.35">
      <c r="A4942" s="6" t="s">
        <v>98</v>
      </c>
      <c r="B4942" s="6" t="s">
        <v>99</v>
      </c>
      <c r="C4942" s="6" t="s">
        <v>1000</v>
      </c>
      <c r="D4942" s="6" t="s">
        <v>14</v>
      </c>
      <c r="E4942" s="6" t="s">
        <v>110</v>
      </c>
      <c r="F4942" s="6" t="s">
        <v>111</v>
      </c>
      <c r="G4942" s="6" t="s">
        <v>1001</v>
      </c>
      <c r="H4942" s="6" t="s">
        <v>1002</v>
      </c>
      <c r="I4942" s="6" t="s">
        <v>31</v>
      </c>
      <c r="J4942" s="6">
        <v>18.034147000000001</v>
      </c>
      <c r="K4942" s="6">
        <v>-96.674389000000005</v>
      </c>
      <c r="L4942" s="6" t="str">
        <f>HYPERLINK("https://maps.google.com/?q=18.034147,-96.674389000000005", "🔗 Ver Mapa")</f>
        <v>🔗 Ver Mapa</v>
      </c>
    </row>
    <row r="4943" spans="1:12" ht="43.5" x14ac:dyDescent="0.35">
      <c r="A4943" s="5" t="s">
        <v>98</v>
      </c>
      <c r="B4943" s="5" t="s">
        <v>99</v>
      </c>
      <c r="C4943" s="5" t="s">
        <v>1000</v>
      </c>
      <c r="D4943" s="5" t="s">
        <v>14</v>
      </c>
      <c r="E4943" s="5" t="s">
        <v>110</v>
      </c>
      <c r="F4943" s="5" t="s">
        <v>111</v>
      </c>
      <c r="G4943" s="5" t="s">
        <v>1001</v>
      </c>
      <c r="H4943" s="5" t="s">
        <v>1002</v>
      </c>
      <c r="I4943" s="5" t="s">
        <v>31</v>
      </c>
      <c r="J4943" s="5">
        <v>18.034264</v>
      </c>
      <c r="K4943" s="5">
        <v>-96.669479999999993</v>
      </c>
      <c r="L4943" s="5" t="str">
        <f>HYPERLINK("https://maps.google.com/?q=18.034264,-96.669479999999993", "🔗 Ver Mapa")</f>
        <v>🔗 Ver Mapa</v>
      </c>
    </row>
    <row r="4944" spans="1:12" ht="43.5" x14ac:dyDescent="0.35">
      <c r="A4944" s="6" t="s">
        <v>98</v>
      </c>
      <c r="B4944" s="6" t="s">
        <v>99</v>
      </c>
      <c r="C4944" s="6" t="s">
        <v>1000</v>
      </c>
      <c r="D4944" s="6" t="s">
        <v>14</v>
      </c>
      <c r="E4944" s="6" t="s">
        <v>110</v>
      </c>
      <c r="F4944" s="6" t="s">
        <v>111</v>
      </c>
      <c r="G4944" s="6" t="s">
        <v>1001</v>
      </c>
      <c r="H4944" s="6" t="s">
        <v>1002</v>
      </c>
      <c r="I4944" s="6" t="s">
        <v>31</v>
      </c>
      <c r="J4944" s="6">
        <v>18.034341999999999</v>
      </c>
      <c r="K4944" s="6">
        <v>-96.668385000000001</v>
      </c>
      <c r="L4944" s="6" t="str">
        <f>HYPERLINK("https://maps.google.com/?q=18.034342,-96.668385000000001", "🔗 Ver Mapa")</f>
        <v>🔗 Ver Mapa</v>
      </c>
    </row>
    <row r="4945" spans="1:12" ht="43.5" x14ac:dyDescent="0.35">
      <c r="A4945" s="5" t="s">
        <v>98</v>
      </c>
      <c r="B4945" s="5" t="s">
        <v>99</v>
      </c>
      <c r="C4945" s="5" t="s">
        <v>1000</v>
      </c>
      <c r="D4945" s="5" t="s">
        <v>14</v>
      </c>
      <c r="E4945" s="5" t="s">
        <v>110</v>
      </c>
      <c r="F4945" s="5" t="s">
        <v>111</v>
      </c>
      <c r="G4945" s="5" t="s">
        <v>1001</v>
      </c>
      <c r="H4945" s="5" t="s">
        <v>1002</v>
      </c>
      <c r="I4945" s="5" t="s">
        <v>31</v>
      </c>
      <c r="J4945" s="5">
        <v>18.034706723532</v>
      </c>
      <c r="K4945" s="5">
        <v>-96.673065897512998</v>
      </c>
      <c r="L4945" s="5" t="str">
        <f>HYPERLINK("https://maps.google.com/?q=18.0347067235324,-96.673065897513197", "🔗 Ver Mapa")</f>
        <v>🔗 Ver Mapa</v>
      </c>
    </row>
    <row r="4946" spans="1:12" ht="43.5" x14ac:dyDescent="0.35">
      <c r="A4946" s="6" t="s">
        <v>98</v>
      </c>
      <c r="B4946" s="6" t="s">
        <v>99</v>
      </c>
      <c r="C4946" s="6" t="s">
        <v>1003</v>
      </c>
      <c r="D4946" s="6" t="s">
        <v>14</v>
      </c>
      <c r="E4946" s="6" t="s">
        <v>17</v>
      </c>
      <c r="F4946" s="6" t="s">
        <v>20</v>
      </c>
      <c r="G4946" s="6" t="s">
        <v>436</v>
      </c>
      <c r="H4946" s="6" t="s">
        <v>1004</v>
      </c>
      <c r="I4946" s="6" t="s">
        <v>31</v>
      </c>
      <c r="J4946" s="6">
        <v>15.930441814111999</v>
      </c>
      <c r="K4946" s="6">
        <v>-96.416510298074996</v>
      </c>
      <c r="L4946" s="6" t="str">
        <f>HYPERLINK("https://maps.google.com/?q=15.9304418141118,-96.416510298074698", "🔗 Ver Mapa")</f>
        <v>🔗 Ver Mapa</v>
      </c>
    </row>
    <row r="4947" spans="1:12" ht="43.5" x14ac:dyDescent="0.35">
      <c r="A4947" s="5" t="s">
        <v>98</v>
      </c>
      <c r="B4947" s="5" t="s">
        <v>99</v>
      </c>
      <c r="C4947" s="5" t="s">
        <v>1003</v>
      </c>
      <c r="D4947" s="5" t="s">
        <v>14</v>
      </c>
      <c r="E4947" s="5" t="s">
        <v>17</v>
      </c>
      <c r="F4947" s="5" t="s">
        <v>20</v>
      </c>
      <c r="G4947" s="5" t="s">
        <v>436</v>
      </c>
      <c r="H4947" s="5" t="s">
        <v>1004</v>
      </c>
      <c r="I4947" s="5" t="s">
        <v>31</v>
      </c>
      <c r="J4947" s="5">
        <v>15.933012</v>
      </c>
      <c r="K4947" s="5">
        <v>-96.417366000000001</v>
      </c>
      <c r="L4947" s="5" t="str">
        <f>HYPERLINK("https://maps.google.com/?q=15.933012,-96.417366000000001", "🔗 Ver Mapa")</f>
        <v>🔗 Ver Mapa</v>
      </c>
    </row>
    <row r="4948" spans="1:12" ht="43.5" x14ac:dyDescent="0.35">
      <c r="A4948" s="6" t="s">
        <v>98</v>
      </c>
      <c r="B4948" s="6" t="s">
        <v>99</v>
      </c>
      <c r="C4948" s="6" t="s">
        <v>1003</v>
      </c>
      <c r="D4948" s="6" t="s">
        <v>14</v>
      </c>
      <c r="E4948" s="6" t="s">
        <v>17</v>
      </c>
      <c r="F4948" s="6" t="s">
        <v>20</v>
      </c>
      <c r="G4948" s="6" t="s">
        <v>436</v>
      </c>
      <c r="H4948" s="6" t="s">
        <v>1004</v>
      </c>
      <c r="I4948" s="6" t="s">
        <v>31</v>
      </c>
      <c r="J4948" s="6">
        <v>15.933343000000001</v>
      </c>
      <c r="K4948" s="6">
        <v>-96.415184999999994</v>
      </c>
      <c r="L4948" s="6" t="str">
        <f>HYPERLINK("https://maps.google.com/?q=15.933343,-96.415184999999994", "🔗 Ver Mapa")</f>
        <v>🔗 Ver Mapa</v>
      </c>
    </row>
    <row r="4949" spans="1:12" ht="43.5" x14ac:dyDescent="0.35">
      <c r="A4949" s="5" t="s">
        <v>98</v>
      </c>
      <c r="B4949" s="5" t="s">
        <v>99</v>
      </c>
      <c r="C4949" s="5" t="s">
        <v>1003</v>
      </c>
      <c r="D4949" s="5" t="s">
        <v>14</v>
      </c>
      <c r="E4949" s="5" t="s">
        <v>17</v>
      </c>
      <c r="F4949" s="5" t="s">
        <v>20</v>
      </c>
      <c r="G4949" s="5" t="s">
        <v>436</v>
      </c>
      <c r="H4949" s="5" t="s">
        <v>1004</v>
      </c>
      <c r="I4949" s="5" t="s">
        <v>31</v>
      </c>
      <c r="J4949" s="5">
        <v>15.934060266583</v>
      </c>
      <c r="K4949" s="5">
        <v>-96.416577086304002</v>
      </c>
      <c r="L4949" s="5" t="str">
        <f>HYPERLINK("https://maps.google.com/?q=15.9340602665827,-96.4165770863045", "🔗 Ver Mapa")</f>
        <v>🔗 Ver Mapa</v>
      </c>
    </row>
    <row r="4950" spans="1:12" ht="43.5" x14ac:dyDescent="0.35">
      <c r="A4950" s="6" t="s">
        <v>98</v>
      </c>
      <c r="B4950" s="6" t="s">
        <v>99</v>
      </c>
      <c r="C4950" s="6" t="s">
        <v>1003</v>
      </c>
      <c r="D4950" s="6" t="s">
        <v>14</v>
      </c>
      <c r="E4950" s="6" t="s">
        <v>17</v>
      </c>
      <c r="F4950" s="6" t="s">
        <v>20</v>
      </c>
      <c r="G4950" s="6" t="s">
        <v>436</v>
      </c>
      <c r="H4950" s="6" t="s">
        <v>1004</v>
      </c>
      <c r="I4950" s="6" t="s">
        <v>31</v>
      </c>
      <c r="J4950" s="6">
        <v>15.934372</v>
      </c>
      <c r="K4950" s="6">
        <v>-96.415554</v>
      </c>
      <c r="L4950" s="6" t="str">
        <f>HYPERLINK("https://maps.google.com/?q=15.934372,-96.415554", "🔗 Ver Mapa")</f>
        <v>🔗 Ver Mapa</v>
      </c>
    </row>
    <row r="4951" spans="1:12" ht="43.5" x14ac:dyDescent="0.35">
      <c r="A4951" s="5" t="s">
        <v>98</v>
      </c>
      <c r="B4951" s="5" t="s">
        <v>99</v>
      </c>
      <c r="C4951" s="5" t="s">
        <v>1003</v>
      </c>
      <c r="D4951" s="5" t="s">
        <v>14</v>
      </c>
      <c r="E4951" s="5" t="s">
        <v>17</v>
      </c>
      <c r="F4951" s="5" t="s">
        <v>20</v>
      </c>
      <c r="G4951" s="5" t="s">
        <v>436</v>
      </c>
      <c r="H4951" s="5" t="s">
        <v>1004</v>
      </c>
      <c r="I4951" s="5" t="s">
        <v>31</v>
      </c>
      <c r="J4951" s="5">
        <v>15.934384855673001</v>
      </c>
      <c r="K4951" s="5">
        <v>-96.416057555579997</v>
      </c>
      <c r="L4951" s="5" t="str">
        <f>HYPERLINK("https://maps.google.com/?q=15.9343848556731,-96.416057555579997", "🔗 Ver Mapa")</f>
        <v>🔗 Ver Mapa</v>
      </c>
    </row>
    <row r="4952" spans="1:12" ht="43.5" x14ac:dyDescent="0.35">
      <c r="A4952" s="6" t="s">
        <v>98</v>
      </c>
      <c r="B4952" s="6" t="s">
        <v>99</v>
      </c>
      <c r="C4952" s="6" t="s">
        <v>1003</v>
      </c>
      <c r="D4952" s="6" t="s">
        <v>14</v>
      </c>
      <c r="E4952" s="6" t="s">
        <v>17</v>
      </c>
      <c r="F4952" s="6" t="s">
        <v>20</v>
      </c>
      <c r="G4952" s="6" t="s">
        <v>436</v>
      </c>
      <c r="H4952" s="6" t="s">
        <v>1004</v>
      </c>
      <c r="I4952" s="6" t="s">
        <v>31</v>
      </c>
      <c r="J4952" s="6">
        <v>15.934402</v>
      </c>
      <c r="K4952" s="6">
        <v>-96.418847</v>
      </c>
      <c r="L4952" s="6" t="str">
        <f>HYPERLINK("https://maps.google.com/?q=15.934402,-96.418847", "🔗 Ver Mapa")</f>
        <v>🔗 Ver Mapa</v>
      </c>
    </row>
    <row r="4953" spans="1:12" ht="43.5" x14ac:dyDescent="0.35">
      <c r="A4953" s="5" t="s">
        <v>98</v>
      </c>
      <c r="B4953" s="5" t="s">
        <v>99</v>
      </c>
      <c r="C4953" s="5" t="s">
        <v>1003</v>
      </c>
      <c r="D4953" s="5" t="s">
        <v>14</v>
      </c>
      <c r="E4953" s="5" t="s">
        <v>17</v>
      </c>
      <c r="F4953" s="5" t="s">
        <v>20</v>
      </c>
      <c r="G4953" s="5" t="s">
        <v>436</v>
      </c>
      <c r="H4953" s="5" t="s">
        <v>1004</v>
      </c>
      <c r="I4953" s="5" t="s">
        <v>31</v>
      </c>
      <c r="J4953" s="5">
        <v>15.934467771868</v>
      </c>
      <c r="K4953" s="5">
        <v>-96.418985711725</v>
      </c>
      <c r="L4953" s="5" t="str">
        <f>HYPERLINK("https://maps.google.com/?q=15.9344677718683,-96.418985711725497", "🔗 Ver Mapa")</f>
        <v>🔗 Ver Mapa</v>
      </c>
    </row>
    <row r="4954" spans="1:12" ht="43.5" x14ac:dyDescent="0.35">
      <c r="A4954" s="6" t="s">
        <v>98</v>
      </c>
      <c r="B4954" s="6" t="s">
        <v>99</v>
      </c>
      <c r="C4954" s="6" t="s">
        <v>1005</v>
      </c>
      <c r="D4954" s="6" t="s">
        <v>14</v>
      </c>
      <c r="E4954" s="6" t="s">
        <v>16</v>
      </c>
      <c r="F4954" s="6" t="s">
        <v>21</v>
      </c>
      <c r="G4954" s="6" t="s">
        <v>1006</v>
      </c>
      <c r="H4954" s="6" t="s">
        <v>1007</v>
      </c>
      <c r="I4954" s="6" t="s">
        <v>31</v>
      </c>
      <c r="J4954" s="6">
        <v>17.264417179999999</v>
      </c>
      <c r="K4954" s="6">
        <v>-97.592572619999999</v>
      </c>
      <c r="L4954" s="6" t="str">
        <f>HYPERLINK("https://maps.google.com/?q=17.26441718,-97.592572619999999", "🔗 Ver Mapa")</f>
        <v>🔗 Ver Mapa</v>
      </c>
    </row>
    <row r="4955" spans="1:12" ht="43.5" x14ac:dyDescent="0.35">
      <c r="A4955" s="5" t="s">
        <v>98</v>
      </c>
      <c r="B4955" s="5" t="s">
        <v>99</v>
      </c>
      <c r="C4955" s="5" t="s">
        <v>1005</v>
      </c>
      <c r="D4955" s="5" t="s">
        <v>14</v>
      </c>
      <c r="E4955" s="5" t="s">
        <v>16</v>
      </c>
      <c r="F4955" s="5" t="s">
        <v>21</v>
      </c>
      <c r="G4955" s="5" t="s">
        <v>1006</v>
      </c>
      <c r="H4955" s="5" t="s">
        <v>1007</v>
      </c>
      <c r="I4955" s="5" t="s">
        <v>31</v>
      </c>
      <c r="J4955" s="5">
        <v>17.264630189999998</v>
      </c>
      <c r="K4955" s="5">
        <v>-97.592012389999994</v>
      </c>
      <c r="L4955" s="5" t="str">
        <f>HYPERLINK("https://maps.google.com/?q=17.26463019,-97.592012389999994", "🔗 Ver Mapa")</f>
        <v>🔗 Ver Mapa</v>
      </c>
    </row>
    <row r="4956" spans="1:12" ht="43.5" x14ac:dyDescent="0.35">
      <c r="A4956" s="6" t="s">
        <v>98</v>
      </c>
      <c r="B4956" s="6" t="s">
        <v>99</v>
      </c>
      <c r="C4956" s="6" t="s">
        <v>1005</v>
      </c>
      <c r="D4956" s="6" t="s">
        <v>14</v>
      </c>
      <c r="E4956" s="6" t="s">
        <v>16</v>
      </c>
      <c r="F4956" s="6" t="s">
        <v>21</v>
      </c>
      <c r="G4956" s="6" t="s">
        <v>1006</v>
      </c>
      <c r="H4956" s="6" t="s">
        <v>1007</v>
      </c>
      <c r="I4956" s="6" t="s">
        <v>31</v>
      </c>
      <c r="J4956" s="6">
        <v>17.26495066</v>
      </c>
      <c r="K4956" s="6">
        <v>-97.591699009999999</v>
      </c>
      <c r="L4956" s="6" t="str">
        <f>HYPERLINK("https://maps.google.com/?q=17.26495066,-97.591699009999999", "🔗 Ver Mapa")</f>
        <v>🔗 Ver Mapa</v>
      </c>
    </row>
    <row r="4957" spans="1:12" ht="43.5" x14ac:dyDescent="0.35">
      <c r="A4957" s="5" t="s">
        <v>98</v>
      </c>
      <c r="B4957" s="5" t="s">
        <v>99</v>
      </c>
      <c r="C4957" s="5" t="s">
        <v>1005</v>
      </c>
      <c r="D4957" s="5" t="s">
        <v>14</v>
      </c>
      <c r="E4957" s="5" t="s">
        <v>16</v>
      </c>
      <c r="F4957" s="5" t="s">
        <v>21</v>
      </c>
      <c r="G4957" s="5" t="s">
        <v>1006</v>
      </c>
      <c r="H4957" s="5" t="s">
        <v>1007</v>
      </c>
      <c r="I4957" s="5" t="s">
        <v>31</v>
      </c>
      <c r="J4957" s="5">
        <v>17.265889959999999</v>
      </c>
      <c r="K4957" s="5">
        <v>-97.590916359999994</v>
      </c>
      <c r="L4957" s="5" t="str">
        <f>HYPERLINK("https://maps.google.com/?q=17.26588996,-97.590916359999994", "🔗 Ver Mapa")</f>
        <v>🔗 Ver Mapa</v>
      </c>
    </row>
    <row r="4958" spans="1:12" ht="43.5" x14ac:dyDescent="0.35">
      <c r="A4958" s="6" t="s">
        <v>98</v>
      </c>
      <c r="B4958" s="6" t="s">
        <v>99</v>
      </c>
      <c r="C4958" s="6" t="s">
        <v>1005</v>
      </c>
      <c r="D4958" s="6" t="s">
        <v>14</v>
      </c>
      <c r="E4958" s="6" t="s">
        <v>16</v>
      </c>
      <c r="F4958" s="6" t="s">
        <v>21</v>
      </c>
      <c r="G4958" s="6" t="s">
        <v>1006</v>
      </c>
      <c r="H4958" s="6" t="s">
        <v>1007</v>
      </c>
      <c r="I4958" s="6" t="s">
        <v>31</v>
      </c>
      <c r="J4958" s="6">
        <v>17.266621499999999</v>
      </c>
      <c r="K4958" s="6">
        <v>-97.590817599999994</v>
      </c>
      <c r="L4958" s="6" t="str">
        <f>HYPERLINK("https://maps.google.com/?q=17.2666215,-97.590817599999994", "🔗 Ver Mapa")</f>
        <v>🔗 Ver Mapa</v>
      </c>
    </row>
    <row r="4959" spans="1:12" ht="43.5" x14ac:dyDescent="0.35">
      <c r="A4959" s="5" t="s">
        <v>98</v>
      </c>
      <c r="B4959" s="5" t="s">
        <v>99</v>
      </c>
      <c r="C4959" s="5" t="s">
        <v>1005</v>
      </c>
      <c r="D4959" s="5" t="s">
        <v>14</v>
      </c>
      <c r="E4959" s="5" t="s">
        <v>16</v>
      </c>
      <c r="F4959" s="5" t="s">
        <v>21</v>
      </c>
      <c r="G4959" s="5" t="s">
        <v>1006</v>
      </c>
      <c r="H4959" s="5" t="s">
        <v>1007</v>
      </c>
      <c r="I4959" s="5" t="s">
        <v>31</v>
      </c>
      <c r="J4959" s="5">
        <v>17.267983170000001</v>
      </c>
      <c r="K4959" s="5">
        <v>-97.590315009999998</v>
      </c>
      <c r="L4959" s="5" t="str">
        <f>HYPERLINK("https://maps.google.com/?q=17.26798317,-97.590315009999998", "🔗 Ver Mapa")</f>
        <v>🔗 Ver Mapa</v>
      </c>
    </row>
    <row r="4960" spans="1:12" ht="43.5" x14ac:dyDescent="0.35">
      <c r="A4960" s="6" t="s">
        <v>98</v>
      </c>
      <c r="B4960" s="6" t="s">
        <v>99</v>
      </c>
      <c r="C4960" s="6" t="s">
        <v>1005</v>
      </c>
      <c r="D4960" s="6" t="s">
        <v>14</v>
      </c>
      <c r="E4960" s="6" t="s">
        <v>16</v>
      </c>
      <c r="F4960" s="6" t="s">
        <v>21</v>
      </c>
      <c r="G4960" s="6" t="s">
        <v>1006</v>
      </c>
      <c r="H4960" s="6" t="s">
        <v>1007</v>
      </c>
      <c r="I4960" s="6" t="s">
        <v>31</v>
      </c>
      <c r="J4960" s="6">
        <v>17.268146730000002</v>
      </c>
      <c r="K4960" s="6">
        <v>-97.588677849999996</v>
      </c>
      <c r="L4960" s="6" t="str">
        <f>HYPERLINK("https://maps.google.com/?q=17.26814673,-97.588677849999996", "🔗 Ver Mapa")</f>
        <v>🔗 Ver Mapa</v>
      </c>
    </row>
    <row r="4961" spans="1:12" ht="43.5" x14ac:dyDescent="0.35">
      <c r="A4961" s="5" t="s">
        <v>98</v>
      </c>
      <c r="B4961" s="5" t="s">
        <v>99</v>
      </c>
      <c r="C4961" s="5" t="s">
        <v>1005</v>
      </c>
      <c r="D4961" s="5" t="s">
        <v>14</v>
      </c>
      <c r="E4961" s="5" t="s">
        <v>16</v>
      </c>
      <c r="F4961" s="5" t="s">
        <v>21</v>
      </c>
      <c r="G4961" s="5" t="s">
        <v>1006</v>
      </c>
      <c r="H4961" s="5" t="s">
        <v>1007</v>
      </c>
      <c r="I4961" s="5" t="s">
        <v>31</v>
      </c>
      <c r="J4961" s="5">
        <v>17.270449330000002</v>
      </c>
      <c r="K4961" s="5">
        <v>-97.592797719999993</v>
      </c>
      <c r="L4961" s="5" t="str">
        <f>HYPERLINK("https://maps.google.com/?q=17.27044933,-97.592797719999993", "🔗 Ver Mapa")</f>
        <v>🔗 Ver Mapa</v>
      </c>
    </row>
    <row r="4962" spans="1:12" ht="43.5" x14ac:dyDescent="0.35">
      <c r="A4962" s="6" t="s">
        <v>98</v>
      </c>
      <c r="B4962" s="6" t="s">
        <v>99</v>
      </c>
      <c r="C4962" s="6" t="s">
        <v>1005</v>
      </c>
      <c r="D4962" s="6" t="s">
        <v>14</v>
      </c>
      <c r="E4962" s="6" t="s">
        <v>16</v>
      </c>
      <c r="F4962" s="6" t="s">
        <v>21</v>
      </c>
      <c r="G4962" s="6" t="s">
        <v>1006</v>
      </c>
      <c r="H4962" s="6" t="s">
        <v>1007</v>
      </c>
      <c r="I4962" s="6" t="s">
        <v>31</v>
      </c>
      <c r="J4962" s="6">
        <v>17.27091549</v>
      </c>
      <c r="K4962" s="6">
        <v>-97.593173230000005</v>
      </c>
      <c r="L4962" s="6" t="str">
        <f>HYPERLINK("https://maps.google.com/?q=17.27091549,-97.593173230000005", "🔗 Ver Mapa")</f>
        <v>🔗 Ver Mapa</v>
      </c>
    </row>
    <row r="4963" spans="1:12" ht="43.5" x14ac:dyDescent="0.35">
      <c r="A4963" s="5" t="s">
        <v>98</v>
      </c>
      <c r="B4963" s="5" t="s">
        <v>99</v>
      </c>
      <c r="C4963" s="5" t="s">
        <v>1008</v>
      </c>
      <c r="D4963" s="5" t="s">
        <v>14</v>
      </c>
      <c r="E4963" s="5" t="s">
        <v>110</v>
      </c>
      <c r="F4963" s="5" t="s">
        <v>126</v>
      </c>
      <c r="G4963" s="5" t="s">
        <v>894</v>
      </c>
      <c r="H4963" s="5" t="s">
        <v>1009</v>
      </c>
      <c r="I4963" s="5" t="s">
        <v>31</v>
      </c>
      <c r="J4963" s="5">
        <v>17.966649603979999</v>
      </c>
      <c r="K4963" s="5">
        <v>-96.744166453920002</v>
      </c>
      <c r="L4963" s="5" t="str">
        <f>HYPERLINK("https://maps.google.com/?q=17.9666496039803,-96.744166453919703", "🔗 Ver Mapa")</f>
        <v>🔗 Ver Mapa</v>
      </c>
    </row>
    <row r="4964" spans="1:12" ht="43.5" x14ac:dyDescent="0.35">
      <c r="A4964" s="6" t="s">
        <v>98</v>
      </c>
      <c r="B4964" s="6" t="s">
        <v>99</v>
      </c>
      <c r="C4964" s="6" t="s">
        <v>1008</v>
      </c>
      <c r="D4964" s="6" t="s">
        <v>14</v>
      </c>
      <c r="E4964" s="6" t="s">
        <v>110</v>
      </c>
      <c r="F4964" s="6" t="s">
        <v>126</v>
      </c>
      <c r="G4964" s="6" t="s">
        <v>894</v>
      </c>
      <c r="H4964" s="6" t="s">
        <v>1009</v>
      </c>
      <c r="I4964" s="6" t="s">
        <v>31</v>
      </c>
      <c r="J4964" s="6">
        <v>17.966956610021999</v>
      </c>
      <c r="K4964" s="6">
        <v>-96.741904778738999</v>
      </c>
      <c r="L4964" s="6" t="str">
        <f>HYPERLINK("https://maps.google.com/?q=17.9669566100216,-96.741904778739098", "🔗 Ver Mapa")</f>
        <v>🔗 Ver Mapa</v>
      </c>
    </row>
    <row r="4965" spans="1:12" ht="43.5" x14ac:dyDescent="0.35">
      <c r="A4965" s="5" t="s">
        <v>98</v>
      </c>
      <c r="B4965" s="5" t="s">
        <v>99</v>
      </c>
      <c r="C4965" s="5" t="s">
        <v>1008</v>
      </c>
      <c r="D4965" s="5" t="s">
        <v>14</v>
      </c>
      <c r="E4965" s="5" t="s">
        <v>110</v>
      </c>
      <c r="F4965" s="5" t="s">
        <v>126</v>
      </c>
      <c r="G4965" s="5" t="s">
        <v>894</v>
      </c>
      <c r="H4965" s="5" t="s">
        <v>1009</v>
      </c>
      <c r="I4965" s="5" t="s">
        <v>31</v>
      </c>
      <c r="J4965" s="5">
        <v>17.967284595761001</v>
      </c>
      <c r="K4965" s="5">
        <v>-96.739104637501995</v>
      </c>
      <c r="L4965" s="5" t="str">
        <f>HYPERLINK("https://maps.google.com/?q=17.9672845957611,-96.739104637501597", "🔗 Ver Mapa")</f>
        <v>🔗 Ver Mapa</v>
      </c>
    </row>
    <row r="4966" spans="1:12" ht="43.5" x14ac:dyDescent="0.35">
      <c r="A4966" s="6" t="s">
        <v>98</v>
      </c>
      <c r="B4966" s="6" t="s">
        <v>99</v>
      </c>
      <c r="C4966" s="6" t="s">
        <v>1008</v>
      </c>
      <c r="D4966" s="6" t="s">
        <v>14</v>
      </c>
      <c r="E4966" s="6" t="s">
        <v>110</v>
      </c>
      <c r="F4966" s="6" t="s">
        <v>126</v>
      </c>
      <c r="G4966" s="6" t="s">
        <v>894</v>
      </c>
      <c r="H4966" s="6" t="s">
        <v>1009</v>
      </c>
      <c r="I4966" s="6" t="s">
        <v>31</v>
      </c>
      <c r="J4966" s="6">
        <v>17.967443412007999</v>
      </c>
      <c r="K4966" s="6">
        <v>-96.744242018899001</v>
      </c>
      <c r="L4966" s="6" t="str">
        <f>HYPERLINK("https://maps.google.com/?q=17.967443412008,-96.7442420188992", "🔗 Ver Mapa")</f>
        <v>🔗 Ver Mapa</v>
      </c>
    </row>
    <row r="4967" spans="1:12" ht="43.5" x14ac:dyDescent="0.35">
      <c r="A4967" s="5" t="s">
        <v>98</v>
      </c>
      <c r="B4967" s="5" t="s">
        <v>99</v>
      </c>
      <c r="C4967" s="5" t="s">
        <v>1008</v>
      </c>
      <c r="D4967" s="5" t="s">
        <v>14</v>
      </c>
      <c r="E4967" s="5" t="s">
        <v>110</v>
      </c>
      <c r="F4967" s="5" t="s">
        <v>126</v>
      </c>
      <c r="G4967" s="5" t="s">
        <v>894</v>
      </c>
      <c r="H4967" s="5" t="s">
        <v>1009</v>
      </c>
      <c r="I4967" s="5" t="s">
        <v>31</v>
      </c>
      <c r="J4967" s="5">
        <v>17.967445072282</v>
      </c>
      <c r="K4967" s="5">
        <v>-96.745279681271001</v>
      </c>
      <c r="L4967" s="5" t="str">
        <f>HYPERLINK("https://maps.google.com/?q=17.9674450722819,-96.745279681271398", "🔗 Ver Mapa")</f>
        <v>🔗 Ver Mapa</v>
      </c>
    </row>
    <row r="4968" spans="1:12" ht="43.5" x14ac:dyDescent="0.35">
      <c r="A4968" s="6" t="s">
        <v>98</v>
      </c>
      <c r="B4968" s="6" t="s">
        <v>99</v>
      </c>
      <c r="C4968" s="6" t="s">
        <v>1008</v>
      </c>
      <c r="D4968" s="6" t="s">
        <v>14</v>
      </c>
      <c r="E4968" s="6" t="s">
        <v>110</v>
      </c>
      <c r="F4968" s="6" t="s">
        <v>126</v>
      </c>
      <c r="G4968" s="6" t="s">
        <v>894</v>
      </c>
      <c r="H4968" s="6" t="s">
        <v>1009</v>
      </c>
      <c r="I4968" s="6" t="s">
        <v>31</v>
      </c>
      <c r="J4968" s="6">
        <v>17.967511408745001</v>
      </c>
      <c r="K4968" s="6">
        <v>-96.745623004025006</v>
      </c>
      <c r="L4968" s="6" t="str">
        <f>HYPERLINK("https://maps.google.com/?q=17.9675114087446,-96.745623004025205", "🔗 Ver Mapa")</f>
        <v>🔗 Ver Mapa</v>
      </c>
    </row>
    <row r="4969" spans="1:12" ht="43.5" x14ac:dyDescent="0.35">
      <c r="A4969" s="5" t="s">
        <v>98</v>
      </c>
      <c r="B4969" s="5" t="s">
        <v>99</v>
      </c>
      <c r="C4969" s="5" t="s">
        <v>1008</v>
      </c>
      <c r="D4969" s="5" t="s">
        <v>14</v>
      </c>
      <c r="E4969" s="5" t="s">
        <v>110</v>
      </c>
      <c r="F4969" s="5" t="s">
        <v>126</v>
      </c>
      <c r="G4969" s="5" t="s">
        <v>894</v>
      </c>
      <c r="H4969" s="5" t="s">
        <v>1009</v>
      </c>
      <c r="I4969" s="5" t="s">
        <v>31</v>
      </c>
      <c r="J4969" s="5">
        <v>17.967756735171001</v>
      </c>
      <c r="K4969" s="5">
        <v>-96.739005888384</v>
      </c>
      <c r="L4969" s="5" t="str">
        <f>HYPERLINK("https://maps.google.com/?q=17.9677567351706,-96.739005888384497", "🔗 Ver Mapa")</f>
        <v>🔗 Ver Mapa</v>
      </c>
    </row>
    <row r="4970" spans="1:12" ht="43.5" x14ac:dyDescent="0.35">
      <c r="A4970" s="6" t="s">
        <v>98</v>
      </c>
      <c r="B4970" s="6" t="s">
        <v>99</v>
      </c>
      <c r="C4970" s="6" t="s">
        <v>1008</v>
      </c>
      <c r="D4970" s="6" t="s">
        <v>14</v>
      </c>
      <c r="E4970" s="6" t="s">
        <v>110</v>
      </c>
      <c r="F4970" s="6" t="s">
        <v>126</v>
      </c>
      <c r="G4970" s="6" t="s">
        <v>894</v>
      </c>
      <c r="H4970" s="6" t="s">
        <v>1009</v>
      </c>
      <c r="I4970" s="6" t="s">
        <v>31</v>
      </c>
      <c r="J4970" s="6">
        <v>17.967906534699001</v>
      </c>
      <c r="K4970" s="6">
        <v>-96.743148185200994</v>
      </c>
      <c r="L4970" s="6" t="str">
        <f>HYPERLINK("https://maps.google.com/?q=17.9679065346994,-96.743148185200994", "🔗 Ver Mapa")</f>
        <v>🔗 Ver Mapa</v>
      </c>
    </row>
    <row r="4971" spans="1:12" ht="43.5" x14ac:dyDescent="0.35">
      <c r="A4971" s="5" t="s">
        <v>98</v>
      </c>
      <c r="B4971" s="5" t="s">
        <v>99</v>
      </c>
      <c r="C4971" s="5" t="s">
        <v>1008</v>
      </c>
      <c r="D4971" s="5" t="s">
        <v>14</v>
      </c>
      <c r="E4971" s="5" t="s">
        <v>110</v>
      </c>
      <c r="F4971" s="5" t="s">
        <v>126</v>
      </c>
      <c r="G4971" s="5" t="s">
        <v>894</v>
      </c>
      <c r="H4971" s="5" t="s">
        <v>1009</v>
      </c>
      <c r="I4971" s="5" t="s">
        <v>31</v>
      </c>
      <c r="J4971" s="5">
        <v>17.967987881732999</v>
      </c>
      <c r="K4971" s="5">
        <v>-96.743361227706998</v>
      </c>
      <c r="L4971" s="5" t="str">
        <f>HYPERLINK("https://maps.google.com/?q=17.9679878817332,-96.743361227706998", "🔗 Ver Mapa")</f>
        <v>🔗 Ver Mapa</v>
      </c>
    </row>
    <row r="4972" spans="1:12" ht="43.5" x14ac:dyDescent="0.35">
      <c r="A4972" s="6" t="s">
        <v>98</v>
      </c>
      <c r="B4972" s="6" t="s">
        <v>99</v>
      </c>
      <c r="C4972" s="6" t="s">
        <v>1008</v>
      </c>
      <c r="D4972" s="6" t="s">
        <v>14</v>
      </c>
      <c r="E4972" s="6" t="s">
        <v>110</v>
      </c>
      <c r="F4972" s="6" t="s">
        <v>126</v>
      </c>
      <c r="G4972" s="6" t="s">
        <v>894</v>
      </c>
      <c r="H4972" s="6" t="s">
        <v>1009</v>
      </c>
      <c r="I4972" s="6" t="s">
        <v>31</v>
      </c>
      <c r="J4972" s="6">
        <v>17.968049407586999</v>
      </c>
      <c r="K4972" s="6">
        <v>-96.742850463571997</v>
      </c>
      <c r="L4972" s="6" t="str">
        <f>HYPERLINK("https://maps.google.com/?q=17.9680494075869,-96.742850463571898", "🔗 Ver Mapa")</f>
        <v>🔗 Ver Mapa</v>
      </c>
    </row>
    <row r="4973" spans="1:12" ht="43.5" x14ac:dyDescent="0.35">
      <c r="A4973" s="5" t="s">
        <v>98</v>
      </c>
      <c r="B4973" s="5" t="s">
        <v>99</v>
      </c>
      <c r="C4973" s="5" t="s">
        <v>1008</v>
      </c>
      <c r="D4973" s="5" t="s">
        <v>14</v>
      </c>
      <c r="E4973" s="5" t="s">
        <v>110</v>
      </c>
      <c r="F4973" s="5" t="s">
        <v>126</v>
      </c>
      <c r="G4973" s="5" t="s">
        <v>894</v>
      </c>
      <c r="H4973" s="5" t="s">
        <v>1009</v>
      </c>
      <c r="I4973" s="5" t="s">
        <v>31</v>
      </c>
      <c r="J4973" s="5">
        <v>17.968465284347001</v>
      </c>
      <c r="K4973" s="5">
        <v>-96.743459325017994</v>
      </c>
      <c r="L4973" s="5" t="str">
        <f>HYPERLINK("https://maps.google.com/?q=17.9684652843466,-96.743459325018307", "🔗 Ver Mapa")</f>
        <v>🔗 Ver Mapa</v>
      </c>
    </row>
    <row r="4974" spans="1:12" ht="43.5" x14ac:dyDescent="0.35">
      <c r="A4974" s="6" t="s">
        <v>98</v>
      </c>
      <c r="B4974" s="6" t="s">
        <v>99</v>
      </c>
      <c r="C4974" s="6" t="s">
        <v>1008</v>
      </c>
      <c r="D4974" s="6" t="s">
        <v>14</v>
      </c>
      <c r="E4974" s="6" t="s">
        <v>110</v>
      </c>
      <c r="F4974" s="6" t="s">
        <v>126</v>
      </c>
      <c r="G4974" s="6" t="s">
        <v>894</v>
      </c>
      <c r="H4974" s="6" t="s">
        <v>1009</v>
      </c>
      <c r="I4974" s="6" t="s">
        <v>31</v>
      </c>
      <c r="J4974" s="6">
        <v>17.96849153638</v>
      </c>
      <c r="K4974" s="6">
        <v>-96.738614285867996</v>
      </c>
      <c r="L4974" s="6" t="str">
        <f>HYPERLINK("https://maps.google.com/?q=17.9684915363798,-96.738614285868294", "🔗 Ver Mapa")</f>
        <v>🔗 Ver Mapa</v>
      </c>
    </row>
    <row r="4975" spans="1:12" ht="43.5" x14ac:dyDescent="0.35">
      <c r="A4975" s="5" t="s">
        <v>98</v>
      </c>
      <c r="B4975" s="5" t="s">
        <v>99</v>
      </c>
      <c r="C4975" s="5" t="s">
        <v>1008</v>
      </c>
      <c r="D4975" s="5" t="s">
        <v>14</v>
      </c>
      <c r="E4975" s="5" t="s">
        <v>110</v>
      </c>
      <c r="F4975" s="5" t="s">
        <v>126</v>
      </c>
      <c r="G4975" s="5" t="s">
        <v>894</v>
      </c>
      <c r="H4975" s="5" t="s">
        <v>1009</v>
      </c>
      <c r="I4975" s="5" t="s">
        <v>31</v>
      </c>
      <c r="J4975" s="5">
        <v>17.968600220170998</v>
      </c>
      <c r="K4975" s="5">
        <v>-96.745463826312005</v>
      </c>
      <c r="L4975" s="5" t="str">
        <f>HYPERLINK("https://maps.google.com/?q=17.9686002201708,-96.745463826312005", "🔗 Ver Mapa")</f>
        <v>🔗 Ver Mapa</v>
      </c>
    </row>
    <row r="4976" spans="1:12" ht="58" x14ac:dyDescent="0.35">
      <c r="A4976" s="6" t="s">
        <v>73</v>
      </c>
      <c r="B4976" s="6" t="s">
        <v>74</v>
      </c>
      <c r="C4976" s="6" t="s">
        <v>1010</v>
      </c>
      <c r="D4976" s="6" t="s">
        <v>76</v>
      </c>
      <c r="E4976" s="6" t="s">
        <v>90</v>
      </c>
      <c r="F4976" s="6" t="s">
        <v>678</v>
      </c>
      <c r="G4976" s="6" t="s">
        <v>992</v>
      </c>
      <c r="H4976" s="6" t="s">
        <v>993</v>
      </c>
      <c r="I4976" s="6" t="s">
        <v>31</v>
      </c>
      <c r="J4976" s="6">
        <v>17.344673762035001</v>
      </c>
      <c r="K4976" s="6">
        <v>-96.170592246634996</v>
      </c>
      <c r="L4976" s="6" t="str">
        <f>HYPERLINK("https://maps.google.com/?q=17.344673762035107,-96.17059224663537", "🔗 Ver Mapa")</f>
        <v>🔗 Ver Mapa</v>
      </c>
    </row>
    <row r="4977" spans="1:12" ht="58" x14ac:dyDescent="0.35">
      <c r="A4977" s="5" t="s">
        <v>73</v>
      </c>
      <c r="B4977" s="5" t="s">
        <v>74</v>
      </c>
      <c r="C4977" s="5" t="s">
        <v>1011</v>
      </c>
      <c r="D4977" s="5" t="s">
        <v>76</v>
      </c>
      <c r="E4977" s="5" t="s">
        <v>158</v>
      </c>
      <c r="F4977" s="5" t="s">
        <v>159</v>
      </c>
      <c r="G4977" s="5" t="s">
        <v>1012</v>
      </c>
      <c r="H4977" s="5" t="s">
        <v>1013</v>
      </c>
      <c r="I4977" s="5" t="s">
        <v>31</v>
      </c>
      <c r="J4977" s="5">
        <v>16.336419284916001</v>
      </c>
      <c r="K4977" s="5">
        <v>-94.512872334182006</v>
      </c>
      <c r="L4977" s="5" t="str">
        <f>HYPERLINK("https://maps.google.com/?q=16.336419284916,-94.51287233418233", "🔗 Ver Mapa")</f>
        <v>🔗 Ver Mapa</v>
      </c>
    </row>
    <row r="4978" spans="1:12" ht="58" x14ac:dyDescent="0.35">
      <c r="A4978" s="6" t="s">
        <v>73</v>
      </c>
      <c r="B4978" s="6" t="s">
        <v>74</v>
      </c>
      <c r="C4978" s="6" t="s">
        <v>1014</v>
      </c>
      <c r="D4978" s="6" t="s">
        <v>76</v>
      </c>
      <c r="E4978" s="6" t="s">
        <v>52</v>
      </c>
      <c r="F4978" s="6" t="s">
        <v>228</v>
      </c>
      <c r="G4978" s="6" t="s">
        <v>229</v>
      </c>
      <c r="H4978" s="6" t="s">
        <v>230</v>
      </c>
      <c r="I4978" s="6" t="s">
        <v>31</v>
      </c>
      <c r="J4978" s="6">
        <v>16.795826903399998</v>
      </c>
      <c r="K4978" s="6">
        <v>-96.684868756216005</v>
      </c>
      <c r="L4978" s="6" t="str">
        <f>HYPERLINK("https://maps.google.com/?q=16.79582690340023,-96.68486875621558", "🔗 Ver Mapa")</f>
        <v>🔗 Ver Mapa</v>
      </c>
    </row>
    <row r="4979" spans="1:12" ht="58" x14ac:dyDescent="0.35">
      <c r="A4979" s="5" t="s">
        <v>73</v>
      </c>
      <c r="B4979" s="5" t="s">
        <v>74</v>
      </c>
      <c r="C4979" s="5" t="s">
        <v>1015</v>
      </c>
      <c r="D4979" s="5" t="s">
        <v>76</v>
      </c>
      <c r="E4979" s="5" t="s">
        <v>90</v>
      </c>
      <c r="F4979" s="5" t="s">
        <v>678</v>
      </c>
      <c r="G4979" s="5" t="s">
        <v>992</v>
      </c>
      <c r="H4979" s="5" t="s">
        <v>993</v>
      </c>
      <c r="I4979" s="5" t="s">
        <v>31</v>
      </c>
      <c r="J4979" s="5">
        <v>17.342926699412999</v>
      </c>
      <c r="K4979" s="5">
        <v>-96.170876186504998</v>
      </c>
      <c r="L4979" s="5" t="str">
        <f>HYPERLINK("https://maps.google.com/?q=17.34292669941257,-96.17087618650524", "🔗 Ver Mapa")</f>
        <v>🔗 Ver Mapa</v>
      </c>
    </row>
    <row r="4980" spans="1:12" ht="29" x14ac:dyDescent="0.35">
      <c r="A4980" s="6" t="s">
        <v>782</v>
      </c>
      <c r="B4980" s="6" t="s">
        <v>783</v>
      </c>
      <c r="C4980" s="6" t="s">
        <v>1016</v>
      </c>
      <c r="D4980" s="6" t="s">
        <v>785</v>
      </c>
      <c r="E4980" s="6" t="s">
        <v>52</v>
      </c>
      <c r="F4980" s="6" t="s">
        <v>83</v>
      </c>
      <c r="G4980" s="6" t="s">
        <v>1017</v>
      </c>
      <c r="H4980" s="6" t="s">
        <v>1018</v>
      </c>
      <c r="I4980" s="6" t="s">
        <v>31</v>
      </c>
      <c r="J4980" s="6">
        <v>17.242623186128998</v>
      </c>
      <c r="K4980" s="6">
        <v>-96.822349027835998</v>
      </c>
      <c r="L4980" s="6" t="str">
        <f>HYPERLINK("https://maps.google.com/?q=17.242623186129393,-96.82234902783631", "🔗 Ver Mapa")</f>
        <v>🔗 Ver Mapa</v>
      </c>
    </row>
    <row r="4981" spans="1:12" ht="72.5" x14ac:dyDescent="0.35">
      <c r="A4981" s="5" t="s">
        <v>359</v>
      </c>
      <c r="B4981" s="5" t="s">
        <v>360</v>
      </c>
      <c r="C4981" s="5" t="s">
        <v>1019</v>
      </c>
      <c r="D4981" s="5" t="s">
        <v>332</v>
      </c>
      <c r="E4981" s="5" t="s">
        <v>52</v>
      </c>
      <c r="F4981" s="5" t="s">
        <v>1020</v>
      </c>
      <c r="G4981" s="5" t="s">
        <v>1021</v>
      </c>
      <c r="H4981" s="5" t="s">
        <v>1022</v>
      </c>
      <c r="I4981" s="5" t="s">
        <v>31</v>
      </c>
      <c r="J4981" s="5">
        <v>16.792948150301001</v>
      </c>
      <c r="K4981" s="5">
        <v>-95.903891699731005</v>
      </c>
      <c r="L4981" s="5" t="str">
        <f>HYPERLINK("https://maps.google.com/?q=16.792948150300777,-95.90389169973115", "🔗 Ver Mapa")</f>
        <v>🔗 Ver Mapa</v>
      </c>
    </row>
    <row r="4982" spans="1:12" ht="43.5" x14ac:dyDescent="0.35">
      <c r="A4982" s="6" t="s">
        <v>329</v>
      </c>
      <c r="B4982" s="6" t="s">
        <v>330</v>
      </c>
      <c r="C4982" s="6" t="s">
        <v>1023</v>
      </c>
      <c r="D4982" s="6" t="s">
        <v>332</v>
      </c>
      <c r="E4982" s="6" t="s">
        <v>324</v>
      </c>
      <c r="F4982" s="6" t="s">
        <v>325</v>
      </c>
      <c r="G4982" s="6" t="s">
        <v>326</v>
      </c>
      <c r="H4982" s="6" t="s">
        <v>327</v>
      </c>
      <c r="I4982" s="6" t="s">
        <v>31</v>
      </c>
      <c r="J4982" s="6">
        <v>15.746257493588001</v>
      </c>
      <c r="K4982" s="6">
        <v>-96.465193619207994</v>
      </c>
      <c r="L4982" s="6" t="str">
        <f>HYPERLINK("https://maps.google.com/?q=15.746257493588216,-96.46519361920761", "🔗 Ver Mapa")</f>
        <v>🔗 Ver Mapa</v>
      </c>
    </row>
    <row r="4983" spans="1:12" ht="43.5" x14ac:dyDescent="0.35">
      <c r="A4983" s="5" t="s">
        <v>329</v>
      </c>
      <c r="B4983" s="5" t="s">
        <v>330</v>
      </c>
      <c r="C4983" s="5" t="s">
        <v>1023</v>
      </c>
      <c r="D4983" s="5" t="s">
        <v>332</v>
      </c>
      <c r="E4983" s="5" t="s">
        <v>324</v>
      </c>
      <c r="F4983" s="5" t="s">
        <v>325</v>
      </c>
      <c r="G4983" s="5" t="s">
        <v>326</v>
      </c>
      <c r="H4983" s="5" t="s">
        <v>327</v>
      </c>
      <c r="I4983" s="5" t="s">
        <v>31</v>
      </c>
      <c r="J4983" s="5">
        <v>15.74710402166</v>
      </c>
      <c r="K4983" s="5">
        <v>-96.545402874499999</v>
      </c>
      <c r="L4983" s="5" t="str">
        <f>HYPERLINK("https://maps.google.com/?q=15.74710402166,-96.5454028745", "🔗 Ver Mapa")</f>
        <v>🔗 Ver Mapa</v>
      </c>
    </row>
    <row r="4984" spans="1:12" ht="43.5" x14ac:dyDescent="0.35">
      <c r="A4984" s="6" t="s">
        <v>329</v>
      </c>
      <c r="B4984" s="6" t="s">
        <v>330</v>
      </c>
      <c r="C4984" s="6" t="s">
        <v>1023</v>
      </c>
      <c r="D4984" s="6" t="s">
        <v>332</v>
      </c>
      <c r="E4984" s="6" t="s">
        <v>324</v>
      </c>
      <c r="F4984" s="6" t="s">
        <v>325</v>
      </c>
      <c r="G4984" s="6" t="s">
        <v>326</v>
      </c>
      <c r="H4984" s="6" t="s">
        <v>327</v>
      </c>
      <c r="I4984" s="6" t="s">
        <v>31</v>
      </c>
      <c r="J4984" s="6">
        <v>15.83598594</v>
      </c>
      <c r="K4984" s="6">
        <v>-96.322141970000004</v>
      </c>
      <c r="L4984" s="6" t="str">
        <f>HYPERLINK("https://maps.google.com/?q=15.83598594,-96.32214197", "🔗 Ver Mapa")</f>
        <v>🔗 Ver Mapa</v>
      </c>
    </row>
    <row r="4985" spans="1:12" ht="43.5" x14ac:dyDescent="0.35">
      <c r="A4985" s="5" t="s">
        <v>329</v>
      </c>
      <c r="B4985" s="5" t="s">
        <v>330</v>
      </c>
      <c r="C4985" s="5" t="s">
        <v>1023</v>
      </c>
      <c r="D4985" s="5" t="s">
        <v>332</v>
      </c>
      <c r="E4985" s="5" t="s">
        <v>324</v>
      </c>
      <c r="F4985" s="5" t="s">
        <v>325</v>
      </c>
      <c r="G4985" s="5" t="s">
        <v>326</v>
      </c>
      <c r="H4985" s="5" t="s">
        <v>327</v>
      </c>
      <c r="I4985" s="5" t="s">
        <v>31</v>
      </c>
      <c r="J4985" s="5">
        <v>16.129847999999999</v>
      </c>
      <c r="K4985" s="5">
        <v>-97.608485999999999</v>
      </c>
      <c r="L4985" s="5" t="str">
        <f>HYPERLINK("https://maps.google.com/?q=16.129848,-97.608486", "🔗 Ver Mapa")</f>
        <v>🔗 Ver Mapa</v>
      </c>
    </row>
    <row r="4986" spans="1:12" ht="43.5" x14ac:dyDescent="0.35">
      <c r="A4986" s="6" t="s">
        <v>329</v>
      </c>
      <c r="B4986" s="6" t="s">
        <v>330</v>
      </c>
      <c r="C4986" s="6" t="s">
        <v>1023</v>
      </c>
      <c r="D4986" s="6" t="s">
        <v>332</v>
      </c>
      <c r="E4986" s="6" t="s">
        <v>324</v>
      </c>
      <c r="F4986" s="6" t="s">
        <v>325</v>
      </c>
      <c r="G4986" s="6" t="s">
        <v>326</v>
      </c>
      <c r="H4986" s="6" t="s">
        <v>327</v>
      </c>
      <c r="I4986" s="6" t="s">
        <v>31</v>
      </c>
      <c r="J4986" s="6">
        <v>17.029537000000001</v>
      </c>
      <c r="K4986" s="6">
        <v>-96.519002999999998</v>
      </c>
      <c r="L4986" s="6" t="str">
        <f>HYPERLINK("https://maps.google.com/?q=17.029537,-96.519003", "🔗 Ver Mapa")</f>
        <v>🔗 Ver Mapa</v>
      </c>
    </row>
    <row r="4987" spans="1:12" ht="43.5" x14ac:dyDescent="0.35">
      <c r="A4987" s="5" t="s">
        <v>329</v>
      </c>
      <c r="B4987" s="5" t="s">
        <v>330</v>
      </c>
      <c r="C4987" s="5" t="s">
        <v>1023</v>
      </c>
      <c r="D4987" s="5" t="s">
        <v>332</v>
      </c>
      <c r="E4987" s="5" t="s">
        <v>324</v>
      </c>
      <c r="F4987" s="5" t="s">
        <v>325</v>
      </c>
      <c r="G4987" s="5" t="s">
        <v>326</v>
      </c>
      <c r="H4987" s="5" t="s">
        <v>327</v>
      </c>
      <c r="I4987" s="5" t="s">
        <v>31</v>
      </c>
      <c r="J4987" s="5">
        <v>17.063780000000001</v>
      </c>
      <c r="K4987" s="5">
        <v>-96.730097000000001</v>
      </c>
      <c r="L4987" s="5" t="str">
        <f>HYPERLINK("https://maps.google.com/?q=17.06378,-96.730097", "🔗 Ver Mapa")</f>
        <v>🔗 Ver Mapa</v>
      </c>
    </row>
    <row r="4988" spans="1:12" ht="43.5" x14ac:dyDescent="0.35">
      <c r="A4988" s="6" t="s">
        <v>329</v>
      </c>
      <c r="B4988" s="6" t="s">
        <v>330</v>
      </c>
      <c r="C4988" s="6" t="s">
        <v>1023</v>
      </c>
      <c r="D4988" s="6" t="s">
        <v>332</v>
      </c>
      <c r="E4988" s="6" t="s">
        <v>324</v>
      </c>
      <c r="F4988" s="6" t="s">
        <v>325</v>
      </c>
      <c r="G4988" s="6" t="s">
        <v>326</v>
      </c>
      <c r="H4988" s="6" t="s">
        <v>327</v>
      </c>
      <c r="I4988" s="6" t="s">
        <v>31</v>
      </c>
      <c r="J4988" s="6">
        <v>17.25769751</v>
      </c>
      <c r="K4988" s="6">
        <v>-96.026896934999996</v>
      </c>
      <c r="L4988" s="6" t="str">
        <f>HYPERLINK("https://maps.google.com/?q=17.25769751,-96.026896935", "🔗 Ver Mapa")</f>
        <v>🔗 Ver Mapa</v>
      </c>
    </row>
    <row r="4989" spans="1:12" ht="43.5" x14ac:dyDescent="0.35">
      <c r="A4989" s="5" t="s">
        <v>329</v>
      </c>
      <c r="B4989" s="5" t="s">
        <v>330</v>
      </c>
      <c r="C4989" s="5" t="s">
        <v>1023</v>
      </c>
      <c r="D4989" s="5" t="s">
        <v>332</v>
      </c>
      <c r="E4989" s="5" t="s">
        <v>324</v>
      </c>
      <c r="F4989" s="5" t="s">
        <v>325</v>
      </c>
      <c r="G4989" s="5" t="s">
        <v>326</v>
      </c>
      <c r="H4989" s="5" t="s">
        <v>327</v>
      </c>
      <c r="I4989" s="5" t="s">
        <v>31</v>
      </c>
      <c r="J4989" s="5">
        <v>17.265509999999999</v>
      </c>
      <c r="K4989" s="5">
        <v>-96.561667999999997</v>
      </c>
      <c r="L4989" s="5" t="str">
        <f>HYPERLINK("https://maps.google.com/?q=17.26551,-96.561668", "🔗 Ver Mapa")</f>
        <v>🔗 Ver Mapa</v>
      </c>
    </row>
    <row r="4990" spans="1:12" ht="43.5" x14ac:dyDescent="0.35">
      <c r="A4990" s="6" t="s">
        <v>329</v>
      </c>
      <c r="B4990" s="6" t="s">
        <v>330</v>
      </c>
      <c r="C4990" s="6" t="s">
        <v>1023</v>
      </c>
      <c r="D4990" s="6" t="s">
        <v>332</v>
      </c>
      <c r="E4990" s="6" t="s">
        <v>324</v>
      </c>
      <c r="F4990" s="6" t="s">
        <v>325</v>
      </c>
      <c r="G4990" s="6" t="s">
        <v>326</v>
      </c>
      <c r="H4990" s="6" t="s">
        <v>327</v>
      </c>
      <c r="I4990" s="6" t="s">
        <v>31</v>
      </c>
      <c r="J4990" s="6">
        <v>17.267434600000001</v>
      </c>
      <c r="K4990" s="6">
        <v>-97.680737300000004</v>
      </c>
      <c r="L4990" s="6" t="str">
        <f>HYPERLINK("https://maps.google.com/?q=17.2674346,-97.6807373", "🔗 Ver Mapa")</f>
        <v>🔗 Ver Mapa</v>
      </c>
    </row>
    <row r="4991" spans="1:12" ht="43.5" x14ac:dyDescent="0.35">
      <c r="A4991" s="5" t="s">
        <v>329</v>
      </c>
      <c r="B4991" s="5" t="s">
        <v>330</v>
      </c>
      <c r="C4991" s="5" t="s">
        <v>1023</v>
      </c>
      <c r="D4991" s="5" t="s">
        <v>332</v>
      </c>
      <c r="E4991" s="5" t="s">
        <v>324</v>
      </c>
      <c r="F4991" s="5" t="s">
        <v>325</v>
      </c>
      <c r="G4991" s="5" t="s">
        <v>326</v>
      </c>
      <c r="H4991" s="5" t="s">
        <v>327</v>
      </c>
      <c r="I4991" s="5" t="s">
        <v>31</v>
      </c>
      <c r="J4991" s="5">
        <v>17.306438579999998</v>
      </c>
      <c r="K4991" s="5">
        <v>-96.445953619999997</v>
      </c>
      <c r="L4991" s="5" t="str">
        <f>HYPERLINK("https://maps.google.com/?q=17.30643858,-96.44595362", "🔗 Ver Mapa")</f>
        <v>🔗 Ver Mapa</v>
      </c>
    </row>
    <row r="4992" spans="1:12" ht="43.5" x14ac:dyDescent="0.35">
      <c r="A4992" s="6" t="s">
        <v>79</v>
      </c>
      <c r="B4992" s="6" t="s">
        <v>80</v>
      </c>
      <c r="C4992" s="6" t="s">
        <v>1024</v>
      </c>
      <c r="D4992" s="6" t="s">
        <v>82</v>
      </c>
      <c r="E4992" s="6" t="s">
        <v>52</v>
      </c>
      <c r="F4992" s="6" t="s">
        <v>70</v>
      </c>
      <c r="G4992" s="6" t="s">
        <v>601</v>
      </c>
      <c r="H4992" s="6" t="s">
        <v>602</v>
      </c>
      <c r="I4992" s="6" t="s">
        <v>31</v>
      </c>
      <c r="J4992" s="6">
        <v>17.055042265226</v>
      </c>
      <c r="K4992" s="6">
        <v>-96.653855212943995</v>
      </c>
      <c r="L4992" s="6" t="str">
        <f>HYPERLINK("https://maps.google.com/?q=17.055042265226106,-96.6538552129442", "🔗 Ver Mapa")</f>
        <v>🔗 Ver Mapa</v>
      </c>
    </row>
    <row r="4993" spans="1:12" ht="29" x14ac:dyDescent="0.35">
      <c r="A4993" s="5" t="s">
        <v>282</v>
      </c>
      <c r="B4993" s="5" t="s">
        <v>283</v>
      </c>
      <c r="C4993" s="5" t="s">
        <v>1025</v>
      </c>
      <c r="D4993" s="5" t="s">
        <v>76</v>
      </c>
      <c r="E4993" s="5" t="s">
        <v>52</v>
      </c>
      <c r="F4993" s="5" t="s">
        <v>70</v>
      </c>
      <c r="G4993" s="5" t="s">
        <v>71</v>
      </c>
      <c r="H4993" s="5" t="s">
        <v>72</v>
      </c>
      <c r="I4993" s="5" t="s">
        <v>31</v>
      </c>
      <c r="J4993" s="5">
        <v>17.049510000000001</v>
      </c>
      <c r="K4993" s="5">
        <v>-96.711960000000005</v>
      </c>
      <c r="L4993" s="5" t="str">
        <f>HYPERLINK("https://maps.google.com/?q=17.04951,-96.71196", "🔗 Ver Mapa")</f>
        <v>🔗 Ver Mapa</v>
      </c>
    </row>
    <row r="4994" spans="1:12" ht="58" x14ac:dyDescent="0.35">
      <c r="A4994" s="6" t="s">
        <v>73</v>
      </c>
      <c r="B4994" s="6" t="s">
        <v>74</v>
      </c>
      <c r="C4994" s="6" t="s">
        <v>1026</v>
      </c>
      <c r="D4994" s="6" t="s">
        <v>76</v>
      </c>
      <c r="E4994" s="6" t="s">
        <v>158</v>
      </c>
      <c r="F4994" s="6" t="s">
        <v>159</v>
      </c>
      <c r="G4994" s="6" t="s">
        <v>1012</v>
      </c>
      <c r="H4994" s="6" t="s">
        <v>1027</v>
      </c>
      <c r="I4994" s="6" t="s">
        <v>31</v>
      </c>
      <c r="J4994" s="6">
        <v>16.276756010193001</v>
      </c>
      <c r="K4994" s="6">
        <v>-94.530406394755005</v>
      </c>
      <c r="L4994" s="6" t="str">
        <f>HYPERLINK("https://maps.google.com/?q=16.27675601019252,-94.53040639475476", "🔗 Ver Mapa")</f>
        <v>🔗 Ver Mapa</v>
      </c>
    </row>
    <row r="4995" spans="1:12" ht="43.5" x14ac:dyDescent="0.35">
      <c r="A4995" s="5" t="s">
        <v>73</v>
      </c>
      <c r="B4995" s="5" t="s">
        <v>74</v>
      </c>
      <c r="C4995" s="5" t="s">
        <v>1028</v>
      </c>
      <c r="D4995" s="5" t="s">
        <v>76</v>
      </c>
      <c r="E4995" s="5" t="s">
        <v>17</v>
      </c>
      <c r="F4995" s="5" t="s">
        <v>59</v>
      </c>
      <c r="G4995" s="5" t="s">
        <v>1029</v>
      </c>
      <c r="H4995" s="5" t="s">
        <v>1030</v>
      </c>
      <c r="I4995" s="5" t="s">
        <v>31</v>
      </c>
      <c r="J4995" s="5">
        <v>16.442036286425001</v>
      </c>
      <c r="K4995" s="5">
        <v>-98.128006546622998</v>
      </c>
      <c r="L4995" s="5" t="str">
        <f>HYPERLINK("https://maps.google.com/?q=16.44203628642544,-98.1280065466225", "🔗 Ver Mapa")</f>
        <v>🔗 Ver Mapa</v>
      </c>
    </row>
    <row r="4996" spans="1:12" ht="58" x14ac:dyDescent="0.35">
      <c r="A4996" s="6" t="s">
        <v>73</v>
      </c>
      <c r="B4996" s="6" t="s">
        <v>74</v>
      </c>
      <c r="C4996" s="6" t="s">
        <v>1031</v>
      </c>
      <c r="D4996" s="6" t="s">
        <v>76</v>
      </c>
      <c r="E4996" s="6" t="s">
        <v>17</v>
      </c>
      <c r="F4996" s="6" t="s">
        <v>59</v>
      </c>
      <c r="G4996" s="6" t="s">
        <v>1029</v>
      </c>
      <c r="H4996" s="6" t="s">
        <v>1032</v>
      </c>
      <c r="I4996" s="6" t="s">
        <v>31</v>
      </c>
      <c r="J4996" s="6">
        <v>16.457534043664001</v>
      </c>
      <c r="K4996" s="6">
        <v>-98.156213542328004</v>
      </c>
      <c r="L4996" s="6" t="str">
        <f>HYPERLINK("https://maps.google.com/?q=16.457534043664385,-98.15621354232788", "🔗 Ver Mapa")</f>
        <v>🔗 Ver Mapa</v>
      </c>
    </row>
    <row r="4997" spans="1:12" ht="43.5" x14ac:dyDescent="0.35">
      <c r="A4997" s="5" t="s">
        <v>321</v>
      </c>
      <c r="B4997" s="5" t="s">
        <v>322</v>
      </c>
      <c r="C4997" s="5" t="s">
        <v>1033</v>
      </c>
      <c r="D4997" s="5" t="s">
        <v>69</v>
      </c>
      <c r="E4997" s="5" t="s">
        <v>324</v>
      </c>
      <c r="F4997" s="5" t="s">
        <v>325</v>
      </c>
      <c r="G4997" s="5" t="s">
        <v>326</v>
      </c>
      <c r="H4997" s="5" t="s">
        <v>327</v>
      </c>
      <c r="I4997" s="5" t="s">
        <v>31</v>
      </c>
      <c r="J4997" s="5">
        <v>15.746143999999999</v>
      </c>
      <c r="K4997" s="5">
        <v>-96.465182999999996</v>
      </c>
      <c r="L4997" s="5" t="str">
        <f>HYPERLINK("https://maps.google.com/?q=15.746144,-96.465182999999996", "🔗 Ver Mapa")</f>
        <v>🔗 Ver Mapa</v>
      </c>
    </row>
    <row r="4998" spans="1:12" ht="43.5" x14ac:dyDescent="0.35">
      <c r="A4998" s="6" t="s">
        <v>321</v>
      </c>
      <c r="B4998" s="6" t="s">
        <v>322</v>
      </c>
      <c r="C4998" s="6" t="s">
        <v>1033</v>
      </c>
      <c r="D4998" s="6" t="s">
        <v>69</v>
      </c>
      <c r="E4998" s="6" t="s">
        <v>324</v>
      </c>
      <c r="F4998" s="6" t="s">
        <v>325</v>
      </c>
      <c r="G4998" s="6" t="s">
        <v>326</v>
      </c>
      <c r="H4998" s="6" t="s">
        <v>327</v>
      </c>
      <c r="I4998" s="6" t="s">
        <v>31</v>
      </c>
      <c r="J4998" s="6">
        <v>16.237075999999998</v>
      </c>
      <c r="K4998" s="6">
        <v>-97.292351999999994</v>
      </c>
      <c r="L4998" s="6" t="str">
        <f>HYPERLINK("https://maps.google.com/?q=16.237076,-97.292351999999994", "🔗 Ver Mapa")</f>
        <v>🔗 Ver Mapa</v>
      </c>
    </row>
    <row r="4999" spans="1:12" ht="43.5" x14ac:dyDescent="0.35">
      <c r="A4999" s="5" t="s">
        <v>321</v>
      </c>
      <c r="B4999" s="5" t="s">
        <v>322</v>
      </c>
      <c r="C4999" s="5" t="s">
        <v>1033</v>
      </c>
      <c r="D4999" s="5" t="s">
        <v>69</v>
      </c>
      <c r="E4999" s="5" t="s">
        <v>324</v>
      </c>
      <c r="F4999" s="5" t="s">
        <v>325</v>
      </c>
      <c r="G4999" s="5" t="s">
        <v>326</v>
      </c>
      <c r="H4999" s="5" t="s">
        <v>327</v>
      </c>
      <c r="I4999" s="5" t="s">
        <v>31</v>
      </c>
      <c r="J4999" s="5">
        <v>16.332014000000001</v>
      </c>
      <c r="K4999" s="5">
        <v>-95.231966</v>
      </c>
      <c r="L4999" s="5" t="str">
        <f>HYPERLINK("https://maps.google.com/?q=16.332014,-95.231966", "🔗 Ver Mapa")</f>
        <v>🔗 Ver Mapa</v>
      </c>
    </row>
    <row r="5000" spans="1:12" ht="43.5" x14ac:dyDescent="0.35">
      <c r="A5000" s="6" t="s">
        <v>321</v>
      </c>
      <c r="B5000" s="6" t="s">
        <v>322</v>
      </c>
      <c r="C5000" s="6" t="s">
        <v>1033</v>
      </c>
      <c r="D5000" s="6" t="s">
        <v>69</v>
      </c>
      <c r="E5000" s="6" t="s">
        <v>324</v>
      </c>
      <c r="F5000" s="6" t="s">
        <v>325</v>
      </c>
      <c r="G5000" s="6" t="s">
        <v>326</v>
      </c>
      <c r="H5000" s="6" t="s">
        <v>327</v>
      </c>
      <c r="I5000" s="6" t="s">
        <v>31</v>
      </c>
      <c r="J5000" s="6">
        <v>16.433347000000001</v>
      </c>
      <c r="K5000" s="6">
        <v>-95.021687</v>
      </c>
      <c r="L5000" s="6" t="str">
        <f>HYPERLINK("https://maps.google.com/?q=16.433347,-95.021687", "🔗 Ver Mapa")</f>
        <v>🔗 Ver Mapa</v>
      </c>
    </row>
    <row r="5001" spans="1:12" ht="43.5" x14ac:dyDescent="0.35">
      <c r="A5001" s="5" t="s">
        <v>321</v>
      </c>
      <c r="B5001" s="5" t="s">
        <v>322</v>
      </c>
      <c r="C5001" s="5" t="s">
        <v>1033</v>
      </c>
      <c r="D5001" s="5" t="s">
        <v>69</v>
      </c>
      <c r="E5001" s="5" t="s">
        <v>324</v>
      </c>
      <c r="F5001" s="5" t="s">
        <v>325</v>
      </c>
      <c r="G5001" s="5" t="s">
        <v>326</v>
      </c>
      <c r="H5001" s="5" t="s">
        <v>327</v>
      </c>
      <c r="I5001" s="5" t="s">
        <v>31</v>
      </c>
      <c r="J5001" s="5">
        <v>16.519807</v>
      </c>
      <c r="K5001" s="5">
        <v>-96.983885000000001</v>
      </c>
      <c r="L5001" s="5" t="str">
        <f>HYPERLINK("https://maps.google.com/?q=16.519807,-96.983885000000001", "🔗 Ver Mapa")</f>
        <v>🔗 Ver Mapa</v>
      </c>
    </row>
    <row r="5002" spans="1:12" ht="43.5" x14ac:dyDescent="0.35">
      <c r="A5002" s="6" t="s">
        <v>321</v>
      </c>
      <c r="B5002" s="6" t="s">
        <v>322</v>
      </c>
      <c r="C5002" s="6" t="s">
        <v>1033</v>
      </c>
      <c r="D5002" s="6" t="s">
        <v>69</v>
      </c>
      <c r="E5002" s="6" t="s">
        <v>324</v>
      </c>
      <c r="F5002" s="6" t="s">
        <v>325</v>
      </c>
      <c r="G5002" s="6" t="s">
        <v>326</v>
      </c>
      <c r="H5002" s="6" t="s">
        <v>327</v>
      </c>
      <c r="I5002" s="6" t="s">
        <v>31</v>
      </c>
      <c r="J5002" s="6">
        <v>16.564243999999999</v>
      </c>
      <c r="K5002" s="6">
        <v>-96.731829000000005</v>
      </c>
      <c r="L5002" s="6" t="str">
        <f>HYPERLINK("https://maps.google.com/?q=16.564244,-96.731829000000005", "🔗 Ver Mapa")</f>
        <v>🔗 Ver Mapa</v>
      </c>
    </row>
    <row r="5003" spans="1:12" ht="43.5" x14ac:dyDescent="0.35">
      <c r="A5003" s="5" t="s">
        <v>321</v>
      </c>
      <c r="B5003" s="5" t="s">
        <v>322</v>
      </c>
      <c r="C5003" s="5" t="s">
        <v>1033</v>
      </c>
      <c r="D5003" s="5" t="s">
        <v>69</v>
      </c>
      <c r="E5003" s="5" t="s">
        <v>324</v>
      </c>
      <c r="F5003" s="5" t="s">
        <v>325</v>
      </c>
      <c r="G5003" s="5" t="s">
        <v>326</v>
      </c>
      <c r="H5003" s="5" t="s">
        <v>327</v>
      </c>
      <c r="I5003" s="5" t="s">
        <v>31</v>
      </c>
      <c r="J5003" s="5">
        <v>16.866371000000001</v>
      </c>
      <c r="K5003" s="5">
        <v>-96.785623000000001</v>
      </c>
      <c r="L5003" s="5" t="str">
        <f>HYPERLINK("https://maps.google.com/?q=16.866371,-96.785623000000001", "🔗 Ver Mapa")</f>
        <v>🔗 Ver Mapa</v>
      </c>
    </row>
    <row r="5004" spans="1:12" ht="43.5" x14ac:dyDescent="0.35">
      <c r="A5004" s="6" t="s">
        <v>321</v>
      </c>
      <c r="B5004" s="6" t="s">
        <v>322</v>
      </c>
      <c r="C5004" s="6" t="s">
        <v>1033</v>
      </c>
      <c r="D5004" s="6" t="s">
        <v>69</v>
      </c>
      <c r="E5004" s="6" t="s">
        <v>324</v>
      </c>
      <c r="F5004" s="6" t="s">
        <v>325</v>
      </c>
      <c r="G5004" s="6" t="s">
        <v>326</v>
      </c>
      <c r="H5004" s="6" t="s">
        <v>327</v>
      </c>
      <c r="I5004" s="6" t="s">
        <v>31</v>
      </c>
      <c r="J5004" s="6">
        <v>16.955580000000001</v>
      </c>
      <c r="K5004" s="6">
        <v>-96.479206000000005</v>
      </c>
      <c r="L5004" s="6" t="str">
        <f>HYPERLINK("https://maps.google.com/?q=16.95558,-96.479206000000005", "🔗 Ver Mapa")</f>
        <v>🔗 Ver Mapa</v>
      </c>
    </row>
    <row r="5005" spans="1:12" ht="43.5" x14ac:dyDescent="0.35">
      <c r="A5005" s="5" t="s">
        <v>321</v>
      </c>
      <c r="B5005" s="5" t="s">
        <v>322</v>
      </c>
      <c r="C5005" s="5" t="s">
        <v>1033</v>
      </c>
      <c r="D5005" s="5" t="s">
        <v>69</v>
      </c>
      <c r="E5005" s="5" t="s">
        <v>324</v>
      </c>
      <c r="F5005" s="5" t="s">
        <v>325</v>
      </c>
      <c r="G5005" s="5" t="s">
        <v>326</v>
      </c>
      <c r="H5005" s="5" t="s">
        <v>327</v>
      </c>
      <c r="I5005" s="5" t="s">
        <v>31</v>
      </c>
      <c r="J5005" s="5">
        <v>17.026216000000002</v>
      </c>
      <c r="K5005" s="5">
        <v>-97.928115000000005</v>
      </c>
      <c r="L5005" s="5" t="str">
        <f>HYPERLINK("https://maps.google.com/?q=17.026216,-97.928115000000005", "🔗 Ver Mapa")</f>
        <v>🔗 Ver Mapa</v>
      </c>
    </row>
    <row r="5006" spans="1:12" ht="43.5" x14ac:dyDescent="0.35">
      <c r="A5006" s="6" t="s">
        <v>321</v>
      </c>
      <c r="B5006" s="6" t="s">
        <v>322</v>
      </c>
      <c r="C5006" s="6" t="s">
        <v>1033</v>
      </c>
      <c r="D5006" s="6" t="s">
        <v>69</v>
      </c>
      <c r="E5006" s="6" t="s">
        <v>324</v>
      </c>
      <c r="F5006" s="6" t="s">
        <v>325</v>
      </c>
      <c r="G5006" s="6" t="s">
        <v>326</v>
      </c>
      <c r="H5006" s="6" t="s">
        <v>327</v>
      </c>
      <c r="I5006" s="6" t="s">
        <v>31</v>
      </c>
      <c r="J5006" s="6">
        <v>17.063777999999999</v>
      </c>
      <c r="K5006" s="6">
        <v>-96.729971000000006</v>
      </c>
      <c r="L5006" s="6" t="str">
        <f>HYPERLINK("https://maps.google.com/?q=17.063778,-96.729971000000006", "🔗 Ver Mapa")</f>
        <v>🔗 Ver Mapa</v>
      </c>
    </row>
    <row r="5007" spans="1:12" ht="43.5" x14ac:dyDescent="0.35">
      <c r="A5007" s="5" t="s">
        <v>321</v>
      </c>
      <c r="B5007" s="5" t="s">
        <v>322</v>
      </c>
      <c r="C5007" s="5" t="s">
        <v>1033</v>
      </c>
      <c r="D5007" s="5" t="s">
        <v>69</v>
      </c>
      <c r="E5007" s="5" t="s">
        <v>324</v>
      </c>
      <c r="F5007" s="5" t="s">
        <v>325</v>
      </c>
      <c r="G5007" s="5" t="s">
        <v>326</v>
      </c>
      <c r="H5007" s="5" t="s">
        <v>327</v>
      </c>
      <c r="I5007" s="5" t="s">
        <v>31</v>
      </c>
      <c r="J5007" s="5">
        <v>17.267448999999999</v>
      </c>
      <c r="K5007" s="5">
        <v>-97.680485000000004</v>
      </c>
      <c r="L5007" s="5" t="str">
        <f>HYPERLINK("https://maps.google.com/?q=17.267449,-97.680485000000004", "🔗 Ver Mapa")</f>
        <v>🔗 Ver Mapa</v>
      </c>
    </row>
    <row r="5008" spans="1:12" ht="43.5" x14ac:dyDescent="0.35">
      <c r="A5008" s="6" t="s">
        <v>321</v>
      </c>
      <c r="B5008" s="6" t="s">
        <v>322</v>
      </c>
      <c r="C5008" s="6" t="s">
        <v>1033</v>
      </c>
      <c r="D5008" s="6" t="s">
        <v>69</v>
      </c>
      <c r="E5008" s="6" t="s">
        <v>324</v>
      </c>
      <c r="F5008" s="6" t="s">
        <v>325</v>
      </c>
      <c r="G5008" s="6" t="s">
        <v>326</v>
      </c>
      <c r="H5008" s="6" t="s">
        <v>327</v>
      </c>
      <c r="I5008" s="6" t="s">
        <v>31</v>
      </c>
      <c r="J5008" s="6">
        <v>17.331247999999999</v>
      </c>
      <c r="K5008" s="6">
        <v>-96.487900999999994</v>
      </c>
      <c r="L5008" s="6" t="str">
        <f>HYPERLINK("https://maps.google.com/?q=17.331248,-96.487900999999994", "🔗 Ver Mapa")</f>
        <v>🔗 Ver Mapa</v>
      </c>
    </row>
    <row r="5009" spans="1:12" ht="43.5" x14ac:dyDescent="0.35">
      <c r="A5009" s="5" t="s">
        <v>321</v>
      </c>
      <c r="B5009" s="5" t="s">
        <v>322</v>
      </c>
      <c r="C5009" s="5" t="s">
        <v>1033</v>
      </c>
      <c r="D5009" s="5" t="s">
        <v>69</v>
      </c>
      <c r="E5009" s="5" t="s">
        <v>324</v>
      </c>
      <c r="F5009" s="5" t="s">
        <v>325</v>
      </c>
      <c r="G5009" s="5" t="s">
        <v>326</v>
      </c>
      <c r="H5009" s="5" t="s">
        <v>327</v>
      </c>
      <c r="I5009" s="5" t="s">
        <v>31</v>
      </c>
      <c r="J5009" s="5">
        <v>17.335315999999999</v>
      </c>
      <c r="K5009" s="5">
        <v>-98.012051</v>
      </c>
      <c r="L5009" s="5" t="str">
        <f>HYPERLINK("https://maps.google.com/?q=17.335316,-98.012051", "🔗 Ver Mapa")</f>
        <v>🔗 Ver Mapa</v>
      </c>
    </row>
    <row r="5010" spans="1:12" ht="43.5" x14ac:dyDescent="0.35">
      <c r="A5010" s="6" t="s">
        <v>321</v>
      </c>
      <c r="B5010" s="6" t="s">
        <v>322</v>
      </c>
      <c r="C5010" s="6" t="s">
        <v>1033</v>
      </c>
      <c r="D5010" s="6" t="s">
        <v>69</v>
      </c>
      <c r="E5010" s="6" t="s">
        <v>324</v>
      </c>
      <c r="F5010" s="6" t="s">
        <v>325</v>
      </c>
      <c r="G5010" s="6" t="s">
        <v>326</v>
      </c>
      <c r="H5010" s="6" t="s">
        <v>327</v>
      </c>
      <c r="I5010" s="6" t="s">
        <v>31</v>
      </c>
      <c r="J5010" s="6">
        <v>17.458341000000001</v>
      </c>
      <c r="K5010" s="6">
        <v>-97.225285</v>
      </c>
      <c r="L5010" s="6" t="str">
        <f>HYPERLINK("https://maps.google.com/?q=17.458341,-97.225285", "🔗 Ver Mapa")</f>
        <v>🔗 Ver Mapa</v>
      </c>
    </row>
    <row r="5011" spans="1:12" ht="43.5" x14ac:dyDescent="0.35">
      <c r="A5011" s="5" t="s">
        <v>321</v>
      </c>
      <c r="B5011" s="5" t="s">
        <v>322</v>
      </c>
      <c r="C5011" s="5" t="s">
        <v>1033</v>
      </c>
      <c r="D5011" s="5" t="s">
        <v>69</v>
      </c>
      <c r="E5011" s="5" t="s">
        <v>324</v>
      </c>
      <c r="F5011" s="5" t="s">
        <v>325</v>
      </c>
      <c r="G5011" s="5" t="s">
        <v>326</v>
      </c>
      <c r="H5011" s="5" t="s">
        <v>327</v>
      </c>
      <c r="I5011" s="5" t="s">
        <v>31</v>
      </c>
      <c r="J5011" s="5">
        <v>17.806621</v>
      </c>
      <c r="K5011" s="5">
        <v>-97.776161999999999</v>
      </c>
      <c r="L5011" s="5" t="str">
        <f>HYPERLINK("https://maps.google.com/?q=17.806621,-97.776161999999999", "🔗 Ver Mapa")</f>
        <v>🔗 Ver Mapa</v>
      </c>
    </row>
    <row r="5012" spans="1:12" ht="43.5" x14ac:dyDescent="0.35">
      <c r="A5012" s="6" t="s">
        <v>321</v>
      </c>
      <c r="B5012" s="6" t="s">
        <v>322</v>
      </c>
      <c r="C5012" s="6" t="s">
        <v>1033</v>
      </c>
      <c r="D5012" s="6" t="s">
        <v>69</v>
      </c>
      <c r="E5012" s="6" t="s">
        <v>324</v>
      </c>
      <c r="F5012" s="6" t="s">
        <v>325</v>
      </c>
      <c r="G5012" s="6" t="s">
        <v>326</v>
      </c>
      <c r="H5012" s="6" t="s">
        <v>327</v>
      </c>
      <c r="I5012" s="6" t="s">
        <v>31</v>
      </c>
      <c r="J5012" s="6">
        <v>18.081168999999999</v>
      </c>
      <c r="K5012" s="6">
        <v>-96.118475000000004</v>
      </c>
      <c r="L5012" s="6" t="str">
        <f>HYPERLINK("https://maps.google.com/?q=18.081169,-96.118475000000004", "🔗 Ver Mapa")</f>
        <v>🔗 Ver Mapa</v>
      </c>
    </row>
    <row r="5013" spans="1:12" ht="43.5" x14ac:dyDescent="0.35">
      <c r="A5013" s="5" t="s">
        <v>321</v>
      </c>
      <c r="B5013" s="5" t="s">
        <v>322</v>
      </c>
      <c r="C5013" s="5" t="s">
        <v>1033</v>
      </c>
      <c r="D5013" s="5" t="s">
        <v>69</v>
      </c>
      <c r="E5013" s="5" t="s">
        <v>324</v>
      </c>
      <c r="F5013" s="5" t="s">
        <v>325</v>
      </c>
      <c r="G5013" s="5" t="s">
        <v>326</v>
      </c>
      <c r="H5013" s="5" t="s">
        <v>327</v>
      </c>
      <c r="I5013" s="5" t="s">
        <v>31</v>
      </c>
      <c r="J5013" s="5">
        <v>18.13222</v>
      </c>
      <c r="K5013" s="5">
        <v>-97.070751000000001</v>
      </c>
      <c r="L5013" s="5" t="str">
        <f>HYPERLINK("https://maps.google.com/?q=18.13222,-97.070751000000001", "🔗 Ver Mapa")</f>
        <v>🔗 Ver Mapa</v>
      </c>
    </row>
    <row r="5014" spans="1:12" ht="58" x14ac:dyDescent="0.35">
      <c r="A5014" s="6" t="s">
        <v>321</v>
      </c>
      <c r="B5014" s="6" t="s">
        <v>322</v>
      </c>
      <c r="C5014" s="6" t="s">
        <v>1034</v>
      </c>
      <c r="D5014" s="6" t="s">
        <v>69</v>
      </c>
      <c r="E5014" s="6" t="s">
        <v>52</v>
      </c>
      <c r="F5014" s="6" t="s">
        <v>70</v>
      </c>
      <c r="G5014" s="6" t="s">
        <v>71</v>
      </c>
      <c r="H5014" s="6" t="s">
        <v>1035</v>
      </c>
      <c r="I5014" s="6" t="s">
        <v>31</v>
      </c>
      <c r="J5014" s="6">
        <v>17.048821799801001</v>
      </c>
      <c r="K5014" s="6">
        <v>-96.727758313297997</v>
      </c>
      <c r="L5014" s="6" t="str">
        <f>HYPERLINK("https://maps.google.com/?q=17.04882179980103,-96.72775831329831", "🔗 Ver Mapa")</f>
        <v>🔗 Ver Mapa</v>
      </c>
    </row>
    <row r="5015" spans="1:12" ht="58" x14ac:dyDescent="0.35">
      <c r="A5015" s="5" t="s">
        <v>288</v>
      </c>
      <c r="B5015" s="5" t="s">
        <v>289</v>
      </c>
      <c r="C5015" s="5" t="s">
        <v>1036</v>
      </c>
      <c r="D5015" s="5" t="s">
        <v>414</v>
      </c>
      <c r="E5015" s="5" t="s">
        <v>90</v>
      </c>
      <c r="F5015" s="5" t="s">
        <v>119</v>
      </c>
      <c r="G5015" s="5" t="s">
        <v>1037</v>
      </c>
      <c r="H5015" s="5" t="s">
        <v>1038</v>
      </c>
      <c r="I5015" s="5" t="s">
        <v>31</v>
      </c>
      <c r="J5015" s="5">
        <v>17.373562521265999</v>
      </c>
      <c r="K5015" s="5">
        <v>-96.333382294477005</v>
      </c>
      <c r="L5015" s="5" t="str">
        <f>HYPERLINK("https://maps.google.com/?q=17.37356252126644,-96.33338229447746", "🔗 Ver Mapa")</f>
        <v>🔗 Ver Mapa</v>
      </c>
    </row>
    <row r="5016" spans="1:12" ht="58" x14ac:dyDescent="0.35">
      <c r="A5016" s="6" t="s">
        <v>288</v>
      </c>
      <c r="B5016" s="6" t="s">
        <v>289</v>
      </c>
      <c r="C5016" s="6" t="s">
        <v>1036</v>
      </c>
      <c r="D5016" s="6" t="s">
        <v>414</v>
      </c>
      <c r="E5016" s="6" t="s">
        <v>90</v>
      </c>
      <c r="F5016" s="6" t="s">
        <v>119</v>
      </c>
      <c r="G5016" s="6" t="s">
        <v>1037</v>
      </c>
      <c r="H5016" s="6" t="s">
        <v>1038</v>
      </c>
      <c r="I5016" s="6" t="s">
        <v>31</v>
      </c>
      <c r="J5016" s="6">
        <v>17.373772722097002</v>
      </c>
      <c r="K5016" s="6">
        <v>-96.331574953373007</v>
      </c>
      <c r="L5016" s="6" t="str">
        <f>HYPERLINK("https://maps.google.com/?q=17.373772722097314,-96.33157495337295", "🔗 Ver Mapa")</f>
        <v>🔗 Ver Mapa</v>
      </c>
    </row>
    <row r="5017" spans="1:12" ht="58" x14ac:dyDescent="0.35">
      <c r="A5017" s="5" t="s">
        <v>288</v>
      </c>
      <c r="B5017" s="5" t="s">
        <v>289</v>
      </c>
      <c r="C5017" s="5" t="s">
        <v>1036</v>
      </c>
      <c r="D5017" s="5" t="s">
        <v>414</v>
      </c>
      <c r="E5017" s="5" t="s">
        <v>90</v>
      </c>
      <c r="F5017" s="5" t="s">
        <v>119</v>
      </c>
      <c r="G5017" s="5" t="s">
        <v>1037</v>
      </c>
      <c r="H5017" s="5" t="s">
        <v>1038</v>
      </c>
      <c r="I5017" s="5" t="s">
        <v>31</v>
      </c>
      <c r="J5017" s="5">
        <v>17.373803160242002</v>
      </c>
      <c r="K5017" s="5">
        <v>-96.332470000000001</v>
      </c>
      <c r="L5017" s="5" t="str">
        <f>HYPERLINK("https://maps.google.com/?q=17.37380316024234,-96.33246999999999", "🔗 Ver Mapa")</f>
        <v>🔗 Ver Mapa</v>
      </c>
    </row>
    <row r="5018" spans="1:12" ht="43.5" x14ac:dyDescent="0.35">
      <c r="A5018" s="6" t="s">
        <v>288</v>
      </c>
      <c r="B5018" s="6" t="s">
        <v>289</v>
      </c>
      <c r="C5018" s="6" t="s">
        <v>1039</v>
      </c>
      <c r="D5018" s="6" t="s">
        <v>414</v>
      </c>
      <c r="E5018" s="6" t="s">
        <v>90</v>
      </c>
      <c r="F5018" s="6" t="s">
        <v>678</v>
      </c>
      <c r="G5018" s="6" t="s">
        <v>1040</v>
      </c>
      <c r="H5018" s="6" t="s">
        <v>1041</v>
      </c>
      <c r="I5018" s="6" t="s">
        <v>31</v>
      </c>
      <c r="J5018" s="6">
        <v>17.249715999999999</v>
      </c>
      <c r="K5018" s="6">
        <v>-96.152833000000001</v>
      </c>
      <c r="L5018" s="6" t="str">
        <f>HYPERLINK("https://maps.google.com/?q=17.249716,-96.152833000000001", "🔗 Ver Mapa")</f>
        <v>🔗 Ver Mapa</v>
      </c>
    </row>
    <row r="5019" spans="1:12" ht="43.5" x14ac:dyDescent="0.35">
      <c r="A5019" s="5" t="s">
        <v>288</v>
      </c>
      <c r="B5019" s="5" t="s">
        <v>289</v>
      </c>
      <c r="C5019" s="5" t="s">
        <v>1039</v>
      </c>
      <c r="D5019" s="5" t="s">
        <v>414</v>
      </c>
      <c r="E5019" s="5" t="s">
        <v>90</v>
      </c>
      <c r="F5019" s="5" t="s">
        <v>678</v>
      </c>
      <c r="G5019" s="5" t="s">
        <v>1040</v>
      </c>
      <c r="H5019" s="5" t="s">
        <v>1041</v>
      </c>
      <c r="I5019" s="5" t="s">
        <v>31</v>
      </c>
      <c r="J5019" s="5">
        <v>17.249935000000001</v>
      </c>
      <c r="K5019" s="5">
        <v>-96.152922000000004</v>
      </c>
      <c r="L5019" s="5" t="str">
        <f>HYPERLINK("https://maps.google.com/?q=17.249935,-96.152922000000004", "🔗 Ver Mapa")</f>
        <v>🔗 Ver Mapa</v>
      </c>
    </row>
    <row r="5020" spans="1:12" ht="43.5" x14ac:dyDescent="0.35">
      <c r="A5020" s="6" t="s">
        <v>288</v>
      </c>
      <c r="B5020" s="6" t="s">
        <v>289</v>
      </c>
      <c r="C5020" s="6" t="s">
        <v>1039</v>
      </c>
      <c r="D5020" s="6" t="s">
        <v>414</v>
      </c>
      <c r="E5020" s="6" t="s">
        <v>90</v>
      </c>
      <c r="F5020" s="6" t="s">
        <v>678</v>
      </c>
      <c r="G5020" s="6" t="s">
        <v>1040</v>
      </c>
      <c r="H5020" s="6" t="s">
        <v>1041</v>
      </c>
      <c r="I5020" s="6" t="s">
        <v>31</v>
      </c>
      <c r="J5020" s="6">
        <v>17.250167999999999</v>
      </c>
      <c r="K5020" s="6">
        <v>-96.152994000000007</v>
      </c>
      <c r="L5020" s="6" t="str">
        <f>HYPERLINK("https://maps.google.com/?q=17.250168,-96.152994000000007", "🔗 Ver Mapa")</f>
        <v>🔗 Ver Mapa</v>
      </c>
    </row>
    <row r="5021" spans="1:12" ht="43.5" x14ac:dyDescent="0.35">
      <c r="A5021" s="5" t="s">
        <v>288</v>
      </c>
      <c r="B5021" s="5" t="s">
        <v>289</v>
      </c>
      <c r="C5021" s="5" t="s">
        <v>1039</v>
      </c>
      <c r="D5021" s="5" t="s">
        <v>414</v>
      </c>
      <c r="E5021" s="5" t="s">
        <v>90</v>
      </c>
      <c r="F5021" s="5" t="s">
        <v>678</v>
      </c>
      <c r="G5021" s="5" t="s">
        <v>1040</v>
      </c>
      <c r="H5021" s="5" t="s">
        <v>1041</v>
      </c>
      <c r="I5021" s="5" t="s">
        <v>31</v>
      </c>
      <c r="J5021" s="5">
        <v>17.250374999999998</v>
      </c>
      <c r="K5021" s="5">
        <v>-96.153087999999997</v>
      </c>
      <c r="L5021" s="5" t="str">
        <f>HYPERLINK("https://maps.google.com/?q=17.250375,-96.153087999999997", "🔗 Ver Mapa")</f>
        <v>🔗 Ver Mapa</v>
      </c>
    </row>
    <row r="5022" spans="1:12" ht="43.5" x14ac:dyDescent="0.35">
      <c r="A5022" s="6" t="s">
        <v>288</v>
      </c>
      <c r="B5022" s="6" t="s">
        <v>289</v>
      </c>
      <c r="C5022" s="6" t="s">
        <v>1039</v>
      </c>
      <c r="D5022" s="6" t="s">
        <v>414</v>
      </c>
      <c r="E5022" s="6" t="s">
        <v>90</v>
      </c>
      <c r="F5022" s="6" t="s">
        <v>678</v>
      </c>
      <c r="G5022" s="6" t="s">
        <v>1040</v>
      </c>
      <c r="H5022" s="6" t="s">
        <v>1041</v>
      </c>
      <c r="I5022" s="6" t="s">
        <v>31</v>
      </c>
      <c r="J5022" s="6">
        <v>17.250571000000001</v>
      </c>
      <c r="K5022" s="6">
        <v>-96.152151000000003</v>
      </c>
      <c r="L5022" s="6" t="str">
        <f>HYPERLINK("https://maps.google.com/?q=17.250571,-96.152151000000003", "🔗 Ver Mapa")</f>
        <v>🔗 Ver Mapa</v>
      </c>
    </row>
    <row r="5023" spans="1:12" ht="43.5" x14ac:dyDescent="0.35">
      <c r="A5023" s="5" t="s">
        <v>288</v>
      </c>
      <c r="B5023" s="5" t="s">
        <v>289</v>
      </c>
      <c r="C5023" s="5" t="s">
        <v>1039</v>
      </c>
      <c r="D5023" s="5" t="s">
        <v>414</v>
      </c>
      <c r="E5023" s="5" t="s">
        <v>90</v>
      </c>
      <c r="F5023" s="5" t="s">
        <v>678</v>
      </c>
      <c r="G5023" s="5" t="s">
        <v>1040</v>
      </c>
      <c r="H5023" s="5" t="s">
        <v>1041</v>
      </c>
      <c r="I5023" s="5" t="s">
        <v>31</v>
      </c>
      <c r="J5023" s="5">
        <v>17.250606999999999</v>
      </c>
      <c r="K5023" s="5">
        <v>-96.153130000000004</v>
      </c>
      <c r="L5023" s="5" t="str">
        <f>HYPERLINK("https://maps.google.com/?q=17.250607,-96.153130000000004", "🔗 Ver Mapa")</f>
        <v>🔗 Ver Mapa</v>
      </c>
    </row>
    <row r="5024" spans="1:12" ht="43.5" x14ac:dyDescent="0.35">
      <c r="A5024" s="6" t="s">
        <v>288</v>
      </c>
      <c r="B5024" s="6" t="s">
        <v>289</v>
      </c>
      <c r="C5024" s="6" t="s">
        <v>1039</v>
      </c>
      <c r="D5024" s="6" t="s">
        <v>414</v>
      </c>
      <c r="E5024" s="6" t="s">
        <v>90</v>
      </c>
      <c r="F5024" s="6" t="s">
        <v>678</v>
      </c>
      <c r="G5024" s="6" t="s">
        <v>1040</v>
      </c>
      <c r="H5024" s="6" t="s">
        <v>1041</v>
      </c>
      <c r="I5024" s="6" t="s">
        <v>31</v>
      </c>
      <c r="J5024" s="6">
        <v>17.250630999999998</v>
      </c>
      <c r="K5024" s="6">
        <v>-96.151877999999996</v>
      </c>
      <c r="L5024" s="6" t="str">
        <f>HYPERLINK("https://maps.google.com/?q=17.250631,-96.151877999999996", "🔗 Ver Mapa")</f>
        <v>🔗 Ver Mapa</v>
      </c>
    </row>
    <row r="5025" spans="1:12" ht="43.5" x14ac:dyDescent="0.35">
      <c r="A5025" s="5" t="s">
        <v>288</v>
      </c>
      <c r="B5025" s="5" t="s">
        <v>289</v>
      </c>
      <c r="C5025" s="5" t="s">
        <v>1039</v>
      </c>
      <c r="D5025" s="5" t="s">
        <v>414</v>
      </c>
      <c r="E5025" s="5" t="s">
        <v>90</v>
      </c>
      <c r="F5025" s="5" t="s">
        <v>678</v>
      </c>
      <c r="G5025" s="5" t="s">
        <v>1040</v>
      </c>
      <c r="H5025" s="5" t="s">
        <v>1041</v>
      </c>
      <c r="I5025" s="5" t="s">
        <v>31</v>
      </c>
      <c r="J5025" s="5">
        <v>17.250632</v>
      </c>
      <c r="K5025" s="5">
        <v>-96.151332999999994</v>
      </c>
      <c r="L5025" s="5" t="str">
        <f>HYPERLINK("https://maps.google.com/?q=17.250632,-96.151332999999994", "🔗 Ver Mapa")</f>
        <v>🔗 Ver Mapa</v>
      </c>
    </row>
    <row r="5026" spans="1:12" ht="43.5" x14ac:dyDescent="0.35">
      <c r="A5026" s="6" t="s">
        <v>288</v>
      </c>
      <c r="B5026" s="6" t="s">
        <v>289</v>
      </c>
      <c r="C5026" s="6" t="s">
        <v>1039</v>
      </c>
      <c r="D5026" s="6" t="s">
        <v>414</v>
      </c>
      <c r="E5026" s="6" t="s">
        <v>90</v>
      </c>
      <c r="F5026" s="6" t="s">
        <v>678</v>
      </c>
      <c r="G5026" s="6" t="s">
        <v>1040</v>
      </c>
      <c r="H5026" s="6" t="s">
        <v>1041</v>
      </c>
      <c r="I5026" s="6" t="s">
        <v>31</v>
      </c>
      <c r="J5026" s="6">
        <v>17.250737000000001</v>
      </c>
      <c r="K5026" s="6">
        <v>-96.152365000000003</v>
      </c>
      <c r="L5026" s="6" t="str">
        <f>HYPERLINK("https://maps.google.com/?q=17.250737,-96.152365000000003", "🔗 Ver Mapa")</f>
        <v>🔗 Ver Mapa</v>
      </c>
    </row>
    <row r="5027" spans="1:12" ht="43.5" x14ac:dyDescent="0.35">
      <c r="A5027" s="5" t="s">
        <v>288</v>
      </c>
      <c r="B5027" s="5" t="s">
        <v>289</v>
      </c>
      <c r="C5027" s="5" t="s">
        <v>1039</v>
      </c>
      <c r="D5027" s="5" t="s">
        <v>414</v>
      </c>
      <c r="E5027" s="5" t="s">
        <v>90</v>
      </c>
      <c r="F5027" s="5" t="s">
        <v>678</v>
      </c>
      <c r="G5027" s="5" t="s">
        <v>1040</v>
      </c>
      <c r="H5027" s="5" t="s">
        <v>1041</v>
      </c>
      <c r="I5027" s="5" t="s">
        <v>31</v>
      </c>
      <c r="J5027" s="5">
        <v>17.250755999999999</v>
      </c>
      <c r="K5027" s="5">
        <v>-96.151791000000003</v>
      </c>
      <c r="L5027" s="5" t="str">
        <f>HYPERLINK("https://maps.google.com/?q=17.250756,-96.151791000000003", "🔗 Ver Mapa")</f>
        <v>🔗 Ver Mapa</v>
      </c>
    </row>
    <row r="5028" spans="1:12" ht="43.5" x14ac:dyDescent="0.35">
      <c r="A5028" s="6" t="s">
        <v>288</v>
      </c>
      <c r="B5028" s="6" t="s">
        <v>289</v>
      </c>
      <c r="C5028" s="6" t="s">
        <v>1039</v>
      </c>
      <c r="D5028" s="6" t="s">
        <v>414</v>
      </c>
      <c r="E5028" s="6" t="s">
        <v>90</v>
      </c>
      <c r="F5028" s="6" t="s">
        <v>678</v>
      </c>
      <c r="G5028" s="6" t="s">
        <v>1040</v>
      </c>
      <c r="H5028" s="6" t="s">
        <v>1041</v>
      </c>
      <c r="I5028" s="6" t="s">
        <v>31</v>
      </c>
      <c r="J5028" s="6">
        <v>17.250788</v>
      </c>
      <c r="K5028" s="6">
        <v>-96.151509000000004</v>
      </c>
      <c r="L5028" s="6" t="str">
        <f>HYPERLINK("https://maps.google.com/?q=17.250788,-96.151509000000004", "🔗 Ver Mapa")</f>
        <v>🔗 Ver Mapa</v>
      </c>
    </row>
    <row r="5029" spans="1:12" ht="43.5" x14ac:dyDescent="0.35">
      <c r="A5029" s="5" t="s">
        <v>288</v>
      </c>
      <c r="B5029" s="5" t="s">
        <v>289</v>
      </c>
      <c r="C5029" s="5" t="s">
        <v>1039</v>
      </c>
      <c r="D5029" s="5" t="s">
        <v>414</v>
      </c>
      <c r="E5029" s="5" t="s">
        <v>90</v>
      </c>
      <c r="F5029" s="5" t="s">
        <v>678</v>
      </c>
      <c r="G5029" s="5" t="s">
        <v>1040</v>
      </c>
      <c r="H5029" s="5" t="s">
        <v>1041</v>
      </c>
      <c r="I5029" s="5" t="s">
        <v>31</v>
      </c>
      <c r="J5029" s="5">
        <v>17.250827999999998</v>
      </c>
      <c r="K5029" s="5">
        <v>-96.153154999999998</v>
      </c>
      <c r="L5029" s="5" t="str">
        <f>HYPERLINK("https://maps.google.com/?q=17.250828,-96.153154999999998", "🔗 Ver Mapa")</f>
        <v>🔗 Ver Mapa</v>
      </c>
    </row>
    <row r="5030" spans="1:12" ht="43.5" x14ac:dyDescent="0.35">
      <c r="A5030" s="6" t="s">
        <v>288</v>
      </c>
      <c r="B5030" s="6" t="s">
        <v>289</v>
      </c>
      <c r="C5030" s="6" t="s">
        <v>1039</v>
      </c>
      <c r="D5030" s="6" t="s">
        <v>414</v>
      </c>
      <c r="E5030" s="6" t="s">
        <v>90</v>
      </c>
      <c r="F5030" s="6" t="s">
        <v>678</v>
      </c>
      <c r="G5030" s="6" t="s">
        <v>1040</v>
      </c>
      <c r="H5030" s="6" t="s">
        <v>1041</v>
      </c>
      <c r="I5030" s="6" t="s">
        <v>31</v>
      </c>
      <c r="J5030" s="6">
        <v>17.250983000000002</v>
      </c>
      <c r="K5030" s="6">
        <v>-96.152493000000007</v>
      </c>
      <c r="L5030" s="6" t="str">
        <f>HYPERLINK("https://maps.google.com/?q=17.250983,-96.152493000000007", "🔗 Ver Mapa")</f>
        <v>🔗 Ver Mapa</v>
      </c>
    </row>
    <row r="5031" spans="1:12" ht="43.5" x14ac:dyDescent="0.35">
      <c r="A5031" s="5" t="s">
        <v>288</v>
      </c>
      <c r="B5031" s="5" t="s">
        <v>289</v>
      </c>
      <c r="C5031" s="5" t="s">
        <v>1039</v>
      </c>
      <c r="D5031" s="5" t="s">
        <v>414</v>
      </c>
      <c r="E5031" s="5" t="s">
        <v>90</v>
      </c>
      <c r="F5031" s="5" t="s">
        <v>678</v>
      </c>
      <c r="G5031" s="5" t="s">
        <v>1040</v>
      </c>
      <c r="H5031" s="5" t="s">
        <v>1041</v>
      </c>
      <c r="I5031" s="5" t="s">
        <v>31</v>
      </c>
      <c r="J5031" s="5">
        <v>17.251027000000001</v>
      </c>
      <c r="K5031" s="5">
        <v>-96.153090000000006</v>
      </c>
      <c r="L5031" s="5" t="str">
        <f>HYPERLINK("https://maps.google.com/?q=17.251027,-96.153090000000006", "🔗 Ver Mapa")</f>
        <v>🔗 Ver Mapa</v>
      </c>
    </row>
    <row r="5032" spans="1:12" ht="43.5" x14ac:dyDescent="0.35">
      <c r="A5032" s="6" t="s">
        <v>288</v>
      </c>
      <c r="B5032" s="6" t="s">
        <v>289</v>
      </c>
      <c r="C5032" s="6" t="s">
        <v>1039</v>
      </c>
      <c r="D5032" s="6" t="s">
        <v>414</v>
      </c>
      <c r="E5032" s="6" t="s">
        <v>90</v>
      </c>
      <c r="F5032" s="6" t="s">
        <v>678</v>
      </c>
      <c r="G5032" s="6" t="s">
        <v>1040</v>
      </c>
      <c r="H5032" s="6" t="s">
        <v>1041</v>
      </c>
      <c r="I5032" s="6" t="s">
        <v>31</v>
      </c>
      <c r="J5032" s="6">
        <v>17.251052000000001</v>
      </c>
      <c r="K5032" s="6">
        <v>-96.151627000000005</v>
      </c>
      <c r="L5032" s="6" t="str">
        <f>HYPERLINK("https://maps.google.com/?q=17.251052,-96.151627000000005", "🔗 Ver Mapa")</f>
        <v>🔗 Ver Mapa</v>
      </c>
    </row>
    <row r="5033" spans="1:12" ht="43.5" x14ac:dyDescent="0.35">
      <c r="A5033" s="5" t="s">
        <v>288</v>
      </c>
      <c r="B5033" s="5" t="s">
        <v>289</v>
      </c>
      <c r="C5033" s="5" t="s">
        <v>1039</v>
      </c>
      <c r="D5033" s="5" t="s">
        <v>414</v>
      </c>
      <c r="E5033" s="5" t="s">
        <v>90</v>
      </c>
      <c r="F5033" s="5" t="s">
        <v>678</v>
      </c>
      <c r="G5033" s="5" t="s">
        <v>1040</v>
      </c>
      <c r="H5033" s="5" t="s">
        <v>1041</v>
      </c>
      <c r="I5033" s="5" t="s">
        <v>31</v>
      </c>
      <c r="J5033" s="5">
        <v>17.251221000000001</v>
      </c>
      <c r="K5033" s="5">
        <v>-96.153002000000001</v>
      </c>
      <c r="L5033" s="5" t="str">
        <f>HYPERLINK("https://maps.google.com/?q=17.251221,-96.153002000000001", "🔗 Ver Mapa")</f>
        <v>🔗 Ver Mapa</v>
      </c>
    </row>
    <row r="5034" spans="1:12" ht="43.5" x14ac:dyDescent="0.35">
      <c r="A5034" s="6" t="s">
        <v>288</v>
      </c>
      <c r="B5034" s="6" t="s">
        <v>289</v>
      </c>
      <c r="C5034" s="6" t="s">
        <v>1039</v>
      </c>
      <c r="D5034" s="6" t="s">
        <v>414</v>
      </c>
      <c r="E5034" s="6" t="s">
        <v>90</v>
      </c>
      <c r="F5034" s="6" t="s">
        <v>678</v>
      </c>
      <c r="G5034" s="6" t="s">
        <v>1040</v>
      </c>
      <c r="H5034" s="6" t="s">
        <v>1041</v>
      </c>
      <c r="I5034" s="6" t="s">
        <v>31</v>
      </c>
      <c r="J5034" s="6">
        <v>17.251263000000002</v>
      </c>
      <c r="K5034" s="6">
        <v>-96.152517000000003</v>
      </c>
      <c r="L5034" s="6" t="str">
        <f>HYPERLINK("https://maps.google.com/?q=17.251263,-96.152517000000003", "🔗 Ver Mapa")</f>
        <v>🔗 Ver Mapa</v>
      </c>
    </row>
    <row r="5035" spans="1:12" ht="43.5" x14ac:dyDescent="0.35">
      <c r="A5035" s="5" t="s">
        <v>288</v>
      </c>
      <c r="B5035" s="5" t="s">
        <v>289</v>
      </c>
      <c r="C5035" s="5" t="s">
        <v>1039</v>
      </c>
      <c r="D5035" s="5" t="s">
        <v>414</v>
      </c>
      <c r="E5035" s="5" t="s">
        <v>90</v>
      </c>
      <c r="F5035" s="5" t="s">
        <v>678</v>
      </c>
      <c r="G5035" s="5" t="s">
        <v>1040</v>
      </c>
      <c r="H5035" s="5" t="s">
        <v>1041</v>
      </c>
      <c r="I5035" s="5" t="s">
        <v>31</v>
      </c>
      <c r="J5035" s="5">
        <v>17.251294000000001</v>
      </c>
      <c r="K5035" s="5">
        <v>-96.156650999999997</v>
      </c>
      <c r="L5035" s="5" t="str">
        <f>HYPERLINK("https://maps.google.com/?q=17.251294,-96.156650999999997", "🔗 Ver Mapa")</f>
        <v>🔗 Ver Mapa</v>
      </c>
    </row>
    <row r="5036" spans="1:12" ht="43.5" x14ac:dyDescent="0.35">
      <c r="A5036" s="6" t="s">
        <v>288</v>
      </c>
      <c r="B5036" s="6" t="s">
        <v>289</v>
      </c>
      <c r="C5036" s="6" t="s">
        <v>1039</v>
      </c>
      <c r="D5036" s="6" t="s">
        <v>414</v>
      </c>
      <c r="E5036" s="6" t="s">
        <v>90</v>
      </c>
      <c r="F5036" s="6" t="s">
        <v>678</v>
      </c>
      <c r="G5036" s="6" t="s">
        <v>1040</v>
      </c>
      <c r="H5036" s="6" t="s">
        <v>1041</v>
      </c>
      <c r="I5036" s="6" t="s">
        <v>31</v>
      </c>
      <c r="J5036" s="6">
        <v>17.251313</v>
      </c>
      <c r="K5036" s="6">
        <v>-96.151632000000006</v>
      </c>
      <c r="L5036" s="6" t="str">
        <f>HYPERLINK("https://maps.google.com/?q=17.251313,-96.151632000000006", "🔗 Ver Mapa")</f>
        <v>🔗 Ver Mapa</v>
      </c>
    </row>
    <row r="5037" spans="1:12" ht="43.5" x14ac:dyDescent="0.35">
      <c r="A5037" s="5" t="s">
        <v>288</v>
      </c>
      <c r="B5037" s="5" t="s">
        <v>289</v>
      </c>
      <c r="C5037" s="5" t="s">
        <v>1039</v>
      </c>
      <c r="D5037" s="5" t="s">
        <v>414</v>
      </c>
      <c r="E5037" s="5" t="s">
        <v>90</v>
      </c>
      <c r="F5037" s="5" t="s">
        <v>678</v>
      </c>
      <c r="G5037" s="5" t="s">
        <v>1040</v>
      </c>
      <c r="H5037" s="5" t="s">
        <v>1041</v>
      </c>
      <c r="I5037" s="5" t="s">
        <v>31</v>
      </c>
      <c r="J5037" s="5">
        <v>17.251429999999999</v>
      </c>
      <c r="K5037" s="5">
        <v>-96.152928000000003</v>
      </c>
      <c r="L5037" s="5" t="str">
        <f>HYPERLINK("https://maps.google.com/?q=17.25143,-96.152928000000003", "🔗 Ver Mapa")</f>
        <v>🔗 Ver Mapa</v>
      </c>
    </row>
    <row r="5038" spans="1:12" ht="43.5" x14ac:dyDescent="0.35">
      <c r="A5038" s="6" t="s">
        <v>288</v>
      </c>
      <c r="B5038" s="6" t="s">
        <v>289</v>
      </c>
      <c r="C5038" s="6" t="s">
        <v>1039</v>
      </c>
      <c r="D5038" s="6" t="s">
        <v>414</v>
      </c>
      <c r="E5038" s="6" t="s">
        <v>90</v>
      </c>
      <c r="F5038" s="6" t="s">
        <v>678</v>
      </c>
      <c r="G5038" s="6" t="s">
        <v>1040</v>
      </c>
      <c r="H5038" s="6" t="s">
        <v>1041</v>
      </c>
      <c r="I5038" s="6" t="s">
        <v>31</v>
      </c>
      <c r="J5038" s="6">
        <v>17.251484000000001</v>
      </c>
      <c r="K5038" s="6">
        <v>-96.156514999999999</v>
      </c>
      <c r="L5038" s="6" t="str">
        <f>HYPERLINK("https://maps.google.com/?q=17.251484,-96.156514999999999", "🔗 Ver Mapa")</f>
        <v>🔗 Ver Mapa</v>
      </c>
    </row>
    <row r="5039" spans="1:12" ht="43.5" x14ac:dyDescent="0.35">
      <c r="A5039" s="5" t="s">
        <v>288</v>
      </c>
      <c r="B5039" s="5" t="s">
        <v>289</v>
      </c>
      <c r="C5039" s="5" t="s">
        <v>1039</v>
      </c>
      <c r="D5039" s="5" t="s">
        <v>414</v>
      </c>
      <c r="E5039" s="5" t="s">
        <v>90</v>
      </c>
      <c r="F5039" s="5" t="s">
        <v>678</v>
      </c>
      <c r="G5039" s="5" t="s">
        <v>1040</v>
      </c>
      <c r="H5039" s="5" t="s">
        <v>1041</v>
      </c>
      <c r="I5039" s="5" t="s">
        <v>31</v>
      </c>
      <c r="J5039" s="5">
        <v>17.251501999999999</v>
      </c>
      <c r="K5039" s="5">
        <v>-96.154740000000004</v>
      </c>
      <c r="L5039" s="5" t="str">
        <f>HYPERLINK("https://maps.google.com/?q=17.251502,-96.154740000000004", "🔗 Ver Mapa")</f>
        <v>🔗 Ver Mapa</v>
      </c>
    </row>
    <row r="5040" spans="1:12" ht="43.5" x14ac:dyDescent="0.35">
      <c r="A5040" s="6" t="s">
        <v>288</v>
      </c>
      <c r="B5040" s="6" t="s">
        <v>289</v>
      </c>
      <c r="C5040" s="6" t="s">
        <v>1039</v>
      </c>
      <c r="D5040" s="6" t="s">
        <v>414</v>
      </c>
      <c r="E5040" s="6" t="s">
        <v>90</v>
      </c>
      <c r="F5040" s="6" t="s">
        <v>678</v>
      </c>
      <c r="G5040" s="6" t="s">
        <v>1040</v>
      </c>
      <c r="H5040" s="6" t="s">
        <v>1041</v>
      </c>
      <c r="I5040" s="6" t="s">
        <v>31</v>
      </c>
      <c r="J5040" s="6">
        <v>17.251508000000001</v>
      </c>
      <c r="K5040" s="6">
        <v>-96.152607000000003</v>
      </c>
      <c r="L5040" s="6" t="str">
        <f>HYPERLINK("https://maps.google.com/?q=17.251508,-96.152607000000003", "🔗 Ver Mapa")</f>
        <v>🔗 Ver Mapa</v>
      </c>
    </row>
    <row r="5041" spans="1:12" ht="43.5" x14ac:dyDescent="0.35">
      <c r="A5041" s="5" t="s">
        <v>288</v>
      </c>
      <c r="B5041" s="5" t="s">
        <v>289</v>
      </c>
      <c r="C5041" s="5" t="s">
        <v>1039</v>
      </c>
      <c r="D5041" s="5" t="s">
        <v>414</v>
      </c>
      <c r="E5041" s="5" t="s">
        <v>90</v>
      </c>
      <c r="F5041" s="5" t="s">
        <v>678</v>
      </c>
      <c r="G5041" s="5" t="s">
        <v>1040</v>
      </c>
      <c r="H5041" s="5" t="s">
        <v>1041</v>
      </c>
      <c r="I5041" s="5" t="s">
        <v>31</v>
      </c>
      <c r="J5041" s="5">
        <v>17.251514</v>
      </c>
      <c r="K5041" s="5">
        <v>-96.156735999999995</v>
      </c>
      <c r="L5041" s="5" t="str">
        <f>HYPERLINK("https://maps.google.com/?q=17.251514,-96.156735999999995", "🔗 Ver Mapa")</f>
        <v>🔗 Ver Mapa</v>
      </c>
    </row>
    <row r="5042" spans="1:12" ht="43.5" x14ac:dyDescent="0.35">
      <c r="A5042" s="6" t="s">
        <v>288</v>
      </c>
      <c r="B5042" s="6" t="s">
        <v>289</v>
      </c>
      <c r="C5042" s="6" t="s">
        <v>1039</v>
      </c>
      <c r="D5042" s="6" t="s">
        <v>414</v>
      </c>
      <c r="E5042" s="6" t="s">
        <v>90</v>
      </c>
      <c r="F5042" s="6" t="s">
        <v>678</v>
      </c>
      <c r="G5042" s="6" t="s">
        <v>1040</v>
      </c>
      <c r="H5042" s="6" t="s">
        <v>1041</v>
      </c>
      <c r="I5042" s="6" t="s">
        <v>31</v>
      </c>
      <c r="J5042" s="6">
        <v>17.251515000000001</v>
      </c>
      <c r="K5042" s="6">
        <v>-96.155688999999995</v>
      </c>
      <c r="L5042" s="6" t="str">
        <f>HYPERLINK("https://maps.google.com/?q=17.251515,-96.155688999999995", "🔗 Ver Mapa")</f>
        <v>🔗 Ver Mapa</v>
      </c>
    </row>
    <row r="5043" spans="1:12" ht="43.5" x14ac:dyDescent="0.35">
      <c r="A5043" s="5" t="s">
        <v>288</v>
      </c>
      <c r="B5043" s="5" t="s">
        <v>289</v>
      </c>
      <c r="C5043" s="5" t="s">
        <v>1039</v>
      </c>
      <c r="D5043" s="5" t="s">
        <v>414</v>
      </c>
      <c r="E5043" s="5" t="s">
        <v>90</v>
      </c>
      <c r="F5043" s="5" t="s">
        <v>678</v>
      </c>
      <c r="G5043" s="5" t="s">
        <v>1040</v>
      </c>
      <c r="H5043" s="5" t="s">
        <v>1041</v>
      </c>
      <c r="I5043" s="5" t="s">
        <v>31</v>
      </c>
      <c r="J5043" s="5">
        <v>17.251532999999998</v>
      </c>
      <c r="K5043" s="5">
        <v>-96.15504</v>
      </c>
      <c r="L5043" s="5" t="str">
        <f>HYPERLINK("https://maps.google.com/?q=17.251533,-96.15504", "🔗 Ver Mapa")</f>
        <v>🔗 Ver Mapa</v>
      </c>
    </row>
    <row r="5044" spans="1:12" ht="43.5" x14ac:dyDescent="0.35">
      <c r="A5044" s="6" t="s">
        <v>288</v>
      </c>
      <c r="B5044" s="6" t="s">
        <v>289</v>
      </c>
      <c r="C5044" s="6" t="s">
        <v>1039</v>
      </c>
      <c r="D5044" s="6" t="s">
        <v>414</v>
      </c>
      <c r="E5044" s="6" t="s">
        <v>90</v>
      </c>
      <c r="F5044" s="6" t="s">
        <v>678</v>
      </c>
      <c r="G5044" s="6" t="s">
        <v>1040</v>
      </c>
      <c r="H5044" s="6" t="s">
        <v>1041</v>
      </c>
      <c r="I5044" s="6" t="s">
        <v>31</v>
      </c>
      <c r="J5044" s="6">
        <v>17.251543000000002</v>
      </c>
      <c r="K5044" s="6">
        <v>-96.156345999999999</v>
      </c>
      <c r="L5044" s="6" t="str">
        <f>HYPERLINK("https://maps.google.com/?q=17.251543,-96.156345999999999", "🔗 Ver Mapa")</f>
        <v>🔗 Ver Mapa</v>
      </c>
    </row>
    <row r="5045" spans="1:12" ht="43.5" x14ac:dyDescent="0.35">
      <c r="A5045" s="5" t="s">
        <v>288</v>
      </c>
      <c r="B5045" s="5" t="s">
        <v>289</v>
      </c>
      <c r="C5045" s="5" t="s">
        <v>1039</v>
      </c>
      <c r="D5045" s="5" t="s">
        <v>414</v>
      </c>
      <c r="E5045" s="5" t="s">
        <v>90</v>
      </c>
      <c r="F5045" s="5" t="s">
        <v>678</v>
      </c>
      <c r="G5045" s="5" t="s">
        <v>1040</v>
      </c>
      <c r="H5045" s="5" t="s">
        <v>1041</v>
      </c>
      <c r="I5045" s="5" t="s">
        <v>31</v>
      </c>
      <c r="J5045" s="5">
        <v>17.251548</v>
      </c>
      <c r="K5045" s="5">
        <v>-96.156102000000004</v>
      </c>
      <c r="L5045" s="5" t="str">
        <f>HYPERLINK("https://maps.google.com/?q=17.251548,-96.156102000000004", "🔗 Ver Mapa")</f>
        <v>🔗 Ver Mapa</v>
      </c>
    </row>
    <row r="5046" spans="1:12" ht="43.5" x14ac:dyDescent="0.35">
      <c r="A5046" s="6" t="s">
        <v>288</v>
      </c>
      <c r="B5046" s="6" t="s">
        <v>289</v>
      </c>
      <c r="C5046" s="6" t="s">
        <v>1039</v>
      </c>
      <c r="D5046" s="6" t="s">
        <v>414</v>
      </c>
      <c r="E5046" s="6" t="s">
        <v>90</v>
      </c>
      <c r="F5046" s="6" t="s">
        <v>678</v>
      </c>
      <c r="G5046" s="6" t="s">
        <v>1040</v>
      </c>
      <c r="H5046" s="6" t="s">
        <v>1041</v>
      </c>
      <c r="I5046" s="6" t="s">
        <v>31</v>
      </c>
      <c r="J5046" s="6">
        <v>17.251550999999999</v>
      </c>
      <c r="K5046" s="6">
        <v>-96.151835000000005</v>
      </c>
      <c r="L5046" s="6" t="str">
        <f>HYPERLINK("https://maps.google.com/?q=17.251551,-96.151835000000005", "🔗 Ver Mapa")</f>
        <v>🔗 Ver Mapa</v>
      </c>
    </row>
    <row r="5047" spans="1:12" ht="43.5" x14ac:dyDescent="0.35">
      <c r="A5047" s="5" t="s">
        <v>288</v>
      </c>
      <c r="B5047" s="5" t="s">
        <v>289</v>
      </c>
      <c r="C5047" s="5" t="s">
        <v>1039</v>
      </c>
      <c r="D5047" s="5" t="s">
        <v>414</v>
      </c>
      <c r="E5047" s="5" t="s">
        <v>90</v>
      </c>
      <c r="F5047" s="5" t="s">
        <v>678</v>
      </c>
      <c r="G5047" s="5" t="s">
        <v>1040</v>
      </c>
      <c r="H5047" s="5" t="s">
        <v>1041</v>
      </c>
      <c r="I5047" s="5" t="s">
        <v>31</v>
      </c>
      <c r="J5047" s="5">
        <v>17.251563000000001</v>
      </c>
      <c r="K5047" s="5">
        <v>-96.155867000000001</v>
      </c>
      <c r="L5047" s="5" t="str">
        <f>HYPERLINK("https://maps.google.com/?q=17.251563,-96.155867000000001", "🔗 Ver Mapa")</f>
        <v>🔗 Ver Mapa</v>
      </c>
    </row>
    <row r="5048" spans="1:12" ht="43.5" x14ac:dyDescent="0.35">
      <c r="A5048" s="6" t="s">
        <v>288</v>
      </c>
      <c r="B5048" s="6" t="s">
        <v>289</v>
      </c>
      <c r="C5048" s="6" t="s">
        <v>1039</v>
      </c>
      <c r="D5048" s="6" t="s">
        <v>414</v>
      </c>
      <c r="E5048" s="6" t="s">
        <v>90</v>
      </c>
      <c r="F5048" s="6" t="s">
        <v>678</v>
      </c>
      <c r="G5048" s="6" t="s">
        <v>1040</v>
      </c>
      <c r="H5048" s="6" t="s">
        <v>1041</v>
      </c>
      <c r="I5048" s="6" t="s">
        <v>31</v>
      </c>
      <c r="J5048" s="6">
        <v>17.251656000000001</v>
      </c>
      <c r="K5048" s="6">
        <v>-96.153011000000006</v>
      </c>
      <c r="L5048" s="6" t="str">
        <f>HYPERLINK("https://maps.google.com/?q=17.251656,-96.153011000000006", "🔗 Ver Mapa")</f>
        <v>🔗 Ver Mapa</v>
      </c>
    </row>
    <row r="5049" spans="1:12" ht="43.5" x14ac:dyDescent="0.35">
      <c r="A5049" s="5" t="s">
        <v>288</v>
      </c>
      <c r="B5049" s="5" t="s">
        <v>289</v>
      </c>
      <c r="C5049" s="5" t="s">
        <v>1039</v>
      </c>
      <c r="D5049" s="5" t="s">
        <v>414</v>
      </c>
      <c r="E5049" s="5" t="s">
        <v>90</v>
      </c>
      <c r="F5049" s="5" t="s">
        <v>678</v>
      </c>
      <c r="G5049" s="5" t="s">
        <v>1040</v>
      </c>
      <c r="H5049" s="5" t="s">
        <v>1041</v>
      </c>
      <c r="I5049" s="5" t="s">
        <v>31</v>
      </c>
      <c r="J5049" s="5">
        <v>17.251702999999999</v>
      </c>
      <c r="K5049" s="5">
        <v>-96.156841999999997</v>
      </c>
      <c r="L5049" s="5" t="str">
        <f>HYPERLINK("https://maps.google.com/?q=17.251703,-96.156841999999997", "🔗 Ver Mapa")</f>
        <v>🔗 Ver Mapa</v>
      </c>
    </row>
    <row r="5050" spans="1:12" ht="43.5" x14ac:dyDescent="0.35">
      <c r="A5050" s="6" t="s">
        <v>288</v>
      </c>
      <c r="B5050" s="6" t="s">
        <v>289</v>
      </c>
      <c r="C5050" s="6" t="s">
        <v>1039</v>
      </c>
      <c r="D5050" s="6" t="s">
        <v>414</v>
      </c>
      <c r="E5050" s="6" t="s">
        <v>90</v>
      </c>
      <c r="F5050" s="6" t="s">
        <v>678</v>
      </c>
      <c r="G5050" s="6" t="s">
        <v>1040</v>
      </c>
      <c r="H5050" s="6" t="s">
        <v>1041</v>
      </c>
      <c r="I5050" s="6" t="s">
        <v>31</v>
      </c>
      <c r="J5050" s="6">
        <v>17.251725</v>
      </c>
      <c r="K5050" s="6">
        <v>-96.153271000000004</v>
      </c>
      <c r="L5050" s="6" t="str">
        <f>HYPERLINK("https://maps.google.com/?q=17.251725,-96.153271000000004", "🔗 Ver Mapa")</f>
        <v>🔗 Ver Mapa</v>
      </c>
    </row>
    <row r="5051" spans="1:12" ht="43.5" x14ac:dyDescent="0.35">
      <c r="A5051" s="5" t="s">
        <v>288</v>
      </c>
      <c r="B5051" s="5" t="s">
        <v>289</v>
      </c>
      <c r="C5051" s="5" t="s">
        <v>1039</v>
      </c>
      <c r="D5051" s="5" t="s">
        <v>414</v>
      </c>
      <c r="E5051" s="5" t="s">
        <v>90</v>
      </c>
      <c r="F5051" s="5" t="s">
        <v>678</v>
      </c>
      <c r="G5051" s="5" t="s">
        <v>1040</v>
      </c>
      <c r="H5051" s="5" t="s">
        <v>1041</v>
      </c>
      <c r="I5051" s="5" t="s">
        <v>31</v>
      </c>
      <c r="J5051" s="5">
        <v>17.251768999999999</v>
      </c>
      <c r="K5051" s="5">
        <v>-96.152536999999995</v>
      </c>
      <c r="L5051" s="5" t="str">
        <f>HYPERLINK("https://maps.google.com/?q=17.251769,-96.152536999999995", "🔗 Ver Mapa")</f>
        <v>🔗 Ver Mapa</v>
      </c>
    </row>
    <row r="5052" spans="1:12" ht="43.5" x14ac:dyDescent="0.35">
      <c r="A5052" s="6" t="s">
        <v>288</v>
      </c>
      <c r="B5052" s="6" t="s">
        <v>289</v>
      </c>
      <c r="C5052" s="6" t="s">
        <v>1039</v>
      </c>
      <c r="D5052" s="6" t="s">
        <v>414</v>
      </c>
      <c r="E5052" s="6" t="s">
        <v>90</v>
      </c>
      <c r="F5052" s="6" t="s">
        <v>678</v>
      </c>
      <c r="G5052" s="6" t="s">
        <v>1040</v>
      </c>
      <c r="H5052" s="6" t="s">
        <v>1041</v>
      </c>
      <c r="I5052" s="6" t="s">
        <v>31</v>
      </c>
      <c r="J5052" s="6">
        <v>17.251798999999998</v>
      </c>
      <c r="K5052" s="6">
        <v>-96.152781000000004</v>
      </c>
      <c r="L5052" s="6" t="str">
        <f>HYPERLINK("https://maps.google.com/?q=17.251799,-96.152781000000004", "🔗 Ver Mapa")</f>
        <v>🔗 Ver Mapa</v>
      </c>
    </row>
    <row r="5053" spans="1:12" ht="43.5" x14ac:dyDescent="0.35">
      <c r="A5053" s="5" t="s">
        <v>288</v>
      </c>
      <c r="B5053" s="5" t="s">
        <v>289</v>
      </c>
      <c r="C5053" s="5" t="s">
        <v>1039</v>
      </c>
      <c r="D5053" s="5" t="s">
        <v>414</v>
      </c>
      <c r="E5053" s="5" t="s">
        <v>90</v>
      </c>
      <c r="F5053" s="5" t="s">
        <v>678</v>
      </c>
      <c r="G5053" s="5" t="s">
        <v>1040</v>
      </c>
      <c r="H5053" s="5" t="s">
        <v>1041</v>
      </c>
      <c r="I5053" s="5" t="s">
        <v>31</v>
      </c>
      <c r="J5053" s="5">
        <v>17.251802999999999</v>
      </c>
      <c r="K5053" s="5">
        <v>-96.151756000000006</v>
      </c>
      <c r="L5053" s="5" t="str">
        <f>HYPERLINK("https://maps.google.com/?q=17.251803,-96.151756000000006", "🔗 Ver Mapa")</f>
        <v>🔗 Ver Mapa</v>
      </c>
    </row>
    <row r="5054" spans="1:12" ht="43.5" x14ac:dyDescent="0.35">
      <c r="A5054" s="6" t="s">
        <v>288</v>
      </c>
      <c r="B5054" s="6" t="s">
        <v>289</v>
      </c>
      <c r="C5054" s="6" t="s">
        <v>1039</v>
      </c>
      <c r="D5054" s="6" t="s">
        <v>414</v>
      </c>
      <c r="E5054" s="6" t="s">
        <v>90</v>
      </c>
      <c r="F5054" s="6" t="s">
        <v>678</v>
      </c>
      <c r="G5054" s="6" t="s">
        <v>1040</v>
      </c>
      <c r="H5054" s="6" t="s">
        <v>1041</v>
      </c>
      <c r="I5054" s="6" t="s">
        <v>31</v>
      </c>
      <c r="J5054" s="6">
        <v>17.251864999999999</v>
      </c>
      <c r="K5054" s="6">
        <v>-96.152968000000001</v>
      </c>
      <c r="L5054" s="6" t="str">
        <f>HYPERLINK("https://maps.google.com/?q=17.251865,-96.152968000000001", "🔗 Ver Mapa")</f>
        <v>🔗 Ver Mapa</v>
      </c>
    </row>
    <row r="5055" spans="1:12" ht="43.5" x14ac:dyDescent="0.35">
      <c r="A5055" s="5" t="s">
        <v>288</v>
      </c>
      <c r="B5055" s="5" t="s">
        <v>289</v>
      </c>
      <c r="C5055" s="5" t="s">
        <v>1039</v>
      </c>
      <c r="D5055" s="5" t="s">
        <v>414</v>
      </c>
      <c r="E5055" s="5" t="s">
        <v>90</v>
      </c>
      <c r="F5055" s="5" t="s">
        <v>678</v>
      </c>
      <c r="G5055" s="5" t="s">
        <v>1040</v>
      </c>
      <c r="H5055" s="5" t="s">
        <v>1041</v>
      </c>
      <c r="I5055" s="5" t="s">
        <v>31</v>
      </c>
      <c r="J5055" s="5">
        <v>17.251868000000002</v>
      </c>
      <c r="K5055" s="5">
        <v>-96.153174000000007</v>
      </c>
      <c r="L5055" s="5" t="str">
        <f>HYPERLINK("https://maps.google.com/?q=17.251868,-96.153174000000007", "🔗 Ver Mapa")</f>
        <v>🔗 Ver Mapa</v>
      </c>
    </row>
    <row r="5056" spans="1:12" ht="43.5" x14ac:dyDescent="0.35">
      <c r="A5056" s="6" t="s">
        <v>288</v>
      </c>
      <c r="B5056" s="6" t="s">
        <v>289</v>
      </c>
      <c r="C5056" s="6" t="s">
        <v>1039</v>
      </c>
      <c r="D5056" s="6" t="s">
        <v>414</v>
      </c>
      <c r="E5056" s="6" t="s">
        <v>90</v>
      </c>
      <c r="F5056" s="6" t="s">
        <v>678</v>
      </c>
      <c r="G5056" s="6" t="s">
        <v>1040</v>
      </c>
      <c r="H5056" s="6" t="s">
        <v>1041</v>
      </c>
      <c r="I5056" s="6" t="s">
        <v>31</v>
      </c>
      <c r="J5056" s="6">
        <v>17.251929000000001</v>
      </c>
      <c r="K5056" s="6">
        <v>-96.156784000000002</v>
      </c>
      <c r="L5056" s="6" t="str">
        <f>HYPERLINK("https://maps.google.com/?q=17.251929,-96.156784000000002", "🔗 Ver Mapa")</f>
        <v>🔗 Ver Mapa</v>
      </c>
    </row>
    <row r="5057" spans="1:12" ht="43.5" x14ac:dyDescent="0.35">
      <c r="A5057" s="5" t="s">
        <v>288</v>
      </c>
      <c r="B5057" s="5" t="s">
        <v>289</v>
      </c>
      <c r="C5057" s="5" t="s">
        <v>1039</v>
      </c>
      <c r="D5057" s="5" t="s">
        <v>414</v>
      </c>
      <c r="E5057" s="5" t="s">
        <v>90</v>
      </c>
      <c r="F5057" s="5" t="s">
        <v>678</v>
      </c>
      <c r="G5057" s="5" t="s">
        <v>1040</v>
      </c>
      <c r="H5057" s="5" t="s">
        <v>1041</v>
      </c>
      <c r="I5057" s="5" t="s">
        <v>31</v>
      </c>
      <c r="J5057" s="5">
        <v>17.25196</v>
      </c>
      <c r="K5057" s="5">
        <v>-96.156456000000006</v>
      </c>
      <c r="L5057" s="5" t="str">
        <f>HYPERLINK("https://maps.google.com/?q=17.25196,-96.156456000000006", "🔗 Ver Mapa")</f>
        <v>🔗 Ver Mapa</v>
      </c>
    </row>
    <row r="5058" spans="1:12" ht="43.5" x14ac:dyDescent="0.35">
      <c r="A5058" s="6" t="s">
        <v>288</v>
      </c>
      <c r="B5058" s="6" t="s">
        <v>289</v>
      </c>
      <c r="C5058" s="6" t="s">
        <v>1039</v>
      </c>
      <c r="D5058" s="6" t="s">
        <v>414</v>
      </c>
      <c r="E5058" s="6" t="s">
        <v>90</v>
      </c>
      <c r="F5058" s="6" t="s">
        <v>678</v>
      </c>
      <c r="G5058" s="6" t="s">
        <v>1040</v>
      </c>
      <c r="H5058" s="6" t="s">
        <v>1041</v>
      </c>
      <c r="I5058" s="6" t="s">
        <v>31</v>
      </c>
      <c r="J5058" s="6">
        <v>17.251992000000001</v>
      </c>
      <c r="K5058" s="6">
        <v>-96.151735000000002</v>
      </c>
      <c r="L5058" s="6" t="str">
        <f>HYPERLINK("https://maps.google.com/?q=17.251992,-96.151735000000002", "🔗 Ver Mapa")</f>
        <v>🔗 Ver Mapa</v>
      </c>
    </row>
    <row r="5059" spans="1:12" ht="43.5" x14ac:dyDescent="0.35">
      <c r="A5059" s="5" t="s">
        <v>288</v>
      </c>
      <c r="B5059" s="5" t="s">
        <v>289</v>
      </c>
      <c r="C5059" s="5" t="s">
        <v>1039</v>
      </c>
      <c r="D5059" s="5" t="s">
        <v>414</v>
      </c>
      <c r="E5059" s="5" t="s">
        <v>90</v>
      </c>
      <c r="F5059" s="5" t="s">
        <v>678</v>
      </c>
      <c r="G5059" s="5" t="s">
        <v>1040</v>
      </c>
      <c r="H5059" s="5" t="s">
        <v>1041</v>
      </c>
      <c r="I5059" s="5" t="s">
        <v>31</v>
      </c>
      <c r="J5059" s="5">
        <v>17.251992000000001</v>
      </c>
      <c r="K5059" s="5">
        <v>-96.153604999999999</v>
      </c>
      <c r="L5059" s="5" t="str">
        <f>HYPERLINK("https://maps.google.com/?q=17.251992,-96.153604999999999", "🔗 Ver Mapa")</f>
        <v>🔗 Ver Mapa</v>
      </c>
    </row>
    <row r="5060" spans="1:12" ht="43.5" x14ac:dyDescent="0.35">
      <c r="A5060" s="6" t="s">
        <v>288</v>
      </c>
      <c r="B5060" s="6" t="s">
        <v>289</v>
      </c>
      <c r="C5060" s="6" t="s">
        <v>1039</v>
      </c>
      <c r="D5060" s="6" t="s">
        <v>414</v>
      </c>
      <c r="E5060" s="6" t="s">
        <v>90</v>
      </c>
      <c r="F5060" s="6" t="s">
        <v>678</v>
      </c>
      <c r="G5060" s="6" t="s">
        <v>1040</v>
      </c>
      <c r="H5060" s="6" t="s">
        <v>1041</v>
      </c>
      <c r="I5060" s="6" t="s">
        <v>31</v>
      </c>
      <c r="J5060" s="6">
        <v>17.251999000000001</v>
      </c>
      <c r="K5060" s="6">
        <v>-96.152833999999999</v>
      </c>
      <c r="L5060" s="6" t="str">
        <f>HYPERLINK("https://maps.google.com/?q=17.251999,-96.152833999999999", "🔗 Ver Mapa")</f>
        <v>🔗 Ver Mapa</v>
      </c>
    </row>
    <row r="5061" spans="1:12" ht="43.5" x14ac:dyDescent="0.35">
      <c r="A5061" s="5" t="s">
        <v>288</v>
      </c>
      <c r="B5061" s="5" t="s">
        <v>289</v>
      </c>
      <c r="C5061" s="5" t="s">
        <v>1039</v>
      </c>
      <c r="D5061" s="5" t="s">
        <v>414</v>
      </c>
      <c r="E5061" s="5" t="s">
        <v>90</v>
      </c>
      <c r="F5061" s="5" t="s">
        <v>678</v>
      </c>
      <c r="G5061" s="5" t="s">
        <v>1040</v>
      </c>
      <c r="H5061" s="5" t="s">
        <v>1041</v>
      </c>
      <c r="I5061" s="5" t="s">
        <v>31</v>
      </c>
      <c r="J5061" s="5">
        <v>17.252005</v>
      </c>
      <c r="K5061" s="5">
        <v>-96.156300999999999</v>
      </c>
      <c r="L5061" s="5" t="str">
        <f>HYPERLINK("https://maps.google.com/?q=17.252005,-96.156300999999999", "🔗 Ver Mapa")</f>
        <v>🔗 Ver Mapa</v>
      </c>
    </row>
    <row r="5062" spans="1:12" ht="43.5" x14ac:dyDescent="0.35">
      <c r="A5062" s="6" t="s">
        <v>288</v>
      </c>
      <c r="B5062" s="6" t="s">
        <v>289</v>
      </c>
      <c r="C5062" s="6" t="s">
        <v>1039</v>
      </c>
      <c r="D5062" s="6" t="s">
        <v>414</v>
      </c>
      <c r="E5062" s="6" t="s">
        <v>90</v>
      </c>
      <c r="F5062" s="6" t="s">
        <v>678</v>
      </c>
      <c r="G5062" s="6" t="s">
        <v>1040</v>
      </c>
      <c r="H5062" s="6" t="s">
        <v>1041</v>
      </c>
      <c r="I5062" s="6" t="s">
        <v>31</v>
      </c>
      <c r="J5062" s="6">
        <v>17.252026999999998</v>
      </c>
      <c r="K5062" s="6">
        <v>-96.154178000000002</v>
      </c>
      <c r="L5062" s="6" t="str">
        <f>HYPERLINK("https://maps.google.com/?q=17.252027,-96.154178000000002", "🔗 Ver Mapa")</f>
        <v>🔗 Ver Mapa</v>
      </c>
    </row>
    <row r="5063" spans="1:12" ht="43.5" x14ac:dyDescent="0.35">
      <c r="A5063" s="5" t="s">
        <v>288</v>
      </c>
      <c r="B5063" s="5" t="s">
        <v>289</v>
      </c>
      <c r="C5063" s="5" t="s">
        <v>1039</v>
      </c>
      <c r="D5063" s="5" t="s">
        <v>414</v>
      </c>
      <c r="E5063" s="5" t="s">
        <v>90</v>
      </c>
      <c r="F5063" s="5" t="s">
        <v>678</v>
      </c>
      <c r="G5063" s="5" t="s">
        <v>1040</v>
      </c>
      <c r="H5063" s="5" t="s">
        <v>1041</v>
      </c>
      <c r="I5063" s="5" t="s">
        <v>31</v>
      </c>
      <c r="J5063" s="5">
        <v>17.252037000000001</v>
      </c>
      <c r="K5063" s="5">
        <v>-96.156170000000003</v>
      </c>
      <c r="L5063" s="5" t="str">
        <f>HYPERLINK("https://maps.google.com/?q=17.252037,-96.156170000000003", "🔗 Ver Mapa")</f>
        <v>🔗 Ver Mapa</v>
      </c>
    </row>
    <row r="5064" spans="1:12" ht="43.5" x14ac:dyDescent="0.35">
      <c r="A5064" s="6" t="s">
        <v>288</v>
      </c>
      <c r="B5064" s="6" t="s">
        <v>289</v>
      </c>
      <c r="C5064" s="6" t="s">
        <v>1039</v>
      </c>
      <c r="D5064" s="6" t="s">
        <v>414</v>
      </c>
      <c r="E5064" s="6" t="s">
        <v>90</v>
      </c>
      <c r="F5064" s="6" t="s">
        <v>678</v>
      </c>
      <c r="G5064" s="6" t="s">
        <v>1040</v>
      </c>
      <c r="H5064" s="6" t="s">
        <v>1041</v>
      </c>
      <c r="I5064" s="6" t="s">
        <v>31</v>
      </c>
      <c r="J5064" s="6">
        <v>17.252087</v>
      </c>
      <c r="K5064" s="6">
        <v>-96.155849000000003</v>
      </c>
      <c r="L5064" s="6" t="str">
        <f>HYPERLINK("https://maps.google.com/?q=17.252087,-96.155849000000003", "🔗 Ver Mapa")</f>
        <v>🔗 Ver Mapa</v>
      </c>
    </row>
    <row r="5065" spans="1:12" ht="43.5" x14ac:dyDescent="0.35">
      <c r="A5065" s="5" t="s">
        <v>288</v>
      </c>
      <c r="B5065" s="5" t="s">
        <v>289</v>
      </c>
      <c r="C5065" s="5" t="s">
        <v>1039</v>
      </c>
      <c r="D5065" s="5" t="s">
        <v>414</v>
      </c>
      <c r="E5065" s="5" t="s">
        <v>90</v>
      </c>
      <c r="F5065" s="5" t="s">
        <v>678</v>
      </c>
      <c r="G5065" s="5" t="s">
        <v>1040</v>
      </c>
      <c r="H5065" s="5" t="s">
        <v>1041</v>
      </c>
      <c r="I5065" s="5" t="s">
        <v>31</v>
      </c>
      <c r="J5065" s="5">
        <v>17.252098</v>
      </c>
      <c r="K5065" s="5">
        <v>-96.156675000000007</v>
      </c>
      <c r="L5065" s="5" t="str">
        <f>HYPERLINK("https://maps.google.com/?q=17.252098,-96.156675000000007", "🔗 Ver Mapa")</f>
        <v>🔗 Ver Mapa</v>
      </c>
    </row>
    <row r="5066" spans="1:12" ht="43.5" x14ac:dyDescent="0.35">
      <c r="A5066" s="6" t="s">
        <v>288</v>
      </c>
      <c r="B5066" s="6" t="s">
        <v>289</v>
      </c>
      <c r="C5066" s="6" t="s">
        <v>1039</v>
      </c>
      <c r="D5066" s="6" t="s">
        <v>414</v>
      </c>
      <c r="E5066" s="6" t="s">
        <v>90</v>
      </c>
      <c r="F5066" s="6" t="s">
        <v>678</v>
      </c>
      <c r="G5066" s="6" t="s">
        <v>1040</v>
      </c>
      <c r="H5066" s="6" t="s">
        <v>1041</v>
      </c>
      <c r="I5066" s="6" t="s">
        <v>31</v>
      </c>
      <c r="J5066" s="6">
        <v>17.252184</v>
      </c>
      <c r="K5066" s="6">
        <v>-96.151872999999995</v>
      </c>
      <c r="L5066" s="6" t="str">
        <f>HYPERLINK("https://maps.google.com/?q=17.252184,-96.151872999999995", "🔗 Ver Mapa")</f>
        <v>🔗 Ver Mapa</v>
      </c>
    </row>
    <row r="5067" spans="1:12" ht="43.5" x14ac:dyDescent="0.35">
      <c r="A5067" s="5" t="s">
        <v>288</v>
      </c>
      <c r="B5067" s="5" t="s">
        <v>289</v>
      </c>
      <c r="C5067" s="5" t="s">
        <v>1039</v>
      </c>
      <c r="D5067" s="5" t="s">
        <v>414</v>
      </c>
      <c r="E5067" s="5" t="s">
        <v>90</v>
      </c>
      <c r="F5067" s="5" t="s">
        <v>678</v>
      </c>
      <c r="G5067" s="5" t="s">
        <v>1040</v>
      </c>
      <c r="H5067" s="5" t="s">
        <v>1041</v>
      </c>
      <c r="I5067" s="5" t="s">
        <v>31</v>
      </c>
      <c r="J5067" s="5">
        <v>17.252219</v>
      </c>
      <c r="K5067" s="5">
        <v>-96.155641000000003</v>
      </c>
      <c r="L5067" s="5" t="str">
        <f>HYPERLINK("https://maps.google.com/?q=17.252219,-96.155641000000003", "🔗 Ver Mapa")</f>
        <v>🔗 Ver Mapa</v>
      </c>
    </row>
    <row r="5068" spans="1:12" ht="43.5" x14ac:dyDescent="0.35">
      <c r="A5068" s="6" t="s">
        <v>288</v>
      </c>
      <c r="B5068" s="6" t="s">
        <v>289</v>
      </c>
      <c r="C5068" s="6" t="s">
        <v>1039</v>
      </c>
      <c r="D5068" s="6" t="s">
        <v>414</v>
      </c>
      <c r="E5068" s="6" t="s">
        <v>90</v>
      </c>
      <c r="F5068" s="6" t="s">
        <v>678</v>
      </c>
      <c r="G5068" s="6" t="s">
        <v>1040</v>
      </c>
      <c r="H5068" s="6" t="s">
        <v>1041</v>
      </c>
      <c r="I5068" s="6" t="s">
        <v>31</v>
      </c>
      <c r="J5068" s="6">
        <v>17.252313000000001</v>
      </c>
      <c r="K5068" s="6">
        <v>-96.153957000000005</v>
      </c>
      <c r="L5068" s="6" t="str">
        <f>HYPERLINK("https://maps.google.com/?q=17.252313,-96.153957000000005", "🔗 Ver Mapa")</f>
        <v>🔗 Ver Mapa</v>
      </c>
    </row>
    <row r="5069" spans="1:12" ht="43.5" x14ac:dyDescent="0.35">
      <c r="A5069" s="5" t="s">
        <v>288</v>
      </c>
      <c r="B5069" s="5" t="s">
        <v>289</v>
      </c>
      <c r="C5069" s="5" t="s">
        <v>1039</v>
      </c>
      <c r="D5069" s="5" t="s">
        <v>414</v>
      </c>
      <c r="E5069" s="5" t="s">
        <v>90</v>
      </c>
      <c r="F5069" s="5" t="s">
        <v>678</v>
      </c>
      <c r="G5069" s="5" t="s">
        <v>1040</v>
      </c>
      <c r="H5069" s="5" t="s">
        <v>1041</v>
      </c>
      <c r="I5069" s="5" t="s">
        <v>31</v>
      </c>
      <c r="J5069" s="5">
        <v>17.252357</v>
      </c>
      <c r="K5069" s="5">
        <v>-96.152012999999997</v>
      </c>
      <c r="L5069" s="5" t="str">
        <f>HYPERLINK("https://maps.google.com/?q=17.252357,-96.152012999999997", "🔗 Ver Mapa")</f>
        <v>🔗 Ver Mapa</v>
      </c>
    </row>
    <row r="5070" spans="1:12" ht="43.5" x14ac:dyDescent="0.35">
      <c r="A5070" s="6" t="s">
        <v>288</v>
      </c>
      <c r="B5070" s="6" t="s">
        <v>289</v>
      </c>
      <c r="C5070" s="6" t="s">
        <v>1039</v>
      </c>
      <c r="D5070" s="6" t="s">
        <v>414</v>
      </c>
      <c r="E5070" s="6" t="s">
        <v>90</v>
      </c>
      <c r="F5070" s="6" t="s">
        <v>678</v>
      </c>
      <c r="G5070" s="6" t="s">
        <v>1040</v>
      </c>
      <c r="H5070" s="6" t="s">
        <v>1041</v>
      </c>
      <c r="I5070" s="6" t="s">
        <v>31</v>
      </c>
      <c r="J5070" s="6">
        <v>17.252416</v>
      </c>
      <c r="K5070" s="6">
        <v>-96.155595000000005</v>
      </c>
      <c r="L5070" s="6" t="str">
        <f>HYPERLINK("https://maps.google.com/?q=17.252416,-96.155595000000005", "🔗 Ver Mapa")</f>
        <v>🔗 Ver Mapa</v>
      </c>
    </row>
    <row r="5071" spans="1:12" ht="43.5" x14ac:dyDescent="0.35">
      <c r="A5071" s="5" t="s">
        <v>288</v>
      </c>
      <c r="B5071" s="5" t="s">
        <v>289</v>
      </c>
      <c r="C5071" s="5" t="s">
        <v>1039</v>
      </c>
      <c r="D5071" s="5" t="s">
        <v>414</v>
      </c>
      <c r="E5071" s="5" t="s">
        <v>90</v>
      </c>
      <c r="F5071" s="5" t="s">
        <v>678</v>
      </c>
      <c r="G5071" s="5" t="s">
        <v>1040</v>
      </c>
      <c r="H5071" s="5" t="s">
        <v>1041</v>
      </c>
      <c r="I5071" s="5" t="s">
        <v>31</v>
      </c>
      <c r="J5071" s="5">
        <v>17.252472000000001</v>
      </c>
      <c r="K5071" s="5">
        <v>-96.153767000000002</v>
      </c>
      <c r="L5071" s="5" t="str">
        <f>HYPERLINK("https://maps.google.com/?q=17.252472,-96.153767000000002", "🔗 Ver Mapa")</f>
        <v>🔗 Ver Mapa</v>
      </c>
    </row>
    <row r="5072" spans="1:12" ht="43.5" x14ac:dyDescent="0.35">
      <c r="A5072" s="6" t="s">
        <v>288</v>
      </c>
      <c r="B5072" s="6" t="s">
        <v>289</v>
      </c>
      <c r="C5072" s="6" t="s">
        <v>1039</v>
      </c>
      <c r="D5072" s="6" t="s">
        <v>414</v>
      </c>
      <c r="E5072" s="6" t="s">
        <v>90</v>
      </c>
      <c r="F5072" s="6" t="s">
        <v>678</v>
      </c>
      <c r="G5072" s="6" t="s">
        <v>1040</v>
      </c>
      <c r="H5072" s="6" t="s">
        <v>1041</v>
      </c>
      <c r="I5072" s="6" t="s">
        <v>31</v>
      </c>
      <c r="J5072" s="6">
        <v>17.252520000000001</v>
      </c>
      <c r="K5072" s="6">
        <v>-96.152017999999998</v>
      </c>
      <c r="L5072" s="6" t="str">
        <f>HYPERLINK("https://maps.google.com/?q=17.25252,-96.152017999999998", "🔗 Ver Mapa")</f>
        <v>🔗 Ver Mapa</v>
      </c>
    </row>
    <row r="5073" spans="1:12" ht="43.5" x14ac:dyDescent="0.35">
      <c r="A5073" s="5" t="s">
        <v>288</v>
      </c>
      <c r="B5073" s="5" t="s">
        <v>289</v>
      </c>
      <c r="C5073" s="5" t="s">
        <v>1039</v>
      </c>
      <c r="D5073" s="5" t="s">
        <v>414</v>
      </c>
      <c r="E5073" s="5" t="s">
        <v>90</v>
      </c>
      <c r="F5073" s="5" t="s">
        <v>678</v>
      </c>
      <c r="G5073" s="5" t="s">
        <v>1040</v>
      </c>
      <c r="H5073" s="5" t="s">
        <v>1041</v>
      </c>
      <c r="I5073" s="5" t="s">
        <v>31</v>
      </c>
      <c r="J5073" s="5">
        <v>17.252552999999999</v>
      </c>
      <c r="K5073" s="5">
        <v>-96.155405000000002</v>
      </c>
      <c r="L5073" s="5" t="str">
        <f>HYPERLINK("https://maps.google.com/?q=17.252553,-96.155405000000002", "🔗 Ver Mapa")</f>
        <v>🔗 Ver Mapa</v>
      </c>
    </row>
    <row r="5074" spans="1:12" ht="43.5" x14ac:dyDescent="0.35">
      <c r="A5074" s="6" t="s">
        <v>288</v>
      </c>
      <c r="B5074" s="6" t="s">
        <v>289</v>
      </c>
      <c r="C5074" s="6" t="s">
        <v>1039</v>
      </c>
      <c r="D5074" s="6" t="s">
        <v>414</v>
      </c>
      <c r="E5074" s="6" t="s">
        <v>90</v>
      </c>
      <c r="F5074" s="6" t="s">
        <v>678</v>
      </c>
      <c r="G5074" s="6" t="s">
        <v>1040</v>
      </c>
      <c r="H5074" s="6" t="s">
        <v>1041</v>
      </c>
      <c r="I5074" s="6" t="s">
        <v>31</v>
      </c>
      <c r="J5074" s="6">
        <v>17.252669000000001</v>
      </c>
      <c r="K5074" s="6">
        <v>-96.155197000000001</v>
      </c>
      <c r="L5074" s="6" t="str">
        <f>HYPERLINK("https://maps.google.com/?q=17.252669,-96.155197000000001", "🔗 Ver Mapa")</f>
        <v>🔗 Ver Mapa</v>
      </c>
    </row>
    <row r="5075" spans="1:12" ht="43.5" x14ac:dyDescent="0.35">
      <c r="A5075" s="5" t="s">
        <v>288</v>
      </c>
      <c r="B5075" s="5" t="s">
        <v>289</v>
      </c>
      <c r="C5075" s="5" t="s">
        <v>1039</v>
      </c>
      <c r="D5075" s="5" t="s">
        <v>414</v>
      </c>
      <c r="E5075" s="5" t="s">
        <v>90</v>
      </c>
      <c r="F5075" s="5" t="s">
        <v>678</v>
      </c>
      <c r="G5075" s="5" t="s">
        <v>1040</v>
      </c>
      <c r="H5075" s="5" t="s">
        <v>1041</v>
      </c>
      <c r="I5075" s="5" t="s">
        <v>31</v>
      </c>
      <c r="J5075" s="5">
        <v>17.252672</v>
      </c>
      <c r="K5075" s="5">
        <v>-96.154439999999994</v>
      </c>
      <c r="L5075" s="5" t="str">
        <f>HYPERLINK("https://maps.google.com/?q=17.252672,-96.154439999999994", "🔗 Ver Mapa")</f>
        <v>🔗 Ver Mapa</v>
      </c>
    </row>
    <row r="5076" spans="1:12" ht="43.5" x14ac:dyDescent="0.35">
      <c r="A5076" s="6" t="s">
        <v>288</v>
      </c>
      <c r="B5076" s="6" t="s">
        <v>289</v>
      </c>
      <c r="C5076" s="6" t="s">
        <v>1039</v>
      </c>
      <c r="D5076" s="6" t="s">
        <v>414</v>
      </c>
      <c r="E5076" s="6" t="s">
        <v>90</v>
      </c>
      <c r="F5076" s="6" t="s">
        <v>678</v>
      </c>
      <c r="G5076" s="6" t="s">
        <v>1040</v>
      </c>
      <c r="H5076" s="6" t="s">
        <v>1041</v>
      </c>
      <c r="I5076" s="6" t="s">
        <v>31</v>
      </c>
      <c r="J5076" s="6">
        <v>17.252700000000001</v>
      </c>
      <c r="K5076" s="6">
        <v>-96.153847999999996</v>
      </c>
      <c r="L5076" s="6" t="str">
        <f>HYPERLINK("https://maps.google.com/?q=17.2527,-96.153847999999996", "🔗 Ver Mapa")</f>
        <v>🔗 Ver Mapa</v>
      </c>
    </row>
    <row r="5077" spans="1:12" ht="43.5" x14ac:dyDescent="0.35">
      <c r="A5077" s="5" t="s">
        <v>288</v>
      </c>
      <c r="B5077" s="5" t="s">
        <v>289</v>
      </c>
      <c r="C5077" s="5" t="s">
        <v>1039</v>
      </c>
      <c r="D5077" s="5" t="s">
        <v>414</v>
      </c>
      <c r="E5077" s="5" t="s">
        <v>90</v>
      </c>
      <c r="F5077" s="5" t="s">
        <v>678</v>
      </c>
      <c r="G5077" s="5" t="s">
        <v>1040</v>
      </c>
      <c r="H5077" s="5" t="s">
        <v>1041</v>
      </c>
      <c r="I5077" s="5" t="s">
        <v>31</v>
      </c>
      <c r="J5077" s="5">
        <v>17.252746999999999</v>
      </c>
      <c r="K5077" s="5">
        <v>-96.152079999999998</v>
      </c>
      <c r="L5077" s="5" t="str">
        <f>HYPERLINK("https://maps.google.com/?q=17.252747,-96.152079999999998", "🔗 Ver Mapa")</f>
        <v>🔗 Ver Mapa</v>
      </c>
    </row>
    <row r="5078" spans="1:12" ht="43.5" x14ac:dyDescent="0.35">
      <c r="A5078" s="6" t="s">
        <v>288</v>
      </c>
      <c r="B5078" s="6" t="s">
        <v>289</v>
      </c>
      <c r="C5078" s="6" t="s">
        <v>1039</v>
      </c>
      <c r="D5078" s="6" t="s">
        <v>414</v>
      </c>
      <c r="E5078" s="6" t="s">
        <v>90</v>
      </c>
      <c r="F5078" s="6" t="s">
        <v>678</v>
      </c>
      <c r="G5078" s="6" t="s">
        <v>1040</v>
      </c>
      <c r="H5078" s="6" t="s">
        <v>1041</v>
      </c>
      <c r="I5078" s="6" t="s">
        <v>31</v>
      </c>
      <c r="J5078" s="6">
        <v>17.252749000000001</v>
      </c>
      <c r="K5078" s="6">
        <v>-96.154776999999996</v>
      </c>
      <c r="L5078" s="6" t="str">
        <f>HYPERLINK("https://maps.google.com/?q=17.252749,-96.154776999999996", "🔗 Ver Mapa")</f>
        <v>🔗 Ver Mapa</v>
      </c>
    </row>
    <row r="5079" spans="1:12" ht="43.5" x14ac:dyDescent="0.35">
      <c r="A5079" s="5" t="s">
        <v>288</v>
      </c>
      <c r="B5079" s="5" t="s">
        <v>289</v>
      </c>
      <c r="C5079" s="5" t="s">
        <v>1039</v>
      </c>
      <c r="D5079" s="5" t="s">
        <v>414</v>
      </c>
      <c r="E5079" s="5" t="s">
        <v>90</v>
      </c>
      <c r="F5079" s="5" t="s">
        <v>678</v>
      </c>
      <c r="G5079" s="5" t="s">
        <v>1040</v>
      </c>
      <c r="H5079" s="5" t="s">
        <v>1041</v>
      </c>
      <c r="I5079" s="5" t="s">
        <v>31</v>
      </c>
      <c r="J5079" s="5">
        <v>17.252770000000002</v>
      </c>
      <c r="K5079" s="5">
        <v>-96.155623000000006</v>
      </c>
      <c r="L5079" s="5" t="str">
        <f>HYPERLINK("https://maps.google.com/?q=17.25277,-96.155623000000006", "🔗 Ver Mapa")</f>
        <v>🔗 Ver Mapa</v>
      </c>
    </row>
    <row r="5080" spans="1:12" ht="43.5" x14ac:dyDescent="0.35">
      <c r="A5080" s="6" t="s">
        <v>288</v>
      </c>
      <c r="B5080" s="6" t="s">
        <v>289</v>
      </c>
      <c r="C5080" s="6" t="s">
        <v>1039</v>
      </c>
      <c r="D5080" s="6" t="s">
        <v>414</v>
      </c>
      <c r="E5080" s="6" t="s">
        <v>90</v>
      </c>
      <c r="F5080" s="6" t="s">
        <v>678</v>
      </c>
      <c r="G5080" s="6" t="s">
        <v>1040</v>
      </c>
      <c r="H5080" s="6" t="s">
        <v>1041</v>
      </c>
      <c r="I5080" s="6" t="s">
        <v>31</v>
      </c>
      <c r="J5080" s="6">
        <v>17.252817</v>
      </c>
      <c r="K5080" s="6">
        <v>-96.155078000000003</v>
      </c>
      <c r="L5080" s="6" t="str">
        <f>HYPERLINK("https://maps.google.com/?q=17.252817,-96.155078000000003", "🔗 Ver Mapa")</f>
        <v>🔗 Ver Mapa</v>
      </c>
    </row>
    <row r="5081" spans="1:12" ht="43.5" x14ac:dyDescent="0.35">
      <c r="A5081" s="5" t="s">
        <v>288</v>
      </c>
      <c r="B5081" s="5" t="s">
        <v>289</v>
      </c>
      <c r="C5081" s="5" t="s">
        <v>1039</v>
      </c>
      <c r="D5081" s="5" t="s">
        <v>414</v>
      </c>
      <c r="E5081" s="5" t="s">
        <v>90</v>
      </c>
      <c r="F5081" s="5" t="s">
        <v>678</v>
      </c>
      <c r="G5081" s="5" t="s">
        <v>1040</v>
      </c>
      <c r="H5081" s="5" t="s">
        <v>1041</v>
      </c>
      <c r="I5081" s="5" t="s">
        <v>31</v>
      </c>
      <c r="J5081" s="5">
        <v>17.252821000000001</v>
      </c>
      <c r="K5081" s="5">
        <v>-96.156045000000006</v>
      </c>
      <c r="L5081" s="5" t="str">
        <f>HYPERLINK("https://maps.google.com/?q=17.252821,-96.156045000000006", "🔗 Ver Mapa")</f>
        <v>🔗 Ver Mapa</v>
      </c>
    </row>
    <row r="5082" spans="1:12" ht="43.5" x14ac:dyDescent="0.35">
      <c r="A5082" s="6" t="s">
        <v>288</v>
      </c>
      <c r="B5082" s="6" t="s">
        <v>289</v>
      </c>
      <c r="C5082" s="6" t="s">
        <v>1039</v>
      </c>
      <c r="D5082" s="6" t="s">
        <v>414</v>
      </c>
      <c r="E5082" s="6" t="s">
        <v>90</v>
      </c>
      <c r="F5082" s="6" t="s">
        <v>678</v>
      </c>
      <c r="G5082" s="6" t="s">
        <v>1040</v>
      </c>
      <c r="H5082" s="6" t="s">
        <v>1041</v>
      </c>
      <c r="I5082" s="6" t="s">
        <v>31</v>
      </c>
      <c r="J5082" s="6">
        <v>17.252829999999999</v>
      </c>
      <c r="K5082" s="6">
        <v>-96.155259999999998</v>
      </c>
      <c r="L5082" s="6" t="str">
        <f>HYPERLINK("https://maps.google.com/?q=17.25283,-96.155259999999998", "🔗 Ver Mapa")</f>
        <v>🔗 Ver Mapa</v>
      </c>
    </row>
    <row r="5083" spans="1:12" ht="43.5" x14ac:dyDescent="0.35">
      <c r="A5083" s="5" t="s">
        <v>288</v>
      </c>
      <c r="B5083" s="5" t="s">
        <v>289</v>
      </c>
      <c r="C5083" s="5" t="s">
        <v>1039</v>
      </c>
      <c r="D5083" s="5" t="s">
        <v>414</v>
      </c>
      <c r="E5083" s="5" t="s">
        <v>90</v>
      </c>
      <c r="F5083" s="5" t="s">
        <v>678</v>
      </c>
      <c r="G5083" s="5" t="s">
        <v>1040</v>
      </c>
      <c r="H5083" s="5" t="s">
        <v>1041</v>
      </c>
      <c r="I5083" s="5" t="s">
        <v>31</v>
      </c>
      <c r="J5083" s="5">
        <v>17.252853999999999</v>
      </c>
      <c r="K5083" s="5">
        <v>-96.155614</v>
      </c>
      <c r="L5083" s="5" t="str">
        <f>HYPERLINK("https://maps.google.com/?q=17.252854,-96.155614", "🔗 Ver Mapa")</f>
        <v>🔗 Ver Mapa</v>
      </c>
    </row>
    <row r="5084" spans="1:12" ht="43.5" x14ac:dyDescent="0.35">
      <c r="A5084" s="6" t="s">
        <v>288</v>
      </c>
      <c r="B5084" s="6" t="s">
        <v>289</v>
      </c>
      <c r="C5084" s="6" t="s">
        <v>1039</v>
      </c>
      <c r="D5084" s="6" t="s">
        <v>414</v>
      </c>
      <c r="E5084" s="6" t="s">
        <v>90</v>
      </c>
      <c r="F5084" s="6" t="s">
        <v>678</v>
      </c>
      <c r="G5084" s="6" t="s">
        <v>1040</v>
      </c>
      <c r="H5084" s="6" t="s">
        <v>1041</v>
      </c>
      <c r="I5084" s="6" t="s">
        <v>31</v>
      </c>
      <c r="J5084" s="6">
        <v>17.252859999999998</v>
      </c>
      <c r="K5084" s="6">
        <v>-96.154972999999998</v>
      </c>
      <c r="L5084" s="6" t="str">
        <f>HYPERLINK("https://maps.google.com/?q=17.25286,-96.154972999999998", "🔗 Ver Mapa")</f>
        <v>🔗 Ver Mapa</v>
      </c>
    </row>
    <row r="5085" spans="1:12" ht="43.5" x14ac:dyDescent="0.35">
      <c r="A5085" s="5" t="s">
        <v>288</v>
      </c>
      <c r="B5085" s="5" t="s">
        <v>289</v>
      </c>
      <c r="C5085" s="5" t="s">
        <v>1039</v>
      </c>
      <c r="D5085" s="5" t="s">
        <v>414</v>
      </c>
      <c r="E5085" s="5" t="s">
        <v>90</v>
      </c>
      <c r="F5085" s="5" t="s">
        <v>678</v>
      </c>
      <c r="G5085" s="5" t="s">
        <v>1040</v>
      </c>
      <c r="H5085" s="5" t="s">
        <v>1041</v>
      </c>
      <c r="I5085" s="5" t="s">
        <v>31</v>
      </c>
      <c r="J5085" s="5">
        <v>17.252908000000001</v>
      </c>
      <c r="K5085" s="5">
        <v>-96.155390999999995</v>
      </c>
      <c r="L5085" s="5" t="str">
        <f>HYPERLINK("https://maps.google.com/?q=17.252908,-96.155390999999995", "🔗 Ver Mapa")</f>
        <v>🔗 Ver Mapa</v>
      </c>
    </row>
    <row r="5086" spans="1:12" ht="43.5" x14ac:dyDescent="0.35">
      <c r="A5086" s="6" t="s">
        <v>288</v>
      </c>
      <c r="B5086" s="6" t="s">
        <v>289</v>
      </c>
      <c r="C5086" s="6" t="s">
        <v>1039</v>
      </c>
      <c r="D5086" s="6" t="s">
        <v>414</v>
      </c>
      <c r="E5086" s="6" t="s">
        <v>90</v>
      </c>
      <c r="F5086" s="6" t="s">
        <v>678</v>
      </c>
      <c r="G5086" s="6" t="s">
        <v>1040</v>
      </c>
      <c r="H5086" s="6" t="s">
        <v>1041</v>
      </c>
      <c r="I5086" s="6" t="s">
        <v>31</v>
      </c>
      <c r="J5086" s="6">
        <v>17.252925999999999</v>
      </c>
      <c r="K5086" s="6">
        <v>-96.156475999999998</v>
      </c>
      <c r="L5086" s="6" t="str">
        <f>HYPERLINK("https://maps.google.com/?q=17.252926,-96.156475999999998", "🔗 Ver Mapa")</f>
        <v>🔗 Ver Mapa</v>
      </c>
    </row>
    <row r="5087" spans="1:12" ht="43.5" x14ac:dyDescent="0.35">
      <c r="A5087" s="5" t="s">
        <v>288</v>
      </c>
      <c r="B5087" s="5" t="s">
        <v>289</v>
      </c>
      <c r="C5087" s="5" t="s">
        <v>1039</v>
      </c>
      <c r="D5087" s="5" t="s">
        <v>414</v>
      </c>
      <c r="E5087" s="5" t="s">
        <v>90</v>
      </c>
      <c r="F5087" s="5" t="s">
        <v>678</v>
      </c>
      <c r="G5087" s="5" t="s">
        <v>1040</v>
      </c>
      <c r="H5087" s="5" t="s">
        <v>1041</v>
      </c>
      <c r="I5087" s="5" t="s">
        <v>31</v>
      </c>
      <c r="J5087" s="5">
        <v>17.252935000000001</v>
      </c>
      <c r="K5087" s="5">
        <v>-96.153919999999999</v>
      </c>
      <c r="L5087" s="5" t="str">
        <f>HYPERLINK("https://maps.google.com/?q=17.252935,-96.153919999999999", "🔗 Ver Mapa")</f>
        <v>🔗 Ver Mapa</v>
      </c>
    </row>
    <row r="5088" spans="1:12" ht="43.5" x14ac:dyDescent="0.35">
      <c r="A5088" s="6" t="s">
        <v>288</v>
      </c>
      <c r="B5088" s="6" t="s">
        <v>289</v>
      </c>
      <c r="C5088" s="6" t="s">
        <v>1039</v>
      </c>
      <c r="D5088" s="6" t="s">
        <v>414</v>
      </c>
      <c r="E5088" s="6" t="s">
        <v>90</v>
      </c>
      <c r="F5088" s="6" t="s">
        <v>678</v>
      </c>
      <c r="G5088" s="6" t="s">
        <v>1040</v>
      </c>
      <c r="H5088" s="6" t="s">
        <v>1041</v>
      </c>
      <c r="I5088" s="6" t="s">
        <v>31</v>
      </c>
      <c r="J5088" s="6">
        <v>17.252956000000001</v>
      </c>
      <c r="K5088" s="6">
        <v>-96.156699000000003</v>
      </c>
      <c r="L5088" s="6" t="str">
        <f>HYPERLINK("https://maps.google.com/?q=17.252956,-96.156699000000003", "🔗 Ver Mapa")</f>
        <v>🔗 Ver Mapa</v>
      </c>
    </row>
    <row r="5089" spans="1:12" ht="43.5" x14ac:dyDescent="0.35">
      <c r="A5089" s="5" t="s">
        <v>288</v>
      </c>
      <c r="B5089" s="5" t="s">
        <v>289</v>
      </c>
      <c r="C5089" s="5" t="s">
        <v>1039</v>
      </c>
      <c r="D5089" s="5" t="s">
        <v>414</v>
      </c>
      <c r="E5089" s="5" t="s">
        <v>90</v>
      </c>
      <c r="F5089" s="5" t="s">
        <v>678</v>
      </c>
      <c r="G5089" s="5" t="s">
        <v>1040</v>
      </c>
      <c r="H5089" s="5" t="s">
        <v>1041</v>
      </c>
      <c r="I5089" s="5" t="s">
        <v>31</v>
      </c>
      <c r="J5089" s="5">
        <v>17.252970999999999</v>
      </c>
      <c r="K5089" s="5">
        <v>-96.155186999999998</v>
      </c>
      <c r="L5089" s="5" t="str">
        <f>HYPERLINK("https://maps.google.com/?q=17.252971,-96.155186999999998", "🔗 Ver Mapa")</f>
        <v>🔗 Ver Mapa</v>
      </c>
    </row>
    <row r="5090" spans="1:12" ht="43.5" x14ac:dyDescent="0.35">
      <c r="A5090" s="6" t="s">
        <v>288</v>
      </c>
      <c r="B5090" s="6" t="s">
        <v>289</v>
      </c>
      <c r="C5090" s="6" t="s">
        <v>1039</v>
      </c>
      <c r="D5090" s="6" t="s">
        <v>414</v>
      </c>
      <c r="E5090" s="6" t="s">
        <v>90</v>
      </c>
      <c r="F5090" s="6" t="s">
        <v>678</v>
      </c>
      <c r="G5090" s="6" t="s">
        <v>1040</v>
      </c>
      <c r="H5090" s="6" t="s">
        <v>1041</v>
      </c>
      <c r="I5090" s="6" t="s">
        <v>31</v>
      </c>
      <c r="J5090" s="6">
        <v>17.25301</v>
      </c>
      <c r="K5090" s="6">
        <v>-96.152197999999999</v>
      </c>
      <c r="L5090" s="6" t="str">
        <f>HYPERLINK("https://maps.google.com/?q=17.25301,-96.152197999999999", "🔗 Ver Mapa")</f>
        <v>🔗 Ver Mapa</v>
      </c>
    </row>
    <row r="5091" spans="1:12" ht="43.5" x14ac:dyDescent="0.35">
      <c r="A5091" s="5" t="s">
        <v>288</v>
      </c>
      <c r="B5091" s="5" t="s">
        <v>289</v>
      </c>
      <c r="C5091" s="5" t="s">
        <v>1039</v>
      </c>
      <c r="D5091" s="5" t="s">
        <v>414</v>
      </c>
      <c r="E5091" s="5" t="s">
        <v>90</v>
      </c>
      <c r="F5091" s="5" t="s">
        <v>678</v>
      </c>
      <c r="G5091" s="5" t="s">
        <v>1040</v>
      </c>
      <c r="H5091" s="5" t="s">
        <v>1041</v>
      </c>
      <c r="I5091" s="5" t="s">
        <v>31</v>
      </c>
      <c r="J5091" s="5">
        <v>17.253022000000001</v>
      </c>
      <c r="K5091" s="5">
        <v>-96.155541999999997</v>
      </c>
      <c r="L5091" s="5" t="str">
        <f>HYPERLINK("https://maps.google.com/?q=17.253022,-96.155541999999997", "🔗 Ver Mapa")</f>
        <v>🔗 Ver Mapa</v>
      </c>
    </row>
    <row r="5092" spans="1:12" ht="43.5" x14ac:dyDescent="0.35">
      <c r="A5092" s="6" t="s">
        <v>288</v>
      </c>
      <c r="B5092" s="6" t="s">
        <v>289</v>
      </c>
      <c r="C5092" s="6" t="s">
        <v>1039</v>
      </c>
      <c r="D5092" s="6" t="s">
        <v>414</v>
      </c>
      <c r="E5092" s="6" t="s">
        <v>90</v>
      </c>
      <c r="F5092" s="6" t="s">
        <v>678</v>
      </c>
      <c r="G5092" s="6" t="s">
        <v>1040</v>
      </c>
      <c r="H5092" s="6" t="s">
        <v>1041</v>
      </c>
      <c r="I5092" s="6" t="s">
        <v>31</v>
      </c>
      <c r="J5092" s="6">
        <v>17.253053000000001</v>
      </c>
      <c r="K5092" s="6">
        <v>-96.153946000000005</v>
      </c>
      <c r="L5092" s="6" t="str">
        <f>HYPERLINK("https://maps.google.com/?q=17.253053,-96.153946000000005", "🔗 Ver Mapa")</f>
        <v>🔗 Ver Mapa</v>
      </c>
    </row>
    <row r="5093" spans="1:12" ht="43.5" x14ac:dyDescent="0.35">
      <c r="A5093" s="5" t="s">
        <v>288</v>
      </c>
      <c r="B5093" s="5" t="s">
        <v>289</v>
      </c>
      <c r="C5093" s="5" t="s">
        <v>1039</v>
      </c>
      <c r="D5093" s="5" t="s">
        <v>414</v>
      </c>
      <c r="E5093" s="5" t="s">
        <v>90</v>
      </c>
      <c r="F5093" s="5" t="s">
        <v>678</v>
      </c>
      <c r="G5093" s="5" t="s">
        <v>1040</v>
      </c>
      <c r="H5093" s="5" t="s">
        <v>1041</v>
      </c>
      <c r="I5093" s="5" t="s">
        <v>31</v>
      </c>
      <c r="J5093" s="5">
        <v>17.253074000000002</v>
      </c>
      <c r="K5093" s="5">
        <v>-96.156902000000002</v>
      </c>
      <c r="L5093" s="5" t="str">
        <f>HYPERLINK("https://maps.google.com/?q=17.253074,-96.156902000000002", "🔗 Ver Mapa")</f>
        <v>🔗 Ver Mapa</v>
      </c>
    </row>
    <row r="5094" spans="1:12" ht="43.5" x14ac:dyDescent="0.35">
      <c r="A5094" s="6" t="s">
        <v>288</v>
      </c>
      <c r="B5094" s="6" t="s">
        <v>289</v>
      </c>
      <c r="C5094" s="6" t="s">
        <v>1039</v>
      </c>
      <c r="D5094" s="6" t="s">
        <v>414</v>
      </c>
      <c r="E5094" s="6" t="s">
        <v>90</v>
      </c>
      <c r="F5094" s="6" t="s">
        <v>678</v>
      </c>
      <c r="G5094" s="6" t="s">
        <v>1040</v>
      </c>
      <c r="H5094" s="6" t="s">
        <v>1041</v>
      </c>
      <c r="I5094" s="6" t="s">
        <v>31</v>
      </c>
      <c r="J5094" s="6">
        <v>17.253156000000001</v>
      </c>
      <c r="K5094" s="6">
        <v>-96.155448000000007</v>
      </c>
      <c r="L5094" s="6" t="str">
        <f>HYPERLINK("https://maps.google.com/?q=17.253156,-96.155448000000007", "🔗 Ver Mapa")</f>
        <v>🔗 Ver Mapa</v>
      </c>
    </row>
    <row r="5095" spans="1:12" ht="43.5" x14ac:dyDescent="0.35">
      <c r="A5095" s="5" t="s">
        <v>288</v>
      </c>
      <c r="B5095" s="5" t="s">
        <v>289</v>
      </c>
      <c r="C5095" s="5" t="s">
        <v>1039</v>
      </c>
      <c r="D5095" s="5" t="s">
        <v>414</v>
      </c>
      <c r="E5095" s="5" t="s">
        <v>90</v>
      </c>
      <c r="F5095" s="5" t="s">
        <v>678</v>
      </c>
      <c r="G5095" s="5" t="s">
        <v>1040</v>
      </c>
      <c r="H5095" s="5" t="s">
        <v>1041</v>
      </c>
      <c r="I5095" s="5" t="s">
        <v>31</v>
      </c>
      <c r="J5095" s="5">
        <v>17.253160999999999</v>
      </c>
      <c r="K5095" s="5">
        <v>-96.155317999999994</v>
      </c>
      <c r="L5095" s="5" t="str">
        <f>HYPERLINK("https://maps.google.com/?q=17.253161,-96.155317999999994", "🔗 Ver Mapa")</f>
        <v>🔗 Ver Mapa</v>
      </c>
    </row>
    <row r="5096" spans="1:12" ht="43.5" x14ac:dyDescent="0.35">
      <c r="A5096" s="6" t="s">
        <v>288</v>
      </c>
      <c r="B5096" s="6" t="s">
        <v>289</v>
      </c>
      <c r="C5096" s="6" t="s">
        <v>1039</v>
      </c>
      <c r="D5096" s="6" t="s">
        <v>414</v>
      </c>
      <c r="E5096" s="6" t="s">
        <v>90</v>
      </c>
      <c r="F5096" s="6" t="s">
        <v>678</v>
      </c>
      <c r="G5096" s="6" t="s">
        <v>1040</v>
      </c>
      <c r="H5096" s="6" t="s">
        <v>1041</v>
      </c>
      <c r="I5096" s="6" t="s">
        <v>31</v>
      </c>
      <c r="J5096" s="6">
        <v>17.253184999999998</v>
      </c>
      <c r="K5096" s="6">
        <v>-96.152411999999998</v>
      </c>
      <c r="L5096" s="6" t="str">
        <f>HYPERLINK("https://maps.google.com/?q=17.253185,-96.152411999999998", "🔗 Ver Mapa")</f>
        <v>🔗 Ver Mapa</v>
      </c>
    </row>
    <row r="5097" spans="1:12" ht="43.5" x14ac:dyDescent="0.35">
      <c r="A5097" s="5" t="s">
        <v>288</v>
      </c>
      <c r="B5097" s="5" t="s">
        <v>289</v>
      </c>
      <c r="C5097" s="5" t="s">
        <v>1039</v>
      </c>
      <c r="D5097" s="5" t="s">
        <v>414</v>
      </c>
      <c r="E5097" s="5" t="s">
        <v>90</v>
      </c>
      <c r="F5097" s="5" t="s">
        <v>678</v>
      </c>
      <c r="G5097" s="5" t="s">
        <v>1040</v>
      </c>
      <c r="H5097" s="5" t="s">
        <v>1041</v>
      </c>
      <c r="I5097" s="5" t="s">
        <v>31</v>
      </c>
      <c r="J5097" s="5">
        <v>17.253214</v>
      </c>
      <c r="K5097" s="5">
        <v>-96.155136999999996</v>
      </c>
      <c r="L5097" s="5" t="str">
        <f>HYPERLINK("https://maps.google.com/?q=17.253214,-96.155136999999996", "🔗 Ver Mapa")</f>
        <v>🔗 Ver Mapa</v>
      </c>
    </row>
    <row r="5098" spans="1:12" ht="43.5" x14ac:dyDescent="0.35">
      <c r="A5098" s="6" t="s">
        <v>288</v>
      </c>
      <c r="B5098" s="6" t="s">
        <v>289</v>
      </c>
      <c r="C5098" s="6" t="s">
        <v>1039</v>
      </c>
      <c r="D5098" s="6" t="s">
        <v>414</v>
      </c>
      <c r="E5098" s="6" t="s">
        <v>90</v>
      </c>
      <c r="F5098" s="6" t="s">
        <v>678</v>
      </c>
      <c r="G5098" s="6" t="s">
        <v>1040</v>
      </c>
      <c r="H5098" s="6" t="s">
        <v>1041</v>
      </c>
      <c r="I5098" s="6" t="s">
        <v>31</v>
      </c>
      <c r="J5098" s="6">
        <v>17.253233999999999</v>
      </c>
      <c r="K5098" s="6">
        <v>-96.155220999999997</v>
      </c>
      <c r="L5098" s="6" t="str">
        <f>HYPERLINK("https://maps.google.com/?q=17.253234,-96.155220999999997", "🔗 Ver Mapa")</f>
        <v>🔗 Ver Mapa</v>
      </c>
    </row>
    <row r="5099" spans="1:12" ht="43.5" x14ac:dyDescent="0.35">
      <c r="A5099" s="5" t="s">
        <v>288</v>
      </c>
      <c r="B5099" s="5" t="s">
        <v>289</v>
      </c>
      <c r="C5099" s="5" t="s">
        <v>1039</v>
      </c>
      <c r="D5099" s="5" t="s">
        <v>414</v>
      </c>
      <c r="E5099" s="5" t="s">
        <v>90</v>
      </c>
      <c r="F5099" s="5" t="s">
        <v>678</v>
      </c>
      <c r="G5099" s="5" t="s">
        <v>1040</v>
      </c>
      <c r="H5099" s="5" t="s">
        <v>1041</v>
      </c>
      <c r="I5099" s="5" t="s">
        <v>31</v>
      </c>
      <c r="J5099" s="5">
        <v>17.253281000000001</v>
      </c>
      <c r="K5099" s="5">
        <v>-96.153983999999994</v>
      </c>
      <c r="L5099" s="5" t="str">
        <f>HYPERLINK("https://maps.google.com/?q=17.253281,-96.153983999999994", "🔗 Ver Mapa")</f>
        <v>🔗 Ver Mapa</v>
      </c>
    </row>
    <row r="5100" spans="1:12" ht="43.5" x14ac:dyDescent="0.35">
      <c r="A5100" s="6" t="s">
        <v>288</v>
      </c>
      <c r="B5100" s="6" t="s">
        <v>289</v>
      </c>
      <c r="C5100" s="6" t="s">
        <v>1039</v>
      </c>
      <c r="D5100" s="6" t="s">
        <v>414</v>
      </c>
      <c r="E5100" s="6" t="s">
        <v>90</v>
      </c>
      <c r="F5100" s="6" t="s">
        <v>678</v>
      </c>
      <c r="G5100" s="6" t="s">
        <v>1040</v>
      </c>
      <c r="H5100" s="6" t="s">
        <v>1041</v>
      </c>
      <c r="I5100" s="6" t="s">
        <v>31</v>
      </c>
      <c r="J5100" s="6">
        <v>17.253285000000002</v>
      </c>
      <c r="K5100" s="6">
        <v>-96.156986000000003</v>
      </c>
      <c r="L5100" s="6" t="str">
        <f>HYPERLINK("https://maps.google.com/?q=17.253285,-96.156986000000003", "🔗 Ver Mapa")</f>
        <v>🔗 Ver Mapa</v>
      </c>
    </row>
    <row r="5101" spans="1:12" ht="43.5" x14ac:dyDescent="0.35">
      <c r="A5101" s="5" t="s">
        <v>288</v>
      </c>
      <c r="B5101" s="5" t="s">
        <v>289</v>
      </c>
      <c r="C5101" s="5" t="s">
        <v>1039</v>
      </c>
      <c r="D5101" s="5" t="s">
        <v>414</v>
      </c>
      <c r="E5101" s="5" t="s">
        <v>90</v>
      </c>
      <c r="F5101" s="5" t="s">
        <v>678</v>
      </c>
      <c r="G5101" s="5" t="s">
        <v>1040</v>
      </c>
      <c r="H5101" s="5" t="s">
        <v>1041</v>
      </c>
      <c r="I5101" s="5" t="s">
        <v>31</v>
      </c>
      <c r="J5101" s="5">
        <v>17.253394</v>
      </c>
      <c r="K5101" s="5">
        <v>-96.152530999999996</v>
      </c>
      <c r="L5101" s="5" t="str">
        <f>HYPERLINK("https://maps.google.com/?q=17.253394,-96.152530999999996", "🔗 Ver Mapa")</f>
        <v>🔗 Ver Mapa</v>
      </c>
    </row>
    <row r="5102" spans="1:12" ht="43.5" x14ac:dyDescent="0.35">
      <c r="A5102" s="6" t="s">
        <v>288</v>
      </c>
      <c r="B5102" s="6" t="s">
        <v>289</v>
      </c>
      <c r="C5102" s="6" t="s">
        <v>1039</v>
      </c>
      <c r="D5102" s="6" t="s">
        <v>414</v>
      </c>
      <c r="E5102" s="6" t="s">
        <v>90</v>
      </c>
      <c r="F5102" s="6" t="s">
        <v>678</v>
      </c>
      <c r="G5102" s="6" t="s">
        <v>1040</v>
      </c>
      <c r="H5102" s="6" t="s">
        <v>1041</v>
      </c>
      <c r="I5102" s="6" t="s">
        <v>31</v>
      </c>
      <c r="J5102" s="6">
        <v>17.253402999999999</v>
      </c>
      <c r="K5102" s="6">
        <v>-96.155086999999995</v>
      </c>
      <c r="L5102" s="6" t="str">
        <f>HYPERLINK("https://maps.google.com/?q=17.253403,-96.155086999999995", "🔗 Ver Mapa")</f>
        <v>🔗 Ver Mapa</v>
      </c>
    </row>
    <row r="5103" spans="1:12" ht="43.5" x14ac:dyDescent="0.35">
      <c r="A5103" s="5" t="s">
        <v>288</v>
      </c>
      <c r="B5103" s="5" t="s">
        <v>289</v>
      </c>
      <c r="C5103" s="5" t="s">
        <v>1039</v>
      </c>
      <c r="D5103" s="5" t="s">
        <v>414</v>
      </c>
      <c r="E5103" s="5" t="s">
        <v>90</v>
      </c>
      <c r="F5103" s="5" t="s">
        <v>678</v>
      </c>
      <c r="G5103" s="5" t="s">
        <v>1040</v>
      </c>
      <c r="H5103" s="5" t="s">
        <v>1041</v>
      </c>
      <c r="I5103" s="5" t="s">
        <v>31</v>
      </c>
      <c r="J5103" s="5">
        <v>17.253450000000001</v>
      </c>
      <c r="K5103" s="5">
        <v>-96.153910999999994</v>
      </c>
      <c r="L5103" s="5" t="str">
        <f>HYPERLINK("https://maps.google.com/?q=17.25345,-96.153910999999994", "🔗 Ver Mapa")</f>
        <v>🔗 Ver Mapa</v>
      </c>
    </row>
    <row r="5104" spans="1:12" ht="43.5" x14ac:dyDescent="0.35">
      <c r="A5104" s="6" t="s">
        <v>288</v>
      </c>
      <c r="B5104" s="6" t="s">
        <v>289</v>
      </c>
      <c r="C5104" s="6" t="s">
        <v>1039</v>
      </c>
      <c r="D5104" s="6" t="s">
        <v>414</v>
      </c>
      <c r="E5104" s="6" t="s">
        <v>90</v>
      </c>
      <c r="F5104" s="6" t="s">
        <v>678</v>
      </c>
      <c r="G5104" s="6" t="s">
        <v>1040</v>
      </c>
      <c r="H5104" s="6" t="s">
        <v>1041</v>
      </c>
      <c r="I5104" s="6" t="s">
        <v>31</v>
      </c>
      <c r="J5104" s="6">
        <v>17.253482999999999</v>
      </c>
      <c r="K5104" s="6">
        <v>-96.154324000000003</v>
      </c>
      <c r="L5104" s="6" t="str">
        <f>HYPERLINK("https://maps.google.com/?q=17.253483,-96.154324000000003", "🔗 Ver Mapa")</f>
        <v>🔗 Ver Mapa</v>
      </c>
    </row>
    <row r="5105" spans="1:12" ht="43.5" x14ac:dyDescent="0.35">
      <c r="A5105" s="5" t="s">
        <v>288</v>
      </c>
      <c r="B5105" s="5" t="s">
        <v>289</v>
      </c>
      <c r="C5105" s="5" t="s">
        <v>1039</v>
      </c>
      <c r="D5105" s="5" t="s">
        <v>414</v>
      </c>
      <c r="E5105" s="5" t="s">
        <v>90</v>
      </c>
      <c r="F5105" s="5" t="s">
        <v>678</v>
      </c>
      <c r="G5105" s="5" t="s">
        <v>1040</v>
      </c>
      <c r="H5105" s="5" t="s">
        <v>1041</v>
      </c>
      <c r="I5105" s="5" t="s">
        <v>31</v>
      </c>
      <c r="J5105" s="5">
        <v>17.253499000000001</v>
      </c>
      <c r="K5105" s="5">
        <v>-96.154149000000004</v>
      </c>
      <c r="L5105" s="5" t="str">
        <f>HYPERLINK("https://maps.google.com/?q=17.253499,-96.154149000000004", "🔗 Ver Mapa")</f>
        <v>🔗 Ver Mapa</v>
      </c>
    </row>
    <row r="5106" spans="1:12" ht="43.5" x14ac:dyDescent="0.35">
      <c r="A5106" s="6" t="s">
        <v>288</v>
      </c>
      <c r="B5106" s="6" t="s">
        <v>289</v>
      </c>
      <c r="C5106" s="6" t="s">
        <v>1039</v>
      </c>
      <c r="D5106" s="6" t="s">
        <v>414</v>
      </c>
      <c r="E5106" s="6" t="s">
        <v>90</v>
      </c>
      <c r="F5106" s="6" t="s">
        <v>678</v>
      </c>
      <c r="G5106" s="6" t="s">
        <v>1040</v>
      </c>
      <c r="H5106" s="6" t="s">
        <v>1041</v>
      </c>
      <c r="I5106" s="6" t="s">
        <v>31</v>
      </c>
      <c r="J5106" s="6">
        <v>17.253502999999998</v>
      </c>
      <c r="K5106" s="6">
        <v>-96.157054000000002</v>
      </c>
      <c r="L5106" s="6" t="str">
        <f>HYPERLINK("https://maps.google.com/?q=17.253503,-96.157054000000002", "🔗 Ver Mapa")</f>
        <v>🔗 Ver Mapa</v>
      </c>
    </row>
    <row r="5107" spans="1:12" ht="43.5" x14ac:dyDescent="0.35">
      <c r="A5107" s="5" t="s">
        <v>288</v>
      </c>
      <c r="B5107" s="5" t="s">
        <v>289</v>
      </c>
      <c r="C5107" s="5" t="s">
        <v>1039</v>
      </c>
      <c r="D5107" s="5" t="s">
        <v>414</v>
      </c>
      <c r="E5107" s="5" t="s">
        <v>90</v>
      </c>
      <c r="F5107" s="5" t="s">
        <v>678</v>
      </c>
      <c r="G5107" s="5" t="s">
        <v>1040</v>
      </c>
      <c r="H5107" s="5" t="s">
        <v>1041</v>
      </c>
      <c r="I5107" s="5" t="s">
        <v>31</v>
      </c>
      <c r="J5107" s="5">
        <v>17.253506000000002</v>
      </c>
      <c r="K5107" s="5">
        <v>-96.152792000000005</v>
      </c>
      <c r="L5107" s="5" t="str">
        <f>HYPERLINK("https://maps.google.com/?q=17.253506,-96.152792000000005", "🔗 Ver Mapa")</f>
        <v>🔗 Ver Mapa</v>
      </c>
    </row>
    <row r="5108" spans="1:12" ht="43.5" x14ac:dyDescent="0.35">
      <c r="A5108" s="6" t="s">
        <v>288</v>
      </c>
      <c r="B5108" s="6" t="s">
        <v>289</v>
      </c>
      <c r="C5108" s="6" t="s">
        <v>1039</v>
      </c>
      <c r="D5108" s="6" t="s">
        <v>414</v>
      </c>
      <c r="E5108" s="6" t="s">
        <v>90</v>
      </c>
      <c r="F5108" s="6" t="s">
        <v>678</v>
      </c>
      <c r="G5108" s="6" t="s">
        <v>1040</v>
      </c>
      <c r="H5108" s="6" t="s">
        <v>1041</v>
      </c>
      <c r="I5108" s="6" t="s">
        <v>31</v>
      </c>
      <c r="J5108" s="6">
        <v>17.253540000000001</v>
      </c>
      <c r="K5108" s="6">
        <v>-96.154567999999998</v>
      </c>
      <c r="L5108" s="6" t="str">
        <f>HYPERLINK("https://maps.google.com/?q=17.25354,-96.154567999999998", "🔗 Ver Mapa")</f>
        <v>🔗 Ver Mapa</v>
      </c>
    </row>
    <row r="5109" spans="1:12" ht="43.5" x14ac:dyDescent="0.35">
      <c r="A5109" s="5" t="s">
        <v>288</v>
      </c>
      <c r="B5109" s="5" t="s">
        <v>289</v>
      </c>
      <c r="C5109" s="5" t="s">
        <v>1039</v>
      </c>
      <c r="D5109" s="5" t="s">
        <v>414</v>
      </c>
      <c r="E5109" s="5" t="s">
        <v>90</v>
      </c>
      <c r="F5109" s="5" t="s">
        <v>678</v>
      </c>
      <c r="G5109" s="5" t="s">
        <v>1040</v>
      </c>
      <c r="H5109" s="5" t="s">
        <v>1041</v>
      </c>
      <c r="I5109" s="5" t="s">
        <v>31</v>
      </c>
      <c r="J5109" s="5">
        <v>17.253547999999999</v>
      </c>
      <c r="K5109" s="5">
        <v>-96.155113</v>
      </c>
      <c r="L5109" s="5" t="str">
        <f>HYPERLINK("https://maps.google.com/?q=17.253548,-96.155113", "🔗 Ver Mapa")</f>
        <v>🔗 Ver Mapa</v>
      </c>
    </row>
    <row r="5110" spans="1:12" ht="43.5" x14ac:dyDescent="0.35">
      <c r="A5110" s="6" t="s">
        <v>288</v>
      </c>
      <c r="B5110" s="6" t="s">
        <v>289</v>
      </c>
      <c r="C5110" s="6" t="s">
        <v>1039</v>
      </c>
      <c r="D5110" s="6" t="s">
        <v>414</v>
      </c>
      <c r="E5110" s="6" t="s">
        <v>90</v>
      </c>
      <c r="F5110" s="6" t="s">
        <v>678</v>
      </c>
      <c r="G5110" s="6" t="s">
        <v>1040</v>
      </c>
      <c r="H5110" s="6" t="s">
        <v>1041</v>
      </c>
      <c r="I5110" s="6" t="s">
        <v>31</v>
      </c>
      <c r="J5110" s="6">
        <v>17.253616999999998</v>
      </c>
      <c r="K5110" s="6">
        <v>-96.156756000000001</v>
      </c>
      <c r="L5110" s="6" t="str">
        <f>HYPERLINK("https://maps.google.com/?q=17.253617,-96.156756000000001", "🔗 Ver Mapa")</f>
        <v>🔗 Ver Mapa</v>
      </c>
    </row>
    <row r="5111" spans="1:12" ht="43.5" x14ac:dyDescent="0.35">
      <c r="A5111" s="5" t="s">
        <v>288</v>
      </c>
      <c r="B5111" s="5" t="s">
        <v>289</v>
      </c>
      <c r="C5111" s="5" t="s">
        <v>1039</v>
      </c>
      <c r="D5111" s="5" t="s">
        <v>414</v>
      </c>
      <c r="E5111" s="5" t="s">
        <v>90</v>
      </c>
      <c r="F5111" s="5" t="s">
        <v>678</v>
      </c>
      <c r="G5111" s="5" t="s">
        <v>1040</v>
      </c>
      <c r="H5111" s="5" t="s">
        <v>1041</v>
      </c>
      <c r="I5111" s="5" t="s">
        <v>31</v>
      </c>
      <c r="J5111" s="5">
        <v>17.253655999999999</v>
      </c>
      <c r="K5111" s="5">
        <v>-96.155073999999999</v>
      </c>
      <c r="L5111" s="5" t="str">
        <f>HYPERLINK("https://maps.google.com/?q=17.253656,-96.155073999999999", "🔗 Ver Mapa")</f>
        <v>🔗 Ver Mapa</v>
      </c>
    </row>
    <row r="5112" spans="1:12" ht="43.5" x14ac:dyDescent="0.35">
      <c r="A5112" s="6" t="s">
        <v>288</v>
      </c>
      <c r="B5112" s="6" t="s">
        <v>289</v>
      </c>
      <c r="C5112" s="6" t="s">
        <v>1039</v>
      </c>
      <c r="D5112" s="6" t="s">
        <v>414</v>
      </c>
      <c r="E5112" s="6" t="s">
        <v>90</v>
      </c>
      <c r="F5112" s="6" t="s">
        <v>678</v>
      </c>
      <c r="G5112" s="6" t="s">
        <v>1040</v>
      </c>
      <c r="H5112" s="6" t="s">
        <v>1041</v>
      </c>
      <c r="I5112" s="6" t="s">
        <v>31</v>
      </c>
      <c r="J5112" s="6">
        <v>17.253708</v>
      </c>
      <c r="K5112" s="6">
        <v>-96.152985999999999</v>
      </c>
      <c r="L5112" s="6" t="str">
        <f>HYPERLINK("https://maps.google.com/?q=17.253708,-96.152985999999999", "🔗 Ver Mapa")</f>
        <v>🔗 Ver Mapa</v>
      </c>
    </row>
    <row r="5113" spans="1:12" ht="43.5" x14ac:dyDescent="0.35">
      <c r="A5113" s="5" t="s">
        <v>288</v>
      </c>
      <c r="B5113" s="5" t="s">
        <v>289</v>
      </c>
      <c r="C5113" s="5" t="s">
        <v>1039</v>
      </c>
      <c r="D5113" s="5" t="s">
        <v>414</v>
      </c>
      <c r="E5113" s="5" t="s">
        <v>90</v>
      </c>
      <c r="F5113" s="5" t="s">
        <v>678</v>
      </c>
      <c r="G5113" s="5" t="s">
        <v>1040</v>
      </c>
      <c r="H5113" s="5" t="s">
        <v>1041</v>
      </c>
      <c r="I5113" s="5" t="s">
        <v>31</v>
      </c>
      <c r="J5113" s="5">
        <v>17.253713999999999</v>
      </c>
      <c r="K5113" s="5">
        <v>-96.154718000000003</v>
      </c>
      <c r="L5113" s="5" t="str">
        <f>HYPERLINK("https://maps.google.com/?q=17.253714,-96.154718000000003", "🔗 Ver Mapa")</f>
        <v>🔗 Ver Mapa</v>
      </c>
    </row>
    <row r="5114" spans="1:12" ht="43.5" x14ac:dyDescent="0.35">
      <c r="A5114" s="6" t="s">
        <v>288</v>
      </c>
      <c r="B5114" s="6" t="s">
        <v>289</v>
      </c>
      <c r="C5114" s="6" t="s">
        <v>1039</v>
      </c>
      <c r="D5114" s="6" t="s">
        <v>414</v>
      </c>
      <c r="E5114" s="6" t="s">
        <v>90</v>
      </c>
      <c r="F5114" s="6" t="s">
        <v>678</v>
      </c>
      <c r="G5114" s="6" t="s">
        <v>1040</v>
      </c>
      <c r="H5114" s="6" t="s">
        <v>1041</v>
      </c>
      <c r="I5114" s="6" t="s">
        <v>31</v>
      </c>
      <c r="J5114" s="6">
        <v>17.253722</v>
      </c>
      <c r="K5114" s="6">
        <v>-96.156548000000001</v>
      </c>
      <c r="L5114" s="6" t="str">
        <f>HYPERLINK("https://maps.google.com/?q=17.253722,-96.156548000000001", "🔗 Ver Mapa")</f>
        <v>🔗 Ver Mapa</v>
      </c>
    </row>
    <row r="5115" spans="1:12" ht="43.5" x14ac:dyDescent="0.35">
      <c r="A5115" s="5" t="s">
        <v>288</v>
      </c>
      <c r="B5115" s="5" t="s">
        <v>289</v>
      </c>
      <c r="C5115" s="5" t="s">
        <v>1039</v>
      </c>
      <c r="D5115" s="5" t="s">
        <v>414</v>
      </c>
      <c r="E5115" s="5" t="s">
        <v>90</v>
      </c>
      <c r="F5115" s="5" t="s">
        <v>678</v>
      </c>
      <c r="G5115" s="5" t="s">
        <v>1040</v>
      </c>
      <c r="H5115" s="5" t="s">
        <v>1041</v>
      </c>
      <c r="I5115" s="5" t="s">
        <v>31</v>
      </c>
      <c r="J5115" s="5">
        <v>17.253741999999999</v>
      </c>
      <c r="K5115" s="5">
        <v>-96.157092000000006</v>
      </c>
      <c r="L5115" s="5" t="str">
        <f>HYPERLINK("https://maps.google.com/?q=17.253742,-96.157092000000006", "🔗 Ver Mapa")</f>
        <v>🔗 Ver Mapa</v>
      </c>
    </row>
    <row r="5116" spans="1:12" ht="43.5" x14ac:dyDescent="0.35">
      <c r="A5116" s="6" t="s">
        <v>288</v>
      </c>
      <c r="B5116" s="6" t="s">
        <v>289</v>
      </c>
      <c r="C5116" s="6" t="s">
        <v>1039</v>
      </c>
      <c r="D5116" s="6" t="s">
        <v>414</v>
      </c>
      <c r="E5116" s="6" t="s">
        <v>90</v>
      </c>
      <c r="F5116" s="6" t="s">
        <v>678</v>
      </c>
      <c r="G5116" s="6" t="s">
        <v>1040</v>
      </c>
      <c r="H5116" s="6" t="s">
        <v>1041</v>
      </c>
      <c r="I5116" s="6" t="s">
        <v>31</v>
      </c>
      <c r="J5116" s="6">
        <v>17.253810000000001</v>
      </c>
      <c r="K5116" s="6">
        <v>-96.155146000000002</v>
      </c>
      <c r="L5116" s="6" t="str">
        <f>HYPERLINK("https://maps.google.com/?q=17.25381,-96.155146000000002", "🔗 Ver Mapa")</f>
        <v>🔗 Ver Mapa</v>
      </c>
    </row>
    <row r="5117" spans="1:12" ht="43.5" x14ac:dyDescent="0.35">
      <c r="A5117" s="5" t="s">
        <v>288</v>
      </c>
      <c r="B5117" s="5" t="s">
        <v>289</v>
      </c>
      <c r="C5117" s="5" t="s">
        <v>1039</v>
      </c>
      <c r="D5117" s="5" t="s">
        <v>414</v>
      </c>
      <c r="E5117" s="5" t="s">
        <v>90</v>
      </c>
      <c r="F5117" s="5" t="s">
        <v>678</v>
      </c>
      <c r="G5117" s="5" t="s">
        <v>1040</v>
      </c>
      <c r="H5117" s="5" t="s">
        <v>1041</v>
      </c>
      <c r="I5117" s="5" t="s">
        <v>31</v>
      </c>
      <c r="J5117" s="5">
        <v>17.253831999999999</v>
      </c>
      <c r="K5117" s="5">
        <v>-96.154760999999993</v>
      </c>
      <c r="L5117" s="5" t="str">
        <f>HYPERLINK("https://maps.google.com/?q=17.253832,-96.154760999999993", "🔗 Ver Mapa")</f>
        <v>🔗 Ver Mapa</v>
      </c>
    </row>
    <row r="5118" spans="1:12" ht="43.5" x14ac:dyDescent="0.35">
      <c r="A5118" s="6" t="s">
        <v>288</v>
      </c>
      <c r="B5118" s="6" t="s">
        <v>289</v>
      </c>
      <c r="C5118" s="6" t="s">
        <v>1039</v>
      </c>
      <c r="D5118" s="6" t="s">
        <v>414</v>
      </c>
      <c r="E5118" s="6" t="s">
        <v>90</v>
      </c>
      <c r="F5118" s="6" t="s">
        <v>678</v>
      </c>
      <c r="G5118" s="6" t="s">
        <v>1040</v>
      </c>
      <c r="H5118" s="6" t="s">
        <v>1041</v>
      </c>
      <c r="I5118" s="6" t="s">
        <v>31</v>
      </c>
      <c r="J5118" s="6">
        <v>17.253845999999999</v>
      </c>
      <c r="K5118" s="6">
        <v>-96.156357999999997</v>
      </c>
      <c r="L5118" s="6" t="str">
        <f>HYPERLINK("https://maps.google.com/?q=17.253846,-96.156357999999997", "🔗 Ver Mapa")</f>
        <v>🔗 Ver Mapa</v>
      </c>
    </row>
    <row r="5119" spans="1:12" ht="43.5" x14ac:dyDescent="0.35">
      <c r="A5119" s="5" t="s">
        <v>288</v>
      </c>
      <c r="B5119" s="5" t="s">
        <v>289</v>
      </c>
      <c r="C5119" s="5" t="s">
        <v>1039</v>
      </c>
      <c r="D5119" s="5" t="s">
        <v>414</v>
      </c>
      <c r="E5119" s="5" t="s">
        <v>90</v>
      </c>
      <c r="F5119" s="5" t="s">
        <v>678</v>
      </c>
      <c r="G5119" s="5" t="s">
        <v>1040</v>
      </c>
      <c r="H5119" s="5" t="s">
        <v>1041</v>
      </c>
      <c r="I5119" s="5" t="s">
        <v>31</v>
      </c>
      <c r="J5119" s="5">
        <v>17.253882000000001</v>
      </c>
      <c r="K5119" s="5">
        <v>-96.153209000000004</v>
      </c>
      <c r="L5119" s="5" t="str">
        <f>HYPERLINK("https://maps.google.com/?q=17.253882,-96.153209000000004", "🔗 Ver Mapa")</f>
        <v>🔗 Ver Mapa</v>
      </c>
    </row>
    <row r="5120" spans="1:12" ht="43.5" x14ac:dyDescent="0.35">
      <c r="A5120" s="6" t="s">
        <v>288</v>
      </c>
      <c r="B5120" s="6" t="s">
        <v>289</v>
      </c>
      <c r="C5120" s="6" t="s">
        <v>1039</v>
      </c>
      <c r="D5120" s="6" t="s">
        <v>414</v>
      </c>
      <c r="E5120" s="6" t="s">
        <v>90</v>
      </c>
      <c r="F5120" s="6" t="s">
        <v>678</v>
      </c>
      <c r="G5120" s="6" t="s">
        <v>1040</v>
      </c>
      <c r="H5120" s="6" t="s">
        <v>1041</v>
      </c>
      <c r="I5120" s="6" t="s">
        <v>31</v>
      </c>
      <c r="J5120" s="6">
        <v>17.253886999999999</v>
      </c>
      <c r="K5120" s="6">
        <v>-96.154815999999997</v>
      </c>
      <c r="L5120" s="6" t="str">
        <f>HYPERLINK("https://maps.google.com/?q=17.253887,-96.154815999999997", "🔗 Ver Mapa")</f>
        <v>🔗 Ver Mapa</v>
      </c>
    </row>
    <row r="5121" spans="1:12" ht="43.5" x14ac:dyDescent="0.35">
      <c r="A5121" s="5" t="s">
        <v>288</v>
      </c>
      <c r="B5121" s="5" t="s">
        <v>289</v>
      </c>
      <c r="C5121" s="5" t="s">
        <v>1039</v>
      </c>
      <c r="D5121" s="5" t="s">
        <v>414</v>
      </c>
      <c r="E5121" s="5" t="s">
        <v>90</v>
      </c>
      <c r="F5121" s="5" t="s">
        <v>678</v>
      </c>
      <c r="G5121" s="5" t="s">
        <v>1040</v>
      </c>
      <c r="H5121" s="5" t="s">
        <v>1041</v>
      </c>
      <c r="I5121" s="5" t="s">
        <v>31</v>
      </c>
      <c r="J5121" s="5">
        <v>17.253889999999998</v>
      </c>
      <c r="K5121" s="5">
        <v>-96.154383999999993</v>
      </c>
      <c r="L5121" s="5" t="str">
        <f>HYPERLINK("https://maps.google.com/?q=17.25389,-96.154383999999993", "🔗 Ver Mapa")</f>
        <v>🔗 Ver Mapa</v>
      </c>
    </row>
    <row r="5122" spans="1:12" ht="43.5" x14ac:dyDescent="0.35">
      <c r="A5122" s="6" t="s">
        <v>288</v>
      </c>
      <c r="B5122" s="6" t="s">
        <v>289</v>
      </c>
      <c r="C5122" s="6" t="s">
        <v>1039</v>
      </c>
      <c r="D5122" s="6" t="s">
        <v>414</v>
      </c>
      <c r="E5122" s="6" t="s">
        <v>90</v>
      </c>
      <c r="F5122" s="6" t="s">
        <v>678</v>
      </c>
      <c r="G5122" s="6" t="s">
        <v>1040</v>
      </c>
      <c r="H5122" s="6" t="s">
        <v>1041</v>
      </c>
      <c r="I5122" s="6" t="s">
        <v>31</v>
      </c>
      <c r="J5122" s="6">
        <v>17.253920000000001</v>
      </c>
      <c r="K5122" s="6">
        <v>-96.154589999999999</v>
      </c>
      <c r="L5122" s="6" t="str">
        <f>HYPERLINK("https://maps.google.com/?q=17.25392,-96.154589999999999", "🔗 Ver Mapa")</f>
        <v>🔗 Ver Mapa</v>
      </c>
    </row>
    <row r="5123" spans="1:12" ht="43.5" x14ac:dyDescent="0.35">
      <c r="A5123" s="5" t="s">
        <v>288</v>
      </c>
      <c r="B5123" s="5" t="s">
        <v>289</v>
      </c>
      <c r="C5123" s="5" t="s">
        <v>1039</v>
      </c>
      <c r="D5123" s="5" t="s">
        <v>414</v>
      </c>
      <c r="E5123" s="5" t="s">
        <v>90</v>
      </c>
      <c r="F5123" s="5" t="s">
        <v>678</v>
      </c>
      <c r="G5123" s="5" t="s">
        <v>1040</v>
      </c>
      <c r="H5123" s="5" t="s">
        <v>1041</v>
      </c>
      <c r="I5123" s="5" t="s">
        <v>31</v>
      </c>
      <c r="J5123" s="5">
        <v>17.253962999999999</v>
      </c>
      <c r="K5123" s="5">
        <v>-96.153772000000004</v>
      </c>
      <c r="L5123" s="5" t="str">
        <f>HYPERLINK("https://maps.google.com/?q=17.253963,-96.153772000000004", "🔗 Ver Mapa")</f>
        <v>🔗 Ver Mapa</v>
      </c>
    </row>
    <row r="5124" spans="1:12" ht="43.5" x14ac:dyDescent="0.35">
      <c r="A5124" s="6" t="s">
        <v>288</v>
      </c>
      <c r="B5124" s="6" t="s">
        <v>289</v>
      </c>
      <c r="C5124" s="6" t="s">
        <v>1039</v>
      </c>
      <c r="D5124" s="6" t="s">
        <v>414</v>
      </c>
      <c r="E5124" s="6" t="s">
        <v>90</v>
      </c>
      <c r="F5124" s="6" t="s">
        <v>678</v>
      </c>
      <c r="G5124" s="6" t="s">
        <v>1040</v>
      </c>
      <c r="H5124" s="6" t="s">
        <v>1041</v>
      </c>
      <c r="I5124" s="6" t="s">
        <v>31</v>
      </c>
      <c r="J5124" s="6">
        <v>17.253962999999999</v>
      </c>
      <c r="K5124" s="6">
        <v>-96.156987000000001</v>
      </c>
      <c r="L5124" s="6" t="str">
        <f>HYPERLINK("https://maps.google.com/?q=17.253963,-96.156987000000001", "🔗 Ver Mapa")</f>
        <v>🔗 Ver Mapa</v>
      </c>
    </row>
    <row r="5125" spans="1:12" ht="43.5" x14ac:dyDescent="0.35">
      <c r="A5125" s="5" t="s">
        <v>288</v>
      </c>
      <c r="B5125" s="5" t="s">
        <v>289</v>
      </c>
      <c r="C5125" s="5" t="s">
        <v>1039</v>
      </c>
      <c r="D5125" s="5" t="s">
        <v>414</v>
      </c>
      <c r="E5125" s="5" t="s">
        <v>90</v>
      </c>
      <c r="F5125" s="5" t="s">
        <v>678</v>
      </c>
      <c r="G5125" s="5" t="s">
        <v>1040</v>
      </c>
      <c r="H5125" s="5" t="s">
        <v>1041</v>
      </c>
      <c r="I5125" s="5" t="s">
        <v>31</v>
      </c>
      <c r="J5125" s="5">
        <v>17.253965999999998</v>
      </c>
      <c r="K5125" s="5">
        <v>-96.154034999999993</v>
      </c>
      <c r="L5125" s="5" t="str">
        <f>HYPERLINK("https://maps.google.com/?q=17.253966,-96.154034999999993", "🔗 Ver Mapa")</f>
        <v>🔗 Ver Mapa</v>
      </c>
    </row>
    <row r="5126" spans="1:12" ht="43.5" x14ac:dyDescent="0.35">
      <c r="A5126" s="6" t="s">
        <v>288</v>
      </c>
      <c r="B5126" s="6" t="s">
        <v>289</v>
      </c>
      <c r="C5126" s="6" t="s">
        <v>1039</v>
      </c>
      <c r="D5126" s="6" t="s">
        <v>414</v>
      </c>
      <c r="E5126" s="6" t="s">
        <v>90</v>
      </c>
      <c r="F5126" s="6" t="s">
        <v>678</v>
      </c>
      <c r="G5126" s="6" t="s">
        <v>1040</v>
      </c>
      <c r="H5126" s="6" t="s">
        <v>1041</v>
      </c>
      <c r="I5126" s="6" t="s">
        <v>31</v>
      </c>
      <c r="J5126" s="6">
        <v>17.253976000000002</v>
      </c>
      <c r="K5126" s="6">
        <v>-96.153452000000001</v>
      </c>
      <c r="L5126" s="6" t="str">
        <f>HYPERLINK("https://maps.google.com/?q=17.253976,-96.153452000000001", "🔗 Ver Mapa")</f>
        <v>🔗 Ver Mapa</v>
      </c>
    </row>
    <row r="5127" spans="1:12" ht="43.5" x14ac:dyDescent="0.35">
      <c r="A5127" s="5" t="s">
        <v>288</v>
      </c>
      <c r="B5127" s="5" t="s">
        <v>289</v>
      </c>
      <c r="C5127" s="5" t="s">
        <v>1039</v>
      </c>
      <c r="D5127" s="5" t="s">
        <v>414</v>
      </c>
      <c r="E5127" s="5" t="s">
        <v>90</v>
      </c>
      <c r="F5127" s="5" t="s">
        <v>678</v>
      </c>
      <c r="G5127" s="5" t="s">
        <v>1040</v>
      </c>
      <c r="H5127" s="5" t="s">
        <v>1041</v>
      </c>
      <c r="I5127" s="5" t="s">
        <v>31</v>
      </c>
      <c r="J5127" s="5">
        <v>17.254006</v>
      </c>
      <c r="K5127" s="5">
        <v>-96.156205</v>
      </c>
      <c r="L5127" s="5" t="str">
        <f>HYPERLINK("https://maps.google.com/?q=17.254006,-96.156205", "🔗 Ver Mapa")</f>
        <v>🔗 Ver Mapa</v>
      </c>
    </row>
    <row r="5128" spans="1:12" ht="43.5" x14ac:dyDescent="0.35">
      <c r="A5128" s="6" t="s">
        <v>288</v>
      </c>
      <c r="B5128" s="6" t="s">
        <v>289</v>
      </c>
      <c r="C5128" s="6" t="s">
        <v>1039</v>
      </c>
      <c r="D5128" s="6" t="s">
        <v>414</v>
      </c>
      <c r="E5128" s="6" t="s">
        <v>90</v>
      </c>
      <c r="F5128" s="6" t="s">
        <v>678</v>
      </c>
      <c r="G5128" s="6" t="s">
        <v>1040</v>
      </c>
      <c r="H5128" s="6" t="s">
        <v>1041</v>
      </c>
      <c r="I5128" s="6" t="s">
        <v>31</v>
      </c>
      <c r="J5128" s="6">
        <v>17.254042085348999</v>
      </c>
      <c r="K5128" s="6">
        <v>-96.156540542328003</v>
      </c>
      <c r="L5128" s="6" t="str">
        <f>HYPERLINK("https://maps.google.com/?q=17.254042085348747,-96.15654054232787", "🔗 Ver Mapa")</f>
        <v>🔗 Ver Mapa</v>
      </c>
    </row>
    <row r="5129" spans="1:12" ht="43.5" x14ac:dyDescent="0.35">
      <c r="A5129" s="5" t="s">
        <v>288</v>
      </c>
      <c r="B5129" s="5" t="s">
        <v>289</v>
      </c>
      <c r="C5129" s="5" t="s">
        <v>1039</v>
      </c>
      <c r="D5129" s="5" t="s">
        <v>414</v>
      </c>
      <c r="E5129" s="5" t="s">
        <v>90</v>
      </c>
      <c r="F5129" s="5" t="s">
        <v>678</v>
      </c>
      <c r="G5129" s="5" t="s">
        <v>1040</v>
      </c>
      <c r="H5129" s="5" t="s">
        <v>1041</v>
      </c>
      <c r="I5129" s="5" t="s">
        <v>31</v>
      </c>
      <c r="J5129" s="5">
        <v>17.254047208363001</v>
      </c>
      <c r="K5129" s="5">
        <v>-96.156736262566</v>
      </c>
      <c r="L5129" s="5" t="str">
        <f>HYPERLINK("https://maps.google.com/?q=17.254047208362646,-96.15673626256562", "🔗 Ver Mapa")</f>
        <v>🔗 Ver Mapa</v>
      </c>
    </row>
    <row r="5130" spans="1:12" ht="43.5" x14ac:dyDescent="0.35">
      <c r="A5130" s="6" t="s">
        <v>288</v>
      </c>
      <c r="B5130" s="6" t="s">
        <v>289</v>
      </c>
      <c r="C5130" s="6" t="s">
        <v>1039</v>
      </c>
      <c r="D5130" s="6" t="s">
        <v>414</v>
      </c>
      <c r="E5130" s="6" t="s">
        <v>90</v>
      </c>
      <c r="F5130" s="6" t="s">
        <v>678</v>
      </c>
      <c r="G5130" s="6" t="s">
        <v>1040</v>
      </c>
      <c r="H5130" s="6" t="s">
        <v>1041</v>
      </c>
      <c r="I5130" s="6" t="s">
        <v>31</v>
      </c>
      <c r="J5130" s="6">
        <v>17.254064489120999</v>
      </c>
      <c r="K5130" s="6">
        <v>-96.156309201222996</v>
      </c>
      <c r="L5130" s="6" t="str">
        <f>HYPERLINK("https://maps.google.com/?q=17.25406448912066,-96.15630920122338", "🔗 Ver Mapa")</f>
        <v>🔗 Ver Mapa</v>
      </c>
    </row>
    <row r="5131" spans="1:12" ht="43.5" x14ac:dyDescent="0.35">
      <c r="A5131" s="5" t="s">
        <v>288</v>
      </c>
      <c r="B5131" s="5" t="s">
        <v>289</v>
      </c>
      <c r="C5131" s="5" t="s">
        <v>1039</v>
      </c>
      <c r="D5131" s="5" t="s">
        <v>414</v>
      </c>
      <c r="E5131" s="5" t="s">
        <v>90</v>
      </c>
      <c r="F5131" s="5" t="s">
        <v>678</v>
      </c>
      <c r="G5131" s="5" t="s">
        <v>1040</v>
      </c>
      <c r="H5131" s="5" t="s">
        <v>1041</v>
      </c>
      <c r="I5131" s="5" t="s">
        <v>31</v>
      </c>
      <c r="J5131" s="5">
        <v>17.254085</v>
      </c>
      <c r="K5131" s="5">
        <v>-96.154917999999995</v>
      </c>
      <c r="L5131" s="5" t="str">
        <f>HYPERLINK("https://maps.google.com/?q=17.254085,-96.154917999999995", "🔗 Ver Mapa")</f>
        <v>🔗 Ver Mapa</v>
      </c>
    </row>
    <row r="5132" spans="1:12" ht="43.5" x14ac:dyDescent="0.35">
      <c r="A5132" s="6" t="s">
        <v>288</v>
      </c>
      <c r="B5132" s="6" t="s">
        <v>289</v>
      </c>
      <c r="C5132" s="6" t="s">
        <v>1039</v>
      </c>
      <c r="D5132" s="6" t="s">
        <v>414</v>
      </c>
      <c r="E5132" s="6" t="s">
        <v>90</v>
      </c>
      <c r="F5132" s="6" t="s">
        <v>678</v>
      </c>
      <c r="G5132" s="6" t="s">
        <v>1040</v>
      </c>
      <c r="H5132" s="6" t="s">
        <v>1041</v>
      </c>
      <c r="I5132" s="6" t="s">
        <v>31</v>
      </c>
      <c r="J5132" s="6">
        <v>17.254148000000001</v>
      </c>
      <c r="K5132" s="6">
        <v>-96.156014999999996</v>
      </c>
      <c r="L5132" s="6" t="str">
        <f>HYPERLINK("https://maps.google.com/?q=17.254148,-96.156014999999996", "🔗 Ver Mapa")</f>
        <v>🔗 Ver Mapa</v>
      </c>
    </row>
    <row r="5133" spans="1:12" ht="43.5" x14ac:dyDescent="0.35">
      <c r="A5133" s="5" t="s">
        <v>288</v>
      </c>
      <c r="B5133" s="5" t="s">
        <v>289</v>
      </c>
      <c r="C5133" s="5" t="s">
        <v>1039</v>
      </c>
      <c r="D5133" s="5" t="s">
        <v>414</v>
      </c>
      <c r="E5133" s="5" t="s">
        <v>90</v>
      </c>
      <c r="F5133" s="5" t="s">
        <v>678</v>
      </c>
      <c r="G5133" s="5" t="s">
        <v>1040</v>
      </c>
      <c r="H5133" s="5" t="s">
        <v>1041</v>
      </c>
      <c r="I5133" s="5" t="s">
        <v>31</v>
      </c>
      <c r="J5133" s="5">
        <v>17.254224000000001</v>
      </c>
      <c r="K5133" s="5">
        <v>-96.154989999999998</v>
      </c>
      <c r="L5133" s="5" t="str">
        <f>HYPERLINK("https://maps.google.com/?q=17.254224,-96.154989999999998", "🔗 Ver Mapa")</f>
        <v>🔗 Ver Mapa</v>
      </c>
    </row>
    <row r="5134" spans="1:12" ht="43.5" x14ac:dyDescent="0.35">
      <c r="A5134" s="6" t="s">
        <v>288</v>
      </c>
      <c r="B5134" s="6" t="s">
        <v>289</v>
      </c>
      <c r="C5134" s="6" t="s">
        <v>1039</v>
      </c>
      <c r="D5134" s="6" t="s">
        <v>414</v>
      </c>
      <c r="E5134" s="6" t="s">
        <v>90</v>
      </c>
      <c r="F5134" s="6" t="s">
        <v>678</v>
      </c>
      <c r="G5134" s="6" t="s">
        <v>1040</v>
      </c>
      <c r="H5134" s="6" t="s">
        <v>1041</v>
      </c>
      <c r="I5134" s="6" t="s">
        <v>31</v>
      </c>
      <c r="J5134" s="6">
        <v>17.254236261951</v>
      </c>
      <c r="K5134" s="6">
        <v>-96.156104309192997</v>
      </c>
      <c r="L5134" s="6" t="str">
        <f>HYPERLINK("https://maps.google.com/?q=17.254236261951096,-96.15610430919266", "🔗 Ver Mapa")</f>
        <v>🔗 Ver Mapa</v>
      </c>
    </row>
    <row r="5135" spans="1:12" ht="43.5" x14ac:dyDescent="0.35">
      <c r="A5135" s="5" t="s">
        <v>288</v>
      </c>
      <c r="B5135" s="5" t="s">
        <v>289</v>
      </c>
      <c r="C5135" s="5" t="s">
        <v>1039</v>
      </c>
      <c r="D5135" s="5" t="s">
        <v>414</v>
      </c>
      <c r="E5135" s="5" t="s">
        <v>90</v>
      </c>
      <c r="F5135" s="5" t="s">
        <v>678</v>
      </c>
      <c r="G5135" s="5" t="s">
        <v>1040</v>
      </c>
      <c r="H5135" s="5" t="s">
        <v>1041</v>
      </c>
      <c r="I5135" s="5" t="s">
        <v>31</v>
      </c>
      <c r="J5135" s="5">
        <v>17.254299</v>
      </c>
      <c r="K5135" s="5">
        <v>-96.155844000000002</v>
      </c>
      <c r="L5135" s="5" t="str">
        <f>HYPERLINK("https://maps.google.com/?q=17.254299,-96.155844000000002", "🔗 Ver Mapa")</f>
        <v>🔗 Ver Mapa</v>
      </c>
    </row>
    <row r="5136" spans="1:12" ht="43.5" x14ac:dyDescent="0.35">
      <c r="A5136" s="6" t="s">
        <v>288</v>
      </c>
      <c r="B5136" s="6" t="s">
        <v>289</v>
      </c>
      <c r="C5136" s="6" t="s">
        <v>1039</v>
      </c>
      <c r="D5136" s="6" t="s">
        <v>414</v>
      </c>
      <c r="E5136" s="6" t="s">
        <v>90</v>
      </c>
      <c r="F5136" s="6" t="s">
        <v>678</v>
      </c>
      <c r="G5136" s="6" t="s">
        <v>1040</v>
      </c>
      <c r="H5136" s="6" t="s">
        <v>1041</v>
      </c>
      <c r="I5136" s="6" t="s">
        <v>31</v>
      </c>
      <c r="J5136" s="6">
        <v>17.254349999999999</v>
      </c>
      <c r="K5136" s="6">
        <v>-96.155608000000001</v>
      </c>
      <c r="L5136" s="6" t="str">
        <f>HYPERLINK("https://maps.google.com/?q=17.25435,-96.155608000000001", "🔗 Ver Mapa")</f>
        <v>🔗 Ver Mapa</v>
      </c>
    </row>
    <row r="5137" spans="1:12" ht="43.5" x14ac:dyDescent="0.35">
      <c r="A5137" s="5" t="s">
        <v>288</v>
      </c>
      <c r="B5137" s="5" t="s">
        <v>289</v>
      </c>
      <c r="C5137" s="5" t="s">
        <v>1039</v>
      </c>
      <c r="D5137" s="5" t="s">
        <v>414</v>
      </c>
      <c r="E5137" s="5" t="s">
        <v>90</v>
      </c>
      <c r="F5137" s="5" t="s">
        <v>678</v>
      </c>
      <c r="G5137" s="5" t="s">
        <v>1040</v>
      </c>
      <c r="H5137" s="5" t="s">
        <v>1041</v>
      </c>
      <c r="I5137" s="5" t="s">
        <v>31</v>
      </c>
      <c r="J5137" s="5">
        <v>17.254420577478001</v>
      </c>
      <c r="K5137" s="5">
        <v>-96.155955309193004</v>
      </c>
      <c r="L5137" s="5" t="str">
        <f>HYPERLINK("https://maps.google.com/?q=17.25442057747805,-96.15595530919266", "🔗 Ver Mapa")</f>
        <v>🔗 Ver Mapa</v>
      </c>
    </row>
    <row r="5138" spans="1:12" ht="43.5" x14ac:dyDescent="0.35">
      <c r="A5138" s="6" t="s">
        <v>288</v>
      </c>
      <c r="B5138" s="6" t="s">
        <v>289</v>
      </c>
      <c r="C5138" s="6" t="s">
        <v>1039</v>
      </c>
      <c r="D5138" s="6" t="s">
        <v>414</v>
      </c>
      <c r="E5138" s="6" t="s">
        <v>90</v>
      </c>
      <c r="F5138" s="6" t="s">
        <v>678</v>
      </c>
      <c r="G5138" s="6" t="s">
        <v>1040</v>
      </c>
      <c r="H5138" s="6" t="s">
        <v>1041</v>
      </c>
      <c r="I5138" s="6" t="s">
        <v>31</v>
      </c>
      <c r="J5138" s="6">
        <v>17.254428000000001</v>
      </c>
      <c r="K5138" s="6">
        <v>-96.155409000000006</v>
      </c>
      <c r="L5138" s="6" t="str">
        <f>HYPERLINK("https://maps.google.com/?q=17.254428,-96.155409000000006", "🔗 Ver Mapa")</f>
        <v>🔗 Ver Mapa</v>
      </c>
    </row>
    <row r="5139" spans="1:12" ht="43.5" x14ac:dyDescent="0.35">
      <c r="A5139" s="5" t="s">
        <v>288</v>
      </c>
      <c r="B5139" s="5" t="s">
        <v>289</v>
      </c>
      <c r="C5139" s="5" t="s">
        <v>1039</v>
      </c>
      <c r="D5139" s="5" t="s">
        <v>414</v>
      </c>
      <c r="E5139" s="5" t="s">
        <v>90</v>
      </c>
      <c r="F5139" s="5" t="s">
        <v>678</v>
      </c>
      <c r="G5139" s="5" t="s">
        <v>1040</v>
      </c>
      <c r="H5139" s="5" t="s">
        <v>1041</v>
      </c>
      <c r="I5139" s="5" t="s">
        <v>31</v>
      </c>
      <c r="J5139" s="5">
        <v>17.254456999999999</v>
      </c>
      <c r="K5139" s="5">
        <v>-96.154950999999997</v>
      </c>
      <c r="L5139" s="5" t="str">
        <f>HYPERLINK("https://maps.google.com/?q=17.254457,-96.154950999999997", "🔗 Ver Mapa")</f>
        <v>🔗 Ver Mapa</v>
      </c>
    </row>
    <row r="5140" spans="1:12" ht="43.5" x14ac:dyDescent="0.35">
      <c r="A5140" s="6" t="s">
        <v>288</v>
      </c>
      <c r="B5140" s="6" t="s">
        <v>289</v>
      </c>
      <c r="C5140" s="6" t="s">
        <v>1039</v>
      </c>
      <c r="D5140" s="6" t="s">
        <v>414</v>
      </c>
      <c r="E5140" s="6" t="s">
        <v>90</v>
      </c>
      <c r="F5140" s="6" t="s">
        <v>678</v>
      </c>
      <c r="G5140" s="6" t="s">
        <v>1040</v>
      </c>
      <c r="H5140" s="6" t="s">
        <v>1041</v>
      </c>
      <c r="I5140" s="6" t="s">
        <v>31</v>
      </c>
      <c r="J5140" s="6">
        <v>17.254534</v>
      </c>
      <c r="K5140" s="6">
        <v>-96.155201000000005</v>
      </c>
      <c r="L5140" s="6" t="str">
        <f>HYPERLINK("https://maps.google.com/?q=17.254534,-96.155201000000005", "🔗 Ver Mapa")</f>
        <v>🔗 Ver Mapa</v>
      </c>
    </row>
    <row r="5141" spans="1:12" ht="43.5" x14ac:dyDescent="0.35">
      <c r="A5141" s="5" t="s">
        <v>288</v>
      </c>
      <c r="B5141" s="5" t="s">
        <v>289</v>
      </c>
      <c r="C5141" s="5" t="s">
        <v>1039</v>
      </c>
      <c r="D5141" s="5" t="s">
        <v>414</v>
      </c>
      <c r="E5141" s="5" t="s">
        <v>90</v>
      </c>
      <c r="F5141" s="5" t="s">
        <v>678</v>
      </c>
      <c r="G5141" s="5" t="s">
        <v>1040</v>
      </c>
      <c r="H5141" s="5" t="s">
        <v>1041</v>
      </c>
      <c r="I5141" s="5" t="s">
        <v>31</v>
      </c>
      <c r="J5141" s="5">
        <v>17.254545</v>
      </c>
      <c r="K5141" s="5">
        <v>-96.150238999999999</v>
      </c>
      <c r="L5141" s="5" t="str">
        <f>HYPERLINK("https://maps.google.com/?q=17.254545,-96.150238999999999", "🔗 Ver Mapa")</f>
        <v>🔗 Ver Mapa</v>
      </c>
    </row>
    <row r="5142" spans="1:12" ht="43.5" x14ac:dyDescent="0.35">
      <c r="A5142" s="6" t="s">
        <v>288</v>
      </c>
      <c r="B5142" s="6" t="s">
        <v>289</v>
      </c>
      <c r="C5142" s="6" t="s">
        <v>1039</v>
      </c>
      <c r="D5142" s="6" t="s">
        <v>414</v>
      </c>
      <c r="E5142" s="6" t="s">
        <v>90</v>
      </c>
      <c r="F5142" s="6" t="s">
        <v>678</v>
      </c>
      <c r="G5142" s="6" t="s">
        <v>1040</v>
      </c>
      <c r="H5142" s="6" t="s">
        <v>1041</v>
      </c>
      <c r="I5142" s="6" t="s">
        <v>31</v>
      </c>
      <c r="J5142" s="6">
        <v>17.254556999999998</v>
      </c>
      <c r="K5142" s="6">
        <v>-96.150474000000003</v>
      </c>
      <c r="L5142" s="6" t="str">
        <f>HYPERLINK("https://maps.google.com/?q=17.254557,-96.150474000000003", "🔗 Ver Mapa")</f>
        <v>🔗 Ver Mapa</v>
      </c>
    </row>
    <row r="5143" spans="1:12" ht="43.5" x14ac:dyDescent="0.35">
      <c r="A5143" s="5" t="s">
        <v>288</v>
      </c>
      <c r="B5143" s="5" t="s">
        <v>289</v>
      </c>
      <c r="C5143" s="5" t="s">
        <v>1039</v>
      </c>
      <c r="D5143" s="5" t="s">
        <v>414</v>
      </c>
      <c r="E5143" s="5" t="s">
        <v>90</v>
      </c>
      <c r="F5143" s="5" t="s">
        <v>678</v>
      </c>
      <c r="G5143" s="5" t="s">
        <v>1040</v>
      </c>
      <c r="H5143" s="5" t="s">
        <v>1041</v>
      </c>
      <c r="I5143" s="5" t="s">
        <v>31</v>
      </c>
      <c r="J5143" s="5">
        <v>17.254567999999999</v>
      </c>
      <c r="K5143" s="5">
        <v>-96.150013000000001</v>
      </c>
      <c r="L5143" s="5" t="str">
        <f>HYPERLINK("https://maps.google.com/?q=17.254568,-96.150013000000001", "🔗 Ver Mapa")</f>
        <v>🔗 Ver Mapa</v>
      </c>
    </row>
    <row r="5144" spans="1:12" ht="43.5" x14ac:dyDescent="0.35">
      <c r="A5144" s="6" t="s">
        <v>288</v>
      </c>
      <c r="B5144" s="6" t="s">
        <v>289</v>
      </c>
      <c r="C5144" s="6" t="s">
        <v>1039</v>
      </c>
      <c r="D5144" s="6" t="s">
        <v>414</v>
      </c>
      <c r="E5144" s="6" t="s">
        <v>90</v>
      </c>
      <c r="F5144" s="6" t="s">
        <v>678</v>
      </c>
      <c r="G5144" s="6" t="s">
        <v>1040</v>
      </c>
      <c r="H5144" s="6" t="s">
        <v>1041</v>
      </c>
      <c r="I5144" s="6" t="s">
        <v>31</v>
      </c>
      <c r="J5144" s="6">
        <v>17.254577999999999</v>
      </c>
      <c r="K5144" s="6">
        <v>-96.150707999999995</v>
      </c>
      <c r="L5144" s="6" t="str">
        <f>HYPERLINK("https://maps.google.com/?q=17.254578,-96.150707999999995", "🔗 Ver Mapa")</f>
        <v>🔗 Ver Mapa</v>
      </c>
    </row>
    <row r="5145" spans="1:12" ht="43.5" x14ac:dyDescent="0.35">
      <c r="A5145" s="5" t="s">
        <v>288</v>
      </c>
      <c r="B5145" s="5" t="s">
        <v>289</v>
      </c>
      <c r="C5145" s="5" t="s">
        <v>1039</v>
      </c>
      <c r="D5145" s="5" t="s">
        <v>414</v>
      </c>
      <c r="E5145" s="5" t="s">
        <v>90</v>
      </c>
      <c r="F5145" s="5" t="s">
        <v>678</v>
      </c>
      <c r="G5145" s="5" t="s">
        <v>1040</v>
      </c>
      <c r="H5145" s="5" t="s">
        <v>1041</v>
      </c>
      <c r="I5145" s="5" t="s">
        <v>31</v>
      </c>
      <c r="J5145" s="5">
        <v>17.254591999999999</v>
      </c>
      <c r="K5145" s="5">
        <v>-96.149787000000003</v>
      </c>
      <c r="L5145" s="5" t="str">
        <f>HYPERLINK("https://maps.google.com/?q=17.254592,-96.149787000000003", "🔗 Ver Mapa")</f>
        <v>🔗 Ver Mapa</v>
      </c>
    </row>
    <row r="5146" spans="1:12" ht="43.5" x14ac:dyDescent="0.35">
      <c r="A5146" s="6" t="s">
        <v>288</v>
      </c>
      <c r="B5146" s="6" t="s">
        <v>289</v>
      </c>
      <c r="C5146" s="6" t="s">
        <v>1039</v>
      </c>
      <c r="D5146" s="6" t="s">
        <v>414</v>
      </c>
      <c r="E5146" s="6" t="s">
        <v>90</v>
      </c>
      <c r="F5146" s="6" t="s">
        <v>678</v>
      </c>
      <c r="G5146" s="6" t="s">
        <v>1040</v>
      </c>
      <c r="H5146" s="6" t="s">
        <v>1041</v>
      </c>
      <c r="I5146" s="6" t="s">
        <v>31</v>
      </c>
      <c r="J5146" s="6">
        <v>17.254598000000001</v>
      </c>
      <c r="K5146" s="6">
        <v>-96.149552</v>
      </c>
      <c r="L5146" s="6" t="str">
        <f>HYPERLINK("https://maps.google.com/?q=17.254598,-96.149552", "🔗 Ver Mapa")</f>
        <v>🔗 Ver Mapa</v>
      </c>
    </row>
    <row r="5147" spans="1:12" ht="43.5" x14ac:dyDescent="0.35">
      <c r="A5147" s="5" t="s">
        <v>288</v>
      </c>
      <c r="B5147" s="5" t="s">
        <v>289</v>
      </c>
      <c r="C5147" s="5" t="s">
        <v>1039</v>
      </c>
      <c r="D5147" s="5" t="s">
        <v>414</v>
      </c>
      <c r="E5147" s="5" t="s">
        <v>90</v>
      </c>
      <c r="F5147" s="5" t="s">
        <v>678</v>
      </c>
      <c r="G5147" s="5" t="s">
        <v>1040</v>
      </c>
      <c r="H5147" s="5" t="s">
        <v>1041</v>
      </c>
      <c r="I5147" s="5" t="s">
        <v>31</v>
      </c>
      <c r="J5147" s="5">
        <v>17.254612000000002</v>
      </c>
      <c r="K5147" s="5">
        <v>-96.154973999999996</v>
      </c>
      <c r="L5147" s="5" t="str">
        <f>HYPERLINK("https://maps.google.com/?q=17.254612,-96.154973999999996", "🔗 Ver Mapa")</f>
        <v>🔗 Ver Mapa</v>
      </c>
    </row>
    <row r="5148" spans="1:12" ht="43.5" x14ac:dyDescent="0.35">
      <c r="A5148" s="6" t="s">
        <v>288</v>
      </c>
      <c r="B5148" s="6" t="s">
        <v>289</v>
      </c>
      <c r="C5148" s="6" t="s">
        <v>1039</v>
      </c>
      <c r="D5148" s="6" t="s">
        <v>414</v>
      </c>
      <c r="E5148" s="6" t="s">
        <v>90</v>
      </c>
      <c r="F5148" s="6" t="s">
        <v>678</v>
      </c>
      <c r="G5148" s="6" t="s">
        <v>1040</v>
      </c>
      <c r="H5148" s="6" t="s">
        <v>1041</v>
      </c>
      <c r="I5148" s="6" t="s">
        <v>31</v>
      </c>
      <c r="J5148" s="6">
        <v>17.254612296769</v>
      </c>
      <c r="K5148" s="6">
        <v>-96.155803650297003</v>
      </c>
      <c r="L5148" s="6" t="str">
        <f>HYPERLINK("https://maps.google.com/?q=17.254612296768716,-96.15580365029716", "🔗 Ver Mapa")</f>
        <v>🔗 Ver Mapa</v>
      </c>
    </row>
    <row r="5149" spans="1:12" ht="43.5" x14ac:dyDescent="0.35">
      <c r="A5149" s="5" t="s">
        <v>288</v>
      </c>
      <c r="B5149" s="5" t="s">
        <v>289</v>
      </c>
      <c r="C5149" s="5" t="s">
        <v>1039</v>
      </c>
      <c r="D5149" s="5" t="s">
        <v>414</v>
      </c>
      <c r="E5149" s="5" t="s">
        <v>90</v>
      </c>
      <c r="F5149" s="5" t="s">
        <v>678</v>
      </c>
      <c r="G5149" s="5" t="s">
        <v>1040</v>
      </c>
      <c r="H5149" s="5" t="s">
        <v>1041</v>
      </c>
      <c r="I5149" s="5" t="s">
        <v>31</v>
      </c>
      <c r="J5149" s="5">
        <v>17.254618000000001</v>
      </c>
      <c r="K5149" s="5">
        <v>-96.150932999999995</v>
      </c>
      <c r="L5149" s="5" t="str">
        <f>HYPERLINK("https://maps.google.com/?q=17.254618,-96.150932999999995", "🔗 Ver Mapa")</f>
        <v>🔗 Ver Mapa</v>
      </c>
    </row>
    <row r="5150" spans="1:12" ht="43.5" x14ac:dyDescent="0.35">
      <c r="A5150" s="6" t="s">
        <v>288</v>
      </c>
      <c r="B5150" s="6" t="s">
        <v>289</v>
      </c>
      <c r="C5150" s="6" t="s">
        <v>1039</v>
      </c>
      <c r="D5150" s="6" t="s">
        <v>414</v>
      </c>
      <c r="E5150" s="6" t="s">
        <v>90</v>
      </c>
      <c r="F5150" s="6" t="s">
        <v>678</v>
      </c>
      <c r="G5150" s="6" t="s">
        <v>1040</v>
      </c>
      <c r="H5150" s="6" t="s">
        <v>1041</v>
      </c>
      <c r="I5150" s="6" t="s">
        <v>31</v>
      </c>
      <c r="J5150" s="6">
        <v>17.254660631010001</v>
      </c>
      <c r="K5150" s="6">
        <v>-96.149246487102999</v>
      </c>
      <c r="L5150" s="6" t="str">
        <f>HYPERLINK("https://maps.google.com/?q=17.254660631010267,-96.1492464871025", "🔗 Ver Mapa")</f>
        <v>🔗 Ver Mapa</v>
      </c>
    </row>
    <row r="5151" spans="1:12" ht="43.5" x14ac:dyDescent="0.35">
      <c r="A5151" s="5" t="s">
        <v>288</v>
      </c>
      <c r="B5151" s="5" t="s">
        <v>289</v>
      </c>
      <c r="C5151" s="5" t="s">
        <v>1039</v>
      </c>
      <c r="D5151" s="5" t="s">
        <v>414</v>
      </c>
      <c r="E5151" s="5" t="s">
        <v>90</v>
      </c>
      <c r="F5151" s="5" t="s">
        <v>678</v>
      </c>
      <c r="G5151" s="5" t="s">
        <v>1040</v>
      </c>
      <c r="H5151" s="5" t="s">
        <v>1041</v>
      </c>
      <c r="I5151" s="5" t="s">
        <v>31</v>
      </c>
      <c r="J5151" s="5">
        <v>17.254693</v>
      </c>
      <c r="K5151" s="5">
        <v>-96.151157999999995</v>
      </c>
      <c r="L5151" s="5" t="str">
        <f>HYPERLINK("https://maps.google.com/?q=17.254693,-96.151157999999995", "🔗 Ver Mapa")</f>
        <v>🔗 Ver Mapa</v>
      </c>
    </row>
    <row r="5152" spans="1:12" ht="43.5" x14ac:dyDescent="0.35">
      <c r="A5152" s="6" t="s">
        <v>288</v>
      </c>
      <c r="B5152" s="6" t="s">
        <v>289</v>
      </c>
      <c r="C5152" s="6" t="s">
        <v>1039</v>
      </c>
      <c r="D5152" s="6" t="s">
        <v>414</v>
      </c>
      <c r="E5152" s="6" t="s">
        <v>90</v>
      </c>
      <c r="F5152" s="6" t="s">
        <v>678</v>
      </c>
      <c r="G5152" s="6" t="s">
        <v>1040</v>
      </c>
      <c r="H5152" s="6" t="s">
        <v>1041</v>
      </c>
      <c r="I5152" s="6" t="s">
        <v>31</v>
      </c>
      <c r="J5152" s="6">
        <v>17.254708000000001</v>
      </c>
      <c r="K5152" s="6">
        <v>-96.154765999999995</v>
      </c>
      <c r="L5152" s="6" t="str">
        <f>HYPERLINK("https://maps.google.com/?q=17.254708,-96.154765999999995", "🔗 Ver Mapa")</f>
        <v>🔗 Ver Mapa</v>
      </c>
    </row>
    <row r="5153" spans="1:12" ht="43.5" x14ac:dyDescent="0.35">
      <c r="A5153" s="5" t="s">
        <v>288</v>
      </c>
      <c r="B5153" s="5" t="s">
        <v>289</v>
      </c>
      <c r="C5153" s="5" t="s">
        <v>1039</v>
      </c>
      <c r="D5153" s="5" t="s">
        <v>414</v>
      </c>
      <c r="E5153" s="5" t="s">
        <v>90</v>
      </c>
      <c r="F5153" s="5" t="s">
        <v>678</v>
      </c>
      <c r="G5153" s="5" t="s">
        <v>1040</v>
      </c>
      <c r="H5153" s="5" t="s">
        <v>1041</v>
      </c>
      <c r="I5153" s="5" t="s">
        <v>31</v>
      </c>
      <c r="J5153" s="5">
        <v>17.254740999999999</v>
      </c>
      <c r="K5153" s="5">
        <v>-96.151381999999998</v>
      </c>
      <c r="L5153" s="5" t="str">
        <f>HYPERLINK("https://maps.google.com/?q=17.254741,-96.151381999999998", "🔗 Ver Mapa")</f>
        <v>🔗 Ver Mapa</v>
      </c>
    </row>
    <row r="5154" spans="1:12" ht="43.5" x14ac:dyDescent="0.35">
      <c r="A5154" s="6" t="s">
        <v>288</v>
      </c>
      <c r="B5154" s="6" t="s">
        <v>289</v>
      </c>
      <c r="C5154" s="6" t="s">
        <v>1039</v>
      </c>
      <c r="D5154" s="6" t="s">
        <v>414</v>
      </c>
      <c r="E5154" s="6" t="s">
        <v>90</v>
      </c>
      <c r="F5154" s="6" t="s">
        <v>678</v>
      </c>
      <c r="G5154" s="6" t="s">
        <v>1040</v>
      </c>
      <c r="H5154" s="6" t="s">
        <v>1041</v>
      </c>
      <c r="I5154" s="6" t="s">
        <v>31</v>
      </c>
      <c r="J5154" s="6">
        <v>17.254784016058</v>
      </c>
      <c r="K5154" s="6">
        <v>-96.155649285878994</v>
      </c>
      <c r="L5154" s="6" t="str">
        <f>HYPERLINK("https://maps.google.com/?q=17.254784016057634,-96.15564928587914", "🔗 Ver Mapa")</f>
        <v>🔗 Ver Mapa</v>
      </c>
    </row>
    <row r="5155" spans="1:12" ht="43.5" x14ac:dyDescent="0.35">
      <c r="A5155" s="5" t="s">
        <v>288</v>
      </c>
      <c r="B5155" s="5" t="s">
        <v>289</v>
      </c>
      <c r="C5155" s="5" t="s">
        <v>1039</v>
      </c>
      <c r="D5155" s="5" t="s">
        <v>414</v>
      </c>
      <c r="E5155" s="5" t="s">
        <v>90</v>
      </c>
      <c r="F5155" s="5" t="s">
        <v>678</v>
      </c>
      <c r="G5155" s="5" t="s">
        <v>1040</v>
      </c>
      <c r="H5155" s="5" t="s">
        <v>1041</v>
      </c>
      <c r="I5155" s="5" t="s">
        <v>31</v>
      </c>
      <c r="J5155" s="5">
        <v>17.25479</v>
      </c>
      <c r="K5155" s="5">
        <v>-96.151606999999998</v>
      </c>
      <c r="L5155" s="5" t="str">
        <f>HYPERLINK("https://maps.google.com/?q=17.25479,-96.151606999999998", "🔗 Ver Mapa")</f>
        <v>🔗 Ver Mapa</v>
      </c>
    </row>
    <row r="5156" spans="1:12" ht="43.5" x14ac:dyDescent="0.35">
      <c r="A5156" s="6" t="s">
        <v>288</v>
      </c>
      <c r="B5156" s="6" t="s">
        <v>289</v>
      </c>
      <c r="C5156" s="6" t="s">
        <v>1039</v>
      </c>
      <c r="D5156" s="6" t="s">
        <v>414</v>
      </c>
      <c r="E5156" s="6" t="s">
        <v>90</v>
      </c>
      <c r="F5156" s="6" t="s">
        <v>678</v>
      </c>
      <c r="G5156" s="6" t="s">
        <v>1040</v>
      </c>
      <c r="H5156" s="6" t="s">
        <v>1041</v>
      </c>
      <c r="I5156" s="6" t="s">
        <v>31</v>
      </c>
      <c r="J5156" s="6">
        <v>17.254804</v>
      </c>
      <c r="K5156" s="6">
        <v>-96.154557999999994</v>
      </c>
      <c r="L5156" s="6" t="str">
        <f>HYPERLINK("https://maps.google.com/?q=17.254804,-96.154557999999994", "🔗 Ver Mapa")</f>
        <v>🔗 Ver Mapa</v>
      </c>
    </row>
    <row r="5157" spans="1:12" ht="43.5" x14ac:dyDescent="0.35">
      <c r="A5157" s="5" t="s">
        <v>288</v>
      </c>
      <c r="B5157" s="5" t="s">
        <v>289</v>
      </c>
      <c r="C5157" s="5" t="s">
        <v>1039</v>
      </c>
      <c r="D5157" s="5" t="s">
        <v>414</v>
      </c>
      <c r="E5157" s="5" t="s">
        <v>90</v>
      </c>
      <c r="F5157" s="5" t="s">
        <v>678</v>
      </c>
      <c r="G5157" s="5" t="s">
        <v>1040</v>
      </c>
      <c r="H5157" s="5" t="s">
        <v>1041</v>
      </c>
      <c r="I5157" s="5" t="s">
        <v>31</v>
      </c>
      <c r="J5157" s="5">
        <v>17.254837999999999</v>
      </c>
      <c r="K5157" s="5">
        <v>-96.151831999999999</v>
      </c>
      <c r="L5157" s="5" t="str">
        <f>HYPERLINK("https://maps.google.com/?q=17.254838,-96.151831999999999", "🔗 Ver Mapa")</f>
        <v>🔗 Ver Mapa</v>
      </c>
    </row>
    <row r="5158" spans="1:12" ht="43.5" x14ac:dyDescent="0.35">
      <c r="A5158" s="6" t="s">
        <v>288</v>
      </c>
      <c r="B5158" s="6" t="s">
        <v>289</v>
      </c>
      <c r="C5158" s="6" t="s">
        <v>1039</v>
      </c>
      <c r="D5158" s="6" t="s">
        <v>414</v>
      </c>
      <c r="E5158" s="6" t="s">
        <v>90</v>
      </c>
      <c r="F5158" s="6" t="s">
        <v>678</v>
      </c>
      <c r="G5158" s="6" t="s">
        <v>1040</v>
      </c>
      <c r="H5158" s="6" t="s">
        <v>1041</v>
      </c>
      <c r="I5158" s="6" t="s">
        <v>31</v>
      </c>
      <c r="J5158" s="6">
        <v>17.254857000000001</v>
      </c>
      <c r="K5158" s="6">
        <v>-96.152518000000001</v>
      </c>
      <c r="L5158" s="6" t="str">
        <f>HYPERLINK("https://maps.google.com/?q=17.254857,-96.152518000000001", "🔗 Ver Mapa")</f>
        <v>🔗 Ver Mapa</v>
      </c>
    </row>
    <row r="5159" spans="1:12" ht="43.5" x14ac:dyDescent="0.35">
      <c r="A5159" s="5" t="s">
        <v>288</v>
      </c>
      <c r="B5159" s="5" t="s">
        <v>289</v>
      </c>
      <c r="C5159" s="5" t="s">
        <v>1039</v>
      </c>
      <c r="D5159" s="5" t="s">
        <v>414</v>
      </c>
      <c r="E5159" s="5" t="s">
        <v>90</v>
      </c>
      <c r="F5159" s="5" t="s">
        <v>678</v>
      </c>
      <c r="G5159" s="5" t="s">
        <v>1040</v>
      </c>
      <c r="H5159" s="5" t="s">
        <v>1041</v>
      </c>
      <c r="I5159" s="5" t="s">
        <v>31</v>
      </c>
      <c r="J5159" s="5">
        <v>17.254859</v>
      </c>
      <c r="K5159" s="5">
        <v>-96.152067000000002</v>
      </c>
      <c r="L5159" s="5" t="str">
        <f>HYPERLINK("https://maps.google.com/?q=17.254859,-96.152067000000002", "🔗 Ver Mapa")</f>
        <v>🔗 Ver Mapa</v>
      </c>
    </row>
    <row r="5160" spans="1:12" ht="43.5" x14ac:dyDescent="0.35">
      <c r="A5160" s="6" t="s">
        <v>288</v>
      </c>
      <c r="B5160" s="6" t="s">
        <v>289</v>
      </c>
      <c r="C5160" s="6" t="s">
        <v>1039</v>
      </c>
      <c r="D5160" s="6" t="s">
        <v>414</v>
      </c>
      <c r="E5160" s="6" t="s">
        <v>90</v>
      </c>
      <c r="F5160" s="6" t="s">
        <v>678</v>
      </c>
      <c r="G5160" s="6" t="s">
        <v>1040</v>
      </c>
      <c r="H5160" s="6" t="s">
        <v>1041</v>
      </c>
      <c r="I5160" s="6" t="s">
        <v>31</v>
      </c>
      <c r="J5160" s="6">
        <v>17.254863</v>
      </c>
      <c r="K5160" s="6">
        <v>-96.152292000000003</v>
      </c>
      <c r="L5160" s="6" t="str">
        <f>HYPERLINK("https://maps.google.com/?q=17.254863,-96.152292000000003", "🔗 Ver Mapa")</f>
        <v>🔗 Ver Mapa</v>
      </c>
    </row>
    <row r="5161" spans="1:12" ht="43.5" x14ac:dyDescent="0.35">
      <c r="A5161" s="5" t="s">
        <v>288</v>
      </c>
      <c r="B5161" s="5" t="s">
        <v>289</v>
      </c>
      <c r="C5161" s="5" t="s">
        <v>1039</v>
      </c>
      <c r="D5161" s="5" t="s">
        <v>414</v>
      </c>
      <c r="E5161" s="5" t="s">
        <v>90</v>
      </c>
      <c r="F5161" s="5" t="s">
        <v>678</v>
      </c>
      <c r="G5161" s="5" t="s">
        <v>1040</v>
      </c>
      <c r="H5161" s="5" t="s">
        <v>1041</v>
      </c>
      <c r="I5161" s="5" t="s">
        <v>31</v>
      </c>
      <c r="J5161" s="5">
        <v>17.254881999999998</v>
      </c>
      <c r="K5161" s="5">
        <v>-96.154330999999999</v>
      </c>
      <c r="L5161" s="5" t="str">
        <f>HYPERLINK("https://maps.google.com/?q=17.254882,-96.154330999999999", "🔗 Ver Mapa")</f>
        <v>🔗 Ver Mapa</v>
      </c>
    </row>
    <row r="5162" spans="1:12" ht="43.5" x14ac:dyDescent="0.35">
      <c r="A5162" s="6" t="s">
        <v>288</v>
      </c>
      <c r="B5162" s="6" t="s">
        <v>289</v>
      </c>
      <c r="C5162" s="6" t="s">
        <v>1039</v>
      </c>
      <c r="D5162" s="6" t="s">
        <v>414</v>
      </c>
      <c r="E5162" s="6" t="s">
        <v>90</v>
      </c>
      <c r="F5162" s="6" t="s">
        <v>678</v>
      </c>
      <c r="G5162" s="6" t="s">
        <v>1040</v>
      </c>
      <c r="H5162" s="6" t="s">
        <v>1041</v>
      </c>
      <c r="I5162" s="6" t="s">
        <v>31</v>
      </c>
      <c r="J5162" s="6">
        <v>17.254913999999999</v>
      </c>
      <c r="K5162" s="6">
        <v>-96.152732999999998</v>
      </c>
      <c r="L5162" s="6" t="str">
        <f>HYPERLINK("https://maps.google.com/?q=17.254914,-96.152732999999998", "🔗 Ver Mapa")</f>
        <v>🔗 Ver Mapa</v>
      </c>
    </row>
    <row r="5163" spans="1:12" ht="43.5" x14ac:dyDescent="0.35">
      <c r="A5163" s="5" t="s">
        <v>288</v>
      </c>
      <c r="B5163" s="5" t="s">
        <v>289</v>
      </c>
      <c r="C5163" s="5" t="s">
        <v>1039</v>
      </c>
      <c r="D5163" s="5" t="s">
        <v>414</v>
      </c>
      <c r="E5163" s="5" t="s">
        <v>90</v>
      </c>
      <c r="F5163" s="5" t="s">
        <v>678</v>
      </c>
      <c r="G5163" s="5" t="s">
        <v>1040</v>
      </c>
      <c r="H5163" s="5" t="s">
        <v>1041</v>
      </c>
      <c r="I5163" s="5" t="s">
        <v>31</v>
      </c>
      <c r="J5163" s="5">
        <v>17.254962085643001</v>
      </c>
      <c r="K5163" s="5">
        <v>-96.153895046626999</v>
      </c>
      <c r="L5163" s="5" t="str">
        <f>HYPERLINK("https://maps.google.com/?q=17.254962085642564,-96.15389504662703", "🔗 Ver Mapa")</f>
        <v>🔗 Ver Mapa</v>
      </c>
    </row>
    <row r="5164" spans="1:12" ht="43.5" x14ac:dyDescent="0.35">
      <c r="A5164" s="6" t="s">
        <v>288</v>
      </c>
      <c r="B5164" s="6" t="s">
        <v>289</v>
      </c>
      <c r="C5164" s="6" t="s">
        <v>1039</v>
      </c>
      <c r="D5164" s="6" t="s">
        <v>414</v>
      </c>
      <c r="E5164" s="6" t="s">
        <v>90</v>
      </c>
      <c r="F5164" s="6" t="s">
        <v>678</v>
      </c>
      <c r="G5164" s="6" t="s">
        <v>1040</v>
      </c>
      <c r="H5164" s="6" t="s">
        <v>1041</v>
      </c>
      <c r="I5164" s="6" t="s">
        <v>31</v>
      </c>
      <c r="J5164" s="6">
        <v>17.254965208630001</v>
      </c>
      <c r="K5164" s="6">
        <v>-96.155512215938998</v>
      </c>
      <c r="L5164" s="6" t="str">
        <f>HYPERLINK("https://maps.google.com/?q=17.25496520863034,-96.15551221593857", "🔗 Ver Mapa")</f>
        <v>🔗 Ver Mapa</v>
      </c>
    </row>
    <row r="5165" spans="1:12" ht="43.5" x14ac:dyDescent="0.35">
      <c r="A5165" s="5" t="s">
        <v>288</v>
      </c>
      <c r="B5165" s="5" t="s">
        <v>289</v>
      </c>
      <c r="C5165" s="5" t="s">
        <v>1039</v>
      </c>
      <c r="D5165" s="5" t="s">
        <v>414</v>
      </c>
      <c r="E5165" s="5" t="s">
        <v>90</v>
      </c>
      <c r="F5165" s="5" t="s">
        <v>678</v>
      </c>
      <c r="G5165" s="5" t="s">
        <v>1040</v>
      </c>
      <c r="H5165" s="5" t="s">
        <v>1041</v>
      </c>
      <c r="I5165" s="5" t="s">
        <v>31</v>
      </c>
      <c r="J5165" s="5">
        <v>17.254968999999999</v>
      </c>
      <c r="K5165" s="5">
        <v>-96.153428000000005</v>
      </c>
      <c r="L5165" s="5" t="str">
        <f>HYPERLINK("https://maps.google.com/?q=17.254969,-96.153428000000005", "🔗 Ver Mapa")</f>
        <v>🔗 Ver Mapa</v>
      </c>
    </row>
    <row r="5166" spans="1:12" ht="43.5" x14ac:dyDescent="0.35">
      <c r="A5166" s="6" t="s">
        <v>288</v>
      </c>
      <c r="B5166" s="6" t="s">
        <v>289</v>
      </c>
      <c r="C5166" s="6" t="s">
        <v>1039</v>
      </c>
      <c r="D5166" s="6" t="s">
        <v>414</v>
      </c>
      <c r="E5166" s="6" t="s">
        <v>90</v>
      </c>
      <c r="F5166" s="6" t="s">
        <v>678</v>
      </c>
      <c r="G5166" s="6" t="s">
        <v>1040</v>
      </c>
      <c r="H5166" s="6" t="s">
        <v>1041</v>
      </c>
      <c r="I5166" s="6" t="s">
        <v>31</v>
      </c>
      <c r="J5166" s="6">
        <v>17.254971999999999</v>
      </c>
      <c r="K5166" s="6">
        <v>-96.152967000000004</v>
      </c>
      <c r="L5166" s="6" t="str">
        <f>HYPERLINK("https://maps.google.com/?q=17.254972,-96.152967000000004", "🔗 Ver Mapa")</f>
        <v>🔗 Ver Mapa</v>
      </c>
    </row>
    <row r="5167" spans="1:12" ht="43.5" x14ac:dyDescent="0.35">
      <c r="A5167" s="5" t="s">
        <v>288</v>
      </c>
      <c r="B5167" s="5" t="s">
        <v>289</v>
      </c>
      <c r="C5167" s="5" t="s">
        <v>1039</v>
      </c>
      <c r="D5167" s="5" t="s">
        <v>414</v>
      </c>
      <c r="E5167" s="5" t="s">
        <v>90</v>
      </c>
      <c r="F5167" s="5" t="s">
        <v>678</v>
      </c>
      <c r="G5167" s="5" t="s">
        <v>1040</v>
      </c>
      <c r="H5167" s="5" t="s">
        <v>1041</v>
      </c>
      <c r="I5167" s="5" t="s">
        <v>31</v>
      </c>
      <c r="J5167" s="5">
        <v>17.254981000000001</v>
      </c>
      <c r="K5167" s="5">
        <v>-96.153661999999997</v>
      </c>
      <c r="L5167" s="5" t="str">
        <f>HYPERLINK("https://maps.google.com/?q=17.254981,-96.153661999999997", "🔗 Ver Mapa")</f>
        <v>🔗 Ver Mapa</v>
      </c>
    </row>
    <row r="5168" spans="1:12" ht="43.5" x14ac:dyDescent="0.35">
      <c r="A5168" s="6" t="s">
        <v>288</v>
      </c>
      <c r="B5168" s="6" t="s">
        <v>289</v>
      </c>
      <c r="C5168" s="6" t="s">
        <v>1039</v>
      </c>
      <c r="D5168" s="6" t="s">
        <v>414</v>
      </c>
      <c r="E5168" s="6" t="s">
        <v>90</v>
      </c>
      <c r="F5168" s="6" t="s">
        <v>678</v>
      </c>
      <c r="G5168" s="6" t="s">
        <v>1040</v>
      </c>
      <c r="H5168" s="6" t="s">
        <v>1041</v>
      </c>
      <c r="I5168" s="6" t="s">
        <v>31</v>
      </c>
      <c r="J5168" s="6">
        <v>17.254984</v>
      </c>
      <c r="K5168" s="6">
        <v>-96.153201999999993</v>
      </c>
      <c r="L5168" s="6" t="str">
        <f>HYPERLINK("https://maps.google.com/?q=17.254984,-96.153201999999993", "🔗 Ver Mapa")</f>
        <v>🔗 Ver Mapa</v>
      </c>
    </row>
    <row r="5169" spans="1:12" ht="43.5" x14ac:dyDescent="0.35">
      <c r="A5169" s="5" t="s">
        <v>288</v>
      </c>
      <c r="B5169" s="5" t="s">
        <v>289</v>
      </c>
      <c r="C5169" s="5" t="s">
        <v>1039</v>
      </c>
      <c r="D5169" s="5" t="s">
        <v>414</v>
      </c>
      <c r="E5169" s="5" t="s">
        <v>90</v>
      </c>
      <c r="F5169" s="5" t="s">
        <v>678</v>
      </c>
      <c r="G5169" s="5" t="s">
        <v>1040</v>
      </c>
      <c r="H5169" s="5" t="s">
        <v>1041</v>
      </c>
      <c r="I5169" s="5" t="s">
        <v>31</v>
      </c>
      <c r="J5169" s="5">
        <v>17.254988000000001</v>
      </c>
      <c r="K5169" s="5">
        <v>-96.154112999999995</v>
      </c>
      <c r="L5169" s="5" t="str">
        <f>HYPERLINK("https://maps.google.com/?q=17.254988,-96.154112999999995", "🔗 Ver Mapa")</f>
        <v>🔗 Ver Mapa</v>
      </c>
    </row>
    <row r="5170" spans="1:12" ht="58" x14ac:dyDescent="0.35">
      <c r="A5170" s="6" t="s">
        <v>288</v>
      </c>
      <c r="B5170" s="6" t="s">
        <v>289</v>
      </c>
      <c r="C5170" s="6" t="s">
        <v>1042</v>
      </c>
      <c r="D5170" s="6" t="s">
        <v>745</v>
      </c>
      <c r="E5170" s="6" t="s">
        <v>140</v>
      </c>
      <c r="F5170" s="6" t="s">
        <v>624</v>
      </c>
      <c r="G5170" s="6" t="s">
        <v>1043</v>
      </c>
      <c r="H5170" s="6" t="s">
        <v>1044</v>
      </c>
      <c r="I5170" s="6" t="s">
        <v>31</v>
      </c>
      <c r="J5170" s="6">
        <v>17.313534000000001</v>
      </c>
      <c r="K5170" s="6">
        <v>-95.963851000000005</v>
      </c>
      <c r="L5170" s="6" t="str">
        <f>HYPERLINK("https://maps.google.com/?q=17.313534,-95.963851000000005", "🔗 Ver Mapa")</f>
        <v>🔗 Ver Mapa</v>
      </c>
    </row>
    <row r="5171" spans="1:12" ht="58" x14ac:dyDescent="0.35">
      <c r="A5171" s="5" t="s">
        <v>288</v>
      </c>
      <c r="B5171" s="5" t="s">
        <v>289</v>
      </c>
      <c r="C5171" s="5" t="s">
        <v>1042</v>
      </c>
      <c r="D5171" s="5" t="s">
        <v>745</v>
      </c>
      <c r="E5171" s="5" t="s">
        <v>140</v>
      </c>
      <c r="F5171" s="5" t="s">
        <v>624</v>
      </c>
      <c r="G5171" s="5" t="s">
        <v>1043</v>
      </c>
      <c r="H5171" s="5" t="s">
        <v>1044</v>
      </c>
      <c r="I5171" s="5" t="s">
        <v>31</v>
      </c>
      <c r="J5171" s="5">
        <v>17.313904999999998</v>
      </c>
      <c r="K5171" s="5">
        <v>-95.963791000000001</v>
      </c>
      <c r="L5171" s="5" t="str">
        <f>HYPERLINK("https://maps.google.com/?q=17.313905,-95.963791000000001", "🔗 Ver Mapa")</f>
        <v>🔗 Ver Mapa</v>
      </c>
    </row>
    <row r="5172" spans="1:12" ht="58" x14ac:dyDescent="0.35">
      <c r="A5172" s="6" t="s">
        <v>288</v>
      </c>
      <c r="B5172" s="6" t="s">
        <v>289</v>
      </c>
      <c r="C5172" s="6" t="s">
        <v>1042</v>
      </c>
      <c r="D5172" s="6" t="s">
        <v>745</v>
      </c>
      <c r="E5172" s="6" t="s">
        <v>140</v>
      </c>
      <c r="F5172" s="6" t="s">
        <v>624</v>
      </c>
      <c r="G5172" s="6" t="s">
        <v>1043</v>
      </c>
      <c r="H5172" s="6" t="s">
        <v>1044</v>
      </c>
      <c r="I5172" s="6" t="s">
        <v>31</v>
      </c>
      <c r="J5172" s="6">
        <v>17.314008999999999</v>
      </c>
      <c r="K5172" s="6">
        <v>-95.964093000000005</v>
      </c>
      <c r="L5172" s="6" t="str">
        <f>HYPERLINK("https://maps.google.com/?q=17.314009,-95.964093000000005", "🔗 Ver Mapa")</f>
        <v>🔗 Ver Mapa</v>
      </c>
    </row>
    <row r="5173" spans="1:12" ht="58" x14ac:dyDescent="0.35">
      <c r="A5173" s="5" t="s">
        <v>288</v>
      </c>
      <c r="B5173" s="5" t="s">
        <v>289</v>
      </c>
      <c r="C5173" s="5" t="s">
        <v>1042</v>
      </c>
      <c r="D5173" s="5" t="s">
        <v>745</v>
      </c>
      <c r="E5173" s="5" t="s">
        <v>140</v>
      </c>
      <c r="F5173" s="5" t="s">
        <v>624</v>
      </c>
      <c r="G5173" s="5" t="s">
        <v>1043</v>
      </c>
      <c r="H5173" s="5" t="s">
        <v>1044</v>
      </c>
      <c r="I5173" s="5" t="s">
        <v>31</v>
      </c>
      <c r="J5173" s="5">
        <v>17.314124</v>
      </c>
      <c r="K5173" s="5">
        <v>-95.967207000000002</v>
      </c>
      <c r="L5173" s="5" t="str">
        <f>HYPERLINK("https://maps.google.com/?q=17.314124,-95.967207", "🔗 Ver Mapa")</f>
        <v>🔗 Ver Mapa</v>
      </c>
    </row>
    <row r="5174" spans="1:12" ht="58" x14ac:dyDescent="0.35">
      <c r="A5174" s="6" t="s">
        <v>288</v>
      </c>
      <c r="B5174" s="6" t="s">
        <v>289</v>
      </c>
      <c r="C5174" s="6" t="s">
        <v>1042</v>
      </c>
      <c r="D5174" s="6" t="s">
        <v>745</v>
      </c>
      <c r="E5174" s="6" t="s">
        <v>140</v>
      </c>
      <c r="F5174" s="6" t="s">
        <v>624</v>
      </c>
      <c r="G5174" s="6" t="s">
        <v>1043</v>
      </c>
      <c r="H5174" s="6" t="s">
        <v>1044</v>
      </c>
      <c r="I5174" s="6" t="s">
        <v>31</v>
      </c>
      <c r="J5174" s="6">
        <v>17.314143999999999</v>
      </c>
      <c r="K5174" s="6">
        <v>-95.966586000000007</v>
      </c>
      <c r="L5174" s="6" t="str">
        <f>HYPERLINK("https://maps.google.com/?q=17.314144,-95.966586000000007", "🔗 Ver Mapa")</f>
        <v>🔗 Ver Mapa</v>
      </c>
    </row>
    <row r="5175" spans="1:12" ht="58" x14ac:dyDescent="0.35">
      <c r="A5175" s="5" t="s">
        <v>288</v>
      </c>
      <c r="B5175" s="5" t="s">
        <v>289</v>
      </c>
      <c r="C5175" s="5" t="s">
        <v>1042</v>
      </c>
      <c r="D5175" s="5" t="s">
        <v>745</v>
      </c>
      <c r="E5175" s="5" t="s">
        <v>140</v>
      </c>
      <c r="F5175" s="5" t="s">
        <v>624</v>
      </c>
      <c r="G5175" s="5" t="s">
        <v>1043</v>
      </c>
      <c r="H5175" s="5" t="s">
        <v>1044</v>
      </c>
      <c r="I5175" s="5" t="s">
        <v>31</v>
      </c>
      <c r="J5175" s="5">
        <v>17.314155</v>
      </c>
      <c r="K5175" s="5">
        <v>-95.964574999999996</v>
      </c>
      <c r="L5175" s="5" t="str">
        <f>HYPERLINK("https://maps.google.com/?q=17.314155,-95.964574999999996", "🔗 Ver Mapa")</f>
        <v>🔗 Ver Mapa</v>
      </c>
    </row>
    <row r="5176" spans="1:12" ht="58" x14ac:dyDescent="0.35">
      <c r="A5176" s="6" t="s">
        <v>288</v>
      </c>
      <c r="B5176" s="6" t="s">
        <v>289</v>
      </c>
      <c r="C5176" s="6" t="s">
        <v>1042</v>
      </c>
      <c r="D5176" s="6" t="s">
        <v>745</v>
      </c>
      <c r="E5176" s="6" t="s">
        <v>140</v>
      </c>
      <c r="F5176" s="6" t="s">
        <v>624</v>
      </c>
      <c r="G5176" s="6" t="s">
        <v>1043</v>
      </c>
      <c r="H5176" s="6" t="s">
        <v>1044</v>
      </c>
      <c r="I5176" s="6" t="s">
        <v>31</v>
      </c>
      <c r="J5176" s="6">
        <v>17.314162</v>
      </c>
      <c r="K5176" s="6">
        <v>-95.963504</v>
      </c>
      <c r="L5176" s="6" t="str">
        <f>HYPERLINK("https://maps.google.com/?q=17.314162,-95.963504", "🔗 Ver Mapa")</f>
        <v>🔗 Ver Mapa</v>
      </c>
    </row>
    <row r="5177" spans="1:12" ht="58" x14ac:dyDescent="0.35">
      <c r="A5177" s="5" t="s">
        <v>288</v>
      </c>
      <c r="B5177" s="5" t="s">
        <v>289</v>
      </c>
      <c r="C5177" s="5" t="s">
        <v>1042</v>
      </c>
      <c r="D5177" s="5" t="s">
        <v>745</v>
      </c>
      <c r="E5177" s="5" t="s">
        <v>140</v>
      </c>
      <c r="F5177" s="5" t="s">
        <v>624</v>
      </c>
      <c r="G5177" s="5" t="s">
        <v>1043</v>
      </c>
      <c r="H5177" s="5" t="s">
        <v>1044</v>
      </c>
      <c r="I5177" s="5" t="s">
        <v>31</v>
      </c>
      <c r="J5177" s="5">
        <v>17.314194000000001</v>
      </c>
      <c r="K5177" s="5">
        <v>-95.965017000000003</v>
      </c>
      <c r="L5177" s="5" t="str">
        <f>HYPERLINK("https://maps.google.com/?q=17.314194,-95.965017000000003", "🔗 Ver Mapa")</f>
        <v>🔗 Ver Mapa</v>
      </c>
    </row>
    <row r="5178" spans="1:12" ht="58" x14ac:dyDescent="0.35">
      <c r="A5178" s="6" t="s">
        <v>288</v>
      </c>
      <c r="B5178" s="6" t="s">
        <v>289</v>
      </c>
      <c r="C5178" s="6" t="s">
        <v>1042</v>
      </c>
      <c r="D5178" s="6" t="s">
        <v>745</v>
      </c>
      <c r="E5178" s="6" t="s">
        <v>140</v>
      </c>
      <c r="F5178" s="6" t="s">
        <v>624</v>
      </c>
      <c r="G5178" s="6" t="s">
        <v>1043</v>
      </c>
      <c r="H5178" s="6" t="s">
        <v>1044</v>
      </c>
      <c r="I5178" s="6" t="s">
        <v>31</v>
      </c>
      <c r="J5178" s="6">
        <v>17.314202999999999</v>
      </c>
      <c r="K5178" s="6">
        <v>-95.964425000000006</v>
      </c>
      <c r="L5178" s="6" t="str">
        <f>HYPERLINK("https://maps.google.com/?q=17.314203,-95.964425000000006", "🔗 Ver Mapa")</f>
        <v>🔗 Ver Mapa</v>
      </c>
    </row>
    <row r="5179" spans="1:12" ht="58" x14ac:dyDescent="0.35">
      <c r="A5179" s="5" t="s">
        <v>288</v>
      </c>
      <c r="B5179" s="5" t="s">
        <v>289</v>
      </c>
      <c r="C5179" s="5" t="s">
        <v>1042</v>
      </c>
      <c r="D5179" s="5" t="s">
        <v>745</v>
      </c>
      <c r="E5179" s="5" t="s">
        <v>140</v>
      </c>
      <c r="F5179" s="5" t="s">
        <v>624</v>
      </c>
      <c r="G5179" s="5" t="s">
        <v>1043</v>
      </c>
      <c r="H5179" s="5" t="s">
        <v>1044</v>
      </c>
      <c r="I5179" s="5" t="s">
        <v>31</v>
      </c>
      <c r="J5179" s="5">
        <v>17.314321</v>
      </c>
      <c r="K5179" s="5">
        <v>-95.965582999999995</v>
      </c>
      <c r="L5179" s="5" t="str">
        <f>HYPERLINK("https://maps.google.com/?q=17.314321,-95.965582999999995", "🔗 Ver Mapa")</f>
        <v>🔗 Ver Mapa</v>
      </c>
    </row>
    <row r="5180" spans="1:12" ht="58" x14ac:dyDescent="0.35">
      <c r="A5180" s="6" t="s">
        <v>288</v>
      </c>
      <c r="B5180" s="6" t="s">
        <v>289</v>
      </c>
      <c r="C5180" s="6" t="s">
        <v>1042</v>
      </c>
      <c r="D5180" s="6" t="s">
        <v>745</v>
      </c>
      <c r="E5180" s="6" t="s">
        <v>140</v>
      </c>
      <c r="F5180" s="6" t="s">
        <v>624</v>
      </c>
      <c r="G5180" s="6" t="s">
        <v>1043</v>
      </c>
      <c r="H5180" s="6" t="s">
        <v>1044</v>
      </c>
      <c r="I5180" s="6" t="s">
        <v>31</v>
      </c>
      <c r="J5180" s="6">
        <v>17.314399000000002</v>
      </c>
      <c r="K5180" s="6">
        <v>-95.964607000000001</v>
      </c>
      <c r="L5180" s="6" t="str">
        <f>HYPERLINK("https://maps.google.com/?q=17.314399,-95.964607000000001", "🔗 Ver Mapa")</f>
        <v>🔗 Ver Mapa</v>
      </c>
    </row>
    <row r="5181" spans="1:12" ht="58" x14ac:dyDescent="0.35">
      <c r="A5181" s="5" t="s">
        <v>288</v>
      </c>
      <c r="B5181" s="5" t="s">
        <v>289</v>
      </c>
      <c r="C5181" s="5" t="s">
        <v>1042</v>
      </c>
      <c r="D5181" s="5" t="s">
        <v>745</v>
      </c>
      <c r="E5181" s="5" t="s">
        <v>140</v>
      </c>
      <c r="F5181" s="5" t="s">
        <v>624</v>
      </c>
      <c r="G5181" s="5" t="s">
        <v>1043</v>
      </c>
      <c r="H5181" s="5" t="s">
        <v>1044</v>
      </c>
      <c r="I5181" s="5" t="s">
        <v>31</v>
      </c>
      <c r="J5181" s="5">
        <v>17.314402999999999</v>
      </c>
      <c r="K5181" s="5">
        <v>-95.967399</v>
      </c>
      <c r="L5181" s="5" t="str">
        <f>HYPERLINK("https://maps.google.com/?q=17.314403,-95.967399", "🔗 Ver Mapa")</f>
        <v>🔗 Ver Mapa</v>
      </c>
    </row>
    <row r="5182" spans="1:12" ht="58" x14ac:dyDescent="0.35">
      <c r="A5182" s="6" t="s">
        <v>288</v>
      </c>
      <c r="B5182" s="6" t="s">
        <v>289</v>
      </c>
      <c r="C5182" s="6" t="s">
        <v>1042</v>
      </c>
      <c r="D5182" s="6" t="s">
        <v>745</v>
      </c>
      <c r="E5182" s="6" t="s">
        <v>140</v>
      </c>
      <c r="F5182" s="6" t="s">
        <v>624</v>
      </c>
      <c r="G5182" s="6" t="s">
        <v>1043</v>
      </c>
      <c r="H5182" s="6" t="s">
        <v>1044</v>
      </c>
      <c r="I5182" s="6" t="s">
        <v>31</v>
      </c>
      <c r="J5182" s="6">
        <v>17.314781</v>
      </c>
      <c r="K5182" s="6">
        <v>-95.965007999999997</v>
      </c>
      <c r="L5182" s="6" t="str">
        <f>HYPERLINK("https://maps.google.com/?q=17.314781,-95.965007999999997", "🔗 Ver Mapa")</f>
        <v>🔗 Ver Mapa</v>
      </c>
    </row>
    <row r="5183" spans="1:12" ht="58" x14ac:dyDescent="0.35">
      <c r="A5183" s="5" t="s">
        <v>288</v>
      </c>
      <c r="B5183" s="5" t="s">
        <v>289</v>
      </c>
      <c r="C5183" s="5" t="s">
        <v>1042</v>
      </c>
      <c r="D5183" s="5" t="s">
        <v>745</v>
      </c>
      <c r="E5183" s="5" t="s">
        <v>140</v>
      </c>
      <c r="F5183" s="5" t="s">
        <v>624</v>
      </c>
      <c r="G5183" s="5" t="s">
        <v>1043</v>
      </c>
      <c r="H5183" s="5" t="s">
        <v>1044</v>
      </c>
      <c r="I5183" s="5" t="s">
        <v>31</v>
      </c>
      <c r="J5183" s="5">
        <v>17.314826</v>
      </c>
      <c r="K5183" s="5">
        <v>-95.967461999999998</v>
      </c>
      <c r="L5183" s="5" t="str">
        <f>HYPERLINK("https://maps.google.com/?q=17.314826,-95.967461999999998", "🔗 Ver Mapa")</f>
        <v>🔗 Ver Mapa</v>
      </c>
    </row>
    <row r="5184" spans="1:12" ht="58" x14ac:dyDescent="0.35">
      <c r="A5184" s="6" t="s">
        <v>288</v>
      </c>
      <c r="B5184" s="6" t="s">
        <v>289</v>
      </c>
      <c r="C5184" s="6" t="s">
        <v>1042</v>
      </c>
      <c r="D5184" s="6" t="s">
        <v>745</v>
      </c>
      <c r="E5184" s="6" t="s">
        <v>140</v>
      </c>
      <c r="F5184" s="6" t="s">
        <v>624</v>
      </c>
      <c r="G5184" s="6" t="s">
        <v>1043</v>
      </c>
      <c r="H5184" s="6" t="s">
        <v>1044</v>
      </c>
      <c r="I5184" s="6" t="s">
        <v>31</v>
      </c>
      <c r="J5184" s="6">
        <v>17.315009</v>
      </c>
      <c r="K5184" s="6">
        <v>-95.965434999999999</v>
      </c>
      <c r="L5184" s="6" t="str">
        <f>HYPERLINK("https://maps.google.com/?q=17.315009,-95.965434999999999", "🔗 Ver Mapa")</f>
        <v>🔗 Ver Mapa</v>
      </c>
    </row>
    <row r="5185" spans="1:12" ht="58" x14ac:dyDescent="0.35">
      <c r="A5185" s="5" t="s">
        <v>288</v>
      </c>
      <c r="B5185" s="5" t="s">
        <v>289</v>
      </c>
      <c r="C5185" s="5" t="s">
        <v>1042</v>
      </c>
      <c r="D5185" s="5" t="s">
        <v>745</v>
      </c>
      <c r="E5185" s="5" t="s">
        <v>140</v>
      </c>
      <c r="F5185" s="5" t="s">
        <v>624</v>
      </c>
      <c r="G5185" s="5" t="s">
        <v>1043</v>
      </c>
      <c r="H5185" s="5" t="s">
        <v>1044</v>
      </c>
      <c r="I5185" s="5" t="s">
        <v>31</v>
      </c>
      <c r="J5185" s="5">
        <v>17.315187000000002</v>
      </c>
      <c r="K5185" s="5">
        <v>-95.965654000000001</v>
      </c>
      <c r="L5185" s="5" t="str">
        <f>HYPERLINK("https://maps.google.com/?q=17.315187,-95.965654000000001", "🔗 Ver Mapa")</f>
        <v>🔗 Ver Mapa</v>
      </c>
    </row>
    <row r="5186" spans="1:12" ht="58" x14ac:dyDescent="0.35">
      <c r="A5186" s="6" t="s">
        <v>288</v>
      </c>
      <c r="B5186" s="6" t="s">
        <v>289</v>
      </c>
      <c r="C5186" s="6" t="s">
        <v>1042</v>
      </c>
      <c r="D5186" s="6" t="s">
        <v>745</v>
      </c>
      <c r="E5186" s="6" t="s">
        <v>140</v>
      </c>
      <c r="F5186" s="6" t="s">
        <v>624</v>
      </c>
      <c r="G5186" s="6" t="s">
        <v>1043</v>
      </c>
      <c r="H5186" s="6" t="s">
        <v>1044</v>
      </c>
      <c r="I5186" s="6" t="s">
        <v>31</v>
      </c>
      <c r="J5186" s="6">
        <v>17.315518999999998</v>
      </c>
      <c r="K5186" s="6">
        <v>-95.965762999999995</v>
      </c>
      <c r="L5186" s="6" t="str">
        <f>HYPERLINK("https://maps.google.com/?q=17.315519,-95.965762999999995", "🔗 Ver Mapa")</f>
        <v>🔗 Ver Mapa</v>
      </c>
    </row>
    <row r="5187" spans="1:12" ht="58" x14ac:dyDescent="0.35">
      <c r="A5187" s="5" t="s">
        <v>288</v>
      </c>
      <c r="B5187" s="5" t="s">
        <v>289</v>
      </c>
      <c r="C5187" s="5" t="s">
        <v>1042</v>
      </c>
      <c r="D5187" s="5" t="s">
        <v>745</v>
      </c>
      <c r="E5187" s="5" t="s">
        <v>140</v>
      </c>
      <c r="F5187" s="5" t="s">
        <v>624</v>
      </c>
      <c r="G5187" s="5" t="s">
        <v>1043</v>
      </c>
      <c r="H5187" s="5" t="s">
        <v>1044</v>
      </c>
      <c r="I5187" s="5" t="s">
        <v>31</v>
      </c>
      <c r="J5187" s="5">
        <v>17.315778000000002</v>
      </c>
      <c r="K5187" s="5">
        <v>-95.966002000000003</v>
      </c>
      <c r="L5187" s="5" t="str">
        <f>HYPERLINK("https://maps.google.com/?q=17.315778,-95.966002000000003", "🔗 Ver Mapa")</f>
        <v>🔗 Ver Mapa</v>
      </c>
    </row>
    <row r="5188" spans="1:12" ht="58" x14ac:dyDescent="0.35">
      <c r="A5188" s="6" t="s">
        <v>288</v>
      </c>
      <c r="B5188" s="6" t="s">
        <v>289</v>
      </c>
      <c r="C5188" s="6" t="s">
        <v>1042</v>
      </c>
      <c r="D5188" s="6" t="s">
        <v>745</v>
      </c>
      <c r="E5188" s="6" t="s">
        <v>140</v>
      </c>
      <c r="F5188" s="6" t="s">
        <v>624</v>
      </c>
      <c r="G5188" s="6" t="s">
        <v>1043</v>
      </c>
      <c r="H5188" s="6" t="s">
        <v>1044</v>
      </c>
      <c r="I5188" s="6" t="s">
        <v>31</v>
      </c>
      <c r="J5188" s="6">
        <v>17.316087</v>
      </c>
      <c r="K5188" s="6">
        <v>-95.965866000000005</v>
      </c>
      <c r="L5188" s="6" t="str">
        <f>HYPERLINK("https://maps.google.com/?q=17.316087,-95.965866000000005", "🔗 Ver Mapa")</f>
        <v>🔗 Ver Mapa</v>
      </c>
    </row>
    <row r="5189" spans="1:12" ht="58" x14ac:dyDescent="0.35">
      <c r="A5189" s="5" t="s">
        <v>288</v>
      </c>
      <c r="B5189" s="5" t="s">
        <v>289</v>
      </c>
      <c r="C5189" s="5" t="s">
        <v>1042</v>
      </c>
      <c r="D5189" s="5" t="s">
        <v>745</v>
      </c>
      <c r="E5189" s="5" t="s">
        <v>140</v>
      </c>
      <c r="F5189" s="5" t="s">
        <v>624</v>
      </c>
      <c r="G5189" s="5" t="s">
        <v>1043</v>
      </c>
      <c r="H5189" s="5" t="s">
        <v>1044</v>
      </c>
      <c r="I5189" s="5" t="s">
        <v>31</v>
      </c>
      <c r="J5189" s="5">
        <v>17.316174</v>
      </c>
      <c r="K5189" s="5">
        <v>-95.966082999999998</v>
      </c>
      <c r="L5189" s="5" t="str">
        <f>HYPERLINK("https://maps.google.com/?q=17.316174,-95.966082999999998", "🔗 Ver Mapa")</f>
        <v>🔗 Ver Mapa</v>
      </c>
    </row>
    <row r="5190" spans="1:12" ht="58" x14ac:dyDescent="0.35">
      <c r="A5190" s="6" t="s">
        <v>288</v>
      </c>
      <c r="B5190" s="6" t="s">
        <v>289</v>
      </c>
      <c r="C5190" s="6" t="s">
        <v>1042</v>
      </c>
      <c r="D5190" s="6" t="s">
        <v>745</v>
      </c>
      <c r="E5190" s="6" t="s">
        <v>140</v>
      </c>
      <c r="F5190" s="6" t="s">
        <v>624</v>
      </c>
      <c r="G5190" s="6" t="s">
        <v>1043</v>
      </c>
      <c r="H5190" s="6" t="s">
        <v>1044</v>
      </c>
      <c r="I5190" s="6" t="s">
        <v>31</v>
      </c>
      <c r="J5190" s="6">
        <v>17.316224999999999</v>
      </c>
      <c r="K5190" s="6">
        <v>-95.97054</v>
      </c>
      <c r="L5190" s="6" t="str">
        <f>HYPERLINK("https://maps.google.com/?q=17.316225,-95.97054", "🔗 Ver Mapa")</f>
        <v>🔗 Ver Mapa</v>
      </c>
    </row>
    <row r="5191" spans="1:12" ht="58" x14ac:dyDescent="0.35">
      <c r="A5191" s="5" t="s">
        <v>288</v>
      </c>
      <c r="B5191" s="5" t="s">
        <v>289</v>
      </c>
      <c r="C5191" s="5" t="s">
        <v>1042</v>
      </c>
      <c r="D5191" s="5" t="s">
        <v>745</v>
      </c>
      <c r="E5191" s="5" t="s">
        <v>140</v>
      </c>
      <c r="F5191" s="5" t="s">
        <v>624</v>
      </c>
      <c r="G5191" s="5" t="s">
        <v>1043</v>
      </c>
      <c r="H5191" s="5" t="s">
        <v>1044</v>
      </c>
      <c r="I5191" s="5" t="s">
        <v>31</v>
      </c>
      <c r="J5191" s="5">
        <v>17.316272000000001</v>
      </c>
      <c r="K5191" s="5">
        <v>-95.971029000000001</v>
      </c>
      <c r="L5191" s="5" t="str">
        <f>HYPERLINK("https://maps.google.com/?q=17.316272,-95.971029000000001", "🔗 Ver Mapa")</f>
        <v>🔗 Ver Mapa</v>
      </c>
    </row>
    <row r="5192" spans="1:12" ht="58" x14ac:dyDescent="0.35">
      <c r="A5192" s="6" t="s">
        <v>288</v>
      </c>
      <c r="B5192" s="6" t="s">
        <v>289</v>
      </c>
      <c r="C5192" s="6" t="s">
        <v>1042</v>
      </c>
      <c r="D5192" s="6" t="s">
        <v>745</v>
      </c>
      <c r="E5192" s="6" t="s">
        <v>140</v>
      </c>
      <c r="F5192" s="6" t="s">
        <v>624</v>
      </c>
      <c r="G5192" s="6" t="s">
        <v>1043</v>
      </c>
      <c r="H5192" s="6" t="s">
        <v>1044</v>
      </c>
      <c r="I5192" s="6" t="s">
        <v>31</v>
      </c>
      <c r="J5192" s="6">
        <v>17.316302</v>
      </c>
      <c r="K5192" s="6">
        <v>-95.966555</v>
      </c>
      <c r="L5192" s="6" t="str">
        <f>HYPERLINK("https://maps.google.com/?q=17.316302,-95.966555", "🔗 Ver Mapa")</f>
        <v>🔗 Ver Mapa</v>
      </c>
    </row>
    <row r="5193" spans="1:12" ht="58" x14ac:dyDescent="0.35">
      <c r="A5193" s="5" t="s">
        <v>288</v>
      </c>
      <c r="B5193" s="5" t="s">
        <v>289</v>
      </c>
      <c r="C5193" s="5" t="s">
        <v>1042</v>
      </c>
      <c r="D5193" s="5" t="s">
        <v>745</v>
      </c>
      <c r="E5193" s="5" t="s">
        <v>140</v>
      </c>
      <c r="F5193" s="5" t="s">
        <v>624</v>
      </c>
      <c r="G5193" s="5" t="s">
        <v>1043</v>
      </c>
      <c r="H5193" s="5" t="s">
        <v>1044</v>
      </c>
      <c r="I5193" s="5" t="s">
        <v>31</v>
      </c>
      <c r="J5193" s="5">
        <v>17.316369999999999</v>
      </c>
      <c r="K5193" s="5">
        <v>-95.966819999999998</v>
      </c>
      <c r="L5193" s="5" t="str">
        <f>HYPERLINK("https://maps.google.com/?q=17.31637,-95.966819999999998", "🔗 Ver Mapa")</f>
        <v>🔗 Ver Mapa</v>
      </c>
    </row>
    <row r="5194" spans="1:12" ht="58" x14ac:dyDescent="0.35">
      <c r="A5194" s="6" t="s">
        <v>288</v>
      </c>
      <c r="B5194" s="6" t="s">
        <v>289</v>
      </c>
      <c r="C5194" s="6" t="s">
        <v>1042</v>
      </c>
      <c r="D5194" s="6" t="s">
        <v>745</v>
      </c>
      <c r="E5194" s="6" t="s">
        <v>140</v>
      </c>
      <c r="F5194" s="6" t="s">
        <v>624</v>
      </c>
      <c r="G5194" s="6" t="s">
        <v>1043</v>
      </c>
      <c r="H5194" s="6" t="s">
        <v>1044</v>
      </c>
      <c r="I5194" s="6" t="s">
        <v>31</v>
      </c>
      <c r="J5194" s="6">
        <v>17.316428999999999</v>
      </c>
      <c r="K5194" s="6">
        <v>-95.970175999999995</v>
      </c>
      <c r="L5194" s="6" t="str">
        <f>HYPERLINK("https://maps.google.com/?q=17.316429,-95.970175999999995", "🔗 Ver Mapa")</f>
        <v>🔗 Ver Mapa</v>
      </c>
    </row>
    <row r="5195" spans="1:12" ht="58" x14ac:dyDescent="0.35">
      <c r="A5195" s="5" t="s">
        <v>288</v>
      </c>
      <c r="B5195" s="5" t="s">
        <v>289</v>
      </c>
      <c r="C5195" s="5" t="s">
        <v>1042</v>
      </c>
      <c r="D5195" s="5" t="s">
        <v>745</v>
      </c>
      <c r="E5195" s="5" t="s">
        <v>140</v>
      </c>
      <c r="F5195" s="5" t="s">
        <v>624</v>
      </c>
      <c r="G5195" s="5" t="s">
        <v>1043</v>
      </c>
      <c r="H5195" s="5" t="s">
        <v>1044</v>
      </c>
      <c r="I5195" s="5" t="s">
        <v>31</v>
      </c>
      <c r="J5195" s="5">
        <v>17.316538000000001</v>
      </c>
      <c r="K5195" s="5">
        <v>-95.967123000000001</v>
      </c>
      <c r="L5195" s="5" t="str">
        <f>HYPERLINK("https://maps.google.com/?q=17.316538,-95.967123000000001", "🔗 Ver Mapa")</f>
        <v>🔗 Ver Mapa</v>
      </c>
    </row>
    <row r="5196" spans="1:12" ht="58" x14ac:dyDescent="0.35">
      <c r="A5196" s="6" t="s">
        <v>288</v>
      </c>
      <c r="B5196" s="6" t="s">
        <v>289</v>
      </c>
      <c r="C5196" s="6" t="s">
        <v>1042</v>
      </c>
      <c r="D5196" s="6" t="s">
        <v>745</v>
      </c>
      <c r="E5196" s="6" t="s">
        <v>140</v>
      </c>
      <c r="F5196" s="6" t="s">
        <v>624</v>
      </c>
      <c r="G5196" s="6" t="s">
        <v>1043</v>
      </c>
      <c r="H5196" s="6" t="s">
        <v>1044</v>
      </c>
      <c r="I5196" s="6" t="s">
        <v>31</v>
      </c>
      <c r="J5196" s="6">
        <v>17.316627</v>
      </c>
      <c r="K5196" s="6">
        <v>-95.971419999999995</v>
      </c>
      <c r="L5196" s="6" t="str">
        <f>HYPERLINK("https://maps.google.com/?q=17.316627,-95.971419999999995", "🔗 Ver Mapa")</f>
        <v>🔗 Ver Mapa</v>
      </c>
    </row>
    <row r="5197" spans="1:12" ht="58" x14ac:dyDescent="0.35">
      <c r="A5197" s="5" t="s">
        <v>288</v>
      </c>
      <c r="B5197" s="5" t="s">
        <v>289</v>
      </c>
      <c r="C5197" s="5" t="s">
        <v>1042</v>
      </c>
      <c r="D5197" s="5" t="s">
        <v>745</v>
      </c>
      <c r="E5197" s="5" t="s">
        <v>140</v>
      </c>
      <c r="F5197" s="5" t="s">
        <v>624</v>
      </c>
      <c r="G5197" s="5" t="s">
        <v>1043</v>
      </c>
      <c r="H5197" s="5" t="s">
        <v>1044</v>
      </c>
      <c r="I5197" s="5" t="s">
        <v>31</v>
      </c>
      <c r="J5197" s="5">
        <v>17.316711999999999</v>
      </c>
      <c r="K5197" s="5">
        <v>-95.970001999999994</v>
      </c>
      <c r="L5197" s="5" t="str">
        <f>HYPERLINK("https://maps.google.com/?q=17.316712,-95.970001999999994", "🔗 Ver Mapa")</f>
        <v>🔗 Ver Mapa</v>
      </c>
    </row>
    <row r="5198" spans="1:12" ht="58" x14ac:dyDescent="0.35">
      <c r="A5198" s="6" t="s">
        <v>288</v>
      </c>
      <c r="B5198" s="6" t="s">
        <v>289</v>
      </c>
      <c r="C5198" s="6" t="s">
        <v>1042</v>
      </c>
      <c r="D5198" s="6" t="s">
        <v>745</v>
      </c>
      <c r="E5198" s="6" t="s">
        <v>140</v>
      </c>
      <c r="F5198" s="6" t="s">
        <v>624</v>
      </c>
      <c r="G5198" s="6" t="s">
        <v>1043</v>
      </c>
      <c r="H5198" s="6" t="s">
        <v>1044</v>
      </c>
      <c r="I5198" s="6" t="s">
        <v>31</v>
      </c>
      <c r="J5198" s="6">
        <v>17.316727</v>
      </c>
      <c r="K5198" s="6">
        <v>-95.972032999999996</v>
      </c>
      <c r="L5198" s="6" t="str">
        <f>HYPERLINK("https://maps.google.com/?q=17.316727,-95.972032999999996", "🔗 Ver Mapa")</f>
        <v>🔗 Ver Mapa</v>
      </c>
    </row>
    <row r="5199" spans="1:12" ht="58" x14ac:dyDescent="0.35">
      <c r="A5199" s="5" t="s">
        <v>288</v>
      </c>
      <c r="B5199" s="5" t="s">
        <v>289</v>
      </c>
      <c r="C5199" s="5" t="s">
        <v>1042</v>
      </c>
      <c r="D5199" s="5" t="s">
        <v>745</v>
      </c>
      <c r="E5199" s="5" t="s">
        <v>140</v>
      </c>
      <c r="F5199" s="5" t="s">
        <v>624</v>
      </c>
      <c r="G5199" s="5" t="s">
        <v>1043</v>
      </c>
      <c r="H5199" s="5" t="s">
        <v>1044</v>
      </c>
      <c r="I5199" s="5" t="s">
        <v>31</v>
      </c>
      <c r="J5199" s="5">
        <v>17.316946000000002</v>
      </c>
      <c r="K5199" s="5">
        <v>-95.972487999999998</v>
      </c>
      <c r="L5199" s="5" t="str">
        <f>HYPERLINK("https://maps.google.com/?q=17.316946,-95.972487999999998", "🔗 Ver Mapa")</f>
        <v>🔗 Ver Mapa</v>
      </c>
    </row>
    <row r="5200" spans="1:12" ht="58" x14ac:dyDescent="0.35">
      <c r="A5200" s="6" t="s">
        <v>288</v>
      </c>
      <c r="B5200" s="6" t="s">
        <v>289</v>
      </c>
      <c r="C5200" s="6" t="s">
        <v>1042</v>
      </c>
      <c r="D5200" s="6" t="s">
        <v>745</v>
      </c>
      <c r="E5200" s="6" t="s">
        <v>140</v>
      </c>
      <c r="F5200" s="6" t="s">
        <v>624</v>
      </c>
      <c r="G5200" s="6" t="s">
        <v>1043</v>
      </c>
      <c r="H5200" s="6" t="s">
        <v>1044</v>
      </c>
      <c r="I5200" s="6" t="s">
        <v>31</v>
      </c>
      <c r="J5200" s="6">
        <v>17.317039999999999</v>
      </c>
      <c r="K5200" s="6">
        <v>-95.967319000000003</v>
      </c>
      <c r="L5200" s="6" t="str">
        <f>HYPERLINK("https://maps.google.com/?q=17.31704,-95.967319000000003", "🔗 Ver Mapa")</f>
        <v>🔗 Ver Mapa</v>
      </c>
    </row>
    <row r="5201" spans="1:12" ht="58" x14ac:dyDescent="0.35">
      <c r="A5201" s="5" t="s">
        <v>288</v>
      </c>
      <c r="B5201" s="5" t="s">
        <v>289</v>
      </c>
      <c r="C5201" s="5" t="s">
        <v>1042</v>
      </c>
      <c r="D5201" s="5" t="s">
        <v>745</v>
      </c>
      <c r="E5201" s="5" t="s">
        <v>140</v>
      </c>
      <c r="F5201" s="5" t="s">
        <v>624</v>
      </c>
      <c r="G5201" s="5" t="s">
        <v>1043</v>
      </c>
      <c r="H5201" s="5" t="s">
        <v>1044</v>
      </c>
      <c r="I5201" s="5" t="s">
        <v>31</v>
      </c>
      <c r="J5201" s="5">
        <v>17.317174000000001</v>
      </c>
      <c r="K5201" s="5">
        <v>-95.969849999999994</v>
      </c>
      <c r="L5201" s="5" t="str">
        <f>HYPERLINK("https://maps.google.com/?q=17.317174,-95.969849999999994", "🔗 Ver Mapa")</f>
        <v>🔗 Ver Mapa</v>
      </c>
    </row>
    <row r="5202" spans="1:12" ht="58" x14ac:dyDescent="0.35">
      <c r="A5202" s="6" t="s">
        <v>288</v>
      </c>
      <c r="B5202" s="6" t="s">
        <v>289</v>
      </c>
      <c r="C5202" s="6" t="s">
        <v>1042</v>
      </c>
      <c r="D5202" s="6" t="s">
        <v>745</v>
      </c>
      <c r="E5202" s="6" t="s">
        <v>140</v>
      </c>
      <c r="F5202" s="6" t="s">
        <v>624</v>
      </c>
      <c r="G5202" s="6" t="s">
        <v>1043</v>
      </c>
      <c r="H5202" s="6" t="s">
        <v>1044</v>
      </c>
      <c r="I5202" s="6" t="s">
        <v>31</v>
      </c>
      <c r="J5202" s="6">
        <v>17.317271999999999</v>
      </c>
      <c r="K5202" s="6">
        <v>-95.967539000000002</v>
      </c>
      <c r="L5202" s="6" t="str">
        <f>HYPERLINK("https://maps.google.com/?q=17.317272,-95.967539000000002", "🔗 Ver Mapa")</f>
        <v>🔗 Ver Mapa</v>
      </c>
    </row>
    <row r="5203" spans="1:12" ht="58" x14ac:dyDescent="0.35">
      <c r="A5203" s="5" t="s">
        <v>288</v>
      </c>
      <c r="B5203" s="5" t="s">
        <v>289</v>
      </c>
      <c r="C5203" s="5" t="s">
        <v>1042</v>
      </c>
      <c r="D5203" s="5" t="s">
        <v>745</v>
      </c>
      <c r="E5203" s="5" t="s">
        <v>140</v>
      </c>
      <c r="F5203" s="5" t="s">
        <v>624</v>
      </c>
      <c r="G5203" s="5" t="s">
        <v>1043</v>
      </c>
      <c r="H5203" s="5" t="s">
        <v>1044</v>
      </c>
      <c r="I5203" s="5" t="s">
        <v>31</v>
      </c>
      <c r="J5203" s="5">
        <v>17.317329999999998</v>
      </c>
      <c r="K5203" s="5">
        <v>-95.972747999999996</v>
      </c>
      <c r="L5203" s="5" t="str">
        <f>HYPERLINK("https://maps.google.com/?q=17.31733,-95.972747999999996", "🔗 Ver Mapa")</f>
        <v>🔗 Ver Mapa</v>
      </c>
    </row>
    <row r="5204" spans="1:12" ht="58" x14ac:dyDescent="0.35">
      <c r="A5204" s="6" t="s">
        <v>288</v>
      </c>
      <c r="B5204" s="6" t="s">
        <v>289</v>
      </c>
      <c r="C5204" s="6" t="s">
        <v>1042</v>
      </c>
      <c r="D5204" s="6" t="s">
        <v>745</v>
      </c>
      <c r="E5204" s="6" t="s">
        <v>140</v>
      </c>
      <c r="F5204" s="6" t="s">
        <v>624</v>
      </c>
      <c r="G5204" s="6" t="s">
        <v>1043</v>
      </c>
      <c r="H5204" s="6" t="s">
        <v>1044</v>
      </c>
      <c r="I5204" s="6" t="s">
        <v>31</v>
      </c>
      <c r="J5204" s="6">
        <v>17.317488999999998</v>
      </c>
      <c r="K5204" s="6">
        <v>-95.969309999999993</v>
      </c>
      <c r="L5204" s="6" t="str">
        <f>HYPERLINK("https://maps.google.com/?q=17.317489,-95.969309999999993", "🔗 Ver Mapa")</f>
        <v>🔗 Ver Mapa</v>
      </c>
    </row>
    <row r="5205" spans="1:12" ht="58" x14ac:dyDescent="0.35">
      <c r="A5205" s="5" t="s">
        <v>288</v>
      </c>
      <c r="B5205" s="5" t="s">
        <v>289</v>
      </c>
      <c r="C5205" s="5" t="s">
        <v>1042</v>
      </c>
      <c r="D5205" s="5" t="s">
        <v>745</v>
      </c>
      <c r="E5205" s="5" t="s">
        <v>140</v>
      </c>
      <c r="F5205" s="5" t="s">
        <v>624</v>
      </c>
      <c r="G5205" s="5" t="s">
        <v>1043</v>
      </c>
      <c r="H5205" s="5" t="s">
        <v>1044</v>
      </c>
      <c r="I5205" s="5" t="s">
        <v>31</v>
      </c>
      <c r="J5205" s="5">
        <v>17.317512000000001</v>
      </c>
      <c r="K5205" s="5">
        <v>-95.967769000000004</v>
      </c>
      <c r="L5205" s="5" t="str">
        <f>HYPERLINK("https://maps.google.com/?q=17.317512,-95.967769000000004", "🔗 Ver Mapa")</f>
        <v>🔗 Ver Mapa</v>
      </c>
    </row>
    <row r="5206" spans="1:12" ht="58" x14ac:dyDescent="0.35">
      <c r="A5206" s="6" t="s">
        <v>288</v>
      </c>
      <c r="B5206" s="6" t="s">
        <v>289</v>
      </c>
      <c r="C5206" s="6" t="s">
        <v>1042</v>
      </c>
      <c r="D5206" s="6" t="s">
        <v>745</v>
      </c>
      <c r="E5206" s="6" t="s">
        <v>140</v>
      </c>
      <c r="F5206" s="6" t="s">
        <v>624</v>
      </c>
      <c r="G5206" s="6" t="s">
        <v>1043</v>
      </c>
      <c r="H5206" s="6" t="s">
        <v>1044</v>
      </c>
      <c r="I5206" s="6" t="s">
        <v>31</v>
      </c>
      <c r="J5206" s="6">
        <v>17.317563</v>
      </c>
      <c r="K5206" s="6">
        <v>-95.969178999999997</v>
      </c>
      <c r="L5206" s="6" t="str">
        <f>HYPERLINK("https://maps.google.com/?q=17.317563,-95.969178999999997", "🔗 Ver Mapa")</f>
        <v>🔗 Ver Mapa</v>
      </c>
    </row>
    <row r="5207" spans="1:12" ht="58" x14ac:dyDescent="0.35">
      <c r="A5207" s="5" t="s">
        <v>288</v>
      </c>
      <c r="B5207" s="5" t="s">
        <v>289</v>
      </c>
      <c r="C5207" s="5" t="s">
        <v>1042</v>
      </c>
      <c r="D5207" s="5" t="s">
        <v>745</v>
      </c>
      <c r="E5207" s="5" t="s">
        <v>140</v>
      </c>
      <c r="F5207" s="5" t="s">
        <v>624</v>
      </c>
      <c r="G5207" s="5" t="s">
        <v>1043</v>
      </c>
      <c r="H5207" s="5" t="s">
        <v>1044</v>
      </c>
      <c r="I5207" s="5" t="s">
        <v>31</v>
      </c>
      <c r="J5207" s="5">
        <v>17.317609000000001</v>
      </c>
      <c r="K5207" s="5">
        <v>-95.973410000000001</v>
      </c>
      <c r="L5207" s="5" t="str">
        <f>HYPERLINK("https://maps.google.com/?q=17.317609,-95.973410000000001", "🔗 Ver Mapa")</f>
        <v>🔗 Ver Mapa</v>
      </c>
    </row>
    <row r="5208" spans="1:12" ht="58" x14ac:dyDescent="0.35">
      <c r="A5208" s="6" t="s">
        <v>288</v>
      </c>
      <c r="B5208" s="6" t="s">
        <v>289</v>
      </c>
      <c r="C5208" s="6" t="s">
        <v>1042</v>
      </c>
      <c r="D5208" s="6" t="s">
        <v>745</v>
      </c>
      <c r="E5208" s="6" t="s">
        <v>140</v>
      </c>
      <c r="F5208" s="6" t="s">
        <v>624</v>
      </c>
      <c r="G5208" s="6" t="s">
        <v>1043</v>
      </c>
      <c r="H5208" s="6" t="s">
        <v>1044</v>
      </c>
      <c r="I5208" s="6" t="s">
        <v>31</v>
      </c>
      <c r="J5208" s="6">
        <v>17.317748000000002</v>
      </c>
      <c r="K5208" s="6">
        <v>-95.968937999999994</v>
      </c>
      <c r="L5208" s="6" t="str">
        <f>HYPERLINK("https://maps.google.com/?q=17.317748,-95.968937999999994", "🔗 Ver Mapa")</f>
        <v>🔗 Ver Mapa</v>
      </c>
    </row>
    <row r="5209" spans="1:12" ht="58" x14ac:dyDescent="0.35">
      <c r="A5209" s="5" t="s">
        <v>288</v>
      </c>
      <c r="B5209" s="5" t="s">
        <v>289</v>
      </c>
      <c r="C5209" s="5" t="s">
        <v>1042</v>
      </c>
      <c r="D5209" s="5" t="s">
        <v>745</v>
      </c>
      <c r="E5209" s="5" t="s">
        <v>140</v>
      </c>
      <c r="F5209" s="5" t="s">
        <v>624</v>
      </c>
      <c r="G5209" s="5" t="s">
        <v>1043</v>
      </c>
      <c r="H5209" s="5" t="s">
        <v>1044</v>
      </c>
      <c r="I5209" s="5" t="s">
        <v>31</v>
      </c>
      <c r="J5209" s="5">
        <v>17.317896000000001</v>
      </c>
      <c r="K5209" s="5">
        <v>-95.968658000000005</v>
      </c>
      <c r="L5209" s="5" t="str">
        <f>HYPERLINK("https://maps.google.com/?q=17.317896,-95.968658000000005", "🔗 Ver Mapa")</f>
        <v>🔗 Ver Mapa</v>
      </c>
    </row>
    <row r="5210" spans="1:12" ht="58" x14ac:dyDescent="0.35">
      <c r="A5210" s="6" t="s">
        <v>288</v>
      </c>
      <c r="B5210" s="6" t="s">
        <v>289</v>
      </c>
      <c r="C5210" s="6" t="s">
        <v>1042</v>
      </c>
      <c r="D5210" s="6" t="s">
        <v>745</v>
      </c>
      <c r="E5210" s="6" t="s">
        <v>140</v>
      </c>
      <c r="F5210" s="6" t="s">
        <v>624</v>
      </c>
      <c r="G5210" s="6" t="s">
        <v>1043</v>
      </c>
      <c r="H5210" s="6" t="s">
        <v>1044</v>
      </c>
      <c r="I5210" s="6" t="s">
        <v>31</v>
      </c>
      <c r="J5210" s="6">
        <v>17.317972999999999</v>
      </c>
      <c r="K5210" s="6">
        <v>-95.968321000000003</v>
      </c>
      <c r="L5210" s="6" t="str">
        <f>HYPERLINK("https://maps.google.com/?q=17.317973,-95.968321000000003", "🔗 Ver Mapa")</f>
        <v>🔗 Ver Mapa</v>
      </c>
    </row>
    <row r="5211" spans="1:12" ht="58" x14ac:dyDescent="0.35">
      <c r="A5211" s="5" t="s">
        <v>288</v>
      </c>
      <c r="B5211" s="5" t="s">
        <v>289</v>
      </c>
      <c r="C5211" s="5" t="s">
        <v>1042</v>
      </c>
      <c r="D5211" s="5" t="s">
        <v>745</v>
      </c>
      <c r="E5211" s="5" t="s">
        <v>140</v>
      </c>
      <c r="F5211" s="5" t="s">
        <v>624</v>
      </c>
      <c r="G5211" s="5" t="s">
        <v>1043</v>
      </c>
      <c r="H5211" s="5" t="s">
        <v>1044</v>
      </c>
      <c r="I5211" s="5" t="s">
        <v>31</v>
      </c>
      <c r="J5211" s="5">
        <v>17.318014999999999</v>
      </c>
      <c r="K5211" s="5">
        <v>-95.967955000000003</v>
      </c>
      <c r="L5211" s="5" t="str">
        <f>HYPERLINK("https://maps.google.com/?q=17.318015,-95.967955000000003", "🔗 Ver Mapa")</f>
        <v>🔗 Ver Mapa</v>
      </c>
    </row>
    <row r="5212" spans="1:12" ht="58" x14ac:dyDescent="0.35">
      <c r="A5212" s="6" t="s">
        <v>288</v>
      </c>
      <c r="B5212" s="6" t="s">
        <v>289</v>
      </c>
      <c r="C5212" s="6" t="s">
        <v>1042</v>
      </c>
      <c r="D5212" s="6" t="s">
        <v>745</v>
      </c>
      <c r="E5212" s="6" t="s">
        <v>140</v>
      </c>
      <c r="F5212" s="6" t="s">
        <v>624</v>
      </c>
      <c r="G5212" s="6" t="s">
        <v>1043</v>
      </c>
      <c r="H5212" s="6" t="s">
        <v>1044</v>
      </c>
      <c r="I5212" s="6" t="s">
        <v>31</v>
      </c>
      <c r="J5212" s="6">
        <v>17.318038999999999</v>
      </c>
      <c r="K5212" s="6">
        <v>-95.974215999999998</v>
      </c>
      <c r="L5212" s="6" t="str">
        <f>HYPERLINK("https://maps.google.com/?q=17.318039,-95.974215999999998", "🔗 Ver Mapa")</f>
        <v>🔗 Ver Mapa</v>
      </c>
    </row>
    <row r="5213" spans="1:12" ht="58" x14ac:dyDescent="0.35">
      <c r="A5213" s="5" t="s">
        <v>288</v>
      </c>
      <c r="B5213" s="5" t="s">
        <v>289</v>
      </c>
      <c r="C5213" s="5" t="s">
        <v>1042</v>
      </c>
      <c r="D5213" s="5" t="s">
        <v>745</v>
      </c>
      <c r="E5213" s="5" t="s">
        <v>140</v>
      </c>
      <c r="F5213" s="5" t="s">
        <v>624</v>
      </c>
      <c r="G5213" s="5" t="s">
        <v>1043</v>
      </c>
      <c r="H5213" s="5" t="s">
        <v>1044</v>
      </c>
      <c r="I5213" s="5" t="s">
        <v>31</v>
      </c>
      <c r="J5213" s="5">
        <v>17.318124000000001</v>
      </c>
      <c r="K5213" s="5">
        <v>-95.973983000000004</v>
      </c>
      <c r="L5213" s="5" t="str">
        <f>HYPERLINK("https://maps.google.com/?q=17.318124,-95.973983000000004", "🔗 Ver Mapa")</f>
        <v>🔗 Ver Mapa</v>
      </c>
    </row>
    <row r="5214" spans="1:12" ht="43.5" x14ac:dyDescent="0.35">
      <c r="A5214" s="6" t="s">
        <v>288</v>
      </c>
      <c r="B5214" s="6" t="s">
        <v>289</v>
      </c>
      <c r="C5214" s="6" t="s">
        <v>1045</v>
      </c>
      <c r="D5214" s="6" t="s">
        <v>600</v>
      </c>
      <c r="E5214" s="6" t="s">
        <v>52</v>
      </c>
      <c r="F5214" s="6" t="s">
        <v>421</v>
      </c>
      <c r="G5214" s="6" t="s">
        <v>1046</v>
      </c>
      <c r="H5214" s="6" t="s">
        <v>1047</v>
      </c>
      <c r="I5214" s="6" t="s">
        <v>31</v>
      </c>
      <c r="J5214" s="6">
        <v>16.580442000000001</v>
      </c>
      <c r="K5214" s="6">
        <v>-96.738326999999998</v>
      </c>
      <c r="L5214" s="6" t="str">
        <f>HYPERLINK("https://maps.google.com/?q=16.580442,-96.738327", "🔗 Ver Mapa")</f>
        <v>🔗 Ver Mapa</v>
      </c>
    </row>
    <row r="5215" spans="1:12" ht="43.5" x14ac:dyDescent="0.35">
      <c r="A5215" s="5" t="s">
        <v>98</v>
      </c>
      <c r="B5215" s="5" t="s">
        <v>99</v>
      </c>
      <c r="C5215" s="5" t="s">
        <v>1048</v>
      </c>
      <c r="D5215" s="5" t="s">
        <v>14</v>
      </c>
      <c r="E5215" s="5" t="s">
        <v>16</v>
      </c>
      <c r="F5215" s="5" t="s">
        <v>19</v>
      </c>
      <c r="G5215" s="5" t="s">
        <v>1049</v>
      </c>
      <c r="H5215" s="5" t="s">
        <v>1050</v>
      </c>
      <c r="I5215" s="5" t="s">
        <v>31</v>
      </c>
      <c r="J5215" s="5">
        <v>17.276895055688001</v>
      </c>
      <c r="K5215" s="5">
        <v>-97.363328390000007</v>
      </c>
      <c r="L5215" s="5" t="str">
        <f>HYPERLINK("https://maps.google.com/?q=17.2768950556879,-97.363328390000007", "🔗 Ver Mapa")</f>
        <v>🔗 Ver Mapa</v>
      </c>
    </row>
    <row r="5216" spans="1:12" ht="43.5" x14ac:dyDescent="0.35">
      <c r="A5216" s="6" t="s">
        <v>98</v>
      </c>
      <c r="B5216" s="6" t="s">
        <v>99</v>
      </c>
      <c r="C5216" s="6" t="s">
        <v>1048</v>
      </c>
      <c r="D5216" s="6" t="s">
        <v>14</v>
      </c>
      <c r="E5216" s="6" t="s">
        <v>16</v>
      </c>
      <c r="F5216" s="6" t="s">
        <v>19</v>
      </c>
      <c r="G5216" s="6" t="s">
        <v>1049</v>
      </c>
      <c r="H5216" s="6" t="s">
        <v>1050</v>
      </c>
      <c r="I5216" s="6" t="s">
        <v>31</v>
      </c>
      <c r="J5216" s="6">
        <v>17.277194502122001</v>
      </c>
      <c r="K5216" s="6">
        <v>-97.370289069999998</v>
      </c>
      <c r="L5216" s="6" t="str">
        <f>HYPERLINK("https://maps.google.com/?q=17.2771945021216,-97.370289069999998", "🔗 Ver Mapa")</f>
        <v>🔗 Ver Mapa</v>
      </c>
    </row>
    <row r="5217" spans="1:12" ht="43.5" x14ac:dyDescent="0.35">
      <c r="A5217" s="5" t="s">
        <v>98</v>
      </c>
      <c r="B5217" s="5" t="s">
        <v>99</v>
      </c>
      <c r="C5217" s="5" t="s">
        <v>1048</v>
      </c>
      <c r="D5217" s="5" t="s">
        <v>14</v>
      </c>
      <c r="E5217" s="5" t="s">
        <v>16</v>
      </c>
      <c r="F5217" s="5" t="s">
        <v>19</v>
      </c>
      <c r="G5217" s="5" t="s">
        <v>1049</v>
      </c>
      <c r="H5217" s="5" t="s">
        <v>1050</v>
      </c>
      <c r="I5217" s="5" t="s">
        <v>31</v>
      </c>
      <c r="J5217" s="5">
        <v>17.277270066341</v>
      </c>
      <c r="K5217" s="5">
        <v>-97.367822772015998</v>
      </c>
      <c r="L5217" s="5" t="str">
        <f>HYPERLINK("https://maps.google.com/?q=17.2772700663407,-97.367822772016396", "🔗 Ver Mapa")</f>
        <v>🔗 Ver Mapa</v>
      </c>
    </row>
    <row r="5218" spans="1:12" ht="43.5" x14ac:dyDescent="0.35">
      <c r="A5218" s="6" t="s">
        <v>98</v>
      </c>
      <c r="B5218" s="6" t="s">
        <v>99</v>
      </c>
      <c r="C5218" s="6" t="s">
        <v>1048</v>
      </c>
      <c r="D5218" s="6" t="s">
        <v>14</v>
      </c>
      <c r="E5218" s="6" t="s">
        <v>16</v>
      </c>
      <c r="F5218" s="6" t="s">
        <v>19</v>
      </c>
      <c r="G5218" s="6" t="s">
        <v>1049</v>
      </c>
      <c r="H5218" s="6" t="s">
        <v>1050</v>
      </c>
      <c r="I5218" s="6" t="s">
        <v>31</v>
      </c>
      <c r="J5218" s="6">
        <v>17.277362268950998</v>
      </c>
      <c r="K5218" s="6">
        <v>-97.364217883102</v>
      </c>
      <c r="L5218" s="6" t="str">
        <f>HYPERLINK("https://maps.google.com/?q=17.2773622689505,-97.364217883101503", "🔗 Ver Mapa")</f>
        <v>🔗 Ver Mapa</v>
      </c>
    </row>
    <row r="5219" spans="1:12" ht="43.5" x14ac:dyDescent="0.35">
      <c r="A5219" s="5" t="s">
        <v>98</v>
      </c>
      <c r="B5219" s="5" t="s">
        <v>99</v>
      </c>
      <c r="C5219" s="5" t="s">
        <v>1048</v>
      </c>
      <c r="D5219" s="5" t="s">
        <v>14</v>
      </c>
      <c r="E5219" s="5" t="s">
        <v>16</v>
      </c>
      <c r="F5219" s="5" t="s">
        <v>19</v>
      </c>
      <c r="G5219" s="5" t="s">
        <v>1049</v>
      </c>
      <c r="H5219" s="5" t="s">
        <v>1050</v>
      </c>
      <c r="I5219" s="5" t="s">
        <v>31</v>
      </c>
      <c r="J5219" s="5">
        <v>17.277521357331</v>
      </c>
      <c r="K5219" s="5">
        <v>-97.370550639217001</v>
      </c>
      <c r="L5219" s="5" t="str">
        <f>HYPERLINK("https://maps.google.com/?q=17.2775213573308,-97.370550639217399", "🔗 Ver Mapa")</f>
        <v>🔗 Ver Mapa</v>
      </c>
    </row>
    <row r="5220" spans="1:12" ht="43.5" x14ac:dyDescent="0.35">
      <c r="A5220" s="6" t="s">
        <v>98</v>
      </c>
      <c r="B5220" s="6" t="s">
        <v>99</v>
      </c>
      <c r="C5220" s="6" t="s">
        <v>1048</v>
      </c>
      <c r="D5220" s="6" t="s">
        <v>14</v>
      </c>
      <c r="E5220" s="6" t="s">
        <v>16</v>
      </c>
      <c r="F5220" s="6" t="s">
        <v>19</v>
      </c>
      <c r="G5220" s="6" t="s">
        <v>1049</v>
      </c>
      <c r="H5220" s="6" t="s">
        <v>1050</v>
      </c>
      <c r="I5220" s="6" t="s">
        <v>31</v>
      </c>
      <c r="J5220" s="6">
        <v>17.279467549317001</v>
      </c>
      <c r="K5220" s="6">
        <v>-97.372095530975997</v>
      </c>
      <c r="L5220" s="6" t="str">
        <f>HYPERLINK("https://maps.google.com/?q=17.2794675493174,-97.372095530975798", "🔗 Ver Mapa")</f>
        <v>🔗 Ver Mapa</v>
      </c>
    </row>
    <row r="5221" spans="1:12" ht="43.5" x14ac:dyDescent="0.35">
      <c r="A5221" s="5" t="s">
        <v>98</v>
      </c>
      <c r="B5221" s="5" t="s">
        <v>99</v>
      </c>
      <c r="C5221" s="5" t="s">
        <v>1048</v>
      </c>
      <c r="D5221" s="5" t="s">
        <v>14</v>
      </c>
      <c r="E5221" s="5" t="s">
        <v>16</v>
      </c>
      <c r="F5221" s="5" t="s">
        <v>19</v>
      </c>
      <c r="G5221" s="5" t="s">
        <v>1049</v>
      </c>
      <c r="H5221" s="5" t="s">
        <v>1050</v>
      </c>
      <c r="I5221" s="5" t="s">
        <v>31</v>
      </c>
      <c r="J5221" s="5">
        <v>17.279540547669999</v>
      </c>
      <c r="K5221" s="5">
        <v>-97.369520614170995</v>
      </c>
      <c r="L5221" s="5" t="str">
        <f>HYPERLINK("https://maps.google.com/?q=17.2795405476698,-97.369520614170696", "🔗 Ver Mapa")</f>
        <v>🔗 Ver Mapa</v>
      </c>
    </row>
    <row r="5222" spans="1:12" ht="43.5" x14ac:dyDescent="0.35">
      <c r="A5222" s="6" t="s">
        <v>98</v>
      </c>
      <c r="B5222" s="6" t="s">
        <v>99</v>
      </c>
      <c r="C5222" s="6" t="s">
        <v>1048</v>
      </c>
      <c r="D5222" s="6" t="s">
        <v>14</v>
      </c>
      <c r="E5222" s="6" t="s">
        <v>16</v>
      </c>
      <c r="F5222" s="6" t="s">
        <v>19</v>
      </c>
      <c r="G5222" s="6" t="s">
        <v>1049</v>
      </c>
      <c r="H5222" s="6" t="s">
        <v>1050</v>
      </c>
      <c r="I5222" s="6" t="s">
        <v>31</v>
      </c>
      <c r="J5222" s="6">
        <v>17.279706031558</v>
      </c>
      <c r="K5222" s="6">
        <v>-97.370810813492</v>
      </c>
      <c r="L5222" s="6" t="str">
        <f>HYPERLINK("https://maps.google.com/?q=17.2797060315582,-97.370810813491801", "🔗 Ver Mapa")</f>
        <v>🔗 Ver Mapa</v>
      </c>
    </row>
    <row r="5223" spans="1:12" ht="43.5" x14ac:dyDescent="0.35">
      <c r="A5223" s="5" t="s">
        <v>98</v>
      </c>
      <c r="B5223" s="5" t="s">
        <v>99</v>
      </c>
      <c r="C5223" s="5" t="s">
        <v>1048</v>
      </c>
      <c r="D5223" s="5" t="s">
        <v>14</v>
      </c>
      <c r="E5223" s="5" t="s">
        <v>16</v>
      </c>
      <c r="F5223" s="5" t="s">
        <v>19</v>
      </c>
      <c r="G5223" s="5" t="s">
        <v>1049</v>
      </c>
      <c r="H5223" s="5" t="s">
        <v>1050</v>
      </c>
      <c r="I5223" s="5" t="s">
        <v>31</v>
      </c>
      <c r="J5223" s="5">
        <v>17.279922148478999</v>
      </c>
      <c r="K5223" s="5">
        <v>-97.366643945581998</v>
      </c>
      <c r="L5223" s="5" t="str">
        <f>HYPERLINK("https://maps.google.com/?q=17.2799221484791,-97.366643945581998", "🔗 Ver Mapa")</f>
        <v>🔗 Ver Mapa</v>
      </c>
    </row>
    <row r="5224" spans="1:12" ht="43.5" x14ac:dyDescent="0.35">
      <c r="A5224" s="6" t="s">
        <v>98</v>
      </c>
      <c r="B5224" s="6" t="s">
        <v>99</v>
      </c>
      <c r="C5224" s="6" t="s">
        <v>1048</v>
      </c>
      <c r="D5224" s="6" t="s">
        <v>14</v>
      </c>
      <c r="E5224" s="6" t="s">
        <v>16</v>
      </c>
      <c r="F5224" s="6" t="s">
        <v>19</v>
      </c>
      <c r="G5224" s="6" t="s">
        <v>1049</v>
      </c>
      <c r="H5224" s="6" t="s">
        <v>1050</v>
      </c>
      <c r="I5224" s="6" t="s">
        <v>31</v>
      </c>
      <c r="J5224" s="6">
        <v>17.279943923287998</v>
      </c>
      <c r="K5224" s="6">
        <v>-97.372513955581994</v>
      </c>
      <c r="L5224" s="6" t="str">
        <f>HYPERLINK("https://maps.google.com/?q=17.2799439232882,-97.372513955581994", "🔗 Ver Mapa")</f>
        <v>🔗 Ver Mapa</v>
      </c>
    </row>
    <row r="5225" spans="1:12" ht="43.5" x14ac:dyDescent="0.35">
      <c r="A5225" s="5" t="s">
        <v>98</v>
      </c>
      <c r="B5225" s="5" t="s">
        <v>99</v>
      </c>
      <c r="C5225" s="5" t="s">
        <v>1048</v>
      </c>
      <c r="D5225" s="5" t="s">
        <v>14</v>
      </c>
      <c r="E5225" s="5" t="s">
        <v>16</v>
      </c>
      <c r="F5225" s="5" t="s">
        <v>19</v>
      </c>
      <c r="G5225" s="5" t="s">
        <v>1049</v>
      </c>
      <c r="H5225" s="5" t="s">
        <v>1050</v>
      </c>
      <c r="I5225" s="5" t="s">
        <v>31</v>
      </c>
      <c r="J5225" s="5">
        <v>17.280109112142</v>
      </c>
      <c r="K5225" s="5">
        <v>-97.36664931</v>
      </c>
      <c r="L5225" s="5" t="str">
        <f>HYPERLINK("https://maps.google.com/?q=17.2801091121423,-97.36664931", "🔗 Ver Mapa")</f>
        <v>🔗 Ver Mapa</v>
      </c>
    </row>
    <row r="5226" spans="1:12" ht="43.5" x14ac:dyDescent="0.35">
      <c r="A5226" s="6" t="s">
        <v>98</v>
      </c>
      <c r="B5226" s="6" t="s">
        <v>99</v>
      </c>
      <c r="C5226" s="6" t="s">
        <v>1048</v>
      </c>
      <c r="D5226" s="6" t="s">
        <v>14</v>
      </c>
      <c r="E5226" s="6" t="s">
        <v>16</v>
      </c>
      <c r="F5226" s="6" t="s">
        <v>19</v>
      </c>
      <c r="G5226" s="6" t="s">
        <v>1049</v>
      </c>
      <c r="H5226" s="6" t="s">
        <v>1050</v>
      </c>
      <c r="I5226" s="6" t="s">
        <v>31</v>
      </c>
      <c r="J5226" s="6">
        <v>17.280152662142999</v>
      </c>
      <c r="K5226" s="6">
        <v>-97.372618565582002</v>
      </c>
      <c r="L5226" s="6" t="str">
        <f>HYPERLINK("https://maps.google.com/?q=17.2801526621427,-97.372618565582002", "🔗 Ver Mapa")</f>
        <v>🔗 Ver Mapa</v>
      </c>
    </row>
    <row r="5227" spans="1:12" ht="43.5" x14ac:dyDescent="0.35">
      <c r="A5227" s="5" t="s">
        <v>98</v>
      </c>
      <c r="B5227" s="5" t="s">
        <v>99</v>
      </c>
      <c r="C5227" s="5" t="s">
        <v>1048</v>
      </c>
      <c r="D5227" s="5" t="s">
        <v>14</v>
      </c>
      <c r="E5227" s="5" t="s">
        <v>16</v>
      </c>
      <c r="F5227" s="5" t="s">
        <v>19</v>
      </c>
      <c r="G5227" s="5" t="s">
        <v>1049</v>
      </c>
      <c r="H5227" s="5" t="s">
        <v>1050</v>
      </c>
      <c r="I5227" s="5" t="s">
        <v>31</v>
      </c>
      <c r="J5227" s="5">
        <v>17.280509599866999</v>
      </c>
      <c r="K5227" s="5">
        <v>-97.370203000000004</v>
      </c>
      <c r="L5227" s="5" t="str">
        <f>HYPERLINK("https://maps.google.com/?q=17.2805095998669,-97.370203000000004", "🔗 Ver Mapa")</f>
        <v>🔗 Ver Mapa</v>
      </c>
    </row>
    <row r="5228" spans="1:12" ht="43.5" x14ac:dyDescent="0.35">
      <c r="A5228" s="6" t="s">
        <v>98</v>
      </c>
      <c r="B5228" s="6" t="s">
        <v>99</v>
      </c>
      <c r="C5228" s="6" t="s">
        <v>1048</v>
      </c>
      <c r="D5228" s="6" t="s">
        <v>14</v>
      </c>
      <c r="E5228" s="6" t="s">
        <v>16</v>
      </c>
      <c r="F5228" s="6" t="s">
        <v>19</v>
      </c>
      <c r="G5228" s="6" t="s">
        <v>1049</v>
      </c>
      <c r="H5228" s="6" t="s">
        <v>1050</v>
      </c>
      <c r="I5228" s="6" t="s">
        <v>31</v>
      </c>
      <c r="J5228" s="6">
        <v>17.281738003558001</v>
      </c>
      <c r="K5228" s="6">
        <v>-97.375083515666006</v>
      </c>
      <c r="L5228" s="6" t="str">
        <f>HYPERLINK("https://maps.google.com/?q=17.2817380035584,-97.375083515665906", "🔗 Ver Mapa")</f>
        <v>🔗 Ver Mapa</v>
      </c>
    </row>
    <row r="5229" spans="1:12" ht="43.5" x14ac:dyDescent="0.35">
      <c r="A5229" s="5" t="s">
        <v>98</v>
      </c>
      <c r="B5229" s="5" t="s">
        <v>99</v>
      </c>
      <c r="C5229" s="5" t="s">
        <v>1048</v>
      </c>
      <c r="D5229" s="5" t="s">
        <v>14</v>
      </c>
      <c r="E5229" s="5" t="s">
        <v>16</v>
      </c>
      <c r="F5229" s="5" t="s">
        <v>19</v>
      </c>
      <c r="G5229" s="5" t="s">
        <v>1049</v>
      </c>
      <c r="H5229" s="5" t="s">
        <v>1050</v>
      </c>
      <c r="I5229" s="5" t="s">
        <v>31</v>
      </c>
      <c r="J5229" s="5">
        <v>17.282594393269999</v>
      </c>
      <c r="K5229" s="5">
        <v>-97.376384953373005</v>
      </c>
      <c r="L5229" s="5" t="str">
        <f>HYPERLINK("https://maps.google.com/?q=17.2825943932702,-97.376384953373005", "🔗 Ver Mapa")</f>
        <v>🔗 Ver Mapa</v>
      </c>
    </row>
    <row r="5230" spans="1:12" ht="43.5" x14ac:dyDescent="0.35">
      <c r="A5230" s="6" t="s">
        <v>98</v>
      </c>
      <c r="B5230" s="6" t="s">
        <v>99</v>
      </c>
      <c r="C5230" s="6" t="s">
        <v>1048</v>
      </c>
      <c r="D5230" s="6" t="s">
        <v>14</v>
      </c>
      <c r="E5230" s="6" t="s">
        <v>16</v>
      </c>
      <c r="F5230" s="6" t="s">
        <v>19</v>
      </c>
      <c r="G5230" s="6" t="s">
        <v>1049</v>
      </c>
      <c r="H5230" s="6" t="s">
        <v>1050</v>
      </c>
      <c r="I5230" s="6" t="s">
        <v>31</v>
      </c>
      <c r="J5230" s="6">
        <v>17.282695850195999</v>
      </c>
      <c r="K5230" s="6">
        <v>-97.361856202492007</v>
      </c>
      <c r="L5230" s="6" t="str">
        <f>HYPERLINK("https://maps.google.com/?q=17.2826958501961,-97.361856202491893", "🔗 Ver Mapa")</f>
        <v>🔗 Ver Mapa</v>
      </c>
    </row>
    <row r="5231" spans="1:12" ht="43.5" x14ac:dyDescent="0.35">
      <c r="A5231" s="5" t="s">
        <v>98</v>
      </c>
      <c r="B5231" s="5" t="s">
        <v>99</v>
      </c>
      <c r="C5231" s="5" t="s">
        <v>1048</v>
      </c>
      <c r="D5231" s="5" t="s">
        <v>14</v>
      </c>
      <c r="E5231" s="5" t="s">
        <v>16</v>
      </c>
      <c r="F5231" s="5" t="s">
        <v>19</v>
      </c>
      <c r="G5231" s="5" t="s">
        <v>1049</v>
      </c>
      <c r="H5231" s="5" t="s">
        <v>1050</v>
      </c>
      <c r="I5231" s="5" t="s">
        <v>31</v>
      </c>
      <c r="J5231" s="5">
        <v>17.283921810342001</v>
      </c>
      <c r="K5231" s="5">
        <v>-97.367287946984007</v>
      </c>
      <c r="L5231" s="5" t="str">
        <f>HYPERLINK("https://maps.google.com/?q=17.283921810342,-97.367287946983694", "🔗 Ver Mapa")</f>
        <v>🔗 Ver Mapa</v>
      </c>
    </row>
    <row r="5232" spans="1:12" ht="43.5" x14ac:dyDescent="0.35">
      <c r="A5232" s="6" t="s">
        <v>98</v>
      </c>
      <c r="B5232" s="6" t="s">
        <v>99</v>
      </c>
      <c r="C5232" s="6" t="s">
        <v>1048</v>
      </c>
      <c r="D5232" s="6" t="s">
        <v>14</v>
      </c>
      <c r="E5232" s="6" t="s">
        <v>16</v>
      </c>
      <c r="F5232" s="6" t="s">
        <v>19</v>
      </c>
      <c r="G5232" s="6" t="s">
        <v>1049</v>
      </c>
      <c r="H5232" s="6" t="s">
        <v>1050</v>
      </c>
      <c r="I5232" s="6" t="s">
        <v>31</v>
      </c>
      <c r="J5232" s="6">
        <v>17.284684303256</v>
      </c>
      <c r="K5232" s="6">
        <v>-97.372850547791003</v>
      </c>
      <c r="L5232" s="6" t="str">
        <f>HYPERLINK("https://maps.google.com/?q=17.2846843032561,-97.372850547791003", "🔗 Ver Mapa")</f>
        <v>🔗 Ver Mapa</v>
      </c>
    </row>
    <row r="5233" spans="1:12" ht="43.5" x14ac:dyDescent="0.35">
      <c r="A5233" s="5" t="s">
        <v>98</v>
      </c>
      <c r="B5233" s="5" t="s">
        <v>99</v>
      </c>
      <c r="C5233" s="5" t="s">
        <v>1048</v>
      </c>
      <c r="D5233" s="5" t="s">
        <v>14</v>
      </c>
      <c r="E5233" s="5" t="s">
        <v>16</v>
      </c>
      <c r="F5233" s="5" t="s">
        <v>19</v>
      </c>
      <c r="G5233" s="5" t="s">
        <v>1049</v>
      </c>
      <c r="H5233" s="5" t="s">
        <v>1050</v>
      </c>
      <c r="I5233" s="5" t="s">
        <v>31</v>
      </c>
      <c r="J5233" s="5">
        <v>17.284920693254001</v>
      </c>
      <c r="K5233" s="5">
        <v>-97.372233600000001</v>
      </c>
      <c r="L5233" s="5" t="str">
        <f>HYPERLINK("https://maps.google.com/?q=17.2849206932545,-97.372233600000001", "🔗 Ver Mapa")</f>
        <v>🔗 Ver Mapa</v>
      </c>
    </row>
    <row r="5234" spans="1:12" ht="43.5" x14ac:dyDescent="0.35">
      <c r="A5234" s="6" t="s">
        <v>98</v>
      </c>
      <c r="B5234" s="6" t="s">
        <v>99</v>
      </c>
      <c r="C5234" s="6" t="s">
        <v>1048</v>
      </c>
      <c r="D5234" s="6" t="s">
        <v>14</v>
      </c>
      <c r="E5234" s="6" t="s">
        <v>16</v>
      </c>
      <c r="F5234" s="6" t="s">
        <v>19</v>
      </c>
      <c r="G5234" s="6" t="s">
        <v>1049</v>
      </c>
      <c r="H5234" s="6" t="s">
        <v>1050</v>
      </c>
      <c r="I5234" s="6" t="s">
        <v>31</v>
      </c>
      <c r="J5234" s="6">
        <v>17.285750480610002</v>
      </c>
      <c r="K5234" s="6">
        <v>-97.374030680038999</v>
      </c>
      <c r="L5234" s="6" t="str">
        <f>HYPERLINK("https://maps.google.com/?q=17.2857504806096,-97.374030680039397", "🔗 Ver Mapa")</f>
        <v>🔗 Ver Mapa</v>
      </c>
    </row>
    <row r="5235" spans="1:12" ht="43.5" x14ac:dyDescent="0.35">
      <c r="A5235" s="5" t="s">
        <v>98</v>
      </c>
      <c r="B5235" s="5" t="s">
        <v>99</v>
      </c>
      <c r="C5235" s="5" t="s">
        <v>1048</v>
      </c>
      <c r="D5235" s="5" t="s">
        <v>14</v>
      </c>
      <c r="E5235" s="5" t="s">
        <v>16</v>
      </c>
      <c r="F5235" s="5" t="s">
        <v>19</v>
      </c>
      <c r="G5235" s="5" t="s">
        <v>1049</v>
      </c>
      <c r="H5235" s="5" t="s">
        <v>1050</v>
      </c>
      <c r="I5235" s="5" t="s">
        <v>31</v>
      </c>
      <c r="J5235" s="5">
        <v>17.287177966379002</v>
      </c>
      <c r="K5235" s="5">
        <v>-97.370962682208997</v>
      </c>
      <c r="L5235" s="5" t="str">
        <f>HYPERLINK("https://maps.google.com/?q=17.2871779663787,-97.370962682208997", "🔗 Ver Mapa")</f>
        <v>🔗 Ver Mapa</v>
      </c>
    </row>
    <row r="5236" spans="1:12" ht="43.5" x14ac:dyDescent="0.35">
      <c r="A5236" s="6" t="s">
        <v>98</v>
      </c>
      <c r="B5236" s="6" t="s">
        <v>99</v>
      </c>
      <c r="C5236" s="6" t="s">
        <v>1048</v>
      </c>
      <c r="D5236" s="6" t="s">
        <v>14</v>
      </c>
      <c r="E5236" s="6" t="s">
        <v>16</v>
      </c>
      <c r="F5236" s="6" t="s">
        <v>19</v>
      </c>
      <c r="G5236" s="6" t="s">
        <v>1049</v>
      </c>
      <c r="H5236" s="6" t="s">
        <v>1050</v>
      </c>
      <c r="I5236" s="6" t="s">
        <v>31</v>
      </c>
      <c r="J5236" s="6">
        <v>17.287290652387998</v>
      </c>
      <c r="K5236" s="6">
        <v>-97.366346600496001</v>
      </c>
      <c r="L5236" s="6" t="str">
        <f>HYPERLINK("https://maps.google.com/?q=17.2872906523883,-97.366346600495802", "🔗 Ver Mapa")</f>
        <v>🔗 Ver Mapa</v>
      </c>
    </row>
    <row r="5237" spans="1:12" ht="43.5" x14ac:dyDescent="0.35">
      <c r="A5237" s="5" t="s">
        <v>98</v>
      </c>
      <c r="B5237" s="5" t="s">
        <v>99</v>
      </c>
      <c r="C5237" s="5" t="s">
        <v>1048</v>
      </c>
      <c r="D5237" s="5" t="s">
        <v>14</v>
      </c>
      <c r="E5237" s="5" t="s">
        <v>16</v>
      </c>
      <c r="F5237" s="5" t="s">
        <v>19</v>
      </c>
      <c r="G5237" s="5" t="s">
        <v>1049</v>
      </c>
      <c r="H5237" s="5" t="s">
        <v>1050</v>
      </c>
      <c r="I5237" s="5" t="s">
        <v>31</v>
      </c>
      <c r="J5237" s="5">
        <v>17.288925712205</v>
      </c>
      <c r="K5237" s="5">
        <v>-97.374544454418</v>
      </c>
      <c r="L5237" s="5" t="str">
        <f>HYPERLINK("https://maps.google.com/?q=17.2889257122051,-97.374544454418", "🔗 Ver Mapa")</f>
        <v>🔗 Ver Mapa</v>
      </c>
    </row>
    <row r="5238" spans="1:12" ht="43.5" x14ac:dyDescent="0.35">
      <c r="A5238" s="6" t="s">
        <v>98</v>
      </c>
      <c r="B5238" s="6" t="s">
        <v>99</v>
      </c>
      <c r="C5238" s="6" t="s">
        <v>1048</v>
      </c>
      <c r="D5238" s="6" t="s">
        <v>14</v>
      </c>
      <c r="E5238" s="6" t="s">
        <v>16</v>
      </c>
      <c r="F5238" s="6" t="s">
        <v>19</v>
      </c>
      <c r="G5238" s="6" t="s">
        <v>1049</v>
      </c>
      <c r="H5238" s="6" t="s">
        <v>1050</v>
      </c>
      <c r="I5238" s="6" t="s">
        <v>31</v>
      </c>
      <c r="J5238" s="6">
        <v>17.290469783212</v>
      </c>
      <c r="K5238" s="6">
        <v>-97.383098677790997</v>
      </c>
      <c r="L5238" s="6" t="str">
        <f>HYPERLINK("https://maps.google.com/?q=17.2904697832118,-97.383098677790997", "🔗 Ver Mapa")</f>
        <v>🔗 Ver Mapa</v>
      </c>
    </row>
    <row r="5239" spans="1:12" ht="43.5" x14ac:dyDescent="0.35">
      <c r="A5239" s="5" t="s">
        <v>98</v>
      </c>
      <c r="B5239" s="5" t="s">
        <v>99</v>
      </c>
      <c r="C5239" s="5" t="s">
        <v>1048</v>
      </c>
      <c r="D5239" s="5" t="s">
        <v>14</v>
      </c>
      <c r="E5239" s="5" t="s">
        <v>16</v>
      </c>
      <c r="F5239" s="5" t="s">
        <v>19</v>
      </c>
      <c r="G5239" s="5" t="s">
        <v>1049</v>
      </c>
      <c r="H5239" s="5" t="s">
        <v>1050</v>
      </c>
      <c r="I5239" s="5" t="s">
        <v>31</v>
      </c>
      <c r="J5239" s="5">
        <v>17.293153161271999</v>
      </c>
      <c r="K5239" s="5">
        <v>-97.370900046627</v>
      </c>
      <c r="L5239" s="5" t="str">
        <f>HYPERLINK("https://maps.google.com/?q=17.293153161272,-97.370900046627", "🔗 Ver Mapa")</f>
        <v>🔗 Ver Mapa</v>
      </c>
    </row>
    <row r="5240" spans="1:12" ht="43.5" x14ac:dyDescent="0.35">
      <c r="A5240" s="6" t="s">
        <v>288</v>
      </c>
      <c r="B5240" s="6" t="s">
        <v>289</v>
      </c>
      <c r="C5240" s="6" t="s">
        <v>1051</v>
      </c>
      <c r="D5240" s="6" t="s">
        <v>414</v>
      </c>
      <c r="E5240" s="6" t="s">
        <v>52</v>
      </c>
      <c r="F5240" s="6" t="s">
        <v>421</v>
      </c>
      <c r="G5240" s="6" t="s">
        <v>1052</v>
      </c>
      <c r="H5240" s="6" t="s">
        <v>1053</v>
      </c>
      <c r="I5240" s="6" t="s">
        <v>31</v>
      </c>
      <c r="J5240" s="6">
        <v>16.656583999999999</v>
      </c>
      <c r="K5240" s="6">
        <v>-96.728999000000002</v>
      </c>
      <c r="L5240" s="6" t="str">
        <f>HYPERLINK("https://maps.google.com/?q=16.656584,-96.728999", "🔗 Ver Mapa")</f>
        <v>🔗 Ver Mapa</v>
      </c>
    </row>
    <row r="5241" spans="1:12" ht="43.5" x14ac:dyDescent="0.35">
      <c r="A5241" s="5" t="s">
        <v>98</v>
      </c>
      <c r="B5241" s="5" t="s">
        <v>99</v>
      </c>
      <c r="C5241" s="5" t="s">
        <v>1054</v>
      </c>
      <c r="D5241" s="5" t="s">
        <v>14</v>
      </c>
      <c r="E5241" s="5" t="s">
        <v>17</v>
      </c>
      <c r="F5241" s="5" t="s">
        <v>20</v>
      </c>
      <c r="G5241" s="5" t="s">
        <v>24</v>
      </c>
      <c r="H5241" s="5" t="s">
        <v>1055</v>
      </c>
      <c r="I5241" s="5" t="s">
        <v>31</v>
      </c>
      <c r="J5241" s="5">
        <v>15.831797585436</v>
      </c>
      <c r="K5241" s="5">
        <v>-96.444861054564996</v>
      </c>
      <c r="L5241" s="5" t="str">
        <f>HYPERLINK("https://maps.google.com/?q=15.8317975854355,-96.444861054564598", "🔗 Ver Mapa")</f>
        <v>🔗 Ver Mapa</v>
      </c>
    </row>
    <row r="5242" spans="1:12" ht="43.5" x14ac:dyDescent="0.35">
      <c r="A5242" s="6" t="s">
        <v>98</v>
      </c>
      <c r="B5242" s="6" t="s">
        <v>99</v>
      </c>
      <c r="C5242" s="6" t="s">
        <v>1056</v>
      </c>
      <c r="D5242" s="6" t="s">
        <v>14</v>
      </c>
      <c r="E5242" s="6" t="s">
        <v>17</v>
      </c>
      <c r="F5242" s="6" t="s">
        <v>20</v>
      </c>
      <c r="G5242" s="6" t="s">
        <v>24</v>
      </c>
      <c r="H5242" s="6" t="s">
        <v>1057</v>
      </c>
      <c r="I5242" s="6" t="s">
        <v>31</v>
      </c>
      <c r="J5242" s="6">
        <v>15.860581304295</v>
      </c>
      <c r="K5242" s="6">
        <v>-96.464872847622999</v>
      </c>
      <c r="L5242" s="6" t="str">
        <f>HYPERLINK("https://maps.google.com/?q=15.8605813042954,-96.464872847622601", "🔗 Ver Mapa")</f>
        <v>🔗 Ver Mapa</v>
      </c>
    </row>
    <row r="5243" spans="1:12" ht="43.5" x14ac:dyDescent="0.35">
      <c r="A5243" s="5" t="s">
        <v>98</v>
      </c>
      <c r="B5243" s="5" t="s">
        <v>99</v>
      </c>
      <c r="C5243" s="5" t="s">
        <v>1056</v>
      </c>
      <c r="D5243" s="5" t="s">
        <v>14</v>
      </c>
      <c r="E5243" s="5" t="s">
        <v>17</v>
      </c>
      <c r="F5243" s="5" t="s">
        <v>20</v>
      </c>
      <c r="G5243" s="5" t="s">
        <v>24</v>
      </c>
      <c r="H5243" s="5" t="s">
        <v>1057</v>
      </c>
      <c r="I5243" s="5" t="s">
        <v>31</v>
      </c>
      <c r="J5243" s="5">
        <v>15.860982508847</v>
      </c>
      <c r="K5243" s="5">
        <v>-96.464583169049007</v>
      </c>
      <c r="L5243" s="5" t="str">
        <f>HYPERLINK("https://maps.google.com/?q=15.8609825088467,-96.464583169048794", "🔗 Ver Mapa")</f>
        <v>🔗 Ver Mapa</v>
      </c>
    </row>
    <row r="5244" spans="1:12" ht="43.5" x14ac:dyDescent="0.35">
      <c r="A5244" s="6" t="s">
        <v>98</v>
      </c>
      <c r="B5244" s="6" t="s">
        <v>99</v>
      </c>
      <c r="C5244" s="6" t="s">
        <v>1058</v>
      </c>
      <c r="D5244" s="6" t="s">
        <v>14</v>
      </c>
      <c r="E5244" s="6" t="s">
        <v>17</v>
      </c>
      <c r="F5244" s="6" t="s">
        <v>20</v>
      </c>
      <c r="G5244" s="6" t="s">
        <v>24</v>
      </c>
      <c r="H5244" s="6" t="s">
        <v>1059</v>
      </c>
      <c r="I5244" s="6" t="s">
        <v>31</v>
      </c>
      <c r="J5244" s="6">
        <v>15.835763546954</v>
      </c>
      <c r="K5244" s="6">
        <v>-96.458816874801997</v>
      </c>
      <c r="L5244" s="6" t="str">
        <f>HYPERLINK("https://maps.google.com/?q=15.8357635469539,-96.458816874802096", "🔗 Ver Mapa")</f>
        <v>🔗 Ver Mapa</v>
      </c>
    </row>
    <row r="5245" spans="1:12" ht="43.5" x14ac:dyDescent="0.35">
      <c r="A5245" s="5" t="s">
        <v>98</v>
      </c>
      <c r="B5245" s="5" t="s">
        <v>99</v>
      </c>
      <c r="C5245" s="5" t="s">
        <v>1058</v>
      </c>
      <c r="D5245" s="5" t="s">
        <v>14</v>
      </c>
      <c r="E5245" s="5" t="s">
        <v>17</v>
      </c>
      <c r="F5245" s="5" t="s">
        <v>20</v>
      </c>
      <c r="G5245" s="5" t="s">
        <v>24</v>
      </c>
      <c r="H5245" s="5" t="s">
        <v>1059</v>
      </c>
      <c r="I5245" s="5" t="s">
        <v>31</v>
      </c>
      <c r="J5245" s="5">
        <v>15.83837159744</v>
      </c>
      <c r="K5245" s="5">
        <v>-96.458307109022002</v>
      </c>
      <c r="L5245" s="5" t="str">
        <f>HYPERLINK("https://maps.google.com/?q=15.8383715974403,-96.458307109021703", "🔗 Ver Mapa")</f>
        <v>🔗 Ver Mapa</v>
      </c>
    </row>
    <row r="5246" spans="1:12" ht="43.5" x14ac:dyDescent="0.35">
      <c r="A5246" s="6" t="s">
        <v>98</v>
      </c>
      <c r="B5246" s="6" t="s">
        <v>99</v>
      </c>
      <c r="C5246" s="6" t="s">
        <v>1058</v>
      </c>
      <c r="D5246" s="6" t="s">
        <v>14</v>
      </c>
      <c r="E5246" s="6" t="s">
        <v>17</v>
      </c>
      <c r="F5246" s="6" t="s">
        <v>20</v>
      </c>
      <c r="G5246" s="6" t="s">
        <v>24</v>
      </c>
      <c r="H5246" s="6" t="s">
        <v>1059</v>
      </c>
      <c r="I5246" s="6" t="s">
        <v>31</v>
      </c>
      <c r="J5246" s="6">
        <v>15.840088106267</v>
      </c>
      <c r="K5246" s="6">
        <v>-96.457139995719004</v>
      </c>
      <c r="L5246" s="6" t="str">
        <f>HYPERLINK("https://maps.google.com/?q=15.8400881062671,-96.457139995719103", "🔗 Ver Mapa")</f>
        <v>🔗 Ver Mapa</v>
      </c>
    </row>
    <row r="5247" spans="1:12" ht="43.5" x14ac:dyDescent="0.35">
      <c r="A5247" s="5" t="s">
        <v>98</v>
      </c>
      <c r="B5247" s="5" t="s">
        <v>99</v>
      </c>
      <c r="C5247" s="5" t="s">
        <v>1060</v>
      </c>
      <c r="D5247" s="5" t="s">
        <v>14</v>
      </c>
      <c r="E5247" s="5" t="s">
        <v>17</v>
      </c>
      <c r="F5247" s="5" t="s">
        <v>20</v>
      </c>
      <c r="G5247" s="5" t="s">
        <v>24</v>
      </c>
      <c r="H5247" s="5" t="s">
        <v>1061</v>
      </c>
      <c r="I5247" s="5" t="s">
        <v>31</v>
      </c>
      <c r="J5247" s="5">
        <v>15.84632682748</v>
      </c>
      <c r="K5247" s="5">
        <v>-96.463233223269995</v>
      </c>
      <c r="L5247" s="5" t="str">
        <f>HYPERLINK("https://maps.google.com/?q=15.84632682748,-96.463233223269697", "🔗 Ver Mapa")</f>
        <v>🔗 Ver Mapa</v>
      </c>
    </row>
    <row r="5248" spans="1:12" ht="43.5" x14ac:dyDescent="0.35">
      <c r="A5248" s="6" t="s">
        <v>98</v>
      </c>
      <c r="B5248" s="6" t="s">
        <v>99</v>
      </c>
      <c r="C5248" s="6" t="s">
        <v>1060</v>
      </c>
      <c r="D5248" s="6" t="s">
        <v>14</v>
      </c>
      <c r="E5248" s="6" t="s">
        <v>17</v>
      </c>
      <c r="F5248" s="6" t="s">
        <v>20</v>
      </c>
      <c r="G5248" s="6" t="s">
        <v>24</v>
      </c>
      <c r="H5248" s="6" t="s">
        <v>1061</v>
      </c>
      <c r="I5248" s="6" t="s">
        <v>31</v>
      </c>
      <c r="J5248" s="6">
        <v>15.850968992314</v>
      </c>
      <c r="K5248" s="6">
        <v>-96.462219718935998</v>
      </c>
      <c r="L5248" s="6" t="str">
        <f>HYPERLINK("https://maps.google.com/?q=15.8509689923135,-96.462219718935501", "🔗 Ver Mapa")</f>
        <v>🔗 Ver Mapa</v>
      </c>
    </row>
    <row r="5249" spans="1:12" ht="43.5" x14ac:dyDescent="0.35">
      <c r="A5249" s="5" t="s">
        <v>98</v>
      </c>
      <c r="B5249" s="5" t="s">
        <v>99</v>
      </c>
      <c r="C5249" s="5" t="s">
        <v>1060</v>
      </c>
      <c r="D5249" s="5" t="s">
        <v>14</v>
      </c>
      <c r="E5249" s="5" t="s">
        <v>17</v>
      </c>
      <c r="F5249" s="5" t="s">
        <v>20</v>
      </c>
      <c r="G5249" s="5" t="s">
        <v>24</v>
      </c>
      <c r="H5249" s="5" t="s">
        <v>1061</v>
      </c>
      <c r="I5249" s="5" t="s">
        <v>31</v>
      </c>
      <c r="J5249" s="5">
        <v>15.851492778586</v>
      </c>
      <c r="K5249" s="5">
        <v>-96.461664501669006</v>
      </c>
      <c r="L5249" s="5" t="str">
        <f>HYPERLINK("https://maps.google.com/?q=15.8514927785858,-96.461664501668906", "🔗 Ver Mapa")</f>
        <v>🔗 Ver Mapa</v>
      </c>
    </row>
    <row r="5250" spans="1:12" ht="43.5" x14ac:dyDescent="0.35">
      <c r="A5250" s="6" t="s">
        <v>98</v>
      </c>
      <c r="B5250" s="6" t="s">
        <v>99</v>
      </c>
      <c r="C5250" s="6" t="s">
        <v>1062</v>
      </c>
      <c r="D5250" s="6" t="s">
        <v>14</v>
      </c>
      <c r="E5250" s="6" t="s">
        <v>17</v>
      </c>
      <c r="F5250" s="6" t="s">
        <v>20</v>
      </c>
      <c r="G5250" s="6" t="s">
        <v>24</v>
      </c>
      <c r="H5250" s="6" t="s">
        <v>867</v>
      </c>
      <c r="I5250" s="6" t="s">
        <v>31</v>
      </c>
      <c r="J5250" s="6">
        <v>15.876737036741</v>
      </c>
      <c r="K5250" s="6">
        <v>-96.322465487420999</v>
      </c>
      <c r="L5250" s="6" t="str">
        <f>HYPERLINK("https://maps.google.com/?q=15.8767370367406,-96.322465487421397", "🔗 Ver Mapa")</f>
        <v>🔗 Ver Mapa</v>
      </c>
    </row>
    <row r="5251" spans="1:12" ht="43.5" x14ac:dyDescent="0.35">
      <c r="A5251" s="5" t="s">
        <v>98</v>
      </c>
      <c r="B5251" s="5" t="s">
        <v>99</v>
      </c>
      <c r="C5251" s="5" t="s">
        <v>1062</v>
      </c>
      <c r="D5251" s="5" t="s">
        <v>14</v>
      </c>
      <c r="E5251" s="5" t="s">
        <v>17</v>
      </c>
      <c r="F5251" s="5" t="s">
        <v>20</v>
      </c>
      <c r="G5251" s="5" t="s">
        <v>24</v>
      </c>
      <c r="H5251" s="5" t="s">
        <v>867</v>
      </c>
      <c r="I5251" s="5" t="s">
        <v>31</v>
      </c>
      <c r="J5251" s="5">
        <v>15.882054518998</v>
      </c>
      <c r="K5251" s="5">
        <v>-96.325389024239996</v>
      </c>
      <c r="L5251" s="5" t="str">
        <f>HYPERLINK("https://maps.google.com/?q=15.8820545189978,-96.325389024239897", "🔗 Ver Mapa")</f>
        <v>🔗 Ver Mapa</v>
      </c>
    </row>
    <row r="5252" spans="1:12" ht="43.5" x14ac:dyDescent="0.35">
      <c r="A5252" s="6" t="s">
        <v>98</v>
      </c>
      <c r="B5252" s="6" t="s">
        <v>99</v>
      </c>
      <c r="C5252" s="6" t="s">
        <v>1062</v>
      </c>
      <c r="D5252" s="6" t="s">
        <v>14</v>
      </c>
      <c r="E5252" s="6" t="s">
        <v>17</v>
      </c>
      <c r="F5252" s="6" t="s">
        <v>20</v>
      </c>
      <c r="G5252" s="6" t="s">
        <v>24</v>
      </c>
      <c r="H5252" s="6" t="s">
        <v>867</v>
      </c>
      <c r="I5252" s="6" t="s">
        <v>31</v>
      </c>
      <c r="J5252" s="6">
        <v>15.882252208345999</v>
      </c>
      <c r="K5252" s="6">
        <v>-96.319856015609005</v>
      </c>
      <c r="L5252" s="6" t="str">
        <f>HYPERLINK("https://maps.google.com/?q=15.8822522083464,-96.319856015609005", "🔗 Ver Mapa")</f>
        <v>🔗 Ver Mapa</v>
      </c>
    </row>
    <row r="5253" spans="1:12" ht="43.5" x14ac:dyDescent="0.35">
      <c r="A5253" s="5" t="s">
        <v>98</v>
      </c>
      <c r="B5253" s="5" t="s">
        <v>99</v>
      </c>
      <c r="C5253" s="5" t="s">
        <v>1062</v>
      </c>
      <c r="D5253" s="5" t="s">
        <v>14</v>
      </c>
      <c r="E5253" s="5" t="s">
        <v>17</v>
      </c>
      <c r="F5253" s="5" t="s">
        <v>20</v>
      </c>
      <c r="G5253" s="5" t="s">
        <v>24</v>
      </c>
      <c r="H5253" s="5" t="s">
        <v>867</v>
      </c>
      <c r="I5253" s="5" t="s">
        <v>31</v>
      </c>
      <c r="J5253" s="5">
        <v>15.882630782930001</v>
      </c>
      <c r="K5253" s="5">
        <v>-96.323617146645006</v>
      </c>
      <c r="L5253" s="5" t="str">
        <f>HYPERLINK("https://maps.google.com/?q=15.8826307829298,-96.323617146645105", "🔗 Ver Mapa")</f>
        <v>🔗 Ver Mapa</v>
      </c>
    </row>
    <row r="5254" spans="1:12" ht="43.5" x14ac:dyDescent="0.35">
      <c r="A5254" s="6" t="s">
        <v>98</v>
      </c>
      <c r="B5254" s="6" t="s">
        <v>99</v>
      </c>
      <c r="C5254" s="6" t="s">
        <v>1062</v>
      </c>
      <c r="D5254" s="6" t="s">
        <v>14</v>
      </c>
      <c r="E5254" s="6" t="s">
        <v>17</v>
      </c>
      <c r="F5254" s="6" t="s">
        <v>20</v>
      </c>
      <c r="G5254" s="6" t="s">
        <v>24</v>
      </c>
      <c r="H5254" s="6" t="s">
        <v>867</v>
      </c>
      <c r="I5254" s="6" t="s">
        <v>31</v>
      </c>
      <c r="J5254" s="6">
        <v>15.883162882288</v>
      </c>
      <c r="K5254" s="6">
        <v>-96.32019531505</v>
      </c>
      <c r="L5254" s="6" t="str">
        <f>HYPERLINK("https://maps.google.com/?q=15.8831628822879,-96.320195315050299", "🔗 Ver Mapa")</f>
        <v>🔗 Ver Mapa</v>
      </c>
    </row>
    <row r="5255" spans="1:12" ht="43.5" x14ac:dyDescent="0.35">
      <c r="A5255" s="5" t="s">
        <v>98</v>
      </c>
      <c r="B5255" s="5" t="s">
        <v>99</v>
      </c>
      <c r="C5255" s="5" t="s">
        <v>1062</v>
      </c>
      <c r="D5255" s="5" t="s">
        <v>14</v>
      </c>
      <c r="E5255" s="5" t="s">
        <v>17</v>
      </c>
      <c r="F5255" s="5" t="s">
        <v>20</v>
      </c>
      <c r="G5255" s="5" t="s">
        <v>24</v>
      </c>
      <c r="H5255" s="5" t="s">
        <v>867</v>
      </c>
      <c r="I5255" s="5" t="s">
        <v>31</v>
      </c>
      <c r="J5255" s="5">
        <v>15.883180940937001</v>
      </c>
      <c r="K5255" s="5">
        <v>-96.321002659963</v>
      </c>
      <c r="L5255" s="5" t="str">
        <f>HYPERLINK("https://maps.google.com/?q=15.883180940937,-96.321002659963199", "🔗 Ver Mapa")</f>
        <v>🔗 Ver Mapa</v>
      </c>
    </row>
    <row r="5256" spans="1:12" ht="43.5" x14ac:dyDescent="0.35">
      <c r="A5256" s="6" t="s">
        <v>98</v>
      </c>
      <c r="B5256" s="6" t="s">
        <v>99</v>
      </c>
      <c r="C5256" s="6" t="s">
        <v>1062</v>
      </c>
      <c r="D5256" s="6" t="s">
        <v>14</v>
      </c>
      <c r="E5256" s="6" t="s">
        <v>17</v>
      </c>
      <c r="F5256" s="6" t="s">
        <v>20</v>
      </c>
      <c r="G5256" s="6" t="s">
        <v>24</v>
      </c>
      <c r="H5256" s="6" t="s">
        <v>867</v>
      </c>
      <c r="I5256" s="6" t="s">
        <v>31</v>
      </c>
      <c r="J5256" s="6">
        <v>15.883348078480999</v>
      </c>
      <c r="K5256" s="6">
        <v>-96.329956063842005</v>
      </c>
      <c r="L5256" s="6" t="str">
        <f>HYPERLINK("https://maps.google.com/?q=15.8833480784811,-96.329956063842005", "🔗 Ver Mapa")</f>
        <v>🔗 Ver Mapa</v>
      </c>
    </row>
    <row r="5257" spans="1:12" ht="43.5" x14ac:dyDescent="0.35">
      <c r="A5257" s="5" t="s">
        <v>98</v>
      </c>
      <c r="B5257" s="5" t="s">
        <v>99</v>
      </c>
      <c r="C5257" s="5" t="s">
        <v>1062</v>
      </c>
      <c r="D5257" s="5" t="s">
        <v>14</v>
      </c>
      <c r="E5257" s="5" t="s">
        <v>17</v>
      </c>
      <c r="F5257" s="5" t="s">
        <v>20</v>
      </c>
      <c r="G5257" s="5" t="s">
        <v>24</v>
      </c>
      <c r="H5257" s="5" t="s">
        <v>867</v>
      </c>
      <c r="I5257" s="5" t="s">
        <v>31</v>
      </c>
      <c r="J5257" s="5">
        <v>15.884127727808</v>
      </c>
      <c r="K5257" s="5">
        <v>-96.332993475362997</v>
      </c>
      <c r="L5257" s="5" t="str">
        <f>HYPERLINK("https://maps.google.com/?q=15.8841277278079,-96.332993475362599", "🔗 Ver Mapa")</f>
        <v>🔗 Ver Mapa</v>
      </c>
    </row>
    <row r="5258" spans="1:12" ht="43.5" x14ac:dyDescent="0.35">
      <c r="A5258" s="6" t="s">
        <v>98</v>
      </c>
      <c r="B5258" s="6" t="s">
        <v>99</v>
      </c>
      <c r="C5258" s="6" t="s">
        <v>1062</v>
      </c>
      <c r="D5258" s="6" t="s">
        <v>14</v>
      </c>
      <c r="E5258" s="6" t="s">
        <v>17</v>
      </c>
      <c r="F5258" s="6" t="s">
        <v>20</v>
      </c>
      <c r="G5258" s="6" t="s">
        <v>24</v>
      </c>
      <c r="H5258" s="6" t="s">
        <v>867</v>
      </c>
      <c r="I5258" s="6" t="s">
        <v>31</v>
      </c>
      <c r="J5258" s="6">
        <v>15.884816568719</v>
      </c>
      <c r="K5258" s="6">
        <v>-96.321889068502003</v>
      </c>
      <c r="L5258" s="6" t="str">
        <f>HYPERLINK("https://maps.google.com/?q=15.8848165687191,-96.321889068501804", "🔗 Ver Mapa")</f>
        <v>🔗 Ver Mapa</v>
      </c>
    </row>
    <row r="5259" spans="1:12" ht="43.5" x14ac:dyDescent="0.35">
      <c r="A5259" s="5" t="s">
        <v>98</v>
      </c>
      <c r="B5259" s="5" t="s">
        <v>99</v>
      </c>
      <c r="C5259" s="5" t="s">
        <v>1062</v>
      </c>
      <c r="D5259" s="5" t="s">
        <v>14</v>
      </c>
      <c r="E5259" s="5" t="s">
        <v>17</v>
      </c>
      <c r="F5259" s="5" t="s">
        <v>20</v>
      </c>
      <c r="G5259" s="5" t="s">
        <v>24</v>
      </c>
      <c r="H5259" s="5" t="s">
        <v>867</v>
      </c>
      <c r="I5259" s="5" t="s">
        <v>31</v>
      </c>
      <c r="J5259" s="5">
        <v>15.885731692819</v>
      </c>
      <c r="K5259" s="5">
        <v>-96.322646186981004</v>
      </c>
      <c r="L5259" s="5" t="str">
        <f>HYPERLINK("https://maps.google.com/?q=15.8857316928195,-96.322646186981302", "🔗 Ver Mapa")</f>
        <v>🔗 Ver Mapa</v>
      </c>
    </row>
    <row r="5260" spans="1:12" ht="43.5" x14ac:dyDescent="0.35">
      <c r="A5260" s="6" t="s">
        <v>98</v>
      </c>
      <c r="B5260" s="6" t="s">
        <v>99</v>
      </c>
      <c r="C5260" s="6" t="s">
        <v>1062</v>
      </c>
      <c r="D5260" s="6" t="s">
        <v>14</v>
      </c>
      <c r="E5260" s="6" t="s">
        <v>17</v>
      </c>
      <c r="F5260" s="6" t="s">
        <v>20</v>
      </c>
      <c r="G5260" s="6" t="s">
        <v>24</v>
      </c>
      <c r="H5260" s="6" t="s">
        <v>867</v>
      </c>
      <c r="I5260" s="6" t="s">
        <v>31</v>
      </c>
      <c r="J5260" s="6">
        <v>15.886845581431</v>
      </c>
      <c r="K5260" s="6">
        <v>-96.320301081810001</v>
      </c>
      <c r="L5260" s="6" t="str">
        <f>HYPERLINK("https://maps.google.com/?q=15.8868455814311,-96.320301081810399", "🔗 Ver Mapa")</f>
        <v>🔗 Ver Mapa</v>
      </c>
    </row>
    <row r="5261" spans="1:12" ht="43.5" x14ac:dyDescent="0.35">
      <c r="A5261" s="5" t="s">
        <v>98</v>
      </c>
      <c r="B5261" s="5" t="s">
        <v>99</v>
      </c>
      <c r="C5261" s="5" t="s">
        <v>1063</v>
      </c>
      <c r="D5261" s="5" t="s">
        <v>14</v>
      </c>
      <c r="E5261" s="5" t="s">
        <v>17</v>
      </c>
      <c r="F5261" s="5" t="s">
        <v>20</v>
      </c>
      <c r="G5261" s="5" t="s">
        <v>24</v>
      </c>
      <c r="H5261" s="5" t="s">
        <v>1064</v>
      </c>
      <c r="I5261" s="5" t="s">
        <v>31</v>
      </c>
      <c r="J5261" s="5">
        <v>15.717930499181</v>
      </c>
      <c r="K5261" s="5">
        <v>-96.401036406974001</v>
      </c>
      <c r="L5261" s="5" t="str">
        <f>HYPERLINK("https://maps.google.com/?q=15.7179304991806,-96.401036406974299", "🔗 Ver Mapa")</f>
        <v>🔗 Ver Mapa</v>
      </c>
    </row>
    <row r="5262" spans="1:12" ht="43.5" x14ac:dyDescent="0.35">
      <c r="A5262" s="6" t="s">
        <v>98</v>
      </c>
      <c r="B5262" s="6" t="s">
        <v>99</v>
      </c>
      <c r="C5262" s="6" t="s">
        <v>1063</v>
      </c>
      <c r="D5262" s="6" t="s">
        <v>14</v>
      </c>
      <c r="E5262" s="6" t="s">
        <v>17</v>
      </c>
      <c r="F5262" s="6" t="s">
        <v>20</v>
      </c>
      <c r="G5262" s="6" t="s">
        <v>24</v>
      </c>
      <c r="H5262" s="6" t="s">
        <v>1064</v>
      </c>
      <c r="I5262" s="6" t="s">
        <v>31</v>
      </c>
      <c r="J5262" s="6">
        <v>15.719115111595</v>
      </c>
      <c r="K5262" s="6">
        <v>-96.400117432637003</v>
      </c>
      <c r="L5262" s="6" t="str">
        <f>HYPERLINK("https://maps.google.com/?q=15.7191151115953,-96.400117432636804", "🔗 Ver Mapa")</f>
        <v>🔗 Ver Mapa</v>
      </c>
    </row>
    <row r="5263" spans="1:12" ht="43.5" x14ac:dyDescent="0.35">
      <c r="A5263" s="5" t="s">
        <v>98</v>
      </c>
      <c r="B5263" s="5" t="s">
        <v>99</v>
      </c>
      <c r="C5263" s="5" t="s">
        <v>1063</v>
      </c>
      <c r="D5263" s="5" t="s">
        <v>14</v>
      </c>
      <c r="E5263" s="5" t="s">
        <v>17</v>
      </c>
      <c r="F5263" s="5" t="s">
        <v>20</v>
      </c>
      <c r="G5263" s="5" t="s">
        <v>24</v>
      </c>
      <c r="H5263" s="5" t="s">
        <v>1064</v>
      </c>
      <c r="I5263" s="5" t="s">
        <v>31</v>
      </c>
      <c r="J5263" s="5">
        <v>15.721002237422001</v>
      </c>
      <c r="K5263" s="5">
        <v>-96.391391219042006</v>
      </c>
      <c r="L5263" s="5" t="str">
        <f>HYPERLINK("https://maps.google.com/?q=15.7210022374225,-96.3913912190424", "🔗 Ver Mapa")</f>
        <v>🔗 Ver Mapa</v>
      </c>
    </row>
    <row r="5264" spans="1:12" ht="43.5" x14ac:dyDescent="0.35">
      <c r="A5264" s="6" t="s">
        <v>98</v>
      </c>
      <c r="B5264" s="6" t="s">
        <v>99</v>
      </c>
      <c r="C5264" s="6" t="s">
        <v>1063</v>
      </c>
      <c r="D5264" s="6" t="s">
        <v>14</v>
      </c>
      <c r="E5264" s="6" t="s">
        <v>17</v>
      </c>
      <c r="F5264" s="6" t="s">
        <v>20</v>
      </c>
      <c r="G5264" s="6" t="s">
        <v>24</v>
      </c>
      <c r="H5264" s="6" t="s">
        <v>1064</v>
      </c>
      <c r="I5264" s="6" t="s">
        <v>31</v>
      </c>
      <c r="J5264" s="6">
        <v>15.721211909354</v>
      </c>
      <c r="K5264" s="6">
        <v>-96.383991754788994</v>
      </c>
      <c r="L5264" s="6" t="str">
        <f>HYPERLINK("https://maps.google.com/?q=15.7212119093544,-96.383991754788894", "🔗 Ver Mapa")</f>
        <v>🔗 Ver Mapa</v>
      </c>
    </row>
    <row r="5265" spans="1:12" ht="43.5" x14ac:dyDescent="0.35">
      <c r="A5265" s="5" t="s">
        <v>98</v>
      </c>
      <c r="B5265" s="5" t="s">
        <v>99</v>
      </c>
      <c r="C5265" s="5" t="s">
        <v>1063</v>
      </c>
      <c r="D5265" s="5" t="s">
        <v>14</v>
      </c>
      <c r="E5265" s="5" t="s">
        <v>17</v>
      </c>
      <c r="F5265" s="5" t="s">
        <v>20</v>
      </c>
      <c r="G5265" s="5" t="s">
        <v>24</v>
      </c>
      <c r="H5265" s="5" t="s">
        <v>1064</v>
      </c>
      <c r="I5265" s="5" t="s">
        <v>31</v>
      </c>
      <c r="J5265" s="5">
        <v>15.721436668916001</v>
      </c>
      <c r="K5265" s="5">
        <v>-96.395654212099004</v>
      </c>
      <c r="L5265" s="5" t="str">
        <f>HYPERLINK("https://maps.google.com/?q=15.7214366689163,-96.395654212099004", "🔗 Ver Mapa")</f>
        <v>🔗 Ver Mapa</v>
      </c>
    </row>
    <row r="5266" spans="1:12" ht="43.5" x14ac:dyDescent="0.35">
      <c r="A5266" s="6" t="s">
        <v>98</v>
      </c>
      <c r="B5266" s="6" t="s">
        <v>99</v>
      </c>
      <c r="C5266" s="6" t="s">
        <v>1063</v>
      </c>
      <c r="D5266" s="6" t="s">
        <v>14</v>
      </c>
      <c r="E5266" s="6" t="s">
        <v>17</v>
      </c>
      <c r="F5266" s="6" t="s">
        <v>20</v>
      </c>
      <c r="G5266" s="6" t="s">
        <v>24</v>
      </c>
      <c r="H5266" s="6" t="s">
        <v>1064</v>
      </c>
      <c r="I5266" s="6" t="s">
        <v>31</v>
      </c>
      <c r="J5266" s="6">
        <v>15.721507091544</v>
      </c>
      <c r="K5266" s="6">
        <v>-96.394889992304996</v>
      </c>
      <c r="L5266" s="6" t="str">
        <f>HYPERLINK("https://maps.google.com/?q=15.7215070915438,-96.394889992304698", "🔗 Ver Mapa")</f>
        <v>🔗 Ver Mapa</v>
      </c>
    </row>
    <row r="5267" spans="1:12" ht="43.5" x14ac:dyDescent="0.35">
      <c r="A5267" s="5" t="s">
        <v>98</v>
      </c>
      <c r="B5267" s="5" t="s">
        <v>99</v>
      </c>
      <c r="C5267" s="5" t="s">
        <v>1063</v>
      </c>
      <c r="D5267" s="5" t="s">
        <v>14</v>
      </c>
      <c r="E5267" s="5" t="s">
        <v>17</v>
      </c>
      <c r="F5267" s="5" t="s">
        <v>20</v>
      </c>
      <c r="G5267" s="5" t="s">
        <v>24</v>
      </c>
      <c r="H5267" s="5" t="s">
        <v>1064</v>
      </c>
      <c r="I5267" s="5" t="s">
        <v>31</v>
      </c>
      <c r="J5267" s="5">
        <v>15.721539167546</v>
      </c>
      <c r="K5267" s="5">
        <v>-96.394579826824994</v>
      </c>
      <c r="L5267" s="5" t="str">
        <f>HYPERLINK("https://maps.google.com/?q=15.7215391675459,-96.394579826824696", "🔗 Ver Mapa")</f>
        <v>🔗 Ver Mapa</v>
      </c>
    </row>
    <row r="5268" spans="1:12" ht="43.5" x14ac:dyDescent="0.35">
      <c r="A5268" s="6" t="s">
        <v>98</v>
      </c>
      <c r="B5268" s="6" t="s">
        <v>99</v>
      </c>
      <c r="C5268" s="6" t="s">
        <v>1063</v>
      </c>
      <c r="D5268" s="6" t="s">
        <v>14</v>
      </c>
      <c r="E5268" s="6" t="s">
        <v>17</v>
      </c>
      <c r="F5268" s="6" t="s">
        <v>20</v>
      </c>
      <c r="G5268" s="6" t="s">
        <v>24</v>
      </c>
      <c r="H5268" s="6" t="s">
        <v>1064</v>
      </c>
      <c r="I5268" s="6" t="s">
        <v>31</v>
      </c>
      <c r="J5268" s="6">
        <v>15.721966036138999</v>
      </c>
      <c r="K5268" s="6">
        <v>-96.392287755595007</v>
      </c>
      <c r="L5268" s="6" t="str">
        <f>HYPERLINK("https://maps.google.com/?q=15.7219660361391,-96.392287755594595", "🔗 Ver Mapa")</f>
        <v>🔗 Ver Mapa</v>
      </c>
    </row>
    <row r="5269" spans="1:12" ht="43.5" x14ac:dyDescent="0.35">
      <c r="A5269" s="5" t="s">
        <v>98</v>
      </c>
      <c r="B5269" s="5" t="s">
        <v>99</v>
      </c>
      <c r="C5269" s="5" t="s">
        <v>1063</v>
      </c>
      <c r="D5269" s="5" t="s">
        <v>14</v>
      </c>
      <c r="E5269" s="5" t="s">
        <v>17</v>
      </c>
      <c r="F5269" s="5" t="s">
        <v>20</v>
      </c>
      <c r="G5269" s="5" t="s">
        <v>24</v>
      </c>
      <c r="H5269" s="5" t="s">
        <v>1064</v>
      </c>
      <c r="I5269" s="5" t="s">
        <v>31</v>
      </c>
      <c r="J5269" s="5">
        <v>15.722168810169</v>
      </c>
      <c r="K5269" s="5">
        <v>-96.386913482449003</v>
      </c>
      <c r="L5269" s="5" t="str">
        <f>HYPERLINK("https://maps.google.com/?q=15.722168810169,-96.386913482449401", "🔗 Ver Mapa")</f>
        <v>🔗 Ver Mapa</v>
      </c>
    </row>
    <row r="5270" spans="1:12" ht="43.5" x14ac:dyDescent="0.35">
      <c r="A5270" s="6" t="s">
        <v>98</v>
      </c>
      <c r="B5270" s="6" t="s">
        <v>99</v>
      </c>
      <c r="C5270" s="6" t="s">
        <v>1063</v>
      </c>
      <c r="D5270" s="6" t="s">
        <v>14</v>
      </c>
      <c r="E5270" s="6" t="s">
        <v>17</v>
      </c>
      <c r="F5270" s="6" t="s">
        <v>20</v>
      </c>
      <c r="G5270" s="6" t="s">
        <v>24</v>
      </c>
      <c r="H5270" s="6" t="s">
        <v>1064</v>
      </c>
      <c r="I5270" s="6" t="s">
        <v>31</v>
      </c>
      <c r="J5270" s="6">
        <v>15.722334477722001</v>
      </c>
      <c r="K5270" s="6">
        <v>-96.399762393374999</v>
      </c>
      <c r="L5270" s="6" t="str">
        <f>HYPERLINK("https://maps.google.com/?q=15.7223344777221,-96.399762393375298", "🔗 Ver Mapa")</f>
        <v>🔗 Ver Mapa</v>
      </c>
    </row>
    <row r="5271" spans="1:12" ht="43.5" x14ac:dyDescent="0.35">
      <c r="A5271" s="5" t="s">
        <v>98</v>
      </c>
      <c r="B5271" s="5" t="s">
        <v>99</v>
      </c>
      <c r="C5271" s="5" t="s">
        <v>1063</v>
      </c>
      <c r="D5271" s="5" t="s">
        <v>14</v>
      </c>
      <c r="E5271" s="5" t="s">
        <v>17</v>
      </c>
      <c r="F5271" s="5" t="s">
        <v>20</v>
      </c>
      <c r="G5271" s="5" t="s">
        <v>24</v>
      </c>
      <c r="H5271" s="5" t="s">
        <v>1064</v>
      </c>
      <c r="I5271" s="5" t="s">
        <v>31</v>
      </c>
      <c r="J5271" s="5">
        <v>15.72239642706</v>
      </c>
      <c r="K5271" s="5">
        <v>-96.399474545667005</v>
      </c>
      <c r="L5271" s="5" t="str">
        <f>HYPERLINK("https://maps.google.com/?q=15.7223964270604,-96.399474545667104", "🔗 Ver Mapa")</f>
        <v>🔗 Ver Mapa</v>
      </c>
    </row>
    <row r="5272" spans="1:12" ht="43.5" x14ac:dyDescent="0.35">
      <c r="A5272" s="6" t="s">
        <v>98</v>
      </c>
      <c r="B5272" s="6" t="s">
        <v>99</v>
      </c>
      <c r="C5272" s="6" t="s">
        <v>1063</v>
      </c>
      <c r="D5272" s="6" t="s">
        <v>14</v>
      </c>
      <c r="E5272" s="6" t="s">
        <v>17</v>
      </c>
      <c r="F5272" s="6" t="s">
        <v>20</v>
      </c>
      <c r="G5272" s="6" t="s">
        <v>24</v>
      </c>
      <c r="H5272" s="6" t="s">
        <v>1064</v>
      </c>
      <c r="I5272" s="6" t="s">
        <v>31</v>
      </c>
      <c r="J5272" s="6">
        <v>15.722885645331001</v>
      </c>
      <c r="K5272" s="6">
        <v>-96.391786644833005</v>
      </c>
      <c r="L5272" s="6" t="str">
        <f>HYPERLINK("https://maps.google.com/?q=15.7228856453306,-96.391786644833303", "🔗 Ver Mapa")</f>
        <v>🔗 Ver Mapa</v>
      </c>
    </row>
    <row r="5273" spans="1:12" ht="43.5" x14ac:dyDescent="0.35">
      <c r="A5273" s="5" t="s">
        <v>98</v>
      </c>
      <c r="B5273" s="5" t="s">
        <v>99</v>
      </c>
      <c r="C5273" s="5" t="s">
        <v>1063</v>
      </c>
      <c r="D5273" s="5" t="s">
        <v>14</v>
      </c>
      <c r="E5273" s="5" t="s">
        <v>17</v>
      </c>
      <c r="F5273" s="5" t="s">
        <v>20</v>
      </c>
      <c r="G5273" s="5" t="s">
        <v>24</v>
      </c>
      <c r="H5273" s="5" t="s">
        <v>1064</v>
      </c>
      <c r="I5273" s="5" t="s">
        <v>31</v>
      </c>
      <c r="J5273" s="5">
        <v>15.723680166091</v>
      </c>
      <c r="K5273" s="5">
        <v>-96.389112091797003</v>
      </c>
      <c r="L5273" s="5" t="str">
        <f>HYPERLINK("https://maps.google.com/?q=15.723680166091,-96.389112091797401", "🔗 Ver Mapa")</f>
        <v>🔗 Ver Mapa</v>
      </c>
    </row>
    <row r="5274" spans="1:12" ht="43.5" x14ac:dyDescent="0.35">
      <c r="A5274" s="6" t="s">
        <v>98</v>
      </c>
      <c r="B5274" s="6" t="s">
        <v>99</v>
      </c>
      <c r="C5274" s="6" t="s">
        <v>1063</v>
      </c>
      <c r="D5274" s="6" t="s">
        <v>14</v>
      </c>
      <c r="E5274" s="6" t="s">
        <v>17</v>
      </c>
      <c r="F5274" s="6" t="s">
        <v>20</v>
      </c>
      <c r="G5274" s="6" t="s">
        <v>24</v>
      </c>
      <c r="H5274" s="6" t="s">
        <v>1064</v>
      </c>
      <c r="I5274" s="6" t="s">
        <v>31</v>
      </c>
      <c r="J5274" s="6">
        <v>15.724278982737999</v>
      </c>
      <c r="K5274" s="6" t="s">
        <v>1065</v>
      </c>
      <c r="L5274" s="6" t="str">
        <f>HYPERLINK("https://maps.google.com/?q=15.7242789827382, -96.38900994848085", "🔗 Ver Mapa")</f>
        <v>🔗 Ver Mapa</v>
      </c>
    </row>
    <row r="5275" spans="1:12" ht="43.5" x14ac:dyDescent="0.35">
      <c r="A5275" s="5" t="s">
        <v>98</v>
      </c>
      <c r="B5275" s="5" t="s">
        <v>99</v>
      </c>
      <c r="C5275" s="5" t="s">
        <v>1063</v>
      </c>
      <c r="D5275" s="5" t="s">
        <v>14</v>
      </c>
      <c r="E5275" s="5" t="s">
        <v>17</v>
      </c>
      <c r="F5275" s="5" t="s">
        <v>20</v>
      </c>
      <c r="G5275" s="5" t="s">
        <v>24</v>
      </c>
      <c r="H5275" s="5" t="s">
        <v>1064</v>
      </c>
      <c r="I5275" s="5" t="s">
        <v>31</v>
      </c>
      <c r="J5275" s="5">
        <v>15.726406131611</v>
      </c>
      <c r="K5275" s="5">
        <v>-96.382784797035995</v>
      </c>
      <c r="L5275" s="5" t="str">
        <f>HYPERLINK("https://maps.google.com/?q=15.7264061316108,-96.382784797036393", "🔗 Ver Mapa")</f>
        <v>🔗 Ver Mapa</v>
      </c>
    </row>
    <row r="5276" spans="1:12" ht="43.5" x14ac:dyDescent="0.35">
      <c r="A5276" s="6" t="s">
        <v>98</v>
      </c>
      <c r="B5276" s="6" t="s">
        <v>99</v>
      </c>
      <c r="C5276" s="6" t="s">
        <v>1063</v>
      </c>
      <c r="D5276" s="6" t="s">
        <v>14</v>
      </c>
      <c r="E5276" s="6" t="s">
        <v>17</v>
      </c>
      <c r="F5276" s="6" t="s">
        <v>20</v>
      </c>
      <c r="G5276" s="6" t="s">
        <v>24</v>
      </c>
      <c r="H5276" s="6" t="s">
        <v>1064</v>
      </c>
      <c r="I5276" s="6" t="s">
        <v>31</v>
      </c>
      <c r="J5276" s="6">
        <v>15.726896848729</v>
      </c>
      <c r="K5276" s="6">
        <v>-96.382862208204003</v>
      </c>
      <c r="L5276" s="6" t="str">
        <f>HYPERLINK("https://maps.google.com/?q=15.726896848729,-96.382862208203605", "🔗 Ver Mapa")</f>
        <v>🔗 Ver Mapa</v>
      </c>
    </row>
    <row r="5277" spans="1:12" ht="43.5" x14ac:dyDescent="0.35">
      <c r="A5277" s="5" t="s">
        <v>98</v>
      </c>
      <c r="B5277" s="5" t="s">
        <v>99</v>
      </c>
      <c r="C5277" s="5" t="s">
        <v>1066</v>
      </c>
      <c r="D5277" s="5" t="s">
        <v>14</v>
      </c>
      <c r="E5277" s="5" t="s">
        <v>17</v>
      </c>
      <c r="F5277" s="5" t="s">
        <v>20</v>
      </c>
      <c r="G5277" s="5" t="s">
        <v>24</v>
      </c>
      <c r="H5277" s="5" t="s">
        <v>1067</v>
      </c>
      <c r="I5277" s="5" t="s">
        <v>31</v>
      </c>
      <c r="J5277" s="5">
        <v>15.824174333856</v>
      </c>
      <c r="K5277" s="5">
        <v>-96.463797251068996</v>
      </c>
      <c r="L5277" s="5" t="str">
        <f>HYPERLINK("https://maps.google.com/?q=15.8241743338564,-96.463797251069195", "🔗 Ver Mapa")</f>
        <v>🔗 Ver Mapa</v>
      </c>
    </row>
    <row r="5278" spans="1:12" ht="43.5" x14ac:dyDescent="0.35">
      <c r="A5278" s="6" t="s">
        <v>98</v>
      </c>
      <c r="B5278" s="6" t="s">
        <v>99</v>
      </c>
      <c r="C5278" s="6" t="s">
        <v>1066</v>
      </c>
      <c r="D5278" s="6" t="s">
        <v>14</v>
      </c>
      <c r="E5278" s="6" t="s">
        <v>17</v>
      </c>
      <c r="F5278" s="6" t="s">
        <v>20</v>
      </c>
      <c r="G5278" s="6" t="s">
        <v>24</v>
      </c>
      <c r="H5278" s="6" t="s">
        <v>1067</v>
      </c>
      <c r="I5278" s="6" t="s">
        <v>31</v>
      </c>
      <c r="J5278" s="6">
        <v>15.824258020554</v>
      </c>
      <c r="K5278" s="6">
        <v>-96.465496237088999</v>
      </c>
      <c r="L5278" s="6" t="str">
        <f>HYPERLINK("https://maps.google.com/?q=15.824258020554,-96.465496237088701", "🔗 Ver Mapa")</f>
        <v>🔗 Ver Mapa</v>
      </c>
    </row>
    <row r="5279" spans="1:12" ht="43.5" x14ac:dyDescent="0.35">
      <c r="A5279" s="5" t="s">
        <v>98</v>
      </c>
      <c r="B5279" s="5" t="s">
        <v>99</v>
      </c>
      <c r="C5279" s="5" t="s">
        <v>1066</v>
      </c>
      <c r="D5279" s="5" t="s">
        <v>14</v>
      </c>
      <c r="E5279" s="5" t="s">
        <v>17</v>
      </c>
      <c r="F5279" s="5" t="s">
        <v>20</v>
      </c>
      <c r="G5279" s="5" t="s">
        <v>24</v>
      </c>
      <c r="H5279" s="5" t="s">
        <v>1067</v>
      </c>
      <c r="I5279" s="5" t="s">
        <v>31</v>
      </c>
      <c r="J5279" s="5">
        <v>15.825092764748</v>
      </c>
      <c r="K5279" s="5">
        <v>-96.465998621368001</v>
      </c>
      <c r="L5279" s="5" t="str">
        <f>HYPERLINK("https://maps.google.com/?q=15.8250927647479,-96.465998621367902", "🔗 Ver Mapa")</f>
        <v>🔗 Ver Mapa</v>
      </c>
    </row>
    <row r="5280" spans="1:12" ht="43.5" x14ac:dyDescent="0.35">
      <c r="A5280" s="6" t="s">
        <v>98</v>
      </c>
      <c r="B5280" s="6" t="s">
        <v>99</v>
      </c>
      <c r="C5280" s="6" t="s">
        <v>1066</v>
      </c>
      <c r="D5280" s="6" t="s">
        <v>14</v>
      </c>
      <c r="E5280" s="6" t="s">
        <v>17</v>
      </c>
      <c r="F5280" s="6" t="s">
        <v>20</v>
      </c>
      <c r="G5280" s="6" t="s">
        <v>24</v>
      </c>
      <c r="H5280" s="6" t="s">
        <v>1067</v>
      </c>
      <c r="I5280" s="6" t="s">
        <v>31</v>
      </c>
      <c r="J5280" s="6">
        <v>15.825463371570001</v>
      </c>
      <c r="K5280" s="6">
        <v>-96.466025947898004</v>
      </c>
      <c r="L5280" s="6" t="str">
        <f>HYPERLINK("https://maps.google.com/?q=15.8254633715703,-96.466025947898203", "🔗 Ver Mapa")</f>
        <v>🔗 Ver Mapa</v>
      </c>
    </row>
    <row r="5281" spans="1:12" ht="43.5" x14ac:dyDescent="0.35">
      <c r="A5281" s="5" t="s">
        <v>98</v>
      </c>
      <c r="B5281" s="5" t="s">
        <v>99</v>
      </c>
      <c r="C5281" s="5" t="s">
        <v>1066</v>
      </c>
      <c r="D5281" s="5" t="s">
        <v>14</v>
      </c>
      <c r="E5281" s="5" t="s">
        <v>17</v>
      </c>
      <c r="F5281" s="5" t="s">
        <v>20</v>
      </c>
      <c r="G5281" s="5" t="s">
        <v>24</v>
      </c>
      <c r="H5281" s="5" t="s">
        <v>1067</v>
      </c>
      <c r="I5281" s="5" t="s">
        <v>31</v>
      </c>
      <c r="J5281" s="5">
        <v>15.828564381041</v>
      </c>
      <c r="K5281" s="5">
        <v>-96.471234922560996</v>
      </c>
      <c r="L5281" s="5" t="str">
        <f>HYPERLINK("https://maps.google.com/?q=15.828564381041,-96.471234922560797", "🔗 Ver Mapa")</f>
        <v>🔗 Ver Mapa</v>
      </c>
    </row>
    <row r="5282" spans="1:12" ht="43.5" x14ac:dyDescent="0.35">
      <c r="A5282" s="6" t="s">
        <v>98</v>
      </c>
      <c r="B5282" s="6" t="s">
        <v>99</v>
      </c>
      <c r="C5282" s="6" t="s">
        <v>1066</v>
      </c>
      <c r="D5282" s="6" t="s">
        <v>14</v>
      </c>
      <c r="E5282" s="6" t="s">
        <v>17</v>
      </c>
      <c r="F5282" s="6" t="s">
        <v>20</v>
      </c>
      <c r="G5282" s="6" t="s">
        <v>24</v>
      </c>
      <c r="H5282" s="6" t="s">
        <v>1067</v>
      </c>
      <c r="I5282" s="6" t="s">
        <v>31</v>
      </c>
      <c r="J5282" s="6">
        <v>15.828677923244999</v>
      </c>
      <c r="K5282" s="6">
        <v>-96.471448158176997</v>
      </c>
      <c r="L5282" s="6" t="str">
        <f>HYPERLINK("https://maps.google.com/?q=15.828677923245,-96.471448158177395", "🔗 Ver Mapa")</f>
        <v>🔗 Ver Mapa</v>
      </c>
    </row>
    <row r="5283" spans="1:12" ht="43.5" x14ac:dyDescent="0.35">
      <c r="A5283" s="5" t="s">
        <v>98</v>
      </c>
      <c r="B5283" s="5" t="s">
        <v>99</v>
      </c>
      <c r="C5283" s="5" t="s">
        <v>1066</v>
      </c>
      <c r="D5283" s="5" t="s">
        <v>14</v>
      </c>
      <c r="E5283" s="5" t="s">
        <v>17</v>
      </c>
      <c r="F5283" s="5" t="s">
        <v>20</v>
      </c>
      <c r="G5283" s="5" t="s">
        <v>24</v>
      </c>
      <c r="H5283" s="5" t="s">
        <v>1067</v>
      </c>
      <c r="I5283" s="5" t="s">
        <v>31</v>
      </c>
      <c r="J5283" s="5">
        <v>15.828857193397999</v>
      </c>
      <c r="K5283" s="5">
        <v>-96.471818322049998</v>
      </c>
      <c r="L5283" s="5" t="str">
        <f>HYPERLINK("https://maps.google.com/?q=15.8288571933981,-96.471818322049899", "🔗 Ver Mapa")</f>
        <v>🔗 Ver Mapa</v>
      </c>
    </row>
    <row r="5284" spans="1:12" ht="43.5" x14ac:dyDescent="0.35">
      <c r="A5284" s="6" t="s">
        <v>98</v>
      </c>
      <c r="B5284" s="6" t="s">
        <v>99</v>
      </c>
      <c r="C5284" s="6" t="s">
        <v>1066</v>
      </c>
      <c r="D5284" s="6" t="s">
        <v>14</v>
      </c>
      <c r="E5284" s="6" t="s">
        <v>17</v>
      </c>
      <c r="F5284" s="6" t="s">
        <v>20</v>
      </c>
      <c r="G5284" s="6" t="s">
        <v>24</v>
      </c>
      <c r="H5284" s="6" t="s">
        <v>1067</v>
      </c>
      <c r="I5284" s="6" t="s">
        <v>31</v>
      </c>
      <c r="J5284" s="6">
        <v>15.828947562522</v>
      </c>
      <c r="K5284" s="6">
        <v>-96.471735319315002</v>
      </c>
      <c r="L5284" s="6" t="str">
        <f>HYPERLINK("https://maps.google.com/?q=15.8289475625223,-96.471735319314803", "🔗 Ver Mapa")</f>
        <v>🔗 Ver Mapa</v>
      </c>
    </row>
    <row r="5285" spans="1:12" ht="43.5" x14ac:dyDescent="0.35">
      <c r="A5285" s="5" t="s">
        <v>98</v>
      </c>
      <c r="B5285" s="5" t="s">
        <v>99</v>
      </c>
      <c r="C5285" s="5" t="s">
        <v>1066</v>
      </c>
      <c r="D5285" s="5" t="s">
        <v>14</v>
      </c>
      <c r="E5285" s="5" t="s">
        <v>17</v>
      </c>
      <c r="F5285" s="5" t="s">
        <v>20</v>
      </c>
      <c r="G5285" s="5" t="s">
        <v>24</v>
      </c>
      <c r="H5285" s="5" t="s">
        <v>1067</v>
      </c>
      <c r="I5285" s="5" t="s">
        <v>31</v>
      </c>
      <c r="J5285" s="5">
        <v>15.829135164699</v>
      </c>
      <c r="K5285" s="5">
        <v>-96.471405316705003</v>
      </c>
      <c r="L5285" s="5" t="str">
        <f>HYPERLINK("https://maps.google.com/?q=15.8291351646986,-96.471405316705201", "🔗 Ver Mapa")</f>
        <v>🔗 Ver Mapa</v>
      </c>
    </row>
    <row r="5286" spans="1:12" ht="43.5" x14ac:dyDescent="0.35">
      <c r="A5286" s="6" t="s">
        <v>98</v>
      </c>
      <c r="B5286" s="6" t="s">
        <v>99</v>
      </c>
      <c r="C5286" s="6" t="s">
        <v>1066</v>
      </c>
      <c r="D5286" s="6" t="s">
        <v>14</v>
      </c>
      <c r="E5286" s="6" t="s">
        <v>17</v>
      </c>
      <c r="F5286" s="6" t="s">
        <v>20</v>
      </c>
      <c r="G5286" s="6" t="s">
        <v>24</v>
      </c>
      <c r="H5286" s="6" t="s">
        <v>1067</v>
      </c>
      <c r="I5286" s="6" t="s">
        <v>31</v>
      </c>
      <c r="J5286" s="6">
        <v>15.830436358624</v>
      </c>
      <c r="K5286" s="6">
        <v>-96.464573014715995</v>
      </c>
      <c r="L5286" s="6" t="str">
        <f>HYPERLINK("https://maps.google.com/?q=15.8304363586237,-96.464573014715995", "🔗 Ver Mapa")</f>
        <v>🔗 Ver Mapa</v>
      </c>
    </row>
    <row r="5287" spans="1:12" ht="43.5" x14ac:dyDescent="0.35">
      <c r="A5287" s="5" t="s">
        <v>98</v>
      </c>
      <c r="B5287" s="5" t="s">
        <v>99</v>
      </c>
      <c r="C5287" s="5" t="s">
        <v>1066</v>
      </c>
      <c r="D5287" s="5" t="s">
        <v>14</v>
      </c>
      <c r="E5287" s="5" t="s">
        <v>17</v>
      </c>
      <c r="F5287" s="5" t="s">
        <v>20</v>
      </c>
      <c r="G5287" s="5" t="s">
        <v>24</v>
      </c>
      <c r="H5287" s="5" t="s">
        <v>1067</v>
      </c>
      <c r="I5287" s="5" t="s">
        <v>31</v>
      </c>
      <c r="J5287" s="5">
        <v>15.830452451018999</v>
      </c>
      <c r="K5287" s="5">
        <v>-96.470798310231004</v>
      </c>
      <c r="L5287" s="5" t="str">
        <f>HYPERLINK("https://maps.google.com/?q=15.8304524510186,-96.470798310231302", "🔗 Ver Mapa")</f>
        <v>🔗 Ver Mapa</v>
      </c>
    </row>
    <row r="5288" spans="1:12" ht="43.5" x14ac:dyDescent="0.35">
      <c r="A5288" s="6" t="s">
        <v>98</v>
      </c>
      <c r="B5288" s="6" t="s">
        <v>99</v>
      </c>
      <c r="C5288" s="6" t="s">
        <v>1066</v>
      </c>
      <c r="D5288" s="6" t="s">
        <v>14</v>
      </c>
      <c r="E5288" s="6" t="s">
        <v>17</v>
      </c>
      <c r="F5288" s="6" t="s">
        <v>20</v>
      </c>
      <c r="G5288" s="6" t="s">
        <v>24</v>
      </c>
      <c r="H5288" s="6" t="s">
        <v>1067</v>
      </c>
      <c r="I5288" s="6" t="s">
        <v>31</v>
      </c>
      <c r="J5288" s="6">
        <v>15.830476362081001</v>
      </c>
      <c r="K5288" s="6">
        <v>-96.464434429999997</v>
      </c>
      <c r="L5288" s="6" t="str">
        <f>HYPERLINK("https://maps.google.com/?q=15.8304763620814,-96.464434429999997", "🔗 Ver Mapa")</f>
        <v>🔗 Ver Mapa</v>
      </c>
    </row>
    <row r="5289" spans="1:12" ht="43.5" x14ac:dyDescent="0.35">
      <c r="A5289" s="5" t="s">
        <v>98</v>
      </c>
      <c r="B5289" s="5" t="s">
        <v>99</v>
      </c>
      <c r="C5289" s="5" t="s">
        <v>1066</v>
      </c>
      <c r="D5289" s="5" t="s">
        <v>14</v>
      </c>
      <c r="E5289" s="5" t="s">
        <v>17</v>
      </c>
      <c r="F5289" s="5" t="s">
        <v>20</v>
      </c>
      <c r="G5289" s="5" t="s">
        <v>24</v>
      </c>
      <c r="H5289" s="5" t="s">
        <v>1067</v>
      </c>
      <c r="I5289" s="5" t="s">
        <v>31</v>
      </c>
      <c r="J5289" s="5">
        <v>15.830536836088999</v>
      </c>
      <c r="K5289" s="5">
        <v>-96.456514086284997</v>
      </c>
      <c r="L5289" s="5" t="str">
        <f>HYPERLINK("https://maps.google.com/?q=15.8305368360891,-96.456514086284898", "🔗 Ver Mapa")</f>
        <v>🔗 Ver Mapa</v>
      </c>
    </row>
    <row r="5290" spans="1:12" ht="43.5" x14ac:dyDescent="0.35">
      <c r="A5290" s="6" t="s">
        <v>98</v>
      </c>
      <c r="B5290" s="6" t="s">
        <v>99</v>
      </c>
      <c r="C5290" s="6" t="s">
        <v>1066</v>
      </c>
      <c r="D5290" s="6" t="s">
        <v>14</v>
      </c>
      <c r="E5290" s="6" t="s">
        <v>17</v>
      </c>
      <c r="F5290" s="6" t="s">
        <v>20</v>
      </c>
      <c r="G5290" s="6" t="s">
        <v>24</v>
      </c>
      <c r="H5290" s="6" t="s">
        <v>1067</v>
      </c>
      <c r="I5290" s="6" t="s">
        <v>31</v>
      </c>
      <c r="J5290" s="6">
        <v>15.830917595276</v>
      </c>
      <c r="K5290" s="6">
        <v>-96.459857808196006</v>
      </c>
      <c r="L5290" s="6" t="str">
        <f>HYPERLINK("https://maps.google.com/?q=15.8309175952761,-96.459857808196105", "🔗 Ver Mapa")</f>
        <v>🔗 Ver Mapa</v>
      </c>
    </row>
    <row r="5291" spans="1:12" ht="43.5" x14ac:dyDescent="0.35">
      <c r="A5291" s="5" t="s">
        <v>98</v>
      </c>
      <c r="B5291" s="5" t="s">
        <v>99</v>
      </c>
      <c r="C5291" s="5" t="s">
        <v>1066</v>
      </c>
      <c r="D5291" s="5" t="s">
        <v>14</v>
      </c>
      <c r="E5291" s="5" t="s">
        <v>17</v>
      </c>
      <c r="F5291" s="5" t="s">
        <v>20</v>
      </c>
      <c r="G5291" s="5" t="s">
        <v>24</v>
      </c>
      <c r="H5291" s="5" t="s">
        <v>1067</v>
      </c>
      <c r="I5291" s="5" t="s">
        <v>31</v>
      </c>
      <c r="J5291" s="5">
        <v>15.830918914079</v>
      </c>
      <c r="K5291" s="5">
        <v>-96.471748818305997</v>
      </c>
      <c r="L5291" s="5" t="str">
        <f>HYPERLINK("https://maps.google.com/?q=15.8309189140794,-96.471748818306494", "🔗 Ver Mapa")</f>
        <v>🔗 Ver Mapa</v>
      </c>
    </row>
    <row r="5292" spans="1:12" ht="43.5" x14ac:dyDescent="0.35">
      <c r="A5292" s="6" t="s">
        <v>98</v>
      </c>
      <c r="B5292" s="6" t="s">
        <v>99</v>
      </c>
      <c r="C5292" s="6" t="s">
        <v>1066</v>
      </c>
      <c r="D5292" s="6" t="s">
        <v>14</v>
      </c>
      <c r="E5292" s="6" t="s">
        <v>17</v>
      </c>
      <c r="F5292" s="6" t="s">
        <v>20</v>
      </c>
      <c r="G5292" s="6" t="s">
        <v>24</v>
      </c>
      <c r="H5292" s="6" t="s">
        <v>1067</v>
      </c>
      <c r="I5292" s="6" t="s">
        <v>31</v>
      </c>
      <c r="J5292" s="6">
        <v>15.833637615791</v>
      </c>
      <c r="K5292" s="6">
        <v>-96.46296350982</v>
      </c>
      <c r="L5292" s="6" t="str">
        <f>HYPERLINK("https://maps.google.com/?q=15.8336376157908,-96.462963509819502", "🔗 Ver Mapa")</f>
        <v>🔗 Ver Mapa</v>
      </c>
    </row>
    <row r="5293" spans="1:12" ht="43.5" x14ac:dyDescent="0.35">
      <c r="A5293" s="5" t="s">
        <v>98</v>
      </c>
      <c r="B5293" s="5" t="s">
        <v>99</v>
      </c>
      <c r="C5293" s="5" t="s">
        <v>1068</v>
      </c>
      <c r="D5293" s="5" t="s">
        <v>14</v>
      </c>
      <c r="E5293" s="5" t="s">
        <v>17</v>
      </c>
      <c r="F5293" s="5" t="s">
        <v>20</v>
      </c>
      <c r="G5293" s="5" t="s">
        <v>24</v>
      </c>
      <c r="H5293" s="5" t="s">
        <v>1069</v>
      </c>
      <c r="I5293" s="5" t="s">
        <v>31</v>
      </c>
      <c r="J5293" s="5">
        <v>15.714937947096001</v>
      </c>
      <c r="K5293" s="5">
        <v>-96.470075149631995</v>
      </c>
      <c r="L5293" s="5" t="str">
        <f>HYPERLINK("https://maps.google.com/?q=15.7149379470959,-96.470075149631896", "🔗 Ver Mapa")</f>
        <v>🔗 Ver Mapa</v>
      </c>
    </row>
    <row r="5294" spans="1:12" ht="43.5" x14ac:dyDescent="0.35">
      <c r="A5294" s="6" t="s">
        <v>98</v>
      </c>
      <c r="B5294" s="6" t="s">
        <v>99</v>
      </c>
      <c r="C5294" s="6" t="s">
        <v>1068</v>
      </c>
      <c r="D5294" s="6" t="s">
        <v>14</v>
      </c>
      <c r="E5294" s="6" t="s">
        <v>17</v>
      </c>
      <c r="F5294" s="6" t="s">
        <v>20</v>
      </c>
      <c r="G5294" s="6" t="s">
        <v>24</v>
      </c>
      <c r="H5294" s="6" t="s">
        <v>1069</v>
      </c>
      <c r="I5294" s="6" t="s">
        <v>31</v>
      </c>
      <c r="J5294" s="6">
        <v>15.715080507268</v>
      </c>
      <c r="K5294" s="6">
        <v>-96.470151187783998</v>
      </c>
      <c r="L5294" s="6" t="str">
        <f>HYPERLINK("https://maps.google.com/?q=15.7150805072678,-96.470151187784296", "🔗 Ver Mapa")</f>
        <v>🔗 Ver Mapa</v>
      </c>
    </row>
    <row r="5295" spans="1:12" ht="43.5" x14ac:dyDescent="0.35">
      <c r="A5295" s="5" t="s">
        <v>98</v>
      </c>
      <c r="B5295" s="5" t="s">
        <v>99</v>
      </c>
      <c r="C5295" s="5" t="s">
        <v>1068</v>
      </c>
      <c r="D5295" s="5" t="s">
        <v>14</v>
      </c>
      <c r="E5295" s="5" t="s">
        <v>17</v>
      </c>
      <c r="F5295" s="5" t="s">
        <v>20</v>
      </c>
      <c r="G5295" s="5" t="s">
        <v>24</v>
      </c>
      <c r="H5295" s="5" t="s">
        <v>1069</v>
      </c>
      <c r="I5295" s="5" t="s">
        <v>31</v>
      </c>
      <c r="J5295" s="5">
        <v>15.715269399553</v>
      </c>
      <c r="K5295" s="5">
        <v>-96.471372165231003</v>
      </c>
      <c r="L5295" s="5" t="str">
        <f>HYPERLINK("https://maps.google.com/?q=15.715269399553,-96.4713721652305", "🔗 Ver Mapa")</f>
        <v>🔗 Ver Mapa</v>
      </c>
    </row>
    <row r="5296" spans="1:12" ht="43.5" x14ac:dyDescent="0.35">
      <c r="A5296" s="6" t="s">
        <v>98</v>
      </c>
      <c r="B5296" s="6" t="s">
        <v>99</v>
      </c>
      <c r="C5296" s="6" t="s">
        <v>1068</v>
      </c>
      <c r="D5296" s="6" t="s">
        <v>14</v>
      </c>
      <c r="E5296" s="6" t="s">
        <v>17</v>
      </c>
      <c r="F5296" s="6" t="s">
        <v>20</v>
      </c>
      <c r="G5296" s="6" t="s">
        <v>24</v>
      </c>
      <c r="H5296" s="6" t="s">
        <v>1069</v>
      </c>
      <c r="I5296" s="6" t="s">
        <v>31</v>
      </c>
      <c r="J5296" s="6">
        <v>15.716242658602001</v>
      </c>
      <c r="K5296" s="6">
        <v>-96.471155960274004</v>
      </c>
      <c r="L5296" s="6" t="str">
        <f>HYPERLINK("https://maps.google.com/?q=15.7162426586025,-96.471155960274203", "🔗 Ver Mapa")</f>
        <v>🔗 Ver Mapa</v>
      </c>
    </row>
    <row r="5297" spans="1:12" ht="43.5" x14ac:dyDescent="0.35">
      <c r="A5297" s="5" t="s">
        <v>98</v>
      </c>
      <c r="B5297" s="5" t="s">
        <v>99</v>
      </c>
      <c r="C5297" s="5" t="s">
        <v>1068</v>
      </c>
      <c r="D5297" s="5" t="s">
        <v>14</v>
      </c>
      <c r="E5297" s="5" t="s">
        <v>17</v>
      </c>
      <c r="F5297" s="5" t="s">
        <v>20</v>
      </c>
      <c r="G5297" s="5" t="s">
        <v>24</v>
      </c>
      <c r="H5297" s="5" t="s">
        <v>1069</v>
      </c>
      <c r="I5297" s="5" t="s">
        <v>31</v>
      </c>
      <c r="J5297" s="5">
        <v>15.716767652647</v>
      </c>
      <c r="K5297" s="5">
        <v>-96.471191927304005</v>
      </c>
      <c r="L5297" s="5" t="str">
        <f>HYPERLINK("https://maps.google.com/?q=15.7167676526466,-96.471191927303806", "🔗 Ver Mapa")</f>
        <v>🔗 Ver Mapa</v>
      </c>
    </row>
    <row r="5298" spans="1:12" ht="43.5" x14ac:dyDescent="0.35">
      <c r="A5298" s="6" t="s">
        <v>98</v>
      </c>
      <c r="B5298" s="6" t="s">
        <v>99</v>
      </c>
      <c r="C5298" s="6" t="s">
        <v>1068</v>
      </c>
      <c r="D5298" s="6" t="s">
        <v>14</v>
      </c>
      <c r="E5298" s="6" t="s">
        <v>17</v>
      </c>
      <c r="F5298" s="6" t="s">
        <v>20</v>
      </c>
      <c r="G5298" s="6" t="s">
        <v>24</v>
      </c>
      <c r="H5298" s="6" t="s">
        <v>1069</v>
      </c>
      <c r="I5298" s="6" t="s">
        <v>31</v>
      </c>
      <c r="J5298" s="6">
        <v>15.716936956197999</v>
      </c>
      <c r="K5298" s="6">
        <v>-96.471958367395999</v>
      </c>
      <c r="L5298" s="6" t="str">
        <f>HYPERLINK("https://maps.google.com/?q=15.716936956198,-96.471958367395999", "🔗 Ver Mapa")</f>
        <v>🔗 Ver Mapa</v>
      </c>
    </row>
    <row r="5299" spans="1:12" ht="43.5" x14ac:dyDescent="0.35">
      <c r="A5299" s="5" t="s">
        <v>98</v>
      </c>
      <c r="B5299" s="5" t="s">
        <v>99</v>
      </c>
      <c r="C5299" s="5" t="s">
        <v>1068</v>
      </c>
      <c r="D5299" s="5" t="s">
        <v>14</v>
      </c>
      <c r="E5299" s="5" t="s">
        <v>17</v>
      </c>
      <c r="F5299" s="5" t="s">
        <v>20</v>
      </c>
      <c r="G5299" s="5" t="s">
        <v>24</v>
      </c>
      <c r="H5299" s="5" t="s">
        <v>1069</v>
      </c>
      <c r="I5299" s="5" t="s">
        <v>31</v>
      </c>
      <c r="J5299" s="5">
        <v>15.717227811709</v>
      </c>
      <c r="K5299" s="5">
        <v>-96.470657144590007</v>
      </c>
      <c r="L5299" s="5" t="str">
        <f>HYPERLINK("https://maps.google.com/?q=15.7172278117088,-96.470657144589694", "🔗 Ver Mapa")</f>
        <v>🔗 Ver Mapa</v>
      </c>
    </row>
    <row r="5300" spans="1:12" ht="43.5" x14ac:dyDescent="0.35">
      <c r="A5300" s="6" t="s">
        <v>98</v>
      </c>
      <c r="B5300" s="6" t="s">
        <v>99</v>
      </c>
      <c r="C5300" s="6" t="s">
        <v>1068</v>
      </c>
      <c r="D5300" s="6" t="s">
        <v>14</v>
      </c>
      <c r="E5300" s="6" t="s">
        <v>17</v>
      </c>
      <c r="F5300" s="6" t="s">
        <v>20</v>
      </c>
      <c r="G5300" s="6" t="s">
        <v>24</v>
      </c>
      <c r="H5300" s="6" t="s">
        <v>1069</v>
      </c>
      <c r="I5300" s="6" t="s">
        <v>31</v>
      </c>
      <c r="J5300" s="6">
        <v>15.717243362993999</v>
      </c>
      <c r="K5300" s="6">
        <v>-96.472089392474999</v>
      </c>
      <c r="L5300" s="6" t="str">
        <f>HYPERLINK("https://maps.google.com/?q=15.7172433629937,-96.472089392475496", "🔗 Ver Mapa")</f>
        <v>🔗 Ver Mapa</v>
      </c>
    </row>
    <row r="5301" spans="1:12" ht="43.5" x14ac:dyDescent="0.35">
      <c r="A5301" s="5" t="s">
        <v>98</v>
      </c>
      <c r="B5301" s="5" t="s">
        <v>99</v>
      </c>
      <c r="C5301" s="5" t="s">
        <v>1068</v>
      </c>
      <c r="D5301" s="5" t="s">
        <v>14</v>
      </c>
      <c r="E5301" s="5" t="s">
        <v>17</v>
      </c>
      <c r="F5301" s="5" t="s">
        <v>20</v>
      </c>
      <c r="G5301" s="5" t="s">
        <v>24</v>
      </c>
      <c r="H5301" s="5" t="s">
        <v>1069</v>
      </c>
      <c r="I5301" s="5" t="s">
        <v>31</v>
      </c>
      <c r="J5301" s="5">
        <v>15.717531013788999</v>
      </c>
      <c r="K5301" s="5">
        <v>-96.469974402993003</v>
      </c>
      <c r="L5301" s="5" t="str">
        <f>HYPERLINK("https://maps.google.com/?q=15.7175310137889,-96.469974402993401", "🔗 Ver Mapa")</f>
        <v>🔗 Ver Mapa</v>
      </c>
    </row>
    <row r="5302" spans="1:12" ht="43.5" x14ac:dyDescent="0.35">
      <c r="A5302" s="6" t="s">
        <v>98</v>
      </c>
      <c r="B5302" s="6" t="s">
        <v>99</v>
      </c>
      <c r="C5302" s="6" t="s">
        <v>1068</v>
      </c>
      <c r="D5302" s="6" t="s">
        <v>14</v>
      </c>
      <c r="E5302" s="6" t="s">
        <v>17</v>
      </c>
      <c r="F5302" s="6" t="s">
        <v>20</v>
      </c>
      <c r="G5302" s="6" t="s">
        <v>24</v>
      </c>
      <c r="H5302" s="6" t="s">
        <v>1069</v>
      </c>
      <c r="I5302" s="6" t="s">
        <v>31</v>
      </c>
      <c r="J5302" s="6">
        <v>15.717578647065</v>
      </c>
      <c r="K5302" s="6">
        <v>-96.471220810149006</v>
      </c>
      <c r="L5302" s="6" t="str">
        <f>HYPERLINK("https://maps.google.com/?q=15.7175786470654,-96.471220810148594", "🔗 Ver Mapa")</f>
        <v>🔗 Ver Mapa</v>
      </c>
    </row>
    <row r="5303" spans="1:12" ht="43.5" x14ac:dyDescent="0.35">
      <c r="A5303" s="5" t="s">
        <v>98</v>
      </c>
      <c r="B5303" s="5" t="s">
        <v>99</v>
      </c>
      <c r="C5303" s="5" t="s">
        <v>1068</v>
      </c>
      <c r="D5303" s="5" t="s">
        <v>14</v>
      </c>
      <c r="E5303" s="5" t="s">
        <v>17</v>
      </c>
      <c r="F5303" s="5" t="s">
        <v>20</v>
      </c>
      <c r="G5303" s="5" t="s">
        <v>24</v>
      </c>
      <c r="H5303" s="5" t="s">
        <v>1069</v>
      </c>
      <c r="I5303" s="5" t="s">
        <v>31</v>
      </c>
      <c r="J5303" s="5">
        <v>15.717647013684999</v>
      </c>
      <c r="K5303" s="5">
        <v>-96.470514020482</v>
      </c>
      <c r="L5303" s="5" t="str">
        <f>HYPERLINK("https://maps.google.com/?q=15.7176470136847,-96.470514020482497", "🔗 Ver Mapa")</f>
        <v>🔗 Ver Mapa</v>
      </c>
    </row>
    <row r="5304" spans="1:12" ht="43.5" x14ac:dyDescent="0.35">
      <c r="A5304" s="6" t="s">
        <v>98</v>
      </c>
      <c r="B5304" s="6" t="s">
        <v>99</v>
      </c>
      <c r="C5304" s="6" t="s">
        <v>1068</v>
      </c>
      <c r="D5304" s="6" t="s">
        <v>14</v>
      </c>
      <c r="E5304" s="6" t="s">
        <v>17</v>
      </c>
      <c r="F5304" s="6" t="s">
        <v>20</v>
      </c>
      <c r="G5304" s="6" t="s">
        <v>24</v>
      </c>
      <c r="H5304" s="6" t="s">
        <v>1069</v>
      </c>
      <c r="I5304" s="6" t="s">
        <v>31</v>
      </c>
      <c r="J5304" s="6">
        <v>15.717822446394999</v>
      </c>
      <c r="K5304" s="6">
        <v>-96.471417813393003</v>
      </c>
      <c r="L5304" s="6" t="str">
        <f>HYPERLINK("https://maps.google.com/?q=15.7178224463947,-96.471417813392904", "🔗 Ver Mapa")</f>
        <v>🔗 Ver Mapa</v>
      </c>
    </row>
    <row r="5305" spans="1:12" ht="43.5" x14ac:dyDescent="0.35">
      <c r="A5305" s="5" t="s">
        <v>98</v>
      </c>
      <c r="B5305" s="5" t="s">
        <v>99</v>
      </c>
      <c r="C5305" s="5" t="s">
        <v>1068</v>
      </c>
      <c r="D5305" s="5" t="s">
        <v>14</v>
      </c>
      <c r="E5305" s="5" t="s">
        <v>17</v>
      </c>
      <c r="F5305" s="5" t="s">
        <v>20</v>
      </c>
      <c r="G5305" s="5" t="s">
        <v>24</v>
      </c>
      <c r="H5305" s="5" t="s">
        <v>1069</v>
      </c>
      <c r="I5305" s="5" t="s">
        <v>31</v>
      </c>
      <c r="J5305" s="5">
        <v>15.717830672372999</v>
      </c>
      <c r="K5305" s="5">
        <v>-96.470902778652999</v>
      </c>
      <c r="L5305" s="5" t="str">
        <f>HYPERLINK("https://maps.google.com/?q=15.717830672373,-96.4709027786527", "🔗 Ver Mapa")</f>
        <v>🔗 Ver Mapa</v>
      </c>
    </row>
    <row r="5306" spans="1:12" ht="43.5" x14ac:dyDescent="0.35">
      <c r="A5306" s="6" t="s">
        <v>98</v>
      </c>
      <c r="B5306" s="6" t="s">
        <v>99</v>
      </c>
      <c r="C5306" s="6" t="s">
        <v>1068</v>
      </c>
      <c r="D5306" s="6" t="s">
        <v>14</v>
      </c>
      <c r="E5306" s="6" t="s">
        <v>17</v>
      </c>
      <c r="F5306" s="6" t="s">
        <v>20</v>
      </c>
      <c r="G5306" s="6" t="s">
        <v>24</v>
      </c>
      <c r="H5306" s="6" t="s">
        <v>1069</v>
      </c>
      <c r="I5306" s="6" t="s">
        <v>31</v>
      </c>
      <c r="J5306" s="6">
        <v>15.718893661643</v>
      </c>
      <c r="K5306" s="6">
        <v>-96.467886119181003</v>
      </c>
      <c r="L5306" s="6" t="str">
        <f>HYPERLINK("https://maps.google.com/?q=15.7188936616428,-96.4678861191814", "🔗 Ver Mapa")</f>
        <v>🔗 Ver Mapa</v>
      </c>
    </row>
    <row r="5307" spans="1:12" ht="43.5" x14ac:dyDescent="0.35">
      <c r="A5307" s="5" t="s">
        <v>98</v>
      </c>
      <c r="B5307" s="5" t="s">
        <v>99</v>
      </c>
      <c r="C5307" s="5" t="s">
        <v>1068</v>
      </c>
      <c r="D5307" s="5" t="s">
        <v>14</v>
      </c>
      <c r="E5307" s="5" t="s">
        <v>17</v>
      </c>
      <c r="F5307" s="5" t="s">
        <v>20</v>
      </c>
      <c r="G5307" s="5" t="s">
        <v>24</v>
      </c>
      <c r="H5307" s="5" t="s">
        <v>1069</v>
      </c>
      <c r="I5307" s="5" t="s">
        <v>31</v>
      </c>
      <c r="J5307" s="5">
        <v>15.719282120881999</v>
      </c>
      <c r="K5307" s="5">
        <v>-96.468775444418995</v>
      </c>
      <c r="L5307" s="5" t="str">
        <f>HYPERLINK("https://maps.google.com/?q=15.719282120882,-96.468775444418796", "🔗 Ver Mapa")</f>
        <v>🔗 Ver Mapa</v>
      </c>
    </row>
    <row r="5308" spans="1:12" ht="43.5" x14ac:dyDescent="0.35">
      <c r="A5308" s="6" t="s">
        <v>98</v>
      </c>
      <c r="B5308" s="6" t="s">
        <v>99</v>
      </c>
      <c r="C5308" s="6" t="s">
        <v>1068</v>
      </c>
      <c r="D5308" s="6" t="s">
        <v>14</v>
      </c>
      <c r="E5308" s="6" t="s">
        <v>17</v>
      </c>
      <c r="F5308" s="6" t="s">
        <v>20</v>
      </c>
      <c r="G5308" s="6" t="s">
        <v>24</v>
      </c>
      <c r="H5308" s="6" t="s">
        <v>1069</v>
      </c>
      <c r="I5308" s="6" t="s">
        <v>31</v>
      </c>
      <c r="J5308" s="6">
        <v>15.721299315345</v>
      </c>
      <c r="K5308" s="6">
        <v>-96.468502560505001</v>
      </c>
      <c r="L5308" s="6" t="str">
        <f>HYPERLINK("https://maps.google.com/?q=15.7212993153452,-96.468502560505399", "🔗 Ver Mapa")</f>
        <v>🔗 Ver Mapa</v>
      </c>
    </row>
    <row r="5309" spans="1:12" ht="43.5" x14ac:dyDescent="0.35">
      <c r="A5309" s="5" t="s">
        <v>98</v>
      </c>
      <c r="B5309" s="5" t="s">
        <v>99</v>
      </c>
      <c r="C5309" s="5" t="s">
        <v>1068</v>
      </c>
      <c r="D5309" s="5" t="s">
        <v>14</v>
      </c>
      <c r="E5309" s="5" t="s">
        <v>17</v>
      </c>
      <c r="F5309" s="5" t="s">
        <v>20</v>
      </c>
      <c r="G5309" s="5" t="s">
        <v>24</v>
      </c>
      <c r="H5309" s="5" t="s">
        <v>1069</v>
      </c>
      <c r="I5309" s="5" t="s">
        <v>31</v>
      </c>
      <c r="J5309" s="5">
        <v>15.72137360244</v>
      </c>
      <c r="K5309" s="5">
        <v>-96.471411371016003</v>
      </c>
      <c r="L5309" s="5" t="str">
        <f>HYPERLINK("https://maps.google.com/?q=15.7213736024403,-96.471411371015606", "🔗 Ver Mapa")</f>
        <v>🔗 Ver Mapa</v>
      </c>
    </row>
    <row r="5310" spans="1:12" ht="43.5" x14ac:dyDescent="0.35">
      <c r="A5310" s="6" t="s">
        <v>98</v>
      </c>
      <c r="B5310" s="6" t="s">
        <v>99</v>
      </c>
      <c r="C5310" s="6" t="s">
        <v>1068</v>
      </c>
      <c r="D5310" s="6" t="s">
        <v>14</v>
      </c>
      <c r="E5310" s="6" t="s">
        <v>17</v>
      </c>
      <c r="F5310" s="6" t="s">
        <v>20</v>
      </c>
      <c r="G5310" s="6" t="s">
        <v>24</v>
      </c>
      <c r="H5310" s="6" t="s">
        <v>1069</v>
      </c>
      <c r="I5310" s="6" t="s">
        <v>31</v>
      </c>
      <c r="J5310" s="6">
        <v>15.721611663366</v>
      </c>
      <c r="K5310" s="6">
        <v>-96.471533840166998</v>
      </c>
      <c r="L5310" s="6" t="str">
        <f>HYPERLINK("https://maps.google.com/?q=15.7216116633659,-96.4715338401666", "🔗 Ver Mapa")</f>
        <v>🔗 Ver Mapa</v>
      </c>
    </row>
    <row r="5311" spans="1:12" ht="43.5" x14ac:dyDescent="0.35">
      <c r="A5311" s="5" t="s">
        <v>98</v>
      </c>
      <c r="B5311" s="5" t="s">
        <v>99</v>
      </c>
      <c r="C5311" s="5" t="s">
        <v>1068</v>
      </c>
      <c r="D5311" s="5" t="s">
        <v>14</v>
      </c>
      <c r="E5311" s="5" t="s">
        <v>17</v>
      </c>
      <c r="F5311" s="5" t="s">
        <v>20</v>
      </c>
      <c r="G5311" s="5" t="s">
        <v>24</v>
      </c>
      <c r="H5311" s="5" t="s">
        <v>1069</v>
      </c>
      <c r="I5311" s="5" t="s">
        <v>31</v>
      </c>
      <c r="J5311" s="5">
        <v>15.722526399203</v>
      </c>
      <c r="K5311" s="5">
        <v>-96.468682663040994</v>
      </c>
      <c r="L5311" s="5" t="str">
        <f>HYPERLINK("https://maps.google.com/?q=15.7225263992031,-96.468682663040696", "🔗 Ver Mapa")</f>
        <v>🔗 Ver Mapa</v>
      </c>
    </row>
    <row r="5312" spans="1:12" ht="43.5" x14ac:dyDescent="0.35">
      <c r="A5312" s="6" t="s">
        <v>98</v>
      </c>
      <c r="B5312" s="6" t="s">
        <v>99</v>
      </c>
      <c r="C5312" s="6" t="s">
        <v>1068</v>
      </c>
      <c r="D5312" s="6" t="s">
        <v>14</v>
      </c>
      <c r="E5312" s="6" t="s">
        <v>17</v>
      </c>
      <c r="F5312" s="6" t="s">
        <v>20</v>
      </c>
      <c r="G5312" s="6" t="s">
        <v>24</v>
      </c>
      <c r="H5312" s="6" t="s">
        <v>1069</v>
      </c>
      <c r="I5312" s="6" t="s">
        <v>31</v>
      </c>
      <c r="J5312" s="6">
        <v>15.723006535316999</v>
      </c>
      <c r="K5312" s="6">
        <v>-96.469226018588003</v>
      </c>
      <c r="L5312" s="6" t="str">
        <f>HYPERLINK("https://maps.google.com/?q=15.7230065353167,-96.469226018587705", "🔗 Ver Mapa")</f>
        <v>🔗 Ver Mapa</v>
      </c>
    </row>
    <row r="5313" spans="1:12" ht="43.5" x14ac:dyDescent="0.35">
      <c r="A5313" s="5" t="s">
        <v>98</v>
      </c>
      <c r="B5313" s="5" t="s">
        <v>99</v>
      </c>
      <c r="C5313" s="5" t="s">
        <v>1068</v>
      </c>
      <c r="D5313" s="5" t="s">
        <v>14</v>
      </c>
      <c r="E5313" s="5" t="s">
        <v>17</v>
      </c>
      <c r="F5313" s="5" t="s">
        <v>20</v>
      </c>
      <c r="G5313" s="5" t="s">
        <v>24</v>
      </c>
      <c r="H5313" s="5" t="s">
        <v>1069</v>
      </c>
      <c r="I5313" s="5" t="s">
        <v>31</v>
      </c>
      <c r="J5313" s="5">
        <v>15.72305171521</v>
      </c>
      <c r="K5313" s="5">
        <v>-96.469117389122999</v>
      </c>
      <c r="L5313" s="5" t="str">
        <f>HYPERLINK("https://maps.google.com/?q=15.7230517152095,-96.469117389122701", "🔗 Ver Mapa")</f>
        <v>🔗 Ver Mapa</v>
      </c>
    </row>
    <row r="5314" spans="1:12" ht="43.5" x14ac:dyDescent="0.35">
      <c r="A5314" s="6" t="s">
        <v>98</v>
      </c>
      <c r="B5314" s="6" t="s">
        <v>99</v>
      </c>
      <c r="C5314" s="6" t="s">
        <v>1068</v>
      </c>
      <c r="D5314" s="6" t="s">
        <v>14</v>
      </c>
      <c r="E5314" s="6" t="s">
        <v>17</v>
      </c>
      <c r="F5314" s="6" t="s">
        <v>20</v>
      </c>
      <c r="G5314" s="6" t="s">
        <v>24</v>
      </c>
      <c r="H5314" s="6" t="s">
        <v>1069</v>
      </c>
      <c r="I5314" s="6" t="s">
        <v>31</v>
      </c>
      <c r="J5314" s="6">
        <v>15.723096588038</v>
      </c>
      <c r="K5314" s="6">
        <v>-96.469351959093004</v>
      </c>
      <c r="L5314" s="6" t="str">
        <f>HYPERLINK("https://maps.google.com/?q=15.7230965880378,-96.469351959092805", "🔗 Ver Mapa")</f>
        <v>🔗 Ver Mapa</v>
      </c>
    </row>
    <row r="5315" spans="1:12" ht="43.5" x14ac:dyDescent="0.35">
      <c r="A5315" s="5" t="s">
        <v>98</v>
      </c>
      <c r="B5315" s="5" t="s">
        <v>99</v>
      </c>
      <c r="C5315" s="5" t="s">
        <v>1068</v>
      </c>
      <c r="D5315" s="5" t="s">
        <v>14</v>
      </c>
      <c r="E5315" s="5" t="s">
        <v>17</v>
      </c>
      <c r="F5315" s="5" t="s">
        <v>20</v>
      </c>
      <c r="G5315" s="5" t="s">
        <v>24</v>
      </c>
      <c r="H5315" s="5" t="s">
        <v>1069</v>
      </c>
      <c r="I5315" s="5" t="s">
        <v>31</v>
      </c>
      <c r="J5315" s="5">
        <v>15.723161715062</v>
      </c>
      <c r="K5315" s="5">
        <v>-96.469153635271994</v>
      </c>
      <c r="L5315" s="5" t="str">
        <f>HYPERLINK("https://maps.google.com/?q=15.7231617150619,-96.469153635271795", "🔗 Ver Mapa")</f>
        <v>🔗 Ver Mapa</v>
      </c>
    </row>
    <row r="5316" spans="1:12" ht="43.5" x14ac:dyDescent="0.35">
      <c r="A5316" s="6" t="s">
        <v>98</v>
      </c>
      <c r="B5316" s="6" t="s">
        <v>99</v>
      </c>
      <c r="C5316" s="6" t="s">
        <v>1070</v>
      </c>
      <c r="D5316" s="6" t="s">
        <v>14</v>
      </c>
      <c r="E5316" s="6" t="s">
        <v>17</v>
      </c>
      <c r="F5316" s="6" t="s">
        <v>20</v>
      </c>
      <c r="G5316" s="6" t="s">
        <v>24</v>
      </c>
      <c r="H5316" s="6" t="s">
        <v>1071</v>
      </c>
      <c r="I5316" s="6" t="s">
        <v>31</v>
      </c>
      <c r="J5316" s="6">
        <v>15.805415707983</v>
      </c>
      <c r="K5316" s="6">
        <v>-96.357125426002995</v>
      </c>
      <c r="L5316" s="6" t="str">
        <f>HYPERLINK("https://maps.google.com/?q=15.8054157079833,-96.357125426002597", "🔗 Ver Mapa")</f>
        <v>🔗 Ver Mapa</v>
      </c>
    </row>
    <row r="5317" spans="1:12" ht="43.5" x14ac:dyDescent="0.35">
      <c r="A5317" s="5" t="s">
        <v>98</v>
      </c>
      <c r="B5317" s="5" t="s">
        <v>99</v>
      </c>
      <c r="C5317" s="5" t="s">
        <v>1070</v>
      </c>
      <c r="D5317" s="5" t="s">
        <v>14</v>
      </c>
      <c r="E5317" s="5" t="s">
        <v>17</v>
      </c>
      <c r="F5317" s="5" t="s">
        <v>20</v>
      </c>
      <c r="G5317" s="5" t="s">
        <v>24</v>
      </c>
      <c r="H5317" s="5" t="s">
        <v>1071</v>
      </c>
      <c r="I5317" s="5" t="s">
        <v>31</v>
      </c>
      <c r="J5317" s="5">
        <v>15.80549389482</v>
      </c>
      <c r="K5317" s="5">
        <v>-96.356234766270006</v>
      </c>
      <c r="L5317" s="5" t="str">
        <f>HYPERLINK("https://maps.google.com/?q=15.8054938948196,-96.356234766270205", "🔗 Ver Mapa")</f>
        <v>🔗 Ver Mapa</v>
      </c>
    </row>
    <row r="5318" spans="1:12" ht="43.5" x14ac:dyDescent="0.35">
      <c r="A5318" s="6" t="s">
        <v>98</v>
      </c>
      <c r="B5318" s="6" t="s">
        <v>99</v>
      </c>
      <c r="C5318" s="6" t="s">
        <v>1070</v>
      </c>
      <c r="D5318" s="6" t="s">
        <v>14</v>
      </c>
      <c r="E5318" s="6" t="s">
        <v>17</v>
      </c>
      <c r="F5318" s="6" t="s">
        <v>20</v>
      </c>
      <c r="G5318" s="6" t="s">
        <v>24</v>
      </c>
      <c r="H5318" s="6" t="s">
        <v>1071</v>
      </c>
      <c r="I5318" s="6" t="s">
        <v>31</v>
      </c>
      <c r="J5318" s="6">
        <v>15.805978211791</v>
      </c>
      <c r="K5318" s="6">
        <v>-96.356896407004996</v>
      </c>
      <c r="L5318" s="6" t="str">
        <f>HYPERLINK("https://maps.google.com/?q=15.8059782117907,-96.356896407005195", "🔗 Ver Mapa")</f>
        <v>🔗 Ver Mapa</v>
      </c>
    </row>
    <row r="5319" spans="1:12" ht="43.5" x14ac:dyDescent="0.35">
      <c r="A5319" s="5" t="s">
        <v>98</v>
      </c>
      <c r="B5319" s="5" t="s">
        <v>99</v>
      </c>
      <c r="C5319" s="5" t="s">
        <v>1070</v>
      </c>
      <c r="D5319" s="5" t="s">
        <v>14</v>
      </c>
      <c r="E5319" s="5" t="s">
        <v>17</v>
      </c>
      <c r="F5319" s="5" t="s">
        <v>20</v>
      </c>
      <c r="G5319" s="5" t="s">
        <v>24</v>
      </c>
      <c r="H5319" s="5" t="s">
        <v>1071</v>
      </c>
      <c r="I5319" s="5" t="s">
        <v>31</v>
      </c>
      <c r="J5319" s="5">
        <v>15.806730628584001</v>
      </c>
      <c r="K5319" s="5">
        <v>-96.359236256908005</v>
      </c>
      <c r="L5319" s="5" t="str">
        <f>HYPERLINK("https://maps.google.com/?q=15.8067306285844,-96.359236256908403", "🔗 Ver Mapa")</f>
        <v>🔗 Ver Mapa</v>
      </c>
    </row>
    <row r="5320" spans="1:12" ht="43.5" x14ac:dyDescent="0.35">
      <c r="A5320" s="6" t="s">
        <v>98</v>
      </c>
      <c r="B5320" s="6" t="s">
        <v>99</v>
      </c>
      <c r="C5320" s="6" t="s">
        <v>1070</v>
      </c>
      <c r="D5320" s="6" t="s">
        <v>14</v>
      </c>
      <c r="E5320" s="6" t="s">
        <v>17</v>
      </c>
      <c r="F5320" s="6" t="s">
        <v>20</v>
      </c>
      <c r="G5320" s="6" t="s">
        <v>24</v>
      </c>
      <c r="H5320" s="6" t="s">
        <v>1071</v>
      </c>
      <c r="I5320" s="6" t="s">
        <v>31</v>
      </c>
      <c r="J5320" s="6">
        <v>15.806801222342999</v>
      </c>
      <c r="K5320" s="6">
        <v>-96.357076851280993</v>
      </c>
      <c r="L5320" s="6" t="str">
        <f>HYPERLINK("https://maps.google.com/?q=15.8068012223431,-96.357076851281406", "🔗 Ver Mapa")</f>
        <v>🔗 Ver Mapa</v>
      </c>
    </row>
    <row r="5321" spans="1:12" ht="43.5" x14ac:dyDescent="0.35">
      <c r="A5321" s="5" t="s">
        <v>98</v>
      </c>
      <c r="B5321" s="5" t="s">
        <v>99</v>
      </c>
      <c r="C5321" s="5" t="s">
        <v>1070</v>
      </c>
      <c r="D5321" s="5" t="s">
        <v>14</v>
      </c>
      <c r="E5321" s="5" t="s">
        <v>17</v>
      </c>
      <c r="F5321" s="5" t="s">
        <v>20</v>
      </c>
      <c r="G5321" s="5" t="s">
        <v>24</v>
      </c>
      <c r="H5321" s="5" t="s">
        <v>1071</v>
      </c>
      <c r="I5321" s="5" t="s">
        <v>31</v>
      </c>
      <c r="J5321" s="5">
        <v>15.806926893456</v>
      </c>
      <c r="K5321" s="5">
        <v>-96.359410068665994</v>
      </c>
      <c r="L5321" s="5" t="str">
        <f>HYPERLINK("https://maps.google.com/?q=15.8069268934556,-96.359410068665994", "🔗 Ver Mapa")</f>
        <v>🔗 Ver Mapa</v>
      </c>
    </row>
    <row r="5322" spans="1:12" ht="43.5" x14ac:dyDescent="0.35">
      <c r="A5322" s="6" t="s">
        <v>98</v>
      </c>
      <c r="B5322" s="6" t="s">
        <v>99</v>
      </c>
      <c r="C5322" s="6" t="s">
        <v>1070</v>
      </c>
      <c r="D5322" s="6" t="s">
        <v>14</v>
      </c>
      <c r="E5322" s="6" t="s">
        <v>17</v>
      </c>
      <c r="F5322" s="6" t="s">
        <v>20</v>
      </c>
      <c r="G5322" s="6" t="s">
        <v>24</v>
      </c>
      <c r="H5322" s="6" t="s">
        <v>1071</v>
      </c>
      <c r="I5322" s="6" t="s">
        <v>31</v>
      </c>
      <c r="J5322" s="6">
        <v>15.806937762444001</v>
      </c>
      <c r="K5322" s="6">
        <v>-96.359552821538998</v>
      </c>
      <c r="L5322" s="6" t="str">
        <f>HYPERLINK("https://maps.google.com/?q=15.8069377624443,-96.359552821539495", "🔗 Ver Mapa")</f>
        <v>🔗 Ver Mapa</v>
      </c>
    </row>
    <row r="5323" spans="1:12" ht="43.5" x14ac:dyDescent="0.35">
      <c r="A5323" s="5" t="s">
        <v>98</v>
      </c>
      <c r="B5323" s="5" t="s">
        <v>99</v>
      </c>
      <c r="C5323" s="5" t="s">
        <v>1070</v>
      </c>
      <c r="D5323" s="5" t="s">
        <v>14</v>
      </c>
      <c r="E5323" s="5" t="s">
        <v>17</v>
      </c>
      <c r="F5323" s="5" t="s">
        <v>20</v>
      </c>
      <c r="G5323" s="5" t="s">
        <v>24</v>
      </c>
      <c r="H5323" s="5" t="s">
        <v>1071</v>
      </c>
      <c r="I5323" s="5" t="s">
        <v>31</v>
      </c>
      <c r="J5323" s="5">
        <v>15.807033625536</v>
      </c>
      <c r="K5323" s="5">
        <v>-96.358040194780997</v>
      </c>
      <c r="L5323" s="5" t="str">
        <f>HYPERLINK("https://maps.google.com/?q=15.8070336255362,-96.358040194781296", "🔗 Ver Mapa")</f>
        <v>🔗 Ver Mapa</v>
      </c>
    </row>
    <row r="5324" spans="1:12" ht="43.5" x14ac:dyDescent="0.35">
      <c r="A5324" s="6" t="s">
        <v>98</v>
      </c>
      <c r="B5324" s="6" t="s">
        <v>99</v>
      </c>
      <c r="C5324" s="6" t="s">
        <v>1070</v>
      </c>
      <c r="D5324" s="6" t="s">
        <v>14</v>
      </c>
      <c r="E5324" s="6" t="s">
        <v>17</v>
      </c>
      <c r="F5324" s="6" t="s">
        <v>20</v>
      </c>
      <c r="G5324" s="6" t="s">
        <v>24</v>
      </c>
      <c r="H5324" s="6" t="s">
        <v>1071</v>
      </c>
      <c r="I5324" s="6" t="s">
        <v>31</v>
      </c>
      <c r="J5324" s="6">
        <v>15.807226751208001</v>
      </c>
      <c r="K5324" s="6">
        <v>-96.359831843433</v>
      </c>
      <c r="L5324" s="6" t="str">
        <f>HYPERLINK("https://maps.google.com/?q=15.807226751208,-96.3598318434329", "🔗 Ver Mapa")</f>
        <v>🔗 Ver Mapa</v>
      </c>
    </row>
    <row r="5325" spans="1:12" ht="43.5" x14ac:dyDescent="0.35">
      <c r="A5325" s="5" t="s">
        <v>98</v>
      </c>
      <c r="B5325" s="5" t="s">
        <v>99</v>
      </c>
      <c r="C5325" s="5" t="s">
        <v>1070</v>
      </c>
      <c r="D5325" s="5" t="s">
        <v>14</v>
      </c>
      <c r="E5325" s="5" t="s">
        <v>17</v>
      </c>
      <c r="F5325" s="5" t="s">
        <v>20</v>
      </c>
      <c r="G5325" s="5" t="s">
        <v>24</v>
      </c>
      <c r="H5325" s="5" t="s">
        <v>1071</v>
      </c>
      <c r="I5325" s="5" t="s">
        <v>31</v>
      </c>
      <c r="J5325" s="5">
        <v>15.807361070009</v>
      </c>
      <c r="K5325" s="5">
        <v>-96.359540855402003</v>
      </c>
      <c r="L5325" s="5" t="str">
        <f>HYPERLINK("https://maps.google.com/?q=15.8073610700086,-96.359540855401804", "🔗 Ver Mapa")</f>
        <v>🔗 Ver Mapa</v>
      </c>
    </row>
    <row r="5326" spans="1:12" ht="43.5" x14ac:dyDescent="0.35">
      <c r="A5326" s="6" t="s">
        <v>98</v>
      </c>
      <c r="B5326" s="6" t="s">
        <v>99</v>
      </c>
      <c r="C5326" s="6" t="s">
        <v>1070</v>
      </c>
      <c r="D5326" s="6" t="s">
        <v>14</v>
      </c>
      <c r="E5326" s="6" t="s">
        <v>17</v>
      </c>
      <c r="F5326" s="6" t="s">
        <v>20</v>
      </c>
      <c r="G5326" s="6" t="s">
        <v>24</v>
      </c>
      <c r="H5326" s="6" t="s">
        <v>1071</v>
      </c>
      <c r="I5326" s="6" t="s">
        <v>31</v>
      </c>
      <c r="J5326" s="6">
        <v>15.807431467775</v>
      </c>
      <c r="K5326" s="6">
        <v>-96.359781828517995</v>
      </c>
      <c r="L5326" s="6" t="str">
        <f>HYPERLINK("https://maps.google.com/?q=15.8074314677751,-96.359781828518393", "🔗 Ver Mapa")</f>
        <v>🔗 Ver Mapa</v>
      </c>
    </row>
    <row r="5327" spans="1:12" ht="43.5" x14ac:dyDescent="0.35">
      <c r="A5327" s="5" t="s">
        <v>98</v>
      </c>
      <c r="B5327" s="5" t="s">
        <v>99</v>
      </c>
      <c r="C5327" s="5" t="s">
        <v>1070</v>
      </c>
      <c r="D5327" s="5" t="s">
        <v>14</v>
      </c>
      <c r="E5327" s="5" t="s">
        <v>17</v>
      </c>
      <c r="F5327" s="5" t="s">
        <v>20</v>
      </c>
      <c r="G5327" s="5" t="s">
        <v>24</v>
      </c>
      <c r="H5327" s="5" t="s">
        <v>1071</v>
      </c>
      <c r="I5327" s="5" t="s">
        <v>31</v>
      </c>
      <c r="J5327" s="5">
        <v>15.807521405225</v>
      </c>
      <c r="K5327" s="5">
        <v>-96.361748034686002</v>
      </c>
      <c r="L5327" s="5" t="str">
        <f>HYPERLINK("https://maps.google.com/?q=15.8075214052254,-96.3617480346863", "🔗 Ver Mapa")</f>
        <v>🔗 Ver Mapa</v>
      </c>
    </row>
    <row r="5328" spans="1:12" ht="43.5" x14ac:dyDescent="0.35">
      <c r="A5328" s="6" t="s">
        <v>98</v>
      </c>
      <c r="B5328" s="6" t="s">
        <v>99</v>
      </c>
      <c r="C5328" s="6" t="s">
        <v>1070</v>
      </c>
      <c r="D5328" s="6" t="s">
        <v>14</v>
      </c>
      <c r="E5328" s="6" t="s">
        <v>17</v>
      </c>
      <c r="F5328" s="6" t="s">
        <v>20</v>
      </c>
      <c r="G5328" s="6" t="s">
        <v>24</v>
      </c>
      <c r="H5328" s="6" t="s">
        <v>1071</v>
      </c>
      <c r="I5328" s="6" t="s">
        <v>31</v>
      </c>
      <c r="J5328" s="6">
        <v>15.807532994856</v>
      </c>
      <c r="K5328" s="6">
        <v>-96.356196886199001</v>
      </c>
      <c r="L5328" s="6" t="str">
        <f>HYPERLINK("https://maps.google.com/?q=15.8075329948564,-96.3561968861992", "🔗 Ver Mapa")</f>
        <v>🔗 Ver Mapa</v>
      </c>
    </row>
    <row r="5329" spans="1:12" ht="43.5" x14ac:dyDescent="0.35">
      <c r="A5329" s="5" t="s">
        <v>98</v>
      </c>
      <c r="B5329" s="5" t="s">
        <v>99</v>
      </c>
      <c r="C5329" s="5" t="s">
        <v>1070</v>
      </c>
      <c r="D5329" s="5" t="s">
        <v>14</v>
      </c>
      <c r="E5329" s="5" t="s">
        <v>17</v>
      </c>
      <c r="F5329" s="5" t="s">
        <v>20</v>
      </c>
      <c r="G5329" s="5" t="s">
        <v>24</v>
      </c>
      <c r="H5329" s="5" t="s">
        <v>1071</v>
      </c>
      <c r="I5329" s="5" t="s">
        <v>31</v>
      </c>
      <c r="J5329" s="5">
        <v>15.807550135482</v>
      </c>
      <c r="K5329" s="5">
        <v>-96.359808838123996</v>
      </c>
      <c r="L5329" s="5" t="str">
        <f>HYPERLINK("https://maps.google.com/?q=15.8075501354821,-96.359808838124096", "🔗 Ver Mapa")</f>
        <v>🔗 Ver Mapa</v>
      </c>
    </row>
    <row r="5330" spans="1:12" ht="43.5" x14ac:dyDescent="0.35">
      <c r="A5330" s="6" t="s">
        <v>98</v>
      </c>
      <c r="B5330" s="6" t="s">
        <v>99</v>
      </c>
      <c r="C5330" s="6" t="s">
        <v>1070</v>
      </c>
      <c r="D5330" s="6" t="s">
        <v>14</v>
      </c>
      <c r="E5330" s="6" t="s">
        <v>17</v>
      </c>
      <c r="F5330" s="6" t="s">
        <v>20</v>
      </c>
      <c r="G5330" s="6" t="s">
        <v>24</v>
      </c>
      <c r="H5330" s="6" t="s">
        <v>1071</v>
      </c>
      <c r="I5330" s="6" t="s">
        <v>31</v>
      </c>
      <c r="J5330" s="6">
        <v>15.807664020536</v>
      </c>
      <c r="K5330" s="6">
        <v>-96.361487219013</v>
      </c>
      <c r="L5330" s="6" t="str">
        <f>HYPERLINK("https://maps.google.com/?q=15.8076640205363,-96.361487219012702", "🔗 Ver Mapa")</f>
        <v>🔗 Ver Mapa</v>
      </c>
    </row>
    <row r="5331" spans="1:12" ht="43.5" x14ac:dyDescent="0.35">
      <c r="A5331" s="5" t="s">
        <v>98</v>
      </c>
      <c r="B5331" s="5" t="s">
        <v>99</v>
      </c>
      <c r="C5331" s="5" t="s">
        <v>1070</v>
      </c>
      <c r="D5331" s="5" t="s">
        <v>14</v>
      </c>
      <c r="E5331" s="5" t="s">
        <v>17</v>
      </c>
      <c r="F5331" s="5" t="s">
        <v>20</v>
      </c>
      <c r="G5331" s="5" t="s">
        <v>24</v>
      </c>
      <c r="H5331" s="5" t="s">
        <v>1071</v>
      </c>
      <c r="I5331" s="5" t="s">
        <v>31</v>
      </c>
      <c r="J5331" s="5">
        <v>15.807685806623001</v>
      </c>
      <c r="K5331" s="5">
        <v>-96.356169770045</v>
      </c>
      <c r="L5331" s="5" t="str">
        <f>HYPERLINK("https://maps.google.com/?q=15.8076858066232,-96.356169770044602", "🔗 Ver Mapa")</f>
        <v>🔗 Ver Mapa</v>
      </c>
    </row>
    <row r="5332" spans="1:12" ht="43.5" x14ac:dyDescent="0.35">
      <c r="A5332" s="6" t="s">
        <v>98</v>
      </c>
      <c r="B5332" s="6" t="s">
        <v>99</v>
      </c>
      <c r="C5332" s="6" t="s">
        <v>1070</v>
      </c>
      <c r="D5332" s="6" t="s">
        <v>14</v>
      </c>
      <c r="E5332" s="6" t="s">
        <v>17</v>
      </c>
      <c r="F5332" s="6" t="s">
        <v>20</v>
      </c>
      <c r="G5332" s="6" t="s">
        <v>24</v>
      </c>
      <c r="H5332" s="6" t="s">
        <v>1071</v>
      </c>
      <c r="I5332" s="6" t="s">
        <v>31</v>
      </c>
      <c r="J5332" s="6">
        <v>15.808456902592001</v>
      </c>
      <c r="K5332" s="6">
        <v>-96.360026930000004</v>
      </c>
      <c r="L5332" s="6" t="str">
        <f>HYPERLINK("https://maps.google.com/?q=15.8084569025921,-96.360026930000004", "🔗 Ver Mapa")</f>
        <v>🔗 Ver Mapa</v>
      </c>
    </row>
    <row r="5333" spans="1:12" ht="43.5" x14ac:dyDescent="0.35">
      <c r="A5333" s="5" t="s">
        <v>98</v>
      </c>
      <c r="B5333" s="5" t="s">
        <v>99</v>
      </c>
      <c r="C5333" s="5" t="s">
        <v>1070</v>
      </c>
      <c r="D5333" s="5" t="s">
        <v>14</v>
      </c>
      <c r="E5333" s="5" t="s">
        <v>17</v>
      </c>
      <c r="F5333" s="5" t="s">
        <v>20</v>
      </c>
      <c r="G5333" s="5" t="s">
        <v>24</v>
      </c>
      <c r="H5333" s="5" t="s">
        <v>1071</v>
      </c>
      <c r="I5333" s="5" t="s">
        <v>31</v>
      </c>
      <c r="J5333" s="5">
        <v>15.808485994770001</v>
      </c>
      <c r="K5333" s="5">
        <v>-96.357316383994998</v>
      </c>
      <c r="L5333" s="5" t="str">
        <f>HYPERLINK("https://maps.google.com/?q=15.8084859947699,-96.357316383994998", "🔗 Ver Mapa")</f>
        <v>🔗 Ver Mapa</v>
      </c>
    </row>
    <row r="5334" spans="1:12" ht="43.5" x14ac:dyDescent="0.35">
      <c r="A5334" s="6" t="s">
        <v>98</v>
      </c>
      <c r="B5334" s="6" t="s">
        <v>99</v>
      </c>
      <c r="C5334" s="6" t="s">
        <v>1070</v>
      </c>
      <c r="D5334" s="6" t="s">
        <v>14</v>
      </c>
      <c r="E5334" s="6" t="s">
        <v>17</v>
      </c>
      <c r="F5334" s="6" t="s">
        <v>20</v>
      </c>
      <c r="G5334" s="6" t="s">
        <v>24</v>
      </c>
      <c r="H5334" s="6" t="s">
        <v>1071</v>
      </c>
      <c r="I5334" s="6" t="s">
        <v>31</v>
      </c>
      <c r="J5334" s="6">
        <v>15.80991962099</v>
      </c>
      <c r="K5334" s="6">
        <v>-96.356901679803002</v>
      </c>
      <c r="L5334" s="6" t="str">
        <f>HYPERLINK("https://maps.google.com/?q=15.8099196209895,-96.3569016798034", "🔗 Ver Mapa")</f>
        <v>🔗 Ver Mapa</v>
      </c>
    </row>
    <row r="5335" spans="1:12" ht="43.5" x14ac:dyDescent="0.35">
      <c r="A5335" s="5" t="s">
        <v>98</v>
      </c>
      <c r="B5335" s="5" t="s">
        <v>99</v>
      </c>
      <c r="C5335" s="5" t="s">
        <v>1070</v>
      </c>
      <c r="D5335" s="5" t="s">
        <v>14</v>
      </c>
      <c r="E5335" s="5" t="s">
        <v>17</v>
      </c>
      <c r="F5335" s="5" t="s">
        <v>20</v>
      </c>
      <c r="G5335" s="5" t="s">
        <v>24</v>
      </c>
      <c r="H5335" s="5" t="s">
        <v>1071</v>
      </c>
      <c r="I5335" s="5" t="s">
        <v>31</v>
      </c>
      <c r="J5335" s="5">
        <v>15.810435362674999</v>
      </c>
      <c r="K5335" s="5">
        <v>-96.357441710860002</v>
      </c>
      <c r="L5335" s="5" t="str">
        <f>HYPERLINK("https://maps.google.com/?q=15.8104353626746,-96.3574417108603", "🔗 Ver Mapa")</f>
        <v>🔗 Ver Mapa</v>
      </c>
    </row>
    <row r="5336" spans="1:12" ht="43.5" x14ac:dyDescent="0.35">
      <c r="A5336" s="6" t="s">
        <v>98</v>
      </c>
      <c r="B5336" s="6" t="s">
        <v>99</v>
      </c>
      <c r="C5336" s="6" t="s">
        <v>1070</v>
      </c>
      <c r="D5336" s="6" t="s">
        <v>14</v>
      </c>
      <c r="E5336" s="6" t="s">
        <v>17</v>
      </c>
      <c r="F5336" s="6" t="s">
        <v>20</v>
      </c>
      <c r="G5336" s="6" t="s">
        <v>24</v>
      </c>
      <c r="H5336" s="6" t="s">
        <v>1071</v>
      </c>
      <c r="I5336" s="6" t="s">
        <v>31</v>
      </c>
      <c r="J5336" s="6">
        <v>15.811313932239001</v>
      </c>
      <c r="K5336" s="6">
        <v>-96.359492111098007</v>
      </c>
      <c r="L5336" s="6" t="str">
        <f>HYPERLINK("https://maps.google.com/?q=15.8113139322388,-96.359492111098106", "🔗 Ver Mapa")</f>
        <v>🔗 Ver Mapa</v>
      </c>
    </row>
    <row r="5337" spans="1:12" ht="43.5" x14ac:dyDescent="0.35">
      <c r="A5337" s="5" t="s">
        <v>98</v>
      </c>
      <c r="B5337" s="5" t="s">
        <v>99</v>
      </c>
      <c r="C5337" s="5" t="s">
        <v>1070</v>
      </c>
      <c r="D5337" s="5" t="s">
        <v>14</v>
      </c>
      <c r="E5337" s="5" t="s">
        <v>17</v>
      </c>
      <c r="F5337" s="5" t="s">
        <v>20</v>
      </c>
      <c r="G5337" s="5" t="s">
        <v>24</v>
      </c>
      <c r="H5337" s="5" t="s">
        <v>1071</v>
      </c>
      <c r="I5337" s="5" t="s">
        <v>31</v>
      </c>
      <c r="J5337" s="5">
        <v>15.81259876839</v>
      </c>
      <c r="K5337" s="5">
        <v>-96.354458836272002</v>
      </c>
      <c r="L5337" s="5" t="str">
        <f>HYPERLINK("https://maps.google.com/?q=15.8125987683896,-96.354458836271704", "🔗 Ver Mapa")</f>
        <v>🔗 Ver Mapa</v>
      </c>
    </row>
    <row r="5338" spans="1:12" ht="43.5" x14ac:dyDescent="0.35">
      <c r="A5338" s="6" t="s">
        <v>98</v>
      </c>
      <c r="B5338" s="6" t="s">
        <v>99</v>
      </c>
      <c r="C5338" s="6" t="s">
        <v>1070</v>
      </c>
      <c r="D5338" s="6" t="s">
        <v>14</v>
      </c>
      <c r="E5338" s="6" t="s">
        <v>17</v>
      </c>
      <c r="F5338" s="6" t="s">
        <v>20</v>
      </c>
      <c r="G5338" s="6" t="s">
        <v>24</v>
      </c>
      <c r="H5338" s="6" t="s">
        <v>1071</v>
      </c>
      <c r="I5338" s="6" t="s">
        <v>31</v>
      </c>
      <c r="J5338" s="6">
        <v>15.812670289779</v>
      </c>
      <c r="K5338" s="6">
        <v>-96.356635453655997</v>
      </c>
      <c r="L5338" s="6" t="str">
        <f>HYPERLINK("https://maps.google.com/?q=15.8126702897793,-96.356635453656395", "🔗 Ver Mapa")</f>
        <v>🔗 Ver Mapa</v>
      </c>
    </row>
    <row r="5339" spans="1:12" ht="43.5" x14ac:dyDescent="0.35">
      <c r="A5339" s="5" t="s">
        <v>98</v>
      </c>
      <c r="B5339" s="5" t="s">
        <v>99</v>
      </c>
      <c r="C5339" s="5" t="s">
        <v>1070</v>
      </c>
      <c r="D5339" s="5" t="s">
        <v>14</v>
      </c>
      <c r="E5339" s="5" t="s">
        <v>17</v>
      </c>
      <c r="F5339" s="5" t="s">
        <v>20</v>
      </c>
      <c r="G5339" s="5" t="s">
        <v>24</v>
      </c>
      <c r="H5339" s="5" t="s">
        <v>1071</v>
      </c>
      <c r="I5339" s="5" t="s">
        <v>31</v>
      </c>
      <c r="J5339" s="5">
        <v>15.812765062578</v>
      </c>
      <c r="K5339" s="5">
        <v>-96.356052991994005</v>
      </c>
      <c r="L5339" s="5" t="str">
        <f>HYPERLINK("https://maps.google.com/?q=15.812765062578,-96.356052991994005", "🔗 Ver Mapa")</f>
        <v>🔗 Ver Mapa</v>
      </c>
    </row>
    <row r="5340" spans="1:12" ht="43.5" x14ac:dyDescent="0.35">
      <c r="A5340" s="6" t="s">
        <v>98</v>
      </c>
      <c r="B5340" s="6" t="s">
        <v>99</v>
      </c>
      <c r="C5340" s="6" t="s">
        <v>1070</v>
      </c>
      <c r="D5340" s="6" t="s">
        <v>14</v>
      </c>
      <c r="E5340" s="6" t="s">
        <v>17</v>
      </c>
      <c r="F5340" s="6" t="s">
        <v>20</v>
      </c>
      <c r="G5340" s="6" t="s">
        <v>24</v>
      </c>
      <c r="H5340" s="6" t="s">
        <v>1071</v>
      </c>
      <c r="I5340" s="6" t="s">
        <v>31</v>
      </c>
      <c r="J5340" s="6">
        <v>15.813133696414001</v>
      </c>
      <c r="K5340" s="6">
        <v>-96.359341966906996</v>
      </c>
      <c r="L5340" s="6" t="str">
        <f>HYPERLINK("https://maps.google.com/?q=15.8131336964142,-96.359341966906896", "🔗 Ver Mapa")</f>
        <v>🔗 Ver Mapa</v>
      </c>
    </row>
    <row r="5341" spans="1:12" ht="43.5" x14ac:dyDescent="0.35">
      <c r="A5341" s="5" t="s">
        <v>98</v>
      </c>
      <c r="B5341" s="5" t="s">
        <v>99</v>
      </c>
      <c r="C5341" s="5" t="s">
        <v>1072</v>
      </c>
      <c r="D5341" s="5" t="s">
        <v>14</v>
      </c>
      <c r="E5341" s="5" t="s">
        <v>16</v>
      </c>
      <c r="F5341" s="5" t="s">
        <v>145</v>
      </c>
      <c r="G5341" s="5" t="s">
        <v>537</v>
      </c>
      <c r="H5341" s="5" t="s">
        <v>646</v>
      </c>
      <c r="I5341" s="5" t="s">
        <v>31</v>
      </c>
      <c r="J5341" s="5">
        <v>17.908994507395001</v>
      </c>
      <c r="K5341" s="5">
        <v>-97.996513627995995</v>
      </c>
      <c r="L5341" s="5" t="str">
        <f>HYPERLINK("https://maps.google.com/?q=17.9089945073946,-97.996513627995995", "🔗 Ver Mapa")</f>
        <v>🔗 Ver Mapa</v>
      </c>
    </row>
    <row r="5342" spans="1:12" ht="43.5" x14ac:dyDescent="0.35">
      <c r="A5342" s="6" t="s">
        <v>98</v>
      </c>
      <c r="B5342" s="6" t="s">
        <v>99</v>
      </c>
      <c r="C5342" s="6" t="s">
        <v>1072</v>
      </c>
      <c r="D5342" s="6" t="s">
        <v>14</v>
      </c>
      <c r="E5342" s="6" t="s">
        <v>16</v>
      </c>
      <c r="F5342" s="6" t="s">
        <v>145</v>
      </c>
      <c r="G5342" s="6" t="s">
        <v>537</v>
      </c>
      <c r="H5342" s="6" t="s">
        <v>646</v>
      </c>
      <c r="I5342" s="6" t="s">
        <v>31</v>
      </c>
      <c r="J5342" s="6">
        <v>17.911033383361001</v>
      </c>
      <c r="K5342" s="6">
        <v>-97.996196874833998</v>
      </c>
      <c r="L5342" s="6" t="str">
        <f>HYPERLINK("https://maps.google.com/?q=17.9110333833613,-97.996196874833998", "🔗 Ver Mapa")</f>
        <v>🔗 Ver Mapa</v>
      </c>
    </row>
    <row r="5343" spans="1:12" ht="43.5" x14ac:dyDescent="0.35">
      <c r="A5343" s="5" t="s">
        <v>98</v>
      </c>
      <c r="B5343" s="5" t="s">
        <v>99</v>
      </c>
      <c r="C5343" s="5" t="s">
        <v>1072</v>
      </c>
      <c r="D5343" s="5" t="s">
        <v>14</v>
      </c>
      <c r="E5343" s="5" t="s">
        <v>16</v>
      </c>
      <c r="F5343" s="5" t="s">
        <v>145</v>
      </c>
      <c r="G5343" s="5" t="s">
        <v>537</v>
      </c>
      <c r="H5343" s="5" t="s">
        <v>646</v>
      </c>
      <c r="I5343" s="5" t="s">
        <v>31</v>
      </c>
      <c r="J5343" s="5">
        <v>17.911277289623001</v>
      </c>
      <c r="K5343" s="5">
        <v>-97.995713669265996</v>
      </c>
      <c r="L5343" s="5" t="str">
        <f>HYPERLINK("https://maps.google.com/?q=17.9112772896232,-97.995713669266294", "🔗 Ver Mapa")</f>
        <v>🔗 Ver Mapa</v>
      </c>
    </row>
    <row r="5344" spans="1:12" ht="43.5" x14ac:dyDescent="0.35">
      <c r="A5344" s="6" t="s">
        <v>98</v>
      </c>
      <c r="B5344" s="6" t="s">
        <v>99</v>
      </c>
      <c r="C5344" s="6" t="s">
        <v>1072</v>
      </c>
      <c r="D5344" s="6" t="s">
        <v>14</v>
      </c>
      <c r="E5344" s="6" t="s">
        <v>16</v>
      </c>
      <c r="F5344" s="6" t="s">
        <v>145</v>
      </c>
      <c r="G5344" s="6" t="s">
        <v>537</v>
      </c>
      <c r="H5344" s="6" t="s">
        <v>646</v>
      </c>
      <c r="I5344" s="6" t="s">
        <v>31</v>
      </c>
      <c r="J5344" s="6">
        <v>17.913277365658001</v>
      </c>
      <c r="K5344" s="6">
        <v>-97.996882297563005</v>
      </c>
      <c r="L5344" s="6" t="str">
        <f>HYPERLINK("https://maps.google.com/?q=17.9132773656581,-97.996882297562706", "🔗 Ver Mapa")</f>
        <v>🔗 Ver Mapa</v>
      </c>
    </row>
    <row r="5345" spans="1:12" ht="43.5" x14ac:dyDescent="0.35">
      <c r="A5345" s="5" t="s">
        <v>98</v>
      </c>
      <c r="B5345" s="5" t="s">
        <v>99</v>
      </c>
      <c r="C5345" s="5" t="s">
        <v>1072</v>
      </c>
      <c r="D5345" s="5" t="s">
        <v>14</v>
      </c>
      <c r="E5345" s="5" t="s">
        <v>16</v>
      </c>
      <c r="F5345" s="5" t="s">
        <v>145</v>
      </c>
      <c r="G5345" s="5" t="s">
        <v>537</v>
      </c>
      <c r="H5345" s="5" t="s">
        <v>646</v>
      </c>
      <c r="I5345" s="5" t="s">
        <v>31</v>
      </c>
      <c r="J5345" s="5">
        <v>17.915000898502999</v>
      </c>
      <c r="K5345" s="5">
        <v>-97.997273042990997</v>
      </c>
      <c r="L5345" s="5" t="str">
        <f>HYPERLINK("https://maps.google.com/?q=17.9150008985029,-97.997273042991495", "🔗 Ver Mapa")</f>
        <v>🔗 Ver Mapa</v>
      </c>
    </row>
    <row r="5346" spans="1:12" ht="43.5" x14ac:dyDescent="0.35">
      <c r="A5346" s="6" t="s">
        <v>98</v>
      </c>
      <c r="B5346" s="6" t="s">
        <v>99</v>
      </c>
      <c r="C5346" s="6" t="s">
        <v>1073</v>
      </c>
      <c r="D5346" s="6" t="s">
        <v>14</v>
      </c>
      <c r="E5346" s="6" t="s">
        <v>39</v>
      </c>
      <c r="F5346" s="6" t="s">
        <v>494</v>
      </c>
      <c r="G5346" s="6" t="s">
        <v>1074</v>
      </c>
      <c r="H5346" s="6" t="s">
        <v>1075</v>
      </c>
      <c r="I5346" s="6" t="s">
        <v>31</v>
      </c>
      <c r="J5346" s="6">
        <v>16.521666842428999</v>
      </c>
      <c r="K5346" s="6">
        <v>-97.165403494374004</v>
      </c>
      <c r="L5346" s="6" t="str">
        <f>HYPERLINK("https://maps.google.com/?q=16.5216668424293,-97.165403494373507", "🔗 Ver Mapa")</f>
        <v>🔗 Ver Mapa</v>
      </c>
    </row>
    <row r="5347" spans="1:12" ht="43.5" x14ac:dyDescent="0.35">
      <c r="A5347" s="5" t="s">
        <v>98</v>
      </c>
      <c r="B5347" s="5" t="s">
        <v>99</v>
      </c>
      <c r="C5347" s="5" t="s">
        <v>1073</v>
      </c>
      <c r="D5347" s="5" t="s">
        <v>14</v>
      </c>
      <c r="E5347" s="5" t="s">
        <v>39</v>
      </c>
      <c r="F5347" s="5" t="s">
        <v>494</v>
      </c>
      <c r="G5347" s="5" t="s">
        <v>1074</v>
      </c>
      <c r="H5347" s="5" t="s">
        <v>1075</v>
      </c>
      <c r="I5347" s="5" t="s">
        <v>31</v>
      </c>
      <c r="J5347" s="5">
        <v>16.521767000000001</v>
      </c>
      <c r="K5347" s="5">
        <v>-97.165822000000006</v>
      </c>
      <c r="L5347" s="5" t="str">
        <f>HYPERLINK("https://maps.google.com/?q=16.521767,-97.165822000000006", "🔗 Ver Mapa")</f>
        <v>🔗 Ver Mapa</v>
      </c>
    </row>
    <row r="5348" spans="1:12" ht="43.5" x14ac:dyDescent="0.35">
      <c r="A5348" s="6" t="s">
        <v>98</v>
      </c>
      <c r="B5348" s="6" t="s">
        <v>99</v>
      </c>
      <c r="C5348" s="6" t="s">
        <v>1073</v>
      </c>
      <c r="D5348" s="6" t="s">
        <v>14</v>
      </c>
      <c r="E5348" s="6" t="s">
        <v>39</v>
      </c>
      <c r="F5348" s="6" t="s">
        <v>494</v>
      </c>
      <c r="G5348" s="6" t="s">
        <v>1074</v>
      </c>
      <c r="H5348" s="6" t="s">
        <v>1075</v>
      </c>
      <c r="I5348" s="6" t="s">
        <v>31</v>
      </c>
      <c r="J5348" s="6">
        <v>16.522278560907999</v>
      </c>
      <c r="K5348" s="6">
        <v>-97.166078463616003</v>
      </c>
      <c r="L5348" s="6" t="str">
        <f>HYPERLINK("https://maps.google.com/?q=16.522278560908,-97.166078463615705", "🔗 Ver Mapa")</f>
        <v>🔗 Ver Mapa</v>
      </c>
    </row>
    <row r="5349" spans="1:12" ht="43.5" x14ac:dyDescent="0.35">
      <c r="A5349" s="5" t="s">
        <v>98</v>
      </c>
      <c r="B5349" s="5" t="s">
        <v>99</v>
      </c>
      <c r="C5349" s="5" t="s">
        <v>1073</v>
      </c>
      <c r="D5349" s="5" t="s">
        <v>14</v>
      </c>
      <c r="E5349" s="5" t="s">
        <v>39</v>
      </c>
      <c r="F5349" s="5" t="s">
        <v>494</v>
      </c>
      <c r="G5349" s="5" t="s">
        <v>1074</v>
      </c>
      <c r="H5349" s="5" t="s">
        <v>1075</v>
      </c>
      <c r="I5349" s="5" t="s">
        <v>31</v>
      </c>
      <c r="J5349" s="5">
        <v>16.522408146002999</v>
      </c>
      <c r="K5349" s="5">
        <v>-97.164337586299993</v>
      </c>
      <c r="L5349" s="5" t="str">
        <f>HYPERLINK("https://maps.google.com/?q=16.5224081460028,-97.164337586300206", "🔗 Ver Mapa")</f>
        <v>🔗 Ver Mapa</v>
      </c>
    </row>
    <row r="5350" spans="1:12" ht="43.5" x14ac:dyDescent="0.35">
      <c r="A5350" s="6" t="s">
        <v>98</v>
      </c>
      <c r="B5350" s="6" t="s">
        <v>99</v>
      </c>
      <c r="C5350" s="6" t="s">
        <v>1073</v>
      </c>
      <c r="D5350" s="6" t="s">
        <v>14</v>
      </c>
      <c r="E5350" s="6" t="s">
        <v>39</v>
      </c>
      <c r="F5350" s="6" t="s">
        <v>494</v>
      </c>
      <c r="G5350" s="6" t="s">
        <v>1074</v>
      </c>
      <c r="H5350" s="6" t="s">
        <v>1075</v>
      </c>
      <c r="I5350" s="6" t="s">
        <v>31</v>
      </c>
      <c r="J5350" s="6">
        <v>16.522743994342001</v>
      </c>
      <c r="K5350" s="6">
        <v>-97.166856304229995</v>
      </c>
      <c r="L5350" s="6" t="str">
        <f>HYPERLINK("https://maps.google.com/?q=16.5227439943416,-97.166856304230393", "🔗 Ver Mapa")</f>
        <v>🔗 Ver Mapa</v>
      </c>
    </row>
    <row r="5351" spans="1:12" ht="43.5" x14ac:dyDescent="0.35">
      <c r="A5351" s="5" t="s">
        <v>98</v>
      </c>
      <c r="B5351" s="5" t="s">
        <v>99</v>
      </c>
      <c r="C5351" s="5" t="s">
        <v>1073</v>
      </c>
      <c r="D5351" s="5" t="s">
        <v>14</v>
      </c>
      <c r="E5351" s="5" t="s">
        <v>39</v>
      </c>
      <c r="F5351" s="5" t="s">
        <v>494</v>
      </c>
      <c r="G5351" s="5" t="s">
        <v>1074</v>
      </c>
      <c r="H5351" s="5" t="s">
        <v>1075</v>
      </c>
      <c r="I5351" s="5" t="s">
        <v>31</v>
      </c>
      <c r="J5351" s="5">
        <v>16.523194006223001</v>
      </c>
      <c r="K5351" s="5">
        <v>-97.164876529747005</v>
      </c>
      <c r="L5351" s="5" t="str">
        <f>HYPERLINK("https://maps.google.com/?q=16.5231940062233,-97.164876529746707", "🔗 Ver Mapa")</f>
        <v>🔗 Ver Mapa</v>
      </c>
    </row>
    <row r="5352" spans="1:12" ht="43.5" x14ac:dyDescent="0.35">
      <c r="A5352" s="6" t="s">
        <v>98</v>
      </c>
      <c r="B5352" s="6" t="s">
        <v>99</v>
      </c>
      <c r="C5352" s="6" t="s">
        <v>1073</v>
      </c>
      <c r="D5352" s="6" t="s">
        <v>14</v>
      </c>
      <c r="E5352" s="6" t="s">
        <v>39</v>
      </c>
      <c r="F5352" s="6" t="s">
        <v>494</v>
      </c>
      <c r="G5352" s="6" t="s">
        <v>1074</v>
      </c>
      <c r="H5352" s="6" t="s">
        <v>1075</v>
      </c>
      <c r="I5352" s="6" t="s">
        <v>31</v>
      </c>
      <c r="J5352" s="6">
        <v>16.523448577919002</v>
      </c>
      <c r="K5352" s="6">
        <v>-97.165698794795006</v>
      </c>
      <c r="L5352" s="6" t="str">
        <f>HYPERLINK("https://maps.google.com/?q=16.5234485779191,-97.165698794794594", "🔗 Ver Mapa")</f>
        <v>🔗 Ver Mapa</v>
      </c>
    </row>
    <row r="5353" spans="1:12" ht="43.5" x14ac:dyDescent="0.35">
      <c r="A5353" s="5" t="s">
        <v>98</v>
      </c>
      <c r="B5353" s="5" t="s">
        <v>99</v>
      </c>
      <c r="C5353" s="5" t="s">
        <v>1073</v>
      </c>
      <c r="D5353" s="5" t="s">
        <v>14</v>
      </c>
      <c r="E5353" s="5" t="s">
        <v>39</v>
      </c>
      <c r="F5353" s="5" t="s">
        <v>494</v>
      </c>
      <c r="G5353" s="5" t="s">
        <v>1074</v>
      </c>
      <c r="H5353" s="5" t="s">
        <v>1075</v>
      </c>
      <c r="I5353" s="5" t="s">
        <v>31</v>
      </c>
      <c r="J5353" s="5">
        <v>16.523619154948001</v>
      </c>
      <c r="K5353" s="5">
        <v>-97.165762252985999</v>
      </c>
      <c r="L5353" s="5" t="str">
        <f>HYPERLINK("https://maps.google.com/?q=16.5236191549481,-97.165762252986397", "🔗 Ver Mapa")</f>
        <v>🔗 Ver Mapa</v>
      </c>
    </row>
    <row r="5354" spans="1:12" ht="43.5" x14ac:dyDescent="0.35">
      <c r="A5354" s="6" t="s">
        <v>98</v>
      </c>
      <c r="B5354" s="6" t="s">
        <v>99</v>
      </c>
      <c r="C5354" s="6" t="s">
        <v>1073</v>
      </c>
      <c r="D5354" s="6" t="s">
        <v>14</v>
      </c>
      <c r="E5354" s="6" t="s">
        <v>39</v>
      </c>
      <c r="F5354" s="6" t="s">
        <v>494</v>
      </c>
      <c r="G5354" s="6" t="s">
        <v>1074</v>
      </c>
      <c r="H5354" s="6" t="s">
        <v>1075</v>
      </c>
      <c r="I5354" s="6" t="s">
        <v>31</v>
      </c>
      <c r="J5354" s="6">
        <v>16.524018999999999</v>
      </c>
      <c r="K5354" s="6">
        <v>-97.167398000000006</v>
      </c>
      <c r="L5354" s="6" t="str">
        <f>HYPERLINK("https://maps.google.com/?q=16.524019,-97.167398000000006", "🔗 Ver Mapa")</f>
        <v>🔗 Ver Mapa</v>
      </c>
    </row>
    <row r="5355" spans="1:12" ht="43.5" x14ac:dyDescent="0.35">
      <c r="A5355" s="5" t="s">
        <v>98</v>
      </c>
      <c r="B5355" s="5" t="s">
        <v>99</v>
      </c>
      <c r="C5355" s="5" t="s">
        <v>1073</v>
      </c>
      <c r="D5355" s="5" t="s">
        <v>14</v>
      </c>
      <c r="E5355" s="5" t="s">
        <v>39</v>
      </c>
      <c r="F5355" s="5" t="s">
        <v>494</v>
      </c>
      <c r="G5355" s="5" t="s">
        <v>1074</v>
      </c>
      <c r="H5355" s="5" t="s">
        <v>1075</v>
      </c>
      <c r="I5355" s="5" t="s">
        <v>31</v>
      </c>
      <c r="J5355" s="5">
        <v>16.524508000000001</v>
      </c>
      <c r="K5355" s="5">
        <v>-97.167264000000003</v>
      </c>
      <c r="L5355" s="5" t="str">
        <f>HYPERLINK("https://maps.google.com/?q=16.524508,-97.167264000000003", "🔗 Ver Mapa")</f>
        <v>🔗 Ver Mapa</v>
      </c>
    </row>
    <row r="5356" spans="1:12" ht="43.5" x14ac:dyDescent="0.35">
      <c r="A5356" s="6" t="s">
        <v>98</v>
      </c>
      <c r="B5356" s="6" t="s">
        <v>99</v>
      </c>
      <c r="C5356" s="6" t="s">
        <v>1073</v>
      </c>
      <c r="D5356" s="6" t="s">
        <v>14</v>
      </c>
      <c r="E5356" s="6" t="s">
        <v>39</v>
      </c>
      <c r="F5356" s="6" t="s">
        <v>494</v>
      </c>
      <c r="G5356" s="6" t="s">
        <v>1074</v>
      </c>
      <c r="H5356" s="6" t="s">
        <v>1075</v>
      </c>
      <c r="I5356" s="6" t="s">
        <v>31</v>
      </c>
      <c r="J5356" s="6">
        <v>16.524765285615999</v>
      </c>
      <c r="K5356" s="6">
        <v>-97.166888357147002</v>
      </c>
      <c r="L5356" s="6" t="str">
        <f>HYPERLINK("https://maps.google.com/?q=16.52476528561604,-97.16688835714723", "🔗 Ver Mapa")</f>
        <v>🔗 Ver Mapa</v>
      </c>
    </row>
    <row r="5357" spans="1:12" ht="43.5" x14ac:dyDescent="0.35">
      <c r="A5357" s="5" t="s">
        <v>98</v>
      </c>
      <c r="B5357" s="5" t="s">
        <v>99</v>
      </c>
      <c r="C5357" s="5" t="s">
        <v>1073</v>
      </c>
      <c r="D5357" s="5" t="s">
        <v>14</v>
      </c>
      <c r="E5357" s="5" t="s">
        <v>39</v>
      </c>
      <c r="F5357" s="5" t="s">
        <v>494</v>
      </c>
      <c r="G5357" s="5" t="s">
        <v>1074</v>
      </c>
      <c r="H5357" s="5" t="s">
        <v>1075</v>
      </c>
      <c r="I5357" s="5" t="s">
        <v>31</v>
      </c>
      <c r="J5357" s="5">
        <v>16.525639297569999</v>
      </c>
      <c r="K5357" s="5">
        <v>-97.168799732124995</v>
      </c>
      <c r="L5357" s="5" t="str">
        <f>HYPERLINK("https://maps.google.com/?q=16.5256392975705,-97.168799732124995", "🔗 Ver Mapa")</f>
        <v>🔗 Ver Mapa</v>
      </c>
    </row>
    <row r="5358" spans="1:12" ht="43.5" x14ac:dyDescent="0.35">
      <c r="A5358" s="6" t="s">
        <v>98</v>
      </c>
      <c r="B5358" s="6" t="s">
        <v>99</v>
      </c>
      <c r="C5358" s="6" t="s">
        <v>1073</v>
      </c>
      <c r="D5358" s="6" t="s">
        <v>14</v>
      </c>
      <c r="E5358" s="6" t="s">
        <v>39</v>
      </c>
      <c r="F5358" s="6" t="s">
        <v>494</v>
      </c>
      <c r="G5358" s="6" t="s">
        <v>1074</v>
      </c>
      <c r="H5358" s="6" t="s">
        <v>1075</v>
      </c>
      <c r="I5358" s="6" t="s">
        <v>31</v>
      </c>
      <c r="J5358" s="6">
        <v>16.526130567376999</v>
      </c>
      <c r="K5358" s="6">
        <v>-97.167596593918006</v>
      </c>
      <c r="L5358" s="6" t="str">
        <f>HYPERLINK("https://maps.google.com/?q=16.5261305673769,-97.167596593918304", "🔗 Ver Mapa")</f>
        <v>🔗 Ver Mapa</v>
      </c>
    </row>
    <row r="5359" spans="1:12" ht="43.5" x14ac:dyDescent="0.35">
      <c r="A5359" s="5" t="s">
        <v>98</v>
      </c>
      <c r="B5359" s="5" t="s">
        <v>99</v>
      </c>
      <c r="C5359" s="5" t="s">
        <v>1073</v>
      </c>
      <c r="D5359" s="5" t="s">
        <v>14</v>
      </c>
      <c r="E5359" s="5" t="s">
        <v>39</v>
      </c>
      <c r="F5359" s="5" t="s">
        <v>494</v>
      </c>
      <c r="G5359" s="5" t="s">
        <v>1074</v>
      </c>
      <c r="H5359" s="5" t="s">
        <v>1075</v>
      </c>
      <c r="I5359" s="5" t="s">
        <v>31</v>
      </c>
      <c r="J5359" s="5">
        <v>16.527490022548001</v>
      </c>
      <c r="K5359" s="5">
        <v>-97.169120459631998</v>
      </c>
      <c r="L5359" s="5" t="str">
        <f>HYPERLINK("https://maps.google.com/?q=16.5274900225482,-97.169120459632396", "🔗 Ver Mapa")</f>
        <v>🔗 Ver Mapa</v>
      </c>
    </row>
    <row r="5360" spans="1:12" ht="43.5" x14ac:dyDescent="0.35">
      <c r="A5360" s="6" t="s">
        <v>98</v>
      </c>
      <c r="B5360" s="6" t="s">
        <v>99</v>
      </c>
      <c r="C5360" s="6" t="s">
        <v>1073</v>
      </c>
      <c r="D5360" s="6" t="s">
        <v>14</v>
      </c>
      <c r="E5360" s="6" t="s">
        <v>39</v>
      </c>
      <c r="F5360" s="6" t="s">
        <v>494</v>
      </c>
      <c r="G5360" s="6" t="s">
        <v>1074</v>
      </c>
      <c r="H5360" s="6" t="s">
        <v>1075</v>
      </c>
      <c r="I5360" s="6" t="s">
        <v>31</v>
      </c>
      <c r="J5360" s="6">
        <v>16.527510145785001</v>
      </c>
      <c r="K5360" s="6">
        <v>-97.168940139881002</v>
      </c>
      <c r="L5360" s="6" t="str">
        <f>HYPERLINK("https://maps.google.com/?q=16.5275101457853,-97.168940139881101", "🔗 Ver Mapa")</f>
        <v>🔗 Ver Mapa</v>
      </c>
    </row>
    <row r="5361" spans="1:12" ht="43.5" x14ac:dyDescent="0.35">
      <c r="A5361" s="5" t="s">
        <v>98</v>
      </c>
      <c r="B5361" s="5" t="s">
        <v>99</v>
      </c>
      <c r="C5361" s="5" t="s">
        <v>1076</v>
      </c>
      <c r="D5361" s="5" t="s">
        <v>14</v>
      </c>
      <c r="E5361" s="5" t="s">
        <v>17</v>
      </c>
      <c r="F5361" s="5" t="s">
        <v>46</v>
      </c>
      <c r="G5361" s="5" t="s">
        <v>212</v>
      </c>
      <c r="H5361" s="5" t="s">
        <v>1077</v>
      </c>
      <c r="I5361" s="5" t="s">
        <v>31</v>
      </c>
      <c r="J5361" s="5">
        <v>16.110456088926</v>
      </c>
      <c r="K5361" s="5">
        <v>-97.596586166253005</v>
      </c>
      <c r="L5361" s="5" t="str">
        <f>HYPERLINK("https://maps.google.com/?q=16.1104560889261,-97.596586166253104", "🔗 Ver Mapa")</f>
        <v>🔗 Ver Mapa</v>
      </c>
    </row>
    <row r="5362" spans="1:12" ht="43.5" x14ac:dyDescent="0.35">
      <c r="A5362" s="6" t="s">
        <v>98</v>
      </c>
      <c r="B5362" s="6" t="s">
        <v>99</v>
      </c>
      <c r="C5362" s="6" t="s">
        <v>1076</v>
      </c>
      <c r="D5362" s="6" t="s">
        <v>14</v>
      </c>
      <c r="E5362" s="6" t="s">
        <v>17</v>
      </c>
      <c r="F5362" s="6" t="s">
        <v>46</v>
      </c>
      <c r="G5362" s="6" t="s">
        <v>212</v>
      </c>
      <c r="H5362" s="6" t="s">
        <v>1077</v>
      </c>
      <c r="I5362" s="6" t="s">
        <v>31</v>
      </c>
      <c r="J5362" s="6">
        <v>16.111006864983</v>
      </c>
      <c r="K5362" s="6">
        <v>-97.597940305557003</v>
      </c>
      <c r="L5362" s="6" t="str">
        <f>HYPERLINK("https://maps.google.com/?q=16.1110068649833,-97.597940305557202", "🔗 Ver Mapa")</f>
        <v>🔗 Ver Mapa</v>
      </c>
    </row>
    <row r="5363" spans="1:12" ht="43.5" x14ac:dyDescent="0.35">
      <c r="A5363" s="5" t="s">
        <v>98</v>
      </c>
      <c r="B5363" s="5" t="s">
        <v>99</v>
      </c>
      <c r="C5363" s="5" t="s">
        <v>1076</v>
      </c>
      <c r="D5363" s="5" t="s">
        <v>14</v>
      </c>
      <c r="E5363" s="5" t="s">
        <v>17</v>
      </c>
      <c r="F5363" s="5" t="s">
        <v>46</v>
      </c>
      <c r="G5363" s="5" t="s">
        <v>212</v>
      </c>
      <c r="H5363" s="5" t="s">
        <v>1077</v>
      </c>
      <c r="I5363" s="5" t="s">
        <v>31</v>
      </c>
      <c r="J5363" s="5">
        <v>16.118710639014001</v>
      </c>
      <c r="K5363" s="5">
        <v>-97.596248089753004</v>
      </c>
      <c r="L5363" s="5" t="str">
        <f>HYPERLINK("https://maps.google.com/?q=16.1187106390137,-97.596248089752507", "🔗 Ver Mapa")</f>
        <v>🔗 Ver Mapa</v>
      </c>
    </row>
    <row r="5364" spans="1:12" ht="43.5" x14ac:dyDescent="0.35">
      <c r="A5364" s="6" t="s">
        <v>98</v>
      </c>
      <c r="B5364" s="6" t="s">
        <v>99</v>
      </c>
      <c r="C5364" s="6" t="s">
        <v>1078</v>
      </c>
      <c r="D5364" s="6" t="s">
        <v>14</v>
      </c>
      <c r="E5364" s="6" t="s">
        <v>17</v>
      </c>
      <c r="F5364" s="6" t="s">
        <v>46</v>
      </c>
      <c r="G5364" s="6" t="s">
        <v>212</v>
      </c>
      <c r="H5364" s="6" t="s">
        <v>1079</v>
      </c>
      <c r="I5364" s="6" t="s">
        <v>31</v>
      </c>
      <c r="J5364" s="6">
        <v>16.126038300457001</v>
      </c>
      <c r="K5364" s="6">
        <v>-97.605638298626999</v>
      </c>
      <c r="L5364" s="6" t="str">
        <f>HYPERLINK("https://maps.google.com/?q=16.1260383004568,-97.6056382986269", "🔗 Ver Mapa")</f>
        <v>🔗 Ver Mapa</v>
      </c>
    </row>
    <row r="5365" spans="1:12" ht="43.5" x14ac:dyDescent="0.35">
      <c r="A5365" s="5" t="s">
        <v>98</v>
      </c>
      <c r="B5365" s="5" t="s">
        <v>99</v>
      </c>
      <c r="C5365" s="5" t="s">
        <v>1078</v>
      </c>
      <c r="D5365" s="5" t="s">
        <v>14</v>
      </c>
      <c r="E5365" s="5" t="s">
        <v>17</v>
      </c>
      <c r="F5365" s="5" t="s">
        <v>46</v>
      </c>
      <c r="G5365" s="5" t="s">
        <v>212</v>
      </c>
      <c r="H5365" s="5" t="s">
        <v>1079</v>
      </c>
      <c r="I5365" s="5" t="s">
        <v>31</v>
      </c>
      <c r="J5365" s="5">
        <v>16.126276009137001</v>
      </c>
      <c r="K5365" s="5">
        <v>-97.605611309192</v>
      </c>
      <c r="L5365" s="5" t="str">
        <f>HYPERLINK("https://maps.google.com/?q=16.1262760091372,-97.605611309192497", "🔗 Ver Mapa")</f>
        <v>🔗 Ver Mapa</v>
      </c>
    </row>
    <row r="5366" spans="1:12" ht="43.5" x14ac:dyDescent="0.35">
      <c r="A5366" s="6" t="s">
        <v>98</v>
      </c>
      <c r="B5366" s="6" t="s">
        <v>99</v>
      </c>
      <c r="C5366" s="6" t="s">
        <v>1078</v>
      </c>
      <c r="D5366" s="6" t="s">
        <v>14</v>
      </c>
      <c r="E5366" s="6" t="s">
        <v>17</v>
      </c>
      <c r="F5366" s="6" t="s">
        <v>46</v>
      </c>
      <c r="G5366" s="6" t="s">
        <v>212</v>
      </c>
      <c r="H5366" s="6" t="s">
        <v>1079</v>
      </c>
      <c r="I5366" s="6" t="s">
        <v>31</v>
      </c>
      <c r="J5366" s="6">
        <v>16.126811567665001</v>
      </c>
      <c r="K5366" s="6">
        <v>-97.608526739929999</v>
      </c>
      <c r="L5366" s="6" t="str">
        <f>HYPERLINK("https://maps.google.com/?q=16.1268115676653,-97.608526739929701", "🔗 Ver Mapa")</f>
        <v>🔗 Ver Mapa</v>
      </c>
    </row>
    <row r="5367" spans="1:12" ht="43.5" x14ac:dyDescent="0.35">
      <c r="A5367" s="5" t="s">
        <v>98</v>
      </c>
      <c r="B5367" s="5" t="s">
        <v>99</v>
      </c>
      <c r="C5367" s="5" t="s">
        <v>1078</v>
      </c>
      <c r="D5367" s="5" t="s">
        <v>14</v>
      </c>
      <c r="E5367" s="5" t="s">
        <v>17</v>
      </c>
      <c r="F5367" s="5" t="s">
        <v>46</v>
      </c>
      <c r="G5367" s="5" t="s">
        <v>212</v>
      </c>
      <c r="H5367" s="5" t="s">
        <v>1079</v>
      </c>
      <c r="I5367" s="5" t="s">
        <v>31</v>
      </c>
      <c r="J5367" s="5">
        <v>16.128726149117</v>
      </c>
      <c r="K5367" s="5">
        <v>-97.608022898504004</v>
      </c>
      <c r="L5367" s="5" t="str">
        <f>HYPERLINK("https://maps.google.com/?q=16.1287261491173,-97.608022898504203", "🔗 Ver Mapa")</f>
        <v>🔗 Ver Mapa</v>
      </c>
    </row>
    <row r="5368" spans="1:12" ht="43.5" x14ac:dyDescent="0.35">
      <c r="A5368" s="6" t="s">
        <v>98</v>
      </c>
      <c r="B5368" s="6" t="s">
        <v>99</v>
      </c>
      <c r="C5368" s="6" t="s">
        <v>1078</v>
      </c>
      <c r="D5368" s="6" t="s">
        <v>14</v>
      </c>
      <c r="E5368" s="6" t="s">
        <v>17</v>
      </c>
      <c r="F5368" s="6" t="s">
        <v>46</v>
      </c>
      <c r="G5368" s="6" t="s">
        <v>212</v>
      </c>
      <c r="H5368" s="6" t="s">
        <v>1079</v>
      </c>
      <c r="I5368" s="6" t="s">
        <v>31</v>
      </c>
      <c r="J5368" s="6">
        <v>16.12889967429</v>
      </c>
      <c r="K5368" s="6">
        <v>-97.602131310339999</v>
      </c>
      <c r="L5368" s="6" t="str">
        <f>HYPERLINK("https://maps.google.com/?q=16.1288996742897,-97.602131310339601", "🔗 Ver Mapa")</f>
        <v>🔗 Ver Mapa</v>
      </c>
    </row>
    <row r="5369" spans="1:12" ht="43.5" x14ac:dyDescent="0.35">
      <c r="A5369" s="5" t="s">
        <v>98</v>
      </c>
      <c r="B5369" s="5" t="s">
        <v>99</v>
      </c>
      <c r="C5369" s="5" t="s">
        <v>1078</v>
      </c>
      <c r="D5369" s="5" t="s">
        <v>14</v>
      </c>
      <c r="E5369" s="5" t="s">
        <v>17</v>
      </c>
      <c r="F5369" s="5" t="s">
        <v>46</v>
      </c>
      <c r="G5369" s="5" t="s">
        <v>212</v>
      </c>
      <c r="H5369" s="5" t="s">
        <v>1079</v>
      </c>
      <c r="I5369" s="5" t="s">
        <v>31</v>
      </c>
      <c r="J5369" s="5">
        <v>16.130903564417</v>
      </c>
      <c r="K5369" s="5">
        <v>-97.603248078712994</v>
      </c>
      <c r="L5369" s="5" t="str">
        <f>HYPERLINK("https://maps.google.com/?q=16.1309035644172,-97.603248078712596", "🔗 Ver Mapa")</f>
        <v>🔗 Ver Mapa</v>
      </c>
    </row>
    <row r="5370" spans="1:12" ht="43.5" x14ac:dyDescent="0.35">
      <c r="A5370" s="6" t="s">
        <v>98</v>
      </c>
      <c r="B5370" s="6" t="s">
        <v>99</v>
      </c>
      <c r="C5370" s="6" t="s">
        <v>1080</v>
      </c>
      <c r="D5370" s="6" t="s">
        <v>14</v>
      </c>
      <c r="E5370" s="6" t="s">
        <v>17</v>
      </c>
      <c r="F5370" s="6" t="s">
        <v>46</v>
      </c>
      <c r="G5370" s="6" t="s">
        <v>212</v>
      </c>
      <c r="H5370" s="6" t="s">
        <v>1081</v>
      </c>
      <c r="I5370" s="6" t="s">
        <v>31</v>
      </c>
      <c r="J5370" s="6">
        <v>15.971524256035</v>
      </c>
      <c r="K5370" s="6">
        <v>-97.245472233135004</v>
      </c>
      <c r="L5370" s="6" t="str">
        <f>HYPERLINK("https://maps.google.com/?q=15.9715242560345,-97.245472233135104", "🔗 Ver Mapa")</f>
        <v>🔗 Ver Mapa</v>
      </c>
    </row>
    <row r="5371" spans="1:12" ht="43.5" x14ac:dyDescent="0.35">
      <c r="A5371" s="5" t="s">
        <v>98</v>
      </c>
      <c r="B5371" s="5" t="s">
        <v>99</v>
      </c>
      <c r="C5371" s="5" t="s">
        <v>1080</v>
      </c>
      <c r="D5371" s="5" t="s">
        <v>14</v>
      </c>
      <c r="E5371" s="5" t="s">
        <v>17</v>
      </c>
      <c r="F5371" s="5" t="s">
        <v>46</v>
      </c>
      <c r="G5371" s="5" t="s">
        <v>212</v>
      </c>
      <c r="H5371" s="5" t="s">
        <v>1081</v>
      </c>
      <c r="I5371" s="5" t="s">
        <v>31</v>
      </c>
      <c r="J5371" s="5">
        <v>15.972480590090999</v>
      </c>
      <c r="K5371" s="5">
        <v>-97.242973325931004</v>
      </c>
      <c r="L5371" s="5" t="str">
        <f>HYPERLINK("https://maps.google.com/?q=15.9724805900906,-97.242973325930805", "🔗 Ver Mapa")</f>
        <v>🔗 Ver Mapa</v>
      </c>
    </row>
    <row r="5372" spans="1:12" ht="43.5" x14ac:dyDescent="0.35">
      <c r="A5372" s="6" t="s">
        <v>98</v>
      </c>
      <c r="B5372" s="6" t="s">
        <v>99</v>
      </c>
      <c r="C5372" s="6" t="s">
        <v>1080</v>
      </c>
      <c r="D5372" s="6" t="s">
        <v>14</v>
      </c>
      <c r="E5372" s="6" t="s">
        <v>17</v>
      </c>
      <c r="F5372" s="6" t="s">
        <v>46</v>
      </c>
      <c r="G5372" s="6" t="s">
        <v>212</v>
      </c>
      <c r="H5372" s="6" t="s">
        <v>1081</v>
      </c>
      <c r="I5372" s="6" t="s">
        <v>31</v>
      </c>
      <c r="J5372" s="6">
        <v>15.972908647123999</v>
      </c>
      <c r="K5372" s="6">
        <v>-97.242713151656005</v>
      </c>
      <c r="L5372" s="6" t="str">
        <f>HYPERLINK("https://maps.google.com/?q=15.9729086471241,-97.242713151656403", "🔗 Ver Mapa")</f>
        <v>🔗 Ver Mapa</v>
      </c>
    </row>
    <row r="5373" spans="1:12" ht="43.5" x14ac:dyDescent="0.35">
      <c r="A5373" s="5" t="s">
        <v>98</v>
      </c>
      <c r="B5373" s="5" t="s">
        <v>99</v>
      </c>
      <c r="C5373" s="5" t="s">
        <v>1080</v>
      </c>
      <c r="D5373" s="5" t="s">
        <v>14</v>
      </c>
      <c r="E5373" s="5" t="s">
        <v>17</v>
      </c>
      <c r="F5373" s="5" t="s">
        <v>46</v>
      </c>
      <c r="G5373" s="5" t="s">
        <v>212</v>
      </c>
      <c r="H5373" s="5" t="s">
        <v>1081</v>
      </c>
      <c r="I5373" s="5" t="s">
        <v>31</v>
      </c>
      <c r="J5373" s="5">
        <v>15.973076259569</v>
      </c>
      <c r="K5373" s="5">
        <v>-97.242900906287005</v>
      </c>
      <c r="L5373" s="5" t="str">
        <f>HYPERLINK("https://maps.google.com/?q=15.9730762595686,-97.242900906287403", "🔗 Ver Mapa")</f>
        <v>🔗 Ver Mapa</v>
      </c>
    </row>
    <row r="5374" spans="1:12" ht="43.5" x14ac:dyDescent="0.35">
      <c r="A5374" s="6" t="s">
        <v>98</v>
      </c>
      <c r="B5374" s="6" t="s">
        <v>99</v>
      </c>
      <c r="C5374" s="6" t="s">
        <v>1080</v>
      </c>
      <c r="D5374" s="6" t="s">
        <v>14</v>
      </c>
      <c r="E5374" s="6" t="s">
        <v>17</v>
      </c>
      <c r="F5374" s="6" t="s">
        <v>46</v>
      </c>
      <c r="G5374" s="6" t="s">
        <v>212</v>
      </c>
      <c r="H5374" s="6" t="s">
        <v>1081</v>
      </c>
      <c r="I5374" s="6" t="s">
        <v>31</v>
      </c>
      <c r="J5374" s="6">
        <v>15.973169091016</v>
      </c>
      <c r="K5374" s="6">
        <v>-97.241535661898993</v>
      </c>
      <c r="L5374" s="6" t="str">
        <f>HYPERLINK("https://maps.google.com/?q=15.973169091016,-97.241535661898595", "🔗 Ver Mapa")</f>
        <v>🔗 Ver Mapa</v>
      </c>
    </row>
    <row r="5375" spans="1:12" ht="43.5" x14ac:dyDescent="0.35">
      <c r="A5375" s="5" t="s">
        <v>98</v>
      </c>
      <c r="B5375" s="5" t="s">
        <v>99</v>
      </c>
      <c r="C5375" s="5" t="s">
        <v>1080</v>
      </c>
      <c r="D5375" s="5" t="s">
        <v>14</v>
      </c>
      <c r="E5375" s="5" t="s">
        <v>17</v>
      </c>
      <c r="F5375" s="5" t="s">
        <v>46</v>
      </c>
      <c r="G5375" s="5" t="s">
        <v>212</v>
      </c>
      <c r="H5375" s="5" t="s">
        <v>1081</v>
      </c>
      <c r="I5375" s="5" t="s">
        <v>31</v>
      </c>
      <c r="J5375" s="5">
        <v>15.973223131460999</v>
      </c>
      <c r="K5375" s="5">
        <v>-97.245209412053001</v>
      </c>
      <c r="L5375" s="5" t="str">
        <f>HYPERLINK("https://maps.google.com/?q=15.9732231314606,-97.2452094120531", "🔗 Ver Mapa")</f>
        <v>🔗 Ver Mapa</v>
      </c>
    </row>
    <row r="5376" spans="1:12" ht="43.5" x14ac:dyDescent="0.35">
      <c r="A5376" s="6" t="s">
        <v>98</v>
      </c>
      <c r="B5376" s="6" t="s">
        <v>99</v>
      </c>
      <c r="C5376" s="6" t="s">
        <v>1080</v>
      </c>
      <c r="D5376" s="6" t="s">
        <v>14</v>
      </c>
      <c r="E5376" s="6" t="s">
        <v>17</v>
      </c>
      <c r="F5376" s="6" t="s">
        <v>46</v>
      </c>
      <c r="G5376" s="6" t="s">
        <v>212</v>
      </c>
      <c r="H5376" s="6" t="s">
        <v>1081</v>
      </c>
      <c r="I5376" s="6" t="s">
        <v>31</v>
      </c>
      <c r="J5376" s="6">
        <v>15.973799555891</v>
      </c>
      <c r="K5376" s="6">
        <v>-97.242858930059</v>
      </c>
      <c r="L5376" s="6" t="str">
        <f>HYPERLINK("https://maps.google.com/?q=15.9737995558915,-97.242858930059398", "🔗 Ver Mapa")</f>
        <v>🔗 Ver Mapa</v>
      </c>
    </row>
    <row r="5377" spans="1:12" ht="43.5" x14ac:dyDescent="0.35">
      <c r="A5377" s="5" t="s">
        <v>98</v>
      </c>
      <c r="B5377" s="5" t="s">
        <v>99</v>
      </c>
      <c r="C5377" s="5" t="s">
        <v>1080</v>
      </c>
      <c r="D5377" s="5" t="s">
        <v>14</v>
      </c>
      <c r="E5377" s="5" t="s">
        <v>17</v>
      </c>
      <c r="F5377" s="5" t="s">
        <v>46</v>
      </c>
      <c r="G5377" s="5" t="s">
        <v>212</v>
      </c>
      <c r="H5377" s="5" t="s">
        <v>1081</v>
      </c>
      <c r="I5377" s="5" t="s">
        <v>31</v>
      </c>
      <c r="J5377" s="5">
        <v>15.973829224511</v>
      </c>
      <c r="K5377" s="5">
        <v>-97.239974616251999</v>
      </c>
      <c r="L5377" s="5" t="str">
        <f>HYPERLINK("https://maps.google.com/?q=15.9738292245111,-97.2399746162518", "🔗 Ver Mapa")</f>
        <v>🔗 Ver Mapa</v>
      </c>
    </row>
    <row r="5378" spans="1:12" ht="43.5" x14ac:dyDescent="0.35">
      <c r="A5378" s="6" t="s">
        <v>98</v>
      </c>
      <c r="B5378" s="6" t="s">
        <v>99</v>
      </c>
      <c r="C5378" s="6" t="s">
        <v>1080</v>
      </c>
      <c r="D5378" s="6" t="s">
        <v>14</v>
      </c>
      <c r="E5378" s="6" t="s">
        <v>17</v>
      </c>
      <c r="F5378" s="6" t="s">
        <v>46</v>
      </c>
      <c r="G5378" s="6" t="s">
        <v>212</v>
      </c>
      <c r="H5378" s="6" t="s">
        <v>1081</v>
      </c>
      <c r="I5378" s="6" t="s">
        <v>31</v>
      </c>
      <c r="J5378" s="6">
        <v>15.974020043944</v>
      </c>
      <c r="K5378" s="6">
        <v>-97.240902660570995</v>
      </c>
      <c r="L5378" s="6" t="str">
        <f>HYPERLINK("https://maps.google.com/?q=15.9740200439437,-97.240902660570995", "🔗 Ver Mapa")</f>
        <v>🔗 Ver Mapa</v>
      </c>
    </row>
    <row r="5379" spans="1:12" ht="43.5" x14ac:dyDescent="0.35">
      <c r="A5379" s="5" t="s">
        <v>98</v>
      </c>
      <c r="B5379" s="5" t="s">
        <v>99</v>
      </c>
      <c r="C5379" s="5" t="s">
        <v>1080</v>
      </c>
      <c r="D5379" s="5" t="s">
        <v>14</v>
      </c>
      <c r="E5379" s="5" t="s">
        <v>17</v>
      </c>
      <c r="F5379" s="5" t="s">
        <v>46</v>
      </c>
      <c r="G5379" s="5" t="s">
        <v>212</v>
      </c>
      <c r="H5379" s="5" t="s">
        <v>1081</v>
      </c>
      <c r="I5379" s="5" t="s">
        <v>31</v>
      </c>
      <c r="J5379" s="5">
        <v>15.974515142164</v>
      </c>
      <c r="K5379" s="5">
        <v>-97.241361318312002</v>
      </c>
      <c r="L5379" s="5" t="str">
        <f>HYPERLINK("https://maps.google.com/?q=15.974515142164,-97.2413613183124", "🔗 Ver Mapa")</f>
        <v>🔗 Ver Mapa</v>
      </c>
    </row>
    <row r="5380" spans="1:12" ht="43.5" x14ac:dyDescent="0.35">
      <c r="A5380" s="6" t="s">
        <v>98</v>
      </c>
      <c r="B5380" s="6" t="s">
        <v>99</v>
      </c>
      <c r="C5380" s="6" t="s">
        <v>1080</v>
      </c>
      <c r="D5380" s="6" t="s">
        <v>14</v>
      </c>
      <c r="E5380" s="6" t="s">
        <v>17</v>
      </c>
      <c r="F5380" s="6" t="s">
        <v>46</v>
      </c>
      <c r="G5380" s="6" t="s">
        <v>212</v>
      </c>
      <c r="H5380" s="6" t="s">
        <v>1081</v>
      </c>
      <c r="I5380" s="6" t="s">
        <v>31</v>
      </c>
      <c r="J5380" s="6">
        <v>15.974888561992</v>
      </c>
      <c r="K5380" s="6">
        <v>-97.240979710312004</v>
      </c>
      <c r="L5380" s="6" t="str">
        <f>HYPERLINK("https://maps.google.com/?q=15.9748885619917,-97.240979710311905", "🔗 Ver Mapa")</f>
        <v>🔗 Ver Mapa</v>
      </c>
    </row>
    <row r="5381" spans="1:12" ht="43.5" x14ac:dyDescent="0.35">
      <c r="A5381" s="5" t="s">
        <v>98</v>
      </c>
      <c r="B5381" s="5" t="s">
        <v>99</v>
      </c>
      <c r="C5381" s="5" t="s">
        <v>1080</v>
      </c>
      <c r="D5381" s="5" t="s">
        <v>14</v>
      </c>
      <c r="E5381" s="5" t="s">
        <v>17</v>
      </c>
      <c r="F5381" s="5" t="s">
        <v>46</v>
      </c>
      <c r="G5381" s="5" t="s">
        <v>212</v>
      </c>
      <c r="H5381" s="5" t="s">
        <v>1081</v>
      </c>
      <c r="I5381" s="5" t="s">
        <v>31</v>
      </c>
      <c r="J5381" s="5">
        <v>15.975853835837</v>
      </c>
      <c r="K5381" s="5">
        <v>-97.243582623924993</v>
      </c>
      <c r="L5381" s="5" t="str">
        <f>HYPERLINK("https://maps.google.com/?q=15.9758538358375,-97.243582623925107", "🔗 Ver Mapa")</f>
        <v>🔗 Ver Mapa</v>
      </c>
    </row>
    <row r="5382" spans="1:12" ht="43.5" x14ac:dyDescent="0.35">
      <c r="A5382" s="6" t="s">
        <v>98</v>
      </c>
      <c r="B5382" s="6" t="s">
        <v>99</v>
      </c>
      <c r="C5382" s="6" t="s">
        <v>1080</v>
      </c>
      <c r="D5382" s="6" t="s">
        <v>14</v>
      </c>
      <c r="E5382" s="6" t="s">
        <v>17</v>
      </c>
      <c r="F5382" s="6" t="s">
        <v>46</v>
      </c>
      <c r="G5382" s="6" t="s">
        <v>212</v>
      </c>
      <c r="H5382" s="6" t="s">
        <v>1081</v>
      </c>
      <c r="I5382" s="6" t="s">
        <v>31</v>
      </c>
      <c r="J5382" s="6">
        <v>15.976139417528</v>
      </c>
      <c r="K5382" s="6">
        <v>-97.241598177910006</v>
      </c>
      <c r="L5382" s="6" t="str">
        <f>HYPERLINK("https://maps.google.com/?q=15.9761394175277,-97.241598177909793", "🔗 Ver Mapa")</f>
        <v>🔗 Ver Mapa</v>
      </c>
    </row>
    <row r="5383" spans="1:12" ht="43.5" x14ac:dyDescent="0.35">
      <c r="A5383" s="5" t="s">
        <v>98</v>
      </c>
      <c r="B5383" s="5" t="s">
        <v>99</v>
      </c>
      <c r="C5383" s="5" t="s">
        <v>1080</v>
      </c>
      <c r="D5383" s="5" t="s">
        <v>14</v>
      </c>
      <c r="E5383" s="5" t="s">
        <v>17</v>
      </c>
      <c r="F5383" s="5" t="s">
        <v>46</v>
      </c>
      <c r="G5383" s="5" t="s">
        <v>212</v>
      </c>
      <c r="H5383" s="5" t="s">
        <v>1081</v>
      </c>
      <c r="I5383" s="5" t="s">
        <v>31</v>
      </c>
      <c r="J5383" s="5">
        <v>15.976504901993</v>
      </c>
      <c r="K5383" s="5">
        <v>-97.241514944775005</v>
      </c>
      <c r="L5383" s="5" t="str">
        <f>HYPERLINK("https://maps.google.com/?q=15.9765049019933,-97.241514944774593", "🔗 Ver Mapa")</f>
        <v>🔗 Ver Mapa</v>
      </c>
    </row>
    <row r="5384" spans="1:12" ht="43.5" x14ac:dyDescent="0.35">
      <c r="A5384" s="6" t="s">
        <v>98</v>
      </c>
      <c r="B5384" s="6" t="s">
        <v>99</v>
      </c>
      <c r="C5384" s="6" t="s">
        <v>1080</v>
      </c>
      <c r="D5384" s="6" t="s">
        <v>14</v>
      </c>
      <c r="E5384" s="6" t="s">
        <v>17</v>
      </c>
      <c r="F5384" s="6" t="s">
        <v>46</v>
      </c>
      <c r="G5384" s="6" t="s">
        <v>212</v>
      </c>
      <c r="H5384" s="6" t="s">
        <v>1081</v>
      </c>
      <c r="I5384" s="6" t="s">
        <v>31</v>
      </c>
      <c r="J5384" s="6">
        <v>15.976524424609</v>
      </c>
      <c r="K5384" s="6">
        <v>-97.245309137437999</v>
      </c>
      <c r="L5384" s="6" t="str">
        <f>HYPERLINK("https://maps.google.com/?q=15.9765244246089,-97.2453091374378", "🔗 Ver Mapa")</f>
        <v>🔗 Ver Mapa</v>
      </c>
    </row>
    <row r="5385" spans="1:12" ht="43.5" x14ac:dyDescent="0.35">
      <c r="A5385" s="5" t="s">
        <v>98</v>
      </c>
      <c r="B5385" s="5" t="s">
        <v>99</v>
      </c>
      <c r="C5385" s="5" t="s">
        <v>1080</v>
      </c>
      <c r="D5385" s="5" t="s">
        <v>14</v>
      </c>
      <c r="E5385" s="5" t="s">
        <v>17</v>
      </c>
      <c r="F5385" s="5" t="s">
        <v>46</v>
      </c>
      <c r="G5385" s="5" t="s">
        <v>212</v>
      </c>
      <c r="H5385" s="5" t="s">
        <v>1081</v>
      </c>
      <c r="I5385" s="5" t="s">
        <v>31</v>
      </c>
      <c r="J5385" s="5">
        <v>15.976617316923999</v>
      </c>
      <c r="K5385" s="5">
        <v>-97.245195285880001</v>
      </c>
      <c r="L5385" s="5" t="str">
        <f>HYPERLINK("https://maps.google.com/?q=15.9766173169236,-97.245195285880499", "🔗 Ver Mapa")</f>
        <v>🔗 Ver Mapa</v>
      </c>
    </row>
    <row r="5386" spans="1:12" ht="43.5" x14ac:dyDescent="0.35">
      <c r="A5386" s="6" t="s">
        <v>98</v>
      </c>
      <c r="B5386" s="6" t="s">
        <v>99</v>
      </c>
      <c r="C5386" s="6" t="s">
        <v>1080</v>
      </c>
      <c r="D5386" s="6" t="s">
        <v>14</v>
      </c>
      <c r="E5386" s="6" t="s">
        <v>17</v>
      </c>
      <c r="F5386" s="6" t="s">
        <v>46</v>
      </c>
      <c r="G5386" s="6" t="s">
        <v>212</v>
      </c>
      <c r="H5386" s="6" t="s">
        <v>1081</v>
      </c>
      <c r="I5386" s="6" t="s">
        <v>31</v>
      </c>
      <c r="J5386" s="6">
        <v>15.976659209951</v>
      </c>
      <c r="K5386" s="6">
        <v>-97.242447557042993</v>
      </c>
      <c r="L5386" s="6" t="str">
        <f>HYPERLINK("https://maps.google.com/?q=15.9766592099514,-97.242447557042993", "🔗 Ver Mapa")</f>
        <v>🔗 Ver Mapa</v>
      </c>
    </row>
    <row r="5387" spans="1:12" ht="43.5" x14ac:dyDescent="0.35">
      <c r="A5387" s="5" t="s">
        <v>98</v>
      </c>
      <c r="B5387" s="5" t="s">
        <v>99</v>
      </c>
      <c r="C5387" s="5" t="s">
        <v>1080</v>
      </c>
      <c r="D5387" s="5" t="s">
        <v>14</v>
      </c>
      <c r="E5387" s="5" t="s">
        <v>17</v>
      </c>
      <c r="F5387" s="5" t="s">
        <v>46</v>
      </c>
      <c r="G5387" s="5" t="s">
        <v>212</v>
      </c>
      <c r="H5387" s="5" t="s">
        <v>1081</v>
      </c>
      <c r="I5387" s="5" t="s">
        <v>31</v>
      </c>
      <c r="J5387" s="5">
        <v>15.976773141118001</v>
      </c>
      <c r="K5387" s="5">
        <v>-97.242144682209002</v>
      </c>
      <c r="L5387" s="5" t="str">
        <f>HYPERLINK("https://maps.google.com/?q=15.9767731411176,-97.242144682209002", "🔗 Ver Mapa")</f>
        <v>🔗 Ver Mapa</v>
      </c>
    </row>
    <row r="5388" spans="1:12" ht="43.5" x14ac:dyDescent="0.35">
      <c r="A5388" s="6" t="s">
        <v>98</v>
      </c>
      <c r="B5388" s="6" t="s">
        <v>99</v>
      </c>
      <c r="C5388" s="6" t="s">
        <v>1080</v>
      </c>
      <c r="D5388" s="6" t="s">
        <v>14</v>
      </c>
      <c r="E5388" s="6" t="s">
        <v>17</v>
      </c>
      <c r="F5388" s="6" t="s">
        <v>46</v>
      </c>
      <c r="G5388" s="6" t="s">
        <v>212</v>
      </c>
      <c r="H5388" s="6" t="s">
        <v>1081</v>
      </c>
      <c r="I5388" s="6" t="s">
        <v>31</v>
      </c>
      <c r="J5388" s="6">
        <v>15.976876713197001</v>
      </c>
      <c r="K5388" s="6">
        <v>-97.242959402446999</v>
      </c>
      <c r="L5388" s="6" t="str">
        <f>HYPERLINK("https://maps.google.com/?q=15.976876713197,-97.242959402446502", "🔗 Ver Mapa")</f>
        <v>🔗 Ver Mapa</v>
      </c>
    </row>
    <row r="5389" spans="1:12" ht="43.5" x14ac:dyDescent="0.35">
      <c r="A5389" s="5" t="s">
        <v>98</v>
      </c>
      <c r="B5389" s="5" t="s">
        <v>99</v>
      </c>
      <c r="C5389" s="5" t="s">
        <v>1082</v>
      </c>
      <c r="D5389" s="5" t="s">
        <v>14</v>
      </c>
      <c r="E5389" s="5" t="s">
        <v>17</v>
      </c>
      <c r="F5389" s="5" t="s">
        <v>46</v>
      </c>
      <c r="G5389" s="5" t="s">
        <v>212</v>
      </c>
      <c r="H5389" s="5" t="s">
        <v>264</v>
      </c>
      <c r="I5389" s="5" t="s">
        <v>31</v>
      </c>
      <c r="J5389" s="5">
        <v>16.089733762508999</v>
      </c>
      <c r="K5389" s="5">
        <v>-97.690612376651998</v>
      </c>
      <c r="L5389" s="5" t="str">
        <f>HYPERLINK("https://maps.google.com/?q=16.0897337625093,-97.690612376651899", "🔗 Ver Mapa")</f>
        <v>🔗 Ver Mapa</v>
      </c>
    </row>
    <row r="5390" spans="1:12" ht="43.5" x14ac:dyDescent="0.35">
      <c r="A5390" s="6" t="s">
        <v>98</v>
      </c>
      <c r="B5390" s="6" t="s">
        <v>99</v>
      </c>
      <c r="C5390" s="6" t="s">
        <v>1082</v>
      </c>
      <c r="D5390" s="6" t="s">
        <v>14</v>
      </c>
      <c r="E5390" s="6" t="s">
        <v>17</v>
      </c>
      <c r="F5390" s="6" t="s">
        <v>46</v>
      </c>
      <c r="G5390" s="6" t="s">
        <v>212</v>
      </c>
      <c r="H5390" s="6" t="s">
        <v>264</v>
      </c>
      <c r="I5390" s="6" t="s">
        <v>31</v>
      </c>
      <c r="J5390" s="6">
        <v>16.090663977146999</v>
      </c>
      <c r="K5390" s="6">
        <v>-97.690682205799007</v>
      </c>
      <c r="L5390" s="6" t="str">
        <f>HYPERLINK("https://maps.google.com/?q=16.0906639771474,-97.690682205799106", "🔗 Ver Mapa")</f>
        <v>🔗 Ver Mapa</v>
      </c>
    </row>
    <row r="5391" spans="1:12" ht="43.5" x14ac:dyDescent="0.35">
      <c r="A5391" s="5" t="s">
        <v>98</v>
      </c>
      <c r="B5391" s="5" t="s">
        <v>99</v>
      </c>
      <c r="C5391" s="5" t="s">
        <v>1082</v>
      </c>
      <c r="D5391" s="5" t="s">
        <v>14</v>
      </c>
      <c r="E5391" s="5" t="s">
        <v>17</v>
      </c>
      <c r="F5391" s="5" t="s">
        <v>46</v>
      </c>
      <c r="G5391" s="5" t="s">
        <v>212</v>
      </c>
      <c r="H5391" s="5" t="s">
        <v>264</v>
      </c>
      <c r="I5391" s="5" t="s">
        <v>31</v>
      </c>
      <c r="J5391" s="5">
        <v>16.091110207258001</v>
      </c>
      <c r="K5391" s="5">
        <v>-97.689709123032003</v>
      </c>
      <c r="L5391" s="5" t="str">
        <f>HYPERLINK("https://maps.google.com/?q=16.0911102072584,-97.689709123031506", "🔗 Ver Mapa")</f>
        <v>🔗 Ver Mapa</v>
      </c>
    </row>
    <row r="5392" spans="1:12" ht="43.5" x14ac:dyDescent="0.35">
      <c r="A5392" s="6" t="s">
        <v>98</v>
      </c>
      <c r="B5392" s="6" t="s">
        <v>99</v>
      </c>
      <c r="C5392" s="6" t="s">
        <v>1082</v>
      </c>
      <c r="D5392" s="6" t="s">
        <v>14</v>
      </c>
      <c r="E5392" s="6" t="s">
        <v>17</v>
      </c>
      <c r="F5392" s="6" t="s">
        <v>46</v>
      </c>
      <c r="G5392" s="6" t="s">
        <v>212</v>
      </c>
      <c r="H5392" s="6" t="s">
        <v>264</v>
      </c>
      <c r="I5392" s="6" t="s">
        <v>31</v>
      </c>
      <c r="J5392" s="6">
        <v>16.091393624692</v>
      </c>
      <c r="K5392" s="6">
        <v>-97.689502278782001</v>
      </c>
      <c r="L5392" s="6" t="str">
        <f>HYPERLINK("https://maps.google.com/?q=16.0913936246917,-97.689502278781603", "🔗 Ver Mapa")</f>
        <v>🔗 Ver Mapa</v>
      </c>
    </row>
    <row r="5393" spans="1:12" ht="43.5" x14ac:dyDescent="0.35">
      <c r="A5393" s="5" t="s">
        <v>98</v>
      </c>
      <c r="B5393" s="5" t="s">
        <v>99</v>
      </c>
      <c r="C5393" s="5" t="s">
        <v>1082</v>
      </c>
      <c r="D5393" s="5" t="s">
        <v>14</v>
      </c>
      <c r="E5393" s="5" t="s">
        <v>17</v>
      </c>
      <c r="F5393" s="5" t="s">
        <v>46</v>
      </c>
      <c r="G5393" s="5" t="s">
        <v>212</v>
      </c>
      <c r="H5393" s="5" t="s">
        <v>264</v>
      </c>
      <c r="I5393" s="5" t="s">
        <v>31</v>
      </c>
      <c r="J5393" s="5">
        <v>16.091992425901999</v>
      </c>
      <c r="K5393" s="5">
        <v>-97.689029005871006</v>
      </c>
      <c r="L5393" s="5" t="str">
        <f>HYPERLINK("https://maps.google.com/?q=16.0919924259017,-97.689029005871106", "🔗 Ver Mapa")</f>
        <v>🔗 Ver Mapa</v>
      </c>
    </row>
    <row r="5394" spans="1:12" ht="43.5" x14ac:dyDescent="0.35">
      <c r="A5394" s="6" t="s">
        <v>98</v>
      </c>
      <c r="B5394" s="6" t="s">
        <v>99</v>
      </c>
      <c r="C5394" s="6" t="s">
        <v>1082</v>
      </c>
      <c r="D5394" s="6" t="s">
        <v>14</v>
      </c>
      <c r="E5394" s="6" t="s">
        <v>17</v>
      </c>
      <c r="F5394" s="6" t="s">
        <v>46</v>
      </c>
      <c r="G5394" s="6" t="s">
        <v>212</v>
      </c>
      <c r="H5394" s="6" t="s">
        <v>264</v>
      </c>
      <c r="I5394" s="6" t="s">
        <v>31</v>
      </c>
      <c r="J5394" s="6">
        <v>16.092317873190002</v>
      </c>
      <c r="K5394" s="6">
        <v>-97.688033913029003</v>
      </c>
      <c r="L5394" s="6" t="str">
        <f>HYPERLINK("https://maps.google.com/?q=16.0923178731902,-97.688033913029201", "🔗 Ver Mapa")</f>
        <v>🔗 Ver Mapa</v>
      </c>
    </row>
    <row r="5395" spans="1:12" ht="43.5" x14ac:dyDescent="0.35">
      <c r="A5395" s="5" t="s">
        <v>98</v>
      </c>
      <c r="B5395" s="5" t="s">
        <v>99</v>
      </c>
      <c r="C5395" s="5" t="s">
        <v>1082</v>
      </c>
      <c r="D5395" s="5" t="s">
        <v>14</v>
      </c>
      <c r="E5395" s="5" t="s">
        <v>17</v>
      </c>
      <c r="F5395" s="5" t="s">
        <v>46</v>
      </c>
      <c r="G5395" s="5" t="s">
        <v>212</v>
      </c>
      <c r="H5395" s="5" t="s">
        <v>264</v>
      </c>
      <c r="I5395" s="5" t="s">
        <v>31</v>
      </c>
      <c r="J5395" s="5">
        <v>16.092384361242999</v>
      </c>
      <c r="K5395" s="5">
        <v>-97.691698704562995</v>
      </c>
      <c r="L5395" s="5" t="str">
        <f>HYPERLINK("https://maps.google.com/?q=16.0923843612433,-97.691698704562995", "🔗 Ver Mapa")</f>
        <v>🔗 Ver Mapa</v>
      </c>
    </row>
    <row r="5396" spans="1:12" ht="43.5" x14ac:dyDescent="0.35">
      <c r="A5396" s="6" t="s">
        <v>98</v>
      </c>
      <c r="B5396" s="6" t="s">
        <v>99</v>
      </c>
      <c r="C5396" s="6" t="s">
        <v>1082</v>
      </c>
      <c r="D5396" s="6" t="s">
        <v>14</v>
      </c>
      <c r="E5396" s="6" t="s">
        <v>17</v>
      </c>
      <c r="F5396" s="6" t="s">
        <v>46</v>
      </c>
      <c r="G5396" s="6" t="s">
        <v>212</v>
      </c>
      <c r="H5396" s="6" t="s">
        <v>264</v>
      </c>
      <c r="I5396" s="6" t="s">
        <v>31</v>
      </c>
      <c r="J5396" s="6">
        <v>16.092411230947</v>
      </c>
      <c r="K5396" s="6">
        <v>-97.688001237118002</v>
      </c>
      <c r="L5396" s="6" t="str">
        <f>HYPERLINK("https://maps.google.com/?q=16.0924112309471,-97.688001237118002", "🔗 Ver Mapa")</f>
        <v>🔗 Ver Mapa</v>
      </c>
    </row>
    <row r="5397" spans="1:12" ht="43.5" x14ac:dyDescent="0.35">
      <c r="A5397" s="5" t="s">
        <v>98</v>
      </c>
      <c r="B5397" s="5" t="s">
        <v>99</v>
      </c>
      <c r="C5397" s="5" t="s">
        <v>1082</v>
      </c>
      <c r="D5397" s="5" t="s">
        <v>14</v>
      </c>
      <c r="E5397" s="5" t="s">
        <v>17</v>
      </c>
      <c r="F5397" s="5" t="s">
        <v>46</v>
      </c>
      <c r="G5397" s="5" t="s">
        <v>212</v>
      </c>
      <c r="H5397" s="5" t="s">
        <v>264</v>
      </c>
      <c r="I5397" s="5" t="s">
        <v>31</v>
      </c>
      <c r="J5397" s="5">
        <v>16.092443982787</v>
      </c>
      <c r="K5397" s="5">
        <v>-97.692291353626999</v>
      </c>
      <c r="L5397" s="5" t="str">
        <f>HYPERLINK("https://maps.google.com/?q=16.092443982787,-97.692291353626501", "🔗 Ver Mapa")</f>
        <v>🔗 Ver Mapa</v>
      </c>
    </row>
    <row r="5398" spans="1:12" ht="43.5" x14ac:dyDescent="0.35">
      <c r="A5398" s="6" t="s">
        <v>98</v>
      </c>
      <c r="B5398" s="6" t="s">
        <v>99</v>
      </c>
      <c r="C5398" s="6" t="s">
        <v>1082</v>
      </c>
      <c r="D5398" s="6" t="s">
        <v>14</v>
      </c>
      <c r="E5398" s="6" t="s">
        <v>17</v>
      </c>
      <c r="F5398" s="6" t="s">
        <v>46</v>
      </c>
      <c r="G5398" s="6" t="s">
        <v>212</v>
      </c>
      <c r="H5398" s="6" t="s">
        <v>264</v>
      </c>
      <c r="I5398" s="6" t="s">
        <v>31</v>
      </c>
      <c r="J5398" s="6">
        <v>16.092530061651999</v>
      </c>
      <c r="K5398" s="6">
        <v>-97.687180754631001</v>
      </c>
      <c r="L5398" s="6" t="str">
        <f>HYPERLINK("https://maps.google.com/?q=16.0925300616517,-97.6871807546311", "🔗 Ver Mapa")</f>
        <v>🔗 Ver Mapa</v>
      </c>
    </row>
    <row r="5399" spans="1:12" ht="43.5" x14ac:dyDescent="0.35">
      <c r="A5399" s="5" t="s">
        <v>98</v>
      </c>
      <c r="B5399" s="5" t="s">
        <v>99</v>
      </c>
      <c r="C5399" s="5" t="s">
        <v>1082</v>
      </c>
      <c r="D5399" s="5" t="s">
        <v>14</v>
      </c>
      <c r="E5399" s="5" t="s">
        <v>17</v>
      </c>
      <c r="F5399" s="5" t="s">
        <v>46</v>
      </c>
      <c r="G5399" s="5" t="s">
        <v>212</v>
      </c>
      <c r="H5399" s="5" t="s">
        <v>264</v>
      </c>
      <c r="I5399" s="5" t="s">
        <v>31</v>
      </c>
      <c r="J5399" s="5">
        <v>16.093330528955999</v>
      </c>
      <c r="K5399" s="5">
        <v>-97.696819339331995</v>
      </c>
      <c r="L5399" s="5" t="str">
        <f>HYPERLINK("https://maps.google.com/?q=16.093330528956,-97.696819339332194", "🔗 Ver Mapa")</f>
        <v>🔗 Ver Mapa</v>
      </c>
    </row>
    <row r="5400" spans="1:12" ht="43.5" x14ac:dyDescent="0.35">
      <c r="A5400" s="6" t="s">
        <v>98</v>
      </c>
      <c r="B5400" s="6" t="s">
        <v>99</v>
      </c>
      <c r="C5400" s="6" t="s">
        <v>1082</v>
      </c>
      <c r="D5400" s="6" t="s">
        <v>14</v>
      </c>
      <c r="E5400" s="6" t="s">
        <v>17</v>
      </c>
      <c r="F5400" s="6" t="s">
        <v>46</v>
      </c>
      <c r="G5400" s="6" t="s">
        <v>212</v>
      </c>
      <c r="H5400" s="6" t="s">
        <v>264</v>
      </c>
      <c r="I5400" s="6" t="s">
        <v>31</v>
      </c>
      <c r="J5400" s="6">
        <v>16.093376594951</v>
      </c>
      <c r="K5400" s="6">
        <v>-97.696041116567002</v>
      </c>
      <c r="L5400" s="6" t="str">
        <f>HYPERLINK("https://maps.google.com/?q=16.0933765949512,-97.6960411165675", "🔗 Ver Mapa")</f>
        <v>🔗 Ver Mapa</v>
      </c>
    </row>
    <row r="5401" spans="1:12" ht="43.5" x14ac:dyDescent="0.35">
      <c r="A5401" s="5" t="s">
        <v>98</v>
      </c>
      <c r="B5401" s="5" t="s">
        <v>99</v>
      </c>
      <c r="C5401" s="5" t="s">
        <v>1082</v>
      </c>
      <c r="D5401" s="5" t="s">
        <v>14</v>
      </c>
      <c r="E5401" s="5" t="s">
        <v>17</v>
      </c>
      <c r="F5401" s="5" t="s">
        <v>46</v>
      </c>
      <c r="G5401" s="5" t="s">
        <v>212</v>
      </c>
      <c r="H5401" s="5" t="s">
        <v>264</v>
      </c>
      <c r="I5401" s="5" t="s">
        <v>31</v>
      </c>
      <c r="J5401" s="5">
        <v>16.093383994084999</v>
      </c>
      <c r="K5401" s="5">
        <v>-97.701866365225001</v>
      </c>
      <c r="L5401" s="5" t="str">
        <f>HYPERLINK("https://maps.google.com/?q=16.0933839940853,-97.701866365224802", "🔗 Ver Mapa")</f>
        <v>🔗 Ver Mapa</v>
      </c>
    </row>
    <row r="5402" spans="1:12" ht="43.5" x14ac:dyDescent="0.35">
      <c r="A5402" s="6" t="s">
        <v>98</v>
      </c>
      <c r="B5402" s="6" t="s">
        <v>99</v>
      </c>
      <c r="C5402" s="6" t="s">
        <v>1082</v>
      </c>
      <c r="D5402" s="6" t="s">
        <v>14</v>
      </c>
      <c r="E5402" s="6" t="s">
        <v>17</v>
      </c>
      <c r="F5402" s="6" t="s">
        <v>46</v>
      </c>
      <c r="G5402" s="6" t="s">
        <v>212</v>
      </c>
      <c r="H5402" s="6" t="s">
        <v>264</v>
      </c>
      <c r="I5402" s="6" t="s">
        <v>31</v>
      </c>
      <c r="J5402" s="6">
        <v>16.093651526511</v>
      </c>
      <c r="K5402" s="6">
        <v>-97.696866685540002</v>
      </c>
      <c r="L5402" s="6" t="str">
        <f>HYPERLINK("https://maps.google.com/?q=16.0936515265107,-97.6968666855404", "🔗 Ver Mapa")</f>
        <v>🔗 Ver Mapa</v>
      </c>
    </row>
    <row r="5403" spans="1:12" ht="43.5" x14ac:dyDescent="0.35">
      <c r="A5403" s="5" t="s">
        <v>98</v>
      </c>
      <c r="B5403" s="5" t="s">
        <v>99</v>
      </c>
      <c r="C5403" s="5" t="s">
        <v>1082</v>
      </c>
      <c r="D5403" s="5" t="s">
        <v>14</v>
      </c>
      <c r="E5403" s="5" t="s">
        <v>17</v>
      </c>
      <c r="F5403" s="5" t="s">
        <v>46</v>
      </c>
      <c r="G5403" s="5" t="s">
        <v>212</v>
      </c>
      <c r="H5403" s="5" t="s">
        <v>264</v>
      </c>
      <c r="I5403" s="5" t="s">
        <v>31</v>
      </c>
      <c r="J5403" s="5">
        <v>16.093883186267998</v>
      </c>
      <c r="K5403" s="5">
        <v>-97.698025723597993</v>
      </c>
      <c r="L5403" s="5" t="str">
        <f>HYPERLINK("https://maps.google.com/?q=16.0938831862675,-97.698025723598107", "🔗 Ver Mapa")</f>
        <v>🔗 Ver Mapa</v>
      </c>
    </row>
    <row r="5404" spans="1:12" ht="43.5" x14ac:dyDescent="0.35">
      <c r="A5404" s="6" t="s">
        <v>98</v>
      </c>
      <c r="B5404" s="6" t="s">
        <v>99</v>
      </c>
      <c r="C5404" s="6" t="s">
        <v>1082</v>
      </c>
      <c r="D5404" s="6" t="s">
        <v>14</v>
      </c>
      <c r="E5404" s="6" t="s">
        <v>17</v>
      </c>
      <c r="F5404" s="6" t="s">
        <v>46</v>
      </c>
      <c r="G5404" s="6" t="s">
        <v>212</v>
      </c>
      <c r="H5404" s="6" t="s">
        <v>264</v>
      </c>
      <c r="I5404" s="6" t="s">
        <v>31</v>
      </c>
      <c r="J5404" s="6">
        <v>16.093990753593999</v>
      </c>
      <c r="K5404" s="6">
        <v>-97.693408720237997</v>
      </c>
      <c r="L5404" s="6" t="str">
        <f>HYPERLINK("https://maps.google.com/?q=16.0939907535938,-97.693408720237798", "🔗 Ver Mapa")</f>
        <v>🔗 Ver Mapa</v>
      </c>
    </row>
    <row r="5405" spans="1:12" ht="43.5" x14ac:dyDescent="0.35">
      <c r="A5405" s="5" t="s">
        <v>98</v>
      </c>
      <c r="B5405" s="5" t="s">
        <v>99</v>
      </c>
      <c r="C5405" s="5" t="s">
        <v>1082</v>
      </c>
      <c r="D5405" s="5" t="s">
        <v>14</v>
      </c>
      <c r="E5405" s="5" t="s">
        <v>17</v>
      </c>
      <c r="F5405" s="5" t="s">
        <v>46</v>
      </c>
      <c r="G5405" s="5" t="s">
        <v>212</v>
      </c>
      <c r="H5405" s="5" t="s">
        <v>264</v>
      </c>
      <c r="I5405" s="5" t="s">
        <v>31</v>
      </c>
      <c r="J5405" s="5">
        <v>16.094037001499998</v>
      </c>
      <c r="K5405" s="5">
        <v>-97.693735807375006</v>
      </c>
      <c r="L5405" s="5" t="str">
        <f>HYPERLINK("https://maps.google.com/?q=16.0940370015005,-97.693735807374907", "🔗 Ver Mapa")</f>
        <v>🔗 Ver Mapa</v>
      </c>
    </row>
    <row r="5406" spans="1:12" ht="43.5" x14ac:dyDescent="0.35">
      <c r="A5406" s="6" t="s">
        <v>98</v>
      </c>
      <c r="B5406" s="6" t="s">
        <v>99</v>
      </c>
      <c r="C5406" s="6" t="s">
        <v>1082</v>
      </c>
      <c r="D5406" s="6" t="s">
        <v>14</v>
      </c>
      <c r="E5406" s="6" t="s">
        <v>17</v>
      </c>
      <c r="F5406" s="6" t="s">
        <v>46</v>
      </c>
      <c r="G5406" s="6" t="s">
        <v>212</v>
      </c>
      <c r="H5406" s="6" t="s">
        <v>264</v>
      </c>
      <c r="I5406" s="6" t="s">
        <v>31</v>
      </c>
      <c r="J5406" s="6">
        <v>16.094382390025</v>
      </c>
      <c r="K5406" s="6">
        <v>-97.698834034393002</v>
      </c>
      <c r="L5406" s="6" t="str">
        <f>HYPERLINK("https://maps.google.com/?q=16.0943823900248,-97.6988340343934", "🔗 Ver Mapa")</f>
        <v>🔗 Ver Mapa</v>
      </c>
    </row>
    <row r="5407" spans="1:12" ht="43.5" x14ac:dyDescent="0.35">
      <c r="A5407" s="5" t="s">
        <v>98</v>
      </c>
      <c r="B5407" s="5" t="s">
        <v>99</v>
      </c>
      <c r="C5407" s="5" t="s">
        <v>1082</v>
      </c>
      <c r="D5407" s="5" t="s">
        <v>14</v>
      </c>
      <c r="E5407" s="5" t="s">
        <v>17</v>
      </c>
      <c r="F5407" s="5" t="s">
        <v>46</v>
      </c>
      <c r="G5407" s="5" t="s">
        <v>212</v>
      </c>
      <c r="H5407" s="5" t="s">
        <v>264</v>
      </c>
      <c r="I5407" s="5" t="s">
        <v>31</v>
      </c>
      <c r="J5407" s="5">
        <v>16.094688207905001</v>
      </c>
      <c r="K5407" s="5">
        <v>-97.698535093253994</v>
      </c>
      <c r="L5407" s="5" t="str">
        <f>HYPERLINK("https://maps.google.com/?q=16.0946882079055,-97.698535093254094", "🔗 Ver Mapa")</f>
        <v>🔗 Ver Mapa</v>
      </c>
    </row>
    <row r="5408" spans="1:12" ht="43.5" x14ac:dyDescent="0.35">
      <c r="A5408" s="6" t="s">
        <v>98</v>
      </c>
      <c r="B5408" s="6" t="s">
        <v>99</v>
      </c>
      <c r="C5408" s="6" t="s">
        <v>1082</v>
      </c>
      <c r="D5408" s="6" t="s">
        <v>14</v>
      </c>
      <c r="E5408" s="6" t="s">
        <v>17</v>
      </c>
      <c r="F5408" s="6" t="s">
        <v>46</v>
      </c>
      <c r="G5408" s="6" t="s">
        <v>212</v>
      </c>
      <c r="H5408" s="6" t="s">
        <v>264</v>
      </c>
      <c r="I5408" s="6" t="s">
        <v>31</v>
      </c>
      <c r="J5408" s="6">
        <v>16.096074903948001</v>
      </c>
      <c r="K5408" s="6">
        <v>-97.702793233134997</v>
      </c>
      <c r="L5408" s="6" t="str">
        <f>HYPERLINK("https://maps.google.com/?q=16.0960749039477,-97.702793233135097", "🔗 Ver Mapa")</f>
        <v>🔗 Ver Mapa</v>
      </c>
    </row>
    <row r="5409" spans="1:12" ht="43.5" x14ac:dyDescent="0.35">
      <c r="A5409" s="5" t="s">
        <v>98</v>
      </c>
      <c r="B5409" s="5" t="s">
        <v>99</v>
      </c>
      <c r="C5409" s="5" t="s">
        <v>1082</v>
      </c>
      <c r="D5409" s="5" t="s">
        <v>14</v>
      </c>
      <c r="E5409" s="5" t="s">
        <v>17</v>
      </c>
      <c r="F5409" s="5" t="s">
        <v>46</v>
      </c>
      <c r="G5409" s="5" t="s">
        <v>212</v>
      </c>
      <c r="H5409" s="5" t="s">
        <v>264</v>
      </c>
      <c r="I5409" s="5" t="s">
        <v>31</v>
      </c>
      <c r="J5409" s="5">
        <v>16.096087584068002</v>
      </c>
      <c r="K5409" s="5">
        <v>-97.703325530670995</v>
      </c>
      <c r="L5409" s="5" t="str">
        <f>HYPERLINK("https://maps.google.com/?q=16.0960875840682,-97.703325530671194", "🔗 Ver Mapa")</f>
        <v>🔗 Ver Mapa</v>
      </c>
    </row>
    <row r="5410" spans="1:12" ht="43.5" x14ac:dyDescent="0.35">
      <c r="A5410" s="6" t="s">
        <v>98</v>
      </c>
      <c r="B5410" s="6" t="s">
        <v>99</v>
      </c>
      <c r="C5410" s="6" t="s">
        <v>1082</v>
      </c>
      <c r="D5410" s="6" t="s">
        <v>14</v>
      </c>
      <c r="E5410" s="6" t="s">
        <v>17</v>
      </c>
      <c r="F5410" s="6" t="s">
        <v>46</v>
      </c>
      <c r="G5410" s="6" t="s">
        <v>212</v>
      </c>
      <c r="H5410" s="6" t="s">
        <v>264</v>
      </c>
      <c r="I5410" s="6" t="s">
        <v>31</v>
      </c>
      <c r="J5410" s="6">
        <v>16.096244163767</v>
      </c>
      <c r="K5410" s="6">
        <v>-97.694218209821997</v>
      </c>
      <c r="L5410" s="6" t="str">
        <f>HYPERLINK("https://maps.google.com/?q=16.096244163767,-97.694218209821699", "🔗 Ver Mapa")</f>
        <v>🔗 Ver Mapa</v>
      </c>
    </row>
    <row r="5411" spans="1:12" ht="43.5" x14ac:dyDescent="0.35">
      <c r="A5411" s="5" t="s">
        <v>98</v>
      </c>
      <c r="B5411" s="5" t="s">
        <v>99</v>
      </c>
      <c r="C5411" s="5" t="s">
        <v>1082</v>
      </c>
      <c r="D5411" s="5" t="s">
        <v>14</v>
      </c>
      <c r="E5411" s="5" t="s">
        <v>17</v>
      </c>
      <c r="F5411" s="5" t="s">
        <v>46</v>
      </c>
      <c r="G5411" s="5" t="s">
        <v>212</v>
      </c>
      <c r="H5411" s="5" t="s">
        <v>264</v>
      </c>
      <c r="I5411" s="5" t="s">
        <v>31</v>
      </c>
      <c r="J5411" s="5">
        <v>16.096296995656001</v>
      </c>
      <c r="K5411" s="5">
        <v>-97.703310201853995</v>
      </c>
      <c r="L5411" s="5" t="str">
        <f>HYPERLINK("https://maps.google.com/?q=16.0962969956556,-97.703310201854094", "🔗 Ver Mapa")</f>
        <v>🔗 Ver Mapa</v>
      </c>
    </row>
    <row r="5412" spans="1:12" ht="43.5" x14ac:dyDescent="0.35">
      <c r="A5412" s="6" t="s">
        <v>98</v>
      </c>
      <c r="B5412" s="6" t="s">
        <v>99</v>
      </c>
      <c r="C5412" s="6" t="s">
        <v>1082</v>
      </c>
      <c r="D5412" s="6" t="s">
        <v>14</v>
      </c>
      <c r="E5412" s="6" t="s">
        <v>17</v>
      </c>
      <c r="F5412" s="6" t="s">
        <v>46</v>
      </c>
      <c r="G5412" s="6" t="s">
        <v>212</v>
      </c>
      <c r="H5412" s="6" t="s">
        <v>264</v>
      </c>
      <c r="I5412" s="6" t="s">
        <v>31</v>
      </c>
      <c r="J5412" s="6">
        <v>16.096405559874999</v>
      </c>
      <c r="K5412" s="6">
        <v>-97.694235000000006</v>
      </c>
      <c r="L5412" s="6" t="str">
        <f>HYPERLINK("https://maps.google.com/?q=16.0964055598753,-97.694234999999907", "🔗 Ver Mapa")</f>
        <v>🔗 Ver Mapa</v>
      </c>
    </row>
    <row r="5413" spans="1:12" ht="43.5" x14ac:dyDescent="0.35">
      <c r="A5413" s="5" t="s">
        <v>98</v>
      </c>
      <c r="B5413" s="5" t="s">
        <v>99</v>
      </c>
      <c r="C5413" s="5" t="s">
        <v>1082</v>
      </c>
      <c r="D5413" s="5" t="s">
        <v>14</v>
      </c>
      <c r="E5413" s="5" t="s">
        <v>17</v>
      </c>
      <c r="F5413" s="5" t="s">
        <v>46</v>
      </c>
      <c r="G5413" s="5" t="s">
        <v>212</v>
      </c>
      <c r="H5413" s="5" t="s">
        <v>264</v>
      </c>
      <c r="I5413" s="5" t="s">
        <v>31</v>
      </c>
      <c r="J5413" s="5">
        <v>16.098149262103</v>
      </c>
      <c r="K5413" s="5">
        <v>-97.700662666352002</v>
      </c>
      <c r="L5413" s="5" t="str">
        <f>HYPERLINK("https://maps.google.com/?q=16.0981492621029,-97.700662666352301", "🔗 Ver Mapa")</f>
        <v>🔗 Ver Mapa</v>
      </c>
    </row>
    <row r="5414" spans="1:12" ht="43.5" x14ac:dyDescent="0.35">
      <c r="A5414" s="6" t="s">
        <v>98</v>
      </c>
      <c r="B5414" s="6" t="s">
        <v>99</v>
      </c>
      <c r="C5414" s="6" t="s">
        <v>1082</v>
      </c>
      <c r="D5414" s="6" t="s">
        <v>14</v>
      </c>
      <c r="E5414" s="6" t="s">
        <v>17</v>
      </c>
      <c r="F5414" s="6" t="s">
        <v>46</v>
      </c>
      <c r="G5414" s="6" t="s">
        <v>212</v>
      </c>
      <c r="H5414" s="6" t="s">
        <v>264</v>
      </c>
      <c r="I5414" s="6" t="s">
        <v>31</v>
      </c>
      <c r="J5414" s="6">
        <v>16.098155192937998</v>
      </c>
      <c r="K5414" s="6">
        <v>-97.700916909227004</v>
      </c>
      <c r="L5414" s="6" t="str">
        <f>HYPERLINK("https://maps.google.com/?q=16.0981551929375,-97.700916909227303", "🔗 Ver Mapa")</f>
        <v>🔗 Ver Mapa</v>
      </c>
    </row>
    <row r="5415" spans="1:12" ht="43.5" x14ac:dyDescent="0.35">
      <c r="A5415" s="5" t="s">
        <v>98</v>
      </c>
      <c r="B5415" s="5" t="s">
        <v>99</v>
      </c>
      <c r="C5415" s="5" t="s">
        <v>1082</v>
      </c>
      <c r="D5415" s="5" t="s">
        <v>14</v>
      </c>
      <c r="E5415" s="5" t="s">
        <v>17</v>
      </c>
      <c r="F5415" s="5" t="s">
        <v>46</v>
      </c>
      <c r="G5415" s="5" t="s">
        <v>212</v>
      </c>
      <c r="H5415" s="5" t="s">
        <v>264</v>
      </c>
      <c r="I5415" s="5" t="s">
        <v>31</v>
      </c>
      <c r="J5415" s="5">
        <v>16.098403948156001</v>
      </c>
      <c r="K5415" s="5">
        <v>-97.701591667494</v>
      </c>
      <c r="L5415" s="5" t="str">
        <f>HYPERLINK("https://maps.google.com/?q=16.0984039481559,-97.701591667493901", "🔗 Ver Mapa")</f>
        <v>🔗 Ver Mapa</v>
      </c>
    </row>
    <row r="5416" spans="1:12" ht="43.5" x14ac:dyDescent="0.35">
      <c r="A5416" s="6" t="s">
        <v>98</v>
      </c>
      <c r="B5416" s="6" t="s">
        <v>99</v>
      </c>
      <c r="C5416" s="6" t="s">
        <v>1082</v>
      </c>
      <c r="D5416" s="6" t="s">
        <v>14</v>
      </c>
      <c r="E5416" s="6" t="s">
        <v>17</v>
      </c>
      <c r="F5416" s="6" t="s">
        <v>46</v>
      </c>
      <c r="G5416" s="6" t="s">
        <v>212</v>
      </c>
      <c r="H5416" s="6" t="s">
        <v>264</v>
      </c>
      <c r="I5416" s="6" t="s">
        <v>31</v>
      </c>
      <c r="J5416" s="6">
        <v>16.098554232226999</v>
      </c>
      <c r="K5416" s="6">
        <v>-97.701738349703007</v>
      </c>
      <c r="L5416" s="6" t="str">
        <f>HYPERLINK("https://maps.google.com/?q=16.0985542322275,-97.701738349702794", "🔗 Ver Mapa")</f>
        <v>🔗 Ver Mapa</v>
      </c>
    </row>
    <row r="5417" spans="1:12" ht="43.5" x14ac:dyDescent="0.35">
      <c r="A5417" s="5" t="s">
        <v>98</v>
      </c>
      <c r="B5417" s="5" t="s">
        <v>99</v>
      </c>
      <c r="C5417" s="5" t="s">
        <v>1082</v>
      </c>
      <c r="D5417" s="5" t="s">
        <v>14</v>
      </c>
      <c r="E5417" s="5" t="s">
        <v>17</v>
      </c>
      <c r="F5417" s="5" t="s">
        <v>46</v>
      </c>
      <c r="G5417" s="5" t="s">
        <v>212</v>
      </c>
      <c r="H5417" s="5" t="s">
        <v>264</v>
      </c>
      <c r="I5417" s="5" t="s">
        <v>31</v>
      </c>
      <c r="J5417" s="5">
        <v>16.099127159142999</v>
      </c>
      <c r="K5417" s="5">
        <v>-97.699245282820996</v>
      </c>
      <c r="L5417" s="5" t="str">
        <f>HYPERLINK("https://maps.google.com/?q=16.0991271591432,-97.699245282820698", "🔗 Ver Mapa")</f>
        <v>🔗 Ver Mapa</v>
      </c>
    </row>
    <row r="5418" spans="1:12" ht="43.5" x14ac:dyDescent="0.35">
      <c r="A5418" s="6" t="s">
        <v>98</v>
      </c>
      <c r="B5418" s="6" t="s">
        <v>99</v>
      </c>
      <c r="C5418" s="6" t="s">
        <v>1082</v>
      </c>
      <c r="D5418" s="6" t="s">
        <v>14</v>
      </c>
      <c r="E5418" s="6" t="s">
        <v>17</v>
      </c>
      <c r="F5418" s="6" t="s">
        <v>46</v>
      </c>
      <c r="G5418" s="6" t="s">
        <v>212</v>
      </c>
      <c r="H5418" s="6" t="s">
        <v>264</v>
      </c>
      <c r="I5418" s="6" t="s">
        <v>31</v>
      </c>
      <c r="J5418" s="6">
        <v>16.099819112839999</v>
      </c>
      <c r="K5418" s="6">
        <v>-97.701049678573</v>
      </c>
      <c r="L5418" s="6" t="str">
        <f>HYPERLINK("https://maps.google.com/?q=16.0998191128403,-97.701049678573497", "🔗 Ver Mapa")</f>
        <v>🔗 Ver Mapa</v>
      </c>
    </row>
    <row r="5419" spans="1:12" ht="43.5" x14ac:dyDescent="0.35">
      <c r="A5419" s="5" t="s">
        <v>98</v>
      </c>
      <c r="B5419" s="5" t="s">
        <v>99</v>
      </c>
      <c r="C5419" s="5" t="s">
        <v>1082</v>
      </c>
      <c r="D5419" s="5" t="s">
        <v>14</v>
      </c>
      <c r="E5419" s="5" t="s">
        <v>17</v>
      </c>
      <c r="F5419" s="5" t="s">
        <v>46</v>
      </c>
      <c r="G5419" s="5" t="s">
        <v>212</v>
      </c>
      <c r="H5419" s="5" t="s">
        <v>264</v>
      </c>
      <c r="I5419" s="5" t="s">
        <v>31</v>
      </c>
      <c r="J5419" s="5">
        <v>16.099861867946</v>
      </c>
      <c r="K5419" s="5">
        <v>-97.700087332335002</v>
      </c>
      <c r="L5419" s="5" t="str">
        <f>HYPERLINK("https://maps.google.com/?q=16.0998618679463,-97.700087332334505", "🔗 Ver Mapa")</f>
        <v>🔗 Ver Mapa</v>
      </c>
    </row>
    <row r="5420" spans="1:12" ht="43.5" x14ac:dyDescent="0.35">
      <c r="A5420" s="6" t="s">
        <v>98</v>
      </c>
      <c r="B5420" s="6" t="s">
        <v>99</v>
      </c>
      <c r="C5420" s="6" t="s">
        <v>1082</v>
      </c>
      <c r="D5420" s="6" t="s">
        <v>14</v>
      </c>
      <c r="E5420" s="6" t="s">
        <v>17</v>
      </c>
      <c r="F5420" s="6" t="s">
        <v>46</v>
      </c>
      <c r="G5420" s="6" t="s">
        <v>212</v>
      </c>
      <c r="H5420" s="6" t="s">
        <v>264</v>
      </c>
      <c r="I5420" s="6" t="s">
        <v>31</v>
      </c>
      <c r="J5420" s="6">
        <v>16.100020469168999</v>
      </c>
      <c r="K5420" s="6">
        <v>-97.700037457671996</v>
      </c>
      <c r="L5420" s="6" t="str">
        <f>HYPERLINK("https://maps.google.com/?q=16.1000204691691,-97.700037457671996", "🔗 Ver Mapa")</f>
        <v>🔗 Ver Mapa</v>
      </c>
    </row>
    <row r="5421" spans="1:12" ht="43.5" x14ac:dyDescent="0.35">
      <c r="A5421" s="5" t="s">
        <v>98</v>
      </c>
      <c r="B5421" s="5" t="s">
        <v>99</v>
      </c>
      <c r="C5421" s="5" t="s">
        <v>1082</v>
      </c>
      <c r="D5421" s="5" t="s">
        <v>14</v>
      </c>
      <c r="E5421" s="5" t="s">
        <v>17</v>
      </c>
      <c r="F5421" s="5" t="s">
        <v>46</v>
      </c>
      <c r="G5421" s="5" t="s">
        <v>212</v>
      </c>
      <c r="H5421" s="5" t="s">
        <v>264</v>
      </c>
      <c r="I5421" s="5" t="s">
        <v>31</v>
      </c>
      <c r="J5421" s="5">
        <v>16.10014896989</v>
      </c>
      <c r="K5421" s="5">
        <v>-97.701213294750005</v>
      </c>
      <c r="L5421" s="5" t="str">
        <f>HYPERLINK("https://maps.google.com/?q=16.1001489698904,-97.701213294749607", "🔗 Ver Mapa")</f>
        <v>🔗 Ver Mapa</v>
      </c>
    </row>
    <row r="5422" spans="1:12" ht="43.5" x14ac:dyDescent="0.35">
      <c r="A5422" s="6" t="s">
        <v>98</v>
      </c>
      <c r="B5422" s="6" t="s">
        <v>99</v>
      </c>
      <c r="C5422" s="6" t="s">
        <v>1082</v>
      </c>
      <c r="D5422" s="6" t="s">
        <v>14</v>
      </c>
      <c r="E5422" s="6" t="s">
        <v>17</v>
      </c>
      <c r="F5422" s="6" t="s">
        <v>46</v>
      </c>
      <c r="G5422" s="6" t="s">
        <v>212</v>
      </c>
      <c r="H5422" s="6" t="s">
        <v>264</v>
      </c>
      <c r="I5422" s="6" t="s">
        <v>31</v>
      </c>
      <c r="J5422" s="6">
        <v>16.100164427738001</v>
      </c>
      <c r="K5422" s="6">
        <v>-97.703415341105</v>
      </c>
      <c r="L5422" s="6" t="str">
        <f>HYPERLINK("https://maps.google.com/?q=16.1001644277385,-97.703415341104602", "🔗 Ver Mapa")</f>
        <v>🔗 Ver Mapa</v>
      </c>
    </row>
    <row r="5423" spans="1:12" ht="43.5" x14ac:dyDescent="0.35">
      <c r="A5423" s="5" t="s">
        <v>98</v>
      </c>
      <c r="B5423" s="5" t="s">
        <v>99</v>
      </c>
      <c r="C5423" s="5" t="s">
        <v>1082</v>
      </c>
      <c r="D5423" s="5" t="s">
        <v>14</v>
      </c>
      <c r="E5423" s="5" t="s">
        <v>17</v>
      </c>
      <c r="F5423" s="5" t="s">
        <v>46</v>
      </c>
      <c r="G5423" s="5" t="s">
        <v>212</v>
      </c>
      <c r="H5423" s="5" t="s">
        <v>264</v>
      </c>
      <c r="I5423" s="5" t="s">
        <v>31</v>
      </c>
      <c r="J5423" s="5">
        <v>16.100186336833001</v>
      </c>
      <c r="K5423" s="5">
        <v>-97.700654052744</v>
      </c>
      <c r="L5423" s="5" t="str">
        <f>HYPERLINK("https://maps.google.com/?q=16.1001863368325,-97.700654052744", "🔗 Ver Mapa")</f>
        <v>🔗 Ver Mapa</v>
      </c>
    </row>
    <row r="5424" spans="1:12" ht="43.5" x14ac:dyDescent="0.35">
      <c r="A5424" s="6" t="s">
        <v>98</v>
      </c>
      <c r="B5424" s="6" t="s">
        <v>99</v>
      </c>
      <c r="C5424" s="6" t="s">
        <v>1082</v>
      </c>
      <c r="D5424" s="6" t="s">
        <v>14</v>
      </c>
      <c r="E5424" s="6" t="s">
        <v>17</v>
      </c>
      <c r="F5424" s="6" t="s">
        <v>46</v>
      </c>
      <c r="G5424" s="6" t="s">
        <v>212</v>
      </c>
      <c r="H5424" s="6" t="s">
        <v>264</v>
      </c>
      <c r="I5424" s="6" t="s">
        <v>31</v>
      </c>
      <c r="J5424" s="6">
        <v>16.100418911763001</v>
      </c>
      <c r="K5424" s="6">
        <v>-97.700885819104997</v>
      </c>
      <c r="L5424" s="6" t="str">
        <f>HYPERLINK("https://maps.google.com/?q=16.1004189117634,-97.700885819105494", "🔗 Ver Mapa")</f>
        <v>🔗 Ver Mapa</v>
      </c>
    </row>
    <row r="5425" spans="1:12" ht="43.5" x14ac:dyDescent="0.35">
      <c r="A5425" s="5" t="s">
        <v>98</v>
      </c>
      <c r="B5425" s="5" t="s">
        <v>99</v>
      </c>
      <c r="C5425" s="5" t="s">
        <v>1082</v>
      </c>
      <c r="D5425" s="5" t="s">
        <v>14</v>
      </c>
      <c r="E5425" s="5" t="s">
        <v>17</v>
      </c>
      <c r="F5425" s="5" t="s">
        <v>46</v>
      </c>
      <c r="G5425" s="5" t="s">
        <v>212</v>
      </c>
      <c r="H5425" s="5" t="s">
        <v>264</v>
      </c>
      <c r="I5425" s="5" t="s">
        <v>31</v>
      </c>
      <c r="J5425" s="5">
        <v>16.100623212988999</v>
      </c>
      <c r="K5425" s="5">
        <v>-97.700677031911994</v>
      </c>
      <c r="L5425" s="5" t="str">
        <f>HYPERLINK("https://maps.google.com/?q=16.1006232129893,-97.700677031911795", "🔗 Ver Mapa")</f>
        <v>🔗 Ver Mapa</v>
      </c>
    </row>
    <row r="5426" spans="1:12" ht="43.5" x14ac:dyDescent="0.35">
      <c r="A5426" s="6" t="s">
        <v>98</v>
      </c>
      <c r="B5426" s="6" t="s">
        <v>99</v>
      </c>
      <c r="C5426" s="6" t="s">
        <v>1082</v>
      </c>
      <c r="D5426" s="6" t="s">
        <v>14</v>
      </c>
      <c r="E5426" s="6" t="s">
        <v>17</v>
      </c>
      <c r="F5426" s="6" t="s">
        <v>46</v>
      </c>
      <c r="G5426" s="6" t="s">
        <v>212</v>
      </c>
      <c r="H5426" s="6" t="s">
        <v>264</v>
      </c>
      <c r="I5426" s="6" t="s">
        <v>31</v>
      </c>
      <c r="J5426" s="6">
        <v>16.100913754975998</v>
      </c>
      <c r="K5426" s="6">
        <v>-97.699520979208998</v>
      </c>
      <c r="L5426" s="6" t="str">
        <f>HYPERLINK("https://maps.google.com/?q=16.1009137549758,-97.6995209792086", "🔗 Ver Mapa")</f>
        <v>🔗 Ver Mapa</v>
      </c>
    </row>
    <row r="5427" spans="1:12" ht="43.5" x14ac:dyDescent="0.35">
      <c r="A5427" s="5" t="s">
        <v>98</v>
      </c>
      <c r="B5427" s="5" t="s">
        <v>99</v>
      </c>
      <c r="C5427" s="5" t="s">
        <v>1082</v>
      </c>
      <c r="D5427" s="5" t="s">
        <v>14</v>
      </c>
      <c r="E5427" s="5" t="s">
        <v>17</v>
      </c>
      <c r="F5427" s="5" t="s">
        <v>46</v>
      </c>
      <c r="G5427" s="5" t="s">
        <v>212</v>
      </c>
      <c r="H5427" s="5" t="s">
        <v>264</v>
      </c>
      <c r="I5427" s="5" t="s">
        <v>31</v>
      </c>
      <c r="J5427" s="5">
        <v>16.101058060987</v>
      </c>
      <c r="K5427" s="5">
        <v>-97.699712647238997</v>
      </c>
      <c r="L5427" s="5" t="str">
        <f>HYPERLINK("https://maps.google.com/?q=16.1010580609869,-97.699712647238798", "🔗 Ver Mapa")</f>
        <v>🔗 Ver Mapa</v>
      </c>
    </row>
    <row r="5428" spans="1:12" ht="43.5" x14ac:dyDescent="0.35">
      <c r="A5428" s="6" t="s">
        <v>98</v>
      </c>
      <c r="B5428" s="6" t="s">
        <v>99</v>
      </c>
      <c r="C5428" s="6" t="s">
        <v>1082</v>
      </c>
      <c r="D5428" s="6" t="s">
        <v>14</v>
      </c>
      <c r="E5428" s="6" t="s">
        <v>17</v>
      </c>
      <c r="F5428" s="6" t="s">
        <v>46</v>
      </c>
      <c r="G5428" s="6" t="s">
        <v>212</v>
      </c>
      <c r="H5428" s="6" t="s">
        <v>264</v>
      </c>
      <c r="I5428" s="6" t="s">
        <v>31</v>
      </c>
      <c r="J5428" s="6">
        <v>16.102652906725002</v>
      </c>
      <c r="K5428" s="6">
        <v>-97.705012106023005</v>
      </c>
      <c r="L5428" s="6" t="str">
        <f>HYPERLINK("https://maps.google.com/?q=16.1026529067251,-97.705012106023105", "🔗 Ver Mapa")</f>
        <v>🔗 Ver Mapa</v>
      </c>
    </row>
    <row r="5429" spans="1:12" ht="43.5" x14ac:dyDescent="0.35">
      <c r="A5429" s="5" t="s">
        <v>98</v>
      </c>
      <c r="B5429" s="5" t="s">
        <v>99</v>
      </c>
      <c r="C5429" s="5" t="s">
        <v>1083</v>
      </c>
      <c r="D5429" s="5" t="s">
        <v>14</v>
      </c>
      <c r="E5429" s="5" t="s">
        <v>17</v>
      </c>
      <c r="F5429" s="5" t="s">
        <v>46</v>
      </c>
      <c r="G5429" s="5" t="s">
        <v>212</v>
      </c>
      <c r="H5429" s="5" t="s">
        <v>213</v>
      </c>
      <c r="I5429" s="5" t="s">
        <v>31</v>
      </c>
      <c r="J5429" s="5">
        <v>16.000627012369002</v>
      </c>
      <c r="K5429" s="5">
        <v>-97.425299868715001</v>
      </c>
      <c r="L5429" s="5" t="str">
        <f>HYPERLINK("https://maps.google.com/?q=16.0006270123685,-97.425299868715499", "🔗 Ver Mapa")</f>
        <v>🔗 Ver Mapa</v>
      </c>
    </row>
    <row r="5430" spans="1:12" ht="43.5" x14ac:dyDescent="0.35">
      <c r="A5430" s="6" t="s">
        <v>98</v>
      </c>
      <c r="B5430" s="6" t="s">
        <v>99</v>
      </c>
      <c r="C5430" s="6" t="s">
        <v>1083</v>
      </c>
      <c r="D5430" s="6" t="s">
        <v>14</v>
      </c>
      <c r="E5430" s="6" t="s">
        <v>17</v>
      </c>
      <c r="F5430" s="6" t="s">
        <v>46</v>
      </c>
      <c r="G5430" s="6" t="s">
        <v>212</v>
      </c>
      <c r="H5430" s="6" t="s">
        <v>213</v>
      </c>
      <c r="I5430" s="6" t="s">
        <v>31</v>
      </c>
      <c r="J5430" s="6">
        <v>16.000669135079001</v>
      </c>
      <c r="K5430" s="6">
        <v>-97.424947232308</v>
      </c>
      <c r="L5430" s="6" t="str">
        <f>HYPERLINK("https://maps.google.com/?q=16.0006691350791,-97.4249472323082", "🔗 Ver Mapa")</f>
        <v>🔗 Ver Mapa</v>
      </c>
    </row>
    <row r="5431" spans="1:12" ht="43.5" x14ac:dyDescent="0.35">
      <c r="A5431" s="5" t="s">
        <v>98</v>
      </c>
      <c r="B5431" s="5" t="s">
        <v>99</v>
      </c>
      <c r="C5431" s="5" t="s">
        <v>1083</v>
      </c>
      <c r="D5431" s="5" t="s">
        <v>14</v>
      </c>
      <c r="E5431" s="5" t="s">
        <v>17</v>
      </c>
      <c r="F5431" s="5" t="s">
        <v>46</v>
      </c>
      <c r="G5431" s="5" t="s">
        <v>212</v>
      </c>
      <c r="H5431" s="5" t="s">
        <v>213</v>
      </c>
      <c r="I5431" s="5" t="s">
        <v>31</v>
      </c>
      <c r="J5431" s="5">
        <v>16.001700193916999</v>
      </c>
      <c r="K5431" s="5">
        <v>-97.431612401164003</v>
      </c>
      <c r="L5431" s="5" t="str">
        <f>HYPERLINK("https://maps.google.com/?q=16.0017001939173,-97.431612401164003", "🔗 Ver Mapa")</f>
        <v>🔗 Ver Mapa</v>
      </c>
    </row>
    <row r="5432" spans="1:12" ht="43.5" x14ac:dyDescent="0.35">
      <c r="A5432" s="6" t="s">
        <v>98</v>
      </c>
      <c r="B5432" s="6" t="s">
        <v>99</v>
      </c>
      <c r="C5432" s="6" t="s">
        <v>1083</v>
      </c>
      <c r="D5432" s="6" t="s">
        <v>14</v>
      </c>
      <c r="E5432" s="6" t="s">
        <v>17</v>
      </c>
      <c r="F5432" s="6" t="s">
        <v>46</v>
      </c>
      <c r="G5432" s="6" t="s">
        <v>212</v>
      </c>
      <c r="H5432" s="6" t="s">
        <v>213</v>
      </c>
      <c r="I5432" s="6" t="s">
        <v>31</v>
      </c>
      <c r="J5432" s="6">
        <v>16.005454770145001</v>
      </c>
      <c r="K5432" s="6">
        <v>-97.446018301164003</v>
      </c>
      <c r="L5432" s="6" t="str">
        <f>HYPERLINK("https://maps.google.com/?q=16.0054547701448,-97.446018301164003", "🔗 Ver Mapa")</f>
        <v>🔗 Ver Mapa</v>
      </c>
    </row>
    <row r="5433" spans="1:12" ht="43.5" x14ac:dyDescent="0.35">
      <c r="A5433" s="5" t="s">
        <v>98</v>
      </c>
      <c r="B5433" s="5" t="s">
        <v>99</v>
      </c>
      <c r="C5433" s="5" t="s">
        <v>1083</v>
      </c>
      <c r="D5433" s="5" t="s">
        <v>14</v>
      </c>
      <c r="E5433" s="5" t="s">
        <v>17</v>
      </c>
      <c r="F5433" s="5" t="s">
        <v>46</v>
      </c>
      <c r="G5433" s="5" t="s">
        <v>212</v>
      </c>
      <c r="H5433" s="5" t="s">
        <v>213</v>
      </c>
      <c r="I5433" s="5" t="s">
        <v>31</v>
      </c>
      <c r="J5433" s="5">
        <v>16.005621693664999</v>
      </c>
      <c r="K5433" s="5">
        <v>-97.425362570000004</v>
      </c>
      <c r="L5433" s="5" t="str">
        <f>HYPERLINK("https://maps.google.com/?q=16.0056216936648,-97.425362570000004", "🔗 Ver Mapa")</f>
        <v>🔗 Ver Mapa</v>
      </c>
    </row>
    <row r="5434" spans="1:12" ht="43.5" x14ac:dyDescent="0.35">
      <c r="A5434" s="6" t="s">
        <v>98</v>
      </c>
      <c r="B5434" s="6" t="s">
        <v>99</v>
      </c>
      <c r="C5434" s="6" t="s">
        <v>1083</v>
      </c>
      <c r="D5434" s="6" t="s">
        <v>14</v>
      </c>
      <c r="E5434" s="6" t="s">
        <v>17</v>
      </c>
      <c r="F5434" s="6" t="s">
        <v>46</v>
      </c>
      <c r="G5434" s="6" t="s">
        <v>212</v>
      </c>
      <c r="H5434" s="6" t="s">
        <v>213</v>
      </c>
      <c r="I5434" s="6" t="s">
        <v>31</v>
      </c>
      <c r="J5434" s="6">
        <v>16.005780916679999</v>
      </c>
      <c r="K5434" s="6">
        <v>-97.433327002984996</v>
      </c>
      <c r="L5434" s="6" t="str">
        <f>HYPERLINK("https://maps.google.com/?q=16.0057809166799,-97.433327002985095", "🔗 Ver Mapa")</f>
        <v>🔗 Ver Mapa</v>
      </c>
    </row>
    <row r="5435" spans="1:12" ht="43.5" x14ac:dyDescent="0.35">
      <c r="A5435" s="5" t="s">
        <v>98</v>
      </c>
      <c r="B5435" s="5" t="s">
        <v>99</v>
      </c>
      <c r="C5435" s="5" t="s">
        <v>1083</v>
      </c>
      <c r="D5435" s="5" t="s">
        <v>14</v>
      </c>
      <c r="E5435" s="5" t="s">
        <v>17</v>
      </c>
      <c r="F5435" s="5" t="s">
        <v>46</v>
      </c>
      <c r="G5435" s="5" t="s">
        <v>212</v>
      </c>
      <c r="H5435" s="5" t="s">
        <v>213</v>
      </c>
      <c r="I5435" s="5" t="s">
        <v>31</v>
      </c>
      <c r="J5435" s="5">
        <v>16.005822730733001</v>
      </c>
      <c r="K5435" s="5">
        <v>-97.451406802208993</v>
      </c>
      <c r="L5435" s="5" t="str">
        <f>HYPERLINK("https://maps.google.com/?q=16.0058227307329,-97.451406802208993", "🔗 Ver Mapa")</f>
        <v>🔗 Ver Mapa</v>
      </c>
    </row>
    <row r="5436" spans="1:12" ht="43.5" x14ac:dyDescent="0.35">
      <c r="A5436" s="6" t="s">
        <v>98</v>
      </c>
      <c r="B5436" s="6" t="s">
        <v>99</v>
      </c>
      <c r="C5436" s="6" t="s">
        <v>1083</v>
      </c>
      <c r="D5436" s="6" t="s">
        <v>14</v>
      </c>
      <c r="E5436" s="6" t="s">
        <v>17</v>
      </c>
      <c r="F5436" s="6" t="s">
        <v>46</v>
      </c>
      <c r="G5436" s="6" t="s">
        <v>212</v>
      </c>
      <c r="H5436" s="6" t="s">
        <v>213</v>
      </c>
      <c r="I5436" s="6" t="s">
        <v>31</v>
      </c>
      <c r="J5436" s="6">
        <v>16.005827530975999</v>
      </c>
      <c r="K5436" s="6">
        <v>-97.425652038454999</v>
      </c>
      <c r="L5436" s="6" t="str">
        <f>HYPERLINK("https://maps.google.com/?q=16.0058275309759,-97.4256520384547", "🔗 Ver Mapa")</f>
        <v>🔗 Ver Mapa</v>
      </c>
    </row>
    <row r="5437" spans="1:12" ht="43.5" x14ac:dyDescent="0.35">
      <c r="A5437" s="5" t="s">
        <v>98</v>
      </c>
      <c r="B5437" s="5" t="s">
        <v>99</v>
      </c>
      <c r="C5437" s="5" t="s">
        <v>1083</v>
      </c>
      <c r="D5437" s="5" t="s">
        <v>14</v>
      </c>
      <c r="E5437" s="5" t="s">
        <v>17</v>
      </c>
      <c r="F5437" s="5" t="s">
        <v>46</v>
      </c>
      <c r="G5437" s="5" t="s">
        <v>212</v>
      </c>
      <c r="H5437" s="5" t="s">
        <v>213</v>
      </c>
      <c r="I5437" s="5" t="s">
        <v>31</v>
      </c>
      <c r="J5437" s="5">
        <v>16.005924562627001</v>
      </c>
      <c r="K5437" s="5">
        <v>-97.446607422013997</v>
      </c>
      <c r="L5437" s="5" t="str">
        <f>HYPERLINK("https://maps.google.com/?q=16.0059245626265,-97.446607422014196", "🔗 Ver Mapa")</f>
        <v>🔗 Ver Mapa</v>
      </c>
    </row>
    <row r="5438" spans="1:12" ht="43.5" x14ac:dyDescent="0.35">
      <c r="A5438" s="6" t="s">
        <v>98</v>
      </c>
      <c r="B5438" s="6" t="s">
        <v>99</v>
      </c>
      <c r="C5438" s="6" t="s">
        <v>1083</v>
      </c>
      <c r="D5438" s="6" t="s">
        <v>14</v>
      </c>
      <c r="E5438" s="6" t="s">
        <v>17</v>
      </c>
      <c r="F5438" s="6" t="s">
        <v>46</v>
      </c>
      <c r="G5438" s="6" t="s">
        <v>212</v>
      </c>
      <c r="H5438" s="6" t="s">
        <v>213</v>
      </c>
      <c r="I5438" s="6" t="s">
        <v>31</v>
      </c>
      <c r="J5438" s="6">
        <v>16.005976127185999</v>
      </c>
      <c r="K5438" s="6">
        <v>-97.451314698836001</v>
      </c>
      <c r="L5438" s="6" t="str">
        <f>HYPERLINK("https://maps.google.com/?q=16.0059761271864,-97.451314698836001", "🔗 Ver Mapa")</f>
        <v>🔗 Ver Mapa</v>
      </c>
    </row>
    <row r="5439" spans="1:12" ht="43.5" x14ac:dyDescent="0.35">
      <c r="A5439" s="5" t="s">
        <v>98</v>
      </c>
      <c r="B5439" s="5" t="s">
        <v>99</v>
      </c>
      <c r="C5439" s="5" t="s">
        <v>1083</v>
      </c>
      <c r="D5439" s="5" t="s">
        <v>14</v>
      </c>
      <c r="E5439" s="5" t="s">
        <v>17</v>
      </c>
      <c r="F5439" s="5" t="s">
        <v>46</v>
      </c>
      <c r="G5439" s="5" t="s">
        <v>212</v>
      </c>
      <c r="H5439" s="5" t="s">
        <v>213</v>
      </c>
      <c r="I5439" s="5" t="s">
        <v>31</v>
      </c>
      <c r="J5439" s="5">
        <v>16.006095460514</v>
      </c>
      <c r="K5439" s="5">
        <v>-97.433552308542005</v>
      </c>
      <c r="L5439" s="5" t="str">
        <f>HYPERLINK("https://maps.google.com/?q=16.006095460514,-97.433552308542303", "🔗 Ver Mapa")</f>
        <v>🔗 Ver Mapa</v>
      </c>
    </row>
    <row r="5440" spans="1:12" ht="43.5" x14ac:dyDescent="0.35">
      <c r="A5440" s="6" t="s">
        <v>98</v>
      </c>
      <c r="B5440" s="6" t="s">
        <v>99</v>
      </c>
      <c r="C5440" s="6" t="s">
        <v>1083</v>
      </c>
      <c r="D5440" s="6" t="s">
        <v>14</v>
      </c>
      <c r="E5440" s="6" t="s">
        <v>17</v>
      </c>
      <c r="F5440" s="6" t="s">
        <v>46</v>
      </c>
      <c r="G5440" s="6" t="s">
        <v>212</v>
      </c>
      <c r="H5440" s="6" t="s">
        <v>213</v>
      </c>
      <c r="I5440" s="6" t="s">
        <v>31</v>
      </c>
      <c r="J5440" s="6">
        <v>16.006227518951999</v>
      </c>
      <c r="K5440" s="6">
        <v>-97.425102187790998</v>
      </c>
      <c r="L5440" s="6" t="str">
        <f>HYPERLINK("https://maps.google.com/?q=16.0062275189523,-97.425102187790898", "🔗 Ver Mapa")</f>
        <v>🔗 Ver Mapa</v>
      </c>
    </row>
    <row r="5441" spans="1:12" ht="43.5" x14ac:dyDescent="0.35">
      <c r="A5441" s="5" t="s">
        <v>98</v>
      </c>
      <c r="B5441" s="5" t="s">
        <v>99</v>
      </c>
      <c r="C5441" s="5" t="s">
        <v>1083</v>
      </c>
      <c r="D5441" s="5" t="s">
        <v>14</v>
      </c>
      <c r="E5441" s="5" t="s">
        <v>17</v>
      </c>
      <c r="F5441" s="5" t="s">
        <v>46</v>
      </c>
      <c r="G5441" s="5" t="s">
        <v>212</v>
      </c>
      <c r="H5441" s="5" t="s">
        <v>213</v>
      </c>
      <c r="I5441" s="5" t="s">
        <v>31</v>
      </c>
      <c r="J5441" s="5">
        <v>16.006324187617</v>
      </c>
      <c r="K5441" s="5">
        <v>-97.446717392584006</v>
      </c>
      <c r="L5441" s="5" t="str">
        <f>HYPERLINK("https://maps.google.com/?q=16.0063241876171,-97.446717392583807", "🔗 Ver Mapa")</f>
        <v>🔗 Ver Mapa</v>
      </c>
    </row>
    <row r="5442" spans="1:12" ht="43.5" x14ac:dyDescent="0.35">
      <c r="A5442" s="6" t="s">
        <v>98</v>
      </c>
      <c r="B5442" s="6" t="s">
        <v>99</v>
      </c>
      <c r="C5442" s="6" t="s">
        <v>1083</v>
      </c>
      <c r="D5442" s="6" t="s">
        <v>14</v>
      </c>
      <c r="E5442" s="6" t="s">
        <v>17</v>
      </c>
      <c r="F5442" s="6" t="s">
        <v>46</v>
      </c>
      <c r="G5442" s="6" t="s">
        <v>212</v>
      </c>
      <c r="H5442" s="6" t="s">
        <v>213</v>
      </c>
      <c r="I5442" s="6" t="s">
        <v>31</v>
      </c>
      <c r="J5442" s="6">
        <v>16.006388188948002</v>
      </c>
      <c r="K5442" s="6">
        <v>-97.431015864418001</v>
      </c>
      <c r="L5442" s="6" t="str">
        <f>HYPERLINK("https://maps.google.com/?q=16.0063881889481,-97.4310158644181", "🔗 Ver Mapa")</f>
        <v>🔗 Ver Mapa</v>
      </c>
    </row>
    <row r="5443" spans="1:12" ht="43.5" x14ac:dyDescent="0.35">
      <c r="A5443" s="5" t="s">
        <v>98</v>
      </c>
      <c r="B5443" s="5" t="s">
        <v>99</v>
      </c>
      <c r="C5443" s="5" t="s">
        <v>1083</v>
      </c>
      <c r="D5443" s="5" t="s">
        <v>14</v>
      </c>
      <c r="E5443" s="5" t="s">
        <v>17</v>
      </c>
      <c r="F5443" s="5" t="s">
        <v>46</v>
      </c>
      <c r="G5443" s="5" t="s">
        <v>212</v>
      </c>
      <c r="H5443" s="5" t="s">
        <v>213</v>
      </c>
      <c r="I5443" s="5" t="s">
        <v>31</v>
      </c>
      <c r="J5443" s="5">
        <v>16.006847566234001</v>
      </c>
      <c r="K5443" s="5">
        <v>-97.452127408167996</v>
      </c>
      <c r="L5443" s="5" t="str">
        <f>HYPERLINK("https://maps.google.com/?q=16.0068475662343,-97.452127408167598", "🔗 Ver Mapa")</f>
        <v>🔗 Ver Mapa</v>
      </c>
    </row>
    <row r="5444" spans="1:12" ht="43.5" x14ac:dyDescent="0.35">
      <c r="A5444" s="6" t="s">
        <v>98</v>
      </c>
      <c r="B5444" s="6" t="s">
        <v>99</v>
      </c>
      <c r="C5444" s="6" t="s">
        <v>1083</v>
      </c>
      <c r="D5444" s="6" t="s">
        <v>14</v>
      </c>
      <c r="E5444" s="6" t="s">
        <v>17</v>
      </c>
      <c r="F5444" s="6" t="s">
        <v>46</v>
      </c>
      <c r="G5444" s="6" t="s">
        <v>212</v>
      </c>
      <c r="H5444" s="6" t="s">
        <v>213</v>
      </c>
      <c r="I5444" s="6" t="s">
        <v>31</v>
      </c>
      <c r="J5444" s="6">
        <v>16.006897213582999</v>
      </c>
      <c r="K5444" s="6">
        <v>-97.447271531164006</v>
      </c>
      <c r="L5444" s="6" t="str">
        <f>HYPERLINK("https://maps.google.com/?q=16.0068972135827,-97.447271531163906", "🔗 Ver Mapa")</f>
        <v>🔗 Ver Mapa</v>
      </c>
    </row>
    <row r="5445" spans="1:12" ht="43.5" x14ac:dyDescent="0.35">
      <c r="A5445" s="5" t="s">
        <v>98</v>
      </c>
      <c r="B5445" s="5" t="s">
        <v>99</v>
      </c>
      <c r="C5445" s="5" t="s">
        <v>1083</v>
      </c>
      <c r="D5445" s="5" t="s">
        <v>14</v>
      </c>
      <c r="E5445" s="5" t="s">
        <v>17</v>
      </c>
      <c r="F5445" s="5" t="s">
        <v>46</v>
      </c>
      <c r="G5445" s="5" t="s">
        <v>212</v>
      </c>
      <c r="H5445" s="5" t="s">
        <v>213</v>
      </c>
      <c r="I5445" s="5" t="s">
        <v>31</v>
      </c>
      <c r="J5445" s="5">
        <v>16.007043932502999</v>
      </c>
      <c r="K5445" s="5">
        <v>-97.431302653372995</v>
      </c>
      <c r="L5445" s="5" t="str">
        <f>HYPERLINK("https://maps.google.com/?q=16.0070439325035,-97.431302653372896", "🔗 Ver Mapa")</f>
        <v>🔗 Ver Mapa</v>
      </c>
    </row>
    <row r="5446" spans="1:12" ht="43.5" x14ac:dyDescent="0.35">
      <c r="A5446" s="6" t="s">
        <v>98</v>
      </c>
      <c r="B5446" s="6" t="s">
        <v>99</v>
      </c>
      <c r="C5446" s="6" t="s">
        <v>1083</v>
      </c>
      <c r="D5446" s="6" t="s">
        <v>14</v>
      </c>
      <c r="E5446" s="6" t="s">
        <v>17</v>
      </c>
      <c r="F5446" s="6" t="s">
        <v>46</v>
      </c>
      <c r="G5446" s="6" t="s">
        <v>212</v>
      </c>
      <c r="H5446" s="6" t="s">
        <v>213</v>
      </c>
      <c r="I5446" s="6" t="s">
        <v>31</v>
      </c>
      <c r="J5446" s="6">
        <v>16.007245738925999</v>
      </c>
      <c r="K5446" s="6">
        <v>-97.425995372209002</v>
      </c>
      <c r="L5446" s="6" t="str">
        <f>HYPERLINK("https://maps.google.com/?q=16.0072457389261,-97.425995372209002", "🔗 Ver Mapa")</f>
        <v>🔗 Ver Mapa</v>
      </c>
    </row>
    <row r="5447" spans="1:12" ht="43.5" x14ac:dyDescent="0.35">
      <c r="A5447" s="5" t="s">
        <v>98</v>
      </c>
      <c r="B5447" s="5" t="s">
        <v>99</v>
      </c>
      <c r="C5447" s="5" t="s">
        <v>1083</v>
      </c>
      <c r="D5447" s="5" t="s">
        <v>14</v>
      </c>
      <c r="E5447" s="5" t="s">
        <v>17</v>
      </c>
      <c r="F5447" s="5" t="s">
        <v>46</v>
      </c>
      <c r="G5447" s="5" t="s">
        <v>212</v>
      </c>
      <c r="H5447" s="5" t="s">
        <v>213</v>
      </c>
      <c r="I5447" s="5" t="s">
        <v>31</v>
      </c>
      <c r="J5447" s="5">
        <v>16.007263319886999</v>
      </c>
      <c r="K5447" s="5">
        <v>-97.447453921377004</v>
      </c>
      <c r="L5447" s="5" t="str">
        <f>HYPERLINK("https://maps.google.com/?q=16.0072633198865,-97.447453921377004", "🔗 Ver Mapa")</f>
        <v>🔗 Ver Mapa</v>
      </c>
    </row>
    <row r="5448" spans="1:12" ht="43.5" x14ac:dyDescent="0.35">
      <c r="A5448" s="6" t="s">
        <v>98</v>
      </c>
      <c r="B5448" s="6" t="s">
        <v>99</v>
      </c>
      <c r="C5448" s="6" t="s">
        <v>1083</v>
      </c>
      <c r="D5448" s="6" t="s">
        <v>14</v>
      </c>
      <c r="E5448" s="6" t="s">
        <v>17</v>
      </c>
      <c r="F5448" s="6" t="s">
        <v>46</v>
      </c>
      <c r="G5448" s="6" t="s">
        <v>212</v>
      </c>
      <c r="H5448" s="6" t="s">
        <v>213</v>
      </c>
      <c r="I5448" s="6" t="s">
        <v>31</v>
      </c>
      <c r="J5448" s="6">
        <v>16.007345822623002</v>
      </c>
      <c r="K5448" s="6">
        <v>-97.447335904179994</v>
      </c>
      <c r="L5448" s="6" t="str">
        <f>HYPERLINK("https://maps.google.com/?q=16.0073458226229,-97.447335904180306", "🔗 Ver Mapa")</f>
        <v>🔗 Ver Mapa</v>
      </c>
    </row>
    <row r="5449" spans="1:12" ht="43.5" x14ac:dyDescent="0.35">
      <c r="A5449" s="5" t="s">
        <v>98</v>
      </c>
      <c r="B5449" s="5" t="s">
        <v>99</v>
      </c>
      <c r="C5449" s="5" t="s">
        <v>1083</v>
      </c>
      <c r="D5449" s="5" t="s">
        <v>14</v>
      </c>
      <c r="E5449" s="5" t="s">
        <v>17</v>
      </c>
      <c r="F5449" s="5" t="s">
        <v>46</v>
      </c>
      <c r="G5449" s="5" t="s">
        <v>212</v>
      </c>
      <c r="H5449" s="5" t="s">
        <v>213</v>
      </c>
      <c r="I5449" s="5" t="s">
        <v>31</v>
      </c>
      <c r="J5449" s="5">
        <v>16.007385858367002</v>
      </c>
      <c r="K5449" s="5">
        <v>-97.447026811754</v>
      </c>
      <c r="L5449" s="5" t="str">
        <f>HYPERLINK("https://maps.google.com/?q=16.0073858583673,-97.447026811753702", "🔗 Ver Mapa")</f>
        <v>🔗 Ver Mapa</v>
      </c>
    </row>
    <row r="5450" spans="1:12" ht="43.5" x14ac:dyDescent="0.35">
      <c r="A5450" s="6" t="s">
        <v>98</v>
      </c>
      <c r="B5450" s="6" t="s">
        <v>99</v>
      </c>
      <c r="C5450" s="6" t="s">
        <v>1083</v>
      </c>
      <c r="D5450" s="6" t="s">
        <v>14</v>
      </c>
      <c r="E5450" s="6" t="s">
        <v>17</v>
      </c>
      <c r="F5450" s="6" t="s">
        <v>46</v>
      </c>
      <c r="G5450" s="6" t="s">
        <v>212</v>
      </c>
      <c r="H5450" s="6" t="s">
        <v>213</v>
      </c>
      <c r="I5450" s="6" t="s">
        <v>31</v>
      </c>
      <c r="J5450" s="6">
        <v>16.007502335717</v>
      </c>
      <c r="K5450" s="6">
        <v>-97.430472181164006</v>
      </c>
      <c r="L5450" s="6" t="str">
        <f>HYPERLINK("https://maps.google.com/?q=16.0075023357172,-97.430472181163907", "🔗 Ver Mapa")</f>
        <v>🔗 Ver Mapa</v>
      </c>
    </row>
    <row r="5451" spans="1:12" ht="43.5" x14ac:dyDescent="0.35">
      <c r="A5451" s="5" t="s">
        <v>98</v>
      </c>
      <c r="B5451" s="5" t="s">
        <v>99</v>
      </c>
      <c r="C5451" s="5" t="s">
        <v>1083</v>
      </c>
      <c r="D5451" s="5" t="s">
        <v>14</v>
      </c>
      <c r="E5451" s="5" t="s">
        <v>17</v>
      </c>
      <c r="F5451" s="5" t="s">
        <v>46</v>
      </c>
      <c r="G5451" s="5" t="s">
        <v>212</v>
      </c>
      <c r="H5451" s="5" t="s">
        <v>213</v>
      </c>
      <c r="I5451" s="5" t="s">
        <v>31</v>
      </c>
      <c r="J5451" s="5">
        <v>16.007675242503002</v>
      </c>
      <c r="K5451" s="5">
        <v>-97.429079380000005</v>
      </c>
      <c r="L5451" s="5" t="str">
        <f>HYPERLINK("https://maps.google.com/?q=16.0076752425035,-97.429079380000005", "🔗 Ver Mapa")</f>
        <v>🔗 Ver Mapa</v>
      </c>
    </row>
    <row r="5452" spans="1:12" ht="43.5" x14ac:dyDescent="0.35">
      <c r="A5452" s="6" t="s">
        <v>98</v>
      </c>
      <c r="B5452" s="6" t="s">
        <v>99</v>
      </c>
      <c r="C5452" s="6" t="s">
        <v>1083</v>
      </c>
      <c r="D5452" s="6" t="s">
        <v>14</v>
      </c>
      <c r="E5452" s="6" t="s">
        <v>17</v>
      </c>
      <c r="F5452" s="6" t="s">
        <v>46</v>
      </c>
      <c r="G5452" s="6" t="s">
        <v>212</v>
      </c>
      <c r="H5452" s="6" t="s">
        <v>213</v>
      </c>
      <c r="I5452" s="6" t="s">
        <v>31</v>
      </c>
      <c r="J5452" s="6">
        <v>16.007724530769998</v>
      </c>
      <c r="K5452" s="6">
        <v>-97.430629195104999</v>
      </c>
      <c r="L5452" s="6" t="str">
        <f>HYPERLINK("https://maps.google.com/?q=16.0077245307698,-97.4306291951048", "🔗 Ver Mapa")</f>
        <v>🔗 Ver Mapa</v>
      </c>
    </row>
    <row r="5453" spans="1:12" ht="43.5" x14ac:dyDescent="0.35">
      <c r="A5453" s="5" t="s">
        <v>98</v>
      </c>
      <c r="B5453" s="5" t="s">
        <v>99</v>
      </c>
      <c r="C5453" s="5" t="s">
        <v>1083</v>
      </c>
      <c r="D5453" s="5" t="s">
        <v>14</v>
      </c>
      <c r="E5453" s="5" t="s">
        <v>17</v>
      </c>
      <c r="F5453" s="5" t="s">
        <v>46</v>
      </c>
      <c r="G5453" s="5" t="s">
        <v>212</v>
      </c>
      <c r="H5453" s="5" t="s">
        <v>213</v>
      </c>
      <c r="I5453" s="5" t="s">
        <v>31</v>
      </c>
      <c r="J5453" s="5">
        <v>16.007734374299002</v>
      </c>
      <c r="K5453" s="5">
        <v>-97.430482909999995</v>
      </c>
      <c r="L5453" s="5" t="str">
        <f>HYPERLINK("https://maps.google.com/?q=16.0077343742987,-97.430482909999995", "🔗 Ver Mapa")</f>
        <v>🔗 Ver Mapa</v>
      </c>
    </row>
    <row r="5454" spans="1:12" ht="43.5" x14ac:dyDescent="0.35">
      <c r="A5454" s="6" t="s">
        <v>98</v>
      </c>
      <c r="B5454" s="6" t="s">
        <v>99</v>
      </c>
      <c r="C5454" s="6" t="s">
        <v>1083</v>
      </c>
      <c r="D5454" s="6" t="s">
        <v>14</v>
      </c>
      <c r="E5454" s="6" t="s">
        <v>17</v>
      </c>
      <c r="F5454" s="6" t="s">
        <v>46</v>
      </c>
      <c r="G5454" s="6" t="s">
        <v>212</v>
      </c>
      <c r="H5454" s="6" t="s">
        <v>213</v>
      </c>
      <c r="I5454" s="6" t="s">
        <v>31</v>
      </c>
      <c r="J5454" s="6">
        <v>16.008167608674</v>
      </c>
      <c r="K5454" s="6">
        <v>-97.449472021242002</v>
      </c>
      <c r="L5454" s="6" t="str">
        <f>HYPERLINK("https://maps.google.com/?q=16.0081676086741,-97.449472021242499", "🔗 Ver Mapa")</f>
        <v>🔗 Ver Mapa</v>
      </c>
    </row>
    <row r="5455" spans="1:12" ht="43.5" x14ac:dyDescent="0.35">
      <c r="A5455" s="5" t="s">
        <v>98</v>
      </c>
      <c r="B5455" s="5" t="s">
        <v>99</v>
      </c>
      <c r="C5455" s="5" t="s">
        <v>1083</v>
      </c>
      <c r="D5455" s="5" t="s">
        <v>14</v>
      </c>
      <c r="E5455" s="5" t="s">
        <v>17</v>
      </c>
      <c r="F5455" s="5" t="s">
        <v>46</v>
      </c>
      <c r="G5455" s="5" t="s">
        <v>212</v>
      </c>
      <c r="H5455" s="5" t="s">
        <v>213</v>
      </c>
      <c r="I5455" s="5" t="s">
        <v>31</v>
      </c>
      <c r="J5455" s="5">
        <v>16.008334822418998</v>
      </c>
      <c r="K5455" s="5">
        <v>-97.432129061341996</v>
      </c>
      <c r="L5455" s="5" t="str">
        <f>HYPERLINK("https://maps.google.com/?q=16.0083348224195,-97.432129061342295", "🔗 Ver Mapa")</f>
        <v>🔗 Ver Mapa</v>
      </c>
    </row>
    <row r="5456" spans="1:12" ht="43.5" x14ac:dyDescent="0.35">
      <c r="A5456" s="6" t="s">
        <v>98</v>
      </c>
      <c r="B5456" s="6" t="s">
        <v>99</v>
      </c>
      <c r="C5456" s="6" t="s">
        <v>1083</v>
      </c>
      <c r="D5456" s="6" t="s">
        <v>14</v>
      </c>
      <c r="E5456" s="6" t="s">
        <v>17</v>
      </c>
      <c r="F5456" s="6" t="s">
        <v>46</v>
      </c>
      <c r="G5456" s="6" t="s">
        <v>212</v>
      </c>
      <c r="H5456" s="6" t="s">
        <v>213</v>
      </c>
      <c r="I5456" s="6" t="s">
        <v>31</v>
      </c>
      <c r="J5456" s="6">
        <v>16.008461019289999</v>
      </c>
      <c r="K5456" s="6">
        <v>-97.425826143576003</v>
      </c>
      <c r="L5456" s="6" t="str">
        <f>HYPERLINK("https://maps.google.com/?q=16.00846101929,-97.425826143575904", "🔗 Ver Mapa")</f>
        <v>🔗 Ver Mapa</v>
      </c>
    </row>
    <row r="5457" spans="1:12" ht="43.5" x14ac:dyDescent="0.35">
      <c r="A5457" s="5" t="s">
        <v>98</v>
      </c>
      <c r="B5457" s="5" t="s">
        <v>99</v>
      </c>
      <c r="C5457" s="5" t="s">
        <v>1083</v>
      </c>
      <c r="D5457" s="5" t="s">
        <v>14</v>
      </c>
      <c r="E5457" s="5" t="s">
        <v>17</v>
      </c>
      <c r="F5457" s="5" t="s">
        <v>46</v>
      </c>
      <c r="G5457" s="5" t="s">
        <v>212</v>
      </c>
      <c r="H5457" s="5" t="s">
        <v>213</v>
      </c>
      <c r="I5457" s="5" t="s">
        <v>31</v>
      </c>
      <c r="J5457" s="5">
        <v>16.008500395283999</v>
      </c>
      <c r="K5457" s="5">
        <v>-97.426816805582007</v>
      </c>
      <c r="L5457" s="5" t="str">
        <f>HYPERLINK("https://maps.google.com/?q=16.0085003952842,-97.426816805582007", "🔗 Ver Mapa")</f>
        <v>🔗 Ver Mapa</v>
      </c>
    </row>
    <row r="5458" spans="1:12" ht="43.5" x14ac:dyDescent="0.35">
      <c r="A5458" s="6" t="s">
        <v>98</v>
      </c>
      <c r="B5458" s="6" t="s">
        <v>99</v>
      </c>
      <c r="C5458" s="6" t="s">
        <v>1083</v>
      </c>
      <c r="D5458" s="6" t="s">
        <v>14</v>
      </c>
      <c r="E5458" s="6" t="s">
        <v>17</v>
      </c>
      <c r="F5458" s="6" t="s">
        <v>46</v>
      </c>
      <c r="G5458" s="6" t="s">
        <v>212</v>
      </c>
      <c r="H5458" s="6" t="s">
        <v>213</v>
      </c>
      <c r="I5458" s="6" t="s">
        <v>31</v>
      </c>
      <c r="J5458" s="6">
        <v>16.008563434980001</v>
      </c>
      <c r="K5458" s="6">
        <v>-97.426108224106002</v>
      </c>
      <c r="L5458" s="6" t="str">
        <f>HYPERLINK("https://maps.google.com/?q=16.0085634349805,-97.426108224106201", "🔗 Ver Mapa")</f>
        <v>🔗 Ver Mapa</v>
      </c>
    </row>
    <row r="5459" spans="1:12" ht="43.5" x14ac:dyDescent="0.35">
      <c r="A5459" s="5" t="s">
        <v>98</v>
      </c>
      <c r="B5459" s="5" t="s">
        <v>99</v>
      </c>
      <c r="C5459" s="5" t="s">
        <v>1083</v>
      </c>
      <c r="D5459" s="5" t="s">
        <v>14</v>
      </c>
      <c r="E5459" s="5" t="s">
        <v>17</v>
      </c>
      <c r="F5459" s="5" t="s">
        <v>46</v>
      </c>
      <c r="G5459" s="5" t="s">
        <v>212</v>
      </c>
      <c r="H5459" s="5" t="s">
        <v>213</v>
      </c>
      <c r="I5459" s="5" t="s">
        <v>31</v>
      </c>
      <c r="J5459" s="5">
        <v>16.009008099900001</v>
      </c>
      <c r="K5459" s="5">
        <v>-97.450595866819995</v>
      </c>
      <c r="L5459" s="5" t="str">
        <f>HYPERLINK("https://maps.google.com/?q=16.0090080999001,-97.450595866819995", "🔗 Ver Mapa")</f>
        <v>🔗 Ver Mapa</v>
      </c>
    </row>
    <row r="5460" spans="1:12" ht="43.5" x14ac:dyDescent="0.35">
      <c r="A5460" s="6" t="s">
        <v>98</v>
      </c>
      <c r="B5460" s="6" t="s">
        <v>99</v>
      </c>
      <c r="C5460" s="6" t="s">
        <v>1083</v>
      </c>
      <c r="D5460" s="6" t="s">
        <v>14</v>
      </c>
      <c r="E5460" s="6" t="s">
        <v>17</v>
      </c>
      <c r="F5460" s="6" t="s">
        <v>46</v>
      </c>
      <c r="G5460" s="6" t="s">
        <v>212</v>
      </c>
      <c r="H5460" s="6" t="s">
        <v>213</v>
      </c>
      <c r="I5460" s="6" t="s">
        <v>31</v>
      </c>
      <c r="J5460" s="6">
        <v>16.009032498284</v>
      </c>
      <c r="K5460" s="6">
        <v>-97.424816351706994</v>
      </c>
      <c r="L5460" s="6" t="str">
        <f>HYPERLINK("https://maps.google.com/?q=16.0090324982843,-97.424816351707094", "🔗 Ver Mapa")</f>
        <v>🔗 Ver Mapa</v>
      </c>
    </row>
    <row r="5461" spans="1:12" ht="43.5" x14ac:dyDescent="0.35">
      <c r="A5461" s="5" t="s">
        <v>98</v>
      </c>
      <c r="B5461" s="5" t="s">
        <v>99</v>
      </c>
      <c r="C5461" s="5" t="s">
        <v>1083</v>
      </c>
      <c r="D5461" s="5" t="s">
        <v>14</v>
      </c>
      <c r="E5461" s="5" t="s">
        <v>17</v>
      </c>
      <c r="F5461" s="5" t="s">
        <v>46</v>
      </c>
      <c r="G5461" s="5" t="s">
        <v>212</v>
      </c>
      <c r="H5461" s="5" t="s">
        <v>213</v>
      </c>
      <c r="I5461" s="5" t="s">
        <v>31</v>
      </c>
      <c r="J5461" s="5">
        <v>16.009188935082999</v>
      </c>
      <c r="K5461" s="5">
        <v>-97.426714267578006</v>
      </c>
      <c r="L5461" s="5" t="str">
        <f>HYPERLINK("https://maps.google.com/?q=16.0091889350831,-97.426714267578106", "🔗 Ver Mapa")</f>
        <v>🔗 Ver Mapa</v>
      </c>
    </row>
    <row r="5462" spans="1:12" ht="43.5" x14ac:dyDescent="0.35">
      <c r="A5462" s="6" t="s">
        <v>98</v>
      </c>
      <c r="B5462" s="6" t="s">
        <v>99</v>
      </c>
      <c r="C5462" s="6" t="s">
        <v>1083</v>
      </c>
      <c r="D5462" s="6" t="s">
        <v>14</v>
      </c>
      <c r="E5462" s="6" t="s">
        <v>17</v>
      </c>
      <c r="F5462" s="6" t="s">
        <v>46</v>
      </c>
      <c r="G5462" s="6" t="s">
        <v>212</v>
      </c>
      <c r="H5462" s="6" t="s">
        <v>213</v>
      </c>
      <c r="I5462" s="6" t="s">
        <v>31</v>
      </c>
      <c r="J5462" s="6">
        <v>16.009299275774001</v>
      </c>
      <c r="K5462" s="6">
        <v>-97.426895995693997</v>
      </c>
      <c r="L5462" s="6" t="str">
        <f>HYPERLINK("https://maps.google.com/?q=16.0092992757736,-97.426895995694395", "🔗 Ver Mapa")</f>
        <v>🔗 Ver Mapa</v>
      </c>
    </row>
    <row r="5463" spans="1:12" ht="43.5" x14ac:dyDescent="0.35">
      <c r="A5463" s="5" t="s">
        <v>98</v>
      </c>
      <c r="B5463" s="5" t="s">
        <v>99</v>
      </c>
      <c r="C5463" s="5" t="s">
        <v>1083</v>
      </c>
      <c r="D5463" s="5" t="s">
        <v>14</v>
      </c>
      <c r="E5463" s="5" t="s">
        <v>17</v>
      </c>
      <c r="F5463" s="5" t="s">
        <v>46</v>
      </c>
      <c r="G5463" s="5" t="s">
        <v>212</v>
      </c>
      <c r="H5463" s="5" t="s">
        <v>213</v>
      </c>
      <c r="I5463" s="5" t="s">
        <v>31</v>
      </c>
      <c r="J5463" s="5">
        <v>16.009662958709999</v>
      </c>
      <c r="K5463" s="5">
        <v>-97.447090219637005</v>
      </c>
      <c r="L5463" s="5" t="str">
        <f>HYPERLINK("https://maps.google.com/?q=16.00966295871,-97.447090219636905", "🔗 Ver Mapa")</f>
        <v>🔗 Ver Mapa</v>
      </c>
    </row>
    <row r="5464" spans="1:12" ht="43.5" x14ac:dyDescent="0.35">
      <c r="A5464" s="6" t="s">
        <v>98</v>
      </c>
      <c r="B5464" s="6" t="s">
        <v>99</v>
      </c>
      <c r="C5464" s="6" t="s">
        <v>1083</v>
      </c>
      <c r="D5464" s="6" t="s">
        <v>14</v>
      </c>
      <c r="E5464" s="6" t="s">
        <v>17</v>
      </c>
      <c r="F5464" s="6" t="s">
        <v>46</v>
      </c>
      <c r="G5464" s="6" t="s">
        <v>212</v>
      </c>
      <c r="H5464" s="6" t="s">
        <v>213</v>
      </c>
      <c r="I5464" s="6" t="s">
        <v>31</v>
      </c>
      <c r="J5464" s="6">
        <v>16.009697669733001</v>
      </c>
      <c r="K5464" s="6">
        <v>-97.424687605673995</v>
      </c>
      <c r="L5464" s="6" t="str">
        <f>HYPERLINK("https://maps.google.com/?q=16.0096976697331,-97.424687605674393", "🔗 Ver Mapa")</f>
        <v>🔗 Ver Mapa</v>
      </c>
    </row>
    <row r="5465" spans="1:12" ht="43.5" x14ac:dyDescent="0.35">
      <c r="A5465" s="5" t="s">
        <v>98</v>
      </c>
      <c r="B5465" s="5" t="s">
        <v>99</v>
      </c>
      <c r="C5465" s="5" t="s">
        <v>1083</v>
      </c>
      <c r="D5465" s="5" t="s">
        <v>14</v>
      </c>
      <c r="E5465" s="5" t="s">
        <v>17</v>
      </c>
      <c r="F5465" s="5" t="s">
        <v>46</v>
      </c>
      <c r="G5465" s="5" t="s">
        <v>212</v>
      </c>
      <c r="H5465" s="5" t="s">
        <v>213</v>
      </c>
      <c r="I5465" s="5" t="s">
        <v>31</v>
      </c>
      <c r="J5465" s="5">
        <v>16.009968378408999</v>
      </c>
      <c r="K5465" s="5">
        <v>-97.425553959186004</v>
      </c>
      <c r="L5465" s="5" t="str">
        <f>HYPERLINK("https://maps.google.com/?q=16.0099683784093,-97.425553959186303", "🔗 Ver Mapa")</f>
        <v>🔗 Ver Mapa</v>
      </c>
    </row>
    <row r="5466" spans="1:12" ht="43.5" x14ac:dyDescent="0.35">
      <c r="A5466" s="6" t="s">
        <v>98</v>
      </c>
      <c r="B5466" s="6" t="s">
        <v>99</v>
      </c>
      <c r="C5466" s="6" t="s">
        <v>1083</v>
      </c>
      <c r="D5466" s="6" t="s">
        <v>14</v>
      </c>
      <c r="E5466" s="6" t="s">
        <v>17</v>
      </c>
      <c r="F5466" s="6" t="s">
        <v>46</v>
      </c>
      <c r="G5466" s="6" t="s">
        <v>212</v>
      </c>
      <c r="H5466" s="6" t="s">
        <v>213</v>
      </c>
      <c r="I5466" s="6" t="s">
        <v>31</v>
      </c>
      <c r="J5466" s="6">
        <v>16.010160878789002</v>
      </c>
      <c r="K5466" s="6">
        <v>-97.430940593873004</v>
      </c>
      <c r="L5466" s="6" t="str">
        <f>HYPERLINK("https://maps.google.com/?q=16.0101608787891,-97.430940593873103", "🔗 Ver Mapa")</f>
        <v>🔗 Ver Mapa</v>
      </c>
    </row>
    <row r="5467" spans="1:12" ht="43.5" x14ac:dyDescent="0.35">
      <c r="A5467" s="5" t="s">
        <v>98</v>
      </c>
      <c r="B5467" s="5" t="s">
        <v>99</v>
      </c>
      <c r="C5467" s="5" t="s">
        <v>1083</v>
      </c>
      <c r="D5467" s="5" t="s">
        <v>14</v>
      </c>
      <c r="E5467" s="5" t="s">
        <v>17</v>
      </c>
      <c r="F5467" s="5" t="s">
        <v>46</v>
      </c>
      <c r="G5467" s="5" t="s">
        <v>212</v>
      </c>
      <c r="H5467" s="5" t="s">
        <v>213</v>
      </c>
      <c r="I5467" s="5" t="s">
        <v>31</v>
      </c>
      <c r="J5467" s="5">
        <v>16.010393777015999</v>
      </c>
      <c r="K5467" s="5">
        <v>-97.429891091163995</v>
      </c>
      <c r="L5467" s="5" t="str">
        <f>HYPERLINK("https://maps.google.com/?q=16.0103937770161,-97.429891091163995", "🔗 Ver Mapa")</f>
        <v>🔗 Ver Mapa</v>
      </c>
    </row>
    <row r="5468" spans="1:12" ht="43.5" x14ac:dyDescent="0.35">
      <c r="A5468" s="6" t="s">
        <v>98</v>
      </c>
      <c r="B5468" s="6" t="s">
        <v>99</v>
      </c>
      <c r="C5468" s="6" t="s">
        <v>1083</v>
      </c>
      <c r="D5468" s="6" t="s">
        <v>14</v>
      </c>
      <c r="E5468" s="6" t="s">
        <v>17</v>
      </c>
      <c r="F5468" s="6" t="s">
        <v>46</v>
      </c>
      <c r="G5468" s="6" t="s">
        <v>212</v>
      </c>
      <c r="H5468" s="6" t="s">
        <v>213</v>
      </c>
      <c r="I5468" s="6" t="s">
        <v>31</v>
      </c>
      <c r="J5468" s="6">
        <v>16.010677375583999</v>
      </c>
      <c r="K5468" s="6">
        <v>-97.426468592459997</v>
      </c>
      <c r="L5468" s="6" t="str">
        <f>HYPERLINK("https://maps.google.com/?q=16.0106773755838,-97.426468592460495", "🔗 Ver Mapa")</f>
        <v>🔗 Ver Mapa</v>
      </c>
    </row>
    <row r="5469" spans="1:12" ht="43.5" x14ac:dyDescent="0.35">
      <c r="A5469" s="5" t="s">
        <v>98</v>
      </c>
      <c r="B5469" s="5" t="s">
        <v>99</v>
      </c>
      <c r="C5469" s="5" t="s">
        <v>1083</v>
      </c>
      <c r="D5469" s="5" t="s">
        <v>14</v>
      </c>
      <c r="E5469" s="5" t="s">
        <v>17</v>
      </c>
      <c r="F5469" s="5" t="s">
        <v>46</v>
      </c>
      <c r="G5469" s="5" t="s">
        <v>212</v>
      </c>
      <c r="H5469" s="5" t="s">
        <v>213</v>
      </c>
      <c r="I5469" s="5" t="s">
        <v>31</v>
      </c>
      <c r="J5469" s="5">
        <v>16.010840123192001</v>
      </c>
      <c r="K5469" s="5">
        <v>-97.430560100852006</v>
      </c>
      <c r="L5469" s="5" t="str">
        <f>HYPERLINK("https://maps.google.com/?q=16.0108401231924,-97.430560100852105", "🔗 Ver Mapa")</f>
        <v>🔗 Ver Mapa</v>
      </c>
    </row>
    <row r="5470" spans="1:12" ht="43.5" x14ac:dyDescent="0.35">
      <c r="A5470" s="6" t="s">
        <v>98</v>
      </c>
      <c r="B5470" s="6" t="s">
        <v>99</v>
      </c>
      <c r="C5470" s="6" t="s">
        <v>1083</v>
      </c>
      <c r="D5470" s="6" t="s">
        <v>14</v>
      </c>
      <c r="E5470" s="6" t="s">
        <v>17</v>
      </c>
      <c r="F5470" s="6" t="s">
        <v>46</v>
      </c>
      <c r="G5470" s="6" t="s">
        <v>212</v>
      </c>
      <c r="H5470" s="6" t="s">
        <v>213</v>
      </c>
      <c r="I5470" s="6" t="s">
        <v>31</v>
      </c>
      <c r="J5470" s="6">
        <v>16.010969031394001</v>
      </c>
      <c r="K5470" s="6">
        <v>-97.427577484427005</v>
      </c>
      <c r="L5470" s="6" t="str">
        <f>HYPERLINK("https://maps.google.com/?q=16.0109690313941,-97.427577484427204", "🔗 Ver Mapa")</f>
        <v>🔗 Ver Mapa</v>
      </c>
    </row>
    <row r="5471" spans="1:12" ht="43.5" x14ac:dyDescent="0.35">
      <c r="A5471" s="5" t="s">
        <v>98</v>
      </c>
      <c r="B5471" s="5" t="s">
        <v>99</v>
      </c>
      <c r="C5471" s="5" t="s">
        <v>1083</v>
      </c>
      <c r="D5471" s="5" t="s">
        <v>14</v>
      </c>
      <c r="E5471" s="5" t="s">
        <v>17</v>
      </c>
      <c r="F5471" s="5" t="s">
        <v>46</v>
      </c>
      <c r="G5471" s="5" t="s">
        <v>212</v>
      </c>
      <c r="H5471" s="5" t="s">
        <v>213</v>
      </c>
      <c r="I5471" s="5" t="s">
        <v>31</v>
      </c>
      <c r="J5471" s="5">
        <v>16.011167226706998</v>
      </c>
      <c r="K5471" s="5">
        <v>-97.426361304099999</v>
      </c>
      <c r="L5471" s="5" t="str">
        <f>HYPERLINK("https://maps.google.com/?q=16.0111672267065,-97.426361304099899", "🔗 Ver Mapa")</f>
        <v>🔗 Ver Mapa</v>
      </c>
    </row>
    <row r="5472" spans="1:12" ht="43.5" x14ac:dyDescent="0.35">
      <c r="A5472" s="6" t="s">
        <v>98</v>
      </c>
      <c r="B5472" s="6" t="s">
        <v>99</v>
      </c>
      <c r="C5472" s="6" t="s">
        <v>1083</v>
      </c>
      <c r="D5472" s="6" t="s">
        <v>14</v>
      </c>
      <c r="E5472" s="6" t="s">
        <v>17</v>
      </c>
      <c r="F5472" s="6" t="s">
        <v>46</v>
      </c>
      <c r="G5472" s="6" t="s">
        <v>212</v>
      </c>
      <c r="H5472" s="6" t="s">
        <v>213</v>
      </c>
      <c r="I5472" s="6" t="s">
        <v>31</v>
      </c>
      <c r="J5472" s="6">
        <v>16.011185596985001</v>
      </c>
      <c r="K5472" s="6">
        <v>-97.429825175581996</v>
      </c>
      <c r="L5472" s="6" t="str">
        <f>HYPERLINK("https://maps.google.com/?q=16.0111855969855,-97.429825175581996", "🔗 Ver Mapa")</f>
        <v>🔗 Ver Mapa</v>
      </c>
    </row>
    <row r="5473" spans="1:12" ht="43.5" x14ac:dyDescent="0.35">
      <c r="A5473" s="5" t="s">
        <v>98</v>
      </c>
      <c r="B5473" s="5" t="s">
        <v>99</v>
      </c>
      <c r="C5473" s="5" t="s">
        <v>1083</v>
      </c>
      <c r="D5473" s="5" t="s">
        <v>14</v>
      </c>
      <c r="E5473" s="5" t="s">
        <v>17</v>
      </c>
      <c r="F5473" s="5" t="s">
        <v>46</v>
      </c>
      <c r="G5473" s="5" t="s">
        <v>212</v>
      </c>
      <c r="H5473" s="5" t="s">
        <v>213</v>
      </c>
      <c r="I5473" s="5" t="s">
        <v>31</v>
      </c>
      <c r="J5473" s="5">
        <v>16.012445470648998</v>
      </c>
      <c r="K5473" s="5">
        <v>-97.431664887791001</v>
      </c>
      <c r="L5473" s="5" t="str">
        <f>HYPERLINK("https://maps.google.com/?q=16.0124454706485,-97.431664887790902", "🔗 Ver Mapa")</f>
        <v>🔗 Ver Mapa</v>
      </c>
    </row>
    <row r="5474" spans="1:12" ht="43.5" x14ac:dyDescent="0.35">
      <c r="A5474" s="6" t="s">
        <v>98</v>
      </c>
      <c r="B5474" s="6" t="s">
        <v>99</v>
      </c>
      <c r="C5474" s="6" t="s">
        <v>1083</v>
      </c>
      <c r="D5474" s="6" t="s">
        <v>14</v>
      </c>
      <c r="E5474" s="6" t="s">
        <v>17</v>
      </c>
      <c r="F5474" s="6" t="s">
        <v>46</v>
      </c>
      <c r="G5474" s="6" t="s">
        <v>212</v>
      </c>
      <c r="H5474" s="6" t="s">
        <v>213</v>
      </c>
      <c r="I5474" s="6" t="s">
        <v>31</v>
      </c>
      <c r="J5474" s="6">
        <v>16.012934483194002</v>
      </c>
      <c r="K5474" s="6">
        <v>-97.431217034417998</v>
      </c>
      <c r="L5474" s="6" t="str">
        <f>HYPERLINK("https://maps.google.com/?q=16.012934483194,-97.431217034417998", "🔗 Ver Mapa")</f>
        <v>🔗 Ver Mapa</v>
      </c>
    </row>
    <row r="5475" spans="1:12" ht="43.5" x14ac:dyDescent="0.35">
      <c r="A5475" s="5" t="s">
        <v>98</v>
      </c>
      <c r="B5475" s="5" t="s">
        <v>99</v>
      </c>
      <c r="C5475" s="5" t="s">
        <v>1083</v>
      </c>
      <c r="D5475" s="5" t="s">
        <v>14</v>
      </c>
      <c r="E5475" s="5" t="s">
        <v>17</v>
      </c>
      <c r="F5475" s="5" t="s">
        <v>46</v>
      </c>
      <c r="G5475" s="5" t="s">
        <v>212</v>
      </c>
      <c r="H5475" s="5" t="s">
        <v>213</v>
      </c>
      <c r="I5475" s="5" t="s">
        <v>31</v>
      </c>
      <c r="J5475" s="5">
        <v>16.013808960178999</v>
      </c>
      <c r="K5475" s="5">
        <v>-97.436656376865997</v>
      </c>
      <c r="L5475" s="5" t="str">
        <f>HYPERLINK("https://maps.google.com/?q=16.0138089601788,-97.436656376866495", "🔗 Ver Mapa")</f>
        <v>🔗 Ver Mapa</v>
      </c>
    </row>
    <row r="5476" spans="1:12" ht="43.5" x14ac:dyDescent="0.35">
      <c r="A5476" s="6" t="s">
        <v>98</v>
      </c>
      <c r="B5476" s="6" t="s">
        <v>99</v>
      </c>
      <c r="C5476" s="6" t="s">
        <v>1083</v>
      </c>
      <c r="D5476" s="6" t="s">
        <v>14</v>
      </c>
      <c r="E5476" s="6" t="s">
        <v>17</v>
      </c>
      <c r="F5476" s="6" t="s">
        <v>46</v>
      </c>
      <c r="G5476" s="6" t="s">
        <v>212</v>
      </c>
      <c r="H5476" s="6" t="s">
        <v>213</v>
      </c>
      <c r="I5476" s="6" t="s">
        <v>31</v>
      </c>
      <c r="J5476" s="6">
        <v>16.015191503322999</v>
      </c>
      <c r="K5476" s="6">
        <v>-97.438565547666997</v>
      </c>
      <c r="L5476" s="6" t="str">
        <f>HYPERLINK("https://maps.google.com/?q=16.0151915033232,-97.438565547667295", "🔗 Ver Mapa")</f>
        <v>🔗 Ver Mapa</v>
      </c>
    </row>
    <row r="5477" spans="1:12" ht="43.5" x14ac:dyDescent="0.35">
      <c r="A5477" s="5" t="s">
        <v>98</v>
      </c>
      <c r="B5477" s="5" t="s">
        <v>99</v>
      </c>
      <c r="C5477" s="5" t="s">
        <v>1083</v>
      </c>
      <c r="D5477" s="5" t="s">
        <v>14</v>
      </c>
      <c r="E5477" s="5" t="s">
        <v>17</v>
      </c>
      <c r="F5477" s="5" t="s">
        <v>46</v>
      </c>
      <c r="G5477" s="5" t="s">
        <v>212</v>
      </c>
      <c r="H5477" s="5" t="s">
        <v>213</v>
      </c>
      <c r="I5477" s="5" t="s">
        <v>31</v>
      </c>
      <c r="J5477" s="5">
        <v>16.01537083925</v>
      </c>
      <c r="K5477" s="5">
        <v>-97.438557265582006</v>
      </c>
      <c r="L5477" s="5" t="str">
        <f>HYPERLINK("https://maps.google.com/?q=16.0153708392502,-97.438557265582006", "🔗 Ver Mapa")</f>
        <v>🔗 Ver Mapa</v>
      </c>
    </row>
    <row r="5478" spans="1:12" ht="43.5" x14ac:dyDescent="0.35">
      <c r="A5478" s="6" t="s">
        <v>98</v>
      </c>
      <c r="B5478" s="6" t="s">
        <v>99</v>
      </c>
      <c r="C5478" s="6" t="s">
        <v>1084</v>
      </c>
      <c r="D5478" s="6" t="s">
        <v>14</v>
      </c>
      <c r="E5478" s="6" t="s">
        <v>39</v>
      </c>
      <c r="F5478" s="6" t="s">
        <v>353</v>
      </c>
      <c r="G5478" s="6" t="s">
        <v>1085</v>
      </c>
      <c r="H5478" s="6" t="s">
        <v>1086</v>
      </c>
      <c r="I5478" s="6" t="s">
        <v>31</v>
      </c>
      <c r="J5478" s="6">
        <v>16.342092999999998</v>
      </c>
      <c r="K5478" s="6">
        <v>-96.482927000000004</v>
      </c>
      <c r="L5478" s="6" t="str">
        <f>HYPERLINK("https://maps.google.com/?q=16.342093,-96.482927000000004", "🔗 Ver Mapa")</f>
        <v>🔗 Ver Mapa</v>
      </c>
    </row>
    <row r="5479" spans="1:12" ht="43.5" x14ac:dyDescent="0.35">
      <c r="A5479" s="5" t="s">
        <v>98</v>
      </c>
      <c r="B5479" s="5" t="s">
        <v>99</v>
      </c>
      <c r="C5479" s="5" t="s">
        <v>1084</v>
      </c>
      <c r="D5479" s="5" t="s">
        <v>14</v>
      </c>
      <c r="E5479" s="5" t="s">
        <v>39</v>
      </c>
      <c r="F5479" s="5" t="s">
        <v>353</v>
      </c>
      <c r="G5479" s="5" t="s">
        <v>1085</v>
      </c>
      <c r="H5479" s="5" t="s">
        <v>1086</v>
      </c>
      <c r="I5479" s="5" t="s">
        <v>31</v>
      </c>
      <c r="J5479" s="5">
        <v>16.342807000000001</v>
      </c>
      <c r="K5479" s="5">
        <v>-96.482527000000005</v>
      </c>
      <c r="L5479" s="5" t="str">
        <f>HYPERLINK("https://maps.google.com/?q=16.342807,-96.482527", "🔗 Ver Mapa")</f>
        <v>🔗 Ver Mapa</v>
      </c>
    </row>
    <row r="5480" spans="1:12" ht="43.5" x14ac:dyDescent="0.35">
      <c r="A5480" s="6" t="s">
        <v>98</v>
      </c>
      <c r="B5480" s="6" t="s">
        <v>99</v>
      </c>
      <c r="C5480" s="6" t="s">
        <v>1087</v>
      </c>
      <c r="D5480" s="6" t="s">
        <v>14</v>
      </c>
      <c r="E5480" s="6" t="s">
        <v>39</v>
      </c>
      <c r="F5480" s="6" t="s">
        <v>353</v>
      </c>
      <c r="G5480" s="6" t="s">
        <v>1085</v>
      </c>
      <c r="H5480" s="6" t="s">
        <v>1088</v>
      </c>
      <c r="I5480" s="6" t="s">
        <v>31</v>
      </c>
      <c r="J5480" s="6">
        <v>16.328496000000001</v>
      </c>
      <c r="K5480" s="6">
        <v>-96.489525999999998</v>
      </c>
      <c r="L5480" s="6" t="str">
        <f>HYPERLINK("https://maps.google.com/?q=16.328496,-96.489525999999998", "🔗 Ver Mapa")</f>
        <v>🔗 Ver Mapa</v>
      </c>
    </row>
    <row r="5481" spans="1:12" ht="43.5" x14ac:dyDescent="0.35">
      <c r="A5481" s="5" t="s">
        <v>98</v>
      </c>
      <c r="B5481" s="5" t="s">
        <v>99</v>
      </c>
      <c r="C5481" s="5" t="s">
        <v>1087</v>
      </c>
      <c r="D5481" s="5" t="s">
        <v>14</v>
      </c>
      <c r="E5481" s="5" t="s">
        <v>39</v>
      </c>
      <c r="F5481" s="5" t="s">
        <v>353</v>
      </c>
      <c r="G5481" s="5" t="s">
        <v>1085</v>
      </c>
      <c r="H5481" s="5" t="s">
        <v>1088</v>
      </c>
      <c r="I5481" s="5" t="s">
        <v>31</v>
      </c>
      <c r="J5481" s="5">
        <v>16.328565000000001</v>
      </c>
      <c r="K5481" s="5">
        <v>-96.489375999999993</v>
      </c>
      <c r="L5481" s="5" t="str">
        <f>HYPERLINK("https://maps.google.com/?q=16.328565,-96.489375999999993", "🔗 Ver Mapa")</f>
        <v>🔗 Ver Mapa</v>
      </c>
    </row>
    <row r="5482" spans="1:12" ht="43.5" x14ac:dyDescent="0.35">
      <c r="A5482" s="6" t="s">
        <v>98</v>
      </c>
      <c r="B5482" s="6" t="s">
        <v>99</v>
      </c>
      <c r="C5482" s="6" t="s">
        <v>1087</v>
      </c>
      <c r="D5482" s="6" t="s">
        <v>14</v>
      </c>
      <c r="E5482" s="6" t="s">
        <v>39</v>
      </c>
      <c r="F5482" s="6" t="s">
        <v>353</v>
      </c>
      <c r="G5482" s="6" t="s">
        <v>1085</v>
      </c>
      <c r="H5482" s="6" t="s">
        <v>1088</v>
      </c>
      <c r="I5482" s="6" t="s">
        <v>31</v>
      </c>
      <c r="J5482" s="6">
        <v>16.328579999999999</v>
      </c>
      <c r="K5482" s="6">
        <v>-96.489272</v>
      </c>
      <c r="L5482" s="6" t="str">
        <f>HYPERLINK("https://maps.google.com/?q=16.32858,-96.489272", "🔗 Ver Mapa")</f>
        <v>🔗 Ver Mapa</v>
      </c>
    </row>
    <row r="5483" spans="1:12" ht="43.5" x14ac:dyDescent="0.35">
      <c r="A5483" s="5" t="s">
        <v>98</v>
      </c>
      <c r="B5483" s="5" t="s">
        <v>99</v>
      </c>
      <c r="C5483" s="5" t="s">
        <v>1087</v>
      </c>
      <c r="D5483" s="5" t="s">
        <v>14</v>
      </c>
      <c r="E5483" s="5" t="s">
        <v>39</v>
      </c>
      <c r="F5483" s="5" t="s">
        <v>353</v>
      </c>
      <c r="G5483" s="5" t="s">
        <v>1085</v>
      </c>
      <c r="H5483" s="5" t="s">
        <v>1088</v>
      </c>
      <c r="I5483" s="5" t="s">
        <v>31</v>
      </c>
      <c r="J5483" s="5">
        <v>16.328583868599001</v>
      </c>
      <c r="K5483" s="5">
        <v>-96.488974849285</v>
      </c>
      <c r="L5483" s="5" t="str">
        <f>HYPERLINK("https://maps.google.com/?q=16.3285838685993,-96.488974849285199", "🔗 Ver Mapa")</f>
        <v>🔗 Ver Mapa</v>
      </c>
    </row>
    <row r="5484" spans="1:12" ht="43.5" x14ac:dyDescent="0.35">
      <c r="A5484" s="6" t="s">
        <v>98</v>
      </c>
      <c r="B5484" s="6" t="s">
        <v>99</v>
      </c>
      <c r="C5484" s="6" t="s">
        <v>1087</v>
      </c>
      <c r="D5484" s="6" t="s">
        <v>14</v>
      </c>
      <c r="E5484" s="6" t="s">
        <v>39</v>
      </c>
      <c r="F5484" s="6" t="s">
        <v>353</v>
      </c>
      <c r="G5484" s="6" t="s">
        <v>1085</v>
      </c>
      <c r="H5484" s="6" t="s">
        <v>1088</v>
      </c>
      <c r="I5484" s="6" t="s">
        <v>31</v>
      </c>
      <c r="J5484" s="6">
        <v>16.329312999999999</v>
      </c>
      <c r="K5484" s="6">
        <v>-96.490322000000006</v>
      </c>
      <c r="L5484" s="6" t="str">
        <f>HYPERLINK("https://maps.google.com/?q=16.329313,-96.490322000000006", "🔗 Ver Mapa")</f>
        <v>🔗 Ver Mapa</v>
      </c>
    </row>
    <row r="5485" spans="1:12" ht="43.5" x14ac:dyDescent="0.35">
      <c r="A5485" s="5" t="s">
        <v>98</v>
      </c>
      <c r="B5485" s="5" t="s">
        <v>99</v>
      </c>
      <c r="C5485" s="5" t="s">
        <v>1089</v>
      </c>
      <c r="D5485" s="5" t="s">
        <v>14</v>
      </c>
      <c r="E5485" s="5" t="s">
        <v>39</v>
      </c>
      <c r="F5485" s="5" t="s">
        <v>353</v>
      </c>
      <c r="G5485" s="5" t="s">
        <v>1085</v>
      </c>
      <c r="H5485" s="5" t="s">
        <v>1090</v>
      </c>
      <c r="I5485" s="5" t="s">
        <v>31</v>
      </c>
      <c r="J5485" s="5">
        <v>16.324066749707999</v>
      </c>
      <c r="K5485" s="5">
        <v>-96.496336565674</v>
      </c>
      <c r="L5485" s="5" t="str">
        <f>HYPERLINK("https://maps.google.com/?q=16.3240667497077,-96.496336565674298", "🔗 Ver Mapa")</f>
        <v>🔗 Ver Mapa</v>
      </c>
    </row>
    <row r="5486" spans="1:12" ht="43.5" x14ac:dyDescent="0.35">
      <c r="A5486" s="6" t="s">
        <v>98</v>
      </c>
      <c r="B5486" s="6" t="s">
        <v>99</v>
      </c>
      <c r="C5486" s="6" t="s">
        <v>1089</v>
      </c>
      <c r="D5486" s="6" t="s">
        <v>14</v>
      </c>
      <c r="E5486" s="6" t="s">
        <v>39</v>
      </c>
      <c r="F5486" s="6" t="s">
        <v>353</v>
      </c>
      <c r="G5486" s="6" t="s">
        <v>1085</v>
      </c>
      <c r="H5486" s="6" t="s">
        <v>1090</v>
      </c>
      <c r="I5486" s="6" t="s">
        <v>31</v>
      </c>
      <c r="J5486" s="6">
        <v>16.324413993355002</v>
      </c>
      <c r="K5486" s="6">
        <v>-96.494818568767002</v>
      </c>
      <c r="L5486" s="6" t="str">
        <f>HYPERLINK("https://maps.google.com/?q=16.3244139933554,-96.4948185687674", "🔗 Ver Mapa")</f>
        <v>🔗 Ver Mapa</v>
      </c>
    </row>
    <row r="5487" spans="1:12" ht="43.5" x14ac:dyDescent="0.35">
      <c r="A5487" s="5" t="s">
        <v>98</v>
      </c>
      <c r="B5487" s="5" t="s">
        <v>99</v>
      </c>
      <c r="C5487" s="5" t="s">
        <v>1089</v>
      </c>
      <c r="D5487" s="5" t="s">
        <v>14</v>
      </c>
      <c r="E5487" s="5" t="s">
        <v>39</v>
      </c>
      <c r="F5487" s="5" t="s">
        <v>353</v>
      </c>
      <c r="G5487" s="5" t="s">
        <v>1085</v>
      </c>
      <c r="H5487" s="5" t="s">
        <v>1090</v>
      </c>
      <c r="I5487" s="5" t="s">
        <v>31</v>
      </c>
      <c r="J5487" s="5">
        <v>16.324431000000001</v>
      </c>
      <c r="K5487" s="5">
        <v>-96.499195999999998</v>
      </c>
      <c r="L5487" s="5" t="str">
        <f>HYPERLINK("https://maps.google.com/?q=16.324431,-96.499195999999998", "🔗 Ver Mapa")</f>
        <v>🔗 Ver Mapa</v>
      </c>
    </row>
    <row r="5488" spans="1:12" ht="43.5" x14ac:dyDescent="0.35">
      <c r="A5488" s="6" t="s">
        <v>98</v>
      </c>
      <c r="B5488" s="6" t="s">
        <v>99</v>
      </c>
      <c r="C5488" s="6" t="s">
        <v>1089</v>
      </c>
      <c r="D5488" s="6" t="s">
        <v>14</v>
      </c>
      <c r="E5488" s="6" t="s">
        <v>39</v>
      </c>
      <c r="F5488" s="6" t="s">
        <v>353</v>
      </c>
      <c r="G5488" s="6" t="s">
        <v>1085</v>
      </c>
      <c r="H5488" s="6" t="s">
        <v>1090</v>
      </c>
      <c r="I5488" s="6" t="s">
        <v>31</v>
      </c>
      <c r="J5488" s="6">
        <v>16.324653647548999</v>
      </c>
      <c r="K5488" s="6">
        <v>-96.494454182612998</v>
      </c>
      <c r="L5488" s="6" t="str">
        <f>HYPERLINK("https://maps.google.com/?q=16.3246536475489,-96.494454182613396", "🔗 Ver Mapa")</f>
        <v>🔗 Ver Mapa</v>
      </c>
    </row>
    <row r="5489" spans="1:12" ht="43.5" x14ac:dyDescent="0.35">
      <c r="A5489" s="5" t="s">
        <v>98</v>
      </c>
      <c r="B5489" s="5" t="s">
        <v>99</v>
      </c>
      <c r="C5489" s="5" t="s">
        <v>1089</v>
      </c>
      <c r="D5489" s="5" t="s">
        <v>14</v>
      </c>
      <c r="E5489" s="5" t="s">
        <v>39</v>
      </c>
      <c r="F5489" s="5" t="s">
        <v>353</v>
      </c>
      <c r="G5489" s="5" t="s">
        <v>1085</v>
      </c>
      <c r="H5489" s="5" t="s">
        <v>1090</v>
      </c>
      <c r="I5489" s="5" t="s">
        <v>31</v>
      </c>
      <c r="J5489" s="5">
        <v>16.324767999999999</v>
      </c>
      <c r="K5489" s="5">
        <v>-96.494090999999997</v>
      </c>
      <c r="L5489" s="5" t="str">
        <f>HYPERLINK("https://maps.google.com/?q=16.324768,-96.494090999999997", "🔗 Ver Mapa")</f>
        <v>🔗 Ver Mapa</v>
      </c>
    </row>
    <row r="5490" spans="1:12" ht="43.5" x14ac:dyDescent="0.35">
      <c r="A5490" s="6" t="s">
        <v>98</v>
      </c>
      <c r="B5490" s="6" t="s">
        <v>99</v>
      </c>
      <c r="C5490" s="6" t="s">
        <v>1089</v>
      </c>
      <c r="D5490" s="6" t="s">
        <v>14</v>
      </c>
      <c r="E5490" s="6" t="s">
        <v>39</v>
      </c>
      <c r="F5490" s="6" t="s">
        <v>353</v>
      </c>
      <c r="G5490" s="6" t="s">
        <v>1085</v>
      </c>
      <c r="H5490" s="6" t="s">
        <v>1090</v>
      </c>
      <c r="I5490" s="6" t="s">
        <v>31</v>
      </c>
      <c r="J5490" s="6">
        <v>16.324774999999999</v>
      </c>
      <c r="K5490" s="6">
        <v>-96.494662000000005</v>
      </c>
      <c r="L5490" s="6" t="str">
        <f>HYPERLINK("https://maps.google.com/?q=16.324775,-96.494662000000005", "🔗 Ver Mapa")</f>
        <v>🔗 Ver Mapa</v>
      </c>
    </row>
    <row r="5491" spans="1:12" ht="43.5" x14ac:dyDescent="0.35">
      <c r="A5491" s="5" t="s">
        <v>98</v>
      </c>
      <c r="B5491" s="5" t="s">
        <v>99</v>
      </c>
      <c r="C5491" s="5" t="s">
        <v>1089</v>
      </c>
      <c r="D5491" s="5" t="s">
        <v>14</v>
      </c>
      <c r="E5491" s="5" t="s">
        <v>39</v>
      </c>
      <c r="F5491" s="5" t="s">
        <v>353</v>
      </c>
      <c r="G5491" s="5" t="s">
        <v>1085</v>
      </c>
      <c r="H5491" s="5" t="s">
        <v>1090</v>
      </c>
      <c r="I5491" s="5" t="s">
        <v>31</v>
      </c>
      <c r="J5491" s="5">
        <v>16.325025</v>
      </c>
      <c r="K5491" s="5">
        <v>-96.494771</v>
      </c>
      <c r="L5491" s="5" t="str">
        <f>HYPERLINK("https://maps.google.com/?q=16.325025,-96.494771", "🔗 Ver Mapa")</f>
        <v>🔗 Ver Mapa</v>
      </c>
    </row>
    <row r="5492" spans="1:12" ht="43.5" x14ac:dyDescent="0.35">
      <c r="A5492" s="6" t="s">
        <v>98</v>
      </c>
      <c r="B5492" s="6" t="s">
        <v>99</v>
      </c>
      <c r="C5492" s="6" t="s">
        <v>1089</v>
      </c>
      <c r="D5492" s="6" t="s">
        <v>14</v>
      </c>
      <c r="E5492" s="6" t="s">
        <v>39</v>
      </c>
      <c r="F5492" s="6" t="s">
        <v>353</v>
      </c>
      <c r="G5492" s="6" t="s">
        <v>1085</v>
      </c>
      <c r="H5492" s="6" t="s">
        <v>1090</v>
      </c>
      <c r="I5492" s="6" t="s">
        <v>31</v>
      </c>
      <c r="J5492" s="6">
        <v>16.3265466</v>
      </c>
      <c r="K5492" s="6">
        <v>-96.494515199999995</v>
      </c>
      <c r="L5492" s="6" t="str">
        <f>HYPERLINK("https://maps.google.com/?q=16.3265466,-96.494515199999995", "🔗 Ver Mapa")</f>
        <v>🔗 Ver Mapa</v>
      </c>
    </row>
    <row r="5493" spans="1:12" ht="43.5" x14ac:dyDescent="0.35">
      <c r="A5493" s="5" t="s">
        <v>98</v>
      </c>
      <c r="B5493" s="5" t="s">
        <v>99</v>
      </c>
      <c r="C5493" s="5" t="s">
        <v>1089</v>
      </c>
      <c r="D5493" s="5" t="s">
        <v>14</v>
      </c>
      <c r="E5493" s="5" t="s">
        <v>39</v>
      </c>
      <c r="F5493" s="5" t="s">
        <v>353</v>
      </c>
      <c r="G5493" s="5" t="s">
        <v>1085</v>
      </c>
      <c r="H5493" s="5" t="s">
        <v>1090</v>
      </c>
      <c r="I5493" s="5" t="s">
        <v>31</v>
      </c>
      <c r="J5493" s="5">
        <v>16.327096999999998</v>
      </c>
      <c r="K5493" s="5">
        <v>-96.494726999999997</v>
      </c>
      <c r="L5493" s="5" t="str">
        <f>HYPERLINK("https://maps.google.com/?q=16.327097,-96.494726999999997", "🔗 Ver Mapa")</f>
        <v>🔗 Ver Mapa</v>
      </c>
    </row>
    <row r="5494" spans="1:12" ht="43.5" x14ac:dyDescent="0.35">
      <c r="A5494" s="6" t="s">
        <v>98</v>
      </c>
      <c r="B5494" s="6" t="s">
        <v>99</v>
      </c>
      <c r="C5494" s="6" t="s">
        <v>1089</v>
      </c>
      <c r="D5494" s="6" t="s">
        <v>14</v>
      </c>
      <c r="E5494" s="6" t="s">
        <v>39</v>
      </c>
      <c r="F5494" s="6" t="s">
        <v>353</v>
      </c>
      <c r="G5494" s="6" t="s">
        <v>1085</v>
      </c>
      <c r="H5494" s="6" t="s">
        <v>1090</v>
      </c>
      <c r="I5494" s="6" t="s">
        <v>31</v>
      </c>
      <c r="J5494" s="6">
        <v>16.329684</v>
      </c>
      <c r="K5494" s="6">
        <v>-96.492354000000006</v>
      </c>
      <c r="L5494" s="6" t="str">
        <f>HYPERLINK("https://maps.google.com/?q=16.329684,-96.492354000000006", "🔗 Ver Mapa")</f>
        <v>🔗 Ver Mapa</v>
      </c>
    </row>
    <row r="5495" spans="1:12" ht="43.5" x14ac:dyDescent="0.35">
      <c r="A5495" s="5" t="s">
        <v>98</v>
      </c>
      <c r="B5495" s="5" t="s">
        <v>99</v>
      </c>
      <c r="C5495" s="5" t="s">
        <v>1089</v>
      </c>
      <c r="D5495" s="5" t="s">
        <v>14</v>
      </c>
      <c r="E5495" s="5" t="s">
        <v>39</v>
      </c>
      <c r="F5495" s="5" t="s">
        <v>353</v>
      </c>
      <c r="G5495" s="5" t="s">
        <v>1085</v>
      </c>
      <c r="H5495" s="5" t="s">
        <v>1090</v>
      </c>
      <c r="I5495" s="5" t="s">
        <v>31</v>
      </c>
      <c r="J5495" s="5">
        <v>16.329803999999999</v>
      </c>
      <c r="K5495" s="5">
        <v>-96.498078000000007</v>
      </c>
      <c r="L5495" s="5" t="str">
        <f>HYPERLINK("https://maps.google.com/?q=16.329804,-96.498078000000007", "🔗 Ver Mapa")</f>
        <v>🔗 Ver Mapa</v>
      </c>
    </row>
    <row r="5496" spans="1:12" ht="43.5" x14ac:dyDescent="0.35">
      <c r="A5496" s="6" t="s">
        <v>98</v>
      </c>
      <c r="B5496" s="6" t="s">
        <v>99</v>
      </c>
      <c r="C5496" s="6" t="s">
        <v>1089</v>
      </c>
      <c r="D5496" s="6" t="s">
        <v>14</v>
      </c>
      <c r="E5496" s="6" t="s">
        <v>39</v>
      </c>
      <c r="F5496" s="6" t="s">
        <v>353</v>
      </c>
      <c r="G5496" s="6" t="s">
        <v>1085</v>
      </c>
      <c r="H5496" s="6" t="s">
        <v>1090</v>
      </c>
      <c r="I5496" s="6" t="s">
        <v>31</v>
      </c>
      <c r="J5496" s="6">
        <v>16.330180687255002</v>
      </c>
      <c r="K5496" s="6">
        <v>-96.492790005827004</v>
      </c>
      <c r="L5496" s="6" t="str">
        <f>HYPERLINK("https://maps.google.com/?q=16.3301806872549,-96.492790005826706", "🔗 Ver Mapa")</f>
        <v>🔗 Ver Mapa</v>
      </c>
    </row>
    <row r="5497" spans="1:12" ht="43.5" x14ac:dyDescent="0.35">
      <c r="A5497" s="5" t="s">
        <v>98</v>
      </c>
      <c r="B5497" s="5" t="s">
        <v>99</v>
      </c>
      <c r="C5497" s="5" t="s">
        <v>1089</v>
      </c>
      <c r="D5497" s="5" t="s">
        <v>14</v>
      </c>
      <c r="E5497" s="5" t="s">
        <v>39</v>
      </c>
      <c r="F5497" s="5" t="s">
        <v>353</v>
      </c>
      <c r="G5497" s="5" t="s">
        <v>1085</v>
      </c>
      <c r="H5497" s="5" t="s">
        <v>1090</v>
      </c>
      <c r="I5497" s="5" t="s">
        <v>31</v>
      </c>
      <c r="J5497" s="5">
        <v>16.332583</v>
      </c>
      <c r="K5497" s="5">
        <v>-96.492125000000001</v>
      </c>
      <c r="L5497" s="5" t="str">
        <f>HYPERLINK("https://maps.google.com/?q=16.332583,-96.492125000000001", "🔗 Ver Mapa")</f>
        <v>🔗 Ver Mapa</v>
      </c>
    </row>
    <row r="5498" spans="1:12" ht="43.5" x14ac:dyDescent="0.35">
      <c r="A5498" s="6" t="s">
        <v>98</v>
      </c>
      <c r="B5498" s="6" t="s">
        <v>99</v>
      </c>
      <c r="C5498" s="6" t="s">
        <v>1089</v>
      </c>
      <c r="D5498" s="6" t="s">
        <v>14</v>
      </c>
      <c r="E5498" s="6" t="s">
        <v>39</v>
      </c>
      <c r="F5498" s="6" t="s">
        <v>353</v>
      </c>
      <c r="G5498" s="6" t="s">
        <v>1085</v>
      </c>
      <c r="H5498" s="6" t="s">
        <v>1090</v>
      </c>
      <c r="I5498" s="6" t="s">
        <v>31</v>
      </c>
      <c r="J5498" s="6">
        <v>16.332636999999998</v>
      </c>
      <c r="K5498" s="6">
        <v>-96.492700999999997</v>
      </c>
      <c r="L5498" s="6" t="str">
        <f>HYPERLINK("https://maps.google.com/?q=16.332637,-96.492700999999997", "🔗 Ver Mapa")</f>
        <v>🔗 Ver Mapa</v>
      </c>
    </row>
    <row r="5499" spans="1:12" ht="43.5" x14ac:dyDescent="0.35">
      <c r="A5499" s="5" t="s">
        <v>98</v>
      </c>
      <c r="B5499" s="5" t="s">
        <v>99</v>
      </c>
      <c r="C5499" s="5" t="s">
        <v>1089</v>
      </c>
      <c r="D5499" s="5" t="s">
        <v>14</v>
      </c>
      <c r="E5499" s="5" t="s">
        <v>39</v>
      </c>
      <c r="F5499" s="5" t="s">
        <v>353</v>
      </c>
      <c r="G5499" s="5" t="s">
        <v>1085</v>
      </c>
      <c r="H5499" s="5" t="s">
        <v>1090</v>
      </c>
      <c r="I5499" s="5" t="s">
        <v>31</v>
      </c>
      <c r="J5499" s="5">
        <v>16.33539</v>
      </c>
      <c r="K5499" s="5">
        <v>-96.493775999999997</v>
      </c>
      <c r="L5499" s="5" t="str">
        <f>HYPERLINK("https://maps.google.com/?q=16.33539,-96.493775999999997", "🔗 Ver Mapa")</f>
        <v>🔗 Ver Mapa</v>
      </c>
    </row>
    <row r="5500" spans="1:12" ht="43.5" x14ac:dyDescent="0.35">
      <c r="A5500" s="6" t="s">
        <v>98</v>
      </c>
      <c r="B5500" s="6" t="s">
        <v>99</v>
      </c>
      <c r="C5500" s="6" t="s">
        <v>1089</v>
      </c>
      <c r="D5500" s="6" t="s">
        <v>14</v>
      </c>
      <c r="E5500" s="6" t="s">
        <v>39</v>
      </c>
      <c r="F5500" s="6" t="s">
        <v>353</v>
      </c>
      <c r="G5500" s="6" t="s">
        <v>1085</v>
      </c>
      <c r="H5500" s="6" t="s">
        <v>1090</v>
      </c>
      <c r="I5500" s="6" t="s">
        <v>31</v>
      </c>
      <c r="J5500" s="6">
        <v>16.33597</v>
      </c>
      <c r="K5500" s="6">
        <v>-96.494322999999994</v>
      </c>
      <c r="L5500" s="6" t="str">
        <f>HYPERLINK("https://maps.google.com/?q=16.33597,-96.494322999999994", "🔗 Ver Mapa")</f>
        <v>🔗 Ver Mapa</v>
      </c>
    </row>
    <row r="5501" spans="1:12" ht="43.5" x14ac:dyDescent="0.35">
      <c r="A5501" s="5" t="s">
        <v>98</v>
      </c>
      <c r="B5501" s="5" t="s">
        <v>99</v>
      </c>
      <c r="C5501" s="5" t="s">
        <v>1089</v>
      </c>
      <c r="D5501" s="5" t="s">
        <v>14</v>
      </c>
      <c r="E5501" s="5" t="s">
        <v>39</v>
      </c>
      <c r="F5501" s="5" t="s">
        <v>353</v>
      </c>
      <c r="G5501" s="5" t="s">
        <v>1085</v>
      </c>
      <c r="H5501" s="5" t="s">
        <v>1090</v>
      </c>
      <c r="I5501" s="5" t="s">
        <v>31</v>
      </c>
      <c r="J5501" s="5">
        <v>16.336783</v>
      </c>
      <c r="K5501" s="5">
        <v>-96.493097000000006</v>
      </c>
      <c r="L5501" s="5" t="str">
        <f>HYPERLINK("https://maps.google.com/?q=16.336783,-96.493097000000006", "🔗 Ver Mapa")</f>
        <v>🔗 Ver Mapa</v>
      </c>
    </row>
    <row r="5502" spans="1:12" ht="43.5" x14ac:dyDescent="0.35">
      <c r="A5502" s="6" t="s">
        <v>98</v>
      </c>
      <c r="B5502" s="6" t="s">
        <v>99</v>
      </c>
      <c r="C5502" s="6" t="s">
        <v>1089</v>
      </c>
      <c r="D5502" s="6" t="s">
        <v>14</v>
      </c>
      <c r="E5502" s="6" t="s">
        <v>39</v>
      </c>
      <c r="F5502" s="6" t="s">
        <v>353</v>
      </c>
      <c r="G5502" s="6" t="s">
        <v>1085</v>
      </c>
      <c r="H5502" s="6" t="s">
        <v>1090</v>
      </c>
      <c r="I5502" s="6" t="s">
        <v>31</v>
      </c>
      <c r="J5502" s="6">
        <v>16.339849999999998</v>
      </c>
      <c r="K5502" s="6">
        <v>-96.491664999999998</v>
      </c>
      <c r="L5502" s="6" t="str">
        <f>HYPERLINK("https://maps.google.com/?q=16.33985,-96.491664999999998", "🔗 Ver Mapa")</f>
        <v>🔗 Ver Mapa</v>
      </c>
    </row>
    <row r="5503" spans="1:12" ht="43.5" x14ac:dyDescent="0.35">
      <c r="A5503" s="5" t="s">
        <v>98</v>
      </c>
      <c r="B5503" s="5" t="s">
        <v>99</v>
      </c>
      <c r="C5503" s="5" t="s">
        <v>1089</v>
      </c>
      <c r="D5503" s="5" t="s">
        <v>14</v>
      </c>
      <c r="E5503" s="5" t="s">
        <v>39</v>
      </c>
      <c r="F5503" s="5" t="s">
        <v>353</v>
      </c>
      <c r="G5503" s="5" t="s">
        <v>1085</v>
      </c>
      <c r="H5503" s="5" t="s">
        <v>1090</v>
      </c>
      <c r="I5503" s="5" t="s">
        <v>31</v>
      </c>
      <c r="J5503" s="5">
        <v>16.340111</v>
      </c>
      <c r="K5503" s="5">
        <v>-96.488376000000002</v>
      </c>
      <c r="L5503" s="5" t="str">
        <f>HYPERLINK("https://maps.google.com/?q=16.340111,-96.488376000000002", "🔗 Ver Mapa")</f>
        <v>🔗 Ver Mapa</v>
      </c>
    </row>
    <row r="5504" spans="1:12" ht="43.5" x14ac:dyDescent="0.35">
      <c r="A5504" s="6" t="s">
        <v>98</v>
      </c>
      <c r="B5504" s="6" t="s">
        <v>99</v>
      </c>
      <c r="C5504" s="6" t="s">
        <v>1089</v>
      </c>
      <c r="D5504" s="6" t="s">
        <v>14</v>
      </c>
      <c r="E5504" s="6" t="s">
        <v>39</v>
      </c>
      <c r="F5504" s="6" t="s">
        <v>353</v>
      </c>
      <c r="G5504" s="6" t="s">
        <v>1085</v>
      </c>
      <c r="H5504" s="6" t="s">
        <v>1090</v>
      </c>
      <c r="I5504" s="6" t="s">
        <v>31</v>
      </c>
      <c r="J5504" s="6">
        <v>16.340489000000002</v>
      </c>
      <c r="K5504" s="6">
        <v>-96.491601000000003</v>
      </c>
      <c r="L5504" s="6" t="str">
        <f>HYPERLINK("https://maps.google.com/?q=16.340489,-96.491601000000003", "🔗 Ver Mapa")</f>
        <v>🔗 Ver Mapa</v>
      </c>
    </row>
    <row r="5505" spans="1:12" ht="43.5" x14ac:dyDescent="0.35">
      <c r="A5505" s="5" t="s">
        <v>98</v>
      </c>
      <c r="B5505" s="5" t="s">
        <v>99</v>
      </c>
      <c r="C5505" s="5" t="s">
        <v>1089</v>
      </c>
      <c r="D5505" s="5" t="s">
        <v>14</v>
      </c>
      <c r="E5505" s="5" t="s">
        <v>39</v>
      </c>
      <c r="F5505" s="5" t="s">
        <v>353</v>
      </c>
      <c r="G5505" s="5" t="s">
        <v>1085</v>
      </c>
      <c r="H5505" s="5" t="s">
        <v>1090</v>
      </c>
      <c r="I5505" s="5" t="s">
        <v>31</v>
      </c>
      <c r="J5505" s="5">
        <v>16.341958000000002</v>
      </c>
      <c r="K5505" s="5">
        <v>-96.489814999999993</v>
      </c>
      <c r="L5505" s="5" t="str">
        <f>HYPERLINK("https://maps.google.com/?q=16.341958,-96.489814999999993", "🔗 Ver Mapa")</f>
        <v>🔗 Ver Mapa</v>
      </c>
    </row>
    <row r="5506" spans="1:12" ht="43.5" x14ac:dyDescent="0.35">
      <c r="A5506" s="6" t="s">
        <v>98</v>
      </c>
      <c r="B5506" s="6" t="s">
        <v>99</v>
      </c>
      <c r="C5506" s="6" t="s">
        <v>1089</v>
      </c>
      <c r="D5506" s="6" t="s">
        <v>14</v>
      </c>
      <c r="E5506" s="6" t="s">
        <v>39</v>
      </c>
      <c r="F5506" s="6" t="s">
        <v>353</v>
      </c>
      <c r="G5506" s="6" t="s">
        <v>1085</v>
      </c>
      <c r="H5506" s="6" t="s">
        <v>1090</v>
      </c>
      <c r="I5506" s="6" t="s">
        <v>31</v>
      </c>
      <c r="J5506" s="6">
        <v>16.342199999999998</v>
      </c>
      <c r="K5506" s="6">
        <v>-96.485754</v>
      </c>
      <c r="L5506" s="6" t="str">
        <f>HYPERLINK("https://maps.google.com/?q=16.3422,-96.485754", "🔗 Ver Mapa")</f>
        <v>🔗 Ver Mapa</v>
      </c>
    </row>
    <row r="5507" spans="1:12" ht="43.5" x14ac:dyDescent="0.35">
      <c r="A5507" s="5" t="s">
        <v>98</v>
      </c>
      <c r="B5507" s="5" t="s">
        <v>99</v>
      </c>
      <c r="C5507" s="5" t="s">
        <v>1089</v>
      </c>
      <c r="D5507" s="5" t="s">
        <v>14</v>
      </c>
      <c r="E5507" s="5" t="s">
        <v>39</v>
      </c>
      <c r="F5507" s="5" t="s">
        <v>353</v>
      </c>
      <c r="G5507" s="5" t="s">
        <v>1085</v>
      </c>
      <c r="H5507" s="5" t="s">
        <v>1090</v>
      </c>
      <c r="I5507" s="5" t="s">
        <v>31</v>
      </c>
      <c r="J5507" s="5">
        <v>16.343415</v>
      </c>
      <c r="K5507" s="5">
        <v>-96.486073000000005</v>
      </c>
      <c r="L5507" s="5" t="str">
        <f>HYPERLINK("https://maps.google.com/?q=16.343415,-96.486073000000005", "🔗 Ver Mapa")</f>
        <v>🔗 Ver Mapa</v>
      </c>
    </row>
    <row r="5508" spans="1:12" ht="43.5" x14ac:dyDescent="0.35">
      <c r="A5508" s="6" t="s">
        <v>98</v>
      </c>
      <c r="B5508" s="6" t="s">
        <v>99</v>
      </c>
      <c r="C5508" s="6" t="s">
        <v>1089</v>
      </c>
      <c r="D5508" s="6" t="s">
        <v>14</v>
      </c>
      <c r="E5508" s="6" t="s">
        <v>39</v>
      </c>
      <c r="F5508" s="6" t="s">
        <v>353</v>
      </c>
      <c r="G5508" s="6" t="s">
        <v>1085</v>
      </c>
      <c r="H5508" s="6" t="s">
        <v>1090</v>
      </c>
      <c r="I5508" s="6" t="s">
        <v>31</v>
      </c>
      <c r="J5508" s="6">
        <v>16.345956000000001</v>
      </c>
      <c r="K5508" s="6">
        <v>-96.488777999999996</v>
      </c>
      <c r="L5508" s="6" t="str">
        <f>HYPERLINK("https://maps.google.com/?q=16.345956,-96.488777999999996", "🔗 Ver Mapa")</f>
        <v>🔗 Ver Mapa</v>
      </c>
    </row>
    <row r="5509" spans="1:12" ht="43.5" x14ac:dyDescent="0.35">
      <c r="A5509" s="5" t="s">
        <v>98</v>
      </c>
      <c r="B5509" s="5" t="s">
        <v>99</v>
      </c>
      <c r="C5509" s="5" t="s">
        <v>1089</v>
      </c>
      <c r="D5509" s="5" t="s">
        <v>14</v>
      </c>
      <c r="E5509" s="5" t="s">
        <v>39</v>
      </c>
      <c r="F5509" s="5" t="s">
        <v>353</v>
      </c>
      <c r="G5509" s="5" t="s">
        <v>1085</v>
      </c>
      <c r="H5509" s="5" t="s">
        <v>1090</v>
      </c>
      <c r="I5509" s="5" t="s">
        <v>31</v>
      </c>
      <c r="J5509" s="5">
        <v>16.346233999999999</v>
      </c>
      <c r="K5509" s="5">
        <v>-96.488235000000003</v>
      </c>
      <c r="L5509" s="5" t="str">
        <f>HYPERLINK("https://maps.google.com/?q=16.346234,-96.488235000000003", "🔗 Ver Mapa")</f>
        <v>🔗 Ver Mapa</v>
      </c>
    </row>
    <row r="5510" spans="1:12" ht="43.5" x14ac:dyDescent="0.35">
      <c r="A5510" s="6" t="s">
        <v>98</v>
      </c>
      <c r="B5510" s="6" t="s">
        <v>99</v>
      </c>
      <c r="C5510" s="6" t="s">
        <v>1089</v>
      </c>
      <c r="D5510" s="6" t="s">
        <v>14</v>
      </c>
      <c r="E5510" s="6" t="s">
        <v>39</v>
      </c>
      <c r="F5510" s="6" t="s">
        <v>353</v>
      </c>
      <c r="G5510" s="6" t="s">
        <v>1085</v>
      </c>
      <c r="H5510" s="6" t="s">
        <v>1090</v>
      </c>
      <c r="I5510" s="6" t="s">
        <v>31</v>
      </c>
      <c r="J5510" s="6">
        <v>16.346323000000002</v>
      </c>
      <c r="K5510" s="6">
        <v>-96.488208</v>
      </c>
      <c r="L5510" s="6" t="str">
        <f>HYPERLINK("https://maps.google.com/?q=16.346323,-96.488208", "🔗 Ver Mapa")</f>
        <v>🔗 Ver Mapa</v>
      </c>
    </row>
    <row r="5511" spans="1:12" ht="43.5" x14ac:dyDescent="0.35">
      <c r="A5511" s="5" t="s">
        <v>98</v>
      </c>
      <c r="B5511" s="5" t="s">
        <v>99</v>
      </c>
      <c r="C5511" s="5" t="s">
        <v>1089</v>
      </c>
      <c r="D5511" s="5" t="s">
        <v>14</v>
      </c>
      <c r="E5511" s="5" t="s">
        <v>39</v>
      </c>
      <c r="F5511" s="5" t="s">
        <v>353</v>
      </c>
      <c r="G5511" s="5" t="s">
        <v>1085</v>
      </c>
      <c r="H5511" s="5" t="s">
        <v>1090</v>
      </c>
      <c r="I5511" s="5" t="s">
        <v>31</v>
      </c>
      <c r="J5511" s="5">
        <v>16.346420999999999</v>
      </c>
      <c r="K5511" s="5">
        <v>-96.488176999999993</v>
      </c>
      <c r="L5511" s="5" t="str">
        <f>HYPERLINK("https://maps.google.com/?q=16.346421,-96.488176999999993", "🔗 Ver Mapa")</f>
        <v>🔗 Ver Mapa</v>
      </c>
    </row>
    <row r="5512" spans="1:12" ht="43.5" x14ac:dyDescent="0.35">
      <c r="A5512" s="6" t="s">
        <v>98</v>
      </c>
      <c r="B5512" s="6" t="s">
        <v>99</v>
      </c>
      <c r="C5512" s="6" t="s">
        <v>1089</v>
      </c>
      <c r="D5512" s="6" t="s">
        <v>14</v>
      </c>
      <c r="E5512" s="6" t="s">
        <v>39</v>
      </c>
      <c r="F5512" s="6" t="s">
        <v>353</v>
      </c>
      <c r="G5512" s="6" t="s">
        <v>1085</v>
      </c>
      <c r="H5512" s="6" t="s">
        <v>1090</v>
      </c>
      <c r="I5512" s="6" t="s">
        <v>31</v>
      </c>
      <c r="J5512" s="6">
        <v>16.348731000000001</v>
      </c>
      <c r="K5512" s="6">
        <v>-96.487205000000003</v>
      </c>
      <c r="L5512" s="6" t="str">
        <f>HYPERLINK("https://maps.google.com/?q=16.348731,-96.487205000000003", "🔗 Ver Mapa")</f>
        <v>🔗 Ver Mapa</v>
      </c>
    </row>
    <row r="5513" spans="1:12" ht="43.5" x14ac:dyDescent="0.35">
      <c r="A5513" s="5" t="s">
        <v>98</v>
      </c>
      <c r="B5513" s="5" t="s">
        <v>99</v>
      </c>
      <c r="C5513" s="5" t="s">
        <v>1091</v>
      </c>
      <c r="D5513" s="5" t="s">
        <v>14</v>
      </c>
      <c r="E5513" s="5" t="s">
        <v>16</v>
      </c>
      <c r="F5513" s="5" t="s">
        <v>19</v>
      </c>
      <c r="G5513" s="5" t="s">
        <v>1049</v>
      </c>
      <c r="H5513" s="5" t="s">
        <v>1050</v>
      </c>
      <c r="I5513" s="5" t="s">
        <v>31</v>
      </c>
      <c r="J5513" s="5">
        <v>0</v>
      </c>
      <c r="K5513" s="5">
        <v>-97.366226101852007</v>
      </c>
      <c r="L5513" s="5" t="str">
        <f>HYPERLINK("https://maps.google.com/?q=0,-97.366226101852305", "🔗 Ver Mapa")</f>
        <v>🔗 Ver Mapa</v>
      </c>
    </row>
    <row r="5514" spans="1:12" ht="43.5" x14ac:dyDescent="0.35">
      <c r="A5514" s="6" t="s">
        <v>98</v>
      </c>
      <c r="B5514" s="6" t="s">
        <v>99</v>
      </c>
      <c r="C5514" s="6" t="s">
        <v>1091</v>
      </c>
      <c r="D5514" s="6" t="s">
        <v>14</v>
      </c>
      <c r="E5514" s="6" t="s">
        <v>16</v>
      </c>
      <c r="F5514" s="6" t="s">
        <v>19</v>
      </c>
      <c r="G5514" s="6" t="s">
        <v>1049</v>
      </c>
      <c r="H5514" s="6" t="s">
        <v>1050</v>
      </c>
      <c r="I5514" s="6" t="s">
        <v>31</v>
      </c>
      <c r="J5514" s="6">
        <v>0</v>
      </c>
      <c r="K5514" s="6" t="s">
        <v>1092</v>
      </c>
      <c r="L5514" s="6" t="str">
        <f>HYPERLINK("https://maps.google.com/?q=0, -97.37592435581972", "🔗 Ver Mapa")</f>
        <v>🔗 Ver Mapa</v>
      </c>
    </row>
    <row r="5515" spans="1:12" ht="43.5" x14ac:dyDescent="0.35">
      <c r="A5515" s="5" t="s">
        <v>98</v>
      </c>
      <c r="B5515" s="5" t="s">
        <v>99</v>
      </c>
      <c r="C5515" s="5" t="s">
        <v>1091</v>
      </c>
      <c r="D5515" s="5" t="s">
        <v>14</v>
      </c>
      <c r="E5515" s="5" t="s">
        <v>16</v>
      </c>
      <c r="F5515" s="5" t="s">
        <v>19</v>
      </c>
      <c r="G5515" s="5" t="s">
        <v>1049</v>
      </c>
      <c r="H5515" s="5" t="s">
        <v>1050</v>
      </c>
      <c r="I5515" s="5" t="s">
        <v>31</v>
      </c>
      <c r="J5515" s="5">
        <v>17.276396999999999</v>
      </c>
      <c r="K5515" s="5">
        <v>-97.365403000000001</v>
      </c>
      <c r="L5515" s="5" t="str">
        <f>HYPERLINK("https://maps.google.com/?q=17.276397,-97.365403000000001", "🔗 Ver Mapa")</f>
        <v>🔗 Ver Mapa</v>
      </c>
    </row>
    <row r="5516" spans="1:12" ht="43.5" x14ac:dyDescent="0.35">
      <c r="A5516" s="6" t="s">
        <v>98</v>
      </c>
      <c r="B5516" s="6" t="s">
        <v>99</v>
      </c>
      <c r="C5516" s="6" t="s">
        <v>1091</v>
      </c>
      <c r="D5516" s="6" t="s">
        <v>14</v>
      </c>
      <c r="E5516" s="6" t="s">
        <v>16</v>
      </c>
      <c r="F5516" s="6" t="s">
        <v>19</v>
      </c>
      <c r="G5516" s="6" t="s">
        <v>1049</v>
      </c>
      <c r="H5516" s="6" t="s">
        <v>1050</v>
      </c>
      <c r="I5516" s="6" t="s">
        <v>31</v>
      </c>
      <c r="J5516" s="6">
        <v>17.276548304207001</v>
      </c>
      <c r="K5516" s="6">
        <v>-97.365532093254004</v>
      </c>
      <c r="L5516" s="6" t="str">
        <f>HYPERLINK("https://maps.google.com/?q=17.276548304207,-97.365532093254004", "🔗 Ver Mapa")</f>
        <v>🔗 Ver Mapa</v>
      </c>
    </row>
    <row r="5517" spans="1:12" ht="43.5" x14ac:dyDescent="0.35">
      <c r="A5517" s="5" t="s">
        <v>98</v>
      </c>
      <c r="B5517" s="5" t="s">
        <v>99</v>
      </c>
      <c r="C5517" s="5" t="s">
        <v>1091</v>
      </c>
      <c r="D5517" s="5" t="s">
        <v>14</v>
      </c>
      <c r="E5517" s="5" t="s">
        <v>16</v>
      </c>
      <c r="F5517" s="5" t="s">
        <v>19</v>
      </c>
      <c r="G5517" s="5" t="s">
        <v>1049</v>
      </c>
      <c r="H5517" s="5" t="s">
        <v>1050</v>
      </c>
      <c r="I5517" s="5" t="s">
        <v>31</v>
      </c>
      <c r="J5517" s="5">
        <v>17.277057743130001</v>
      </c>
      <c r="K5517" s="5">
        <v>-97.367608084655998</v>
      </c>
      <c r="L5517" s="5" t="str">
        <f>HYPERLINK("https://maps.google.com/?q=17.2770577431302,-97.3676080846557", "🔗 Ver Mapa")</f>
        <v>🔗 Ver Mapa</v>
      </c>
    </row>
    <row r="5518" spans="1:12" ht="43.5" x14ac:dyDescent="0.35">
      <c r="A5518" s="6" t="s">
        <v>98</v>
      </c>
      <c r="B5518" s="6" t="s">
        <v>99</v>
      </c>
      <c r="C5518" s="6" t="s">
        <v>1091</v>
      </c>
      <c r="D5518" s="6" t="s">
        <v>14</v>
      </c>
      <c r="E5518" s="6" t="s">
        <v>16</v>
      </c>
      <c r="F5518" s="6" t="s">
        <v>19</v>
      </c>
      <c r="G5518" s="6" t="s">
        <v>1049</v>
      </c>
      <c r="H5518" s="6" t="s">
        <v>1050</v>
      </c>
      <c r="I5518" s="6" t="s">
        <v>31</v>
      </c>
      <c r="J5518" s="6">
        <v>17.277518371865</v>
      </c>
      <c r="K5518" s="6">
        <v>-97.362850234481996</v>
      </c>
      <c r="L5518" s="6" t="str">
        <f>HYPERLINK("https://maps.google.com/?q=17.2775183718647,-97.362850234482195", "🔗 Ver Mapa")</f>
        <v>🔗 Ver Mapa</v>
      </c>
    </row>
    <row r="5519" spans="1:12" ht="43.5" x14ac:dyDescent="0.35">
      <c r="A5519" s="5" t="s">
        <v>98</v>
      </c>
      <c r="B5519" s="5" t="s">
        <v>99</v>
      </c>
      <c r="C5519" s="5" t="s">
        <v>1091</v>
      </c>
      <c r="D5519" s="5" t="s">
        <v>14</v>
      </c>
      <c r="E5519" s="5" t="s">
        <v>16</v>
      </c>
      <c r="F5519" s="5" t="s">
        <v>19</v>
      </c>
      <c r="G5519" s="5" t="s">
        <v>1049</v>
      </c>
      <c r="H5519" s="5" t="s">
        <v>1050</v>
      </c>
      <c r="I5519" s="5" t="s">
        <v>31</v>
      </c>
      <c r="J5519" s="5">
        <v>17.277931343928</v>
      </c>
      <c r="K5519" s="5">
        <v>-97.362627260891998</v>
      </c>
      <c r="L5519" s="5" t="str">
        <f>HYPERLINK("https://maps.google.com/?q=17.2779313439276,-97.362627260891799", "🔗 Ver Mapa")</f>
        <v>🔗 Ver Mapa</v>
      </c>
    </row>
    <row r="5520" spans="1:12" ht="43.5" x14ac:dyDescent="0.35">
      <c r="A5520" s="6" t="s">
        <v>98</v>
      </c>
      <c r="B5520" s="6" t="s">
        <v>99</v>
      </c>
      <c r="C5520" s="6" t="s">
        <v>1091</v>
      </c>
      <c r="D5520" s="6" t="s">
        <v>14</v>
      </c>
      <c r="E5520" s="6" t="s">
        <v>16</v>
      </c>
      <c r="F5520" s="6" t="s">
        <v>19</v>
      </c>
      <c r="G5520" s="6" t="s">
        <v>1049</v>
      </c>
      <c r="H5520" s="6" t="s">
        <v>1050</v>
      </c>
      <c r="I5520" s="6" t="s">
        <v>31</v>
      </c>
      <c r="J5520" s="6">
        <v>17.279270722136001</v>
      </c>
      <c r="K5520" s="6">
        <v>-97.370310996363997</v>
      </c>
      <c r="L5520" s="6" t="str">
        <f>HYPERLINK("https://maps.google.com/?q=17.2792707221363,-97.370310996364495", "🔗 Ver Mapa")</f>
        <v>🔗 Ver Mapa</v>
      </c>
    </row>
    <row r="5521" spans="1:12" ht="43.5" x14ac:dyDescent="0.35">
      <c r="A5521" s="5" t="s">
        <v>98</v>
      </c>
      <c r="B5521" s="5" t="s">
        <v>99</v>
      </c>
      <c r="C5521" s="5" t="s">
        <v>1091</v>
      </c>
      <c r="D5521" s="5" t="s">
        <v>14</v>
      </c>
      <c r="E5521" s="5" t="s">
        <v>16</v>
      </c>
      <c r="F5521" s="5" t="s">
        <v>19</v>
      </c>
      <c r="G5521" s="5" t="s">
        <v>1049</v>
      </c>
      <c r="H5521" s="5" t="s">
        <v>1050</v>
      </c>
      <c r="I5521" s="5" t="s">
        <v>31</v>
      </c>
      <c r="J5521" s="5">
        <v>17.279855309386999</v>
      </c>
      <c r="K5521" s="5" t="s">
        <v>1093</v>
      </c>
      <c r="L5521" s="5" t="str">
        <f>HYPERLINK("https://maps.google.com/?q=17.2798553093874, -97.36939324375379", "🔗 Ver Mapa")</f>
        <v>🔗 Ver Mapa</v>
      </c>
    </row>
    <row r="5522" spans="1:12" ht="43.5" x14ac:dyDescent="0.35">
      <c r="A5522" s="6" t="s">
        <v>98</v>
      </c>
      <c r="B5522" s="6" t="s">
        <v>99</v>
      </c>
      <c r="C5522" s="6" t="s">
        <v>1091</v>
      </c>
      <c r="D5522" s="6" t="s">
        <v>14</v>
      </c>
      <c r="E5522" s="6" t="s">
        <v>16</v>
      </c>
      <c r="F5522" s="6" t="s">
        <v>19</v>
      </c>
      <c r="G5522" s="6" t="s">
        <v>1049</v>
      </c>
      <c r="H5522" s="6" t="s">
        <v>1050</v>
      </c>
      <c r="I5522" s="6" t="s">
        <v>31</v>
      </c>
      <c r="J5522" s="6">
        <v>17.280204000000001</v>
      </c>
      <c r="K5522" s="6">
        <v>-97.371723000000003</v>
      </c>
      <c r="L5522" s="6" t="str">
        <f>HYPERLINK("https://maps.google.com/?q=17.280204,-97.371723000000003", "🔗 Ver Mapa")</f>
        <v>🔗 Ver Mapa</v>
      </c>
    </row>
    <row r="5523" spans="1:12" ht="43.5" x14ac:dyDescent="0.35">
      <c r="A5523" s="5" t="s">
        <v>98</v>
      </c>
      <c r="B5523" s="5" t="s">
        <v>99</v>
      </c>
      <c r="C5523" s="5" t="s">
        <v>1091</v>
      </c>
      <c r="D5523" s="5" t="s">
        <v>14</v>
      </c>
      <c r="E5523" s="5" t="s">
        <v>16</v>
      </c>
      <c r="F5523" s="5" t="s">
        <v>19</v>
      </c>
      <c r="G5523" s="5" t="s">
        <v>1049</v>
      </c>
      <c r="H5523" s="5" t="s">
        <v>1050</v>
      </c>
      <c r="I5523" s="5" t="s">
        <v>31</v>
      </c>
      <c r="J5523" s="5">
        <v>17.280485182778001</v>
      </c>
      <c r="K5523" s="5">
        <v>-97.372938525131005</v>
      </c>
      <c r="L5523" s="5" t="str">
        <f>HYPERLINK("https://maps.google.com/?q=17.2804851827782,-97.372938525131204", "🔗 Ver Mapa")</f>
        <v>🔗 Ver Mapa</v>
      </c>
    </row>
    <row r="5524" spans="1:12" ht="43.5" x14ac:dyDescent="0.35">
      <c r="A5524" s="6" t="s">
        <v>98</v>
      </c>
      <c r="B5524" s="6" t="s">
        <v>99</v>
      </c>
      <c r="C5524" s="6" t="s">
        <v>1091</v>
      </c>
      <c r="D5524" s="6" t="s">
        <v>14</v>
      </c>
      <c r="E5524" s="6" t="s">
        <v>16</v>
      </c>
      <c r="F5524" s="6" t="s">
        <v>19</v>
      </c>
      <c r="G5524" s="6" t="s">
        <v>1049</v>
      </c>
      <c r="H5524" s="6" t="s">
        <v>1050</v>
      </c>
      <c r="I5524" s="6" t="s">
        <v>31</v>
      </c>
      <c r="J5524" s="6">
        <v>17.280702925787001</v>
      </c>
      <c r="K5524" s="6" t="s">
        <v>1094</v>
      </c>
      <c r="L5524" s="6" t="str">
        <f>HYPERLINK("https://maps.google.com/?q=17.280702925787, -97.3742330463893", "🔗 Ver Mapa")</f>
        <v>🔗 Ver Mapa</v>
      </c>
    </row>
    <row r="5525" spans="1:12" ht="43.5" x14ac:dyDescent="0.35">
      <c r="A5525" s="5" t="s">
        <v>98</v>
      </c>
      <c r="B5525" s="5" t="s">
        <v>99</v>
      </c>
      <c r="C5525" s="5" t="s">
        <v>1091</v>
      </c>
      <c r="D5525" s="5" t="s">
        <v>14</v>
      </c>
      <c r="E5525" s="5" t="s">
        <v>16</v>
      </c>
      <c r="F5525" s="5" t="s">
        <v>19</v>
      </c>
      <c r="G5525" s="5" t="s">
        <v>1049</v>
      </c>
      <c r="H5525" s="5" t="s">
        <v>1050</v>
      </c>
      <c r="I5525" s="5" t="s">
        <v>31</v>
      </c>
      <c r="J5525" s="5">
        <v>17.281380936451999</v>
      </c>
      <c r="K5525" s="5">
        <v>-97.367820132991</v>
      </c>
      <c r="L5525" s="5" t="str">
        <f>HYPERLINK("https://maps.google.com/?q=17.281380936452,-97.367820132991497", "🔗 Ver Mapa")</f>
        <v>🔗 Ver Mapa</v>
      </c>
    </row>
    <row r="5526" spans="1:12" ht="43.5" x14ac:dyDescent="0.35">
      <c r="A5526" s="6" t="s">
        <v>98</v>
      </c>
      <c r="B5526" s="6" t="s">
        <v>99</v>
      </c>
      <c r="C5526" s="6" t="s">
        <v>1091</v>
      </c>
      <c r="D5526" s="6" t="s">
        <v>14</v>
      </c>
      <c r="E5526" s="6" t="s">
        <v>16</v>
      </c>
      <c r="F5526" s="6" t="s">
        <v>19</v>
      </c>
      <c r="G5526" s="6" t="s">
        <v>1049</v>
      </c>
      <c r="H5526" s="6" t="s">
        <v>1050</v>
      </c>
      <c r="I5526" s="6" t="s">
        <v>31</v>
      </c>
      <c r="J5526" s="6">
        <v>17.281820433566999</v>
      </c>
      <c r="K5526" s="6">
        <v>-97.373202363090996</v>
      </c>
      <c r="L5526" s="6" t="str">
        <f>HYPERLINK("https://maps.google.com/?q=17.2818204335674,-97.373202363090698", "🔗 Ver Mapa")</f>
        <v>🔗 Ver Mapa</v>
      </c>
    </row>
    <row r="5527" spans="1:12" ht="43.5" x14ac:dyDescent="0.35">
      <c r="A5527" s="5" t="s">
        <v>98</v>
      </c>
      <c r="B5527" s="5" t="s">
        <v>99</v>
      </c>
      <c r="C5527" s="5" t="s">
        <v>1091</v>
      </c>
      <c r="D5527" s="5" t="s">
        <v>14</v>
      </c>
      <c r="E5527" s="5" t="s">
        <v>16</v>
      </c>
      <c r="F5527" s="5" t="s">
        <v>19</v>
      </c>
      <c r="G5527" s="5" t="s">
        <v>1049</v>
      </c>
      <c r="H5527" s="5" t="s">
        <v>1050</v>
      </c>
      <c r="I5527" s="5" t="s">
        <v>31</v>
      </c>
      <c r="J5527" s="5">
        <v>17.282016701597001</v>
      </c>
      <c r="K5527" s="5" t="s">
        <v>1095</v>
      </c>
      <c r="L5527" s="5" t="str">
        <f>HYPERLINK("https://maps.google.com/?q=17.2820167015968, -97.375139625582", "🔗 Ver Mapa")</f>
        <v>🔗 Ver Mapa</v>
      </c>
    </row>
    <row r="5528" spans="1:12" ht="43.5" x14ac:dyDescent="0.35">
      <c r="A5528" s="6" t="s">
        <v>98</v>
      </c>
      <c r="B5528" s="6" t="s">
        <v>99</v>
      </c>
      <c r="C5528" s="6" t="s">
        <v>1091</v>
      </c>
      <c r="D5528" s="6" t="s">
        <v>14</v>
      </c>
      <c r="E5528" s="6" t="s">
        <v>16</v>
      </c>
      <c r="F5528" s="6" t="s">
        <v>19</v>
      </c>
      <c r="G5528" s="6" t="s">
        <v>1049</v>
      </c>
      <c r="H5528" s="6" t="s">
        <v>1050</v>
      </c>
      <c r="I5528" s="6" t="s">
        <v>31</v>
      </c>
      <c r="J5528" s="6">
        <v>17.283118183418999</v>
      </c>
      <c r="K5528" s="6">
        <v>-97.364267542327994</v>
      </c>
      <c r="L5528" s="6" t="str">
        <f>HYPERLINK("https://maps.google.com/?q=17.2831181834194,-97.364267542327894", "🔗 Ver Mapa")</f>
        <v>🔗 Ver Mapa</v>
      </c>
    </row>
    <row r="5529" spans="1:12" ht="43.5" x14ac:dyDescent="0.35">
      <c r="A5529" s="5" t="s">
        <v>98</v>
      </c>
      <c r="B5529" s="5" t="s">
        <v>99</v>
      </c>
      <c r="C5529" s="5" t="s">
        <v>1091</v>
      </c>
      <c r="D5529" s="5" t="s">
        <v>14</v>
      </c>
      <c r="E5529" s="5" t="s">
        <v>16</v>
      </c>
      <c r="F5529" s="5" t="s">
        <v>19</v>
      </c>
      <c r="G5529" s="5" t="s">
        <v>1049</v>
      </c>
      <c r="H5529" s="5" t="s">
        <v>1050</v>
      </c>
      <c r="I5529" s="5" t="s">
        <v>31</v>
      </c>
      <c r="J5529" s="5">
        <v>17.283667471514001</v>
      </c>
      <c r="K5529" s="5">
        <v>-97.373755280176994</v>
      </c>
      <c r="L5529" s="5" t="str">
        <f>HYPERLINK("https://maps.google.com/?q=17.2836674715144,-97.373755280177406", "🔗 Ver Mapa")</f>
        <v>🔗 Ver Mapa</v>
      </c>
    </row>
    <row r="5530" spans="1:12" ht="43.5" x14ac:dyDescent="0.35">
      <c r="A5530" s="6" t="s">
        <v>98</v>
      </c>
      <c r="B5530" s="6" t="s">
        <v>99</v>
      </c>
      <c r="C5530" s="6" t="s">
        <v>1091</v>
      </c>
      <c r="D5530" s="6" t="s">
        <v>14</v>
      </c>
      <c r="E5530" s="6" t="s">
        <v>16</v>
      </c>
      <c r="F5530" s="6" t="s">
        <v>19</v>
      </c>
      <c r="G5530" s="6" t="s">
        <v>1049</v>
      </c>
      <c r="H5530" s="6" t="s">
        <v>1050</v>
      </c>
      <c r="I5530" s="6" t="s">
        <v>31</v>
      </c>
      <c r="J5530" s="6">
        <v>17.283702847861999</v>
      </c>
      <c r="K5530" s="6">
        <v>-97.375332037047997</v>
      </c>
      <c r="L5530" s="6" t="str">
        <f>HYPERLINK("https://maps.google.com/?q=17.2837028478621,-97.375332037047798", "🔗 Ver Mapa")</f>
        <v>🔗 Ver Mapa</v>
      </c>
    </row>
    <row r="5531" spans="1:12" ht="43.5" x14ac:dyDescent="0.35">
      <c r="A5531" s="5" t="s">
        <v>98</v>
      </c>
      <c r="B5531" s="5" t="s">
        <v>99</v>
      </c>
      <c r="C5531" s="5" t="s">
        <v>1091</v>
      </c>
      <c r="D5531" s="5" t="s">
        <v>14</v>
      </c>
      <c r="E5531" s="5" t="s">
        <v>16</v>
      </c>
      <c r="F5531" s="5" t="s">
        <v>19</v>
      </c>
      <c r="G5531" s="5" t="s">
        <v>1049</v>
      </c>
      <c r="H5531" s="5" t="s">
        <v>1050</v>
      </c>
      <c r="I5531" s="5" t="s">
        <v>31</v>
      </c>
      <c r="J5531" s="5">
        <v>17.284767233537</v>
      </c>
      <c r="K5531" s="5">
        <v>-97.377701682208993</v>
      </c>
      <c r="L5531" s="5" t="str">
        <f>HYPERLINK("https://maps.google.com/?q=17.2847672335368,-97.377701682208993", "🔗 Ver Mapa")</f>
        <v>🔗 Ver Mapa</v>
      </c>
    </row>
    <row r="5532" spans="1:12" ht="43.5" x14ac:dyDescent="0.35">
      <c r="A5532" s="6" t="s">
        <v>98</v>
      </c>
      <c r="B5532" s="6" t="s">
        <v>99</v>
      </c>
      <c r="C5532" s="6" t="s">
        <v>1091</v>
      </c>
      <c r="D5532" s="6" t="s">
        <v>14</v>
      </c>
      <c r="E5532" s="6" t="s">
        <v>16</v>
      </c>
      <c r="F5532" s="6" t="s">
        <v>19</v>
      </c>
      <c r="G5532" s="6" t="s">
        <v>1049</v>
      </c>
      <c r="H5532" s="6" t="s">
        <v>1050</v>
      </c>
      <c r="I5532" s="6" t="s">
        <v>31</v>
      </c>
      <c r="J5532" s="6">
        <v>17.284933183862002</v>
      </c>
      <c r="K5532" s="6">
        <v>-97.377140279762003</v>
      </c>
      <c r="L5532" s="6" t="str">
        <f>HYPERLINK("https://maps.google.com/?q=17.2849331838615,-97.377140279762202", "🔗 Ver Mapa")</f>
        <v>🔗 Ver Mapa</v>
      </c>
    </row>
    <row r="5533" spans="1:12" ht="43.5" x14ac:dyDescent="0.35">
      <c r="A5533" s="5" t="s">
        <v>98</v>
      </c>
      <c r="B5533" s="5" t="s">
        <v>99</v>
      </c>
      <c r="C5533" s="5" t="s">
        <v>1091</v>
      </c>
      <c r="D5533" s="5" t="s">
        <v>14</v>
      </c>
      <c r="E5533" s="5" t="s">
        <v>16</v>
      </c>
      <c r="F5533" s="5" t="s">
        <v>19</v>
      </c>
      <c r="G5533" s="5" t="s">
        <v>1049</v>
      </c>
      <c r="H5533" s="5" t="s">
        <v>1050</v>
      </c>
      <c r="I5533" s="5" t="s">
        <v>31</v>
      </c>
      <c r="J5533" s="5">
        <v>17.285485332882001</v>
      </c>
      <c r="K5533" s="5" t="s">
        <v>1096</v>
      </c>
      <c r="L5533" s="5" t="str">
        <f>HYPERLINK("https://maps.google.com/?q=17.2854853328822, -97.3755712331352", "🔗 Ver Mapa")</f>
        <v>🔗 Ver Mapa</v>
      </c>
    </row>
    <row r="5534" spans="1:12" ht="43.5" x14ac:dyDescent="0.35">
      <c r="A5534" s="6" t="s">
        <v>98</v>
      </c>
      <c r="B5534" s="6" t="s">
        <v>99</v>
      </c>
      <c r="C5534" s="6" t="s">
        <v>1091</v>
      </c>
      <c r="D5534" s="6" t="s">
        <v>14</v>
      </c>
      <c r="E5534" s="6" t="s">
        <v>16</v>
      </c>
      <c r="F5534" s="6" t="s">
        <v>19</v>
      </c>
      <c r="G5534" s="6" t="s">
        <v>1049</v>
      </c>
      <c r="H5534" s="6" t="s">
        <v>1050</v>
      </c>
      <c r="I5534" s="6" t="s">
        <v>31</v>
      </c>
      <c r="J5534" s="6">
        <v>17.285790607266001</v>
      </c>
      <c r="K5534" s="6">
        <v>-97.365692559880998</v>
      </c>
      <c r="L5534" s="6" t="str">
        <f>HYPERLINK("https://maps.google.com/?q=17.2857906072659,-97.365692559881097", "🔗 Ver Mapa")</f>
        <v>🔗 Ver Mapa</v>
      </c>
    </row>
    <row r="5535" spans="1:12" ht="43.5" x14ac:dyDescent="0.35">
      <c r="A5535" s="5" t="s">
        <v>98</v>
      </c>
      <c r="B5535" s="5" t="s">
        <v>99</v>
      </c>
      <c r="C5535" s="5" t="s">
        <v>1091</v>
      </c>
      <c r="D5535" s="5" t="s">
        <v>14</v>
      </c>
      <c r="E5535" s="5" t="s">
        <v>16</v>
      </c>
      <c r="F5535" s="5" t="s">
        <v>19</v>
      </c>
      <c r="G5535" s="5" t="s">
        <v>1049</v>
      </c>
      <c r="H5535" s="5" t="s">
        <v>1050</v>
      </c>
      <c r="I5535" s="5" t="s">
        <v>31</v>
      </c>
      <c r="J5535" s="5">
        <v>17.287097075384001</v>
      </c>
      <c r="K5535" s="5" t="s">
        <v>1097</v>
      </c>
      <c r="L5535" s="5" t="str">
        <f>HYPERLINK("https://maps.google.com/?q=17.2870970753836, -97.36598310185242", "🔗 Ver Mapa")</f>
        <v>🔗 Ver Mapa</v>
      </c>
    </row>
    <row r="5536" spans="1:12" ht="43.5" x14ac:dyDescent="0.35">
      <c r="A5536" s="6" t="s">
        <v>98</v>
      </c>
      <c r="B5536" s="6" t="s">
        <v>99</v>
      </c>
      <c r="C5536" s="6" t="s">
        <v>1091</v>
      </c>
      <c r="D5536" s="6" t="s">
        <v>14</v>
      </c>
      <c r="E5536" s="6" t="s">
        <v>16</v>
      </c>
      <c r="F5536" s="6" t="s">
        <v>19</v>
      </c>
      <c r="G5536" s="6" t="s">
        <v>1049</v>
      </c>
      <c r="H5536" s="6" t="s">
        <v>1050</v>
      </c>
      <c r="I5536" s="6" t="s">
        <v>31</v>
      </c>
      <c r="J5536" s="6">
        <v>17.287722808041</v>
      </c>
      <c r="K5536" s="6">
        <v>-97.374171987791001</v>
      </c>
      <c r="L5536" s="6" t="str">
        <f>HYPERLINK("https://maps.google.com/?q=17.2877228080414,-97.374171987790902", "🔗 Ver Mapa")</f>
        <v>🔗 Ver Mapa</v>
      </c>
    </row>
    <row r="5537" spans="1:12" ht="43.5" x14ac:dyDescent="0.35">
      <c r="A5537" s="5" t="s">
        <v>98</v>
      </c>
      <c r="B5537" s="5" t="s">
        <v>99</v>
      </c>
      <c r="C5537" s="5" t="s">
        <v>1091</v>
      </c>
      <c r="D5537" s="5" t="s">
        <v>14</v>
      </c>
      <c r="E5537" s="5" t="s">
        <v>16</v>
      </c>
      <c r="F5537" s="5" t="s">
        <v>19</v>
      </c>
      <c r="G5537" s="5" t="s">
        <v>1049</v>
      </c>
      <c r="H5537" s="5" t="s">
        <v>1050</v>
      </c>
      <c r="I5537" s="5" t="s">
        <v>31</v>
      </c>
      <c r="J5537" s="5">
        <v>17.288219966328001</v>
      </c>
      <c r="K5537" s="5" t="s">
        <v>1098</v>
      </c>
      <c r="L5537" s="5" t="str">
        <f>HYPERLINK("https://maps.google.com/?q=17.2882199663281, -97.37043143684", "🔗 Ver Mapa")</f>
        <v>🔗 Ver Mapa</v>
      </c>
    </row>
    <row r="5538" spans="1:12" ht="43.5" x14ac:dyDescent="0.35">
      <c r="A5538" s="6" t="s">
        <v>98</v>
      </c>
      <c r="B5538" s="6" t="s">
        <v>99</v>
      </c>
      <c r="C5538" s="6" t="s">
        <v>1091</v>
      </c>
      <c r="D5538" s="6" t="s">
        <v>14</v>
      </c>
      <c r="E5538" s="6" t="s">
        <v>16</v>
      </c>
      <c r="F5538" s="6" t="s">
        <v>19</v>
      </c>
      <c r="G5538" s="6" t="s">
        <v>1049</v>
      </c>
      <c r="H5538" s="6" t="s">
        <v>1050</v>
      </c>
      <c r="I5538" s="6" t="s">
        <v>31</v>
      </c>
      <c r="J5538" s="6">
        <v>17.288544609999999</v>
      </c>
      <c r="K5538" s="6">
        <v>-97.378104530000002</v>
      </c>
      <c r="L5538" s="6" t="str">
        <f>HYPERLINK("https://maps.google.com/?q=17.28854461,-97.378104530000002", "🔗 Ver Mapa")</f>
        <v>🔗 Ver Mapa</v>
      </c>
    </row>
    <row r="5539" spans="1:12" ht="43.5" x14ac:dyDescent="0.35">
      <c r="A5539" s="5" t="s">
        <v>98</v>
      </c>
      <c r="B5539" s="5" t="s">
        <v>99</v>
      </c>
      <c r="C5539" s="5" t="s">
        <v>1091</v>
      </c>
      <c r="D5539" s="5" t="s">
        <v>14</v>
      </c>
      <c r="E5539" s="5" t="s">
        <v>16</v>
      </c>
      <c r="F5539" s="5" t="s">
        <v>19</v>
      </c>
      <c r="G5539" s="5" t="s">
        <v>1049</v>
      </c>
      <c r="H5539" s="5" t="s">
        <v>1050</v>
      </c>
      <c r="I5539" s="5" t="s">
        <v>31</v>
      </c>
      <c r="J5539" s="5">
        <v>17.288746842270999</v>
      </c>
      <c r="K5539" s="5" t="s">
        <v>1099</v>
      </c>
      <c r="L5539" s="5" t="str">
        <f>HYPERLINK("https://maps.google.com/?q=17.2887468422711, -97.37828727116394", "🔗 Ver Mapa")</f>
        <v>🔗 Ver Mapa</v>
      </c>
    </row>
    <row r="5540" spans="1:12" ht="43.5" x14ac:dyDescent="0.35">
      <c r="A5540" s="6" t="s">
        <v>98</v>
      </c>
      <c r="B5540" s="6" t="s">
        <v>99</v>
      </c>
      <c r="C5540" s="6" t="s">
        <v>1091</v>
      </c>
      <c r="D5540" s="6" t="s">
        <v>14</v>
      </c>
      <c r="E5540" s="6" t="s">
        <v>16</v>
      </c>
      <c r="F5540" s="6" t="s">
        <v>19</v>
      </c>
      <c r="G5540" s="6" t="s">
        <v>1049</v>
      </c>
      <c r="H5540" s="6" t="s">
        <v>1050</v>
      </c>
      <c r="I5540" s="6" t="s">
        <v>31</v>
      </c>
      <c r="J5540" s="6">
        <v>17.288878024024001</v>
      </c>
      <c r="K5540" s="6">
        <v>-97.377560360000004</v>
      </c>
      <c r="L5540" s="6" t="str">
        <f>HYPERLINK("https://maps.google.com/?q=17.2888780240236,-97.377560360000004", "🔗 Ver Mapa")</f>
        <v>🔗 Ver Mapa</v>
      </c>
    </row>
    <row r="5541" spans="1:12" ht="43.5" x14ac:dyDescent="0.35">
      <c r="A5541" s="5" t="s">
        <v>98</v>
      </c>
      <c r="B5541" s="5" t="s">
        <v>99</v>
      </c>
      <c r="C5541" s="5" t="s">
        <v>1091</v>
      </c>
      <c r="D5541" s="5" t="s">
        <v>14</v>
      </c>
      <c r="E5541" s="5" t="s">
        <v>16</v>
      </c>
      <c r="F5541" s="5" t="s">
        <v>19</v>
      </c>
      <c r="G5541" s="5" t="s">
        <v>1049</v>
      </c>
      <c r="H5541" s="5" t="s">
        <v>1050</v>
      </c>
      <c r="I5541" s="5" t="s">
        <v>31</v>
      </c>
      <c r="J5541" s="5">
        <v>17.288917999999999</v>
      </c>
      <c r="K5541" s="5">
        <v>-97.374539999999996</v>
      </c>
      <c r="L5541" s="5" t="str">
        <f>HYPERLINK("https://maps.google.com/?q=17.288918,-97.374539999999996", "🔗 Ver Mapa")</f>
        <v>🔗 Ver Mapa</v>
      </c>
    </row>
    <row r="5542" spans="1:12" ht="43.5" x14ac:dyDescent="0.35">
      <c r="A5542" s="6" t="s">
        <v>98</v>
      </c>
      <c r="B5542" s="6" t="s">
        <v>99</v>
      </c>
      <c r="C5542" s="6" t="s">
        <v>1091</v>
      </c>
      <c r="D5542" s="6" t="s">
        <v>14</v>
      </c>
      <c r="E5542" s="6" t="s">
        <v>16</v>
      </c>
      <c r="F5542" s="6" t="s">
        <v>19</v>
      </c>
      <c r="G5542" s="6" t="s">
        <v>1049</v>
      </c>
      <c r="H5542" s="6" t="s">
        <v>1050</v>
      </c>
      <c r="I5542" s="6" t="s">
        <v>31</v>
      </c>
      <c r="J5542" s="6">
        <v>17.289376379867999</v>
      </c>
      <c r="K5542" s="6">
        <v>-97.369962550926004</v>
      </c>
      <c r="L5542" s="6" t="str">
        <f>HYPERLINK("https://maps.google.com/?q=17.2893763798681,-97.369962550926203", "🔗 Ver Mapa")</f>
        <v>🔗 Ver Mapa</v>
      </c>
    </row>
    <row r="5543" spans="1:12" ht="43.5" x14ac:dyDescent="0.35">
      <c r="A5543" s="5" t="s">
        <v>98</v>
      </c>
      <c r="B5543" s="5" t="s">
        <v>99</v>
      </c>
      <c r="C5543" s="5" t="s">
        <v>1091</v>
      </c>
      <c r="D5543" s="5" t="s">
        <v>14</v>
      </c>
      <c r="E5543" s="5" t="s">
        <v>16</v>
      </c>
      <c r="F5543" s="5" t="s">
        <v>19</v>
      </c>
      <c r="G5543" s="5" t="s">
        <v>1049</v>
      </c>
      <c r="H5543" s="5" t="s">
        <v>1050</v>
      </c>
      <c r="I5543" s="5" t="s">
        <v>31</v>
      </c>
      <c r="J5543" s="5">
        <v>17.289646329261998</v>
      </c>
      <c r="K5543" s="5">
        <v>-97.374253196286006</v>
      </c>
      <c r="L5543" s="5" t="str">
        <f>HYPERLINK("https://maps.google.com/?q=17.2896463292617,-97.374253196285594", "🔗 Ver Mapa")</f>
        <v>🔗 Ver Mapa</v>
      </c>
    </row>
    <row r="5544" spans="1:12" ht="43.5" x14ac:dyDescent="0.35">
      <c r="A5544" s="6" t="s">
        <v>98</v>
      </c>
      <c r="B5544" s="6" t="s">
        <v>99</v>
      </c>
      <c r="C5544" s="6" t="s">
        <v>1091</v>
      </c>
      <c r="D5544" s="6" t="s">
        <v>14</v>
      </c>
      <c r="E5544" s="6" t="s">
        <v>16</v>
      </c>
      <c r="F5544" s="6" t="s">
        <v>19</v>
      </c>
      <c r="G5544" s="6" t="s">
        <v>1049</v>
      </c>
      <c r="H5544" s="6" t="s">
        <v>1050</v>
      </c>
      <c r="I5544" s="6" t="s">
        <v>31</v>
      </c>
      <c r="J5544" s="6">
        <v>17.289730844232999</v>
      </c>
      <c r="K5544" s="6">
        <v>-97.377280038028999</v>
      </c>
      <c r="L5544" s="6" t="str">
        <f>HYPERLINK("https://maps.google.com/?q=17.2897308442327,-97.377280038028701", "🔗 Ver Mapa")</f>
        <v>🔗 Ver Mapa</v>
      </c>
    </row>
    <row r="5545" spans="1:12" ht="43.5" x14ac:dyDescent="0.35">
      <c r="A5545" s="5" t="s">
        <v>98</v>
      </c>
      <c r="B5545" s="5" t="s">
        <v>99</v>
      </c>
      <c r="C5545" s="5" t="s">
        <v>1091</v>
      </c>
      <c r="D5545" s="5" t="s">
        <v>14</v>
      </c>
      <c r="E5545" s="5" t="s">
        <v>16</v>
      </c>
      <c r="F5545" s="5" t="s">
        <v>19</v>
      </c>
      <c r="G5545" s="5" t="s">
        <v>1049</v>
      </c>
      <c r="H5545" s="5" t="s">
        <v>1050</v>
      </c>
      <c r="I5545" s="5" t="s">
        <v>31</v>
      </c>
      <c r="J5545" s="5">
        <v>17.290584380247001</v>
      </c>
      <c r="K5545" s="5" t="s">
        <v>1100</v>
      </c>
      <c r="L5545" s="5" t="str">
        <f>HYPERLINK("https://maps.google.com/?q=17.2905843802465, -97.38312636441802", "🔗 Ver Mapa")</f>
        <v>🔗 Ver Mapa</v>
      </c>
    </row>
    <row r="5546" spans="1:12" ht="43.5" x14ac:dyDescent="0.35">
      <c r="A5546" s="6" t="s">
        <v>98</v>
      </c>
      <c r="B5546" s="6" t="s">
        <v>99</v>
      </c>
      <c r="C5546" s="6" t="s">
        <v>1091</v>
      </c>
      <c r="D5546" s="6" t="s">
        <v>14</v>
      </c>
      <c r="E5546" s="6" t="s">
        <v>16</v>
      </c>
      <c r="F5546" s="6" t="s">
        <v>19</v>
      </c>
      <c r="G5546" s="6" t="s">
        <v>1049</v>
      </c>
      <c r="H5546" s="6" t="s">
        <v>1050</v>
      </c>
      <c r="I5546" s="6" t="s">
        <v>31</v>
      </c>
      <c r="J5546" s="6">
        <v>17.290807185293001</v>
      </c>
      <c r="K5546" s="6">
        <v>-97.36549635582</v>
      </c>
      <c r="L5546" s="6" t="str">
        <f>HYPERLINK("https://maps.google.com/?q=17.2908071852925,-97.365496355819701", "🔗 Ver Mapa")</f>
        <v>🔗 Ver Mapa</v>
      </c>
    </row>
    <row r="5547" spans="1:12" ht="43.5" x14ac:dyDescent="0.35">
      <c r="A5547" s="5" t="s">
        <v>98</v>
      </c>
      <c r="B5547" s="5" t="s">
        <v>99</v>
      </c>
      <c r="C5547" s="5" t="s">
        <v>1091</v>
      </c>
      <c r="D5547" s="5" t="s">
        <v>14</v>
      </c>
      <c r="E5547" s="5" t="s">
        <v>16</v>
      </c>
      <c r="F5547" s="5" t="s">
        <v>19</v>
      </c>
      <c r="G5547" s="5" t="s">
        <v>1049</v>
      </c>
      <c r="H5547" s="5" t="s">
        <v>1050</v>
      </c>
      <c r="I5547" s="5" t="s">
        <v>31</v>
      </c>
      <c r="J5547" s="5">
        <v>17.291545332081999</v>
      </c>
      <c r="K5547" s="5">
        <v>-97.384607241734003</v>
      </c>
      <c r="L5547" s="5" t="str">
        <f>HYPERLINK("https://maps.google.com/?q=17.2915453320823,-97.384607241733505", "🔗 Ver Mapa")</f>
        <v>🔗 Ver Mapa</v>
      </c>
    </row>
    <row r="5548" spans="1:12" ht="43.5" x14ac:dyDescent="0.35">
      <c r="A5548" s="6" t="s">
        <v>98</v>
      </c>
      <c r="B5548" s="6" t="s">
        <v>99</v>
      </c>
      <c r="C5548" s="6" t="s">
        <v>1091</v>
      </c>
      <c r="D5548" s="6" t="s">
        <v>14</v>
      </c>
      <c r="E5548" s="6" t="s">
        <v>16</v>
      </c>
      <c r="F5548" s="6" t="s">
        <v>19</v>
      </c>
      <c r="G5548" s="6" t="s">
        <v>1049</v>
      </c>
      <c r="H5548" s="6" t="s">
        <v>1050</v>
      </c>
      <c r="I5548" s="6" t="s">
        <v>31</v>
      </c>
      <c r="J5548" s="6">
        <v>17.292045844084999</v>
      </c>
      <c r="K5548" s="6">
        <v>-97.373530206359007</v>
      </c>
      <c r="L5548" s="6" t="str">
        <f>HYPERLINK("https://maps.google.com/?q=17.2920458440847,-97.373530206359405", "🔗 Ver Mapa")</f>
        <v>🔗 Ver Mapa</v>
      </c>
    </row>
    <row r="5549" spans="1:12" ht="43.5" x14ac:dyDescent="0.35">
      <c r="A5549" s="5" t="s">
        <v>98</v>
      </c>
      <c r="B5549" s="5" t="s">
        <v>99</v>
      </c>
      <c r="C5549" s="5" t="s">
        <v>1091</v>
      </c>
      <c r="D5549" s="5" t="s">
        <v>14</v>
      </c>
      <c r="E5549" s="5" t="s">
        <v>16</v>
      </c>
      <c r="F5549" s="5" t="s">
        <v>19</v>
      </c>
      <c r="G5549" s="5" t="s">
        <v>1049</v>
      </c>
      <c r="H5549" s="5" t="s">
        <v>1050</v>
      </c>
      <c r="I5549" s="5" t="s">
        <v>31</v>
      </c>
      <c r="J5549" s="5">
        <v>17.292792543840999</v>
      </c>
      <c r="K5549" s="5">
        <v>-97.385605904418</v>
      </c>
      <c r="L5549" s="5" t="str">
        <f>HYPERLINK("https://maps.google.com/?q=17.292792543841,-97.385605904418", "🔗 Ver Mapa")</f>
        <v>🔗 Ver Mapa</v>
      </c>
    </row>
    <row r="5550" spans="1:12" ht="43.5" x14ac:dyDescent="0.35">
      <c r="A5550" s="6" t="s">
        <v>98</v>
      </c>
      <c r="B5550" s="6" t="s">
        <v>99</v>
      </c>
      <c r="C5550" s="6" t="s">
        <v>1091</v>
      </c>
      <c r="D5550" s="6" t="s">
        <v>14</v>
      </c>
      <c r="E5550" s="6" t="s">
        <v>16</v>
      </c>
      <c r="F5550" s="6" t="s">
        <v>19</v>
      </c>
      <c r="G5550" s="6" t="s">
        <v>1049</v>
      </c>
      <c r="H5550" s="6" t="s">
        <v>1050</v>
      </c>
      <c r="I5550" s="6" t="s">
        <v>31</v>
      </c>
      <c r="J5550" s="6">
        <v>17.293167892831999</v>
      </c>
      <c r="K5550" s="6">
        <v>-97.369115101852003</v>
      </c>
      <c r="L5550" s="6" t="str">
        <f>HYPERLINK("https://maps.google.com/?q=17.2931678928315,-97.369115101852401", "🔗 Ver Mapa")</f>
        <v>🔗 Ver Mapa</v>
      </c>
    </row>
    <row r="5551" spans="1:12" ht="43.5" x14ac:dyDescent="0.35">
      <c r="A5551" s="5" t="s">
        <v>98</v>
      </c>
      <c r="B5551" s="5" t="s">
        <v>99</v>
      </c>
      <c r="C5551" s="5" t="s">
        <v>1101</v>
      </c>
      <c r="D5551" s="5" t="s">
        <v>14</v>
      </c>
      <c r="E5551" s="5" t="s">
        <v>140</v>
      </c>
      <c r="F5551" s="5" t="s">
        <v>141</v>
      </c>
      <c r="G5551" s="5" t="s">
        <v>258</v>
      </c>
      <c r="H5551" s="5" t="s">
        <v>558</v>
      </c>
      <c r="I5551" s="5" t="s">
        <v>31</v>
      </c>
      <c r="J5551" s="5">
        <v>18.249957999999999</v>
      </c>
      <c r="K5551" s="5">
        <v>-96.288908000000006</v>
      </c>
      <c r="L5551" s="5" t="str">
        <f>HYPERLINK("https://maps.google.com/?q=18.249958,-96.288908000000006", "🔗 Ver Mapa")</f>
        <v>🔗 Ver Mapa</v>
      </c>
    </row>
    <row r="5552" spans="1:12" ht="43.5" x14ac:dyDescent="0.35">
      <c r="A5552" s="6" t="s">
        <v>98</v>
      </c>
      <c r="B5552" s="6" t="s">
        <v>99</v>
      </c>
      <c r="C5552" s="6" t="s">
        <v>1101</v>
      </c>
      <c r="D5552" s="6" t="s">
        <v>14</v>
      </c>
      <c r="E5552" s="6" t="s">
        <v>140</v>
      </c>
      <c r="F5552" s="6" t="s">
        <v>141</v>
      </c>
      <c r="G5552" s="6" t="s">
        <v>258</v>
      </c>
      <c r="H5552" s="6" t="s">
        <v>558</v>
      </c>
      <c r="I5552" s="6" t="s">
        <v>31</v>
      </c>
      <c r="J5552" s="6">
        <v>18.252231999999999</v>
      </c>
      <c r="K5552" s="6">
        <v>-96.286142999999996</v>
      </c>
      <c r="L5552" s="6" t="str">
        <f>HYPERLINK("https://maps.google.com/?q=18.252232,-96.286142999999996", "🔗 Ver Mapa")</f>
        <v>🔗 Ver Mapa</v>
      </c>
    </row>
    <row r="5553" spans="1:12" ht="43.5" x14ac:dyDescent="0.35">
      <c r="A5553" s="5" t="s">
        <v>98</v>
      </c>
      <c r="B5553" s="5" t="s">
        <v>99</v>
      </c>
      <c r="C5553" s="5" t="s">
        <v>1101</v>
      </c>
      <c r="D5553" s="5" t="s">
        <v>14</v>
      </c>
      <c r="E5553" s="5" t="s">
        <v>140</v>
      </c>
      <c r="F5553" s="5" t="s">
        <v>141</v>
      </c>
      <c r="G5553" s="5" t="s">
        <v>258</v>
      </c>
      <c r="H5553" s="5" t="s">
        <v>558</v>
      </c>
      <c r="I5553" s="5" t="s">
        <v>31</v>
      </c>
      <c r="J5553" s="5">
        <v>18.252524515042001</v>
      </c>
      <c r="K5553" s="5">
        <v>-96.285022933695004</v>
      </c>
      <c r="L5553" s="5" t="str">
        <f>HYPERLINK("https://maps.google.com/?q=18.2525245150425,-96.285022933695004", "🔗 Ver Mapa")</f>
        <v>🔗 Ver Mapa</v>
      </c>
    </row>
    <row r="5554" spans="1:12" ht="43.5" x14ac:dyDescent="0.35">
      <c r="A5554" s="6" t="s">
        <v>98</v>
      </c>
      <c r="B5554" s="6" t="s">
        <v>99</v>
      </c>
      <c r="C5554" s="6" t="s">
        <v>1101</v>
      </c>
      <c r="D5554" s="6" t="s">
        <v>14</v>
      </c>
      <c r="E5554" s="6" t="s">
        <v>140</v>
      </c>
      <c r="F5554" s="6" t="s">
        <v>141</v>
      </c>
      <c r="G5554" s="6" t="s">
        <v>258</v>
      </c>
      <c r="H5554" s="6" t="s">
        <v>558</v>
      </c>
      <c r="I5554" s="6" t="s">
        <v>31</v>
      </c>
      <c r="J5554" s="6">
        <v>18.254572</v>
      </c>
      <c r="K5554" s="6">
        <v>-96.286063999999996</v>
      </c>
      <c r="L5554" s="6" t="str">
        <f>HYPERLINK("https://maps.google.com/?q=18.254572,-96.286063999999996", "🔗 Ver Mapa")</f>
        <v>🔗 Ver Mapa</v>
      </c>
    </row>
    <row r="5555" spans="1:12" ht="43.5" x14ac:dyDescent="0.35">
      <c r="A5555" s="5" t="s">
        <v>98</v>
      </c>
      <c r="B5555" s="5" t="s">
        <v>99</v>
      </c>
      <c r="C5555" s="5" t="s">
        <v>1101</v>
      </c>
      <c r="D5555" s="5" t="s">
        <v>14</v>
      </c>
      <c r="E5555" s="5" t="s">
        <v>140</v>
      </c>
      <c r="F5555" s="5" t="s">
        <v>141</v>
      </c>
      <c r="G5555" s="5" t="s">
        <v>258</v>
      </c>
      <c r="H5555" s="5" t="s">
        <v>558</v>
      </c>
      <c r="I5555" s="5" t="s">
        <v>31</v>
      </c>
      <c r="J5555" s="5">
        <v>18.256762729281999</v>
      </c>
      <c r="K5555" s="5">
        <v>-96.281406364418004</v>
      </c>
      <c r="L5555" s="5" t="str">
        <f>HYPERLINK("https://maps.google.com/?q=18.2567627292824,-96.281406364418103", "🔗 Ver Mapa")</f>
        <v>🔗 Ver Mapa</v>
      </c>
    </row>
    <row r="5556" spans="1:12" ht="43.5" x14ac:dyDescent="0.35">
      <c r="A5556" s="6" t="s">
        <v>98</v>
      </c>
      <c r="B5556" s="6" t="s">
        <v>99</v>
      </c>
      <c r="C5556" s="6" t="s">
        <v>1101</v>
      </c>
      <c r="D5556" s="6" t="s">
        <v>14</v>
      </c>
      <c r="E5556" s="6" t="s">
        <v>140</v>
      </c>
      <c r="F5556" s="6" t="s">
        <v>141</v>
      </c>
      <c r="G5556" s="6" t="s">
        <v>258</v>
      </c>
      <c r="H5556" s="6" t="s">
        <v>558</v>
      </c>
      <c r="I5556" s="6" t="s">
        <v>31</v>
      </c>
      <c r="J5556" s="6">
        <v>18.257501999999999</v>
      </c>
      <c r="K5556" s="6">
        <v>-96.283009000000007</v>
      </c>
      <c r="L5556" s="6" t="str">
        <f>HYPERLINK("https://maps.google.com/?q=18.257502,-96.283009000000007", "🔗 Ver Mapa")</f>
        <v>🔗 Ver Mapa</v>
      </c>
    </row>
    <row r="5557" spans="1:12" ht="43.5" x14ac:dyDescent="0.35">
      <c r="A5557" s="5" t="s">
        <v>98</v>
      </c>
      <c r="B5557" s="5" t="s">
        <v>99</v>
      </c>
      <c r="C5557" s="5" t="s">
        <v>1102</v>
      </c>
      <c r="D5557" s="5" t="s">
        <v>14</v>
      </c>
      <c r="E5557" s="5" t="s">
        <v>140</v>
      </c>
      <c r="F5557" s="5" t="s">
        <v>141</v>
      </c>
      <c r="G5557" s="5" t="s">
        <v>258</v>
      </c>
      <c r="H5557" s="5" t="s">
        <v>556</v>
      </c>
      <c r="I5557" s="5" t="s">
        <v>31</v>
      </c>
      <c r="J5557" s="5">
        <v>18.170618000000001</v>
      </c>
      <c r="K5557" s="5">
        <v>-96.283225000000002</v>
      </c>
      <c r="L5557" s="5" t="str">
        <f>HYPERLINK("https://maps.google.com/?q=18.170618,-96.283225000000002", "🔗 Ver Mapa")</f>
        <v>🔗 Ver Mapa</v>
      </c>
    </row>
    <row r="5558" spans="1:12" ht="43.5" x14ac:dyDescent="0.35">
      <c r="A5558" s="6" t="s">
        <v>98</v>
      </c>
      <c r="B5558" s="6" t="s">
        <v>99</v>
      </c>
      <c r="C5558" s="6" t="s">
        <v>1102</v>
      </c>
      <c r="D5558" s="6" t="s">
        <v>14</v>
      </c>
      <c r="E5558" s="6" t="s">
        <v>140</v>
      </c>
      <c r="F5558" s="6" t="s">
        <v>141</v>
      </c>
      <c r="G5558" s="6" t="s">
        <v>258</v>
      </c>
      <c r="H5558" s="6" t="s">
        <v>556</v>
      </c>
      <c r="I5558" s="6" t="s">
        <v>31</v>
      </c>
      <c r="J5558" s="6">
        <v>18.171513000000001</v>
      </c>
      <c r="K5558" s="6">
        <v>-96.284214000000006</v>
      </c>
      <c r="L5558" s="6" t="str">
        <f>HYPERLINK("https://maps.google.com/?q=18.171513,-96.284214000000006", "🔗 Ver Mapa")</f>
        <v>🔗 Ver Mapa</v>
      </c>
    </row>
    <row r="5559" spans="1:12" ht="43.5" x14ac:dyDescent="0.35">
      <c r="A5559" s="5" t="s">
        <v>98</v>
      </c>
      <c r="B5559" s="5" t="s">
        <v>99</v>
      </c>
      <c r="C5559" s="5" t="s">
        <v>1102</v>
      </c>
      <c r="D5559" s="5" t="s">
        <v>14</v>
      </c>
      <c r="E5559" s="5" t="s">
        <v>140</v>
      </c>
      <c r="F5559" s="5" t="s">
        <v>141</v>
      </c>
      <c r="G5559" s="5" t="s">
        <v>258</v>
      </c>
      <c r="H5559" s="5" t="s">
        <v>556</v>
      </c>
      <c r="I5559" s="5" t="s">
        <v>31</v>
      </c>
      <c r="J5559" s="5">
        <v>18.171654</v>
      </c>
      <c r="K5559" s="5">
        <v>-96.283803000000006</v>
      </c>
      <c r="L5559" s="5" t="str">
        <f>HYPERLINK("https://maps.google.com/?q=18.171654,-96.283803000000006", "🔗 Ver Mapa")</f>
        <v>🔗 Ver Mapa</v>
      </c>
    </row>
    <row r="5560" spans="1:12" ht="43.5" x14ac:dyDescent="0.35">
      <c r="A5560" s="6" t="s">
        <v>98</v>
      </c>
      <c r="B5560" s="6" t="s">
        <v>99</v>
      </c>
      <c r="C5560" s="6" t="s">
        <v>1102</v>
      </c>
      <c r="D5560" s="6" t="s">
        <v>14</v>
      </c>
      <c r="E5560" s="6" t="s">
        <v>140</v>
      </c>
      <c r="F5560" s="6" t="s">
        <v>141</v>
      </c>
      <c r="G5560" s="6" t="s">
        <v>258</v>
      </c>
      <c r="H5560" s="6" t="s">
        <v>556</v>
      </c>
      <c r="I5560" s="6" t="s">
        <v>31</v>
      </c>
      <c r="J5560" s="6">
        <v>18.171778</v>
      </c>
      <c r="K5560" s="6">
        <v>-96.284058000000002</v>
      </c>
      <c r="L5560" s="6" t="str">
        <f>HYPERLINK("https://maps.google.com/?q=18.171778,-96.284058000000002", "🔗 Ver Mapa")</f>
        <v>🔗 Ver Mapa</v>
      </c>
    </row>
    <row r="5561" spans="1:12" ht="43.5" x14ac:dyDescent="0.35">
      <c r="A5561" s="5" t="s">
        <v>98</v>
      </c>
      <c r="B5561" s="5" t="s">
        <v>99</v>
      </c>
      <c r="C5561" s="5" t="s">
        <v>1102</v>
      </c>
      <c r="D5561" s="5" t="s">
        <v>14</v>
      </c>
      <c r="E5561" s="5" t="s">
        <v>140</v>
      </c>
      <c r="F5561" s="5" t="s">
        <v>141</v>
      </c>
      <c r="G5561" s="5" t="s">
        <v>258</v>
      </c>
      <c r="H5561" s="5" t="s">
        <v>556</v>
      </c>
      <c r="I5561" s="5" t="s">
        <v>31</v>
      </c>
      <c r="J5561" s="5">
        <v>18.171817000000001</v>
      </c>
      <c r="K5561" s="5">
        <v>-96.283851999999996</v>
      </c>
      <c r="L5561" s="5" t="str">
        <f>HYPERLINK("https://maps.google.com/?q=18.171817,-96.283851999999996", "🔗 Ver Mapa")</f>
        <v>🔗 Ver Mapa</v>
      </c>
    </row>
    <row r="5562" spans="1:12" ht="43.5" x14ac:dyDescent="0.35">
      <c r="A5562" s="6" t="s">
        <v>98</v>
      </c>
      <c r="B5562" s="6" t="s">
        <v>99</v>
      </c>
      <c r="C5562" s="6" t="s">
        <v>1102</v>
      </c>
      <c r="D5562" s="6" t="s">
        <v>14</v>
      </c>
      <c r="E5562" s="6" t="s">
        <v>140</v>
      </c>
      <c r="F5562" s="6" t="s">
        <v>141</v>
      </c>
      <c r="G5562" s="6" t="s">
        <v>258</v>
      </c>
      <c r="H5562" s="6" t="s">
        <v>556</v>
      </c>
      <c r="I5562" s="6" t="s">
        <v>31</v>
      </c>
      <c r="J5562" s="6">
        <v>18.173413</v>
      </c>
      <c r="K5562" s="6">
        <v>-96.283568000000002</v>
      </c>
      <c r="L5562" s="6" t="str">
        <f>HYPERLINK("https://maps.google.com/?q=18.173413,-96.283568000000002", "🔗 Ver Mapa")</f>
        <v>🔗 Ver Mapa</v>
      </c>
    </row>
    <row r="5563" spans="1:12" ht="43.5" x14ac:dyDescent="0.35">
      <c r="A5563" s="5" t="s">
        <v>98</v>
      </c>
      <c r="B5563" s="5" t="s">
        <v>99</v>
      </c>
      <c r="C5563" s="5" t="s">
        <v>1103</v>
      </c>
      <c r="D5563" s="5" t="s">
        <v>14</v>
      </c>
      <c r="E5563" s="5" t="s">
        <v>90</v>
      </c>
      <c r="F5563" s="5" t="s">
        <v>678</v>
      </c>
      <c r="G5563" s="5" t="s">
        <v>1104</v>
      </c>
      <c r="H5563" s="5" t="s">
        <v>1105</v>
      </c>
      <c r="I5563" s="5" t="s">
        <v>31</v>
      </c>
      <c r="J5563" s="5">
        <v>17.600710978875998</v>
      </c>
      <c r="K5563" s="5">
        <v>-96.120839860119005</v>
      </c>
      <c r="L5563" s="5" t="str">
        <f>HYPERLINK("https://maps.google.com/?q=17.6007109788761,-96.120839860119105", "🔗 Ver Mapa")</f>
        <v>🔗 Ver Mapa</v>
      </c>
    </row>
    <row r="5564" spans="1:12" ht="43.5" x14ac:dyDescent="0.35">
      <c r="A5564" s="6" t="s">
        <v>98</v>
      </c>
      <c r="B5564" s="6" t="s">
        <v>99</v>
      </c>
      <c r="C5564" s="6" t="s">
        <v>1103</v>
      </c>
      <c r="D5564" s="6" t="s">
        <v>14</v>
      </c>
      <c r="E5564" s="6" t="s">
        <v>90</v>
      </c>
      <c r="F5564" s="6" t="s">
        <v>678</v>
      </c>
      <c r="G5564" s="6" t="s">
        <v>1104</v>
      </c>
      <c r="H5564" s="6" t="s">
        <v>1105</v>
      </c>
      <c r="I5564" s="6" t="s">
        <v>31</v>
      </c>
      <c r="J5564" s="6">
        <v>17.600800643292001</v>
      </c>
      <c r="K5564" s="6">
        <v>-96.123206317791002</v>
      </c>
      <c r="L5564" s="6" t="str">
        <f>HYPERLINK("https://maps.google.com/?q=17.6008006432924,-96.123206317790903", "🔗 Ver Mapa")</f>
        <v>🔗 Ver Mapa</v>
      </c>
    </row>
    <row r="5565" spans="1:12" ht="43.5" x14ac:dyDescent="0.35">
      <c r="A5565" s="5" t="s">
        <v>98</v>
      </c>
      <c r="B5565" s="5" t="s">
        <v>99</v>
      </c>
      <c r="C5565" s="5" t="s">
        <v>1103</v>
      </c>
      <c r="D5565" s="5" t="s">
        <v>14</v>
      </c>
      <c r="E5565" s="5" t="s">
        <v>90</v>
      </c>
      <c r="F5565" s="5" t="s">
        <v>678</v>
      </c>
      <c r="G5565" s="5" t="s">
        <v>1104</v>
      </c>
      <c r="H5565" s="5" t="s">
        <v>1105</v>
      </c>
      <c r="I5565" s="5" t="s">
        <v>31</v>
      </c>
      <c r="J5565" s="5">
        <v>17.601126338884001</v>
      </c>
      <c r="K5565" s="5">
        <v>-96.122424830688999</v>
      </c>
      <c r="L5565" s="5" t="str">
        <f>HYPERLINK("https://maps.google.com/?q=17.6011263388838,-96.122424830688502", "🔗 Ver Mapa")</f>
        <v>🔗 Ver Mapa</v>
      </c>
    </row>
    <row r="5566" spans="1:12" ht="43.5" x14ac:dyDescent="0.35">
      <c r="A5566" s="6" t="s">
        <v>98</v>
      </c>
      <c r="B5566" s="6" t="s">
        <v>99</v>
      </c>
      <c r="C5566" s="6" t="s">
        <v>1103</v>
      </c>
      <c r="D5566" s="6" t="s">
        <v>14</v>
      </c>
      <c r="E5566" s="6" t="s">
        <v>90</v>
      </c>
      <c r="F5566" s="6" t="s">
        <v>678</v>
      </c>
      <c r="G5566" s="6" t="s">
        <v>1104</v>
      </c>
      <c r="H5566" s="6" t="s">
        <v>1105</v>
      </c>
      <c r="I5566" s="6" t="s">
        <v>31</v>
      </c>
      <c r="J5566" s="6">
        <v>17.601170230000001</v>
      </c>
      <c r="K5566" s="6">
        <v>-96.12355273</v>
      </c>
      <c r="L5566" s="6" t="str">
        <f>HYPERLINK("https://maps.google.com/?q=17.60117023,-96.12355273", "🔗 Ver Mapa")</f>
        <v>🔗 Ver Mapa</v>
      </c>
    </row>
    <row r="5567" spans="1:12" ht="43.5" x14ac:dyDescent="0.35">
      <c r="A5567" s="5" t="s">
        <v>98</v>
      </c>
      <c r="B5567" s="5" t="s">
        <v>99</v>
      </c>
      <c r="C5567" s="5" t="s">
        <v>1103</v>
      </c>
      <c r="D5567" s="5" t="s">
        <v>14</v>
      </c>
      <c r="E5567" s="5" t="s">
        <v>90</v>
      </c>
      <c r="F5567" s="5" t="s">
        <v>678</v>
      </c>
      <c r="G5567" s="5" t="s">
        <v>1104</v>
      </c>
      <c r="H5567" s="5" t="s">
        <v>1105</v>
      </c>
      <c r="I5567" s="5" t="s">
        <v>31</v>
      </c>
      <c r="J5567" s="5">
        <v>17.601531004142998</v>
      </c>
      <c r="K5567" s="5">
        <v>-96.122488118556006</v>
      </c>
      <c r="L5567" s="5" t="str">
        <f>HYPERLINK("https://maps.google.com/?q=17.6015310041433,-96.122488118555907", "🔗 Ver Mapa")</f>
        <v>🔗 Ver Mapa</v>
      </c>
    </row>
    <row r="5568" spans="1:12" ht="43.5" x14ac:dyDescent="0.35">
      <c r="A5568" s="6" t="s">
        <v>98</v>
      </c>
      <c r="B5568" s="6" t="s">
        <v>99</v>
      </c>
      <c r="C5568" s="6" t="s">
        <v>1103</v>
      </c>
      <c r="D5568" s="6" t="s">
        <v>14</v>
      </c>
      <c r="E5568" s="6" t="s">
        <v>90</v>
      </c>
      <c r="F5568" s="6" t="s">
        <v>678</v>
      </c>
      <c r="G5568" s="6" t="s">
        <v>1104</v>
      </c>
      <c r="H5568" s="6" t="s">
        <v>1105</v>
      </c>
      <c r="I5568" s="6" t="s">
        <v>31</v>
      </c>
      <c r="J5568" s="6">
        <v>17.601562769931999</v>
      </c>
      <c r="K5568" s="6">
        <v>-96.122142982802998</v>
      </c>
      <c r="L5568" s="6" t="str">
        <f>HYPERLINK("https://maps.google.com/?q=17.6015627699315,-96.122142982803297", "🔗 Ver Mapa")</f>
        <v>🔗 Ver Mapa</v>
      </c>
    </row>
    <row r="5569" spans="1:12" ht="43.5" x14ac:dyDescent="0.35">
      <c r="A5569" s="5" t="s">
        <v>98</v>
      </c>
      <c r="B5569" s="5" t="s">
        <v>99</v>
      </c>
      <c r="C5569" s="5" t="s">
        <v>1103</v>
      </c>
      <c r="D5569" s="5" t="s">
        <v>14</v>
      </c>
      <c r="E5569" s="5" t="s">
        <v>90</v>
      </c>
      <c r="F5569" s="5" t="s">
        <v>678</v>
      </c>
      <c r="G5569" s="5" t="s">
        <v>1104</v>
      </c>
      <c r="H5569" s="5" t="s">
        <v>1105</v>
      </c>
      <c r="I5569" s="5" t="s">
        <v>31</v>
      </c>
      <c r="J5569" s="5">
        <v>17.602044858365002</v>
      </c>
      <c r="K5569" s="5">
        <v>-96.121168186508001</v>
      </c>
      <c r="L5569" s="5" t="str">
        <f>HYPERLINK("https://maps.google.com/?q=17.602044858365,-96.121168186507902", "🔗 Ver Mapa")</f>
        <v>🔗 Ver Mapa</v>
      </c>
    </row>
    <row r="5570" spans="1:12" ht="43.5" x14ac:dyDescent="0.35">
      <c r="A5570" s="6" t="s">
        <v>98</v>
      </c>
      <c r="B5570" s="6" t="s">
        <v>99</v>
      </c>
      <c r="C5570" s="6" t="s">
        <v>1103</v>
      </c>
      <c r="D5570" s="6" t="s">
        <v>14</v>
      </c>
      <c r="E5570" s="6" t="s">
        <v>90</v>
      </c>
      <c r="F5570" s="6" t="s">
        <v>678</v>
      </c>
      <c r="G5570" s="6" t="s">
        <v>1104</v>
      </c>
      <c r="H5570" s="6" t="s">
        <v>1105</v>
      </c>
      <c r="I5570" s="6" t="s">
        <v>31</v>
      </c>
      <c r="J5570" s="6">
        <v>17.602289710000001</v>
      </c>
      <c r="K5570" s="6">
        <v>-96.122585380000004</v>
      </c>
      <c r="L5570" s="6" t="str">
        <f>HYPERLINK("https://maps.google.com/?q=17.60228971,-96.122585380000004", "🔗 Ver Mapa")</f>
        <v>🔗 Ver Mapa</v>
      </c>
    </row>
    <row r="5571" spans="1:12" ht="43.5" x14ac:dyDescent="0.35">
      <c r="A5571" s="5" t="s">
        <v>98</v>
      </c>
      <c r="B5571" s="5" t="s">
        <v>99</v>
      </c>
      <c r="C5571" s="5" t="s">
        <v>1103</v>
      </c>
      <c r="D5571" s="5" t="s">
        <v>14</v>
      </c>
      <c r="E5571" s="5" t="s">
        <v>90</v>
      </c>
      <c r="F5571" s="5" t="s">
        <v>678</v>
      </c>
      <c r="G5571" s="5" t="s">
        <v>1104</v>
      </c>
      <c r="H5571" s="5" t="s">
        <v>1105</v>
      </c>
      <c r="I5571" s="5" t="s">
        <v>31</v>
      </c>
      <c r="J5571" s="5">
        <v>17.602309585941001</v>
      </c>
      <c r="K5571" s="5">
        <v>-96.121373875437996</v>
      </c>
      <c r="L5571" s="5" t="str">
        <f>HYPERLINK("https://maps.google.com/?q=17.602309585941,-96.121373875438394", "🔗 Ver Mapa")</f>
        <v>🔗 Ver Mapa</v>
      </c>
    </row>
    <row r="5572" spans="1:12" ht="43.5" x14ac:dyDescent="0.35">
      <c r="A5572" s="6" t="s">
        <v>98</v>
      </c>
      <c r="B5572" s="6" t="s">
        <v>99</v>
      </c>
      <c r="C5572" s="6" t="s">
        <v>1103</v>
      </c>
      <c r="D5572" s="6" t="s">
        <v>14</v>
      </c>
      <c r="E5572" s="6" t="s">
        <v>90</v>
      </c>
      <c r="F5572" s="6" t="s">
        <v>678</v>
      </c>
      <c r="G5572" s="6" t="s">
        <v>1104</v>
      </c>
      <c r="H5572" s="6" t="s">
        <v>1105</v>
      </c>
      <c r="I5572" s="6" t="s">
        <v>31</v>
      </c>
      <c r="J5572" s="6">
        <v>17.602493655457</v>
      </c>
      <c r="K5572" s="6">
        <v>-96.121124425760001</v>
      </c>
      <c r="L5572" s="6" t="str">
        <f>HYPERLINK("https://maps.google.com/?q=17.6024936554569,-96.121124425760399", "🔗 Ver Mapa")</f>
        <v>🔗 Ver Mapa</v>
      </c>
    </row>
    <row r="5573" spans="1:12" ht="43.5" x14ac:dyDescent="0.35">
      <c r="A5573" s="5" t="s">
        <v>98</v>
      </c>
      <c r="B5573" s="5" t="s">
        <v>99</v>
      </c>
      <c r="C5573" s="5" t="s">
        <v>1106</v>
      </c>
      <c r="D5573" s="5" t="s">
        <v>14</v>
      </c>
      <c r="E5573" s="5" t="s">
        <v>90</v>
      </c>
      <c r="F5573" s="5" t="s">
        <v>678</v>
      </c>
      <c r="G5573" s="5" t="s">
        <v>1104</v>
      </c>
      <c r="H5573" s="5" t="s">
        <v>1107</v>
      </c>
      <c r="I5573" s="5" t="s">
        <v>31</v>
      </c>
      <c r="J5573" s="5">
        <v>17.442953253307</v>
      </c>
      <c r="K5573" s="5">
        <v>-96.182414837791001</v>
      </c>
      <c r="L5573" s="5" t="str">
        <f>HYPERLINK("https://maps.google.com/?q=17.4429532533067,-96.182414837791399", "🔗 Ver Mapa")</f>
        <v>🔗 Ver Mapa</v>
      </c>
    </row>
    <row r="5574" spans="1:12" ht="43.5" x14ac:dyDescent="0.35">
      <c r="A5574" s="6" t="s">
        <v>98</v>
      </c>
      <c r="B5574" s="6" t="s">
        <v>99</v>
      </c>
      <c r="C5574" s="6" t="s">
        <v>1106</v>
      </c>
      <c r="D5574" s="6" t="s">
        <v>14</v>
      </c>
      <c r="E5574" s="6" t="s">
        <v>90</v>
      </c>
      <c r="F5574" s="6" t="s">
        <v>678</v>
      </c>
      <c r="G5574" s="6" t="s">
        <v>1104</v>
      </c>
      <c r="H5574" s="6" t="s">
        <v>1107</v>
      </c>
      <c r="I5574" s="6" t="s">
        <v>31</v>
      </c>
      <c r="J5574" s="6">
        <v>17.443321772741999</v>
      </c>
      <c r="K5574" s="6">
        <v>-96.183656017790994</v>
      </c>
      <c r="L5574" s="6" t="str">
        <f>HYPERLINK("https://maps.google.com/?q=17.443321772742,-96.183656017791407", "🔗 Ver Mapa")</f>
        <v>🔗 Ver Mapa</v>
      </c>
    </row>
    <row r="5575" spans="1:12" ht="43.5" x14ac:dyDescent="0.35">
      <c r="A5575" s="5" t="s">
        <v>98</v>
      </c>
      <c r="B5575" s="5" t="s">
        <v>99</v>
      </c>
      <c r="C5575" s="5" t="s">
        <v>1106</v>
      </c>
      <c r="D5575" s="5" t="s">
        <v>14</v>
      </c>
      <c r="E5575" s="5" t="s">
        <v>90</v>
      </c>
      <c r="F5575" s="5" t="s">
        <v>678</v>
      </c>
      <c r="G5575" s="5" t="s">
        <v>1104</v>
      </c>
      <c r="H5575" s="5" t="s">
        <v>1107</v>
      </c>
      <c r="I5575" s="5" t="s">
        <v>31</v>
      </c>
      <c r="J5575" s="5">
        <v>17.443532862173001</v>
      </c>
      <c r="K5575" s="5">
        <v>-96.183139878896</v>
      </c>
      <c r="L5575" s="5" t="str">
        <f>HYPERLINK("https://maps.google.com/?q=17.443532862173,-96.183139878895503", "🔗 Ver Mapa")</f>
        <v>🔗 Ver Mapa</v>
      </c>
    </row>
    <row r="5576" spans="1:12" ht="43.5" x14ac:dyDescent="0.35">
      <c r="A5576" s="6" t="s">
        <v>98</v>
      </c>
      <c r="B5576" s="6" t="s">
        <v>99</v>
      </c>
      <c r="C5576" s="6" t="s">
        <v>1106</v>
      </c>
      <c r="D5576" s="6" t="s">
        <v>14</v>
      </c>
      <c r="E5576" s="6" t="s">
        <v>90</v>
      </c>
      <c r="F5576" s="6" t="s">
        <v>678</v>
      </c>
      <c r="G5576" s="6" t="s">
        <v>1104</v>
      </c>
      <c r="H5576" s="6" t="s">
        <v>1107</v>
      </c>
      <c r="I5576" s="6" t="s">
        <v>31</v>
      </c>
      <c r="J5576" s="6">
        <v>17.443750252741999</v>
      </c>
      <c r="K5576" s="6">
        <v>-96.181365766688003</v>
      </c>
      <c r="L5576" s="6" t="str">
        <f>HYPERLINK("https://maps.google.com/?q=17.443750252742,-96.181365766687506", "🔗 Ver Mapa")</f>
        <v>🔗 Ver Mapa</v>
      </c>
    </row>
    <row r="5577" spans="1:12" ht="43.5" x14ac:dyDescent="0.35">
      <c r="A5577" s="5" t="s">
        <v>98</v>
      </c>
      <c r="B5577" s="5" t="s">
        <v>99</v>
      </c>
      <c r="C5577" s="5" t="s">
        <v>1106</v>
      </c>
      <c r="D5577" s="5" t="s">
        <v>14</v>
      </c>
      <c r="E5577" s="5" t="s">
        <v>90</v>
      </c>
      <c r="F5577" s="5" t="s">
        <v>678</v>
      </c>
      <c r="G5577" s="5" t="s">
        <v>1104</v>
      </c>
      <c r="H5577" s="5" t="s">
        <v>1107</v>
      </c>
      <c r="I5577" s="5" t="s">
        <v>31</v>
      </c>
      <c r="J5577" s="5">
        <v>17.443865163312999</v>
      </c>
      <c r="K5577" s="5">
        <v>-96.182388155582998</v>
      </c>
      <c r="L5577" s="5" t="str">
        <f>HYPERLINK("https://maps.google.com/?q=17.4438651633134,-96.182388155582501", "🔗 Ver Mapa")</f>
        <v>🔗 Ver Mapa</v>
      </c>
    </row>
    <row r="5578" spans="1:12" ht="43.5" x14ac:dyDescent="0.35">
      <c r="A5578" s="6" t="s">
        <v>98</v>
      </c>
      <c r="B5578" s="6" t="s">
        <v>99</v>
      </c>
      <c r="C5578" s="6" t="s">
        <v>1106</v>
      </c>
      <c r="D5578" s="6" t="s">
        <v>14</v>
      </c>
      <c r="E5578" s="6" t="s">
        <v>90</v>
      </c>
      <c r="F5578" s="6" t="s">
        <v>678</v>
      </c>
      <c r="G5578" s="6" t="s">
        <v>1104</v>
      </c>
      <c r="H5578" s="6" t="s">
        <v>1107</v>
      </c>
      <c r="I5578" s="6" t="s">
        <v>31</v>
      </c>
      <c r="J5578" s="6">
        <v>17.443870721884998</v>
      </c>
      <c r="K5578" s="6">
        <v>-96.182297070000004</v>
      </c>
      <c r="L5578" s="6" t="str">
        <f>HYPERLINK("https://maps.google.com/?q=17.4438707218848,-96.182297070000203", "🔗 Ver Mapa")</f>
        <v>🔗 Ver Mapa</v>
      </c>
    </row>
    <row r="5579" spans="1:12" ht="43.5" x14ac:dyDescent="0.35">
      <c r="A5579" s="5" t="s">
        <v>98</v>
      </c>
      <c r="B5579" s="5" t="s">
        <v>99</v>
      </c>
      <c r="C5579" s="5" t="s">
        <v>1106</v>
      </c>
      <c r="D5579" s="5" t="s">
        <v>14</v>
      </c>
      <c r="E5579" s="5" t="s">
        <v>90</v>
      </c>
      <c r="F5579" s="5" t="s">
        <v>678</v>
      </c>
      <c r="G5579" s="5" t="s">
        <v>1104</v>
      </c>
      <c r="H5579" s="5" t="s">
        <v>1107</v>
      </c>
      <c r="I5579" s="5" t="s">
        <v>31</v>
      </c>
      <c r="J5579" s="5">
        <v>17.444103862742001</v>
      </c>
      <c r="K5579" s="5">
        <v>-96.182410248896005</v>
      </c>
      <c r="L5579" s="5" t="str">
        <f>HYPERLINK("https://maps.google.com/?q=17.444103862742,-96.182410248895806", "🔗 Ver Mapa")</f>
        <v>🔗 Ver Mapa</v>
      </c>
    </row>
    <row r="5580" spans="1:12" ht="43.5" x14ac:dyDescent="0.35">
      <c r="A5580" s="6" t="s">
        <v>98</v>
      </c>
      <c r="B5580" s="6" t="s">
        <v>99</v>
      </c>
      <c r="C5580" s="6" t="s">
        <v>1106</v>
      </c>
      <c r="D5580" s="6" t="s">
        <v>14</v>
      </c>
      <c r="E5580" s="6" t="s">
        <v>90</v>
      </c>
      <c r="F5580" s="6" t="s">
        <v>678</v>
      </c>
      <c r="G5580" s="6" t="s">
        <v>1104</v>
      </c>
      <c r="H5580" s="6" t="s">
        <v>1107</v>
      </c>
      <c r="I5580" s="6" t="s">
        <v>31</v>
      </c>
      <c r="J5580" s="6">
        <v>17.444130320448998</v>
      </c>
      <c r="K5580" s="6">
        <v>-96.182738446686997</v>
      </c>
      <c r="L5580" s="6" t="str">
        <f>HYPERLINK("https://maps.google.com/?q=17.444130320449,-96.182738446686997", "🔗 Ver Mapa")</f>
        <v>🔗 Ver Mapa</v>
      </c>
    </row>
    <row r="5581" spans="1:12" ht="43.5" x14ac:dyDescent="0.35">
      <c r="A5581" s="5" t="s">
        <v>98</v>
      </c>
      <c r="B5581" s="5" t="s">
        <v>99</v>
      </c>
      <c r="C5581" s="5" t="s">
        <v>1106</v>
      </c>
      <c r="D5581" s="5" t="s">
        <v>14</v>
      </c>
      <c r="E5581" s="5" t="s">
        <v>90</v>
      </c>
      <c r="F5581" s="5" t="s">
        <v>678</v>
      </c>
      <c r="G5581" s="5" t="s">
        <v>1104</v>
      </c>
      <c r="H5581" s="5" t="s">
        <v>1107</v>
      </c>
      <c r="I5581" s="5" t="s">
        <v>31</v>
      </c>
      <c r="J5581" s="5">
        <v>17.444272963317001</v>
      </c>
      <c r="K5581" s="5">
        <v>-96.183525317790995</v>
      </c>
      <c r="L5581" s="5" t="str">
        <f>HYPERLINK("https://maps.google.com/?q=17.4442729633165,-96.183525317791293", "🔗 Ver Mapa")</f>
        <v>🔗 Ver Mapa</v>
      </c>
    </row>
    <row r="5582" spans="1:12" ht="43.5" x14ac:dyDescent="0.35">
      <c r="A5582" s="6" t="s">
        <v>98</v>
      </c>
      <c r="B5582" s="6" t="s">
        <v>99</v>
      </c>
      <c r="C5582" s="6" t="s">
        <v>1106</v>
      </c>
      <c r="D5582" s="6" t="s">
        <v>14</v>
      </c>
      <c r="E5582" s="6" t="s">
        <v>90</v>
      </c>
      <c r="F5582" s="6" t="s">
        <v>678</v>
      </c>
      <c r="G5582" s="6" t="s">
        <v>1104</v>
      </c>
      <c r="H5582" s="6" t="s">
        <v>1107</v>
      </c>
      <c r="I5582" s="6" t="s">
        <v>31</v>
      </c>
      <c r="J5582" s="6">
        <v>17.444636973319</v>
      </c>
      <c r="K5582" s="6">
        <v>-96.182420607791002</v>
      </c>
      <c r="L5582" s="6" t="str">
        <f>HYPERLINK("https://maps.google.com/?q=17.444636973319,-96.1824206077914", "🔗 Ver Mapa")</f>
        <v>🔗 Ver Mapa</v>
      </c>
    </row>
    <row r="5583" spans="1:12" ht="43.5" x14ac:dyDescent="0.35">
      <c r="A5583" s="5" t="s">
        <v>98</v>
      </c>
      <c r="B5583" s="5" t="s">
        <v>99</v>
      </c>
      <c r="C5583" s="5" t="s">
        <v>1106</v>
      </c>
      <c r="D5583" s="5" t="s">
        <v>14</v>
      </c>
      <c r="E5583" s="5" t="s">
        <v>90</v>
      </c>
      <c r="F5583" s="5" t="s">
        <v>678</v>
      </c>
      <c r="G5583" s="5" t="s">
        <v>1104</v>
      </c>
      <c r="H5583" s="5" t="s">
        <v>1107</v>
      </c>
      <c r="I5583" s="5" t="s">
        <v>31</v>
      </c>
      <c r="J5583" s="5">
        <v>17.444648401588001</v>
      </c>
      <c r="K5583" s="5">
        <v>-96.183806337792007</v>
      </c>
      <c r="L5583" s="5" t="str">
        <f>HYPERLINK("https://maps.google.com/?q=17.4446484015883,-96.183806337791694", "🔗 Ver Mapa")</f>
        <v>🔗 Ver Mapa</v>
      </c>
    </row>
    <row r="5584" spans="1:12" ht="43.5" x14ac:dyDescent="0.35">
      <c r="A5584" s="6" t="s">
        <v>98</v>
      </c>
      <c r="B5584" s="6" t="s">
        <v>99</v>
      </c>
      <c r="C5584" s="6" t="s">
        <v>1106</v>
      </c>
      <c r="D5584" s="6" t="s">
        <v>14</v>
      </c>
      <c r="E5584" s="6" t="s">
        <v>90</v>
      </c>
      <c r="F5584" s="6" t="s">
        <v>678</v>
      </c>
      <c r="G5584" s="6" t="s">
        <v>1104</v>
      </c>
      <c r="H5584" s="6" t="s">
        <v>1107</v>
      </c>
      <c r="I5584" s="6" t="s">
        <v>31</v>
      </c>
      <c r="J5584" s="6">
        <v>17.44494315475</v>
      </c>
      <c r="K5584" s="6">
        <v>-96.186643324621002</v>
      </c>
      <c r="L5584" s="6" t="str">
        <f>HYPERLINK("https://maps.google.com/?q=17.4449431547496,-96.186643324621102", "🔗 Ver Mapa")</f>
        <v>🔗 Ver Mapa</v>
      </c>
    </row>
    <row r="5585" spans="1:12" ht="43.5" x14ac:dyDescent="0.35">
      <c r="A5585" s="5" t="s">
        <v>98</v>
      </c>
      <c r="B5585" s="5" t="s">
        <v>99</v>
      </c>
      <c r="C5585" s="5" t="s">
        <v>1106</v>
      </c>
      <c r="D5585" s="5" t="s">
        <v>14</v>
      </c>
      <c r="E5585" s="5" t="s">
        <v>90</v>
      </c>
      <c r="F5585" s="5" t="s">
        <v>678</v>
      </c>
      <c r="G5585" s="5" t="s">
        <v>1104</v>
      </c>
      <c r="H5585" s="5" t="s">
        <v>1107</v>
      </c>
      <c r="I5585" s="5" t="s">
        <v>31</v>
      </c>
      <c r="J5585" s="5">
        <v>17.445463580412</v>
      </c>
      <c r="K5585" s="5">
        <v>-96.183041418895996</v>
      </c>
      <c r="L5585" s="5" t="str">
        <f>HYPERLINK("https://maps.google.com/?q=17.4454635804119,-96.183041418896295", "🔗 Ver Mapa")</f>
        <v>🔗 Ver Mapa</v>
      </c>
    </row>
    <row r="5586" spans="1:12" ht="43.5" x14ac:dyDescent="0.35">
      <c r="A5586" s="6" t="s">
        <v>98</v>
      </c>
      <c r="B5586" s="6" t="s">
        <v>99</v>
      </c>
      <c r="C5586" s="6" t="s">
        <v>1106</v>
      </c>
      <c r="D5586" s="6" t="s">
        <v>14</v>
      </c>
      <c r="E5586" s="6" t="s">
        <v>90</v>
      </c>
      <c r="F5586" s="6" t="s">
        <v>678</v>
      </c>
      <c r="G5586" s="6" t="s">
        <v>1104</v>
      </c>
      <c r="H5586" s="6" t="s">
        <v>1107</v>
      </c>
      <c r="I5586" s="6" t="s">
        <v>31</v>
      </c>
      <c r="J5586" s="6">
        <v>17.445615214375</v>
      </c>
      <c r="K5586" s="6">
        <v>-96.185745049689999</v>
      </c>
      <c r="L5586" s="6" t="str">
        <f>HYPERLINK("https://maps.google.com/?q=17.4456152143748,-96.185745049689501", "🔗 Ver Mapa")</f>
        <v>🔗 Ver Mapa</v>
      </c>
    </row>
    <row r="5587" spans="1:12" ht="43.5" x14ac:dyDescent="0.35">
      <c r="A5587" s="5" t="s">
        <v>98</v>
      </c>
      <c r="B5587" s="5" t="s">
        <v>99</v>
      </c>
      <c r="C5587" s="5" t="s">
        <v>1106</v>
      </c>
      <c r="D5587" s="5" t="s">
        <v>14</v>
      </c>
      <c r="E5587" s="5" t="s">
        <v>90</v>
      </c>
      <c r="F5587" s="5" t="s">
        <v>678</v>
      </c>
      <c r="G5587" s="5" t="s">
        <v>1104</v>
      </c>
      <c r="H5587" s="5" t="s">
        <v>1107</v>
      </c>
      <c r="I5587" s="5" t="s">
        <v>31</v>
      </c>
      <c r="J5587" s="5">
        <v>17.446414682153002</v>
      </c>
      <c r="K5587" s="5">
        <v>-96.185146546685999</v>
      </c>
      <c r="L5587" s="5" t="str">
        <f>HYPERLINK("https://maps.google.com/?q=17.446414682153,-96.185146546686497", "🔗 Ver Mapa")</f>
        <v>🔗 Ver Mapa</v>
      </c>
    </row>
    <row r="5588" spans="1:12" ht="43.5" x14ac:dyDescent="0.35">
      <c r="A5588" s="6" t="s">
        <v>98</v>
      </c>
      <c r="B5588" s="6" t="s">
        <v>99</v>
      </c>
      <c r="C5588" s="6" t="s">
        <v>1106</v>
      </c>
      <c r="D5588" s="6" t="s">
        <v>14</v>
      </c>
      <c r="E5588" s="6" t="s">
        <v>90</v>
      </c>
      <c r="F5588" s="6" t="s">
        <v>678</v>
      </c>
      <c r="G5588" s="6" t="s">
        <v>1104</v>
      </c>
      <c r="H5588" s="6" t="s">
        <v>1107</v>
      </c>
      <c r="I5588" s="6" t="s">
        <v>31</v>
      </c>
      <c r="J5588" s="6">
        <v>17.446801792742999</v>
      </c>
      <c r="K5588" s="6">
        <v>-96.184456658895996</v>
      </c>
      <c r="L5588" s="6" t="str">
        <f>HYPERLINK("https://maps.google.com/?q=17.4468017927425,-96.184456658895996", "🔗 Ver Mapa")</f>
        <v>🔗 Ver Mapa</v>
      </c>
    </row>
    <row r="5589" spans="1:12" ht="43.5" x14ac:dyDescent="0.35">
      <c r="A5589" s="5" t="s">
        <v>98</v>
      </c>
      <c r="B5589" s="5" t="s">
        <v>99</v>
      </c>
      <c r="C5589" s="5" t="s">
        <v>1106</v>
      </c>
      <c r="D5589" s="5" t="s">
        <v>14</v>
      </c>
      <c r="E5589" s="5" t="s">
        <v>90</v>
      </c>
      <c r="F5589" s="5" t="s">
        <v>678</v>
      </c>
      <c r="G5589" s="5" t="s">
        <v>1104</v>
      </c>
      <c r="H5589" s="5" t="s">
        <v>1107</v>
      </c>
      <c r="I5589" s="5" t="s">
        <v>31</v>
      </c>
      <c r="J5589" s="5">
        <v>17.446820282156001</v>
      </c>
      <c r="K5589" s="5">
        <v>-96.185819947604003</v>
      </c>
      <c r="L5589" s="5" t="str">
        <f>HYPERLINK("https://maps.google.com/?q=17.4468202821561,-96.185819947604102", "🔗 Ver Mapa")</f>
        <v>🔗 Ver Mapa</v>
      </c>
    </row>
    <row r="5590" spans="1:12" ht="43.5" x14ac:dyDescent="0.35">
      <c r="A5590" s="6" t="s">
        <v>98</v>
      </c>
      <c r="B5590" s="6" t="s">
        <v>99</v>
      </c>
      <c r="C5590" s="6" t="s">
        <v>1106</v>
      </c>
      <c r="D5590" s="6" t="s">
        <v>14</v>
      </c>
      <c r="E5590" s="6" t="s">
        <v>90</v>
      </c>
      <c r="F5590" s="6" t="s">
        <v>678</v>
      </c>
      <c r="G5590" s="6" t="s">
        <v>1104</v>
      </c>
      <c r="H5590" s="6" t="s">
        <v>1107</v>
      </c>
      <c r="I5590" s="6" t="s">
        <v>31</v>
      </c>
      <c r="J5590" s="6">
        <v>17.447177396137999</v>
      </c>
      <c r="K5590" s="6">
        <v>-96.186556267349999</v>
      </c>
      <c r="L5590" s="6" t="str">
        <f>HYPERLINK("https://maps.google.com/?q=17.4471773961382,-96.186556267350198", "🔗 Ver Mapa")</f>
        <v>🔗 Ver Mapa</v>
      </c>
    </row>
    <row r="5591" spans="1:12" ht="43.5" x14ac:dyDescent="0.35">
      <c r="A5591" s="5" t="s">
        <v>98</v>
      </c>
      <c r="B5591" s="5" t="s">
        <v>99</v>
      </c>
      <c r="C5591" s="5" t="s">
        <v>1108</v>
      </c>
      <c r="D5591" s="5" t="s">
        <v>14</v>
      </c>
      <c r="E5591" s="5" t="s">
        <v>90</v>
      </c>
      <c r="F5591" s="5" t="s">
        <v>678</v>
      </c>
      <c r="G5591" s="5" t="s">
        <v>1104</v>
      </c>
      <c r="H5591" s="5" t="s">
        <v>1109</v>
      </c>
      <c r="I5591" s="5" t="s">
        <v>31</v>
      </c>
      <c r="J5591" s="5">
        <v>17.458821553421</v>
      </c>
      <c r="K5591" s="5">
        <v>-96.229557808896004</v>
      </c>
      <c r="L5591" s="5" t="str">
        <f>HYPERLINK("https://maps.google.com/?q=17.4588215534209,-96.229557808896104", "🔗 Ver Mapa")</f>
        <v>🔗 Ver Mapa</v>
      </c>
    </row>
    <row r="5592" spans="1:12" ht="43.5" x14ac:dyDescent="0.35">
      <c r="A5592" s="6" t="s">
        <v>98</v>
      </c>
      <c r="B5592" s="6" t="s">
        <v>99</v>
      </c>
      <c r="C5592" s="6" t="s">
        <v>1108</v>
      </c>
      <c r="D5592" s="6" t="s">
        <v>14</v>
      </c>
      <c r="E5592" s="6" t="s">
        <v>90</v>
      </c>
      <c r="F5592" s="6" t="s">
        <v>678</v>
      </c>
      <c r="G5592" s="6" t="s">
        <v>1104</v>
      </c>
      <c r="H5592" s="6" t="s">
        <v>1109</v>
      </c>
      <c r="I5592" s="6" t="s">
        <v>31</v>
      </c>
      <c r="J5592" s="6">
        <v>17.458921422744002</v>
      </c>
      <c r="K5592" s="6">
        <v>-96.230335457791</v>
      </c>
      <c r="L5592" s="6" t="str">
        <f>HYPERLINK("https://maps.google.com/?q=17.4589214227444,-96.230335457791497", "🔗 Ver Mapa")</f>
        <v>🔗 Ver Mapa</v>
      </c>
    </row>
    <row r="5593" spans="1:12" ht="43.5" x14ac:dyDescent="0.35">
      <c r="A5593" s="5" t="s">
        <v>98</v>
      </c>
      <c r="B5593" s="5" t="s">
        <v>99</v>
      </c>
      <c r="C5593" s="5" t="s">
        <v>1108</v>
      </c>
      <c r="D5593" s="5" t="s">
        <v>14</v>
      </c>
      <c r="E5593" s="5" t="s">
        <v>90</v>
      </c>
      <c r="F5593" s="5" t="s">
        <v>678</v>
      </c>
      <c r="G5593" s="5" t="s">
        <v>1104</v>
      </c>
      <c r="H5593" s="5" t="s">
        <v>1109</v>
      </c>
      <c r="I5593" s="5" t="s">
        <v>31</v>
      </c>
      <c r="J5593" s="5">
        <v>17.459195772744</v>
      </c>
      <c r="K5593" s="5">
        <v>-96.230501118896001</v>
      </c>
      <c r="L5593" s="5" t="str">
        <f>HYPERLINK("https://maps.google.com/?q=17.4591957727444,-96.2305011188962", "🔗 Ver Mapa")</f>
        <v>🔗 Ver Mapa</v>
      </c>
    </row>
    <row r="5594" spans="1:12" ht="43.5" x14ac:dyDescent="0.35">
      <c r="A5594" s="6" t="s">
        <v>98</v>
      </c>
      <c r="B5594" s="6" t="s">
        <v>99</v>
      </c>
      <c r="C5594" s="6" t="s">
        <v>1108</v>
      </c>
      <c r="D5594" s="6" t="s">
        <v>14</v>
      </c>
      <c r="E5594" s="6" t="s">
        <v>90</v>
      </c>
      <c r="F5594" s="6" t="s">
        <v>678</v>
      </c>
      <c r="G5594" s="6" t="s">
        <v>1104</v>
      </c>
      <c r="H5594" s="6" t="s">
        <v>1109</v>
      </c>
      <c r="I5594" s="6" t="s">
        <v>31</v>
      </c>
      <c r="J5594" s="6">
        <v>17.459226843423998</v>
      </c>
      <c r="K5594" s="6">
        <v>-96.232362831103998</v>
      </c>
      <c r="L5594" s="6" t="str">
        <f>HYPERLINK("https://maps.google.com/?q=17.4592268434239,-96.232362831104496", "🔗 Ver Mapa")</f>
        <v>🔗 Ver Mapa</v>
      </c>
    </row>
    <row r="5595" spans="1:12" ht="43.5" x14ac:dyDescent="0.35">
      <c r="A5595" s="5" t="s">
        <v>98</v>
      </c>
      <c r="B5595" s="5" t="s">
        <v>99</v>
      </c>
      <c r="C5595" s="5" t="s">
        <v>1108</v>
      </c>
      <c r="D5595" s="5" t="s">
        <v>14</v>
      </c>
      <c r="E5595" s="5" t="s">
        <v>90</v>
      </c>
      <c r="F5595" s="5" t="s">
        <v>678</v>
      </c>
      <c r="G5595" s="5" t="s">
        <v>1104</v>
      </c>
      <c r="H5595" s="5" t="s">
        <v>1109</v>
      </c>
      <c r="I5595" s="5" t="s">
        <v>31</v>
      </c>
      <c r="J5595" s="5">
        <v>17.459310193423999</v>
      </c>
      <c r="K5595" s="5">
        <v>-96.229619918896006</v>
      </c>
      <c r="L5595" s="5" t="str">
        <f>HYPERLINK("https://maps.google.com/?q=17.4593101934244,-96.229619918895906", "🔗 Ver Mapa")</f>
        <v>🔗 Ver Mapa</v>
      </c>
    </row>
    <row r="5596" spans="1:12" ht="43.5" x14ac:dyDescent="0.35">
      <c r="A5596" s="6" t="s">
        <v>98</v>
      </c>
      <c r="B5596" s="6" t="s">
        <v>99</v>
      </c>
      <c r="C5596" s="6" t="s">
        <v>1108</v>
      </c>
      <c r="D5596" s="6" t="s">
        <v>14</v>
      </c>
      <c r="E5596" s="6" t="s">
        <v>90</v>
      </c>
      <c r="F5596" s="6" t="s">
        <v>678</v>
      </c>
      <c r="G5596" s="6" t="s">
        <v>1104</v>
      </c>
      <c r="H5596" s="6" t="s">
        <v>1109</v>
      </c>
      <c r="I5596" s="6" t="s">
        <v>31</v>
      </c>
      <c r="J5596" s="6">
        <v>17.459364392745002</v>
      </c>
      <c r="K5596" s="6">
        <v>-96.229857808896</v>
      </c>
      <c r="L5596" s="6" t="str">
        <f>HYPERLINK("https://maps.google.com/?q=17.4593643927446,-96.2298578088959", "🔗 Ver Mapa")</f>
        <v>🔗 Ver Mapa</v>
      </c>
    </row>
    <row r="5597" spans="1:12" ht="43.5" x14ac:dyDescent="0.35">
      <c r="A5597" s="5" t="s">
        <v>98</v>
      </c>
      <c r="B5597" s="5" t="s">
        <v>99</v>
      </c>
      <c r="C5597" s="5" t="s">
        <v>1108</v>
      </c>
      <c r="D5597" s="5" t="s">
        <v>14</v>
      </c>
      <c r="E5597" s="5" t="s">
        <v>90</v>
      </c>
      <c r="F5597" s="5" t="s">
        <v>678</v>
      </c>
      <c r="G5597" s="5" t="s">
        <v>1104</v>
      </c>
      <c r="H5597" s="5" t="s">
        <v>1109</v>
      </c>
      <c r="I5597" s="5" t="s">
        <v>31</v>
      </c>
      <c r="J5597" s="5">
        <v>17.459367824785001</v>
      </c>
      <c r="K5597" s="5">
        <v>-96.231701988896006</v>
      </c>
      <c r="L5597" s="5" t="str">
        <f>HYPERLINK("https://maps.google.com/?q=17.4593678247853,-96.231701988896205", "🔗 Ver Mapa")</f>
        <v>🔗 Ver Mapa</v>
      </c>
    </row>
    <row r="5598" spans="1:12" ht="43.5" x14ac:dyDescent="0.35">
      <c r="A5598" s="6" t="s">
        <v>98</v>
      </c>
      <c r="B5598" s="6" t="s">
        <v>99</v>
      </c>
      <c r="C5598" s="6" t="s">
        <v>1108</v>
      </c>
      <c r="D5598" s="6" t="s">
        <v>14</v>
      </c>
      <c r="E5598" s="6" t="s">
        <v>90</v>
      </c>
      <c r="F5598" s="6" t="s">
        <v>678</v>
      </c>
      <c r="G5598" s="6" t="s">
        <v>1104</v>
      </c>
      <c r="H5598" s="6" t="s">
        <v>1109</v>
      </c>
      <c r="I5598" s="6" t="s">
        <v>31</v>
      </c>
      <c r="J5598" s="6">
        <v>17.459587385942001</v>
      </c>
      <c r="K5598" s="6">
        <v>-96.229156263159993</v>
      </c>
      <c r="L5598" s="6" t="str">
        <f>HYPERLINK("https://maps.google.com/?q=17.459587385942,-96.229156263160405", "🔗 Ver Mapa")</f>
        <v>🔗 Ver Mapa</v>
      </c>
    </row>
    <row r="5599" spans="1:12" ht="43.5" x14ac:dyDescent="0.35">
      <c r="A5599" s="5" t="s">
        <v>98</v>
      </c>
      <c r="B5599" s="5" t="s">
        <v>99</v>
      </c>
      <c r="C5599" s="5" t="s">
        <v>1108</v>
      </c>
      <c r="D5599" s="5" t="s">
        <v>14</v>
      </c>
      <c r="E5599" s="5" t="s">
        <v>90</v>
      </c>
      <c r="F5599" s="5" t="s">
        <v>678</v>
      </c>
      <c r="G5599" s="5" t="s">
        <v>1104</v>
      </c>
      <c r="H5599" s="5" t="s">
        <v>1109</v>
      </c>
      <c r="I5599" s="5" t="s">
        <v>31</v>
      </c>
      <c r="J5599" s="5">
        <v>17.459707533427</v>
      </c>
      <c r="K5599" s="5">
        <v>-96.230791147792004</v>
      </c>
      <c r="L5599" s="5" t="str">
        <f>HYPERLINK("https://maps.google.com/?q=17.4597075334272,-96.230791147791706", "🔗 Ver Mapa")</f>
        <v>🔗 Ver Mapa</v>
      </c>
    </row>
    <row r="5600" spans="1:12" ht="43.5" x14ac:dyDescent="0.35">
      <c r="A5600" s="6" t="s">
        <v>98</v>
      </c>
      <c r="B5600" s="6" t="s">
        <v>99</v>
      </c>
      <c r="C5600" s="6" t="s">
        <v>1108</v>
      </c>
      <c r="D5600" s="6" t="s">
        <v>14</v>
      </c>
      <c r="E5600" s="6" t="s">
        <v>90</v>
      </c>
      <c r="F5600" s="6" t="s">
        <v>678</v>
      </c>
      <c r="G5600" s="6" t="s">
        <v>1104</v>
      </c>
      <c r="H5600" s="6" t="s">
        <v>1109</v>
      </c>
      <c r="I5600" s="6" t="s">
        <v>31</v>
      </c>
      <c r="J5600" s="6">
        <v>17.459831679636999</v>
      </c>
      <c r="K5600" s="6">
        <v>-96.230938554660995</v>
      </c>
      <c r="L5600" s="6" t="str">
        <f>HYPERLINK("https://maps.google.com/?q=17.4598316796374,-96.230938554661094", "🔗 Ver Mapa")</f>
        <v>🔗 Ver Mapa</v>
      </c>
    </row>
    <row r="5601" spans="1:12" ht="43.5" x14ac:dyDescent="0.35">
      <c r="A5601" s="5" t="s">
        <v>98</v>
      </c>
      <c r="B5601" s="5" t="s">
        <v>99</v>
      </c>
      <c r="C5601" s="5" t="s">
        <v>1108</v>
      </c>
      <c r="D5601" s="5" t="s">
        <v>14</v>
      </c>
      <c r="E5601" s="5" t="s">
        <v>90</v>
      </c>
      <c r="F5601" s="5" t="s">
        <v>678</v>
      </c>
      <c r="G5601" s="5" t="s">
        <v>1104</v>
      </c>
      <c r="H5601" s="5" t="s">
        <v>1109</v>
      </c>
      <c r="I5601" s="5" t="s">
        <v>31</v>
      </c>
      <c r="J5601" s="5">
        <v>17.460282751371</v>
      </c>
      <c r="K5601" s="5">
        <v>-96.231526788896005</v>
      </c>
      <c r="L5601" s="5" t="str">
        <f>HYPERLINK("https://maps.google.com/?q=17.4602827513714,-96.231526788896403", "🔗 Ver Mapa")</f>
        <v>🔗 Ver Mapa</v>
      </c>
    </row>
    <row r="5602" spans="1:12" ht="43.5" x14ac:dyDescent="0.35">
      <c r="A5602" s="6" t="s">
        <v>98</v>
      </c>
      <c r="B5602" s="6" t="s">
        <v>99</v>
      </c>
      <c r="C5602" s="6" t="s">
        <v>1108</v>
      </c>
      <c r="D5602" s="6" t="s">
        <v>14</v>
      </c>
      <c r="E5602" s="6" t="s">
        <v>90</v>
      </c>
      <c r="F5602" s="6" t="s">
        <v>678</v>
      </c>
      <c r="G5602" s="6" t="s">
        <v>1104</v>
      </c>
      <c r="H5602" s="6" t="s">
        <v>1109</v>
      </c>
      <c r="I5602" s="6" t="s">
        <v>31</v>
      </c>
      <c r="J5602" s="6">
        <v>17.460574919990002</v>
      </c>
      <c r="K5602" s="6">
        <v>-96.231111461105002</v>
      </c>
      <c r="L5602" s="6" t="str">
        <f>HYPERLINK("https://maps.google.com/?q=17.4605749199899,-96.231111461104902", "🔗 Ver Mapa")</f>
        <v>🔗 Ver Mapa</v>
      </c>
    </row>
    <row r="5603" spans="1:12" ht="43.5" x14ac:dyDescent="0.35">
      <c r="A5603" s="5" t="s">
        <v>98</v>
      </c>
      <c r="B5603" s="5" t="s">
        <v>99</v>
      </c>
      <c r="C5603" s="5" t="s">
        <v>1108</v>
      </c>
      <c r="D5603" s="5" t="s">
        <v>14</v>
      </c>
      <c r="E5603" s="5" t="s">
        <v>90</v>
      </c>
      <c r="F5603" s="5" t="s">
        <v>678</v>
      </c>
      <c r="G5603" s="5" t="s">
        <v>1104</v>
      </c>
      <c r="H5603" s="5" t="s">
        <v>1109</v>
      </c>
      <c r="I5603" s="5" t="s">
        <v>31</v>
      </c>
      <c r="J5603" s="5">
        <v>17.46141827344</v>
      </c>
      <c r="K5603" s="5">
        <v>-96.231685151104998</v>
      </c>
      <c r="L5603" s="5" t="str">
        <f>HYPERLINK("https://maps.google.com/?q=17.4614182734397,-96.2316851511045", "🔗 Ver Mapa")</f>
        <v>🔗 Ver Mapa</v>
      </c>
    </row>
    <row r="5604" spans="1:12" ht="43.5" x14ac:dyDescent="0.35">
      <c r="A5604" s="6" t="s">
        <v>98</v>
      </c>
      <c r="B5604" s="6" t="s">
        <v>99</v>
      </c>
      <c r="C5604" s="6" t="s">
        <v>1108</v>
      </c>
      <c r="D5604" s="6" t="s">
        <v>14</v>
      </c>
      <c r="E5604" s="6" t="s">
        <v>90</v>
      </c>
      <c r="F5604" s="6" t="s">
        <v>678</v>
      </c>
      <c r="G5604" s="6" t="s">
        <v>1104</v>
      </c>
      <c r="H5604" s="6" t="s">
        <v>1109</v>
      </c>
      <c r="I5604" s="6" t="s">
        <v>31</v>
      </c>
      <c r="J5604" s="6">
        <v>17.461900570651</v>
      </c>
      <c r="K5604" s="6">
        <v>-96.231971577791001</v>
      </c>
      <c r="L5604" s="6" t="str">
        <f>HYPERLINK("https://maps.google.com/?q=17.4619005706508,-96.231971577791299", "🔗 Ver Mapa")</f>
        <v>🔗 Ver Mapa</v>
      </c>
    </row>
    <row r="5605" spans="1:12" ht="43.5" x14ac:dyDescent="0.35">
      <c r="A5605" s="5" t="s">
        <v>98</v>
      </c>
      <c r="B5605" s="5" t="s">
        <v>99</v>
      </c>
      <c r="C5605" s="5" t="s">
        <v>1108</v>
      </c>
      <c r="D5605" s="5" t="s">
        <v>14</v>
      </c>
      <c r="E5605" s="5" t="s">
        <v>90</v>
      </c>
      <c r="F5605" s="5" t="s">
        <v>678</v>
      </c>
      <c r="G5605" s="5" t="s">
        <v>1104</v>
      </c>
      <c r="H5605" s="5" t="s">
        <v>1109</v>
      </c>
      <c r="I5605" s="5" t="s">
        <v>31</v>
      </c>
      <c r="J5605" s="5">
        <v>17.462090781345999</v>
      </c>
      <c r="K5605" s="5">
        <v>-96.231641346686999</v>
      </c>
      <c r="L5605" s="5" t="str">
        <f>HYPERLINK("https://maps.google.com/?q=17.4620907813464,-96.231641346687098", "🔗 Ver Mapa")</f>
        <v>🔗 Ver Mapa</v>
      </c>
    </row>
    <row r="5606" spans="1:12" ht="43.5" x14ac:dyDescent="0.35">
      <c r="A5606" s="6" t="s">
        <v>98</v>
      </c>
      <c r="B5606" s="6" t="s">
        <v>99</v>
      </c>
      <c r="C5606" s="6" t="s">
        <v>1108</v>
      </c>
      <c r="D5606" s="6" t="s">
        <v>14</v>
      </c>
      <c r="E5606" s="6" t="s">
        <v>90</v>
      </c>
      <c r="F5606" s="6" t="s">
        <v>678</v>
      </c>
      <c r="G5606" s="6" t="s">
        <v>1104</v>
      </c>
      <c r="H5606" s="6" t="s">
        <v>1109</v>
      </c>
      <c r="I5606" s="6" t="s">
        <v>31</v>
      </c>
      <c r="J5606" s="6">
        <v>17.462286501344</v>
      </c>
      <c r="K5606" s="6">
        <v>-96.231827698895998</v>
      </c>
      <c r="L5606" s="6" t="str">
        <f>HYPERLINK("https://maps.google.com/?q=17.4622865013436,-96.231827698895998", "🔗 Ver Mapa")</f>
        <v>🔗 Ver Mapa</v>
      </c>
    </row>
    <row r="5607" spans="1:12" ht="43.5" x14ac:dyDescent="0.35">
      <c r="A5607" s="5" t="s">
        <v>98</v>
      </c>
      <c r="B5607" s="5" t="s">
        <v>99</v>
      </c>
      <c r="C5607" s="5" t="s">
        <v>1108</v>
      </c>
      <c r="D5607" s="5" t="s">
        <v>14</v>
      </c>
      <c r="E5607" s="5" t="s">
        <v>90</v>
      </c>
      <c r="F5607" s="5" t="s">
        <v>678</v>
      </c>
      <c r="G5607" s="5" t="s">
        <v>1104</v>
      </c>
      <c r="H5607" s="5" t="s">
        <v>1109</v>
      </c>
      <c r="I5607" s="5" t="s">
        <v>31</v>
      </c>
      <c r="J5607" s="5">
        <v>17.462339121343</v>
      </c>
      <c r="K5607" s="5">
        <v>-96.232110678896007</v>
      </c>
      <c r="L5607" s="5" t="str">
        <f>HYPERLINK("https://maps.google.com/?q=17.4623391213429,-96.232110678896007", "🔗 Ver Mapa")</f>
        <v>🔗 Ver Mapa</v>
      </c>
    </row>
    <row r="5608" spans="1:12" ht="43.5" x14ac:dyDescent="0.35">
      <c r="A5608" s="6" t="s">
        <v>98</v>
      </c>
      <c r="B5608" s="6" t="s">
        <v>99</v>
      </c>
      <c r="C5608" s="6" t="s">
        <v>1108</v>
      </c>
      <c r="D5608" s="6" t="s">
        <v>14</v>
      </c>
      <c r="E5608" s="6" t="s">
        <v>90</v>
      </c>
      <c r="F5608" s="6" t="s">
        <v>678</v>
      </c>
      <c r="G5608" s="6" t="s">
        <v>1104</v>
      </c>
      <c r="H5608" s="6" t="s">
        <v>1109</v>
      </c>
      <c r="I5608" s="6" t="s">
        <v>31</v>
      </c>
      <c r="J5608" s="6">
        <v>17.462449052042999</v>
      </c>
      <c r="K5608" s="6">
        <v>-96.232205177791002</v>
      </c>
      <c r="L5608" s="6" t="str">
        <f>HYPERLINK("https://maps.google.com/?q=17.4624490520433,-96.2322051777914", "🔗 Ver Mapa")</f>
        <v>🔗 Ver Mapa</v>
      </c>
    </row>
    <row r="5609" spans="1:12" ht="43.5" x14ac:dyDescent="0.35">
      <c r="A5609" s="5" t="s">
        <v>98</v>
      </c>
      <c r="B5609" s="5" t="s">
        <v>99</v>
      </c>
      <c r="C5609" s="5" t="s">
        <v>1110</v>
      </c>
      <c r="D5609" s="5" t="s">
        <v>14</v>
      </c>
      <c r="E5609" s="5" t="s">
        <v>90</v>
      </c>
      <c r="F5609" s="5" t="s">
        <v>678</v>
      </c>
      <c r="G5609" s="5" t="s">
        <v>1104</v>
      </c>
      <c r="H5609" s="5" t="s">
        <v>1111</v>
      </c>
      <c r="I5609" s="5" t="s">
        <v>31</v>
      </c>
      <c r="J5609" s="5">
        <v>17.547868950929999</v>
      </c>
      <c r="K5609" s="5">
        <v>-96.223253152115007</v>
      </c>
      <c r="L5609" s="5" t="str">
        <f>HYPERLINK("https://maps.google.com/?q=17.5478689509297,-96.223253152114907", "🔗 Ver Mapa")</f>
        <v>🔗 Ver Mapa</v>
      </c>
    </row>
    <row r="5610" spans="1:12" ht="43.5" x14ac:dyDescent="0.35">
      <c r="A5610" s="6" t="s">
        <v>98</v>
      </c>
      <c r="B5610" s="6" t="s">
        <v>99</v>
      </c>
      <c r="C5610" s="6" t="s">
        <v>1110</v>
      </c>
      <c r="D5610" s="6" t="s">
        <v>14</v>
      </c>
      <c r="E5610" s="6" t="s">
        <v>90</v>
      </c>
      <c r="F5610" s="6" t="s">
        <v>678</v>
      </c>
      <c r="G5610" s="6" t="s">
        <v>1104</v>
      </c>
      <c r="H5610" s="6" t="s">
        <v>1111</v>
      </c>
      <c r="I5610" s="6" t="s">
        <v>31</v>
      </c>
      <c r="J5610" s="6">
        <v>17.548169474607999</v>
      </c>
      <c r="K5610" s="6">
        <v>-96.223270127291002</v>
      </c>
      <c r="L5610" s="6" t="str">
        <f>HYPERLINK("https://maps.google.com/?q=17.5481694746077,-96.223270127290803", "🔗 Ver Mapa")</f>
        <v>🔗 Ver Mapa</v>
      </c>
    </row>
    <row r="5611" spans="1:12" ht="43.5" x14ac:dyDescent="0.35">
      <c r="A5611" s="5" t="s">
        <v>98</v>
      </c>
      <c r="B5611" s="5" t="s">
        <v>99</v>
      </c>
      <c r="C5611" s="5" t="s">
        <v>1110</v>
      </c>
      <c r="D5611" s="5" t="s">
        <v>14</v>
      </c>
      <c r="E5611" s="5" t="s">
        <v>90</v>
      </c>
      <c r="F5611" s="5" t="s">
        <v>678</v>
      </c>
      <c r="G5611" s="5" t="s">
        <v>1104</v>
      </c>
      <c r="H5611" s="5" t="s">
        <v>1111</v>
      </c>
      <c r="I5611" s="5" t="s">
        <v>31</v>
      </c>
      <c r="J5611" s="5">
        <v>17.548269214489999</v>
      </c>
      <c r="K5611" s="5">
        <v>-96.222945583992001</v>
      </c>
      <c r="L5611" s="5" t="str">
        <f>HYPERLINK("https://maps.google.com/?q=17.54826921449,-96.222945583992001", "🔗 Ver Mapa")</f>
        <v>🔗 Ver Mapa</v>
      </c>
    </row>
    <row r="5612" spans="1:12" ht="43.5" x14ac:dyDescent="0.35">
      <c r="A5612" s="6" t="s">
        <v>98</v>
      </c>
      <c r="B5612" s="6" t="s">
        <v>99</v>
      </c>
      <c r="C5612" s="6" t="s">
        <v>1110</v>
      </c>
      <c r="D5612" s="6" t="s">
        <v>14</v>
      </c>
      <c r="E5612" s="6" t="s">
        <v>90</v>
      </c>
      <c r="F5612" s="6" t="s">
        <v>678</v>
      </c>
      <c r="G5612" s="6" t="s">
        <v>1104</v>
      </c>
      <c r="H5612" s="6" t="s">
        <v>1111</v>
      </c>
      <c r="I5612" s="6" t="s">
        <v>31</v>
      </c>
      <c r="J5612" s="6">
        <v>17.548482445156999</v>
      </c>
      <c r="K5612" s="6">
        <v>-96.223312703041003</v>
      </c>
      <c r="L5612" s="6" t="str">
        <f>HYPERLINK("https://maps.google.com/?q=17.5484824451566,-96.223312703041003", "🔗 Ver Mapa")</f>
        <v>🔗 Ver Mapa</v>
      </c>
    </row>
    <row r="5613" spans="1:12" ht="43.5" x14ac:dyDescent="0.35">
      <c r="A5613" s="5" t="s">
        <v>98</v>
      </c>
      <c r="B5613" s="5" t="s">
        <v>99</v>
      </c>
      <c r="C5613" s="5" t="s">
        <v>1110</v>
      </c>
      <c r="D5613" s="5" t="s">
        <v>14</v>
      </c>
      <c r="E5613" s="5" t="s">
        <v>90</v>
      </c>
      <c r="F5613" s="5" t="s">
        <v>678</v>
      </c>
      <c r="G5613" s="5" t="s">
        <v>1104</v>
      </c>
      <c r="H5613" s="5" t="s">
        <v>1111</v>
      </c>
      <c r="I5613" s="5" t="s">
        <v>31</v>
      </c>
      <c r="J5613" s="5">
        <v>17.549375608685999</v>
      </c>
      <c r="K5613" s="5">
        <v>-96.222063780873995</v>
      </c>
      <c r="L5613" s="5" t="str">
        <f>HYPERLINK("https://maps.google.com/?q=17.5493756086862,-96.222063780873697", "🔗 Ver Mapa")</f>
        <v>🔗 Ver Mapa</v>
      </c>
    </row>
    <row r="5614" spans="1:12" ht="43.5" x14ac:dyDescent="0.35">
      <c r="A5614" s="6" t="s">
        <v>98</v>
      </c>
      <c r="B5614" s="6" t="s">
        <v>99</v>
      </c>
      <c r="C5614" s="6" t="s">
        <v>1110</v>
      </c>
      <c r="D5614" s="6" t="s">
        <v>14</v>
      </c>
      <c r="E5614" s="6" t="s">
        <v>90</v>
      </c>
      <c r="F5614" s="6" t="s">
        <v>678</v>
      </c>
      <c r="G5614" s="6" t="s">
        <v>1104</v>
      </c>
      <c r="H5614" s="6" t="s">
        <v>1111</v>
      </c>
      <c r="I5614" s="6" t="s">
        <v>31</v>
      </c>
      <c r="J5614" s="6">
        <v>17.549908970202001</v>
      </c>
      <c r="K5614" s="6">
        <v>-96.221478348548999</v>
      </c>
      <c r="L5614" s="6" t="str">
        <f>HYPERLINK("https://maps.google.com/?q=17.5499089702018,-96.221478348548899", "🔗 Ver Mapa")</f>
        <v>🔗 Ver Mapa</v>
      </c>
    </row>
    <row r="5615" spans="1:12" ht="43.5" x14ac:dyDescent="0.35">
      <c r="A5615" s="5" t="s">
        <v>98</v>
      </c>
      <c r="B5615" s="5" t="s">
        <v>99</v>
      </c>
      <c r="C5615" s="5" t="s">
        <v>1110</v>
      </c>
      <c r="D5615" s="5" t="s">
        <v>14</v>
      </c>
      <c r="E5615" s="5" t="s">
        <v>90</v>
      </c>
      <c r="F5615" s="5" t="s">
        <v>678</v>
      </c>
      <c r="G5615" s="5" t="s">
        <v>1104</v>
      </c>
      <c r="H5615" s="5" t="s">
        <v>1111</v>
      </c>
      <c r="I5615" s="5" t="s">
        <v>31</v>
      </c>
      <c r="J5615" s="5">
        <v>17.550479899999999</v>
      </c>
      <c r="K5615" s="5">
        <v>-96.221780480000007</v>
      </c>
      <c r="L5615" s="5" t="str">
        <f>HYPERLINK("https://maps.google.com/?q=17.5504799,-96.221780480000007", "🔗 Ver Mapa")</f>
        <v>🔗 Ver Mapa</v>
      </c>
    </row>
    <row r="5616" spans="1:12" ht="43.5" x14ac:dyDescent="0.35">
      <c r="A5616" s="6" t="s">
        <v>98</v>
      </c>
      <c r="B5616" s="6" t="s">
        <v>99</v>
      </c>
      <c r="C5616" s="6" t="s">
        <v>1110</v>
      </c>
      <c r="D5616" s="6" t="s">
        <v>14</v>
      </c>
      <c r="E5616" s="6" t="s">
        <v>90</v>
      </c>
      <c r="F5616" s="6" t="s">
        <v>678</v>
      </c>
      <c r="G5616" s="6" t="s">
        <v>1104</v>
      </c>
      <c r="H5616" s="6" t="s">
        <v>1111</v>
      </c>
      <c r="I5616" s="6" t="s">
        <v>31</v>
      </c>
      <c r="J5616" s="6">
        <v>17.550777167502002</v>
      </c>
      <c r="K5616" s="6">
        <v>-96.221782267527999</v>
      </c>
      <c r="L5616" s="6" t="str">
        <f>HYPERLINK("https://maps.google.com/?q=17.5507771675017,-96.221782267528496", "🔗 Ver Mapa")</f>
        <v>🔗 Ver Mapa</v>
      </c>
    </row>
    <row r="5617" spans="1:12" ht="43.5" x14ac:dyDescent="0.35">
      <c r="A5617" s="5" t="s">
        <v>98</v>
      </c>
      <c r="B5617" s="5" t="s">
        <v>99</v>
      </c>
      <c r="C5617" s="5" t="s">
        <v>1110</v>
      </c>
      <c r="D5617" s="5" t="s">
        <v>14</v>
      </c>
      <c r="E5617" s="5" t="s">
        <v>90</v>
      </c>
      <c r="F5617" s="5" t="s">
        <v>678</v>
      </c>
      <c r="G5617" s="5" t="s">
        <v>1104</v>
      </c>
      <c r="H5617" s="5" t="s">
        <v>1111</v>
      </c>
      <c r="I5617" s="5" t="s">
        <v>31</v>
      </c>
      <c r="J5617" s="5">
        <v>17.550819390596001</v>
      </c>
      <c r="K5617" s="5">
        <v>-96.223855672282994</v>
      </c>
      <c r="L5617" s="5" t="str">
        <f>HYPERLINK("https://maps.google.com/?q=17.5508193905962,-96.223855672283094", "🔗 Ver Mapa")</f>
        <v>🔗 Ver Mapa</v>
      </c>
    </row>
    <row r="5618" spans="1:12" ht="43.5" x14ac:dyDescent="0.35">
      <c r="A5618" s="6" t="s">
        <v>98</v>
      </c>
      <c r="B5618" s="6" t="s">
        <v>99</v>
      </c>
      <c r="C5618" s="6" t="s">
        <v>1110</v>
      </c>
      <c r="D5618" s="6" t="s">
        <v>14</v>
      </c>
      <c r="E5618" s="6" t="s">
        <v>90</v>
      </c>
      <c r="F5618" s="6" t="s">
        <v>678</v>
      </c>
      <c r="G5618" s="6" t="s">
        <v>1104</v>
      </c>
      <c r="H5618" s="6" t="s">
        <v>1111</v>
      </c>
      <c r="I5618" s="6" t="s">
        <v>31</v>
      </c>
      <c r="J5618" s="6">
        <v>17.551054882925001</v>
      </c>
      <c r="K5618" s="6">
        <v>-96.225885690767996</v>
      </c>
      <c r="L5618" s="6" t="str">
        <f>HYPERLINK("https://maps.google.com/?q=17.5510548829247,-96.225885690768195", "🔗 Ver Mapa")</f>
        <v>🔗 Ver Mapa</v>
      </c>
    </row>
    <row r="5619" spans="1:12" ht="43.5" x14ac:dyDescent="0.35">
      <c r="A5619" s="5" t="s">
        <v>98</v>
      </c>
      <c r="B5619" s="5" t="s">
        <v>99</v>
      </c>
      <c r="C5619" s="5" t="s">
        <v>1110</v>
      </c>
      <c r="D5619" s="5" t="s">
        <v>14</v>
      </c>
      <c r="E5619" s="5" t="s">
        <v>90</v>
      </c>
      <c r="F5619" s="5" t="s">
        <v>678</v>
      </c>
      <c r="G5619" s="5" t="s">
        <v>1104</v>
      </c>
      <c r="H5619" s="5" t="s">
        <v>1111</v>
      </c>
      <c r="I5619" s="5" t="s">
        <v>31</v>
      </c>
      <c r="J5619" s="5">
        <v>17.551118298469</v>
      </c>
      <c r="K5619" s="5">
        <v>-96.225673699406002</v>
      </c>
      <c r="L5619" s="5" t="str">
        <f>HYPERLINK("https://maps.google.com/?q=17.5511182984687,-96.225673699405505", "🔗 Ver Mapa")</f>
        <v>🔗 Ver Mapa</v>
      </c>
    </row>
    <row r="5620" spans="1:12" ht="43.5" x14ac:dyDescent="0.35">
      <c r="A5620" s="6" t="s">
        <v>98</v>
      </c>
      <c r="B5620" s="6" t="s">
        <v>99</v>
      </c>
      <c r="C5620" s="6" t="s">
        <v>1110</v>
      </c>
      <c r="D5620" s="6" t="s">
        <v>14</v>
      </c>
      <c r="E5620" s="6" t="s">
        <v>90</v>
      </c>
      <c r="F5620" s="6" t="s">
        <v>678</v>
      </c>
      <c r="G5620" s="6" t="s">
        <v>1104</v>
      </c>
      <c r="H5620" s="6" t="s">
        <v>1111</v>
      </c>
      <c r="I5620" s="6" t="s">
        <v>31</v>
      </c>
      <c r="J5620" s="6">
        <v>17.551394722118999</v>
      </c>
      <c r="K5620" s="6">
        <v>-96.222588210975999</v>
      </c>
      <c r="L5620" s="6" t="str">
        <f>HYPERLINK("https://maps.google.com/?q=17.5513947221192,-96.222588210975701", "🔗 Ver Mapa")</f>
        <v>🔗 Ver Mapa</v>
      </c>
    </row>
    <row r="5621" spans="1:12" ht="43.5" x14ac:dyDescent="0.35">
      <c r="A5621" s="5" t="s">
        <v>98</v>
      </c>
      <c r="B5621" s="5" t="s">
        <v>99</v>
      </c>
      <c r="C5621" s="5" t="s">
        <v>1110</v>
      </c>
      <c r="D5621" s="5" t="s">
        <v>14</v>
      </c>
      <c r="E5621" s="5" t="s">
        <v>90</v>
      </c>
      <c r="F5621" s="5" t="s">
        <v>678</v>
      </c>
      <c r="G5621" s="5" t="s">
        <v>1104</v>
      </c>
      <c r="H5621" s="5" t="s">
        <v>1111</v>
      </c>
      <c r="I5621" s="5" t="s">
        <v>31</v>
      </c>
      <c r="J5621" s="5">
        <v>17.551450348955001</v>
      </c>
      <c r="K5621" s="5">
        <v>-96.226078221880996</v>
      </c>
      <c r="L5621" s="5" t="str">
        <f>HYPERLINK("https://maps.google.com/?q=17.5514503489551,-96.226078221881494", "🔗 Ver Mapa")</f>
        <v>🔗 Ver Mapa</v>
      </c>
    </row>
    <row r="5622" spans="1:12" ht="43.5" x14ac:dyDescent="0.35">
      <c r="A5622" s="6" t="s">
        <v>98</v>
      </c>
      <c r="B5622" s="6" t="s">
        <v>99</v>
      </c>
      <c r="C5622" s="6" t="s">
        <v>1110</v>
      </c>
      <c r="D5622" s="6" t="s">
        <v>14</v>
      </c>
      <c r="E5622" s="6" t="s">
        <v>90</v>
      </c>
      <c r="F5622" s="6" t="s">
        <v>678</v>
      </c>
      <c r="G5622" s="6" t="s">
        <v>1104</v>
      </c>
      <c r="H5622" s="6" t="s">
        <v>1111</v>
      </c>
      <c r="I5622" s="6" t="s">
        <v>31</v>
      </c>
      <c r="J5622" s="6">
        <v>17.551632837669001</v>
      </c>
      <c r="K5622" s="6">
        <v>-96.224913385250005</v>
      </c>
      <c r="L5622" s="6" t="str">
        <f>HYPERLINK("https://maps.google.com/?q=17.5516328376691,-96.224913385250005", "🔗 Ver Mapa")</f>
        <v>🔗 Ver Mapa</v>
      </c>
    </row>
    <row r="5623" spans="1:12" ht="43.5" x14ac:dyDescent="0.35">
      <c r="A5623" s="5" t="s">
        <v>98</v>
      </c>
      <c r="B5623" s="5" t="s">
        <v>99</v>
      </c>
      <c r="C5623" s="5" t="s">
        <v>1110</v>
      </c>
      <c r="D5623" s="5" t="s">
        <v>14</v>
      </c>
      <c r="E5623" s="5" t="s">
        <v>90</v>
      </c>
      <c r="F5623" s="5" t="s">
        <v>678</v>
      </c>
      <c r="G5623" s="5" t="s">
        <v>1104</v>
      </c>
      <c r="H5623" s="5" t="s">
        <v>1111</v>
      </c>
      <c r="I5623" s="5" t="s">
        <v>31</v>
      </c>
      <c r="J5623" s="5">
        <v>17.551648610956999</v>
      </c>
      <c r="K5623" s="5">
        <v>-96.222397388073006</v>
      </c>
      <c r="L5623" s="5" t="str">
        <f>HYPERLINK("https://maps.google.com/?q=17.5516486109574,-96.222397388073404", "🔗 Ver Mapa")</f>
        <v>🔗 Ver Mapa</v>
      </c>
    </row>
    <row r="5624" spans="1:12" ht="43.5" x14ac:dyDescent="0.35">
      <c r="A5624" s="6" t="s">
        <v>98</v>
      </c>
      <c r="B5624" s="6" t="s">
        <v>99</v>
      </c>
      <c r="C5624" s="6" t="s">
        <v>1110</v>
      </c>
      <c r="D5624" s="6" t="s">
        <v>14</v>
      </c>
      <c r="E5624" s="6" t="s">
        <v>90</v>
      </c>
      <c r="F5624" s="6" t="s">
        <v>678</v>
      </c>
      <c r="G5624" s="6" t="s">
        <v>1104</v>
      </c>
      <c r="H5624" s="6" t="s">
        <v>1111</v>
      </c>
      <c r="I5624" s="6" t="s">
        <v>31</v>
      </c>
      <c r="J5624" s="6">
        <v>17.551761135690001</v>
      </c>
      <c r="K5624" s="6">
        <v>-96.221993717543</v>
      </c>
      <c r="L5624" s="6" t="str">
        <f>HYPERLINK("https://maps.google.com/?q=17.5517611356897,-96.221993717543199", "🔗 Ver Mapa")</f>
        <v>🔗 Ver Mapa</v>
      </c>
    </row>
    <row r="5625" spans="1:12" ht="43.5" x14ac:dyDescent="0.35">
      <c r="A5625" s="5" t="s">
        <v>98</v>
      </c>
      <c r="B5625" s="5" t="s">
        <v>99</v>
      </c>
      <c r="C5625" s="5" t="s">
        <v>1110</v>
      </c>
      <c r="D5625" s="5" t="s">
        <v>14</v>
      </c>
      <c r="E5625" s="5" t="s">
        <v>90</v>
      </c>
      <c r="F5625" s="5" t="s">
        <v>678</v>
      </c>
      <c r="G5625" s="5" t="s">
        <v>1104</v>
      </c>
      <c r="H5625" s="5" t="s">
        <v>1111</v>
      </c>
      <c r="I5625" s="5" t="s">
        <v>31</v>
      </c>
      <c r="J5625" s="5">
        <v>17.552075563433998</v>
      </c>
      <c r="K5625" s="5">
        <v>-96.223418769288003</v>
      </c>
      <c r="L5625" s="5" t="str">
        <f>HYPERLINK("https://maps.google.com/?q=17.5520755634335,-96.223418769287903", "🔗 Ver Mapa")</f>
        <v>🔗 Ver Mapa</v>
      </c>
    </row>
    <row r="5626" spans="1:12" ht="43.5" x14ac:dyDescent="0.35">
      <c r="A5626" s="6" t="s">
        <v>98</v>
      </c>
      <c r="B5626" s="6" t="s">
        <v>99</v>
      </c>
      <c r="C5626" s="6" t="s">
        <v>1110</v>
      </c>
      <c r="D5626" s="6" t="s">
        <v>14</v>
      </c>
      <c r="E5626" s="6" t="s">
        <v>90</v>
      </c>
      <c r="F5626" s="6" t="s">
        <v>678</v>
      </c>
      <c r="G5626" s="6" t="s">
        <v>1104</v>
      </c>
      <c r="H5626" s="6" t="s">
        <v>1111</v>
      </c>
      <c r="I5626" s="6" t="s">
        <v>31</v>
      </c>
      <c r="J5626" s="6">
        <v>17.552079951183</v>
      </c>
      <c r="K5626" s="6">
        <v>-96.223736536052996</v>
      </c>
      <c r="L5626" s="6" t="str">
        <f>HYPERLINK("https://maps.google.com/?q=17.5520799511829,-96.223736536052598", "🔗 Ver Mapa")</f>
        <v>🔗 Ver Mapa</v>
      </c>
    </row>
    <row r="5627" spans="1:12" ht="43.5" x14ac:dyDescent="0.35">
      <c r="A5627" s="5" t="s">
        <v>98</v>
      </c>
      <c r="B5627" s="5" t="s">
        <v>99</v>
      </c>
      <c r="C5627" s="5" t="s">
        <v>1110</v>
      </c>
      <c r="D5627" s="5" t="s">
        <v>14</v>
      </c>
      <c r="E5627" s="5" t="s">
        <v>90</v>
      </c>
      <c r="F5627" s="5" t="s">
        <v>678</v>
      </c>
      <c r="G5627" s="5" t="s">
        <v>1104</v>
      </c>
      <c r="H5627" s="5" t="s">
        <v>1111</v>
      </c>
      <c r="I5627" s="5" t="s">
        <v>31</v>
      </c>
      <c r="J5627" s="5">
        <v>17.552317895605</v>
      </c>
      <c r="K5627" s="5">
        <v>-96.224272245368994</v>
      </c>
      <c r="L5627" s="5" t="str">
        <f>HYPERLINK("https://maps.google.com/?q=17.5523178956051,-96.224272245368695", "🔗 Ver Mapa")</f>
        <v>🔗 Ver Mapa</v>
      </c>
    </row>
    <row r="5628" spans="1:12" ht="43.5" x14ac:dyDescent="0.35">
      <c r="A5628" s="6" t="s">
        <v>98</v>
      </c>
      <c r="B5628" s="6" t="s">
        <v>99</v>
      </c>
      <c r="C5628" s="6" t="s">
        <v>1112</v>
      </c>
      <c r="D5628" s="6" t="s">
        <v>14</v>
      </c>
      <c r="E5628" s="6" t="s">
        <v>90</v>
      </c>
      <c r="F5628" s="6" t="s">
        <v>678</v>
      </c>
      <c r="G5628" s="6" t="s">
        <v>1104</v>
      </c>
      <c r="H5628" s="6" t="s">
        <v>1113</v>
      </c>
      <c r="I5628" s="6" t="s">
        <v>31</v>
      </c>
      <c r="J5628" s="6">
        <v>17.562141645691</v>
      </c>
      <c r="K5628" s="6">
        <v>-96.180521622079993</v>
      </c>
      <c r="L5628" s="6" t="str">
        <f>HYPERLINK("https://maps.google.com/?q=17.562141645691,-96.180521622080306", "🔗 Ver Mapa")</f>
        <v>🔗 Ver Mapa</v>
      </c>
    </row>
    <row r="5629" spans="1:12" ht="43.5" x14ac:dyDescent="0.35">
      <c r="A5629" s="5" t="s">
        <v>98</v>
      </c>
      <c r="B5629" s="5" t="s">
        <v>99</v>
      </c>
      <c r="C5629" s="5" t="s">
        <v>1112</v>
      </c>
      <c r="D5629" s="5" t="s">
        <v>14</v>
      </c>
      <c r="E5629" s="5" t="s">
        <v>90</v>
      </c>
      <c r="F5629" s="5" t="s">
        <v>678</v>
      </c>
      <c r="G5629" s="5" t="s">
        <v>1104</v>
      </c>
      <c r="H5629" s="5" t="s">
        <v>1113</v>
      </c>
      <c r="I5629" s="5" t="s">
        <v>31</v>
      </c>
      <c r="J5629" s="5">
        <v>17.562171922762001</v>
      </c>
      <c r="K5629" s="5">
        <v>-96.182657638896004</v>
      </c>
      <c r="L5629" s="5" t="str">
        <f>HYPERLINK("https://maps.google.com/?q=17.5621719227619,-96.182657638895904", "🔗 Ver Mapa")</f>
        <v>🔗 Ver Mapa</v>
      </c>
    </row>
    <row r="5630" spans="1:12" ht="43.5" x14ac:dyDescent="0.35">
      <c r="A5630" s="6" t="s">
        <v>98</v>
      </c>
      <c r="B5630" s="6" t="s">
        <v>99</v>
      </c>
      <c r="C5630" s="6" t="s">
        <v>1112</v>
      </c>
      <c r="D5630" s="6" t="s">
        <v>14</v>
      </c>
      <c r="E5630" s="6" t="s">
        <v>90</v>
      </c>
      <c r="F5630" s="6" t="s">
        <v>678</v>
      </c>
      <c r="G5630" s="6" t="s">
        <v>1104</v>
      </c>
      <c r="H5630" s="6" t="s">
        <v>1113</v>
      </c>
      <c r="I5630" s="6" t="s">
        <v>31</v>
      </c>
      <c r="J5630" s="6">
        <v>17.562173463446001</v>
      </c>
      <c r="K5630" s="6">
        <v>-96.180336251997005</v>
      </c>
      <c r="L5630" s="6" t="str">
        <f>HYPERLINK("https://maps.google.com/?q=17.562173463446,-96.180336251996593", "🔗 Ver Mapa")</f>
        <v>🔗 Ver Mapa</v>
      </c>
    </row>
    <row r="5631" spans="1:12" ht="43.5" x14ac:dyDescent="0.35">
      <c r="A5631" s="5" t="s">
        <v>98</v>
      </c>
      <c r="B5631" s="5" t="s">
        <v>99</v>
      </c>
      <c r="C5631" s="5" t="s">
        <v>1112</v>
      </c>
      <c r="D5631" s="5" t="s">
        <v>14</v>
      </c>
      <c r="E5631" s="5" t="s">
        <v>90</v>
      </c>
      <c r="F5631" s="5" t="s">
        <v>678</v>
      </c>
      <c r="G5631" s="5" t="s">
        <v>1104</v>
      </c>
      <c r="H5631" s="5" t="s">
        <v>1113</v>
      </c>
      <c r="I5631" s="5" t="s">
        <v>31</v>
      </c>
      <c r="J5631" s="5">
        <v>17.562352828544999</v>
      </c>
      <c r="K5631" s="5">
        <v>-96.180579388894998</v>
      </c>
      <c r="L5631" s="5" t="str">
        <f>HYPERLINK("https://maps.google.com/?q=17.5623528285454,-96.180579388895495", "🔗 Ver Mapa")</f>
        <v>🔗 Ver Mapa</v>
      </c>
    </row>
    <row r="5632" spans="1:12" ht="43.5" x14ac:dyDescent="0.35">
      <c r="A5632" s="6" t="s">
        <v>98</v>
      </c>
      <c r="B5632" s="6" t="s">
        <v>99</v>
      </c>
      <c r="C5632" s="6" t="s">
        <v>1112</v>
      </c>
      <c r="D5632" s="6" t="s">
        <v>14</v>
      </c>
      <c r="E5632" s="6" t="s">
        <v>90</v>
      </c>
      <c r="F5632" s="6" t="s">
        <v>678</v>
      </c>
      <c r="G5632" s="6" t="s">
        <v>1104</v>
      </c>
      <c r="H5632" s="6" t="s">
        <v>1113</v>
      </c>
      <c r="I5632" s="6" t="s">
        <v>31</v>
      </c>
      <c r="J5632" s="6">
        <v>17.562532318694998</v>
      </c>
      <c r="K5632" s="6">
        <v>-96.182744305582005</v>
      </c>
      <c r="L5632" s="6" t="str">
        <f>HYPERLINK("https://maps.google.com/?q=17.5625323186945,-96.182744305582005", "🔗 Ver Mapa")</f>
        <v>🔗 Ver Mapa</v>
      </c>
    </row>
    <row r="5633" spans="1:12" ht="43.5" x14ac:dyDescent="0.35">
      <c r="A5633" s="5" t="s">
        <v>98</v>
      </c>
      <c r="B5633" s="5" t="s">
        <v>99</v>
      </c>
      <c r="C5633" s="5" t="s">
        <v>1112</v>
      </c>
      <c r="D5633" s="5" t="s">
        <v>14</v>
      </c>
      <c r="E5633" s="5" t="s">
        <v>90</v>
      </c>
      <c r="F5633" s="5" t="s">
        <v>678</v>
      </c>
      <c r="G5633" s="5" t="s">
        <v>1104</v>
      </c>
      <c r="H5633" s="5" t="s">
        <v>1113</v>
      </c>
      <c r="I5633" s="5" t="s">
        <v>31</v>
      </c>
      <c r="J5633" s="5">
        <v>17.562536443466001</v>
      </c>
      <c r="K5633" s="5">
        <v>-96.180224808896</v>
      </c>
      <c r="L5633" s="5" t="str">
        <f>HYPERLINK("https://maps.google.com/?q=17.5625364434655,-96.180224808895801", "🔗 Ver Mapa")</f>
        <v>🔗 Ver Mapa</v>
      </c>
    </row>
    <row r="5634" spans="1:12" ht="43.5" x14ac:dyDescent="0.35">
      <c r="A5634" s="6" t="s">
        <v>98</v>
      </c>
      <c r="B5634" s="6" t="s">
        <v>99</v>
      </c>
      <c r="C5634" s="6" t="s">
        <v>1112</v>
      </c>
      <c r="D5634" s="6" t="s">
        <v>14</v>
      </c>
      <c r="E5634" s="6" t="s">
        <v>90</v>
      </c>
      <c r="F5634" s="6" t="s">
        <v>678</v>
      </c>
      <c r="G5634" s="6" t="s">
        <v>1104</v>
      </c>
      <c r="H5634" s="6" t="s">
        <v>1113</v>
      </c>
      <c r="I5634" s="6" t="s">
        <v>31</v>
      </c>
      <c r="J5634" s="6">
        <v>17.562581491355001</v>
      </c>
      <c r="K5634" s="6">
        <v>-96.179882405582006</v>
      </c>
      <c r="L5634" s="6" t="str">
        <f>HYPERLINK("https://maps.google.com/?q=17.5625814913548,-96.179882405582305", "🔗 Ver Mapa")</f>
        <v>🔗 Ver Mapa</v>
      </c>
    </row>
    <row r="5635" spans="1:12" ht="43.5" x14ac:dyDescent="0.35">
      <c r="A5635" s="5" t="s">
        <v>98</v>
      </c>
      <c r="B5635" s="5" t="s">
        <v>99</v>
      </c>
      <c r="C5635" s="5" t="s">
        <v>1112</v>
      </c>
      <c r="D5635" s="5" t="s">
        <v>14</v>
      </c>
      <c r="E5635" s="5" t="s">
        <v>90</v>
      </c>
      <c r="F5635" s="5" t="s">
        <v>678</v>
      </c>
      <c r="G5635" s="5" t="s">
        <v>1104</v>
      </c>
      <c r="H5635" s="5" t="s">
        <v>1113</v>
      </c>
      <c r="I5635" s="5" t="s">
        <v>31</v>
      </c>
      <c r="J5635" s="5">
        <v>17.562658502762002</v>
      </c>
      <c r="K5635" s="5">
        <v>-96.180405668896</v>
      </c>
      <c r="L5635" s="5" t="str">
        <f>HYPERLINK("https://maps.google.com/?q=17.5626585027619,-96.180405668896299", "🔗 Ver Mapa")</f>
        <v>🔗 Ver Mapa</v>
      </c>
    </row>
    <row r="5636" spans="1:12" ht="43.5" x14ac:dyDescent="0.35">
      <c r="A5636" s="6" t="s">
        <v>98</v>
      </c>
      <c r="B5636" s="6" t="s">
        <v>99</v>
      </c>
      <c r="C5636" s="6" t="s">
        <v>1112</v>
      </c>
      <c r="D5636" s="6" t="s">
        <v>14</v>
      </c>
      <c r="E5636" s="6" t="s">
        <v>90</v>
      </c>
      <c r="F5636" s="6" t="s">
        <v>678</v>
      </c>
      <c r="G5636" s="6" t="s">
        <v>1104</v>
      </c>
      <c r="H5636" s="6" t="s">
        <v>1113</v>
      </c>
      <c r="I5636" s="6" t="s">
        <v>31</v>
      </c>
      <c r="J5636" s="6">
        <v>17.562741312762</v>
      </c>
      <c r="K5636" s="6">
        <v>-96.179117980000001</v>
      </c>
      <c r="L5636" s="6" t="str">
        <f>HYPERLINK("https://maps.google.com/?q=17.5627413127619,-96.1791179800002", "🔗 Ver Mapa")</f>
        <v>🔗 Ver Mapa</v>
      </c>
    </row>
    <row r="5637" spans="1:12" ht="43.5" x14ac:dyDescent="0.35">
      <c r="A5637" s="5" t="s">
        <v>98</v>
      </c>
      <c r="B5637" s="5" t="s">
        <v>99</v>
      </c>
      <c r="C5637" s="5" t="s">
        <v>1112</v>
      </c>
      <c r="D5637" s="5" t="s">
        <v>14</v>
      </c>
      <c r="E5637" s="5" t="s">
        <v>90</v>
      </c>
      <c r="F5637" s="5" t="s">
        <v>678</v>
      </c>
      <c r="G5637" s="5" t="s">
        <v>1104</v>
      </c>
      <c r="H5637" s="5" t="s">
        <v>1113</v>
      </c>
      <c r="I5637" s="5" t="s">
        <v>31</v>
      </c>
      <c r="J5637" s="5">
        <v>17.562751542762001</v>
      </c>
      <c r="K5637" s="5">
        <v>-96.179453260000003</v>
      </c>
      <c r="L5637" s="5" t="str">
        <f>HYPERLINK("https://maps.google.com/?q=17.5627515427619,-96.1794532600004", "🔗 Ver Mapa")</f>
        <v>🔗 Ver Mapa</v>
      </c>
    </row>
    <row r="5638" spans="1:12" ht="43.5" x14ac:dyDescent="0.35">
      <c r="A5638" s="6" t="s">
        <v>98</v>
      </c>
      <c r="B5638" s="6" t="s">
        <v>99</v>
      </c>
      <c r="C5638" s="6" t="s">
        <v>1112</v>
      </c>
      <c r="D5638" s="6" t="s">
        <v>14</v>
      </c>
      <c r="E5638" s="6" t="s">
        <v>90</v>
      </c>
      <c r="F5638" s="6" t="s">
        <v>678</v>
      </c>
      <c r="G5638" s="6" t="s">
        <v>1104</v>
      </c>
      <c r="H5638" s="6" t="s">
        <v>1113</v>
      </c>
      <c r="I5638" s="6" t="s">
        <v>31</v>
      </c>
      <c r="J5638" s="6">
        <v>17.562771001354001</v>
      </c>
      <c r="K5638" s="6">
        <v>-96.180426179999998</v>
      </c>
      <c r="L5638" s="6" t="str">
        <f>HYPERLINK("https://maps.google.com/?q=17.5627710013535,-96.180426180000495", "🔗 Ver Mapa")</f>
        <v>🔗 Ver Mapa</v>
      </c>
    </row>
    <row r="5639" spans="1:12" ht="43.5" x14ac:dyDescent="0.35">
      <c r="A5639" s="5" t="s">
        <v>98</v>
      </c>
      <c r="B5639" s="5" t="s">
        <v>99</v>
      </c>
      <c r="C5639" s="5" t="s">
        <v>1112</v>
      </c>
      <c r="D5639" s="5" t="s">
        <v>14</v>
      </c>
      <c r="E5639" s="5" t="s">
        <v>90</v>
      </c>
      <c r="F5639" s="5" t="s">
        <v>678</v>
      </c>
      <c r="G5639" s="5" t="s">
        <v>1104</v>
      </c>
      <c r="H5639" s="5" t="s">
        <v>1113</v>
      </c>
      <c r="I5639" s="5" t="s">
        <v>31</v>
      </c>
      <c r="J5639" s="5">
        <v>17.562877706239998</v>
      </c>
      <c r="K5639" s="5">
        <v>-96.180586974641002</v>
      </c>
      <c r="L5639" s="5" t="str">
        <f>HYPERLINK("https://maps.google.com/?q=17.56287770624,-96.180586974640804", "🔗 Ver Mapa")</f>
        <v>🔗 Ver Mapa</v>
      </c>
    </row>
    <row r="5640" spans="1:12" ht="43.5" x14ac:dyDescent="0.35">
      <c r="A5640" s="6" t="s">
        <v>98</v>
      </c>
      <c r="B5640" s="6" t="s">
        <v>99</v>
      </c>
      <c r="C5640" s="6" t="s">
        <v>1112</v>
      </c>
      <c r="D5640" s="6" t="s">
        <v>14</v>
      </c>
      <c r="E5640" s="6" t="s">
        <v>90</v>
      </c>
      <c r="F5640" s="6" t="s">
        <v>678</v>
      </c>
      <c r="G5640" s="6" t="s">
        <v>1104</v>
      </c>
      <c r="H5640" s="6" t="s">
        <v>1113</v>
      </c>
      <c r="I5640" s="6" t="s">
        <v>31</v>
      </c>
      <c r="J5640" s="6">
        <v>17.562947396990999</v>
      </c>
      <c r="K5640" s="6">
        <v>-96.182042787791005</v>
      </c>
      <c r="L5640" s="6" t="str">
        <f>HYPERLINK("https://maps.google.com/?q=17.5629473969912,-96.182042787791303", "🔗 Ver Mapa")</f>
        <v>🔗 Ver Mapa</v>
      </c>
    </row>
    <row r="5641" spans="1:12" ht="43.5" x14ac:dyDescent="0.35">
      <c r="A5641" s="5" t="s">
        <v>98</v>
      </c>
      <c r="B5641" s="5" t="s">
        <v>99</v>
      </c>
      <c r="C5641" s="5" t="s">
        <v>1112</v>
      </c>
      <c r="D5641" s="5" t="s">
        <v>14</v>
      </c>
      <c r="E5641" s="5" t="s">
        <v>90</v>
      </c>
      <c r="F5641" s="5" t="s">
        <v>678</v>
      </c>
      <c r="G5641" s="5" t="s">
        <v>1104</v>
      </c>
      <c r="H5641" s="5" t="s">
        <v>1113</v>
      </c>
      <c r="I5641" s="5" t="s">
        <v>31</v>
      </c>
      <c r="J5641" s="5">
        <v>17.562961925582002</v>
      </c>
      <c r="K5641" s="5">
        <v>-96.182650431164006</v>
      </c>
      <c r="L5641" s="5" t="str">
        <f>HYPERLINK("https://maps.google.com/?q=17.5629619255817,-96.182650431164205", "🔗 Ver Mapa")</f>
        <v>🔗 Ver Mapa</v>
      </c>
    </row>
    <row r="5642" spans="1:12" ht="43.5" x14ac:dyDescent="0.35">
      <c r="A5642" s="6" t="s">
        <v>98</v>
      </c>
      <c r="B5642" s="6" t="s">
        <v>99</v>
      </c>
      <c r="C5642" s="6" t="s">
        <v>1112</v>
      </c>
      <c r="D5642" s="6" t="s">
        <v>14</v>
      </c>
      <c r="E5642" s="6" t="s">
        <v>90</v>
      </c>
      <c r="F5642" s="6" t="s">
        <v>678</v>
      </c>
      <c r="G5642" s="6" t="s">
        <v>1104</v>
      </c>
      <c r="H5642" s="6" t="s">
        <v>1113</v>
      </c>
      <c r="I5642" s="6" t="s">
        <v>31</v>
      </c>
      <c r="J5642" s="6">
        <v>17.563093225584002</v>
      </c>
      <c r="K5642" s="6">
        <v>-96.179206027790997</v>
      </c>
      <c r="L5642" s="6" t="str">
        <f>HYPERLINK("https://maps.google.com/?q=17.5630932255836,-96.179206027791196", "🔗 Ver Mapa")</f>
        <v>🔗 Ver Mapa</v>
      </c>
    </row>
    <row r="5643" spans="1:12" ht="43.5" x14ac:dyDescent="0.35">
      <c r="A5643" s="5" t="s">
        <v>98</v>
      </c>
      <c r="B5643" s="5" t="s">
        <v>99</v>
      </c>
      <c r="C5643" s="5" t="s">
        <v>1112</v>
      </c>
      <c r="D5643" s="5" t="s">
        <v>14</v>
      </c>
      <c r="E5643" s="5" t="s">
        <v>90</v>
      </c>
      <c r="F5643" s="5" t="s">
        <v>678</v>
      </c>
      <c r="G5643" s="5" t="s">
        <v>1104</v>
      </c>
      <c r="H5643" s="5" t="s">
        <v>1113</v>
      </c>
      <c r="I5643" s="5" t="s">
        <v>31</v>
      </c>
      <c r="J5643" s="5">
        <v>17.563176322762001</v>
      </c>
      <c r="K5643" s="5">
        <v>-96.178360780001</v>
      </c>
      <c r="L5643" s="5" t="str">
        <f>HYPERLINK("https://maps.google.com/?q=17.563176322762,-96.178360780000602", "🔗 Ver Mapa")</f>
        <v>🔗 Ver Mapa</v>
      </c>
    </row>
    <row r="5644" spans="1:12" ht="43.5" x14ac:dyDescent="0.35">
      <c r="A5644" s="6" t="s">
        <v>98</v>
      </c>
      <c r="B5644" s="6" t="s">
        <v>99</v>
      </c>
      <c r="C5644" s="6" t="s">
        <v>1112</v>
      </c>
      <c r="D5644" s="6" t="s">
        <v>14</v>
      </c>
      <c r="E5644" s="6" t="s">
        <v>90</v>
      </c>
      <c r="F5644" s="6" t="s">
        <v>678</v>
      </c>
      <c r="G5644" s="6" t="s">
        <v>1104</v>
      </c>
      <c r="H5644" s="6" t="s">
        <v>1113</v>
      </c>
      <c r="I5644" s="6" t="s">
        <v>31</v>
      </c>
      <c r="J5644" s="6">
        <v>17.563206729939001</v>
      </c>
      <c r="K5644" s="6">
        <v>-96.178597588895997</v>
      </c>
      <c r="L5644" s="6" t="str">
        <f>HYPERLINK("https://maps.google.com/?q=17.563206729939,-96.178597588896196", "🔗 Ver Mapa")</f>
        <v>🔗 Ver Mapa</v>
      </c>
    </row>
    <row r="5645" spans="1:12" ht="43.5" x14ac:dyDescent="0.35">
      <c r="A5645" s="5" t="s">
        <v>98</v>
      </c>
      <c r="B5645" s="5" t="s">
        <v>99</v>
      </c>
      <c r="C5645" s="5" t="s">
        <v>1112</v>
      </c>
      <c r="D5645" s="5" t="s">
        <v>14</v>
      </c>
      <c r="E5645" s="5" t="s">
        <v>90</v>
      </c>
      <c r="F5645" s="5" t="s">
        <v>678</v>
      </c>
      <c r="G5645" s="5" t="s">
        <v>1104</v>
      </c>
      <c r="H5645" s="5" t="s">
        <v>1113</v>
      </c>
      <c r="I5645" s="5" t="s">
        <v>31</v>
      </c>
      <c r="J5645" s="5">
        <v>17.563227874292</v>
      </c>
      <c r="K5645" s="5">
        <v>-96.182411713373995</v>
      </c>
      <c r="L5645" s="5" t="str">
        <f>HYPERLINK("https://maps.google.com/?q=17.563227874292,-96.182411713373597", "🔗 Ver Mapa")</f>
        <v>🔗 Ver Mapa</v>
      </c>
    </row>
    <row r="5646" spans="1:12" ht="43.5" x14ac:dyDescent="0.35">
      <c r="A5646" s="6" t="s">
        <v>98</v>
      </c>
      <c r="B5646" s="6" t="s">
        <v>99</v>
      </c>
      <c r="C5646" s="6" t="s">
        <v>1112</v>
      </c>
      <c r="D5646" s="6" t="s">
        <v>14</v>
      </c>
      <c r="E5646" s="6" t="s">
        <v>90</v>
      </c>
      <c r="F5646" s="6" t="s">
        <v>678</v>
      </c>
      <c r="G5646" s="6" t="s">
        <v>1104</v>
      </c>
      <c r="H5646" s="6" t="s">
        <v>1113</v>
      </c>
      <c r="I5646" s="6" t="s">
        <v>31</v>
      </c>
      <c r="J5646" s="6">
        <v>17.563314267113</v>
      </c>
      <c r="K5646" s="6">
        <v>-96.179858125582001</v>
      </c>
      <c r="L5646" s="6" t="str">
        <f>HYPERLINK("https://maps.google.com/?q=17.5633142671129,-96.179858125582399", "🔗 Ver Mapa")</f>
        <v>🔗 Ver Mapa</v>
      </c>
    </row>
    <row r="5647" spans="1:12" ht="43.5" x14ac:dyDescent="0.35">
      <c r="A5647" s="5" t="s">
        <v>98</v>
      </c>
      <c r="B5647" s="5" t="s">
        <v>99</v>
      </c>
      <c r="C5647" s="5" t="s">
        <v>1112</v>
      </c>
      <c r="D5647" s="5" t="s">
        <v>14</v>
      </c>
      <c r="E5647" s="5" t="s">
        <v>90</v>
      </c>
      <c r="F5647" s="5" t="s">
        <v>678</v>
      </c>
      <c r="G5647" s="5" t="s">
        <v>1104</v>
      </c>
      <c r="H5647" s="5" t="s">
        <v>1113</v>
      </c>
      <c r="I5647" s="5" t="s">
        <v>31</v>
      </c>
      <c r="J5647" s="5">
        <v>17.563322628525</v>
      </c>
      <c r="K5647" s="5">
        <v>-96.181084248895999</v>
      </c>
      <c r="L5647" s="5" t="str">
        <f>HYPERLINK("https://maps.google.com/?q=17.5633226285248,-96.181084248896198", "🔗 Ver Mapa")</f>
        <v>🔗 Ver Mapa</v>
      </c>
    </row>
    <row r="5648" spans="1:12" ht="43.5" x14ac:dyDescent="0.35">
      <c r="A5648" s="6" t="s">
        <v>98</v>
      </c>
      <c r="B5648" s="6" t="s">
        <v>99</v>
      </c>
      <c r="C5648" s="6" t="s">
        <v>1112</v>
      </c>
      <c r="D5648" s="6" t="s">
        <v>14</v>
      </c>
      <c r="E5648" s="6" t="s">
        <v>90</v>
      </c>
      <c r="F5648" s="6" t="s">
        <v>678</v>
      </c>
      <c r="G5648" s="6" t="s">
        <v>1104</v>
      </c>
      <c r="H5648" s="6" t="s">
        <v>1113</v>
      </c>
      <c r="I5648" s="6" t="s">
        <v>31</v>
      </c>
      <c r="J5648" s="6">
        <v>17.563383859937002</v>
      </c>
      <c r="K5648" s="6">
        <v>-96.179284255582999</v>
      </c>
      <c r="L5648" s="6" t="str">
        <f>HYPERLINK("https://maps.google.com/?q=17.5633838599366,-96.179284255582701", "🔗 Ver Mapa")</f>
        <v>🔗 Ver Mapa</v>
      </c>
    </row>
    <row r="5649" spans="1:12" ht="43.5" x14ac:dyDescent="0.35">
      <c r="A5649" s="5" t="s">
        <v>98</v>
      </c>
      <c r="B5649" s="5" t="s">
        <v>99</v>
      </c>
      <c r="C5649" s="5" t="s">
        <v>1112</v>
      </c>
      <c r="D5649" s="5" t="s">
        <v>14</v>
      </c>
      <c r="E5649" s="5" t="s">
        <v>90</v>
      </c>
      <c r="F5649" s="5" t="s">
        <v>678</v>
      </c>
      <c r="G5649" s="5" t="s">
        <v>1104</v>
      </c>
      <c r="H5649" s="5" t="s">
        <v>1113</v>
      </c>
      <c r="I5649" s="5" t="s">
        <v>31</v>
      </c>
      <c r="J5649" s="5">
        <v>17.563409429936002</v>
      </c>
      <c r="K5649" s="5">
        <v>-96.180869444419002</v>
      </c>
      <c r="L5649" s="5" t="str">
        <f>HYPERLINK("https://maps.google.com/?q=17.5634094299361,-96.180869444418704", "🔗 Ver Mapa")</f>
        <v>🔗 Ver Mapa</v>
      </c>
    </row>
    <row r="5650" spans="1:12" ht="43.5" x14ac:dyDescent="0.35">
      <c r="A5650" s="6" t="s">
        <v>98</v>
      </c>
      <c r="B5650" s="6" t="s">
        <v>99</v>
      </c>
      <c r="C5650" s="6" t="s">
        <v>1112</v>
      </c>
      <c r="D5650" s="6" t="s">
        <v>14</v>
      </c>
      <c r="E5650" s="6" t="s">
        <v>90</v>
      </c>
      <c r="F5650" s="6" t="s">
        <v>678</v>
      </c>
      <c r="G5650" s="6" t="s">
        <v>1104</v>
      </c>
      <c r="H5650" s="6" t="s">
        <v>1113</v>
      </c>
      <c r="I5650" s="6" t="s">
        <v>31</v>
      </c>
      <c r="J5650" s="6">
        <v>17.563503801244</v>
      </c>
      <c r="K5650" s="6">
        <v>-96.178590570001006</v>
      </c>
      <c r="L5650" s="6" t="str">
        <f>HYPERLINK("https://maps.google.com/?q=17.5635038012442,-96.178590570000694", "🔗 Ver Mapa")</f>
        <v>🔗 Ver Mapa</v>
      </c>
    </row>
    <row r="5651" spans="1:12" ht="43.5" x14ac:dyDescent="0.35">
      <c r="A5651" s="5" t="s">
        <v>98</v>
      </c>
      <c r="B5651" s="5" t="s">
        <v>99</v>
      </c>
      <c r="C5651" s="5" t="s">
        <v>1112</v>
      </c>
      <c r="D5651" s="5" t="s">
        <v>14</v>
      </c>
      <c r="E5651" s="5" t="s">
        <v>90</v>
      </c>
      <c r="F5651" s="5" t="s">
        <v>678</v>
      </c>
      <c r="G5651" s="5" t="s">
        <v>1104</v>
      </c>
      <c r="H5651" s="5" t="s">
        <v>1113</v>
      </c>
      <c r="I5651" s="5" t="s">
        <v>31</v>
      </c>
      <c r="J5651" s="5">
        <v>17.563514224176</v>
      </c>
      <c r="K5651" s="5">
        <v>-96.180065049999996</v>
      </c>
      <c r="L5651" s="5" t="str">
        <f>HYPERLINK("https://maps.google.com/?q=17.5635142241758,-96.180065050000493", "🔗 Ver Mapa")</f>
        <v>🔗 Ver Mapa</v>
      </c>
    </row>
    <row r="5652" spans="1:12" ht="43.5" x14ac:dyDescent="0.35">
      <c r="A5652" s="6" t="s">
        <v>98</v>
      </c>
      <c r="B5652" s="6" t="s">
        <v>99</v>
      </c>
      <c r="C5652" s="6" t="s">
        <v>1112</v>
      </c>
      <c r="D5652" s="6" t="s">
        <v>14</v>
      </c>
      <c r="E5652" s="6" t="s">
        <v>90</v>
      </c>
      <c r="F5652" s="6" t="s">
        <v>678</v>
      </c>
      <c r="G5652" s="6" t="s">
        <v>1104</v>
      </c>
      <c r="H5652" s="6" t="s">
        <v>1113</v>
      </c>
      <c r="I5652" s="6" t="s">
        <v>31</v>
      </c>
      <c r="J5652" s="6">
        <v>17.563585035591</v>
      </c>
      <c r="K5652" s="6">
        <v>-96.177990678895995</v>
      </c>
      <c r="L5652" s="6" t="str">
        <f>HYPERLINK("https://maps.google.com/?q=17.5635850355906,-96.177990678896094", "🔗 Ver Mapa")</f>
        <v>🔗 Ver Mapa</v>
      </c>
    </row>
    <row r="5653" spans="1:12" ht="43.5" x14ac:dyDescent="0.35">
      <c r="A5653" s="5" t="s">
        <v>98</v>
      </c>
      <c r="B5653" s="5" t="s">
        <v>99</v>
      </c>
      <c r="C5653" s="5" t="s">
        <v>1114</v>
      </c>
      <c r="D5653" s="5" t="s">
        <v>14</v>
      </c>
      <c r="E5653" s="5" t="s">
        <v>17</v>
      </c>
      <c r="F5653" s="5" t="s">
        <v>59</v>
      </c>
      <c r="G5653" s="5" t="s">
        <v>1115</v>
      </c>
      <c r="H5653" s="5" t="s">
        <v>1116</v>
      </c>
      <c r="I5653" s="5" t="s">
        <v>31</v>
      </c>
      <c r="J5653" s="5">
        <v>16.421582999999998</v>
      </c>
      <c r="K5653" s="5">
        <v>-97.882576</v>
      </c>
      <c r="L5653" s="5" t="str">
        <f>HYPERLINK("https://maps.google.com/?q=16.421583,-97.882576", "🔗 Ver Mapa")</f>
        <v>🔗 Ver Mapa</v>
      </c>
    </row>
    <row r="5654" spans="1:12" ht="43.5" x14ac:dyDescent="0.35">
      <c r="A5654" s="6" t="s">
        <v>98</v>
      </c>
      <c r="B5654" s="6" t="s">
        <v>99</v>
      </c>
      <c r="C5654" s="6" t="s">
        <v>1114</v>
      </c>
      <c r="D5654" s="6" t="s">
        <v>14</v>
      </c>
      <c r="E5654" s="6" t="s">
        <v>17</v>
      </c>
      <c r="F5654" s="6" t="s">
        <v>59</v>
      </c>
      <c r="G5654" s="6" t="s">
        <v>1115</v>
      </c>
      <c r="H5654" s="6" t="s">
        <v>1116</v>
      </c>
      <c r="I5654" s="6" t="s">
        <v>31</v>
      </c>
      <c r="J5654" s="6">
        <v>16.42193</v>
      </c>
      <c r="K5654" s="6">
        <v>-97.882437999999993</v>
      </c>
      <c r="L5654" s="6" t="str">
        <f>HYPERLINK("https://maps.google.com/?q=16.42193,-97.882437999999993", "🔗 Ver Mapa")</f>
        <v>🔗 Ver Mapa</v>
      </c>
    </row>
    <row r="5655" spans="1:12" ht="43.5" x14ac:dyDescent="0.35">
      <c r="A5655" s="5" t="s">
        <v>98</v>
      </c>
      <c r="B5655" s="5" t="s">
        <v>99</v>
      </c>
      <c r="C5655" s="5" t="s">
        <v>1114</v>
      </c>
      <c r="D5655" s="5" t="s">
        <v>14</v>
      </c>
      <c r="E5655" s="5" t="s">
        <v>17</v>
      </c>
      <c r="F5655" s="5" t="s">
        <v>59</v>
      </c>
      <c r="G5655" s="5" t="s">
        <v>1115</v>
      </c>
      <c r="H5655" s="5" t="s">
        <v>1116</v>
      </c>
      <c r="I5655" s="5" t="s">
        <v>31</v>
      </c>
      <c r="J5655" s="5">
        <v>16.422476</v>
      </c>
      <c r="K5655" s="5">
        <v>-97.881191000000001</v>
      </c>
      <c r="L5655" s="5" t="str">
        <f>HYPERLINK("https://maps.google.com/?q=16.422476,-97.881191000000001", "🔗 Ver Mapa")</f>
        <v>🔗 Ver Mapa</v>
      </c>
    </row>
    <row r="5656" spans="1:12" ht="43.5" x14ac:dyDescent="0.35">
      <c r="A5656" s="6" t="s">
        <v>98</v>
      </c>
      <c r="B5656" s="6" t="s">
        <v>99</v>
      </c>
      <c r="C5656" s="6" t="s">
        <v>1114</v>
      </c>
      <c r="D5656" s="6" t="s">
        <v>14</v>
      </c>
      <c r="E5656" s="6" t="s">
        <v>17</v>
      </c>
      <c r="F5656" s="6" t="s">
        <v>59</v>
      </c>
      <c r="G5656" s="6" t="s">
        <v>1115</v>
      </c>
      <c r="H5656" s="6" t="s">
        <v>1116</v>
      </c>
      <c r="I5656" s="6" t="s">
        <v>31</v>
      </c>
      <c r="J5656" s="6">
        <v>16.423494000000002</v>
      </c>
      <c r="K5656" s="6">
        <v>-97.882493999999994</v>
      </c>
      <c r="L5656" s="6" t="str">
        <f>HYPERLINK("https://maps.google.com/?q=16.423494,-97.882493999999994", "🔗 Ver Mapa")</f>
        <v>🔗 Ver Mapa</v>
      </c>
    </row>
    <row r="5657" spans="1:12" ht="43.5" x14ac:dyDescent="0.35">
      <c r="A5657" s="5" t="s">
        <v>98</v>
      </c>
      <c r="B5657" s="5" t="s">
        <v>99</v>
      </c>
      <c r="C5657" s="5" t="s">
        <v>1117</v>
      </c>
      <c r="D5657" s="5" t="s">
        <v>14</v>
      </c>
      <c r="E5657" s="5" t="s">
        <v>17</v>
      </c>
      <c r="F5657" s="5" t="s">
        <v>59</v>
      </c>
      <c r="G5657" s="5" t="s">
        <v>1115</v>
      </c>
      <c r="H5657" s="5" t="s">
        <v>1118</v>
      </c>
      <c r="I5657" s="5" t="s">
        <v>31</v>
      </c>
      <c r="J5657" s="5">
        <v>16.435569999999998</v>
      </c>
      <c r="K5657" s="5">
        <v>-97.855328</v>
      </c>
      <c r="L5657" s="5" t="str">
        <f>HYPERLINK("https://maps.google.com/?q=16.43557,-97.855328", "🔗 Ver Mapa")</f>
        <v>🔗 Ver Mapa</v>
      </c>
    </row>
    <row r="5658" spans="1:12" ht="43.5" x14ac:dyDescent="0.35">
      <c r="A5658" s="6" t="s">
        <v>98</v>
      </c>
      <c r="B5658" s="6" t="s">
        <v>99</v>
      </c>
      <c r="C5658" s="6" t="s">
        <v>1117</v>
      </c>
      <c r="D5658" s="6" t="s">
        <v>14</v>
      </c>
      <c r="E5658" s="6" t="s">
        <v>17</v>
      </c>
      <c r="F5658" s="6" t="s">
        <v>59</v>
      </c>
      <c r="G5658" s="6" t="s">
        <v>1115</v>
      </c>
      <c r="H5658" s="6" t="s">
        <v>1118</v>
      </c>
      <c r="I5658" s="6" t="s">
        <v>31</v>
      </c>
      <c r="J5658" s="6">
        <v>16.436001999999998</v>
      </c>
      <c r="K5658" s="6">
        <v>-97.857856999999996</v>
      </c>
      <c r="L5658" s="6" t="str">
        <f>HYPERLINK("https://maps.google.com/?q=16.436002,-97.857856999999996", "🔗 Ver Mapa")</f>
        <v>🔗 Ver Mapa</v>
      </c>
    </row>
    <row r="5659" spans="1:12" ht="43.5" x14ac:dyDescent="0.35">
      <c r="A5659" s="5" t="s">
        <v>98</v>
      </c>
      <c r="B5659" s="5" t="s">
        <v>99</v>
      </c>
      <c r="C5659" s="5" t="s">
        <v>1117</v>
      </c>
      <c r="D5659" s="5" t="s">
        <v>14</v>
      </c>
      <c r="E5659" s="5" t="s">
        <v>17</v>
      </c>
      <c r="F5659" s="5" t="s">
        <v>59</v>
      </c>
      <c r="G5659" s="5" t="s">
        <v>1115</v>
      </c>
      <c r="H5659" s="5" t="s">
        <v>1118</v>
      </c>
      <c r="I5659" s="5" t="s">
        <v>31</v>
      </c>
      <c r="J5659" s="5">
        <v>16.436033999999999</v>
      </c>
      <c r="K5659" s="5">
        <v>-97.854258999999999</v>
      </c>
      <c r="L5659" s="5" t="str">
        <f>HYPERLINK("https://maps.google.com/?q=16.436034,-97.854258999999999", "🔗 Ver Mapa")</f>
        <v>🔗 Ver Mapa</v>
      </c>
    </row>
    <row r="5660" spans="1:12" ht="43.5" x14ac:dyDescent="0.35">
      <c r="A5660" s="6" t="s">
        <v>98</v>
      </c>
      <c r="B5660" s="6" t="s">
        <v>99</v>
      </c>
      <c r="C5660" s="6" t="s">
        <v>1117</v>
      </c>
      <c r="D5660" s="6" t="s">
        <v>14</v>
      </c>
      <c r="E5660" s="6" t="s">
        <v>17</v>
      </c>
      <c r="F5660" s="6" t="s">
        <v>59</v>
      </c>
      <c r="G5660" s="6" t="s">
        <v>1115</v>
      </c>
      <c r="H5660" s="6" t="s">
        <v>1118</v>
      </c>
      <c r="I5660" s="6" t="s">
        <v>31</v>
      </c>
      <c r="J5660" s="6">
        <v>16.436451000000002</v>
      </c>
      <c r="K5660" s="6">
        <v>-97.854455999999999</v>
      </c>
      <c r="L5660" s="6" t="str">
        <f>HYPERLINK("https://maps.google.com/?q=16.436451,-97.854455999999999", "🔗 Ver Mapa")</f>
        <v>🔗 Ver Mapa</v>
      </c>
    </row>
    <row r="5661" spans="1:12" ht="43.5" x14ac:dyDescent="0.35">
      <c r="A5661" s="5" t="s">
        <v>98</v>
      </c>
      <c r="B5661" s="5" t="s">
        <v>99</v>
      </c>
      <c r="C5661" s="5" t="s">
        <v>1117</v>
      </c>
      <c r="D5661" s="5" t="s">
        <v>14</v>
      </c>
      <c r="E5661" s="5" t="s">
        <v>17</v>
      </c>
      <c r="F5661" s="5" t="s">
        <v>59</v>
      </c>
      <c r="G5661" s="5" t="s">
        <v>1115</v>
      </c>
      <c r="H5661" s="5" t="s">
        <v>1118</v>
      </c>
      <c r="I5661" s="5" t="s">
        <v>31</v>
      </c>
      <c r="J5661" s="5">
        <v>16.436475000000002</v>
      </c>
      <c r="K5661" s="5">
        <v>-97.857427999999999</v>
      </c>
      <c r="L5661" s="5" t="str">
        <f>HYPERLINK("https://maps.google.com/?q=16.436475,-97.857427999999999", "🔗 Ver Mapa")</f>
        <v>🔗 Ver Mapa</v>
      </c>
    </row>
    <row r="5662" spans="1:12" ht="43.5" x14ac:dyDescent="0.35">
      <c r="A5662" s="6" t="s">
        <v>98</v>
      </c>
      <c r="B5662" s="6" t="s">
        <v>99</v>
      </c>
      <c r="C5662" s="6" t="s">
        <v>1117</v>
      </c>
      <c r="D5662" s="6" t="s">
        <v>14</v>
      </c>
      <c r="E5662" s="6" t="s">
        <v>17</v>
      </c>
      <c r="F5662" s="6" t="s">
        <v>59</v>
      </c>
      <c r="G5662" s="6" t="s">
        <v>1115</v>
      </c>
      <c r="H5662" s="6" t="s">
        <v>1118</v>
      </c>
      <c r="I5662" s="6" t="s">
        <v>31</v>
      </c>
      <c r="J5662" s="6">
        <v>16.436630000000001</v>
      </c>
      <c r="K5662" s="6">
        <v>-97.857133000000005</v>
      </c>
      <c r="L5662" s="6" t="str">
        <f>HYPERLINK("https://maps.google.com/?q=16.43663,-97.857133000000005", "🔗 Ver Mapa")</f>
        <v>🔗 Ver Mapa</v>
      </c>
    </row>
    <row r="5663" spans="1:12" ht="43.5" x14ac:dyDescent="0.35">
      <c r="A5663" s="5" t="s">
        <v>98</v>
      </c>
      <c r="B5663" s="5" t="s">
        <v>99</v>
      </c>
      <c r="C5663" s="5" t="s">
        <v>1117</v>
      </c>
      <c r="D5663" s="5" t="s">
        <v>14</v>
      </c>
      <c r="E5663" s="5" t="s">
        <v>17</v>
      </c>
      <c r="F5663" s="5" t="s">
        <v>59</v>
      </c>
      <c r="G5663" s="5" t="s">
        <v>1115</v>
      </c>
      <c r="H5663" s="5" t="s">
        <v>1118</v>
      </c>
      <c r="I5663" s="5" t="s">
        <v>31</v>
      </c>
      <c r="J5663" s="5">
        <v>16.436693999999999</v>
      </c>
      <c r="K5663" s="5">
        <v>-97.855842999999993</v>
      </c>
      <c r="L5663" s="5" t="str">
        <f>HYPERLINK("https://maps.google.com/?q=16.436694,-97.855842999999993", "🔗 Ver Mapa")</f>
        <v>🔗 Ver Mapa</v>
      </c>
    </row>
    <row r="5664" spans="1:12" ht="43.5" x14ac:dyDescent="0.35">
      <c r="A5664" s="6" t="s">
        <v>98</v>
      </c>
      <c r="B5664" s="6" t="s">
        <v>99</v>
      </c>
      <c r="C5664" s="6" t="s">
        <v>1117</v>
      </c>
      <c r="D5664" s="6" t="s">
        <v>14</v>
      </c>
      <c r="E5664" s="6" t="s">
        <v>17</v>
      </c>
      <c r="F5664" s="6" t="s">
        <v>59</v>
      </c>
      <c r="G5664" s="6" t="s">
        <v>1115</v>
      </c>
      <c r="H5664" s="6" t="s">
        <v>1118</v>
      </c>
      <c r="I5664" s="6" t="s">
        <v>31</v>
      </c>
      <c r="J5664" s="6">
        <v>16.436976999999999</v>
      </c>
      <c r="K5664" s="6">
        <v>-97.854710999999995</v>
      </c>
      <c r="L5664" s="6" t="str">
        <f>HYPERLINK("https://maps.google.com/?q=16.436977,-97.854710999999995", "🔗 Ver Mapa")</f>
        <v>🔗 Ver Mapa</v>
      </c>
    </row>
    <row r="5665" spans="1:12" ht="43.5" x14ac:dyDescent="0.35">
      <c r="A5665" s="5" t="s">
        <v>98</v>
      </c>
      <c r="B5665" s="5" t="s">
        <v>99</v>
      </c>
      <c r="C5665" s="5" t="s">
        <v>1117</v>
      </c>
      <c r="D5665" s="5" t="s">
        <v>14</v>
      </c>
      <c r="E5665" s="5" t="s">
        <v>17</v>
      </c>
      <c r="F5665" s="5" t="s">
        <v>59</v>
      </c>
      <c r="G5665" s="5" t="s">
        <v>1115</v>
      </c>
      <c r="H5665" s="5" t="s">
        <v>1118</v>
      </c>
      <c r="I5665" s="5" t="s">
        <v>31</v>
      </c>
      <c r="J5665" s="5">
        <v>16.437335000000001</v>
      </c>
      <c r="K5665" s="5">
        <v>-97.856347</v>
      </c>
      <c r="L5665" s="5" t="str">
        <f>HYPERLINK("https://maps.google.com/?q=16.437335,-97.856347", "🔗 Ver Mapa")</f>
        <v>🔗 Ver Mapa</v>
      </c>
    </row>
    <row r="5666" spans="1:12" ht="43.5" x14ac:dyDescent="0.35">
      <c r="A5666" s="6" t="s">
        <v>98</v>
      </c>
      <c r="B5666" s="6" t="s">
        <v>99</v>
      </c>
      <c r="C5666" s="6" t="s">
        <v>1117</v>
      </c>
      <c r="D5666" s="6" t="s">
        <v>14</v>
      </c>
      <c r="E5666" s="6" t="s">
        <v>17</v>
      </c>
      <c r="F5666" s="6" t="s">
        <v>59</v>
      </c>
      <c r="G5666" s="6" t="s">
        <v>1115</v>
      </c>
      <c r="H5666" s="6" t="s">
        <v>1118</v>
      </c>
      <c r="I5666" s="6" t="s">
        <v>31</v>
      </c>
      <c r="J5666" s="6">
        <v>16.437521</v>
      </c>
      <c r="K5666" s="6">
        <v>-97.854893000000004</v>
      </c>
      <c r="L5666" s="6" t="str">
        <f>HYPERLINK("https://maps.google.com/?q=16.437521,-97.854893000000004", "🔗 Ver Mapa")</f>
        <v>🔗 Ver Mapa</v>
      </c>
    </row>
    <row r="5667" spans="1:12" ht="43.5" x14ac:dyDescent="0.35">
      <c r="A5667" s="5" t="s">
        <v>98</v>
      </c>
      <c r="B5667" s="5" t="s">
        <v>99</v>
      </c>
      <c r="C5667" s="5" t="s">
        <v>1117</v>
      </c>
      <c r="D5667" s="5" t="s">
        <v>14</v>
      </c>
      <c r="E5667" s="5" t="s">
        <v>17</v>
      </c>
      <c r="F5667" s="5" t="s">
        <v>59</v>
      </c>
      <c r="G5667" s="5" t="s">
        <v>1115</v>
      </c>
      <c r="H5667" s="5" t="s">
        <v>1118</v>
      </c>
      <c r="I5667" s="5" t="s">
        <v>31</v>
      </c>
      <c r="J5667" s="5">
        <v>16.437609999999999</v>
      </c>
      <c r="K5667" s="5">
        <v>-97.854812999999993</v>
      </c>
      <c r="L5667" s="5" t="str">
        <f>HYPERLINK("https://maps.google.com/?q=16.43761,-97.854812999999993", "🔗 Ver Mapa")</f>
        <v>🔗 Ver Mapa</v>
      </c>
    </row>
    <row r="5668" spans="1:12" ht="43.5" x14ac:dyDescent="0.35">
      <c r="A5668" s="6" t="s">
        <v>98</v>
      </c>
      <c r="B5668" s="6" t="s">
        <v>99</v>
      </c>
      <c r="C5668" s="6" t="s">
        <v>1117</v>
      </c>
      <c r="D5668" s="6" t="s">
        <v>14</v>
      </c>
      <c r="E5668" s="6" t="s">
        <v>17</v>
      </c>
      <c r="F5668" s="6" t="s">
        <v>59</v>
      </c>
      <c r="G5668" s="6" t="s">
        <v>1115</v>
      </c>
      <c r="H5668" s="6" t="s">
        <v>1118</v>
      </c>
      <c r="I5668" s="6" t="s">
        <v>31</v>
      </c>
      <c r="J5668" s="6">
        <v>16.437918</v>
      </c>
      <c r="K5668" s="6">
        <v>-97.856615000000005</v>
      </c>
      <c r="L5668" s="6" t="str">
        <f>HYPERLINK("https://maps.google.com/?q=16.437918,-97.856615000000005", "🔗 Ver Mapa")</f>
        <v>🔗 Ver Mapa</v>
      </c>
    </row>
    <row r="5669" spans="1:12" ht="43.5" x14ac:dyDescent="0.35">
      <c r="A5669" s="5" t="s">
        <v>98</v>
      </c>
      <c r="B5669" s="5" t="s">
        <v>99</v>
      </c>
      <c r="C5669" s="5" t="s">
        <v>1117</v>
      </c>
      <c r="D5669" s="5" t="s">
        <v>14</v>
      </c>
      <c r="E5669" s="5" t="s">
        <v>17</v>
      </c>
      <c r="F5669" s="5" t="s">
        <v>59</v>
      </c>
      <c r="G5669" s="5" t="s">
        <v>1115</v>
      </c>
      <c r="H5669" s="5" t="s">
        <v>1118</v>
      </c>
      <c r="I5669" s="5" t="s">
        <v>31</v>
      </c>
      <c r="J5669" s="5">
        <v>16.438058000000002</v>
      </c>
      <c r="K5669" s="5">
        <v>-97.856934999999993</v>
      </c>
      <c r="L5669" s="5" t="str">
        <f>HYPERLINK("https://maps.google.com/?q=16.438058,-97.856934999999993", "🔗 Ver Mapa")</f>
        <v>🔗 Ver Mapa</v>
      </c>
    </row>
    <row r="5670" spans="1:12" ht="43.5" x14ac:dyDescent="0.35">
      <c r="A5670" s="6" t="s">
        <v>98</v>
      </c>
      <c r="B5670" s="6" t="s">
        <v>99</v>
      </c>
      <c r="C5670" s="6" t="s">
        <v>1117</v>
      </c>
      <c r="D5670" s="6" t="s">
        <v>14</v>
      </c>
      <c r="E5670" s="6" t="s">
        <v>17</v>
      </c>
      <c r="F5670" s="6" t="s">
        <v>59</v>
      </c>
      <c r="G5670" s="6" t="s">
        <v>1115</v>
      </c>
      <c r="H5670" s="6" t="s">
        <v>1118</v>
      </c>
      <c r="I5670" s="6" t="s">
        <v>31</v>
      </c>
      <c r="J5670" s="6">
        <v>16.438134999999999</v>
      </c>
      <c r="K5670" s="6">
        <v>-97.855694999999997</v>
      </c>
      <c r="L5670" s="6" t="str">
        <f>HYPERLINK("https://maps.google.com/?q=16.438135,-97.855694999999997", "🔗 Ver Mapa")</f>
        <v>🔗 Ver Mapa</v>
      </c>
    </row>
    <row r="5671" spans="1:12" ht="43.5" x14ac:dyDescent="0.35">
      <c r="A5671" s="5" t="s">
        <v>98</v>
      </c>
      <c r="B5671" s="5" t="s">
        <v>99</v>
      </c>
      <c r="C5671" s="5" t="s">
        <v>1117</v>
      </c>
      <c r="D5671" s="5" t="s">
        <v>14</v>
      </c>
      <c r="E5671" s="5" t="s">
        <v>17</v>
      </c>
      <c r="F5671" s="5" t="s">
        <v>59</v>
      </c>
      <c r="G5671" s="5" t="s">
        <v>1115</v>
      </c>
      <c r="H5671" s="5" t="s">
        <v>1118</v>
      </c>
      <c r="I5671" s="5" t="s">
        <v>31</v>
      </c>
      <c r="J5671" s="5">
        <v>16.438137000000001</v>
      </c>
      <c r="K5671" s="5">
        <v>-97.854951999999997</v>
      </c>
      <c r="L5671" s="5" t="str">
        <f>HYPERLINK("https://maps.google.com/?q=16.438137,-97.854951999999997", "🔗 Ver Mapa")</f>
        <v>🔗 Ver Mapa</v>
      </c>
    </row>
    <row r="5672" spans="1:12" ht="43.5" x14ac:dyDescent="0.35">
      <c r="A5672" s="6" t="s">
        <v>98</v>
      </c>
      <c r="B5672" s="6" t="s">
        <v>99</v>
      </c>
      <c r="C5672" s="6" t="s">
        <v>1117</v>
      </c>
      <c r="D5672" s="6" t="s">
        <v>14</v>
      </c>
      <c r="E5672" s="6" t="s">
        <v>17</v>
      </c>
      <c r="F5672" s="6" t="s">
        <v>59</v>
      </c>
      <c r="G5672" s="6" t="s">
        <v>1115</v>
      </c>
      <c r="H5672" s="6" t="s">
        <v>1118</v>
      </c>
      <c r="I5672" s="6" t="s">
        <v>31</v>
      </c>
      <c r="J5672" s="6">
        <v>16.438323</v>
      </c>
      <c r="K5672" s="6">
        <v>-97.855237000000002</v>
      </c>
      <c r="L5672" s="6" t="str">
        <f>HYPERLINK("https://maps.google.com/?q=16.438323,-97.855237000000002", "🔗 Ver Mapa")</f>
        <v>🔗 Ver Mapa</v>
      </c>
    </row>
    <row r="5673" spans="1:12" ht="43.5" x14ac:dyDescent="0.35">
      <c r="A5673" s="5" t="s">
        <v>98</v>
      </c>
      <c r="B5673" s="5" t="s">
        <v>99</v>
      </c>
      <c r="C5673" s="5" t="s">
        <v>1119</v>
      </c>
      <c r="D5673" s="5" t="s">
        <v>14</v>
      </c>
      <c r="E5673" s="5" t="s">
        <v>17</v>
      </c>
      <c r="F5673" s="5" t="s">
        <v>59</v>
      </c>
      <c r="G5673" s="5" t="s">
        <v>1115</v>
      </c>
      <c r="H5673" s="5" t="s">
        <v>1120</v>
      </c>
      <c r="I5673" s="5" t="s">
        <v>31</v>
      </c>
      <c r="J5673" s="5">
        <v>16.431947999999998</v>
      </c>
      <c r="K5673" s="5">
        <v>-97.897227999999998</v>
      </c>
      <c r="L5673" s="5" t="str">
        <f>HYPERLINK("https://maps.google.com/?q=16.431948,-97.897227999999998", "🔗 Ver Mapa")</f>
        <v>🔗 Ver Mapa</v>
      </c>
    </row>
    <row r="5674" spans="1:12" ht="43.5" x14ac:dyDescent="0.35">
      <c r="A5674" s="6" t="s">
        <v>98</v>
      </c>
      <c r="B5674" s="6" t="s">
        <v>99</v>
      </c>
      <c r="C5674" s="6" t="s">
        <v>1119</v>
      </c>
      <c r="D5674" s="6" t="s">
        <v>14</v>
      </c>
      <c r="E5674" s="6" t="s">
        <v>17</v>
      </c>
      <c r="F5674" s="6" t="s">
        <v>59</v>
      </c>
      <c r="G5674" s="6" t="s">
        <v>1115</v>
      </c>
      <c r="H5674" s="6" t="s">
        <v>1120</v>
      </c>
      <c r="I5674" s="6" t="s">
        <v>31</v>
      </c>
      <c r="J5674" s="6">
        <v>16.431985999999998</v>
      </c>
      <c r="K5674" s="6">
        <v>-97.897417000000004</v>
      </c>
      <c r="L5674" s="6" t="str">
        <f>HYPERLINK("https://maps.google.com/?q=16.431986,-97.897417000000004", "🔗 Ver Mapa")</f>
        <v>🔗 Ver Mapa</v>
      </c>
    </row>
    <row r="5675" spans="1:12" ht="43.5" x14ac:dyDescent="0.35">
      <c r="A5675" s="5" t="s">
        <v>98</v>
      </c>
      <c r="B5675" s="5" t="s">
        <v>99</v>
      </c>
      <c r="C5675" s="5" t="s">
        <v>1119</v>
      </c>
      <c r="D5675" s="5" t="s">
        <v>14</v>
      </c>
      <c r="E5675" s="5" t="s">
        <v>17</v>
      </c>
      <c r="F5675" s="5" t="s">
        <v>59</v>
      </c>
      <c r="G5675" s="5" t="s">
        <v>1115</v>
      </c>
      <c r="H5675" s="5" t="s">
        <v>1120</v>
      </c>
      <c r="I5675" s="5" t="s">
        <v>31</v>
      </c>
      <c r="J5675" s="5">
        <v>16.432395</v>
      </c>
      <c r="K5675" s="5">
        <v>-97.898263</v>
      </c>
      <c r="L5675" s="5" t="str">
        <f>HYPERLINK("https://maps.google.com/?q=16.432395,-97.898263", "🔗 Ver Mapa")</f>
        <v>🔗 Ver Mapa</v>
      </c>
    </row>
    <row r="5676" spans="1:12" ht="43.5" x14ac:dyDescent="0.35">
      <c r="A5676" s="6" t="s">
        <v>98</v>
      </c>
      <c r="B5676" s="6" t="s">
        <v>99</v>
      </c>
      <c r="C5676" s="6" t="s">
        <v>1119</v>
      </c>
      <c r="D5676" s="6" t="s">
        <v>14</v>
      </c>
      <c r="E5676" s="6" t="s">
        <v>17</v>
      </c>
      <c r="F5676" s="6" t="s">
        <v>59</v>
      </c>
      <c r="G5676" s="6" t="s">
        <v>1115</v>
      </c>
      <c r="H5676" s="6" t="s">
        <v>1120</v>
      </c>
      <c r="I5676" s="6" t="s">
        <v>31</v>
      </c>
      <c r="J5676" s="6">
        <v>16.432552000000001</v>
      </c>
      <c r="K5676" s="6">
        <v>-97.897970999999998</v>
      </c>
      <c r="L5676" s="6" t="str">
        <f>HYPERLINK("https://maps.google.com/?q=16.432552,-97.897970999999998", "🔗 Ver Mapa")</f>
        <v>🔗 Ver Mapa</v>
      </c>
    </row>
    <row r="5677" spans="1:12" ht="43.5" x14ac:dyDescent="0.35">
      <c r="A5677" s="5" t="s">
        <v>98</v>
      </c>
      <c r="B5677" s="5" t="s">
        <v>99</v>
      </c>
      <c r="C5677" s="5" t="s">
        <v>1119</v>
      </c>
      <c r="D5677" s="5" t="s">
        <v>14</v>
      </c>
      <c r="E5677" s="5" t="s">
        <v>17</v>
      </c>
      <c r="F5677" s="5" t="s">
        <v>59</v>
      </c>
      <c r="G5677" s="5" t="s">
        <v>1115</v>
      </c>
      <c r="H5677" s="5" t="s">
        <v>1120</v>
      </c>
      <c r="I5677" s="5" t="s">
        <v>31</v>
      </c>
      <c r="J5677" s="5">
        <v>16.432887000000001</v>
      </c>
      <c r="K5677" s="5">
        <v>-97.898255000000006</v>
      </c>
      <c r="L5677" s="5" t="str">
        <f>HYPERLINK("https://maps.google.com/?q=16.432887,-97.898255000000006", "🔗 Ver Mapa")</f>
        <v>🔗 Ver Mapa</v>
      </c>
    </row>
    <row r="5678" spans="1:12" ht="43.5" x14ac:dyDescent="0.35">
      <c r="A5678" s="6" t="s">
        <v>98</v>
      </c>
      <c r="B5678" s="6" t="s">
        <v>99</v>
      </c>
      <c r="C5678" s="6" t="s">
        <v>1119</v>
      </c>
      <c r="D5678" s="6" t="s">
        <v>14</v>
      </c>
      <c r="E5678" s="6" t="s">
        <v>17</v>
      </c>
      <c r="F5678" s="6" t="s">
        <v>59</v>
      </c>
      <c r="G5678" s="6" t="s">
        <v>1115</v>
      </c>
      <c r="H5678" s="6" t="s">
        <v>1120</v>
      </c>
      <c r="I5678" s="6" t="s">
        <v>31</v>
      </c>
      <c r="J5678" s="6">
        <v>16.43291</v>
      </c>
      <c r="K5678" s="6">
        <v>-97.898432</v>
      </c>
      <c r="L5678" s="6" t="str">
        <f>HYPERLINK("https://maps.google.com/?q=16.43291,-97.898432", "🔗 Ver Mapa")</f>
        <v>🔗 Ver Mapa</v>
      </c>
    </row>
    <row r="5679" spans="1:12" ht="43.5" x14ac:dyDescent="0.35">
      <c r="A5679" s="5" t="s">
        <v>98</v>
      </c>
      <c r="B5679" s="5" t="s">
        <v>99</v>
      </c>
      <c r="C5679" s="5" t="s">
        <v>1119</v>
      </c>
      <c r="D5679" s="5" t="s">
        <v>14</v>
      </c>
      <c r="E5679" s="5" t="s">
        <v>17</v>
      </c>
      <c r="F5679" s="5" t="s">
        <v>59</v>
      </c>
      <c r="G5679" s="5" t="s">
        <v>1115</v>
      </c>
      <c r="H5679" s="5" t="s">
        <v>1120</v>
      </c>
      <c r="I5679" s="5" t="s">
        <v>31</v>
      </c>
      <c r="J5679" s="5">
        <v>16.432970999999998</v>
      </c>
      <c r="K5679" s="5">
        <v>-97.899437000000006</v>
      </c>
      <c r="L5679" s="5" t="str">
        <f>HYPERLINK("https://maps.google.com/?q=16.432971,-97.899437000000006", "🔗 Ver Mapa")</f>
        <v>🔗 Ver Mapa</v>
      </c>
    </row>
    <row r="5680" spans="1:12" ht="43.5" x14ac:dyDescent="0.35">
      <c r="A5680" s="6" t="s">
        <v>98</v>
      </c>
      <c r="B5680" s="6" t="s">
        <v>99</v>
      </c>
      <c r="C5680" s="6" t="s">
        <v>1119</v>
      </c>
      <c r="D5680" s="6" t="s">
        <v>14</v>
      </c>
      <c r="E5680" s="6" t="s">
        <v>17</v>
      </c>
      <c r="F5680" s="6" t="s">
        <v>59</v>
      </c>
      <c r="G5680" s="6" t="s">
        <v>1115</v>
      </c>
      <c r="H5680" s="6" t="s">
        <v>1120</v>
      </c>
      <c r="I5680" s="6" t="s">
        <v>31</v>
      </c>
      <c r="J5680" s="6">
        <v>16.433112999999999</v>
      </c>
      <c r="K5680" s="6">
        <v>-97.899503999999993</v>
      </c>
      <c r="L5680" s="6" t="str">
        <f>HYPERLINK("https://maps.google.com/?q=16.433113,-97.899503999999993", "🔗 Ver Mapa")</f>
        <v>🔗 Ver Mapa</v>
      </c>
    </row>
    <row r="5681" spans="1:12" ht="43.5" x14ac:dyDescent="0.35">
      <c r="A5681" s="5" t="s">
        <v>98</v>
      </c>
      <c r="B5681" s="5" t="s">
        <v>99</v>
      </c>
      <c r="C5681" s="5" t="s">
        <v>1119</v>
      </c>
      <c r="D5681" s="5" t="s">
        <v>14</v>
      </c>
      <c r="E5681" s="5" t="s">
        <v>17</v>
      </c>
      <c r="F5681" s="5" t="s">
        <v>59</v>
      </c>
      <c r="G5681" s="5" t="s">
        <v>1115</v>
      </c>
      <c r="H5681" s="5" t="s">
        <v>1120</v>
      </c>
      <c r="I5681" s="5" t="s">
        <v>31</v>
      </c>
      <c r="J5681" s="5">
        <v>16.433745999999999</v>
      </c>
      <c r="K5681" s="5">
        <v>-97.899783999999997</v>
      </c>
      <c r="L5681" s="5" t="str">
        <f>HYPERLINK("https://maps.google.com/?q=16.433746,-97.899783999999997", "🔗 Ver Mapa")</f>
        <v>🔗 Ver Mapa</v>
      </c>
    </row>
    <row r="5682" spans="1:12" ht="43.5" x14ac:dyDescent="0.35">
      <c r="A5682" s="6" t="s">
        <v>98</v>
      </c>
      <c r="B5682" s="6" t="s">
        <v>99</v>
      </c>
      <c r="C5682" s="6" t="s">
        <v>1119</v>
      </c>
      <c r="D5682" s="6" t="s">
        <v>14</v>
      </c>
      <c r="E5682" s="6" t="s">
        <v>17</v>
      </c>
      <c r="F5682" s="6" t="s">
        <v>59</v>
      </c>
      <c r="G5682" s="6" t="s">
        <v>1115</v>
      </c>
      <c r="H5682" s="6" t="s">
        <v>1120</v>
      </c>
      <c r="I5682" s="6" t="s">
        <v>31</v>
      </c>
      <c r="J5682" s="6">
        <v>16.433769000000002</v>
      </c>
      <c r="K5682" s="6">
        <v>-97.897542000000001</v>
      </c>
      <c r="L5682" s="6" t="str">
        <f>HYPERLINK("https://maps.google.com/?q=16.433769,-97.897542000000001", "🔗 Ver Mapa")</f>
        <v>🔗 Ver Mapa</v>
      </c>
    </row>
    <row r="5683" spans="1:12" ht="43.5" x14ac:dyDescent="0.35">
      <c r="A5683" s="5" t="s">
        <v>98</v>
      </c>
      <c r="B5683" s="5" t="s">
        <v>99</v>
      </c>
      <c r="C5683" s="5" t="s">
        <v>1119</v>
      </c>
      <c r="D5683" s="5" t="s">
        <v>14</v>
      </c>
      <c r="E5683" s="5" t="s">
        <v>17</v>
      </c>
      <c r="F5683" s="5" t="s">
        <v>59</v>
      </c>
      <c r="G5683" s="5" t="s">
        <v>1115</v>
      </c>
      <c r="H5683" s="5" t="s">
        <v>1120</v>
      </c>
      <c r="I5683" s="5" t="s">
        <v>31</v>
      </c>
      <c r="J5683" s="5">
        <v>16.433776999999999</v>
      </c>
      <c r="K5683" s="5">
        <v>-97.899511000000004</v>
      </c>
      <c r="L5683" s="5" t="str">
        <f>HYPERLINK("https://maps.google.com/?q=16.433777,-97.899511000000004", "🔗 Ver Mapa")</f>
        <v>🔗 Ver Mapa</v>
      </c>
    </row>
    <row r="5684" spans="1:12" ht="43.5" x14ac:dyDescent="0.35">
      <c r="A5684" s="6" t="s">
        <v>98</v>
      </c>
      <c r="B5684" s="6" t="s">
        <v>99</v>
      </c>
      <c r="C5684" s="6" t="s">
        <v>1119</v>
      </c>
      <c r="D5684" s="6" t="s">
        <v>14</v>
      </c>
      <c r="E5684" s="6" t="s">
        <v>17</v>
      </c>
      <c r="F5684" s="6" t="s">
        <v>59</v>
      </c>
      <c r="G5684" s="6" t="s">
        <v>1115</v>
      </c>
      <c r="H5684" s="6" t="s">
        <v>1120</v>
      </c>
      <c r="I5684" s="6" t="s">
        <v>31</v>
      </c>
      <c r="J5684" s="6">
        <v>16.433823</v>
      </c>
      <c r="K5684" s="6">
        <v>-97.901014000000004</v>
      </c>
      <c r="L5684" s="6" t="str">
        <f>HYPERLINK("https://maps.google.com/?q=16.433823,-97.901014000000004", "🔗 Ver Mapa")</f>
        <v>🔗 Ver Mapa</v>
      </c>
    </row>
    <row r="5685" spans="1:12" ht="43.5" x14ac:dyDescent="0.35">
      <c r="A5685" s="5" t="s">
        <v>98</v>
      </c>
      <c r="B5685" s="5" t="s">
        <v>99</v>
      </c>
      <c r="C5685" s="5" t="s">
        <v>1119</v>
      </c>
      <c r="D5685" s="5" t="s">
        <v>14</v>
      </c>
      <c r="E5685" s="5" t="s">
        <v>17</v>
      </c>
      <c r="F5685" s="5" t="s">
        <v>59</v>
      </c>
      <c r="G5685" s="5" t="s">
        <v>1115</v>
      </c>
      <c r="H5685" s="5" t="s">
        <v>1120</v>
      </c>
      <c r="I5685" s="5" t="s">
        <v>31</v>
      </c>
      <c r="J5685" s="5">
        <v>16.433941999999998</v>
      </c>
      <c r="K5685" s="5">
        <v>-97.900650999999996</v>
      </c>
      <c r="L5685" s="5" t="str">
        <f>HYPERLINK("https://maps.google.com/?q=16.433942,-97.900650999999996", "🔗 Ver Mapa")</f>
        <v>🔗 Ver Mapa</v>
      </c>
    </row>
    <row r="5686" spans="1:12" ht="43.5" x14ac:dyDescent="0.35">
      <c r="A5686" s="6" t="s">
        <v>98</v>
      </c>
      <c r="B5686" s="6" t="s">
        <v>99</v>
      </c>
      <c r="C5686" s="6" t="s">
        <v>1119</v>
      </c>
      <c r="D5686" s="6" t="s">
        <v>14</v>
      </c>
      <c r="E5686" s="6" t="s">
        <v>17</v>
      </c>
      <c r="F5686" s="6" t="s">
        <v>59</v>
      </c>
      <c r="G5686" s="6" t="s">
        <v>1115</v>
      </c>
      <c r="H5686" s="6" t="s">
        <v>1120</v>
      </c>
      <c r="I5686" s="6" t="s">
        <v>31</v>
      </c>
      <c r="J5686" s="6">
        <v>16.434007999999999</v>
      </c>
      <c r="K5686" s="6">
        <v>-97.897402</v>
      </c>
      <c r="L5686" s="6" t="str">
        <f>HYPERLINK("https://maps.google.com/?q=16.434008,-97.897402", "🔗 Ver Mapa")</f>
        <v>🔗 Ver Mapa</v>
      </c>
    </row>
    <row r="5687" spans="1:12" ht="43.5" x14ac:dyDescent="0.35">
      <c r="A5687" s="5" t="s">
        <v>98</v>
      </c>
      <c r="B5687" s="5" t="s">
        <v>99</v>
      </c>
      <c r="C5687" s="5" t="s">
        <v>1119</v>
      </c>
      <c r="D5687" s="5" t="s">
        <v>14</v>
      </c>
      <c r="E5687" s="5" t="s">
        <v>17</v>
      </c>
      <c r="F5687" s="5" t="s">
        <v>59</v>
      </c>
      <c r="G5687" s="5" t="s">
        <v>1115</v>
      </c>
      <c r="H5687" s="5" t="s">
        <v>1120</v>
      </c>
      <c r="I5687" s="5" t="s">
        <v>31</v>
      </c>
      <c r="J5687" s="5">
        <v>16.434128999999999</v>
      </c>
      <c r="K5687" s="5">
        <v>-97.897231000000005</v>
      </c>
      <c r="L5687" s="5" t="str">
        <f>HYPERLINK("https://maps.google.com/?q=16.434129,-97.897231000000005", "🔗 Ver Mapa")</f>
        <v>🔗 Ver Mapa</v>
      </c>
    </row>
    <row r="5688" spans="1:12" ht="43.5" x14ac:dyDescent="0.35">
      <c r="A5688" s="6" t="s">
        <v>98</v>
      </c>
      <c r="B5688" s="6" t="s">
        <v>99</v>
      </c>
      <c r="C5688" s="6" t="s">
        <v>1119</v>
      </c>
      <c r="D5688" s="6" t="s">
        <v>14</v>
      </c>
      <c r="E5688" s="6" t="s">
        <v>17</v>
      </c>
      <c r="F5688" s="6" t="s">
        <v>59</v>
      </c>
      <c r="G5688" s="6" t="s">
        <v>1115</v>
      </c>
      <c r="H5688" s="6" t="s">
        <v>1120</v>
      </c>
      <c r="I5688" s="6" t="s">
        <v>31</v>
      </c>
      <c r="J5688" s="6">
        <v>16.43459</v>
      </c>
      <c r="K5688" s="6">
        <v>-97.902056000000002</v>
      </c>
      <c r="L5688" s="6" t="str">
        <f>HYPERLINK("https://maps.google.com/?q=16.43459,-97.902056000000002", "🔗 Ver Mapa")</f>
        <v>🔗 Ver Mapa</v>
      </c>
    </row>
    <row r="5689" spans="1:12" ht="43.5" x14ac:dyDescent="0.35">
      <c r="A5689" s="5" t="s">
        <v>98</v>
      </c>
      <c r="B5689" s="5" t="s">
        <v>99</v>
      </c>
      <c r="C5689" s="5" t="s">
        <v>1119</v>
      </c>
      <c r="D5689" s="5" t="s">
        <v>14</v>
      </c>
      <c r="E5689" s="5" t="s">
        <v>17</v>
      </c>
      <c r="F5689" s="5" t="s">
        <v>59</v>
      </c>
      <c r="G5689" s="5" t="s">
        <v>1115</v>
      </c>
      <c r="H5689" s="5" t="s">
        <v>1120</v>
      </c>
      <c r="I5689" s="5" t="s">
        <v>31</v>
      </c>
      <c r="J5689" s="5">
        <v>16.434788999999999</v>
      </c>
      <c r="K5689" s="5">
        <v>-97.902372</v>
      </c>
      <c r="L5689" s="5" t="str">
        <f>HYPERLINK("https://maps.google.com/?q=16.434789,-97.902372", "🔗 Ver Mapa")</f>
        <v>🔗 Ver Mapa</v>
      </c>
    </row>
    <row r="5690" spans="1:12" ht="43.5" x14ac:dyDescent="0.35">
      <c r="A5690" s="6" t="s">
        <v>98</v>
      </c>
      <c r="B5690" s="6" t="s">
        <v>99</v>
      </c>
      <c r="C5690" s="6" t="s">
        <v>1119</v>
      </c>
      <c r="D5690" s="6" t="s">
        <v>14</v>
      </c>
      <c r="E5690" s="6" t="s">
        <v>17</v>
      </c>
      <c r="F5690" s="6" t="s">
        <v>59</v>
      </c>
      <c r="G5690" s="6" t="s">
        <v>1115</v>
      </c>
      <c r="H5690" s="6" t="s">
        <v>1120</v>
      </c>
      <c r="I5690" s="6" t="s">
        <v>31</v>
      </c>
      <c r="J5690" s="6">
        <v>16.434929</v>
      </c>
      <c r="K5690" s="6">
        <v>-97.902206000000007</v>
      </c>
      <c r="L5690" s="6" t="str">
        <f>HYPERLINK("https://maps.google.com/?q=16.434929,-97.902206000000007", "🔗 Ver Mapa")</f>
        <v>🔗 Ver Mapa</v>
      </c>
    </row>
    <row r="5691" spans="1:12" ht="43.5" x14ac:dyDescent="0.35">
      <c r="A5691" s="5" t="s">
        <v>98</v>
      </c>
      <c r="B5691" s="5" t="s">
        <v>99</v>
      </c>
      <c r="C5691" s="5" t="s">
        <v>1119</v>
      </c>
      <c r="D5691" s="5" t="s">
        <v>14</v>
      </c>
      <c r="E5691" s="5" t="s">
        <v>17</v>
      </c>
      <c r="F5691" s="5" t="s">
        <v>59</v>
      </c>
      <c r="G5691" s="5" t="s">
        <v>1115</v>
      </c>
      <c r="H5691" s="5" t="s">
        <v>1120</v>
      </c>
      <c r="I5691" s="5" t="s">
        <v>31</v>
      </c>
      <c r="J5691" s="5">
        <v>16.434930000000001</v>
      </c>
      <c r="K5691" s="5">
        <v>-97.901736</v>
      </c>
      <c r="L5691" s="5" t="str">
        <f>HYPERLINK("https://maps.google.com/?q=16.43493,-97.901736", "🔗 Ver Mapa")</f>
        <v>🔗 Ver Mapa</v>
      </c>
    </row>
    <row r="5692" spans="1:12" ht="43.5" x14ac:dyDescent="0.35">
      <c r="A5692" s="6" t="s">
        <v>98</v>
      </c>
      <c r="B5692" s="6" t="s">
        <v>99</v>
      </c>
      <c r="C5692" s="6" t="s">
        <v>1119</v>
      </c>
      <c r="D5692" s="6" t="s">
        <v>14</v>
      </c>
      <c r="E5692" s="6" t="s">
        <v>17</v>
      </c>
      <c r="F5692" s="6" t="s">
        <v>59</v>
      </c>
      <c r="G5692" s="6" t="s">
        <v>1115</v>
      </c>
      <c r="H5692" s="6" t="s">
        <v>1120</v>
      </c>
      <c r="I5692" s="6" t="s">
        <v>31</v>
      </c>
      <c r="J5692" s="6">
        <v>16.435082000000001</v>
      </c>
      <c r="K5692" s="6">
        <v>-97.902479</v>
      </c>
      <c r="L5692" s="6" t="str">
        <f>HYPERLINK("https://maps.google.com/?q=16.435082,-97.902479", "🔗 Ver Mapa")</f>
        <v>🔗 Ver Mapa</v>
      </c>
    </row>
    <row r="5693" spans="1:12" ht="43.5" x14ac:dyDescent="0.35">
      <c r="A5693" s="5" t="s">
        <v>98</v>
      </c>
      <c r="B5693" s="5" t="s">
        <v>99</v>
      </c>
      <c r="C5693" s="5" t="s">
        <v>1121</v>
      </c>
      <c r="D5693" s="5" t="s">
        <v>14</v>
      </c>
      <c r="E5693" s="5" t="s">
        <v>16</v>
      </c>
      <c r="F5693" s="5" t="s">
        <v>145</v>
      </c>
      <c r="G5693" s="5" t="s">
        <v>526</v>
      </c>
      <c r="H5693" s="5" t="s">
        <v>527</v>
      </c>
      <c r="I5693" s="5" t="s">
        <v>31</v>
      </c>
      <c r="J5693" s="5">
        <v>17.939773918274</v>
      </c>
      <c r="K5693" s="5">
        <v>-97.970763784192997</v>
      </c>
      <c r="L5693" s="5" t="str">
        <f>HYPERLINK("https://maps.google.com/?q=17.9397739182738,-97.970763784193196", "🔗 Ver Mapa")</f>
        <v>🔗 Ver Mapa</v>
      </c>
    </row>
    <row r="5694" spans="1:12" ht="43.5" x14ac:dyDescent="0.35">
      <c r="A5694" s="6" t="s">
        <v>98</v>
      </c>
      <c r="B5694" s="6" t="s">
        <v>99</v>
      </c>
      <c r="C5694" s="6" t="s">
        <v>1121</v>
      </c>
      <c r="D5694" s="6" t="s">
        <v>14</v>
      </c>
      <c r="E5694" s="6" t="s">
        <v>16</v>
      </c>
      <c r="F5694" s="6" t="s">
        <v>145</v>
      </c>
      <c r="G5694" s="6" t="s">
        <v>526</v>
      </c>
      <c r="H5694" s="6" t="s">
        <v>527</v>
      </c>
      <c r="I5694" s="6" t="s">
        <v>31</v>
      </c>
      <c r="J5694" s="6">
        <v>17.940388901533002</v>
      </c>
      <c r="K5694" s="6">
        <v>-97.970688682341006</v>
      </c>
      <c r="L5694" s="6" t="str">
        <f>HYPERLINK("https://maps.google.com/?q=17.9403889015327,-97.970688682341006", "🔗 Ver Mapa")</f>
        <v>🔗 Ver Mapa</v>
      </c>
    </row>
    <row r="5695" spans="1:12" ht="43.5" x14ac:dyDescent="0.35">
      <c r="A5695" s="5" t="s">
        <v>98</v>
      </c>
      <c r="B5695" s="5" t="s">
        <v>99</v>
      </c>
      <c r="C5695" s="5" t="s">
        <v>1121</v>
      </c>
      <c r="D5695" s="5" t="s">
        <v>14</v>
      </c>
      <c r="E5695" s="5" t="s">
        <v>16</v>
      </c>
      <c r="F5695" s="5" t="s">
        <v>145</v>
      </c>
      <c r="G5695" s="5" t="s">
        <v>526</v>
      </c>
      <c r="H5695" s="5" t="s">
        <v>527</v>
      </c>
      <c r="I5695" s="5" t="s">
        <v>31</v>
      </c>
      <c r="J5695" s="5">
        <v>17.941908050470001</v>
      </c>
      <c r="K5695" s="5">
        <v>-97.971588273357995</v>
      </c>
      <c r="L5695" s="5" t="str">
        <f>HYPERLINK("https://maps.google.com/?q=17.9419080504698,-97.971588273358094", "🔗 Ver Mapa")</f>
        <v>🔗 Ver Mapa</v>
      </c>
    </row>
    <row r="5696" spans="1:12" ht="43.5" x14ac:dyDescent="0.35">
      <c r="A5696" s="6" t="s">
        <v>98</v>
      </c>
      <c r="B5696" s="6" t="s">
        <v>99</v>
      </c>
      <c r="C5696" s="6" t="s">
        <v>1121</v>
      </c>
      <c r="D5696" s="6" t="s">
        <v>14</v>
      </c>
      <c r="E5696" s="6" t="s">
        <v>16</v>
      </c>
      <c r="F5696" s="6" t="s">
        <v>145</v>
      </c>
      <c r="G5696" s="6" t="s">
        <v>526</v>
      </c>
      <c r="H5696" s="6" t="s">
        <v>527</v>
      </c>
      <c r="I5696" s="6" t="s">
        <v>31</v>
      </c>
      <c r="J5696" s="6">
        <v>17.942491462789</v>
      </c>
      <c r="K5696" s="6">
        <v>-97.972338413162007</v>
      </c>
      <c r="L5696" s="6" t="str">
        <f>HYPERLINK("https://maps.google.com/?q=17.9424914627891,-97.972338413161694", "🔗 Ver Mapa")</f>
        <v>🔗 Ver Mapa</v>
      </c>
    </row>
    <row r="5697" spans="1:12" ht="43.5" x14ac:dyDescent="0.35">
      <c r="A5697" s="5" t="s">
        <v>98</v>
      </c>
      <c r="B5697" s="5" t="s">
        <v>99</v>
      </c>
      <c r="C5697" s="5" t="s">
        <v>1121</v>
      </c>
      <c r="D5697" s="5" t="s">
        <v>14</v>
      </c>
      <c r="E5697" s="5" t="s">
        <v>16</v>
      </c>
      <c r="F5697" s="5" t="s">
        <v>145</v>
      </c>
      <c r="G5697" s="5" t="s">
        <v>526</v>
      </c>
      <c r="H5697" s="5" t="s">
        <v>527</v>
      </c>
      <c r="I5697" s="5" t="s">
        <v>31</v>
      </c>
      <c r="J5697" s="5">
        <v>17.943150758784999</v>
      </c>
      <c r="K5697" s="5">
        <v>-97.965842981649999</v>
      </c>
      <c r="L5697" s="5" t="str">
        <f>HYPERLINK("https://maps.google.com/?q=17.9431507587851,-97.9658429816498", "🔗 Ver Mapa")</f>
        <v>🔗 Ver Mapa</v>
      </c>
    </row>
    <row r="5698" spans="1:12" ht="43.5" x14ac:dyDescent="0.35">
      <c r="A5698" s="6" t="s">
        <v>98</v>
      </c>
      <c r="B5698" s="6" t="s">
        <v>99</v>
      </c>
      <c r="C5698" s="6" t="s">
        <v>1121</v>
      </c>
      <c r="D5698" s="6" t="s">
        <v>14</v>
      </c>
      <c r="E5698" s="6" t="s">
        <v>16</v>
      </c>
      <c r="F5698" s="6" t="s">
        <v>145</v>
      </c>
      <c r="G5698" s="6" t="s">
        <v>526</v>
      </c>
      <c r="H5698" s="6" t="s">
        <v>527</v>
      </c>
      <c r="I5698" s="6" t="s">
        <v>31</v>
      </c>
      <c r="J5698" s="6">
        <v>17.943263860895001</v>
      </c>
      <c r="K5698" s="6">
        <v>-97.964479141091005</v>
      </c>
      <c r="L5698" s="6" t="str">
        <f>HYPERLINK("https://maps.google.com/?q=17.9432638608949,-97.964479141090905", "🔗 Ver Mapa")</f>
        <v>🔗 Ver Mapa</v>
      </c>
    </row>
    <row r="5699" spans="1:12" ht="43.5" x14ac:dyDescent="0.35">
      <c r="A5699" s="5" t="s">
        <v>98</v>
      </c>
      <c r="B5699" s="5" t="s">
        <v>99</v>
      </c>
      <c r="C5699" s="5" t="s">
        <v>1121</v>
      </c>
      <c r="D5699" s="5" t="s">
        <v>14</v>
      </c>
      <c r="E5699" s="5" t="s">
        <v>16</v>
      </c>
      <c r="F5699" s="5" t="s">
        <v>145</v>
      </c>
      <c r="G5699" s="5" t="s">
        <v>526</v>
      </c>
      <c r="H5699" s="5" t="s">
        <v>527</v>
      </c>
      <c r="I5699" s="5" t="s">
        <v>31</v>
      </c>
      <c r="J5699" s="5">
        <v>17.943286560766001</v>
      </c>
      <c r="K5699" s="5">
        <v>-97.971026009835995</v>
      </c>
      <c r="L5699" s="5" t="str">
        <f>HYPERLINK("https://maps.google.com/?q=17.9432865607664,-97.971026009836194", "🔗 Ver Mapa")</f>
        <v>🔗 Ver Mapa</v>
      </c>
    </row>
    <row r="5700" spans="1:12" ht="43.5" x14ac:dyDescent="0.35">
      <c r="A5700" s="6" t="s">
        <v>98</v>
      </c>
      <c r="B5700" s="6" t="s">
        <v>99</v>
      </c>
      <c r="C5700" s="6" t="s">
        <v>1121</v>
      </c>
      <c r="D5700" s="6" t="s">
        <v>14</v>
      </c>
      <c r="E5700" s="6" t="s">
        <v>16</v>
      </c>
      <c r="F5700" s="6" t="s">
        <v>145</v>
      </c>
      <c r="G5700" s="6" t="s">
        <v>526</v>
      </c>
      <c r="H5700" s="6" t="s">
        <v>527</v>
      </c>
      <c r="I5700" s="6" t="s">
        <v>31</v>
      </c>
      <c r="J5700" s="6">
        <v>17.943714486316001</v>
      </c>
      <c r="K5700" s="6">
        <v>-97.966201152115005</v>
      </c>
      <c r="L5700" s="6" t="str">
        <f>HYPERLINK("https://maps.google.com/?q=17.9437144863163,-97.966201152114905", "🔗 Ver Mapa")</f>
        <v>🔗 Ver Mapa</v>
      </c>
    </row>
    <row r="5701" spans="1:12" ht="43.5" x14ac:dyDescent="0.35">
      <c r="A5701" s="5" t="s">
        <v>98</v>
      </c>
      <c r="B5701" s="5" t="s">
        <v>99</v>
      </c>
      <c r="C5701" s="5" t="s">
        <v>1121</v>
      </c>
      <c r="D5701" s="5" t="s">
        <v>14</v>
      </c>
      <c r="E5701" s="5" t="s">
        <v>16</v>
      </c>
      <c r="F5701" s="5" t="s">
        <v>145</v>
      </c>
      <c r="G5701" s="5" t="s">
        <v>526</v>
      </c>
      <c r="H5701" s="5" t="s">
        <v>527</v>
      </c>
      <c r="I5701" s="5" t="s">
        <v>31</v>
      </c>
      <c r="J5701" s="5">
        <v>17.946848140579</v>
      </c>
      <c r="K5701" s="5">
        <v>-97.966508440476005</v>
      </c>
      <c r="L5701" s="5" t="str">
        <f>HYPERLINK("https://maps.google.com/?q=17.9468481405787,-97.966508440475806", "🔗 Ver Mapa")</f>
        <v>🔗 Ver Mapa</v>
      </c>
    </row>
    <row r="5702" spans="1:12" ht="43.5" x14ac:dyDescent="0.35">
      <c r="A5702" s="6" t="s">
        <v>98</v>
      </c>
      <c r="B5702" s="6" t="s">
        <v>99</v>
      </c>
      <c r="C5702" s="6" t="s">
        <v>1122</v>
      </c>
      <c r="D5702" s="6" t="s">
        <v>14</v>
      </c>
      <c r="E5702" s="6" t="s">
        <v>90</v>
      </c>
      <c r="F5702" s="6" t="s">
        <v>678</v>
      </c>
      <c r="G5702" s="6" t="s">
        <v>1123</v>
      </c>
      <c r="H5702" s="6" t="s">
        <v>1124</v>
      </c>
      <c r="I5702" s="6" t="s">
        <v>31</v>
      </c>
      <c r="J5702" s="6">
        <v>17.428137320000001</v>
      </c>
      <c r="K5702" s="6">
        <v>-96.284072820000006</v>
      </c>
      <c r="L5702" s="6" t="str">
        <f>HYPERLINK("https://maps.google.com/?q=17.42813732,-96.284072820000006", "🔗 Ver Mapa")</f>
        <v>🔗 Ver Mapa</v>
      </c>
    </row>
    <row r="5703" spans="1:12" ht="43.5" x14ac:dyDescent="0.35">
      <c r="A5703" s="5" t="s">
        <v>98</v>
      </c>
      <c r="B5703" s="5" t="s">
        <v>99</v>
      </c>
      <c r="C5703" s="5" t="s">
        <v>1122</v>
      </c>
      <c r="D5703" s="5" t="s">
        <v>14</v>
      </c>
      <c r="E5703" s="5" t="s">
        <v>90</v>
      </c>
      <c r="F5703" s="5" t="s">
        <v>678</v>
      </c>
      <c r="G5703" s="5" t="s">
        <v>1123</v>
      </c>
      <c r="H5703" s="5" t="s">
        <v>1124</v>
      </c>
      <c r="I5703" s="5" t="s">
        <v>31</v>
      </c>
      <c r="J5703" s="5">
        <v>17.428566100000001</v>
      </c>
      <c r="K5703" s="5">
        <v>-96.284481049999997</v>
      </c>
      <c r="L5703" s="5" t="str">
        <f>HYPERLINK("https://maps.google.com/?q=17.4285661,-96.284481049999997", "🔗 Ver Mapa")</f>
        <v>🔗 Ver Mapa</v>
      </c>
    </row>
    <row r="5704" spans="1:12" ht="43.5" x14ac:dyDescent="0.35">
      <c r="A5704" s="6" t="s">
        <v>98</v>
      </c>
      <c r="B5704" s="6" t="s">
        <v>99</v>
      </c>
      <c r="C5704" s="6" t="s">
        <v>1122</v>
      </c>
      <c r="D5704" s="6" t="s">
        <v>14</v>
      </c>
      <c r="E5704" s="6" t="s">
        <v>90</v>
      </c>
      <c r="F5704" s="6" t="s">
        <v>678</v>
      </c>
      <c r="G5704" s="6" t="s">
        <v>1123</v>
      </c>
      <c r="H5704" s="6" t="s">
        <v>1124</v>
      </c>
      <c r="I5704" s="6" t="s">
        <v>31</v>
      </c>
      <c r="J5704" s="6">
        <v>17.429069470000002</v>
      </c>
      <c r="K5704" s="6">
        <v>-96.284446200000005</v>
      </c>
      <c r="L5704" s="6" t="str">
        <f>HYPERLINK("https://maps.google.com/?q=17.42906947,-96.284446200000005", "🔗 Ver Mapa")</f>
        <v>🔗 Ver Mapa</v>
      </c>
    </row>
    <row r="5705" spans="1:12" ht="43.5" x14ac:dyDescent="0.35">
      <c r="A5705" s="5" t="s">
        <v>98</v>
      </c>
      <c r="B5705" s="5" t="s">
        <v>99</v>
      </c>
      <c r="C5705" s="5" t="s">
        <v>1122</v>
      </c>
      <c r="D5705" s="5" t="s">
        <v>14</v>
      </c>
      <c r="E5705" s="5" t="s">
        <v>90</v>
      </c>
      <c r="F5705" s="5" t="s">
        <v>678</v>
      </c>
      <c r="G5705" s="5" t="s">
        <v>1123</v>
      </c>
      <c r="H5705" s="5" t="s">
        <v>1124</v>
      </c>
      <c r="I5705" s="5" t="s">
        <v>31</v>
      </c>
      <c r="J5705" s="5">
        <v>17.429474167146001</v>
      </c>
      <c r="K5705" s="5">
        <v>-96.283800468181994</v>
      </c>
      <c r="L5705" s="5" t="str">
        <f>HYPERLINK("https://maps.google.com/?q=17.4294741671463,-96.283800468182207", "🔗 Ver Mapa")</f>
        <v>🔗 Ver Mapa</v>
      </c>
    </row>
    <row r="5706" spans="1:12" ht="43.5" x14ac:dyDescent="0.35">
      <c r="A5706" s="6" t="s">
        <v>98</v>
      </c>
      <c r="B5706" s="6" t="s">
        <v>99</v>
      </c>
      <c r="C5706" s="6" t="s">
        <v>1122</v>
      </c>
      <c r="D5706" s="6" t="s">
        <v>14</v>
      </c>
      <c r="E5706" s="6" t="s">
        <v>90</v>
      </c>
      <c r="F5706" s="6" t="s">
        <v>678</v>
      </c>
      <c r="G5706" s="6" t="s">
        <v>1123</v>
      </c>
      <c r="H5706" s="6" t="s">
        <v>1124</v>
      </c>
      <c r="I5706" s="6" t="s">
        <v>31</v>
      </c>
      <c r="J5706" s="6">
        <v>17.42953266</v>
      </c>
      <c r="K5706" s="6">
        <v>-96.284228940000006</v>
      </c>
      <c r="L5706" s="6" t="str">
        <f>HYPERLINK("https://maps.google.com/?q=17.42953266,-96.284228940000006", "🔗 Ver Mapa")</f>
        <v>🔗 Ver Mapa</v>
      </c>
    </row>
    <row r="5707" spans="1:12" ht="43.5" x14ac:dyDescent="0.35">
      <c r="A5707" s="5" t="s">
        <v>98</v>
      </c>
      <c r="B5707" s="5" t="s">
        <v>99</v>
      </c>
      <c r="C5707" s="5" t="s">
        <v>1122</v>
      </c>
      <c r="D5707" s="5" t="s">
        <v>14</v>
      </c>
      <c r="E5707" s="5" t="s">
        <v>90</v>
      </c>
      <c r="F5707" s="5" t="s">
        <v>678</v>
      </c>
      <c r="G5707" s="5" t="s">
        <v>1123</v>
      </c>
      <c r="H5707" s="5" t="s">
        <v>1124</v>
      </c>
      <c r="I5707" s="5" t="s">
        <v>31</v>
      </c>
      <c r="J5707" s="5">
        <v>17.429792320000001</v>
      </c>
      <c r="K5707" s="5">
        <v>-96.282962190000006</v>
      </c>
      <c r="L5707" s="5" t="str">
        <f>HYPERLINK("https://maps.google.com/?q=17.42979232,-96.282962190000006", "🔗 Ver Mapa")</f>
        <v>🔗 Ver Mapa</v>
      </c>
    </row>
    <row r="5708" spans="1:12" ht="43.5" x14ac:dyDescent="0.35">
      <c r="A5708" s="6" t="s">
        <v>98</v>
      </c>
      <c r="B5708" s="6" t="s">
        <v>99</v>
      </c>
      <c r="C5708" s="6" t="s">
        <v>1122</v>
      </c>
      <c r="D5708" s="6" t="s">
        <v>14</v>
      </c>
      <c r="E5708" s="6" t="s">
        <v>90</v>
      </c>
      <c r="F5708" s="6" t="s">
        <v>678</v>
      </c>
      <c r="G5708" s="6" t="s">
        <v>1123</v>
      </c>
      <c r="H5708" s="6" t="s">
        <v>1124</v>
      </c>
      <c r="I5708" s="6" t="s">
        <v>31</v>
      </c>
      <c r="J5708" s="6">
        <v>17.429990100000001</v>
      </c>
      <c r="K5708" s="6">
        <v>-96.283797890000002</v>
      </c>
      <c r="L5708" s="6" t="str">
        <f>HYPERLINK("https://maps.google.com/?q=17.4299901,-96.283797890000002", "🔗 Ver Mapa")</f>
        <v>🔗 Ver Mapa</v>
      </c>
    </row>
    <row r="5709" spans="1:12" ht="43.5" x14ac:dyDescent="0.35">
      <c r="A5709" s="5" t="s">
        <v>98</v>
      </c>
      <c r="B5709" s="5" t="s">
        <v>99</v>
      </c>
      <c r="C5709" s="5" t="s">
        <v>1122</v>
      </c>
      <c r="D5709" s="5" t="s">
        <v>14</v>
      </c>
      <c r="E5709" s="5" t="s">
        <v>90</v>
      </c>
      <c r="F5709" s="5" t="s">
        <v>678</v>
      </c>
      <c r="G5709" s="5" t="s">
        <v>1123</v>
      </c>
      <c r="H5709" s="5" t="s">
        <v>1124</v>
      </c>
      <c r="I5709" s="5" t="s">
        <v>31</v>
      </c>
      <c r="J5709" s="5">
        <v>17.430370332723999</v>
      </c>
      <c r="K5709" s="5">
        <v>-96.282938317119999</v>
      </c>
      <c r="L5709" s="5" t="str">
        <f>HYPERLINK("https://maps.google.com/?q=17.4303703327241,-96.2829383171199", "🔗 Ver Mapa")</f>
        <v>🔗 Ver Mapa</v>
      </c>
    </row>
    <row r="5710" spans="1:12" ht="43.5" x14ac:dyDescent="0.35">
      <c r="A5710" s="6" t="s">
        <v>98</v>
      </c>
      <c r="B5710" s="6" t="s">
        <v>99</v>
      </c>
      <c r="C5710" s="6" t="s">
        <v>1122</v>
      </c>
      <c r="D5710" s="6" t="s">
        <v>14</v>
      </c>
      <c r="E5710" s="6" t="s">
        <v>90</v>
      </c>
      <c r="F5710" s="6" t="s">
        <v>678</v>
      </c>
      <c r="G5710" s="6" t="s">
        <v>1123</v>
      </c>
      <c r="H5710" s="6" t="s">
        <v>1124</v>
      </c>
      <c r="I5710" s="6" t="s">
        <v>31</v>
      </c>
      <c r="J5710" s="6">
        <v>17.430653530000001</v>
      </c>
      <c r="K5710" s="6">
        <v>-96.282834300000005</v>
      </c>
      <c r="L5710" s="6" t="str">
        <f>HYPERLINK("https://maps.google.com/?q=17.43065353,-96.282834300000005", "🔗 Ver Mapa")</f>
        <v>🔗 Ver Mapa</v>
      </c>
    </row>
    <row r="5711" spans="1:12" ht="43.5" x14ac:dyDescent="0.35">
      <c r="A5711" s="5" t="s">
        <v>98</v>
      </c>
      <c r="B5711" s="5" t="s">
        <v>99</v>
      </c>
      <c r="C5711" s="5" t="s">
        <v>1122</v>
      </c>
      <c r="D5711" s="5" t="s">
        <v>14</v>
      </c>
      <c r="E5711" s="5" t="s">
        <v>90</v>
      </c>
      <c r="F5711" s="5" t="s">
        <v>678</v>
      </c>
      <c r="G5711" s="5" t="s">
        <v>1123</v>
      </c>
      <c r="H5711" s="5" t="s">
        <v>1124</v>
      </c>
      <c r="I5711" s="5" t="s">
        <v>31</v>
      </c>
      <c r="J5711" s="5">
        <v>17.43075717</v>
      </c>
      <c r="K5711" s="5">
        <v>-96.283322470000002</v>
      </c>
      <c r="L5711" s="5" t="str">
        <f>HYPERLINK("https://maps.google.com/?q=17.43075717,-96.283322470000002", "🔗 Ver Mapa")</f>
        <v>🔗 Ver Mapa</v>
      </c>
    </row>
    <row r="5712" spans="1:12" ht="43.5" x14ac:dyDescent="0.35">
      <c r="A5712" s="6" t="s">
        <v>98</v>
      </c>
      <c r="B5712" s="6" t="s">
        <v>99</v>
      </c>
      <c r="C5712" s="6" t="s">
        <v>1122</v>
      </c>
      <c r="D5712" s="6" t="s">
        <v>14</v>
      </c>
      <c r="E5712" s="6" t="s">
        <v>90</v>
      </c>
      <c r="F5712" s="6" t="s">
        <v>678</v>
      </c>
      <c r="G5712" s="6" t="s">
        <v>1123</v>
      </c>
      <c r="H5712" s="6" t="s">
        <v>1124</v>
      </c>
      <c r="I5712" s="6" t="s">
        <v>31</v>
      </c>
      <c r="J5712" s="6">
        <v>17.430887144181</v>
      </c>
      <c r="K5712" s="6">
        <v>-96.281655670000006</v>
      </c>
      <c r="L5712" s="6" t="str">
        <f>HYPERLINK("https://maps.google.com/?q=17.430887144181,-96.281655670000106", "🔗 Ver Mapa")</f>
        <v>🔗 Ver Mapa</v>
      </c>
    </row>
    <row r="5713" spans="1:12" ht="43.5" x14ac:dyDescent="0.35">
      <c r="A5713" s="5" t="s">
        <v>98</v>
      </c>
      <c r="B5713" s="5" t="s">
        <v>99</v>
      </c>
      <c r="C5713" s="5" t="s">
        <v>1122</v>
      </c>
      <c r="D5713" s="5" t="s">
        <v>14</v>
      </c>
      <c r="E5713" s="5" t="s">
        <v>90</v>
      </c>
      <c r="F5713" s="5" t="s">
        <v>678</v>
      </c>
      <c r="G5713" s="5" t="s">
        <v>1123</v>
      </c>
      <c r="H5713" s="5" t="s">
        <v>1124</v>
      </c>
      <c r="I5713" s="5" t="s">
        <v>31</v>
      </c>
      <c r="J5713" s="5">
        <v>17.431436619999999</v>
      </c>
      <c r="K5713" s="5">
        <v>-96.28279551</v>
      </c>
      <c r="L5713" s="5" t="str">
        <f>HYPERLINK("https://maps.google.com/?q=17.43143662,-96.28279551", "🔗 Ver Mapa")</f>
        <v>🔗 Ver Mapa</v>
      </c>
    </row>
    <row r="5714" spans="1:12" ht="43.5" x14ac:dyDescent="0.35">
      <c r="A5714" s="6" t="s">
        <v>98</v>
      </c>
      <c r="B5714" s="6" t="s">
        <v>99</v>
      </c>
      <c r="C5714" s="6" t="s">
        <v>1122</v>
      </c>
      <c r="D5714" s="6" t="s">
        <v>14</v>
      </c>
      <c r="E5714" s="6" t="s">
        <v>90</v>
      </c>
      <c r="F5714" s="6" t="s">
        <v>678</v>
      </c>
      <c r="G5714" s="6" t="s">
        <v>1123</v>
      </c>
      <c r="H5714" s="6" t="s">
        <v>1124</v>
      </c>
      <c r="I5714" s="6" t="s">
        <v>31</v>
      </c>
      <c r="J5714" s="6">
        <v>17.431579429999999</v>
      </c>
      <c r="K5714" s="6">
        <v>-96.283761780000006</v>
      </c>
      <c r="L5714" s="6" t="str">
        <f>HYPERLINK("https://maps.google.com/?q=17.43157943,-96.283761780000006", "🔗 Ver Mapa")</f>
        <v>🔗 Ver Mapa</v>
      </c>
    </row>
    <row r="5715" spans="1:12" ht="43.5" x14ac:dyDescent="0.35">
      <c r="A5715" s="5" t="s">
        <v>98</v>
      </c>
      <c r="B5715" s="5" t="s">
        <v>99</v>
      </c>
      <c r="C5715" s="5" t="s">
        <v>1122</v>
      </c>
      <c r="D5715" s="5" t="s">
        <v>14</v>
      </c>
      <c r="E5715" s="5" t="s">
        <v>90</v>
      </c>
      <c r="F5715" s="5" t="s">
        <v>678</v>
      </c>
      <c r="G5715" s="5" t="s">
        <v>1123</v>
      </c>
      <c r="H5715" s="5" t="s">
        <v>1124</v>
      </c>
      <c r="I5715" s="5" t="s">
        <v>31</v>
      </c>
      <c r="J5715" s="5">
        <v>17.431660040000001</v>
      </c>
      <c r="K5715" s="5">
        <v>-96.283228019999996</v>
      </c>
      <c r="L5715" s="5" t="str">
        <f>HYPERLINK("https://maps.google.com/?q=17.43166004,-96.283228019999996", "🔗 Ver Mapa")</f>
        <v>🔗 Ver Mapa</v>
      </c>
    </row>
    <row r="5716" spans="1:12" ht="43.5" x14ac:dyDescent="0.35">
      <c r="A5716" s="6" t="s">
        <v>98</v>
      </c>
      <c r="B5716" s="6" t="s">
        <v>99</v>
      </c>
      <c r="C5716" s="6" t="s">
        <v>1122</v>
      </c>
      <c r="D5716" s="6" t="s">
        <v>14</v>
      </c>
      <c r="E5716" s="6" t="s">
        <v>90</v>
      </c>
      <c r="F5716" s="6" t="s">
        <v>678</v>
      </c>
      <c r="G5716" s="6" t="s">
        <v>1123</v>
      </c>
      <c r="H5716" s="6" t="s">
        <v>1124</v>
      </c>
      <c r="I5716" s="6" t="s">
        <v>31</v>
      </c>
      <c r="J5716" s="6">
        <v>17.43168979</v>
      </c>
      <c r="K5716" s="6">
        <v>-96.281045250000005</v>
      </c>
      <c r="L5716" s="6" t="str">
        <f>HYPERLINK("https://maps.google.com/?q=17.43168979,-96.281045250000005", "🔗 Ver Mapa")</f>
        <v>🔗 Ver Mapa</v>
      </c>
    </row>
    <row r="5717" spans="1:12" ht="43.5" x14ac:dyDescent="0.35">
      <c r="A5717" s="5" t="s">
        <v>98</v>
      </c>
      <c r="B5717" s="5" t="s">
        <v>99</v>
      </c>
      <c r="C5717" s="5" t="s">
        <v>1122</v>
      </c>
      <c r="D5717" s="5" t="s">
        <v>14</v>
      </c>
      <c r="E5717" s="5" t="s">
        <v>90</v>
      </c>
      <c r="F5717" s="5" t="s">
        <v>678</v>
      </c>
      <c r="G5717" s="5" t="s">
        <v>1123</v>
      </c>
      <c r="H5717" s="5" t="s">
        <v>1124</v>
      </c>
      <c r="I5717" s="5" t="s">
        <v>31</v>
      </c>
      <c r="J5717" s="5">
        <v>17.4321982638</v>
      </c>
      <c r="K5717" s="5">
        <v>-96.281524942068003</v>
      </c>
      <c r="L5717" s="5" t="str">
        <f>HYPERLINK("https://maps.google.com/?q=17.4321982638,-96.281524942067904", "🔗 Ver Mapa")</f>
        <v>🔗 Ver Mapa</v>
      </c>
    </row>
    <row r="5718" spans="1:12" ht="43.5" x14ac:dyDescent="0.35">
      <c r="A5718" s="6" t="s">
        <v>98</v>
      </c>
      <c r="B5718" s="6" t="s">
        <v>99</v>
      </c>
      <c r="C5718" s="6" t="s">
        <v>1122</v>
      </c>
      <c r="D5718" s="6" t="s">
        <v>14</v>
      </c>
      <c r="E5718" s="6" t="s">
        <v>90</v>
      </c>
      <c r="F5718" s="6" t="s">
        <v>678</v>
      </c>
      <c r="G5718" s="6" t="s">
        <v>1123</v>
      </c>
      <c r="H5718" s="6" t="s">
        <v>1124</v>
      </c>
      <c r="I5718" s="6" t="s">
        <v>31</v>
      </c>
      <c r="J5718" s="6">
        <v>17.432786459999999</v>
      </c>
      <c r="K5718" s="6">
        <v>-96.281248610000006</v>
      </c>
      <c r="L5718" s="6" t="str">
        <f>HYPERLINK("https://maps.google.com/?q=17.43278646,-96.281248610000006", "🔗 Ver Mapa")</f>
        <v>🔗 Ver Mapa</v>
      </c>
    </row>
    <row r="5719" spans="1:12" ht="43.5" x14ac:dyDescent="0.35">
      <c r="A5719" s="5" t="s">
        <v>516</v>
      </c>
      <c r="B5719" s="5" t="s">
        <v>517</v>
      </c>
      <c r="C5719" s="5" t="s">
        <v>1125</v>
      </c>
      <c r="D5719" s="5" t="s">
        <v>13</v>
      </c>
      <c r="E5719" s="5" t="s">
        <v>52</v>
      </c>
      <c r="F5719" s="5" t="s">
        <v>53</v>
      </c>
      <c r="G5719" s="5" t="s">
        <v>1126</v>
      </c>
      <c r="H5719" s="5" t="s">
        <v>1127</v>
      </c>
      <c r="I5719" s="5" t="s">
        <v>31</v>
      </c>
      <c r="J5719" s="5">
        <v>16.663186849999999</v>
      </c>
      <c r="K5719" s="5">
        <v>-96.308294520000004</v>
      </c>
      <c r="L5719" s="5" t="str">
        <f>HYPERLINK("https://maps.google.com/?q=16.66318685,-96.30829452", "🔗 Ver Mapa")</f>
        <v>🔗 Ver Mapa</v>
      </c>
    </row>
    <row r="5720" spans="1:12" ht="43.5" x14ac:dyDescent="0.35">
      <c r="A5720" s="6" t="s">
        <v>98</v>
      </c>
      <c r="B5720" s="6" t="s">
        <v>99</v>
      </c>
      <c r="C5720" s="6" t="s">
        <v>1128</v>
      </c>
      <c r="D5720" s="6" t="s">
        <v>14</v>
      </c>
      <c r="E5720" s="6" t="s">
        <v>39</v>
      </c>
      <c r="F5720" s="6" t="s">
        <v>353</v>
      </c>
      <c r="G5720" s="6" t="s">
        <v>1129</v>
      </c>
      <c r="H5720" s="6" t="s">
        <v>1130</v>
      </c>
      <c r="I5720" s="6" t="s">
        <v>31</v>
      </c>
      <c r="J5720" s="6">
        <v>16.381301950000001</v>
      </c>
      <c r="K5720" s="6">
        <v>-96.359732949299996</v>
      </c>
      <c r="L5720" s="6" t="str">
        <f>HYPERLINK("https://maps.google.com/?q=16.38130195,-96.359732949299996", "🔗 Ver Mapa")</f>
        <v>🔗 Ver Mapa</v>
      </c>
    </row>
    <row r="5721" spans="1:12" ht="43.5" x14ac:dyDescent="0.35">
      <c r="A5721" s="5" t="s">
        <v>98</v>
      </c>
      <c r="B5721" s="5" t="s">
        <v>99</v>
      </c>
      <c r="C5721" s="5" t="s">
        <v>1128</v>
      </c>
      <c r="D5721" s="5" t="s">
        <v>14</v>
      </c>
      <c r="E5721" s="5" t="s">
        <v>39</v>
      </c>
      <c r="F5721" s="5" t="s">
        <v>353</v>
      </c>
      <c r="G5721" s="5" t="s">
        <v>1129</v>
      </c>
      <c r="H5721" s="5" t="s">
        <v>1130</v>
      </c>
      <c r="I5721" s="5" t="s">
        <v>31</v>
      </c>
      <c r="J5721" s="5">
        <v>16.382032003100001</v>
      </c>
      <c r="K5721" s="5">
        <v>-96.361458281300003</v>
      </c>
      <c r="L5721" s="5" t="str">
        <f>HYPERLINK("https://maps.google.com/?q=16.3820320031,-96.361458281300003", "🔗 Ver Mapa")</f>
        <v>🔗 Ver Mapa</v>
      </c>
    </row>
    <row r="5722" spans="1:12" ht="43.5" x14ac:dyDescent="0.35">
      <c r="A5722" s="6" t="s">
        <v>98</v>
      </c>
      <c r="B5722" s="6" t="s">
        <v>99</v>
      </c>
      <c r="C5722" s="6" t="s">
        <v>1128</v>
      </c>
      <c r="D5722" s="6" t="s">
        <v>14</v>
      </c>
      <c r="E5722" s="6" t="s">
        <v>39</v>
      </c>
      <c r="F5722" s="6" t="s">
        <v>353</v>
      </c>
      <c r="G5722" s="6" t="s">
        <v>1129</v>
      </c>
      <c r="H5722" s="6" t="s">
        <v>1130</v>
      </c>
      <c r="I5722" s="6" t="s">
        <v>31</v>
      </c>
      <c r="J5722" s="6">
        <v>16.382554020899999</v>
      </c>
      <c r="K5722" s="6">
        <v>-96.360206717099999</v>
      </c>
      <c r="L5722" s="6" t="str">
        <f>HYPERLINK("https://maps.google.com/?q=16.3825540209,-96.360206717099999", "🔗 Ver Mapa")</f>
        <v>🔗 Ver Mapa</v>
      </c>
    </row>
    <row r="5723" spans="1:12" ht="43.5" x14ac:dyDescent="0.35">
      <c r="A5723" s="5" t="s">
        <v>98</v>
      </c>
      <c r="B5723" s="5" t="s">
        <v>99</v>
      </c>
      <c r="C5723" s="5" t="s">
        <v>1128</v>
      </c>
      <c r="D5723" s="5" t="s">
        <v>14</v>
      </c>
      <c r="E5723" s="5" t="s">
        <v>39</v>
      </c>
      <c r="F5723" s="5" t="s">
        <v>353</v>
      </c>
      <c r="G5723" s="5" t="s">
        <v>1129</v>
      </c>
      <c r="H5723" s="5" t="s">
        <v>1130</v>
      </c>
      <c r="I5723" s="5" t="s">
        <v>31</v>
      </c>
      <c r="J5723" s="5">
        <v>16.382802743500001</v>
      </c>
      <c r="K5723" s="5">
        <v>-96.363010070100003</v>
      </c>
      <c r="L5723" s="5" t="str">
        <f>HYPERLINK("https://maps.google.com/?q=16.3828027435,-96.363010070100003", "🔗 Ver Mapa")</f>
        <v>🔗 Ver Mapa</v>
      </c>
    </row>
    <row r="5724" spans="1:12" ht="43.5" x14ac:dyDescent="0.35">
      <c r="A5724" s="6" t="s">
        <v>98</v>
      </c>
      <c r="B5724" s="6" t="s">
        <v>99</v>
      </c>
      <c r="C5724" s="6" t="s">
        <v>1128</v>
      </c>
      <c r="D5724" s="6" t="s">
        <v>14</v>
      </c>
      <c r="E5724" s="6" t="s">
        <v>39</v>
      </c>
      <c r="F5724" s="6" t="s">
        <v>353</v>
      </c>
      <c r="G5724" s="6" t="s">
        <v>1129</v>
      </c>
      <c r="H5724" s="6" t="s">
        <v>1130</v>
      </c>
      <c r="I5724" s="6" t="s">
        <v>31</v>
      </c>
      <c r="J5724" s="6">
        <v>16.383181748199998</v>
      </c>
      <c r="K5724" s="6">
        <v>-96.363324882300006</v>
      </c>
      <c r="L5724" s="6" t="str">
        <f>HYPERLINK("https://maps.google.com/?q=16.3831817482,-96.363324882300006", "🔗 Ver Mapa")</f>
        <v>🔗 Ver Mapa</v>
      </c>
    </row>
    <row r="5725" spans="1:12" ht="43.5" x14ac:dyDescent="0.35">
      <c r="A5725" s="5" t="s">
        <v>98</v>
      </c>
      <c r="B5725" s="5" t="s">
        <v>99</v>
      </c>
      <c r="C5725" s="5" t="s">
        <v>1128</v>
      </c>
      <c r="D5725" s="5" t="s">
        <v>14</v>
      </c>
      <c r="E5725" s="5" t="s">
        <v>39</v>
      </c>
      <c r="F5725" s="5" t="s">
        <v>353</v>
      </c>
      <c r="G5725" s="5" t="s">
        <v>1129</v>
      </c>
      <c r="H5725" s="5" t="s">
        <v>1130</v>
      </c>
      <c r="I5725" s="5" t="s">
        <v>31</v>
      </c>
      <c r="J5725" s="5">
        <v>16.3838451809</v>
      </c>
      <c r="K5725" s="5">
        <v>-96.364024925099997</v>
      </c>
      <c r="L5725" s="5" t="str">
        <f>HYPERLINK("https://maps.google.com/?q=16.3838451809,-96.364024925099997", "🔗 Ver Mapa")</f>
        <v>🔗 Ver Mapa</v>
      </c>
    </row>
    <row r="5726" spans="1:12" ht="43.5" x14ac:dyDescent="0.35">
      <c r="A5726" s="6" t="s">
        <v>98</v>
      </c>
      <c r="B5726" s="6" t="s">
        <v>99</v>
      </c>
      <c r="C5726" s="6" t="s">
        <v>1128</v>
      </c>
      <c r="D5726" s="6" t="s">
        <v>14</v>
      </c>
      <c r="E5726" s="6" t="s">
        <v>39</v>
      </c>
      <c r="F5726" s="6" t="s">
        <v>353</v>
      </c>
      <c r="G5726" s="6" t="s">
        <v>1129</v>
      </c>
      <c r="H5726" s="6" t="s">
        <v>1130</v>
      </c>
      <c r="I5726" s="6" t="s">
        <v>31</v>
      </c>
      <c r="J5726" s="6">
        <v>16.384394259600001</v>
      </c>
      <c r="K5726" s="6">
        <v>-96.364936698099996</v>
      </c>
      <c r="L5726" s="6" t="str">
        <f>HYPERLINK("https://maps.google.com/?q=16.3843942596,-96.364936698099996", "🔗 Ver Mapa")</f>
        <v>🔗 Ver Mapa</v>
      </c>
    </row>
    <row r="5727" spans="1:12" ht="43.5" x14ac:dyDescent="0.35">
      <c r="A5727" s="5" t="s">
        <v>98</v>
      </c>
      <c r="B5727" s="5" t="s">
        <v>99</v>
      </c>
      <c r="C5727" s="5" t="s">
        <v>1128</v>
      </c>
      <c r="D5727" s="5" t="s">
        <v>14</v>
      </c>
      <c r="E5727" s="5" t="s">
        <v>39</v>
      </c>
      <c r="F5727" s="5" t="s">
        <v>353</v>
      </c>
      <c r="G5727" s="5" t="s">
        <v>1129</v>
      </c>
      <c r="H5727" s="5" t="s">
        <v>1130</v>
      </c>
      <c r="I5727" s="5" t="s">
        <v>31</v>
      </c>
      <c r="J5727" s="5">
        <v>16.385224938</v>
      </c>
      <c r="K5727" s="5">
        <v>-96.365396184700003</v>
      </c>
      <c r="L5727" s="5" t="str">
        <f>HYPERLINK("https://maps.google.com/?q=16.385224938,-96.365396184700003", "🔗 Ver Mapa")</f>
        <v>🔗 Ver Mapa</v>
      </c>
    </row>
    <row r="5728" spans="1:12" ht="43.5" x14ac:dyDescent="0.35">
      <c r="A5728" s="6" t="s">
        <v>98</v>
      </c>
      <c r="B5728" s="6" t="s">
        <v>99</v>
      </c>
      <c r="C5728" s="6" t="s">
        <v>1128</v>
      </c>
      <c r="D5728" s="6" t="s">
        <v>14</v>
      </c>
      <c r="E5728" s="6" t="s">
        <v>39</v>
      </c>
      <c r="F5728" s="6" t="s">
        <v>353</v>
      </c>
      <c r="G5728" s="6" t="s">
        <v>1129</v>
      </c>
      <c r="H5728" s="6" t="s">
        <v>1130</v>
      </c>
      <c r="I5728" s="6" t="s">
        <v>31</v>
      </c>
      <c r="J5728" s="6">
        <v>16.385997619899999</v>
      </c>
      <c r="K5728" s="6">
        <v>-96.362915193099994</v>
      </c>
      <c r="L5728" s="6" t="str">
        <f>HYPERLINK("https://maps.google.com/?q=16.3859976199,-96.362915193099994", "🔗 Ver Mapa")</f>
        <v>🔗 Ver Mapa</v>
      </c>
    </row>
    <row r="5729" spans="1:12" ht="43.5" x14ac:dyDescent="0.35">
      <c r="A5729" s="5" t="s">
        <v>98</v>
      </c>
      <c r="B5729" s="5" t="s">
        <v>99</v>
      </c>
      <c r="C5729" s="5" t="s">
        <v>1128</v>
      </c>
      <c r="D5729" s="5" t="s">
        <v>14</v>
      </c>
      <c r="E5729" s="5" t="s">
        <v>39</v>
      </c>
      <c r="F5729" s="5" t="s">
        <v>353</v>
      </c>
      <c r="G5729" s="5" t="s">
        <v>1129</v>
      </c>
      <c r="H5729" s="5" t="s">
        <v>1130</v>
      </c>
      <c r="I5729" s="5" t="s">
        <v>31</v>
      </c>
      <c r="J5729" s="5">
        <v>16.386236501599999</v>
      </c>
      <c r="K5729" s="5">
        <v>-96.363125845599996</v>
      </c>
      <c r="L5729" s="5" t="str">
        <f>HYPERLINK("https://maps.google.com/?q=16.3862365016,-96.363125845599996", "🔗 Ver Mapa")</f>
        <v>🔗 Ver Mapa</v>
      </c>
    </row>
    <row r="5730" spans="1:12" ht="43.5" x14ac:dyDescent="0.35">
      <c r="A5730" s="6" t="s">
        <v>98</v>
      </c>
      <c r="B5730" s="6" t="s">
        <v>99</v>
      </c>
      <c r="C5730" s="6" t="s">
        <v>1128</v>
      </c>
      <c r="D5730" s="6" t="s">
        <v>14</v>
      </c>
      <c r="E5730" s="6" t="s">
        <v>39</v>
      </c>
      <c r="F5730" s="6" t="s">
        <v>353</v>
      </c>
      <c r="G5730" s="6" t="s">
        <v>1129</v>
      </c>
      <c r="H5730" s="6" t="s">
        <v>1130</v>
      </c>
      <c r="I5730" s="6" t="s">
        <v>31</v>
      </c>
      <c r="J5730" s="6">
        <v>16.3865903248</v>
      </c>
      <c r="K5730" s="6">
        <v>-96.363416865299996</v>
      </c>
      <c r="L5730" s="6" t="str">
        <f>HYPERLINK("https://maps.google.com/?q=16.3865903248,-96.363416865299996", "🔗 Ver Mapa")</f>
        <v>🔗 Ver Mapa</v>
      </c>
    </row>
    <row r="5731" spans="1:12" ht="43.5" x14ac:dyDescent="0.35">
      <c r="A5731" s="5" t="s">
        <v>98</v>
      </c>
      <c r="B5731" s="5" t="s">
        <v>99</v>
      </c>
      <c r="C5731" s="5" t="s">
        <v>1128</v>
      </c>
      <c r="D5731" s="5" t="s">
        <v>14</v>
      </c>
      <c r="E5731" s="5" t="s">
        <v>39</v>
      </c>
      <c r="F5731" s="5" t="s">
        <v>353</v>
      </c>
      <c r="G5731" s="5" t="s">
        <v>1129</v>
      </c>
      <c r="H5731" s="5" t="s">
        <v>1130</v>
      </c>
      <c r="I5731" s="5" t="s">
        <v>31</v>
      </c>
      <c r="J5731" s="5">
        <v>16.387366484600001</v>
      </c>
      <c r="K5731" s="5">
        <v>-96.366617518400005</v>
      </c>
      <c r="L5731" s="5" t="str">
        <f>HYPERLINK("https://maps.google.com/?q=16.3873664846,-96.366617518400005", "🔗 Ver Mapa")</f>
        <v>🔗 Ver Mapa</v>
      </c>
    </row>
    <row r="5732" spans="1:12" ht="43.5" x14ac:dyDescent="0.35">
      <c r="A5732" s="6" t="s">
        <v>98</v>
      </c>
      <c r="B5732" s="6" t="s">
        <v>99</v>
      </c>
      <c r="C5732" s="6" t="s">
        <v>1128</v>
      </c>
      <c r="D5732" s="6" t="s">
        <v>14</v>
      </c>
      <c r="E5732" s="6" t="s">
        <v>39</v>
      </c>
      <c r="F5732" s="6" t="s">
        <v>353</v>
      </c>
      <c r="G5732" s="6" t="s">
        <v>1129</v>
      </c>
      <c r="H5732" s="6" t="s">
        <v>1130</v>
      </c>
      <c r="I5732" s="6" t="s">
        <v>31</v>
      </c>
      <c r="J5732" s="6">
        <v>16.3883816319</v>
      </c>
      <c r="K5732" s="6">
        <v>-96.365782814400006</v>
      </c>
      <c r="L5732" s="6" t="str">
        <f>HYPERLINK("https://maps.google.com/?q=16.3883816319,-96.365782814400006", "🔗 Ver Mapa")</f>
        <v>🔗 Ver Mapa</v>
      </c>
    </row>
    <row r="5733" spans="1:12" ht="43.5" x14ac:dyDescent="0.35">
      <c r="A5733" s="5" t="s">
        <v>98</v>
      </c>
      <c r="B5733" s="5" t="s">
        <v>99</v>
      </c>
      <c r="C5733" s="5" t="s">
        <v>1128</v>
      </c>
      <c r="D5733" s="5" t="s">
        <v>14</v>
      </c>
      <c r="E5733" s="5" t="s">
        <v>39</v>
      </c>
      <c r="F5733" s="5" t="s">
        <v>353</v>
      </c>
      <c r="G5733" s="5" t="s">
        <v>1129</v>
      </c>
      <c r="H5733" s="5" t="s">
        <v>1130</v>
      </c>
      <c r="I5733" s="5" t="s">
        <v>31</v>
      </c>
      <c r="J5733" s="5">
        <v>16.3884251126</v>
      </c>
      <c r="K5733" s="5">
        <v>-96.366715051</v>
      </c>
      <c r="L5733" s="5" t="str">
        <f>HYPERLINK("https://maps.google.com/?q=16.3884251126,-96.366715051", "🔗 Ver Mapa")</f>
        <v>🔗 Ver Mapa</v>
      </c>
    </row>
    <row r="5734" spans="1:12" ht="43.5" x14ac:dyDescent="0.35">
      <c r="A5734" s="6" t="s">
        <v>98</v>
      </c>
      <c r="B5734" s="6" t="s">
        <v>99</v>
      </c>
      <c r="C5734" s="6" t="s">
        <v>1128</v>
      </c>
      <c r="D5734" s="6" t="s">
        <v>14</v>
      </c>
      <c r="E5734" s="6" t="s">
        <v>39</v>
      </c>
      <c r="F5734" s="6" t="s">
        <v>353</v>
      </c>
      <c r="G5734" s="6" t="s">
        <v>1129</v>
      </c>
      <c r="H5734" s="6" t="s">
        <v>1130</v>
      </c>
      <c r="I5734" s="6" t="s">
        <v>31</v>
      </c>
      <c r="J5734" s="6">
        <v>16.3891059621</v>
      </c>
      <c r="K5734" s="6">
        <v>-96.366688592100004</v>
      </c>
      <c r="L5734" s="6" t="str">
        <f>HYPERLINK("https://maps.google.com/?q=16.3891059621,-96.366688592100004", "🔗 Ver Mapa")</f>
        <v>🔗 Ver Mapa</v>
      </c>
    </row>
    <row r="5735" spans="1:12" ht="43.5" x14ac:dyDescent="0.35">
      <c r="A5735" s="5" t="s">
        <v>98</v>
      </c>
      <c r="B5735" s="5" t="s">
        <v>99</v>
      </c>
      <c r="C5735" s="5" t="s">
        <v>1128</v>
      </c>
      <c r="D5735" s="5" t="s">
        <v>14</v>
      </c>
      <c r="E5735" s="5" t="s">
        <v>39</v>
      </c>
      <c r="F5735" s="5" t="s">
        <v>353</v>
      </c>
      <c r="G5735" s="5" t="s">
        <v>1129</v>
      </c>
      <c r="H5735" s="5" t="s">
        <v>1130</v>
      </c>
      <c r="I5735" s="5" t="s">
        <v>31</v>
      </c>
      <c r="J5735" s="5">
        <v>16.3896936923</v>
      </c>
      <c r="K5735" s="5">
        <v>-96.367424614800001</v>
      </c>
      <c r="L5735" s="5" t="str">
        <f>HYPERLINK("https://maps.google.com/?q=16.3896936923,-96.367424614800001", "🔗 Ver Mapa")</f>
        <v>🔗 Ver Mapa</v>
      </c>
    </row>
    <row r="5736" spans="1:12" ht="43.5" x14ac:dyDescent="0.35">
      <c r="A5736" s="6" t="s">
        <v>98</v>
      </c>
      <c r="B5736" s="6" t="s">
        <v>99</v>
      </c>
      <c r="C5736" s="6" t="s">
        <v>1131</v>
      </c>
      <c r="D5736" s="6" t="s">
        <v>14</v>
      </c>
      <c r="E5736" s="6" t="s">
        <v>39</v>
      </c>
      <c r="F5736" s="6" t="s">
        <v>353</v>
      </c>
      <c r="G5736" s="6" t="s">
        <v>1129</v>
      </c>
      <c r="H5736" s="6" t="s">
        <v>1130</v>
      </c>
      <c r="I5736" s="6" t="s">
        <v>31</v>
      </c>
      <c r="J5736" s="6">
        <v>16.385974000000001</v>
      </c>
      <c r="K5736" s="6">
        <v>-96.362977999999998</v>
      </c>
      <c r="L5736" s="6" t="str">
        <f>HYPERLINK("https://maps.google.com/?q=16.385974,-96.362977999999998", "🔗 Ver Mapa")</f>
        <v>🔗 Ver Mapa</v>
      </c>
    </row>
    <row r="5737" spans="1:12" ht="43.5" x14ac:dyDescent="0.35">
      <c r="A5737" s="5" t="s">
        <v>98</v>
      </c>
      <c r="B5737" s="5" t="s">
        <v>99</v>
      </c>
      <c r="C5737" s="5" t="s">
        <v>1131</v>
      </c>
      <c r="D5737" s="5" t="s">
        <v>14</v>
      </c>
      <c r="E5737" s="5" t="s">
        <v>39</v>
      </c>
      <c r="F5737" s="5" t="s">
        <v>353</v>
      </c>
      <c r="G5737" s="5" t="s">
        <v>1129</v>
      </c>
      <c r="H5737" s="5" t="s">
        <v>1130</v>
      </c>
      <c r="I5737" s="5" t="s">
        <v>31</v>
      </c>
      <c r="J5737" s="5">
        <v>16.386454100000002</v>
      </c>
      <c r="K5737" s="5">
        <v>-96.363022000000001</v>
      </c>
      <c r="L5737" s="5" t="str">
        <f>HYPERLINK("https://maps.google.com/?q=16.3864541,-96.363022000000001", "🔗 Ver Mapa")</f>
        <v>🔗 Ver Mapa</v>
      </c>
    </row>
    <row r="5738" spans="1:12" ht="43.5" x14ac:dyDescent="0.35">
      <c r="A5738" s="6" t="s">
        <v>98</v>
      </c>
      <c r="B5738" s="6" t="s">
        <v>99</v>
      </c>
      <c r="C5738" s="6" t="s">
        <v>1131</v>
      </c>
      <c r="D5738" s="6" t="s">
        <v>14</v>
      </c>
      <c r="E5738" s="6" t="s">
        <v>39</v>
      </c>
      <c r="F5738" s="6" t="s">
        <v>353</v>
      </c>
      <c r="G5738" s="6" t="s">
        <v>1129</v>
      </c>
      <c r="H5738" s="6" t="s">
        <v>1130</v>
      </c>
      <c r="I5738" s="6" t="s">
        <v>31</v>
      </c>
      <c r="J5738" s="6">
        <v>16.38711</v>
      </c>
      <c r="K5738" s="6">
        <v>-96.366209999999995</v>
      </c>
      <c r="L5738" s="6" t="str">
        <f>HYPERLINK("https://maps.google.com/?q=16.38711,-96.366209999999995", "🔗 Ver Mapa")</f>
        <v>🔗 Ver Mapa</v>
      </c>
    </row>
    <row r="5739" spans="1:12" ht="43.5" x14ac:dyDescent="0.35">
      <c r="A5739" s="5" t="s">
        <v>98</v>
      </c>
      <c r="B5739" s="5" t="s">
        <v>99</v>
      </c>
      <c r="C5739" s="5" t="s">
        <v>1131</v>
      </c>
      <c r="D5739" s="5" t="s">
        <v>14</v>
      </c>
      <c r="E5739" s="5" t="s">
        <v>39</v>
      </c>
      <c r="F5739" s="5" t="s">
        <v>353</v>
      </c>
      <c r="G5739" s="5" t="s">
        <v>1129</v>
      </c>
      <c r="H5739" s="5" t="s">
        <v>1130</v>
      </c>
      <c r="I5739" s="5" t="s">
        <v>31</v>
      </c>
      <c r="J5739" s="5">
        <v>16.387485999999999</v>
      </c>
      <c r="K5739" s="5">
        <v>-96.363059000000007</v>
      </c>
      <c r="L5739" s="5" t="str">
        <f>HYPERLINK("https://maps.google.com/?q=16.387486,-96.363059000000007", "🔗 Ver Mapa")</f>
        <v>🔗 Ver Mapa</v>
      </c>
    </row>
    <row r="5740" spans="1:12" ht="43.5" x14ac:dyDescent="0.35">
      <c r="A5740" s="6" t="s">
        <v>98</v>
      </c>
      <c r="B5740" s="6" t="s">
        <v>99</v>
      </c>
      <c r="C5740" s="6" t="s">
        <v>1131</v>
      </c>
      <c r="D5740" s="6" t="s">
        <v>14</v>
      </c>
      <c r="E5740" s="6" t="s">
        <v>39</v>
      </c>
      <c r="F5740" s="6" t="s">
        <v>353</v>
      </c>
      <c r="G5740" s="6" t="s">
        <v>1129</v>
      </c>
      <c r="H5740" s="6" t="s">
        <v>1130</v>
      </c>
      <c r="I5740" s="6" t="s">
        <v>31</v>
      </c>
      <c r="J5740" s="6">
        <v>16.3903043</v>
      </c>
      <c r="K5740" s="6">
        <v>-96.365452000000005</v>
      </c>
      <c r="L5740" s="6" t="str">
        <f>HYPERLINK("https://maps.google.com/?q=16.3903043,-96.365452000000005", "🔗 Ver Mapa")</f>
        <v>🔗 Ver Mapa</v>
      </c>
    </row>
    <row r="5741" spans="1:12" ht="43.5" x14ac:dyDescent="0.35">
      <c r="A5741" s="5" t="s">
        <v>98</v>
      </c>
      <c r="B5741" s="5" t="s">
        <v>99</v>
      </c>
      <c r="C5741" s="5" t="s">
        <v>1131</v>
      </c>
      <c r="D5741" s="5" t="s">
        <v>14</v>
      </c>
      <c r="E5741" s="5" t="s">
        <v>39</v>
      </c>
      <c r="F5741" s="5" t="s">
        <v>353</v>
      </c>
      <c r="G5741" s="5" t="s">
        <v>1129</v>
      </c>
      <c r="H5741" s="5" t="s">
        <v>1130</v>
      </c>
      <c r="I5741" s="5" t="s">
        <v>31</v>
      </c>
      <c r="J5741" s="5">
        <v>16.3904648</v>
      </c>
      <c r="K5741" s="5">
        <v>-96.365249000000006</v>
      </c>
      <c r="L5741" s="5" t="str">
        <f>HYPERLINK("https://maps.google.com/?q=16.3904648,-96.365249000000006", "🔗 Ver Mapa")</f>
        <v>🔗 Ver Mapa</v>
      </c>
    </row>
    <row r="5742" spans="1:12" ht="43.5" x14ac:dyDescent="0.35">
      <c r="A5742" s="6" t="s">
        <v>98</v>
      </c>
      <c r="B5742" s="6" t="s">
        <v>99</v>
      </c>
      <c r="C5742" s="6" t="s">
        <v>1131</v>
      </c>
      <c r="D5742" s="6" t="s">
        <v>14</v>
      </c>
      <c r="E5742" s="6" t="s">
        <v>39</v>
      </c>
      <c r="F5742" s="6" t="s">
        <v>353</v>
      </c>
      <c r="G5742" s="6" t="s">
        <v>1129</v>
      </c>
      <c r="H5742" s="6" t="s">
        <v>1130</v>
      </c>
      <c r="I5742" s="6" t="s">
        <v>31</v>
      </c>
      <c r="J5742" s="6">
        <v>16.390650999999998</v>
      </c>
      <c r="K5742" s="6">
        <v>-96.362970000000004</v>
      </c>
      <c r="L5742" s="6" t="str">
        <f>HYPERLINK("https://maps.google.com/?q=16.390651,-96.362970000000004", "🔗 Ver Mapa")</f>
        <v>🔗 Ver Mapa</v>
      </c>
    </row>
    <row r="5743" spans="1:12" ht="43.5" x14ac:dyDescent="0.35">
      <c r="A5743" s="5" t="s">
        <v>98</v>
      </c>
      <c r="B5743" s="5" t="s">
        <v>99</v>
      </c>
      <c r="C5743" s="5" t="s">
        <v>1131</v>
      </c>
      <c r="D5743" s="5" t="s">
        <v>14</v>
      </c>
      <c r="E5743" s="5" t="s">
        <v>39</v>
      </c>
      <c r="F5743" s="5" t="s">
        <v>353</v>
      </c>
      <c r="G5743" s="5" t="s">
        <v>1129</v>
      </c>
      <c r="H5743" s="5" t="s">
        <v>1130</v>
      </c>
      <c r="I5743" s="5" t="s">
        <v>31</v>
      </c>
      <c r="J5743" s="5">
        <v>16.3913297</v>
      </c>
      <c r="K5743" s="5">
        <v>-96.363353000000004</v>
      </c>
      <c r="L5743" s="5" t="str">
        <f>HYPERLINK("https://maps.google.com/?q=16.3913297,-96.363353000000004", "🔗 Ver Mapa")</f>
        <v>🔗 Ver Mapa</v>
      </c>
    </row>
    <row r="5744" spans="1:12" ht="43.5" x14ac:dyDescent="0.35">
      <c r="A5744" s="6" t="s">
        <v>98</v>
      </c>
      <c r="B5744" s="6" t="s">
        <v>99</v>
      </c>
      <c r="C5744" s="6" t="s">
        <v>1132</v>
      </c>
      <c r="D5744" s="6" t="s">
        <v>14</v>
      </c>
      <c r="E5744" s="6" t="s">
        <v>110</v>
      </c>
      <c r="F5744" s="6" t="s">
        <v>111</v>
      </c>
      <c r="G5744" s="6" t="s">
        <v>1133</v>
      </c>
      <c r="H5744" s="6" t="s">
        <v>1134</v>
      </c>
      <c r="I5744" s="6" t="s">
        <v>31</v>
      </c>
      <c r="J5744" s="6">
        <v>18.050474000000001</v>
      </c>
      <c r="K5744" s="6">
        <v>-96.775621000000001</v>
      </c>
      <c r="L5744" s="6" t="str">
        <f>HYPERLINK("https://maps.google.com/?q=18.050474,-96.775621000000001", "🔗 Ver Mapa")</f>
        <v>🔗 Ver Mapa</v>
      </c>
    </row>
    <row r="5745" spans="1:12" ht="43.5" x14ac:dyDescent="0.35">
      <c r="A5745" s="5" t="s">
        <v>98</v>
      </c>
      <c r="B5745" s="5" t="s">
        <v>99</v>
      </c>
      <c r="C5745" s="5" t="s">
        <v>1132</v>
      </c>
      <c r="D5745" s="5" t="s">
        <v>14</v>
      </c>
      <c r="E5745" s="5" t="s">
        <v>110</v>
      </c>
      <c r="F5745" s="5" t="s">
        <v>111</v>
      </c>
      <c r="G5745" s="5" t="s">
        <v>1133</v>
      </c>
      <c r="H5745" s="5" t="s">
        <v>1134</v>
      </c>
      <c r="I5745" s="5" t="s">
        <v>31</v>
      </c>
      <c r="J5745" s="5">
        <v>18.050723000000001</v>
      </c>
      <c r="K5745" s="5">
        <v>-96.774148999999994</v>
      </c>
      <c r="L5745" s="5" t="str">
        <f>HYPERLINK("https://maps.google.com/?q=18.050723,-96.774148999999994", "🔗 Ver Mapa")</f>
        <v>🔗 Ver Mapa</v>
      </c>
    </row>
    <row r="5746" spans="1:12" ht="43.5" x14ac:dyDescent="0.35">
      <c r="A5746" s="6" t="s">
        <v>98</v>
      </c>
      <c r="B5746" s="6" t="s">
        <v>99</v>
      </c>
      <c r="C5746" s="6" t="s">
        <v>1132</v>
      </c>
      <c r="D5746" s="6" t="s">
        <v>14</v>
      </c>
      <c r="E5746" s="6" t="s">
        <v>110</v>
      </c>
      <c r="F5746" s="6" t="s">
        <v>111</v>
      </c>
      <c r="G5746" s="6" t="s">
        <v>1133</v>
      </c>
      <c r="H5746" s="6" t="s">
        <v>1134</v>
      </c>
      <c r="I5746" s="6" t="s">
        <v>31</v>
      </c>
      <c r="J5746" s="6">
        <v>18.050917934078999</v>
      </c>
      <c r="K5746" s="6">
        <v>-96.774899586299</v>
      </c>
      <c r="L5746" s="6" t="str">
        <f>HYPERLINK("https://maps.google.com/?q=18.0509179340792,-96.7748995862995", "🔗 Ver Mapa")</f>
        <v>🔗 Ver Mapa</v>
      </c>
    </row>
    <row r="5747" spans="1:12" ht="43.5" x14ac:dyDescent="0.35">
      <c r="A5747" s="5" t="s">
        <v>98</v>
      </c>
      <c r="B5747" s="5" t="s">
        <v>99</v>
      </c>
      <c r="C5747" s="5" t="s">
        <v>1135</v>
      </c>
      <c r="D5747" s="5" t="s">
        <v>14</v>
      </c>
      <c r="E5747" s="5" t="s">
        <v>110</v>
      </c>
      <c r="F5747" s="5" t="s">
        <v>111</v>
      </c>
      <c r="G5747" s="5" t="s">
        <v>1133</v>
      </c>
      <c r="H5747" s="5" t="s">
        <v>1136</v>
      </c>
      <c r="I5747" s="5" t="s">
        <v>31</v>
      </c>
      <c r="J5747" s="5">
        <v>18.048390000000001</v>
      </c>
      <c r="K5747" s="5">
        <v>-96.766064</v>
      </c>
      <c r="L5747" s="5" t="str">
        <f>HYPERLINK("https://maps.google.com/?q=18.04839,-96.766064", "🔗 Ver Mapa")</f>
        <v>🔗 Ver Mapa</v>
      </c>
    </row>
    <row r="5748" spans="1:12" ht="43.5" x14ac:dyDescent="0.35">
      <c r="A5748" s="6" t="s">
        <v>98</v>
      </c>
      <c r="B5748" s="6" t="s">
        <v>99</v>
      </c>
      <c r="C5748" s="6" t="s">
        <v>1135</v>
      </c>
      <c r="D5748" s="6" t="s">
        <v>14</v>
      </c>
      <c r="E5748" s="6" t="s">
        <v>110</v>
      </c>
      <c r="F5748" s="6" t="s">
        <v>111</v>
      </c>
      <c r="G5748" s="6" t="s">
        <v>1133</v>
      </c>
      <c r="H5748" s="6" t="s">
        <v>1136</v>
      </c>
      <c r="I5748" s="6" t="s">
        <v>31</v>
      </c>
      <c r="J5748" s="6">
        <v>18.048511000000001</v>
      </c>
      <c r="K5748" s="6">
        <v>-96.765557000000001</v>
      </c>
      <c r="L5748" s="6" t="str">
        <f>HYPERLINK("https://maps.google.com/?q=18.048511,-96.765557000000001", "🔗 Ver Mapa")</f>
        <v>🔗 Ver Mapa</v>
      </c>
    </row>
    <row r="5749" spans="1:12" ht="43.5" x14ac:dyDescent="0.35">
      <c r="A5749" s="5" t="s">
        <v>98</v>
      </c>
      <c r="B5749" s="5" t="s">
        <v>99</v>
      </c>
      <c r="C5749" s="5" t="s">
        <v>1135</v>
      </c>
      <c r="D5749" s="5" t="s">
        <v>14</v>
      </c>
      <c r="E5749" s="5" t="s">
        <v>110</v>
      </c>
      <c r="F5749" s="5" t="s">
        <v>111</v>
      </c>
      <c r="G5749" s="5" t="s">
        <v>1133</v>
      </c>
      <c r="H5749" s="5" t="s">
        <v>1136</v>
      </c>
      <c r="I5749" s="5" t="s">
        <v>31</v>
      </c>
      <c r="J5749" s="5">
        <v>18.048870999999998</v>
      </c>
      <c r="K5749" s="5">
        <v>-96.764627000000004</v>
      </c>
      <c r="L5749" s="5" t="str">
        <f>HYPERLINK("https://maps.google.com/?q=18.048871,-96.764627000000004", "🔗 Ver Mapa")</f>
        <v>🔗 Ver Mapa</v>
      </c>
    </row>
    <row r="5750" spans="1:12" ht="43.5" x14ac:dyDescent="0.35">
      <c r="A5750" s="6" t="s">
        <v>98</v>
      </c>
      <c r="B5750" s="6" t="s">
        <v>99</v>
      </c>
      <c r="C5750" s="6" t="s">
        <v>1135</v>
      </c>
      <c r="D5750" s="6" t="s">
        <v>14</v>
      </c>
      <c r="E5750" s="6" t="s">
        <v>110</v>
      </c>
      <c r="F5750" s="6" t="s">
        <v>111</v>
      </c>
      <c r="G5750" s="6" t="s">
        <v>1133</v>
      </c>
      <c r="H5750" s="6" t="s">
        <v>1136</v>
      </c>
      <c r="I5750" s="6" t="s">
        <v>31</v>
      </c>
      <c r="J5750" s="6">
        <v>18.04907</v>
      </c>
      <c r="K5750" s="6">
        <v>-96.766503</v>
      </c>
      <c r="L5750" s="6" t="str">
        <f>HYPERLINK("https://maps.google.com/?q=18.04907,-96.766503", "🔗 Ver Mapa")</f>
        <v>🔗 Ver Mapa</v>
      </c>
    </row>
    <row r="5751" spans="1:12" ht="43.5" x14ac:dyDescent="0.35">
      <c r="A5751" s="5" t="s">
        <v>98</v>
      </c>
      <c r="B5751" s="5" t="s">
        <v>99</v>
      </c>
      <c r="C5751" s="5" t="s">
        <v>1135</v>
      </c>
      <c r="D5751" s="5" t="s">
        <v>14</v>
      </c>
      <c r="E5751" s="5" t="s">
        <v>110</v>
      </c>
      <c r="F5751" s="5" t="s">
        <v>111</v>
      </c>
      <c r="G5751" s="5" t="s">
        <v>1133</v>
      </c>
      <c r="H5751" s="5" t="s">
        <v>1136</v>
      </c>
      <c r="I5751" s="5" t="s">
        <v>31</v>
      </c>
      <c r="J5751" s="5">
        <v>18.049130999999999</v>
      </c>
      <c r="K5751" s="5">
        <v>-96.762696000000005</v>
      </c>
      <c r="L5751" s="5" t="str">
        <f>HYPERLINK("https://maps.google.com/?q=18.049131,-96.762696000000005", "🔗 Ver Mapa")</f>
        <v>🔗 Ver Mapa</v>
      </c>
    </row>
    <row r="5752" spans="1:12" ht="43.5" x14ac:dyDescent="0.35">
      <c r="A5752" s="6" t="s">
        <v>98</v>
      </c>
      <c r="B5752" s="6" t="s">
        <v>99</v>
      </c>
      <c r="C5752" s="6" t="s">
        <v>1135</v>
      </c>
      <c r="D5752" s="6" t="s">
        <v>14</v>
      </c>
      <c r="E5752" s="6" t="s">
        <v>110</v>
      </c>
      <c r="F5752" s="6" t="s">
        <v>111</v>
      </c>
      <c r="G5752" s="6" t="s">
        <v>1133</v>
      </c>
      <c r="H5752" s="6" t="s">
        <v>1136</v>
      </c>
      <c r="I5752" s="6" t="s">
        <v>31</v>
      </c>
      <c r="J5752" s="6">
        <v>18.049319000000001</v>
      </c>
      <c r="K5752" s="6">
        <v>-96.765640000000005</v>
      </c>
      <c r="L5752" s="6" t="str">
        <f>HYPERLINK("https://maps.google.com/?q=18.049319,-96.765640000000005", "🔗 Ver Mapa")</f>
        <v>🔗 Ver Mapa</v>
      </c>
    </row>
    <row r="5753" spans="1:12" ht="43.5" x14ac:dyDescent="0.35">
      <c r="A5753" s="5" t="s">
        <v>98</v>
      </c>
      <c r="B5753" s="5" t="s">
        <v>99</v>
      </c>
      <c r="C5753" s="5" t="s">
        <v>1135</v>
      </c>
      <c r="D5753" s="5" t="s">
        <v>14</v>
      </c>
      <c r="E5753" s="5" t="s">
        <v>110</v>
      </c>
      <c r="F5753" s="5" t="s">
        <v>111</v>
      </c>
      <c r="G5753" s="5" t="s">
        <v>1133</v>
      </c>
      <c r="H5753" s="5" t="s">
        <v>1136</v>
      </c>
      <c r="I5753" s="5" t="s">
        <v>31</v>
      </c>
      <c r="J5753" s="5">
        <v>18.049572999999999</v>
      </c>
      <c r="K5753" s="5">
        <v>-96.765307000000007</v>
      </c>
      <c r="L5753" s="5" t="str">
        <f>HYPERLINK("https://maps.google.com/?q=18.049573,-96.765307000000007", "🔗 Ver Mapa")</f>
        <v>🔗 Ver Mapa</v>
      </c>
    </row>
    <row r="5754" spans="1:12" ht="43.5" x14ac:dyDescent="0.35">
      <c r="A5754" s="6" t="s">
        <v>98</v>
      </c>
      <c r="B5754" s="6" t="s">
        <v>99</v>
      </c>
      <c r="C5754" s="6" t="s">
        <v>1135</v>
      </c>
      <c r="D5754" s="6" t="s">
        <v>14</v>
      </c>
      <c r="E5754" s="6" t="s">
        <v>110</v>
      </c>
      <c r="F5754" s="6" t="s">
        <v>111</v>
      </c>
      <c r="G5754" s="6" t="s">
        <v>1133</v>
      </c>
      <c r="H5754" s="6" t="s">
        <v>1136</v>
      </c>
      <c r="I5754" s="6" t="s">
        <v>31</v>
      </c>
      <c r="J5754" s="6">
        <v>18.049610999999999</v>
      </c>
      <c r="K5754" s="6">
        <v>-96.762085999999996</v>
      </c>
      <c r="L5754" s="6" t="str">
        <f>HYPERLINK("https://maps.google.com/?q=18.049611,-96.762085999999996", "🔗 Ver Mapa")</f>
        <v>🔗 Ver Mapa</v>
      </c>
    </row>
    <row r="5755" spans="1:12" ht="43.5" x14ac:dyDescent="0.35">
      <c r="A5755" s="5" t="s">
        <v>98</v>
      </c>
      <c r="B5755" s="5" t="s">
        <v>99</v>
      </c>
      <c r="C5755" s="5" t="s">
        <v>1135</v>
      </c>
      <c r="D5755" s="5" t="s">
        <v>14</v>
      </c>
      <c r="E5755" s="5" t="s">
        <v>110</v>
      </c>
      <c r="F5755" s="5" t="s">
        <v>111</v>
      </c>
      <c r="G5755" s="5" t="s">
        <v>1133</v>
      </c>
      <c r="H5755" s="5" t="s">
        <v>1136</v>
      </c>
      <c r="I5755" s="5" t="s">
        <v>31</v>
      </c>
      <c r="J5755" s="5">
        <v>18.049658000000001</v>
      </c>
      <c r="K5755" s="5">
        <v>-96.765454000000005</v>
      </c>
      <c r="L5755" s="5" t="str">
        <f>HYPERLINK("https://maps.google.com/?q=18.049658,-96.765454000000005", "🔗 Ver Mapa")</f>
        <v>🔗 Ver Mapa</v>
      </c>
    </row>
    <row r="5756" spans="1:12" ht="43.5" x14ac:dyDescent="0.35">
      <c r="A5756" s="6" t="s">
        <v>98</v>
      </c>
      <c r="B5756" s="6" t="s">
        <v>99</v>
      </c>
      <c r="C5756" s="6" t="s">
        <v>1135</v>
      </c>
      <c r="D5756" s="6" t="s">
        <v>14</v>
      </c>
      <c r="E5756" s="6" t="s">
        <v>110</v>
      </c>
      <c r="F5756" s="6" t="s">
        <v>111</v>
      </c>
      <c r="G5756" s="6" t="s">
        <v>1133</v>
      </c>
      <c r="H5756" s="6" t="s">
        <v>1136</v>
      </c>
      <c r="I5756" s="6" t="s">
        <v>31</v>
      </c>
      <c r="J5756" s="6">
        <v>18.049862972499</v>
      </c>
      <c r="K5756" s="6">
        <v>-96.764946233135007</v>
      </c>
      <c r="L5756" s="6" t="str">
        <f>HYPERLINK("https://maps.google.com/?q=18.049862972499,-96.7649462331352", "🔗 Ver Mapa")</f>
        <v>🔗 Ver Mapa</v>
      </c>
    </row>
    <row r="5757" spans="1:12" ht="43.5" x14ac:dyDescent="0.35">
      <c r="A5757" s="5" t="s">
        <v>98</v>
      </c>
      <c r="B5757" s="5" t="s">
        <v>99</v>
      </c>
      <c r="C5757" s="5" t="s">
        <v>1135</v>
      </c>
      <c r="D5757" s="5" t="s">
        <v>14</v>
      </c>
      <c r="E5757" s="5" t="s">
        <v>110</v>
      </c>
      <c r="F5757" s="5" t="s">
        <v>111</v>
      </c>
      <c r="G5757" s="5" t="s">
        <v>1133</v>
      </c>
      <c r="H5757" s="5" t="s">
        <v>1136</v>
      </c>
      <c r="I5757" s="5" t="s">
        <v>31</v>
      </c>
      <c r="J5757" s="5">
        <v>18.049914999999999</v>
      </c>
      <c r="K5757" s="5">
        <v>-96.762289999999993</v>
      </c>
      <c r="L5757" s="5" t="str">
        <f>HYPERLINK("https://maps.google.com/?q=18.049915,-96.762289999999993", "🔗 Ver Mapa")</f>
        <v>🔗 Ver Mapa</v>
      </c>
    </row>
    <row r="5758" spans="1:12" ht="43.5" x14ac:dyDescent="0.35">
      <c r="A5758" s="6" t="s">
        <v>98</v>
      </c>
      <c r="B5758" s="6" t="s">
        <v>99</v>
      </c>
      <c r="C5758" s="6" t="s">
        <v>1135</v>
      </c>
      <c r="D5758" s="6" t="s">
        <v>14</v>
      </c>
      <c r="E5758" s="6" t="s">
        <v>110</v>
      </c>
      <c r="F5758" s="6" t="s">
        <v>111</v>
      </c>
      <c r="G5758" s="6" t="s">
        <v>1133</v>
      </c>
      <c r="H5758" s="6" t="s">
        <v>1136</v>
      </c>
      <c r="I5758" s="6" t="s">
        <v>31</v>
      </c>
      <c r="J5758" s="6">
        <v>18.050525</v>
      </c>
      <c r="K5758" s="6">
        <v>-96.764820999999998</v>
      </c>
      <c r="L5758" s="6" t="str">
        <f>HYPERLINK("https://maps.google.com/?q=18.050525,-96.764820999999998", "🔗 Ver Mapa")</f>
        <v>🔗 Ver Mapa</v>
      </c>
    </row>
    <row r="5759" spans="1:12" ht="43.5" x14ac:dyDescent="0.35">
      <c r="A5759" s="5" t="s">
        <v>98</v>
      </c>
      <c r="B5759" s="5" t="s">
        <v>99</v>
      </c>
      <c r="C5759" s="5" t="s">
        <v>1137</v>
      </c>
      <c r="D5759" s="5" t="s">
        <v>14</v>
      </c>
      <c r="E5759" s="5" t="s">
        <v>16</v>
      </c>
      <c r="F5759" s="5" t="s">
        <v>19</v>
      </c>
      <c r="G5759" s="5" t="s">
        <v>479</v>
      </c>
      <c r="H5759" s="5" t="s">
        <v>480</v>
      </c>
      <c r="I5759" s="5" t="s">
        <v>31</v>
      </c>
      <c r="J5759" s="5">
        <v>16.993973</v>
      </c>
      <c r="K5759" s="5">
        <v>-97.233153000000001</v>
      </c>
      <c r="L5759" s="5" t="str">
        <f>HYPERLINK("https://maps.google.com/?q=16.993973,-97.233153000000001", "🔗 Ver Mapa")</f>
        <v>🔗 Ver Mapa</v>
      </c>
    </row>
    <row r="5760" spans="1:12" ht="43.5" x14ac:dyDescent="0.35">
      <c r="A5760" s="6" t="s">
        <v>98</v>
      </c>
      <c r="B5760" s="6" t="s">
        <v>99</v>
      </c>
      <c r="C5760" s="6" t="s">
        <v>1137</v>
      </c>
      <c r="D5760" s="6" t="s">
        <v>14</v>
      </c>
      <c r="E5760" s="6" t="s">
        <v>16</v>
      </c>
      <c r="F5760" s="6" t="s">
        <v>19</v>
      </c>
      <c r="G5760" s="6" t="s">
        <v>479</v>
      </c>
      <c r="H5760" s="6" t="s">
        <v>480</v>
      </c>
      <c r="I5760" s="6" t="s">
        <v>31</v>
      </c>
      <c r="J5760" s="6">
        <v>16.994053000000001</v>
      </c>
      <c r="K5760" s="6">
        <v>-97.232650000000007</v>
      </c>
      <c r="L5760" s="6" t="str">
        <f>HYPERLINK("https://maps.google.com/?q=16.994053,-97.232650000000007", "🔗 Ver Mapa")</f>
        <v>🔗 Ver Mapa</v>
      </c>
    </row>
    <row r="5761" spans="1:12" ht="43.5" x14ac:dyDescent="0.35">
      <c r="A5761" s="5" t="s">
        <v>98</v>
      </c>
      <c r="B5761" s="5" t="s">
        <v>99</v>
      </c>
      <c r="C5761" s="5" t="s">
        <v>1137</v>
      </c>
      <c r="D5761" s="5" t="s">
        <v>14</v>
      </c>
      <c r="E5761" s="5" t="s">
        <v>16</v>
      </c>
      <c r="F5761" s="5" t="s">
        <v>19</v>
      </c>
      <c r="G5761" s="5" t="s">
        <v>479</v>
      </c>
      <c r="H5761" s="5" t="s">
        <v>480</v>
      </c>
      <c r="I5761" s="5" t="s">
        <v>31</v>
      </c>
      <c r="J5761" s="5">
        <v>16.994105800709001</v>
      </c>
      <c r="K5761" s="5">
        <v>-97.232223054344999</v>
      </c>
      <c r="L5761" s="5" t="str">
        <f>HYPERLINK("https://maps.google.com/?q=16.9941058007091,-97.232223054345297", "🔗 Ver Mapa")</f>
        <v>🔗 Ver Mapa</v>
      </c>
    </row>
    <row r="5762" spans="1:12" ht="43.5" x14ac:dyDescent="0.35">
      <c r="A5762" s="6" t="s">
        <v>98</v>
      </c>
      <c r="B5762" s="6" t="s">
        <v>99</v>
      </c>
      <c r="C5762" s="6" t="s">
        <v>1137</v>
      </c>
      <c r="D5762" s="6" t="s">
        <v>14</v>
      </c>
      <c r="E5762" s="6" t="s">
        <v>16</v>
      </c>
      <c r="F5762" s="6" t="s">
        <v>19</v>
      </c>
      <c r="G5762" s="6" t="s">
        <v>479</v>
      </c>
      <c r="H5762" s="6" t="s">
        <v>480</v>
      </c>
      <c r="I5762" s="6" t="s">
        <v>31</v>
      </c>
      <c r="J5762" s="6">
        <v>16.995436999999999</v>
      </c>
      <c r="K5762" s="6">
        <v>-97.232506999999998</v>
      </c>
      <c r="L5762" s="6" t="str">
        <f>HYPERLINK("https://maps.google.com/?q=16.995437,-97.232506999999998", "🔗 Ver Mapa")</f>
        <v>🔗 Ver Mapa</v>
      </c>
    </row>
    <row r="5763" spans="1:12" ht="43.5" x14ac:dyDescent="0.35">
      <c r="A5763" s="5" t="s">
        <v>98</v>
      </c>
      <c r="B5763" s="5" t="s">
        <v>99</v>
      </c>
      <c r="C5763" s="5" t="s">
        <v>1137</v>
      </c>
      <c r="D5763" s="5" t="s">
        <v>14</v>
      </c>
      <c r="E5763" s="5" t="s">
        <v>16</v>
      </c>
      <c r="F5763" s="5" t="s">
        <v>19</v>
      </c>
      <c r="G5763" s="5" t="s">
        <v>479</v>
      </c>
      <c r="H5763" s="5" t="s">
        <v>480</v>
      </c>
      <c r="I5763" s="5" t="s">
        <v>31</v>
      </c>
      <c r="J5763" s="5">
        <v>16.995501000000001</v>
      </c>
      <c r="K5763" s="5">
        <v>-97.232857999999993</v>
      </c>
      <c r="L5763" s="5" t="str">
        <f>HYPERLINK("https://maps.google.com/?q=16.995501,-97.232857999999993", "🔗 Ver Mapa")</f>
        <v>🔗 Ver Mapa</v>
      </c>
    </row>
    <row r="5764" spans="1:12" ht="43.5" x14ac:dyDescent="0.35">
      <c r="A5764" s="6" t="s">
        <v>98</v>
      </c>
      <c r="B5764" s="6" t="s">
        <v>99</v>
      </c>
      <c r="C5764" s="6" t="s">
        <v>1137</v>
      </c>
      <c r="D5764" s="6" t="s">
        <v>14</v>
      </c>
      <c r="E5764" s="6" t="s">
        <v>16</v>
      </c>
      <c r="F5764" s="6" t="s">
        <v>19</v>
      </c>
      <c r="G5764" s="6" t="s">
        <v>479</v>
      </c>
      <c r="H5764" s="6" t="s">
        <v>480</v>
      </c>
      <c r="I5764" s="6" t="s">
        <v>31</v>
      </c>
      <c r="J5764" s="6">
        <v>16.995957000000001</v>
      </c>
      <c r="K5764" s="6">
        <v>-97.232544000000004</v>
      </c>
      <c r="L5764" s="6" t="str">
        <f>HYPERLINK("https://maps.google.com/?q=16.995957,-97.232544000000004", "🔗 Ver Mapa")</f>
        <v>🔗 Ver Mapa</v>
      </c>
    </row>
    <row r="5765" spans="1:12" ht="43.5" x14ac:dyDescent="0.35">
      <c r="A5765" s="5" t="s">
        <v>98</v>
      </c>
      <c r="B5765" s="5" t="s">
        <v>99</v>
      </c>
      <c r="C5765" s="5" t="s">
        <v>1137</v>
      </c>
      <c r="D5765" s="5" t="s">
        <v>14</v>
      </c>
      <c r="E5765" s="5" t="s">
        <v>16</v>
      </c>
      <c r="F5765" s="5" t="s">
        <v>19</v>
      </c>
      <c r="G5765" s="5" t="s">
        <v>479</v>
      </c>
      <c r="H5765" s="5" t="s">
        <v>480</v>
      </c>
      <c r="I5765" s="5" t="s">
        <v>31</v>
      </c>
      <c r="J5765" s="5">
        <v>16.996126</v>
      </c>
      <c r="K5765" s="5">
        <v>-97.232266999999993</v>
      </c>
      <c r="L5765" s="5" t="str">
        <f>HYPERLINK("https://maps.google.com/?q=16.996126,-97.232266999999993", "🔗 Ver Mapa")</f>
        <v>🔗 Ver Mapa</v>
      </c>
    </row>
    <row r="5766" spans="1:12" ht="43.5" x14ac:dyDescent="0.35">
      <c r="A5766" s="6" t="s">
        <v>98</v>
      </c>
      <c r="B5766" s="6" t="s">
        <v>99</v>
      </c>
      <c r="C5766" s="6" t="s">
        <v>1137</v>
      </c>
      <c r="D5766" s="6" t="s">
        <v>14</v>
      </c>
      <c r="E5766" s="6" t="s">
        <v>16</v>
      </c>
      <c r="F5766" s="6" t="s">
        <v>19</v>
      </c>
      <c r="G5766" s="6" t="s">
        <v>479</v>
      </c>
      <c r="H5766" s="6" t="s">
        <v>480</v>
      </c>
      <c r="I5766" s="6" t="s">
        <v>31</v>
      </c>
      <c r="J5766" s="6">
        <v>16.996728000000001</v>
      </c>
      <c r="K5766" s="6">
        <v>-97.232489999999999</v>
      </c>
      <c r="L5766" s="6" t="str">
        <f>HYPERLINK("https://maps.google.com/?q=16.996728,-97.232489999999999", "🔗 Ver Mapa")</f>
        <v>🔗 Ver Mapa</v>
      </c>
    </row>
    <row r="5767" spans="1:12" ht="43.5" x14ac:dyDescent="0.35">
      <c r="A5767" s="5" t="s">
        <v>98</v>
      </c>
      <c r="B5767" s="5" t="s">
        <v>99</v>
      </c>
      <c r="C5767" s="5" t="s">
        <v>1137</v>
      </c>
      <c r="D5767" s="5" t="s">
        <v>14</v>
      </c>
      <c r="E5767" s="5" t="s">
        <v>16</v>
      </c>
      <c r="F5767" s="5" t="s">
        <v>19</v>
      </c>
      <c r="G5767" s="5" t="s">
        <v>479</v>
      </c>
      <c r="H5767" s="5" t="s">
        <v>480</v>
      </c>
      <c r="I5767" s="5" t="s">
        <v>31</v>
      </c>
      <c r="J5767" s="5">
        <v>16.997404</v>
      </c>
      <c r="K5767" s="5">
        <v>-97.232641999999998</v>
      </c>
      <c r="L5767" s="5" t="str">
        <f>HYPERLINK("https://maps.google.com/?q=16.997404,-97.232641999999998", "🔗 Ver Mapa")</f>
        <v>🔗 Ver Mapa</v>
      </c>
    </row>
    <row r="5768" spans="1:12" ht="43.5" x14ac:dyDescent="0.35">
      <c r="A5768" s="6" t="s">
        <v>98</v>
      </c>
      <c r="B5768" s="6" t="s">
        <v>99</v>
      </c>
      <c r="C5768" s="6" t="s">
        <v>1137</v>
      </c>
      <c r="D5768" s="6" t="s">
        <v>14</v>
      </c>
      <c r="E5768" s="6" t="s">
        <v>16</v>
      </c>
      <c r="F5768" s="6" t="s">
        <v>19</v>
      </c>
      <c r="G5768" s="6" t="s">
        <v>479</v>
      </c>
      <c r="H5768" s="6" t="s">
        <v>480</v>
      </c>
      <c r="I5768" s="6" t="s">
        <v>31</v>
      </c>
      <c r="J5768" s="6">
        <v>16.997955999999999</v>
      </c>
      <c r="K5768" s="6">
        <v>-97.234183999999999</v>
      </c>
      <c r="L5768" s="6" t="str">
        <f>HYPERLINK("https://maps.google.com/?q=16.997956,-97.234183999999999", "🔗 Ver Mapa")</f>
        <v>🔗 Ver Mapa</v>
      </c>
    </row>
    <row r="5769" spans="1:12" ht="43.5" x14ac:dyDescent="0.35">
      <c r="A5769" s="5" t="s">
        <v>98</v>
      </c>
      <c r="B5769" s="5" t="s">
        <v>99</v>
      </c>
      <c r="C5769" s="5" t="s">
        <v>1137</v>
      </c>
      <c r="D5769" s="5" t="s">
        <v>14</v>
      </c>
      <c r="E5769" s="5" t="s">
        <v>16</v>
      </c>
      <c r="F5769" s="5" t="s">
        <v>19</v>
      </c>
      <c r="G5769" s="5" t="s">
        <v>479</v>
      </c>
      <c r="H5769" s="5" t="s">
        <v>480</v>
      </c>
      <c r="I5769" s="5" t="s">
        <v>31</v>
      </c>
      <c r="J5769" s="5">
        <v>16.998237</v>
      </c>
      <c r="K5769" s="5">
        <v>-97.232557</v>
      </c>
      <c r="L5769" s="5" t="str">
        <f>HYPERLINK("https://maps.google.com/?q=16.998237,-97.232557", "🔗 Ver Mapa")</f>
        <v>🔗 Ver Mapa</v>
      </c>
    </row>
    <row r="5770" spans="1:12" ht="43.5" x14ac:dyDescent="0.35">
      <c r="A5770" s="6" t="s">
        <v>98</v>
      </c>
      <c r="B5770" s="6" t="s">
        <v>99</v>
      </c>
      <c r="C5770" s="6" t="s">
        <v>1137</v>
      </c>
      <c r="D5770" s="6" t="s">
        <v>14</v>
      </c>
      <c r="E5770" s="6" t="s">
        <v>16</v>
      </c>
      <c r="F5770" s="6" t="s">
        <v>19</v>
      </c>
      <c r="G5770" s="6" t="s">
        <v>479</v>
      </c>
      <c r="H5770" s="6" t="s">
        <v>480</v>
      </c>
      <c r="I5770" s="6" t="s">
        <v>31</v>
      </c>
      <c r="J5770" s="6">
        <v>16.998849</v>
      </c>
      <c r="K5770" s="6">
        <v>-97.233815000000007</v>
      </c>
      <c r="L5770" s="6" t="str">
        <f>HYPERLINK("https://maps.google.com/?q=16.998849,-97.233815000000007", "🔗 Ver Mapa")</f>
        <v>🔗 Ver Mapa</v>
      </c>
    </row>
    <row r="5771" spans="1:12" ht="43.5" x14ac:dyDescent="0.35">
      <c r="A5771" s="5" t="s">
        <v>98</v>
      </c>
      <c r="B5771" s="5" t="s">
        <v>99</v>
      </c>
      <c r="C5771" s="5" t="s">
        <v>1137</v>
      </c>
      <c r="D5771" s="5" t="s">
        <v>14</v>
      </c>
      <c r="E5771" s="5" t="s">
        <v>16</v>
      </c>
      <c r="F5771" s="5" t="s">
        <v>19</v>
      </c>
      <c r="G5771" s="5" t="s">
        <v>479</v>
      </c>
      <c r="H5771" s="5" t="s">
        <v>480</v>
      </c>
      <c r="I5771" s="5" t="s">
        <v>31</v>
      </c>
      <c r="J5771" s="5">
        <v>16.999047999999998</v>
      </c>
      <c r="K5771" s="5">
        <v>-97.234239000000002</v>
      </c>
      <c r="L5771" s="5" t="str">
        <f>HYPERLINK("https://maps.google.com/?q=16.999048,-97.234239000000002", "🔗 Ver Mapa")</f>
        <v>🔗 Ver Mapa</v>
      </c>
    </row>
    <row r="5772" spans="1:12" ht="43.5" x14ac:dyDescent="0.35">
      <c r="A5772" s="6" t="s">
        <v>98</v>
      </c>
      <c r="B5772" s="6" t="s">
        <v>99</v>
      </c>
      <c r="C5772" s="6" t="s">
        <v>1137</v>
      </c>
      <c r="D5772" s="6" t="s">
        <v>14</v>
      </c>
      <c r="E5772" s="6" t="s">
        <v>16</v>
      </c>
      <c r="F5772" s="6" t="s">
        <v>19</v>
      </c>
      <c r="G5772" s="6" t="s">
        <v>479</v>
      </c>
      <c r="H5772" s="6" t="s">
        <v>480</v>
      </c>
      <c r="I5772" s="6" t="s">
        <v>31</v>
      </c>
      <c r="J5772" s="6">
        <v>16.999134999999999</v>
      </c>
      <c r="K5772" s="6">
        <v>-97.234187000000006</v>
      </c>
      <c r="L5772" s="6" t="str">
        <f>HYPERLINK("https://maps.google.com/?q=16.999135,-97.234187000000006", "🔗 Ver Mapa")</f>
        <v>🔗 Ver Mapa</v>
      </c>
    </row>
    <row r="5773" spans="1:12" ht="43.5" x14ac:dyDescent="0.35">
      <c r="A5773" s="5" t="s">
        <v>98</v>
      </c>
      <c r="B5773" s="5" t="s">
        <v>99</v>
      </c>
      <c r="C5773" s="5" t="s">
        <v>1137</v>
      </c>
      <c r="D5773" s="5" t="s">
        <v>14</v>
      </c>
      <c r="E5773" s="5" t="s">
        <v>16</v>
      </c>
      <c r="F5773" s="5" t="s">
        <v>19</v>
      </c>
      <c r="G5773" s="5" t="s">
        <v>479</v>
      </c>
      <c r="H5773" s="5" t="s">
        <v>480</v>
      </c>
      <c r="I5773" s="5" t="s">
        <v>31</v>
      </c>
      <c r="J5773" s="5">
        <v>16.999275000000001</v>
      </c>
      <c r="K5773" s="5">
        <v>-97.233044000000007</v>
      </c>
      <c r="L5773" s="5" t="str">
        <f>HYPERLINK("https://maps.google.com/?q=16.999275,-97.233044000000007", "🔗 Ver Mapa")</f>
        <v>🔗 Ver Mapa</v>
      </c>
    </row>
    <row r="5774" spans="1:12" ht="43.5" x14ac:dyDescent="0.35">
      <c r="A5774" s="6" t="s">
        <v>98</v>
      </c>
      <c r="B5774" s="6" t="s">
        <v>99</v>
      </c>
      <c r="C5774" s="6" t="s">
        <v>1137</v>
      </c>
      <c r="D5774" s="6" t="s">
        <v>14</v>
      </c>
      <c r="E5774" s="6" t="s">
        <v>16</v>
      </c>
      <c r="F5774" s="6" t="s">
        <v>19</v>
      </c>
      <c r="G5774" s="6" t="s">
        <v>479</v>
      </c>
      <c r="H5774" s="6" t="s">
        <v>480</v>
      </c>
      <c r="I5774" s="6" t="s">
        <v>31</v>
      </c>
      <c r="J5774" s="6">
        <v>16.999562000000001</v>
      </c>
      <c r="K5774" s="6">
        <v>-97.234509000000003</v>
      </c>
      <c r="L5774" s="6" t="str">
        <f>HYPERLINK("https://maps.google.com/?q=16.999562,-97.234509000000003", "🔗 Ver Mapa")</f>
        <v>🔗 Ver Mapa</v>
      </c>
    </row>
    <row r="5775" spans="1:12" ht="43.5" x14ac:dyDescent="0.35">
      <c r="A5775" s="5" t="s">
        <v>98</v>
      </c>
      <c r="B5775" s="5" t="s">
        <v>99</v>
      </c>
      <c r="C5775" s="5" t="s">
        <v>1137</v>
      </c>
      <c r="D5775" s="5" t="s">
        <v>14</v>
      </c>
      <c r="E5775" s="5" t="s">
        <v>16</v>
      </c>
      <c r="F5775" s="5" t="s">
        <v>19</v>
      </c>
      <c r="G5775" s="5" t="s">
        <v>479</v>
      </c>
      <c r="H5775" s="5" t="s">
        <v>480</v>
      </c>
      <c r="I5775" s="5" t="s">
        <v>31</v>
      </c>
      <c r="J5775" s="5">
        <v>16.999562000000001</v>
      </c>
      <c r="K5775" s="5">
        <v>-97.236258000000007</v>
      </c>
      <c r="L5775" s="5" t="str">
        <f>HYPERLINK("https://maps.google.com/?q=16.999562,-97.236258000000007", "🔗 Ver Mapa")</f>
        <v>🔗 Ver Mapa</v>
      </c>
    </row>
    <row r="5776" spans="1:12" ht="43.5" x14ac:dyDescent="0.35">
      <c r="A5776" s="6" t="s">
        <v>98</v>
      </c>
      <c r="B5776" s="6" t="s">
        <v>99</v>
      </c>
      <c r="C5776" s="6" t="s">
        <v>1137</v>
      </c>
      <c r="D5776" s="6" t="s">
        <v>14</v>
      </c>
      <c r="E5776" s="6" t="s">
        <v>16</v>
      </c>
      <c r="F5776" s="6" t="s">
        <v>19</v>
      </c>
      <c r="G5776" s="6" t="s">
        <v>479</v>
      </c>
      <c r="H5776" s="6" t="s">
        <v>480</v>
      </c>
      <c r="I5776" s="6" t="s">
        <v>31</v>
      </c>
      <c r="J5776" s="6">
        <v>16.999808000000002</v>
      </c>
      <c r="K5776" s="6">
        <v>-97.233935000000002</v>
      </c>
      <c r="L5776" s="6" t="str">
        <f>HYPERLINK("https://maps.google.com/?q=16.999808,-97.233935000000002", "🔗 Ver Mapa")</f>
        <v>🔗 Ver Mapa</v>
      </c>
    </row>
    <row r="5777" spans="1:12" ht="43.5" x14ac:dyDescent="0.35">
      <c r="A5777" s="5" t="s">
        <v>98</v>
      </c>
      <c r="B5777" s="5" t="s">
        <v>99</v>
      </c>
      <c r="C5777" s="5" t="s">
        <v>1137</v>
      </c>
      <c r="D5777" s="5" t="s">
        <v>14</v>
      </c>
      <c r="E5777" s="5" t="s">
        <v>16</v>
      </c>
      <c r="F5777" s="5" t="s">
        <v>19</v>
      </c>
      <c r="G5777" s="5" t="s">
        <v>479</v>
      </c>
      <c r="H5777" s="5" t="s">
        <v>480</v>
      </c>
      <c r="I5777" s="5" t="s">
        <v>31</v>
      </c>
      <c r="J5777" s="5">
        <v>16.999828000000001</v>
      </c>
      <c r="K5777" s="5">
        <v>-97.232917</v>
      </c>
      <c r="L5777" s="5" t="str">
        <f>HYPERLINK("https://maps.google.com/?q=16.999828,-97.232917", "🔗 Ver Mapa")</f>
        <v>🔗 Ver Mapa</v>
      </c>
    </row>
    <row r="5778" spans="1:12" ht="43.5" x14ac:dyDescent="0.35">
      <c r="A5778" s="6" t="s">
        <v>98</v>
      </c>
      <c r="B5778" s="6" t="s">
        <v>99</v>
      </c>
      <c r="C5778" s="6" t="s">
        <v>1137</v>
      </c>
      <c r="D5778" s="6" t="s">
        <v>14</v>
      </c>
      <c r="E5778" s="6" t="s">
        <v>16</v>
      </c>
      <c r="F5778" s="6" t="s">
        <v>19</v>
      </c>
      <c r="G5778" s="6" t="s">
        <v>479</v>
      </c>
      <c r="H5778" s="6" t="s">
        <v>480</v>
      </c>
      <c r="I5778" s="6" t="s">
        <v>31</v>
      </c>
      <c r="J5778" s="6">
        <v>17.000183</v>
      </c>
      <c r="K5778" s="6">
        <v>-97.235355999999996</v>
      </c>
      <c r="L5778" s="6" t="str">
        <f>HYPERLINK("https://maps.google.com/?q=17.000183,-97.235355999999996", "🔗 Ver Mapa")</f>
        <v>🔗 Ver Mapa</v>
      </c>
    </row>
    <row r="5779" spans="1:12" ht="43.5" x14ac:dyDescent="0.35">
      <c r="A5779" s="5" t="s">
        <v>98</v>
      </c>
      <c r="B5779" s="5" t="s">
        <v>99</v>
      </c>
      <c r="C5779" s="5" t="s">
        <v>1137</v>
      </c>
      <c r="D5779" s="5" t="s">
        <v>14</v>
      </c>
      <c r="E5779" s="5" t="s">
        <v>16</v>
      </c>
      <c r="F5779" s="5" t="s">
        <v>19</v>
      </c>
      <c r="G5779" s="5" t="s">
        <v>479</v>
      </c>
      <c r="H5779" s="5" t="s">
        <v>480</v>
      </c>
      <c r="I5779" s="5" t="s">
        <v>31</v>
      </c>
      <c r="J5779" s="5">
        <v>17.000274000000001</v>
      </c>
      <c r="K5779" s="5">
        <v>-97.231842999999998</v>
      </c>
      <c r="L5779" s="5" t="str">
        <f>HYPERLINK("https://maps.google.com/?q=17.000274,-97.231842999999998", "🔗 Ver Mapa")</f>
        <v>🔗 Ver Mapa</v>
      </c>
    </row>
    <row r="5780" spans="1:12" ht="43.5" x14ac:dyDescent="0.35">
      <c r="A5780" s="6" t="s">
        <v>98</v>
      </c>
      <c r="B5780" s="6" t="s">
        <v>99</v>
      </c>
      <c r="C5780" s="6" t="s">
        <v>1137</v>
      </c>
      <c r="D5780" s="6" t="s">
        <v>14</v>
      </c>
      <c r="E5780" s="6" t="s">
        <v>16</v>
      </c>
      <c r="F5780" s="6" t="s">
        <v>19</v>
      </c>
      <c r="G5780" s="6" t="s">
        <v>479</v>
      </c>
      <c r="H5780" s="6" t="s">
        <v>480</v>
      </c>
      <c r="I5780" s="6" t="s">
        <v>31</v>
      </c>
      <c r="J5780" s="6">
        <v>17.00028</v>
      </c>
      <c r="K5780" s="6">
        <v>-97.232213999999999</v>
      </c>
      <c r="L5780" s="6" t="str">
        <f>HYPERLINK("https://maps.google.com/?q=17.00028,-97.232213999999999", "🔗 Ver Mapa")</f>
        <v>🔗 Ver Mapa</v>
      </c>
    </row>
    <row r="5781" spans="1:12" ht="43.5" x14ac:dyDescent="0.35">
      <c r="A5781" s="5" t="s">
        <v>98</v>
      </c>
      <c r="B5781" s="5" t="s">
        <v>99</v>
      </c>
      <c r="C5781" s="5" t="s">
        <v>1137</v>
      </c>
      <c r="D5781" s="5" t="s">
        <v>14</v>
      </c>
      <c r="E5781" s="5" t="s">
        <v>16</v>
      </c>
      <c r="F5781" s="5" t="s">
        <v>19</v>
      </c>
      <c r="G5781" s="5" t="s">
        <v>479</v>
      </c>
      <c r="H5781" s="5" t="s">
        <v>480</v>
      </c>
      <c r="I5781" s="5" t="s">
        <v>31</v>
      </c>
      <c r="J5781" s="5">
        <v>17.000464381238999</v>
      </c>
      <c r="K5781" s="5">
        <v>-97.231656201221995</v>
      </c>
      <c r="L5781" s="5" t="str">
        <f>HYPERLINK("https://maps.google.com/?q=17.0004643812391,-97.231656201221696", "🔗 Ver Mapa")</f>
        <v>🔗 Ver Mapa</v>
      </c>
    </row>
    <row r="5782" spans="1:12" ht="43.5" x14ac:dyDescent="0.35">
      <c r="A5782" s="6" t="s">
        <v>98</v>
      </c>
      <c r="B5782" s="6" t="s">
        <v>99</v>
      </c>
      <c r="C5782" s="6" t="s">
        <v>1137</v>
      </c>
      <c r="D5782" s="6" t="s">
        <v>14</v>
      </c>
      <c r="E5782" s="6" t="s">
        <v>16</v>
      </c>
      <c r="F5782" s="6" t="s">
        <v>19</v>
      </c>
      <c r="G5782" s="6" t="s">
        <v>479</v>
      </c>
      <c r="H5782" s="6" t="s">
        <v>480</v>
      </c>
      <c r="I5782" s="6" t="s">
        <v>31</v>
      </c>
      <c r="J5782" s="6">
        <v>17.001277000000002</v>
      </c>
      <c r="K5782" s="6">
        <v>-97.236394000000004</v>
      </c>
      <c r="L5782" s="6" t="str">
        <f>HYPERLINK("https://maps.google.com/?q=17.001277,-97.236394000000004", "🔗 Ver Mapa")</f>
        <v>🔗 Ver Mapa</v>
      </c>
    </row>
    <row r="5783" spans="1:12" ht="43.5" x14ac:dyDescent="0.35">
      <c r="A5783" s="5" t="s">
        <v>98</v>
      </c>
      <c r="B5783" s="5" t="s">
        <v>99</v>
      </c>
      <c r="C5783" s="5" t="s">
        <v>1137</v>
      </c>
      <c r="D5783" s="5" t="s">
        <v>14</v>
      </c>
      <c r="E5783" s="5" t="s">
        <v>16</v>
      </c>
      <c r="F5783" s="5" t="s">
        <v>19</v>
      </c>
      <c r="G5783" s="5" t="s">
        <v>479</v>
      </c>
      <c r="H5783" s="5" t="s">
        <v>480</v>
      </c>
      <c r="I5783" s="5" t="s">
        <v>31</v>
      </c>
      <c r="J5783" s="5">
        <v>17.001291999999999</v>
      </c>
      <c r="K5783" s="5">
        <v>-97.236243999999999</v>
      </c>
      <c r="L5783" s="5" t="str">
        <f>HYPERLINK("https://maps.google.com/?q=17.001292,-97.236243999999999", "🔗 Ver Mapa")</f>
        <v>🔗 Ver Mapa</v>
      </c>
    </row>
    <row r="5784" spans="1:12" ht="43.5" x14ac:dyDescent="0.35">
      <c r="A5784" s="6" t="s">
        <v>98</v>
      </c>
      <c r="B5784" s="6" t="s">
        <v>99</v>
      </c>
      <c r="C5784" s="6" t="s">
        <v>1138</v>
      </c>
      <c r="D5784" s="6" t="s">
        <v>14</v>
      </c>
      <c r="E5784" s="6" t="s">
        <v>16</v>
      </c>
      <c r="F5784" s="6" t="s">
        <v>21</v>
      </c>
      <c r="G5784" s="6" t="s">
        <v>655</v>
      </c>
      <c r="H5784" s="6" t="s">
        <v>656</v>
      </c>
      <c r="I5784" s="6" t="s">
        <v>31</v>
      </c>
      <c r="J5784" s="6">
        <v>17.298477552493999</v>
      </c>
      <c r="K5784" s="6">
        <v>-97.484846542328</v>
      </c>
      <c r="L5784" s="6" t="str">
        <f>HYPERLINK("https://maps.google.com/?q=17.2984775524942,-97.484846542327901", "🔗 Ver Mapa")</f>
        <v>🔗 Ver Mapa</v>
      </c>
    </row>
    <row r="5785" spans="1:12" ht="43.5" x14ac:dyDescent="0.35">
      <c r="A5785" s="5" t="s">
        <v>98</v>
      </c>
      <c r="B5785" s="5" t="s">
        <v>99</v>
      </c>
      <c r="C5785" s="5" t="s">
        <v>1138</v>
      </c>
      <c r="D5785" s="5" t="s">
        <v>14</v>
      </c>
      <c r="E5785" s="5" t="s">
        <v>16</v>
      </c>
      <c r="F5785" s="5" t="s">
        <v>21</v>
      </c>
      <c r="G5785" s="5" t="s">
        <v>655</v>
      </c>
      <c r="H5785" s="5" t="s">
        <v>656</v>
      </c>
      <c r="I5785" s="5" t="s">
        <v>31</v>
      </c>
      <c r="J5785" s="5">
        <v>17.299870124458</v>
      </c>
      <c r="K5785" s="5">
        <v>-97.489367906745997</v>
      </c>
      <c r="L5785" s="5" t="str">
        <f>HYPERLINK("https://maps.google.com/?q=17.2998701244578,-97.489367906745898", "🔗 Ver Mapa")</f>
        <v>🔗 Ver Mapa</v>
      </c>
    </row>
    <row r="5786" spans="1:12" ht="43.5" x14ac:dyDescent="0.35">
      <c r="A5786" s="6" t="s">
        <v>98</v>
      </c>
      <c r="B5786" s="6" t="s">
        <v>99</v>
      </c>
      <c r="C5786" s="6" t="s">
        <v>1138</v>
      </c>
      <c r="D5786" s="6" t="s">
        <v>14</v>
      </c>
      <c r="E5786" s="6" t="s">
        <v>16</v>
      </c>
      <c r="F5786" s="6" t="s">
        <v>21</v>
      </c>
      <c r="G5786" s="6" t="s">
        <v>655</v>
      </c>
      <c r="H5786" s="6" t="s">
        <v>656</v>
      </c>
      <c r="I5786" s="6" t="s">
        <v>31</v>
      </c>
      <c r="J5786" s="6">
        <v>17.300033779046998</v>
      </c>
      <c r="K5786" s="6">
        <v>-97.484389380832994</v>
      </c>
      <c r="L5786" s="6" t="str">
        <f>HYPERLINK("https://maps.google.com/?q=17.3000337790473,-97.484389380833207", "🔗 Ver Mapa")</f>
        <v>🔗 Ver Mapa</v>
      </c>
    </row>
    <row r="5787" spans="1:12" ht="43.5" x14ac:dyDescent="0.35">
      <c r="A5787" s="5" t="s">
        <v>98</v>
      </c>
      <c r="B5787" s="5" t="s">
        <v>99</v>
      </c>
      <c r="C5787" s="5" t="s">
        <v>1138</v>
      </c>
      <c r="D5787" s="5" t="s">
        <v>14</v>
      </c>
      <c r="E5787" s="5" t="s">
        <v>16</v>
      </c>
      <c r="F5787" s="5" t="s">
        <v>21</v>
      </c>
      <c r="G5787" s="5" t="s">
        <v>655</v>
      </c>
      <c r="H5787" s="5" t="s">
        <v>656</v>
      </c>
      <c r="I5787" s="5" t="s">
        <v>31</v>
      </c>
      <c r="J5787" s="5">
        <v>17.300644796276</v>
      </c>
      <c r="K5787" s="5">
        <v>-97.487721703079004</v>
      </c>
      <c r="L5787" s="5" t="str">
        <f>HYPERLINK("https://maps.google.com/?q=17.3006447962763,-97.487721703079103", "🔗 Ver Mapa")</f>
        <v>🔗 Ver Mapa</v>
      </c>
    </row>
    <row r="5788" spans="1:12" ht="43.5" x14ac:dyDescent="0.35">
      <c r="A5788" s="6" t="s">
        <v>98</v>
      </c>
      <c r="B5788" s="6" t="s">
        <v>99</v>
      </c>
      <c r="C5788" s="6" t="s">
        <v>1138</v>
      </c>
      <c r="D5788" s="6" t="s">
        <v>14</v>
      </c>
      <c r="E5788" s="6" t="s">
        <v>16</v>
      </c>
      <c r="F5788" s="6" t="s">
        <v>21</v>
      </c>
      <c r="G5788" s="6" t="s">
        <v>655</v>
      </c>
      <c r="H5788" s="6" t="s">
        <v>656</v>
      </c>
      <c r="I5788" s="6" t="s">
        <v>31</v>
      </c>
      <c r="J5788" s="6">
        <v>17.303396272872</v>
      </c>
      <c r="K5788" s="6">
        <v>-97.488442860118994</v>
      </c>
      <c r="L5788" s="6" t="str">
        <f>HYPERLINK("https://maps.google.com/?q=17.3033962728723,-97.488442860118894", "🔗 Ver Mapa")</f>
        <v>🔗 Ver Mapa</v>
      </c>
    </row>
    <row r="5789" spans="1:12" ht="43.5" x14ac:dyDescent="0.35">
      <c r="A5789" s="5" t="s">
        <v>98</v>
      </c>
      <c r="B5789" s="5" t="s">
        <v>99</v>
      </c>
      <c r="C5789" s="5" t="s">
        <v>1138</v>
      </c>
      <c r="D5789" s="5" t="s">
        <v>14</v>
      </c>
      <c r="E5789" s="5" t="s">
        <v>16</v>
      </c>
      <c r="F5789" s="5" t="s">
        <v>21</v>
      </c>
      <c r="G5789" s="5" t="s">
        <v>655</v>
      </c>
      <c r="H5789" s="5" t="s">
        <v>656</v>
      </c>
      <c r="I5789" s="5" t="s">
        <v>31</v>
      </c>
      <c r="J5789" s="5">
        <v>17.303862272949999</v>
      </c>
      <c r="K5789" s="5">
        <v>-97.485353825759006</v>
      </c>
      <c r="L5789" s="5" t="str">
        <f>HYPERLINK("https://maps.google.com/?q=17.3038622729502,-97.485353825759404", "🔗 Ver Mapa")</f>
        <v>🔗 Ver Mapa</v>
      </c>
    </row>
    <row r="5790" spans="1:12" ht="43.5" x14ac:dyDescent="0.35">
      <c r="A5790" s="6" t="s">
        <v>98</v>
      </c>
      <c r="B5790" s="6" t="s">
        <v>99</v>
      </c>
      <c r="C5790" s="6" t="s">
        <v>1138</v>
      </c>
      <c r="D5790" s="6" t="s">
        <v>14</v>
      </c>
      <c r="E5790" s="6" t="s">
        <v>16</v>
      </c>
      <c r="F5790" s="6" t="s">
        <v>21</v>
      </c>
      <c r="G5790" s="6" t="s">
        <v>655</v>
      </c>
      <c r="H5790" s="6" t="s">
        <v>656</v>
      </c>
      <c r="I5790" s="6" t="s">
        <v>31</v>
      </c>
      <c r="J5790" s="6">
        <v>17.304563299767</v>
      </c>
      <c r="K5790" s="6">
        <v>-97.490234785368997</v>
      </c>
      <c r="L5790" s="6" t="str">
        <f>HYPERLINK("https://maps.google.com/?q=17.3045632997666,-97.490234785369395", "🔗 Ver Mapa")</f>
        <v>🔗 Ver Mapa</v>
      </c>
    </row>
    <row r="5791" spans="1:12" ht="43.5" x14ac:dyDescent="0.35">
      <c r="A5791" s="5" t="s">
        <v>98</v>
      </c>
      <c r="B5791" s="5" t="s">
        <v>99</v>
      </c>
      <c r="C5791" s="5" t="s">
        <v>1138</v>
      </c>
      <c r="D5791" s="5" t="s">
        <v>14</v>
      </c>
      <c r="E5791" s="5" t="s">
        <v>16</v>
      </c>
      <c r="F5791" s="5" t="s">
        <v>21</v>
      </c>
      <c r="G5791" s="5" t="s">
        <v>655</v>
      </c>
      <c r="H5791" s="5" t="s">
        <v>656</v>
      </c>
      <c r="I5791" s="5" t="s">
        <v>31</v>
      </c>
      <c r="J5791" s="5">
        <v>17.304969517621998</v>
      </c>
      <c r="K5791" s="5">
        <v>-97.490936438193998</v>
      </c>
      <c r="L5791" s="5" t="str">
        <f>HYPERLINK("https://maps.google.com/?q=17.3049695176215,-97.490936438194396", "🔗 Ver Mapa")</f>
        <v>🔗 Ver Mapa</v>
      </c>
    </row>
    <row r="5792" spans="1:12" ht="43.5" x14ac:dyDescent="0.35">
      <c r="A5792" s="6" t="s">
        <v>98</v>
      </c>
      <c r="B5792" s="6" t="s">
        <v>99</v>
      </c>
      <c r="C5792" s="6" t="s">
        <v>1138</v>
      </c>
      <c r="D5792" s="6" t="s">
        <v>14</v>
      </c>
      <c r="E5792" s="6" t="s">
        <v>16</v>
      </c>
      <c r="F5792" s="6" t="s">
        <v>21</v>
      </c>
      <c r="G5792" s="6" t="s">
        <v>655</v>
      </c>
      <c r="H5792" s="6" t="s">
        <v>656</v>
      </c>
      <c r="I5792" s="6" t="s">
        <v>31</v>
      </c>
      <c r="J5792" s="6">
        <v>17.305201518956</v>
      </c>
      <c r="K5792" s="6">
        <v>-97.483216701887002</v>
      </c>
      <c r="L5792" s="6" t="str">
        <f>HYPERLINK("https://maps.google.com/?q=17.3052015189556,-97.483216701887102", "🔗 Ver Mapa")</f>
        <v>🔗 Ver Mapa</v>
      </c>
    </row>
    <row r="5793" spans="1:12" ht="43.5" x14ac:dyDescent="0.35">
      <c r="A5793" s="5" t="s">
        <v>98</v>
      </c>
      <c r="B5793" s="5" t="s">
        <v>99</v>
      </c>
      <c r="C5793" s="5" t="s">
        <v>1138</v>
      </c>
      <c r="D5793" s="5" t="s">
        <v>14</v>
      </c>
      <c r="E5793" s="5" t="s">
        <v>16</v>
      </c>
      <c r="F5793" s="5" t="s">
        <v>21</v>
      </c>
      <c r="G5793" s="5" t="s">
        <v>655</v>
      </c>
      <c r="H5793" s="5" t="s">
        <v>656</v>
      </c>
      <c r="I5793" s="5" t="s">
        <v>31</v>
      </c>
      <c r="J5793" s="5">
        <v>17.305334441925002</v>
      </c>
      <c r="K5793" s="5">
        <v>-97.485924519014006</v>
      </c>
      <c r="L5793" s="5" t="str">
        <f>HYPERLINK("https://maps.google.com/?q=17.3053344419252,-97.485924519014404", "🔗 Ver Mapa")</f>
        <v>🔗 Ver Mapa</v>
      </c>
    </row>
    <row r="5794" spans="1:12" ht="43.5" x14ac:dyDescent="0.35">
      <c r="A5794" s="6" t="s">
        <v>98</v>
      </c>
      <c r="B5794" s="6" t="s">
        <v>99</v>
      </c>
      <c r="C5794" s="6" t="s">
        <v>1138</v>
      </c>
      <c r="D5794" s="6" t="s">
        <v>14</v>
      </c>
      <c r="E5794" s="6" t="s">
        <v>16</v>
      </c>
      <c r="F5794" s="6" t="s">
        <v>21</v>
      </c>
      <c r="G5794" s="6" t="s">
        <v>655</v>
      </c>
      <c r="H5794" s="6" t="s">
        <v>656</v>
      </c>
      <c r="I5794" s="6" t="s">
        <v>31</v>
      </c>
      <c r="J5794" s="6">
        <v>17.306197441937002</v>
      </c>
      <c r="K5794" s="6">
        <v>-97.489653906746</v>
      </c>
      <c r="L5794" s="6" t="str">
        <f>HYPERLINK("https://maps.google.com/?q=17.3061974419374,-97.4896539067459", "🔗 Ver Mapa")</f>
        <v>🔗 Ver Mapa</v>
      </c>
    </row>
    <row r="5795" spans="1:12" ht="43.5" x14ac:dyDescent="0.35">
      <c r="A5795" s="5" t="s">
        <v>98</v>
      </c>
      <c r="B5795" s="5" t="s">
        <v>99</v>
      </c>
      <c r="C5795" s="5" t="s">
        <v>1138</v>
      </c>
      <c r="D5795" s="5" t="s">
        <v>14</v>
      </c>
      <c r="E5795" s="5" t="s">
        <v>16</v>
      </c>
      <c r="F5795" s="5" t="s">
        <v>21</v>
      </c>
      <c r="G5795" s="5" t="s">
        <v>655</v>
      </c>
      <c r="H5795" s="5" t="s">
        <v>656</v>
      </c>
      <c r="I5795" s="5" t="s">
        <v>31</v>
      </c>
      <c r="J5795" s="5">
        <v>17.306350866789</v>
      </c>
      <c r="K5795" s="5">
        <v>-97.48996604749</v>
      </c>
      <c r="L5795" s="5" t="str">
        <f>HYPERLINK("https://maps.google.com/?q=17.3063508667894,-97.489966047490398", "🔗 Ver Mapa")</f>
        <v>🔗 Ver Mapa</v>
      </c>
    </row>
    <row r="5796" spans="1:12" ht="43.5" x14ac:dyDescent="0.35">
      <c r="A5796" s="6" t="s">
        <v>98</v>
      </c>
      <c r="B5796" s="6" t="s">
        <v>99</v>
      </c>
      <c r="C5796" s="6" t="s">
        <v>1138</v>
      </c>
      <c r="D5796" s="6" t="s">
        <v>14</v>
      </c>
      <c r="E5796" s="6" t="s">
        <v>16</v>
      </c>
      <c r="F5796" s="6" t="s">
        <v>21</v>
      </c>
      <c r="G5796" s="6" t="s">
        <v>655</v>
      </c>
      <c r="H5796" s="6" t="s">
        <v>656</v>
      </c>
      <c r="I5796" s="6" t="s">
        <v>31</v>
      </c>
      <c r="J5796" s="6">
        <v>17.306443000000002</v>
      </c>
      <c r="K5796" s="6">
        <v>-97.488692999999998</v>
      </c>
      <c r="L5796" s="6" t="str">
        <f>HYPERLINK("https://maps.google.com/?q=17.306443,-97.488692999999998", "🔗 Ver Mapa")</f>
        <v>🔗 Ver Mapa</v>
      </c>
    </row>
    <row r="5797" spans="1:12" ht="43.5" x14ac:dyDescent="0.35">
      <c r="A5797" s="5" t="s">
        <v>98</v>
      </c>
      <c r="B5797" s="5" t="s">
        <v>99</v>
      </c>
      <c r="C5797" s="5" t="s">
        <v>1138</v>
      </c>
      <c r="D5797" s="5" t="s">
        <v>14</v>
      </c>
      <c r="E5797" s="5" t="s">
        <v>16</v>
      </c>
      <c r="F5797" s="5" t="s">
        <v>21</v>
      </c>
      <c r="G5797" s="5" t="s">
        <v>655</v>
      </c>
      <c r="H5797" s="5" t="s">
        <v>656</v>
      </c>
      <c r="I5797" s="5" t="s">
        <v>31</v>
      </c>
      <c r="J5797" s="5">
        <v>17.306602270616001</v>
      </c>
      <c r="K5797" s="5">
        <v>-97.494594991401996</v>
      </c>
      <c r="L5797" s="5" t="str">
        <f>HYPERLINK("https://maps.google.com/?q=17.3066022706164,-97.494594991401698", "🔗 Ver Mapa")</f>
        <v>🔗 Ver Mapa</v>
      </c>
    </row>
    <row r="5798" spans="1:12" ht="43.5" x14ac:dyDescent="0.35">
      <c r="A5798" s="6" t="s">
        <v>98</v>
      </c>
      <c r="B5798" s="6" t="s">
        <v>99</v>
      </c>
      <c r="C5798" s="6" t="s">
        <v>1138</v>
      </c>
      <c r="D5798" s="6" t="s">
        <v>14</v>
      </c>
      <c r="E5798" s="6" t="s">
        <v>16</v>
      </c>
      <c r="F5798" s="6" t="s">
        <v>21</v>
      </c>
      <c r="G5798" s="6" t="s">
        <v>655</v>
      </c>
      <c r="H5798" s="6" t="s">
        <v>656</v>
      </c>
      <c r="I5798" s="6" t="s">
        <v>31</v>
      </c>
      <c r="J5798" s="6">
        <v>17.306744203687</v>
      </c>
      <c r="K5798" s="6">
        <v>-97.492580985285002</v>
      </c>
      <c r="L5798" s="6" t="str">
        <f>HYPERLINK("https://maps.google.com/?q=17.3067442036868,-97.492580985284803", "🔗 Ver Mapa")</f>
        <v>🔗 Ver Mapa</v>
      </c>
    </row>
    <row r="5799" spans="1:12" ht="43.5" x14ac:dyDescent="0.35">
      <c r="A5799" s="5" t="s">
        <v>98</v>
      </c>
      <c r="B5799" s="5" t="s">
        <v>99</v>
      </c>
      <c r="C5799" s="5" t="s">
        <v>1138</v>
      </c>
      <c r="D5799" s="5" t="s">
        <v>14</v>
      </c>
      <c r="E5799" s="5" t="s">
        <v>16</v>
      </c>
      <c r="F5799" s="5" t="s">
        <v>21</v>
      </c>
      <c r="G5799" s="5" t="s">
        <v>655</v>
      </c>
      <c r="H5799" s="5" t="s">
        <v>656</v>
      </c>
      <c r="I5799" s="5" t="s">
        <v>31</v>
      </c>
      <c r="J5799" s="5">
        <v>17.306793102971</v>
      </c>
      <c r="K5799" s="5">
        <v>-97.488321277300003</v>
      </c>
      <c r="L5799" s="5" t="str">
        <f>HYPERLINK("https://maps.google.com/?q=17.3067931029707,-97.488321277299505", "🔗 Ver Mapa")</f>
        <v>🔗 Ver Mapa</v>
      </c>
    </row>
    <row r="5800" spans="1:12" ht="43.5" x14ac:dyDescent="0.35">
      <c r="A5800" s="6" t="s">
        <v>98</v>
      </c>
      <c r="B5800" s="6" t="s">
        <v>99</v>
      </c>
      <c r="C5800" s="6" t="s">
        <v>1138</v>
      </c>
      <c r="D5800" s="6" t="s">
        <v>14</v>
      </c>
      <c r="E5800" s="6" t="s">
        <v>16</v>
      </c>
      <c r="F5800" s="6" t="s">
        <v>21</v>
      </c>
      <c r="G5800" s="6" t="s">
        <v>655</v>
      </c>
      <c r="H5800" s="6" t="s">
        <v>656</v>
      </c>
      <c r="I5800" s="6" t="s">
        <v>31</v>
      </c>
      <c r="J5800" s="6">
        <v>17.307110713894001</v>
      </c>
      <c r="K5800" s="6">
        <v>-97.489762169312002</v>
      </c>
      <c r="L5800" s="6" t="str">
        <f>HYPERLINK("https://maps.google.com/?q=17.3071107138935,-97.489762169311604", "🔗 Ver Mapa")</f>
        <v>🔗 Ver Mapa</v>
      </c>
    </row>
    <row r="5801" spans="1:12" ht="43.5" x14ac:dyDescent="0.35">
      <c r="A5801" s="5" t="s">
        <v>98</v>
      </c>
      <c r="B5801" s="5" t="s">
        <v>99</v>
      </c>
      <c r="C5801" s="5" t="s">
        <v>1138</v>
      </c>
      <c r="D5801" s="5" t="s">
        <v>14</v>
      </c>
      <c r="E5801" s="5" t="s">
        <v>16</v>
      </c>
      <c r="F5801" s="5" t="s">
        <v>21</v>
      </c>
      <c r="G5801" s="5" t="s">
        <v>655</v>
      </c>
      <c r="H5801" s="5" t="s">
        <v>656</v>
      </c>
      <c r="I5801" s="5" t="s">
        <v>31</v>
      </c>
      <c r="J5801" s="5">
        <v>17.307597538345998</v>
      </c>
      <c r="K5801" s="5">
        <v>-97.494097710272001</v>
      </c>
      <c r="L5801" s="5" t="str">
        <f>HYPERLINK("https://maps.google.com/?q=17.307597538346,-97.494097710272399", "🔗 Ver Mapa")</f>
        <v>🔗 Ver Mapa</v>
      </c>
    </row>
    <row r="5802" spans="1:12" ht="43.5" x14ac:dyDescent="0.35">
      <c r="A5802" s="6" t="s">
        <v>98</v>
      </c>
      <c r="B5802" s="6" t="s">
        <v>99</v>
      </c>
      <c r="C5802" s="6" t="s">
        <v>1138</v>
      </c>
      <c r="D5802" s="6" t="s">
        <v>14</v>
      </c>
      <c r="E5802" s="6" t="s">
        <v>16</v>
      </c>
      <c r="F5802" s="6" t="s">
        <v>21</v>
      </c>
      <c r="G5802" s="6" t="s">
        <v>655</v>
      </c>
      <c r="H5802" s="6" t="s">
        <v>656</v>
      </c>
      <c r="I5802" s="6" t="s">
        <v>31</v>
      </c>
      <c r="J5802" s="6">
        <v>17.308735787799002</v>
      </c>
      <c r="K5802" s="6">
        <v>-97.483114061341993</v>
      </c>
      <c r="L5802" s="6" t="str">
        <f>HYPERLINK("https://maps.google.com/?q=17.308735787799,-97.483114061342306", "🔗 Ver Mapa")</f>
        <v>🔗 Ver Mapa</v>
      </c>
    </row>
    <row r="5803" spans="1:12" ht="43.5" x14ac:dyDescent="0.35">
      <c r="A5803" s="5" t="s">
        <v>98</v>
      </c>
      <c r="B5803" s="5" t="s">
        <v>99</v>
      </c>
      <c r="C5803" s="5" t="s">
        <v>1138</v>
      </c>
      <c r="D5803" s="5" t="s">
        <v>14</v>
      </c>
      <c r="E5803" s="5" t="s">
        <v>16</v>
      </c>
      <c r="F5803" s="5" t="s">
        <v>21</v>
      </c>
      <c r="G5803" s="5" t="s">
        <v>655</v>
      </c>
      <c r="H5803" s="5" t="s">
        <v>656</v>
      </c>
      <c r="I5803" s="5" t="s">
        <v>31</v>
      </c>
      <c r="J5803" s="5">
        <v>17.308835320484999</v>
      </c>
      <c r="K5803" s="5">
        <v>-97.489120533730002</v>
      </c>
      <c r="L5803" s="5" t="str">
        <f>HYPERLINK("https://maps.google.com/?q=17.3088353204847,-97.489120533729604", "🔗 Ver Mapa")</f>
        <v>🔗 Ver Mapa</v>
      </c>
    </row>
    <row r="5804" spans="1:12" ht="43.5" x14ac:dyDescent="0.35">
      <c r="A5804" s="6" t="s">
        <v>98</v>
      </c>
      <c r="B5804" s="6" t="s">
        <v>99</v>
      </c>
      <c r="C5804" s="6" t="s">
        <v>1138</v>
      </c>
      <c r="D5804" s="6" t="s">
        <v>14</v>
      </c>
      <c r="E5804" s="6" t="s">
        <v>16</v>
      </c>
      <c r="F5804" s="6" t="s">
        <v>21</v>
      </c>
      <c r="G5804" s="6" t="s">
        <v>655</v>
      </c>
      <c r="H5804" s="6" t="s">
        <v>656</v>
      </c>
      <c r="I5804" s="6" t="s">
        <v>31</v>
      </c>
      <c r="J5804" s="6">
        <v>17.308947881232999</v>
      </c>
      <c r="K5804" s="6">
        <v>-97.489437565640998</v>
      </c>
      <c r="L5804" s="6" t="str">
        <f>HYPERLINK("https://maps.google.com/?q=17.3089478812327,-97.489437565641396", "🔗 Ver Mapa")</f>
        <v>🔗 Ver Mapa</v>
      </c>
    </row>
    <row r="5805" spans="1:12" ht="43.5" x14ac:dyDescent="0.35">
      <c r="A5805" s="5" t="s">
        <v>98</v>
      </c>
      <c r="B5805" s="5" t="s">
        <v>99</v>
      </c>
      <c r="C5805" s="5" t="s">
        <v>1138</v>
      </c>
      <c r="D5805" s="5" t="s">
        <v>14</v>
      </c>
      <c r="E5805" s="5" t="s">
        <v>16</v>
      </c>
      <c r="F5805" s="5" t="s">
        <v>21</v>
      </c>
      <c r="G5805" s="5" t="s">
        <v>655</v>
      </c>
      <c r="H5805" s="5" t="s">
        <v>656</v>
      </c>
      <c r="I5805" s="5" t="s">
        <v>31</v>
      </c>
      <c r="J5805" s="5">
        <v>17.309084064494002</v>
      </c>
      <c r="K5805" s="5">
        <v>-97.488837796772003</v>
      </c>
      <c r="L5805" s="5" t="str">
        <f>HYPERLINK("https://maps.google.com/?q=17.3090840644938,-97.488837796772103", "🔗 Ver Mapa")</f>
        <v>🔗 Ver Mapa</v>
      </c>
    </row>
    <row r="5806" spans="1:12" ht="43.5" x14ac:dyDescent="0.35">
      <c r="A5806" s="6" t="s">
        <v>98</v>
      </c>
      <c r="B5806" s="6" t="s">
        <v>99</v>
      </c>
      <c r="C5806" s="6" t="s">
        <v>1138</v>
      </c>
      <c r="D5806" s="6" t="s">
        <v>14</v>
      </c>
      <c r="E5806" s="6" t="s">
        <v>16</v>
      </c>
      <c r="F5806" s="6" t="s">
        <v>21</v>
      </c>
      <c r="G5806" s="6" t="s">
        <v>655</v>
      </c>
      <c r="H5806" s="6" t="s">
        <v>656</v>
      </c>
      <c r="I5806" s="6" t="s">
        <v>31</v>
      </c>
      <c r="J5806" s="6">
        <v>17.311415956339999</v>
      </c>
      <c r="K5806" s="6">
        <v>-97.492265612268994</v>
      </c>
      <c r="L5806" s="6" t="str">
        <f>HYPERLINK("https://maps.google.com/?q=17.31141595634,-97.492265612268795", "🔗 Ver Mapa")</f>
        <v>🔗 Ver Mapa</v>
      </c>
    </row>
    <row r="5807" spans="1:12" ht="43.5" x14ac:dyDescent="0.35">
      <c r="A5807" s="5" t="s">
        <v>98</v>
      </c>
      <c r="B5807" s="5" t="s">
        <v>99</v>
      </c>
      <c r="C5807" s="5" t="s">
        <v>1138</v>
      </c>
      <c r="D5807" s="5" t="s">
        <v>14</v>
      </c>
      <c r="E5807" s="5" t="s">
        <v>16</v>
      </c>
      <c r="F5807" s="5" t="s">
        <v>21</v>
      </c>
      <c r="G5807" s="5" t="s">
        <v>655</v>
      </c>
      <c r="H5807" s="5" t="s">
        <v>656</v>
      </c>
      <c r="I5807" s="5" t="s">
        <v>31</v>
      </c>
      <c r="J5807" s="5">
        <v>17.311703797433001</v>
      </c>
      <c r="K5807" s="5">
        <v>-97.490126883431998</v>
      </c>
      <c r="L5807" s="5" t="str">
        <f>HYPERLINK("https://maps.google.com/?q=17.3117037974332,-97.490126883432296", "🔗 Ver Mapa")</f>
        <v>🔗 Ver Mapa</v>
      </c>
    </row>
    <row r="5808" spans="1:12" ht="43.5" x14ac:dyDescent="0.35">
      <c r="A5808" s="6" t="s">
        <v>98</v>
      </c>
      <c r="B5808" s="6" t="s">
        <v>99</v>
      </c>
      <c r="C5808" s="6" t="s">
        <v>1138</v>
      </c>
      <c r="D5808" s="6" t="s">
        <v>14</v>
      </c>
      <c r="E5808" s="6" t="s">
        <v>16</v>
      </c>
      <c r="F5808" s="6" t="s">
        <v>21</v>
      </c>
      <c r="G5808" s="6" t="s">
        <v>655</v>
      </c>
      <c r="H5808" s="6" t="s">
        <v>656</v>
      </c>
      <c r="I5808" s="6" t="s">
        <v>31</v>
      </c>
      <c r="J5808" s="6">
        <v>17.312201806211</v>
      </c>
      <c r="K5808" s="6">
        <v>-97.489180932541004</v>
      </c>
      <c r="L5808" s="6" t="str">
        <f>HYPERLINK("https://maps.google.com/?q=17.3122018062111,-97.489180932541004", "🔗 Ver Mapa")</f>
        <v>🔗 Ver Mapa</v>
      </c>
    </row>
    <row r="5809" spans="1:12" ht="43.5" x14ac:dyDescent="0.35">
      <c r="A5809" s="5" t="s">
        <v>98</v>
      </c>
      <c r="B5809" s="5" t="s">
        <v>99</v>
      </c>
      <c r="C5809" s="5" t="s">
        <v>1139</v>
      </c>
      <c r="D5809" s="5" t="s">
        <v>14</v>
      </c>
      <c r="E5809" s="5" t="s">
        <v>17</v>
      </c>
      <c r="F5809" s="5" t="s">
        <v>46</v>
      </c>
      <c r="G5809" s="5" t="s">
        <v>212</v>
      </c>
      <c r="H5809" s="5" t="s">
        <v>213</v>
      </c>
      <c r="I5809" s="5" t="s">
        <v>31</v>
      </c>
      <c r="J5809" s="5">
        <v>16.002695798074001</v>
      </c>
      <c r="K5809" s="5">
        <v>-97.438013953373002</v>
      </c>
      <c r="L5809" s="5" t="str">
        <f>HYPERLINK("https://maps.google.com/?q=16.0026957980741,-97.438013953373002", "🔗 Ver Mapa")</f>
        <v>🔗 Ver Mapa</v>
      </c>
    </row>
    <row r="5810" spans="1:12" ht="43.5" x14ac:dyDescent="0.35">
      <c r="A5810" s="6" t="s">
        <v>98</v>
      </c>
      <c r="B5810" s="6" t="s">
        <v>99</v>
      </c>
      <c r="C5810" s="6" t="s">
        <v>1139</v>
      </c>
      <c r="D5810" s="6" t="s">
        <v>14</v>
      </c>
      <c r="E5810" s="6" t="s">
        <v>17</v>
      </c>
      <c r="F5810" s="6" t="s">
        <v>46</v>
      </c>
      <c r="G5810" s="6" t="s">
        <v>212</v>
      </c>
      <c r="H5810" s="6" t="s">
        <v>213</v>
      </c>
      <c r="I5810" s="6" t="s">
        <v>31</v>
      </c>
      <c r="J5810" s="6">
        <v>16.005293175725999</v>
      </c>
      <c r="K5810" s="6">
        <v>-97.446673932541003</v>
      </c>
      <c r="L5810" s="6" t="str">
        <f>HYPERLINK("https://maps.google.com/?q=16.0052931757264,-97.446673932540804", "🔗 Ver Mapa")</f>
        <v>🔗 Ver Mapa</v>
      </c>
    </row>
    <row r="5811" spans="1:12" ht="43.5" x14ac:dyDescent="0.35">
      <c r="A5811" s="5" t="s">
        <v>98</v>
      </c>
      <c r="B5811" s="5" t="s">
        <v>99</v>
      </c>
      <c r="C5811" s="5" t="s">
        <v>1139</v>
      </c>
      <c r="D5811" s="5" t="s">
        <v>14</v>
      </c>
      <c r="E5811" s="5" t="s">
        <v>17</v>
      </c>
      <c r="F5811" s="5" t="s">
        <v>46</v>
      </c>
      <c r="G5811" s="5" t="s">
        <v>212</v>
      </c>
      <c r="H5811" s="5" t="s">
        <v>213</v>
      </c>
      <c r="I5811" s="5" t="s">
        <v>31</v>
      </c>
      <c r="J5811" s="5">
        <v>16.007396945879002</v>
      </c>
      <c r="K5811" s="5">
        <v>-97.442515379132999</v>
      </c>
      <c r="L5811" s="5" t="str">
        <f>HYPERLINK("https://maps.google.com/?q=16.0073969458792,-97.442515379133297", "🔗 Ver Mapa")</f>
        <v>🔗 Ver Mapa</v>
      </c>
    </row>
    <row r="5812" spans="1:12" ht="43.5" x14ac:dyDescent="0.35">
      <c r="A5812" s="6" t="s">
        <v>98</v>
      </c>
      <c r="B5812" s="6" t="s">
        <v>99</v>
      </c>
      <c r="C5812" s="6" t="s">
        <v>1139</v>
      </c>
      <c r="D5812" s="6" t="s">
        <v>14</v>
      </c>
      <c r="E5812" s="6" t="s">
        <v>17</v>
      </c>
      <c r="F5812" s="6" t="s">
        <v>46</v>
      </c>
      <c r="G5812" s="6" t="s">
        <v>212</v>
      </c>
      <c r="H5812" s="6" t="s">
        <v>213</v>
      </c>
      <c r="I5812" s="6" t="s">
        <v>31</v>
      </c>
      <c r="J5812" s="6">
        <v>16.008821255120001</v>
      </c>
      <c r="K5812" s="6">
        <v>-97.425522204418002</v>
      </c>
      <c r="L5812" s="6" t="str">
        <f>HYPERLINK("https://maps.google.com/?q=16.0088212551198,-97.425522204418002", "🔗 Ver Mapa")</f>
        <v>🔗 Ver Mapa</v>
      </c>
    </row>
    <row r="5813" spans="1:12" ht="43.5" x14ac:dyDescent="0.35">
      <c r="A5813" s="5" t="s">
        <v>98</v>
      </c>
      <c r="B5813" s="5" t="s">
        <v>99</v>
      </c>
      <c r="C5813" s="5" t="s">
        <v>1139</v>
      </c>
      <c r="D5813" s="5" t="s">
        <v>14</v>
      </c>
      <c r="E5813" s="5" t="s">
        <v>17</v>
      </c>
      <c r="F5813" s="5" t="s">
        <v>46</v>
      </c>
      <c r="G5813" s="5" t="s">
        <v>212</v>
      </c>
      <c r="H5813" s="5" t="s">
        <v>213</v>
      </c>
      <c r="I5813" s="5" t="s">
        <v>31</v>
      </c>
      <c r="J5813" s="5">
        <v>16.008986259271001</v>
      </c>
      <c r="K5813" s="5">
        <v>-97.425610717314996</v>
      </c>
      <c r="L5813" s="5" t="str">
        <f>HYPERLINK("https://maps.google.com/?q=16.0089862592711,-97.425610717315493", "🔗 Ver Mapa")</f>
        <v>🔗 Ver Mapa</v>
      </c>
    </row>
    <row r="5814" spans="1:12" ht="43.5" x14ac:dyDescent="0.35">
      <c r="A5814" s="6" t="s">
        <v>98</v>
      </c>
      <c r="B5814" s="6" t="s">
        <v>99</v>
      </c>
      <c r="C5814" s="6" t="s">
        <v>1139</v>
      </c>
      <c r="D5814" s="6" t="s">
        <v>14</v>
      </c>
      <c r="E5814" s="6" t="s">
        <v>17</v>
      </c>
      <c r="F5814" s="6" t="s">
        <v>46</v>
      </c>
      <c r="G5814" s="6" t="s">
        <v>212</v>
      </c>
      <c r="H5814" s="6" t="s">
        <v>213</v>
      </c>
      <c r="I5814" s="6" t="s">
        <v>31</v>
      </c>
      <c r="J5814" s="6">
        <v>16.009051034273998</v>
      </c>
      <c r="K5814" s="6">
        <v>-97.426142104137</v>
      </c>
      <c r="L5814" s="6" t="str">
        <f>HYPERLINK("https://maps.google.com/?q=16.0090510342741,-97.426142104137", "🔗 Ver Mapa")</f>
        <v>🔗 Ver Mapa</v>
      </c>
    </row>
    <row r="5815" spans="1:12" ht="43.5" x14ac:dyDescent="0.35">
      <c r="A5815" s="5" t="s">
        <v>98</v>
      </c>
      <c r="B5815" s="5" t="s">
        <v>99</v>
      </c>
      <c r="C5815" s="5" t="s">
        <v>1139</v>
      </c>
      <c r="D5815" s="5" t="s">
        <v>14</v>
      </c>
      <c r="E5815" s="5" t="s">
        <v>17</v>
      </c>
      <c r="F5815" s="5" t="s">
        <v>46</v>
      </c>
      <c r="G5815" s="5" t="s">
        <v>212</v>
      </c>
      <c r="H5815" s="5" t="s">
        <v>213</v>
      </c>
      <c r="I5815" s="5" t="s">
        <v>31</v>
      </c>
      <c r="J5815" s="5">
        <v>16.009811277983001</v>
      </c>
      <c r="K5815" s="5">
        <v>-97.431433793085006</v>
      </c>
      <c r="L5815" s="5" t="str">
        <f>HYPERLINK("https://maps.google.com/?q=16.0098112779827,-97.431433793085006", "🔗 Ver Mapa")</f>
        <v>🔗 Ver Mapa</v>
      </c>
    </row>
    <row r="5816" spans="1:12" ht="43.5" x14ac:dyDescent="0.35">
      <c r="A5816" s="6" t="s">
        <v>98</v>
      </c>
      <c r="B5816" s="6" t="s">
        <v>99</v>
      </c>
      <c r="C5816" s="6" t="s">
        <v>1139</v>
      </c>
      <c r="D5816" s="6" t="s">
        <v>14</v>
      </c>
      <c r="E5816" s="6" t="s">
        <v>17</v>
      </c>
      <c r="F5816" s="6" t="s">
        <v>46</v>
      </c>
      <c r="G5816" s="6" t="s">
        <v>212</v>
      </c>
      <c r="H5816" s="6" t="s">
        <v>213</v>
      </c>
      <c r="I5816" s="6" t="s">
        <v>31</v>
      </c>
      <c r="J5816" s="6">
        <v>16.010378540055999</v>
      </c>
      <c r="K5816" s="6">
        <v>-97.426217060099006</v>
      </c>
      <c r="L5816" s="6" t="str">
        <f>HYPERLINK("https://maps.google.com/?q=16.0103785400556,-97.426217060099404", "🔗 Ver Mapa")</f>
        <v>🔗 Ver Mapa</v>
      </c>
    </row>
    <row r="5817" spans="1:12" ht="43.5" x14ac:dyDescent="0.35">
      <c r="A5817" s="5" t="s">
        <v>98</v>
      </c>
      <c r="B5817" s="5" t="s">
        <v>99</v>
      </c>
      <c r="C5817" s="5" t="s">
        <v>1139</v>
      </c>
      <c r="D5817" s="5" t="s">
        <v>14</v>
      </c>
      <c r="E5817" s="5" t="s">
        <v>17</v>
      </c>
      <c r="F5817" s="5" t="s">
        <v>46</v>
      </c>
      <c r="G5817" s="5" t="s">
        <v>212</v>
      </c>
      <c r="H5817" s="5" t="s">
        <v>213</v>
      </c>
      <c r="I5817" s="5" t="s">
        <v>31</v>
      </c>
      <c r="J5817" s="5">
        <v>16.014659143566998</v>
      </c>
      <c r="K5817" s="5">
        <v>-97.431390163195005</v>
      </c>
      <c r="L5817" s="5" t="str">
        <f>HYPERLINK("https://maps.google.com/?q=16.014659143567,-97.431390163194607", "🔗 Ver Mapa")</f>
        <v>🔗 Ver Mapa</v>
      </c>
    </row>
    <row r="5818" spans="1:12" ht="43.5" x14ac:dyDescent="0.35">
      <c r="A5818" s="6" t="s">
        <v>98</v>
      </c>
      <c r="B5818" s="6" t="s">
        <v>99</v>
      </c>
      <c r="C5818" s="6" t="s">
        <v>1139</v>
      </c>
      <c r="D5818" s="6" t="s">
        <v>14</v>
      </c>
      <c r="E5818" s="6" t="s">
        <v>17</v>
      </c>
      <c r="F5818" s="6" t="s">
        <v>46</v>
      </c>
      <c r="G5818" s="6" t="s">
        <v>212</v>
      </c>
      <c r="H5818" s="6" t="s">
        <v>213</v>
      </c>
      <c r="I5818" s="6" t="s">
        <v>31</v>
      </c>
      <c r="J5818" s="6">
        <v>16.017193044258001</v>
      </c>
      <c r="K5818" s="6">
        <v>-97.431052495513001</v>
      </c>
      <c r="L5818" s="6" t="str">
        <f>HYPERLINK("https://maps.google.com/?q=16.0171930442581,-97.431052495512702", "🔗 Ver Mapa")</f>
        <v>🔗 Ver Mapa</v>
      </c>
    </row>
    <row r="5819" spans="1:12" ht="43.5" x14ac:dyDescent="0.35">
      <c r="A5819" s="5" t="s">
        <v>98</v>
      </c>
      <c r="B5819" s="5" t="s">
        <v>99</v>
      </c>
      <c r="C5819" s="5" t="s">
        <v>1139</v>
      </c>
      <c r="D5819" s="5" t="s">
        <v>14</v>
      </c>
      <c r="E5819" s="5" t="s">
        <v>17</v>
      </c>
      <c r="F5819" s="5" t="s">
        <v>46</v>
      </c>
      <c r="G5819" s="5" t="s">
        <v>212</v>
      </c>
      <c r="H5819" s="5" t="s">
        <v>213</v>
      </c>
      <c r="I5819" s="5" t="s">
        <v>31</v>
      </c>
      <c r="J5819" s="5">
        <v>16.018801761454</v>
      </c>
      <c r="K5819" s="5">
        <v>-97.431615759406</v>
      </c>
      <c r="L5819" s="5" t="str">
        <f>HYPERLINK("https://maps.google.com/?q=16.0188017614536,-97.431615759405602", "🔗 Ver Mapa")</f>
        <v>🔗 Ver Mapa</v>
      </c>
    </row>
    <row r="5820" spans="1:12" ht="43.5" x14ac:dyDescent="0.35">
      <c r="A5820" s="6" t="s">
        <v>98</v>
      </c>
      <c r="B5820" s="6" t="s">
        <v>99</v>
      </c>
      <c r="C5820" s="6" t="s">
        <v>1140</v>
      </c>
      <c r="D5820" s="6" t="s">
        <v>14</v>
      </c>
      <c r="E5820" s="6" t="s">
        <v>39</v>
      </c>
      <c r="F5820" s="6" t="s">
        <v>494</v>
      </c>
      <c r="G5820" s="6" t="s">
        <v>639</v>
      </c>
      <c r="H5820" s="6" t="s">
        <v>1141</v>
      </c>
      <c r="I5820" s="6" t="s">
        <v>31</v>
      </c>
      <c r="J5820" s="6">
        <v>16.357288708110001</v>
      </c>
      <c r="K5820" s="6">
        <v>-97.045371661377004</v>
      </c>
      <c r="L5820" s="6" t="str">
        <f>HYPERLINK("https://maps.google.com/?q=16.3572887081099,-97.045371661376706", "🔗 Ver Mapa")</f>
        <v>🔗 Ver Mapa</v>
      </c>
    </row>
    <row r="5821" spans="1:12" ht="43.5" x14ac:dyDescent="0.35">
      <c r="A5821" s="5" t="s">
        <v>98</v>
      </c>
      <c r="B5821" s="5" t="s">
        <v>99</v>
      </c>
      <c r="C5821" s="5" t="s">
        <v>1140</v>
      </c>
      <c r="D5821" s="5" t="s">
        <v>14</v>
      </c>
      <c r="E5821" s="5" t="s">
        <v>39</v>
      </c>
      <c r="F5821" s="5" t="s">
        <v>494</v>
      </c>
      <c r="G5821" s="5" t="s">
        <v>639</v>
      </c>
      <c r="H5821" s="5" t="s">
        <v>1141</v>
      </c>
      <c r="I5821" s="5" t="s">
        <v>31</v>
      </c>
      <c r="J5821" s="5">
        <v>16.360020684624999</v>
      </c>
      <c r="K5821" s="5">
        <v>-97.049338910729006</v>
      </c>
      <c r="L5821" s="5" t="str">
        <f>HYPERLINK("https://maps.google.com/?q=16.3600206846251,-97.049338910728693", "🔗 Ver Mapa")</f>
        <v>🔗 Ver Mapa</v>
      </c>
    </row>
    <row r="5822" spans="1:12" ht="43.5" x14ac:dyDescent="0.35">
      <c r="A5822" s="6" t="s">
        <v>98</v>
      </c>
      <c r="B5822" s="6" t="s">
        <v>99</v>
      </c>
      <c r="C5822" s="6" t="s">
        <v>1140</v>
      </c>
      <c r="D5822" s="6" t="s">
        <v>14</v>
      </c>
      <c r="E5822" s="6" t="s">
        <v>39</v>
      </c>
      <c r="F5822" s="6" t="s">
        <v>494</v>
      </c>
      <c r="G5822" s="6" t="s">
        <v>639</v>
      </c>
      <c r="H5822" s="6" t="s">
        <v>1141</v>
      </c>
      <c r="I5822" s="6" t="s">
        <v>31</v>
      </c>
      <c r="J5822" s="6">
        <v>16.362712999999999</v>
      </c>
      <c r="K5822" s="6">
        <v>-97.046144999999996</v>
      </c>
      <c r="L5822" s="6" t="str">
        <f>HYPERLINK("https://maps.google.com/?q=16.362713,-97.046144999999996", "🔗 Ver Mapa")</f>
        <v>🔗 Ver Mapa</v>
      </c>
    </row>
    <row r="5823" spans="1:12" ht="43.5" x14ac:dyDescent="0.35">
      <c r="A5823" s="5" t="s">
        <v>98</v>
      </c>
      <c r="B5823" s="5" t="s">
        <v>99</v>
      </c>
      <c r="C5823" s="5" t="s">
        <v>1140</v>
      </c>
      <c r="D5823" s="5" t="s">
        <v>14</v>
      </c>
      <c r="E5823" s="5" t="s">
        <v>39</v>
      </c>
      <c r="F5823" s="5" t="s">
        <v>494</v>
      </c>
      <c r="G5823" s="5" t="s">
        <v>639</v>
      </c>
      <c r="H5823" s="5" t="s">
        <v>1141</v>
      </c>
      <c r="I5823" s="5" t="s">
        <v>31</v>
      </c>
      <c r="J5823" s="5">
        <v>16.362825000000001</v>
      </c>
      <c r="K5823" s="5">
        <v>-97.046183999999997</v>
      </c>
      <c r="L5823" s="5" t="str">
        <f>HYPERLINK("https://maps.google.com/?q=16.362825,-97.046183999999997", "🔗 Ver Mapa")</f>
        <v>🔗 Ver Mapa</v>
      </c>
    </row>
    <row r="5824" spans="1:12" ht="43.5" x14ac:dyDescent="0.35">
      <c r="A5824" s="6" t="s">
        <v>98</v>
      </c>
      <c r="B5824" s="6" t="s">
        <v>99</v>
      </c>
      <c r="C5824" s="6" t="s">
        <v>1140</v>
      </c>
      <c r="D5824" s="6" t="s">
        <v>14</v>
      </c>
      <c r="E5824" s="6" t="s">
        <v>39</v>
      </c>
      <c r="F5824" s="6" t="s">
        <v>494</v>
      </c>
      <c r="G5824" s="6" t="s">
        <v>639</v>
      </c>
      <c r="H5824" s="6" t="s">
        <v>1141</v>
      </c>
      <c r="I5824" s="6" t="s">
        <v>31</v>
      </c>
      <c r="J5824" s="6">
        <v>16.362952481459999</v>
      </c>
      <c r="K5824" s="6">
        <v>-97.047456387731003</v>
      </c>
      <c r="L5824" s="6" t="str">
        <f>HYPERLINK("https://maps.google.com/?q=16.3629524814601,-97.047456387731202", "🔗 Ver Mapa")</f>
        <v>🔗 Ver Mapa</v>
      </c>
    </row>
    <row r="5825" spans="1:12" ht="43.5" x14ac:dyDescent="0.35">
      <c r="A5825" s="5" t="s">
        <v>98</v>
      </c>
      <c r="B5825" s="5" t="s">
        <v>99</v>
      </c>
      <c r="C5825" s="5" t="s">
        <v>1142</v>
      </c>
      <c r="D5825" s="5" t="s">
        <v>14</v>
      </c>
      <c r="E5825" s="5" t="s">
        <v>52</v>
      </c>
      <c r="F5825" s="5" t="s">
        <v>83</v>
      </c>
      <c r="G5825" s="5" t="s">
        <v>1143</v>
      </c>
      <c r="H5825" s="5" t="s">
        <v>1144</v>
      </c>
      <c r="I5825" s="5" t="s">
        <v>31</v>
      </c>
      <c r="J5825" s="5">
        <v>17.119173361845</v>
      </c>
      <c r="K5825" s="5">
        <v>-96.803635058284002</v>
      </c>
      <c r="L5825" s="5" t="str">
        <f>HYPERLINK("https://maps.google.com/?q=17.1191733618447,-96.803635058283803", "🔗 Ver Mapa")</f>
        <v>🔗 Ver Mapa</v>
      </c>
    </row>
    <row r="5826" spans="1:12" ht="43.5" x14ac:dyDescent="0.35">
      <c r="A5826" s="6" t="s">
        <v>98</v>
      </c>
      <c r="B5826" s="6" t="s">
        <v>99</v>
      </c>
      <c r="C5826" s="6" t="s">
        <v>1142</v>
      </c>
      <c r="D5826" s="6" t="s">
        <v>14</v>
      </c>
      <c r="E5826" s="6" t="s">
        <v>52</v>
      </c>
      <c r="F5826" s="6" t="s">
        <v>83</v>
      </c>
      <c r="G5826" s="6" t="s">
        <v>1143</v>
      </c>
      <c r="H5826" s="6" t="s">
        <v>1144</v>
      </c>
      <c r="I5826" s="6" t="s">
        <v>31</v>
      </c>
      <c r="J5826" s="6">
        <v>17.119238862397001</v>
      </c>
      <c r="K5826" s="6">
        <v>-96.803879216018004</v>
      </c>
      <c r="L5826" s="6" t="str">
        <f>HYPERLINK("https://maps.google.com/?q=17.1192388623966,-96.803879216017705", "🔗 Ver Mapa")</f>
        <v>🔗 Ver Mapa</v>
      </c>
    </row>
    <row r="5827" spans="1:12" ht="43.5" x14ac:dyDescent="0.35">
      <c r="A5827" s="5" t="s">
        <v>98</v>
      </c>
      <c r="B5827" s="5" t="s">
        <v>99</v>
      </c>
      <c r="C5827" s="5" t="s">
        <v>1142</v>
      </c>
      <c r="D5827" s="5" t="s">
        <v>14</v>
      </c>
      <c r="E5827" s="5" t="s">
        <v>52</v>
      </c>
      <c r="F5827" s="5" t="s">
        <v>83</v>
      </c>
      <c r="G5827" s="5" t="s">
        <v>1143</v>
      </c>
      <c r="H5827" s="5" t="s">
        <v>1144</v>
      </c>
      <c r="I5827" s="5" t="s">
        <v>31</v>
      </c>
      <c r="J5827" s="5">
        <v>17.119295481455001</v>
      </c>
      <c r="K5827" s="5">
        <v>-96.803674014715</v>
      </c>
      <c r="L5827" s="5" t="str">
        <f>HYPERLINK("https://maps.google.com/?q=17.1192954814555,-96.803674014715199", "🔗 Ver Mapa")</f>
        <v>🔗 Ver Mapa</v>
      </c>
    </row>
    <row r="5828" spans="1:12" ht="43.5" x14ac:dyDescent="0.35">
      <c r="A5828" s="6" t="s">
        <v>98</v>
      </c>
      <c r="B5828" s="6" t="s">
        <v>99</v>
      </c>
      <c r="C5828" s="6" t="s">
        <v>1142</v>
      </c>
      <c r="D5828" s="6" t="s">
        <v>14</v>
      </c>
      <c r="E5828" s="6" t="s">
        <v>52</v>
      </c>
      <c r="F5828" s="6" t="s">
        <v>83</v>
      </c>
      <c r="G5828" s="6" t="s">
        <v>1143</v>
      </c>
      <c r="H5828" s="6" t="s">
        <v>1144</v>
      </c>
      <c r="I5828" s="6" t="s">
        <v>31</v>
      </c>
      <c r="J5828" s="6">
        <v>17.119331214041001</v>
      </c>
      <c r="K5828" s="6">
        <v>-96.803780046626997</v>
      </c>
      <c r="L5828" s="6" t="str">
        <f>HYPERLINK("https://maps.google.com/?q=17.1193312140408,-96.803780046626997", "🔗 Ver Mapa")</f>
        <v>🔗 Ver Mapa</v>
      </c>
    </row>
    <row r="5829" spans="1:12" ht="43.5" x14ac:dyDescent="0.35">
      <c r="A5829" s="5" t="s">
        <v>98</v>
      </c>
      <c r="B5829" s="5" t="s">
        <v>99</v>
      </c>
      <c r="C5829" s="5" t="s">
        <v>1142</v>
      </c>
      <c r="D5829" s="5" t="s">
        <v>14</v>
      </c>
      <c r="E5829" s="5" t="s">
        <v>52</v>
      </c>
      <c r="F5829" s="5" t="s">
        <v>83</v>
      </c>
      <c r="G5829" s="5" t="s">
        <v>1143</v>
      </c>
      <c r="H5829" s="5" t="s">
        <v>1144</v>
      </c>
      <c r="I5829" s="5" t="s">
        <v>31</v>
      </c>
      <c r="J5829" s="5">
        <v>17.119380354907999</v>
      </c>
      <c r="K5829" s="5">
        <v>-96.803814768004003</v>
      </c>
      <c r="L5829" s="5" t="str">
        <f>HYPERLINK("https://maps.google.com/?q=17.1193803549081,-96.803814768004003", "🔗 Ver Mapa")</f>
        <v>🔗 Ver Mapa</v>
      </c>
    </row>
    <row r="5830" spans="1:12" ht="43.5" x14ac:dyDescent="0.35">
      <c r="A5830" s="6" t="s">
        <v>98</v>
      </c>
      <c r="B5830" s="6" t="s">
        <v>99</v>
      </c>
      <c r="C5830" s="6" t="s">
        <v>1142</v>
      </c>
      <c r="D5830" s="6" t="s">
        <v>14</v>
      </c>
      <c r="E5830" s="6" t="s">
        <v>52</v>
      </c>
      <c r="F5830" s="6" t="s">
        <v>83</v>
      </c>
      <c r="G5830" s="6" t="s">
        <v>1143</v>
      </c>
      <c r="H5830" s="6" t="s">
        <v>1144</v>
      </c>
      <c r="I5830" s="6" t="s">
        <v>31</v>
      </c>
      <c r="J5830" s="6">
        <v>17.119515960592999</v>
      </c>
      <c r="K5830" s="6">
        <v>-96.803793623925003</v>
      </c>
      <c r="L5830" s="6" t="str">
        <f>HYPERLINK("https://maps.google.com/?q=17.1195159605925,-96.803793623925202", "🔗 Ver Mapa")</f>
        <v>🔗 Ver Mapa</v>
      </c>
    </row>
    <row r="5831" spans="1:12" ht="43.5" x14ac:dyDescent="0.35">
      <c r="A5831" s="5" t="s">
        <v>98</v>
      </c>
      <c r="B5831" s="5" t="s">
        <v>99</v>
      </c>
      <c r="C5831" s="5" t="s">
        <v>1142</v>
      </c>
      <c r="D5831" s="5" t="s">
        <v>14</v>
      </c>
      <c r="E5831" s="5" t="s">
        <v>52</v>
      </c>
      <c r="F5831" s="5" t="s">
        <v>83</v>
      </c>
      <c r="G5831" s="5" t="s">
        <v>1143</v>
      </c>
      <c r="H5831" s="5" t="s">
        <v>1144</v>
      </c>
      <c r="I5831" s="5" t="s">
        <v>31</v>
      </c>
      <c r="J5831" s="5">
        <v>17.119578340802999</v>
      </c>
      <c r="K5831" s="5">
        <v>-96.803679247849999</v>
      </c>
      <c r="L5831" s="5" t="str">
        <f>HYPERLINK("https://maps.google.com/?q=17.1195783408032,-96.803679247850397", "🔗 Ver Mapa")</f>
        <v>🔗 Ver Mapa</v>
      </c>
    </row>
    <row r="5832" spans="1:12" ht="43.5" x14ac:dyDescent="0.35">
      <c r="A5832" s="6" t="s">
        <v>98</v>
      </c>
      <c r="B5832" s="6" t="s">
        <v>99</v>
      </c>
      <c r="C5832" s="6" t="s">
        <v>1142</v>
      </c>
      <c r="D5832" s="6" t="s">
        <v>14</v>
      </c>
      <c r="E5832" s="6" t="s">
        <v>52</v>
      </c>
      <c r="F5832" s="6" t="s">
        <v>83</v>
      </c>
      <c r="G5832" s="6" t="s">
        <v>1143</v>
      </c>
      <c r="H5832" s="6" t="s">
        <v>1144</v>
      </c>
      <c r="I5832" s="6" t="s">
        <v>31</v>
      </c>
      <c r="J5832" s="6">
        <v>17.1197504111</v>
      </c>
      <c r="K5832" s="6">
        <v>-96.803953151537996</v>
      </c>
      <c r="L5832" s="6" t="str">
        <f>HYPERLINK("https://maps.google.com/?q=17.1197504110996,-96.803953151537897", "🔗 Ver Mapa")</f>
        <v>🔗 Ver Mapa</v>
      </c>
    </row>
    <row r="5833" spans="1:12" ht="43.5" x14ac:dyDescent="0.35">
      <c r="A5833" s="5" t="s">
        <v>98</v>
      </c>
      <c r="B5833" s="5" t="s">
        <v>99</v>
      </c>
      <c r="C5833" s="5" t="s">
        <v>1142</v>
      </c>
      <c r="D5833" s="5" t="s">
        <v>14</v>
      </c>
      <c r="E5833" s="5" t="s">
        <v>52</v>
      </c>
      <c r="F5833" s="5" t="s">
        <v>83</v>
      </c>
      <c r="G5833" s="5" t="s">
        <v>1143</v>
      </c>
      <c r="H5833" s="5" t="s">
        <v>1144</v>
      </c>
      <c r="I5833" s="5" t="s">
        <v>31</v>
      </c>
      <c r="J5833" s="5">
        <v>17.119782803519001</v>
      </c>
      <c r="K5833" s="5">
        <v>-96.804123222041</v>
      </c>
      <c r="L5833" s="5" t="str">
        <f>HYPERLINK("https://maps.google.com/?q=17.1197828035191,-96.804123222040602", "🔗 Ver Mapa")</f>
        <v>🔗 Ver Mapa</v>
      </c>
    </row>
    <row r="5834" spans="1:12" ht="43.5" x14ac:dyDescent="0.35">
      <c r="A5834" s="6" t="s">
        <v>98</v>
      </c>
      <c r="B5834" s="6" t="s">
        <v>99</v>
      </c>
      <c r="C5834" s="6" t="s">
        <v>1142</v>
      </c>
      <c r="D5834" s="6" t="s">
        <v>14</v>
      </c>
      <c r="E5834" s="6" t="s">
        <v>52</v>
      </c>
      <c r="F5834" s="6" t="s">
        <v>83</v>
      </c>
      <c r="G5834" s="6" t="s">
        <v>1143</v>
      </c>
      <c r="H5834" s="6" t="s">
        <v>1144</v>
      </c>
      <c r="I5834" s="6" t="s">
        <v>31</v>
      </c>
      <c r="J5834" s="6">
        <v>17.119849553836001</v>
      </c>
      <c r="K5834" s="6">
        <v>-96.804007107909996</v>
      </c>
      <c r="L5834" s="6" t="str">
        <f>HYPERLINK("https://maps.google.com/?q=17.1198495538364,-96.804007107909896", "🔗 Ver Mapa")</f>
        <v>🔗 Ver Mapa</v>
      </c>
    </row>
    <row r="5835" spans="1:12" ht="43.5" x14ac:dyDescent="0.35">
      <c r="A5835" s="5" t="s">
        <v>98</v>
      </c>
      <c r="B5835" s="5" t="s">
        <v>99</v>
      </c>
      <c r="C5835" s="5" t="s">
        <v>1145</v>
      </c>
      <c r="D5835" s="5" t="s">
        <v>14</v>
      </c>
      <c r="E5835" s="5" t="s">
        <v>17</v>
      </c>
      <c r="F5835" s="5" t="s">
        <v>46</v>
      </c>
      <c r="G5835" s="5" t="s">
        <v>212</v>
      </c>
      <c r="H5835" s="5" t="s">
        <v>1079</v>
      </c>
      <c r="I5835" s="5" t="s">
        <v>31</v>
      </c>
      <c r="J5835" s="5">
        <v>16.126040112645999</v>
      </c>
      <c r="K5835" s="5">
        <v>-97.605637932541001</v>
      </c>
      <c r="L5835" s="5" t="str">
        <f>HYPERLINK("https://maps.google.com/?q=16.1260401126464,-97.605637932540901", "🔗 Ver Mapa")</f>
        <v>🔗 Ver Mapa</v>
      </c>
    </row>
    <row r="5836" spans="1:12" ht="43.5" x14ac:dyDescent="0.35">
      <c r="A5836" s="6" t="s">
        <v>98</v>
      </c>
      <c r="B5836" s="6" t="s">
        <v>99</v>
      </c>
      <c r="C5836" s="6" t="s">
        <v>1145</v>
      </c>
      <c r="D5836" s="6" t="s">
        <v>14</v>
      </c>
      <c r="E5836" s="6" t="s">
        <v>17</v>
      </c>
      <c r="F5836" s="6" t="s">
        <v>46</v>
      </c>
      <c r="G5836" s="6" t="s">
        <v>212</v>
      </c>
      <c r="H5836" s="6" t="s">
        <v>1079</v>
      </c>
      <c r="I5836" s="6" t="s">
        <v>31</v>
      </c>
      <c r="J5836" s="6">
        <v>16.126281769215002</v>
      </c>
      <c r="K5836" s="6">
        <v>-97.605610044862004</v>
      </c>
      <c r="L5836" s="6" t="str">
        <f>HYPERLINK("https://maps.google.com/?q=16.1262817692152,-97.605610044862203", "🔗 Ver Mapa")</f>
        <v>🔗 Ver Mapa</v>
      </c>
    </row>
    <row r="5837" spans="1:12" ht="43.5" x14ac:dyDescent="0.35">
      <c r="A5837" s="5" t="s">
        <v>98</v>
      </c>
      <c r="B5837" s="5" t="s">
        <v>99</v>
      </c>
      <c r="C5837" s="5" t="s">
        <v>1145</v>
      </c>
      <c r="D5837" s="5" t="s">
        <v>14</v>
      </c>
      <c r="E5837" s="5" t="s">
        <v>17</v>
      </c>
      <c r="F5837" s="5" t="s">
        <v>46</v>
      </c>
      <c r="G5837" s="5" t="s">
        <v>212</v>
      </c>
      <c r="H5837" s="5" t="s">
        <v>1079</v>
      </c>
      <c r="I5837" s="5" t="s">
        <v>31</v>
      </c>
      <c r="J5837" s="5">
        <v>16.126398652260999</v>
      </c>
      <c r="K5837" s="5">
        <v>-97.609867823101993</v>
      </c>
      <c r="L5837" s="5" t="str">
        <f>HYPERLINK("https://maps.google.com/?q=16.1263986522609,-97.609867823101595", "🔗 Ver Mapa")</f>
        <v>🔗 Ver Mapa</v>
      </c>
    </row>
    <row r="5838" spans="1:12" ht="43.5" x14ac:dyDescent="0.35">
      <c r="A5838" s="6" t="s">
        <v>98</v>
      </c>
      <c r="B5838" s="6" t="s">
        <v>99</v>
      </c>
      <c r="C5838" s="6" t="s">
        <v>1145</v>
      </c>
      <c r="D5838" s="6" t="s">
        <v>14</v>
      </c>
      <c r="E5838" s="6" t="s">
        <v>17</v>
      </c>
      <c r="F5838" s="6" t="s">
        <v>46</v>
      </c>
      <c r="G5838" s="6" t="s">
        <v>212</v>
      </c>
      <c r="H5838" s="6" t="s">
        <v>1079</v>
      </c>
      <c r="I5838" s="6" t="s">
        <v>31</v>
      </c>
      <c r="J5838" s="6">
        <v>16.130524474883</v>
      </c>
      <c r="K5838" s="6">
        <v>-97.603773817849998</v>
      </c>
      <c r="L5838" s="6" t="str">
        <f>HYPERLINK("https://maps.google.com/?q=16.1305244748834,-97.603773817850495", "🔗 Ver Mapa")</f>
        <v>🔗 Ver Mapa</v>
      </c>
    </row>
    <row r="5839" spans="1:12" ht="43.5" x14ac:dyDescent="0.35">
      <c r="A5839" s="5" t="s">
        <v>98</v>
      </c>
      <c r="B5839" s="5" t="s">
        <v>99</v>
      </c>
      <c r="C5839" s="5" t="s">
        <v>1146</v>
      </c>
      <c r="D5839" s="5" t="s">
        <v>14</v>
      </c>
      <c r="E5839" s="5" t="s">
        <v>17</v>
      </c>
      <c r="F5839" s="5" t="s">
        <v>46</v>
      </c>
      <c r="G5839" s="5" t="s">
        <v>212</v>
      </c>
      <c r="H5839" s="5" t="s">
        <v>1077</v>
      </c>
      <c r="I5839" s="5" t="s">
        <v>31</v>
      </c>
      <c r="J5839" s="5">
        <v>16.110092613172998</v>
      </c>
      <c r="K5839" s="5">
        <v>-97.596538389602998</v>
      </c>
      <c r="L5839" s="5" t="str">
        <f>HYPERLINK("https://maps.google.com/?q=16.1100926131734,-97.596538389603097", "🔗 Ver Mapa")</f>
        <v>🔗 Ver Mapa</v>
      </c>
    </row>
    <row r="5840" spans="1:12" ht="43.5" x14ac:dyDescent="0.35">
      <c r="A5840" s="6" t="s">
        <v>98</v>
      </c>
      <c r="B5840" s="6" t="s">
        <v>99</v>
      </c>
      <c r="C5840" s="6" t="s">
        <v>1146</v>
      </c>
      <c r="D5840" s="6" t="s">
        <v>14</v>
      </c>
      <c r="E5840" s="6" t="s">
        <v>17</v>
      </c>
      <c r="F5840" s="6" t="s">
        <v>46</v>
      </c>
      <c r="G5840" s="6" t="s">
        <v>212</v>
      </c>
      <c r="H5840" s="6" t="s">
        <v>1077</v>
      </c>
      <c r="I5840" s="6" t="s">
        <v>31</v>
      </c>
      <c r="J5840" s="6">
        <v>16.110596889530999</v>
      </c>
      <c r="K5840" s="6">
        <v>-97.597727923636</v>
      </c>
      <c r="L5840" s="6" t="str">
        <f>HYPERLINK("https://maps.google.com/?q=16.1105968895314,-97.597727923636", "🔗 Ver Mapa")</f>
        <v>🔗 Ver Mapa</v>
      </c>
    </row>
    <row r="5841" spans="1:12" ht="43.5" x14ac:dyDescent="0.35">
      <c r="A5841" s="5" t="s">
        <v>98</v>
      </c>
      <c r="B5841" s="5" t="s">
        <v>99</v>
      </c>
      <c r="C5841" s="5" t="s">
        <v>1146</v>
      </c>
      <c r="D5841" s="5" t="s">
        <v>14</v>
      </c>
      <c r="E5841" s="5" t="s">
        <v>17</v>
      </c>
      <c r="F5841" s="5" t="s">
        <v>46</v>
      </c>
      <c r="G5841" s="5" t="s">
        <v>212</v>
      </c>
      <c r="H5841" s="5" t="s">
        <v>1077</v>
      </c>
      <c r="I5841" s="5" t="s">
        <v>31</v>
      </c>
      <c r="J5841" s="5">
        <v>16.111196021548999</v>
      </c>
      <c r="K5841" s="5">
        <v>-97.596257871776004</v>
      </c>
      <c r="L5841" s="5" t="str">
        <f>HYPERLINK("https://maps.google.com/?q=16.1111960215487,-97.596257871775705", "🔗 Ver Mapa")</f>
        <v>🔗 Ver Mapa</v>
      </c>
    </row>
    <row r="5842" spans="1:12" ht="43.5" x14ac:dyDescent="0.35">
      <c r="A5842" s="6" t="s">
        <v>98</v>
      </c>
      <c r="B5842" s="6" t="s">
        <v>99</v>
      </c>
      <c r="C5842" s="6" t="s">
        <v>1146</v>
      </c>
      <c r="D5842" s="6" t="s">
        <v>14</v>
      </c>
      <c r="E5842" s="6" t="s">
        <v>17</v>
      </c>
      <c r="F5842" s="6" t="s">
        <v>46</v>
      </c>
      <c r="G5842" s="6" t="s">
        <v>212</v>
      </c>
      <c r="H5842" s="6" t="s">
        <v>1077</v>
      </c>
      <c r="I5842" s="6" t="s">
        <v>31</v>
      </c>
      <c r="J5842" s="6">
        <v>16.113731021433999</v>
      </c>
      <c r="K5842" s="6">
        <v>-97.599411096889995</v>
      </c>
      <c r="L5842" s="6" t="str">
        <f>HYPERLINK("https://maps.google.com/?q=16.1137310214338,-97.599411096889597", "🔗 Ver Mapa")</f>
        <v>🔗 Ver Mapa</v>
      </c>
    </row>
    <row r="5843" spans="1:12" ht="43.5" x14ac:dyDescent="0.35">
      <c r="A5843" s="5" t="s">
        <v>98</v>
      </c>
      <c r="B5843" s="5" t="s">
        <v>99</v>
      </c>
      <c r="C5843" s="5" t="s">
        <v>1147</v>
      </c>
      <c r="D5843" s="5" t="s">
        <v>14</v>
      </c>
      <c r="E5843" s="5" t="s">
        <v>17</v>
      </c>
      <c r="F5843" s="5" t="s">
        <v>46</v>
      </c>
      <c r="G5843" s="5" t="s">
        <v>212</v>
      </c>
      <c r="H5843" s="5" t="s">
        <v>213</v>
      </c>
      <c r="I5843" s="5" t="s">
        <v>31</v>
      </c>
      <c r="J5843" s="5">
        <v>16.003129606742998</v>
      </c>
      <c r="K5843" s="5">
        <v>-97.433756000000002</v>
      </c>
      <c r="L5843" s="5" t="str">
        <f>HYPERLINK("https://maps.google.com/?q=16.0031296067428,-97.433756000000102", "🔗 Ver Mapa")</f>
        <v>🔗 Ver Mapa</v>
      </c>
    </row>
    <row r="5844" spans="1:12" ht="43.5" x14ac:dyDescent="0.35">
      <c r="A5844" s="6" t="s">
        <v>98</v>
      </c>
      <c r="B5844" s="6" t="s">
        <v>99</v>
      </c>
      <c r="C5844" s="6" t="s">
        <v>1147</v>
      </c>
      <c r="D5844" s="6" t="s">
        <v>14</v>
      </c>
      <c r="E5844" s="6" t="s">
        <v>17</v>
      </c>
      <c r="F5844" s="6" t="s">
        <v>46</v>
      </c>
      <c r="G5844" s="6" t="s">
        <v>212</v>
      </c>
      <c r="H5844" s="6" t="s">
        <v>213</v>
      </c>
      <c r="I5844" s="6" t="s">
        <v>31</v>
      </c>
      <c r="J5844" s="6">
        <v>16.009365166485999</v>
      </c>
      <c r="K5844" s="6">
        <v>-97.450984250735999</v>
      </c>
      <c r="L5844" s="6" t="str">
        <f>HYPERLINK("https://maps.google.com/?q=16.0093651664859,-97.450984250736298", "🔗 Ver Mapa")</f>
        <v>🔗 Ver Mapa</v>
      </c>
    </row>
    <row r="5845" spans="1:12" ht="43.5" x14ac:dyDescent="0.35">
      <c r="A5845" s="5" t="s">
        <v>98</v>
      </c>
      <c r="B5845" s="5" t="s">
        <v>99</v>
      </c>
      <c r="C5845" s="5" t="s">
        <v>1147</v>
      </c>
      <c r="D5845" s="5" t="s">
        <v>14</v>
      </c>
      <c r="E5845" s="5" t="s">
        <v>17</v>
      </c>
      <c r="F5845" s="5" t="s">
        <v>46</v>
      </c>
      <c r="G5845" s="5" t="s">
        <v>212</v>
      </c>
      <c r="H5845" s="5" t="s">
        <v>213</v>
      </c>
      <c r="I5845" s="5" t="s">
        <v>31</v>
      </c>
      <c r="J5845" s="5">
        <v>16.009674176996999</v>
      </c>
      <c r="K5845" s="5">
        <v>-97.424690635581996</v>
      </c>
      <c r="L5845" s="5" t="str">
        <f>HYPERLINK("https://maps.google.com/?q=16.0096741769968,-97.424690635581896", "🔗 Ver Mapa")</f>
        <v>🔗 Ver Mapa</v>
      </c>
    </row>
    <row r="5846" spans="1:12" ht="43.5" x14ac:dyDescent="0.35">
      <c r="A5846" s="6" t="s">
        <v>98</v>
      </c>
      <c r="B5846" s="6" t="s">
        <v>99</v>
      </c>
      <c r="C5846" s="6" t="s">
        <v>1147</v>
      </c>
      <c r="D5846" s="6" t="s">
        <v>14</v>
      </c>
      <c r="E5846" s="6" t="s">
        <v>17</v>
      </c>
      <c r="F5846" s="6" t="s">
        <v>46</v>
      </c>
      <c r="G5846" s="6" t="s">
        <v>212</v>
      </c>
      <c r="H5846" s="6" t="s">
        <v>213</v>
      </c>
      <c r="I5846" s="6" t="s">
        <v>31</v>
      </c>
      <c r="J5846" s="6">
        <v>16.010135636825002</v>
      </c>
      <c r="K5846" s="6">
        <v>-97.431760597552994</v>
      </c>
      <c r="L5846" s="6" t="str">
        <f>HYPERLINK("https://maps.google.com/?q=16.0101356368251,-97.431760597553193", "🔗 Ver Mapa")</f>
        <v>🔗 Ver Mapa</v>
      </c>
    </row>
    <row r="5847" spans="1:12" ht="43.5" x14ac:dyDescent="0.35">
      <c r="A5847" s="5" t="s">
        <v>98</v>
      </c>
      <c r="B5847" s="5" t="s">
        <v>99</v>
      </c>
      <c r="C5847" s="5" t="s">
        <v>1147</v>
      </c>
      <c r="D5847" s="5" t="s">
        <v>14</v>
      </c>
      <c r="E5847" s="5" t="s">
        <v>17</v>
      </c>
      <c r="F5847" s="5" t="s">
        <v>46</v>
      </c>
      <c r="G5847" s="5" t="s">
        <v>212</v>
      </c>
      <c r="H5847" s="5" t="s">
        <v>213</v>
      </c>
      <c r="I5847" s="5" t="s">
        <v>31</v>
      </c>
      <c r="J5847" s="5">
        <v>16.010404533481999</v>
      </c>
      <c r="K5847" s="5">
        <v>-97.426290262565999</v>
      </c>
      <c r="L5847" s="5" t="str">
        <f>HYPERLINK("https://maps.google.com/?q=16.0104045334816,-97.426290262565601", "🔗 Ver Mapa")</f>
        <v>🔗 Ver Mapa</v>
      </c>
    </row>
    <row r="5848" spans="1:12" ht="43.5" x14ac:dyDescent="0.35">
      <c r="A5848" s="6" t="s">
        <v>98</v>
      </c>
      <c r="B5848" s="6" t="s">
        <v>99</v>
      </c>
      <c r="C5848" s="6" t="s">
        <v>1148</v>
      </c>
      <c r="D5848" s="6" t="s">
        <v>14</v>
      </c>
      <c r="E5848" s="6" t="s">
        <v>17</v>
      </c>
      <c r="F5848" s="6" t="s">
        <v>46</v>
      </c>
      <c r="G5848" s="6" t="s">
        <v>212</v>
      </c>
      <c r="H5848" s="6" t="s">
        <v>264</v>
      </c>
      <c r="I5848" s="6" t="s">
        <v>31</v>
      </c>
      <c r="J5848" s="6">
        <v>16.091706813279</v>
      </c>
      <c r="K5848" s="6">
        <v>-97.693153462031006</v>
      </c>
      <c r="L5848" s="6" t="str">
        <f>HYPERLINK("https://maps.google.com/?q=16.091706813279,-97.693153462030594", "🔗 Ver Mapa")</f>
        <v>🔗 Ver Mapa</v>
      </c>
    </row>
    <row r="5849" spans="1:12" ht="43.5" x14ac:dyDescent="0.35">
      <c r="A5849" s="5" t="s">
        <v>98</v>
      </c>
      <c r="B5849" s="5" t="s">
        <v>99</v>
      </c>
      <c r="C5849" s="5" t="s">
        <v>1148</v>
      </c>
      <c r="D5849" s="5" t="s">
        <v>14</v>
      </c>
      <c r="E5849" s="5" t="s">
        <v>17</v>
      </c>
      <c r="F5849" s="5" t="s">
        <v>46</v>
      </c>
      <c r="G5849" s="5" t="s">
        <v>212</v>
      </c>
      <c r="H5849" s="5" t="s">
        <v>264</v>
      </c>
      <c r="I5849" s="5" t="s">
        <v>31</v>
      </c>
      <c r="J5849" s="5">
        <v>16.091933872615002</v>
      </c>
      <c r="K5849" s="5">
        <v>-97.689480374308999</v>
      </c>
      <c r="L5849" s="5" t="str">
        <f>HYPERLINK("https://maps.google.com/?q=16.0919338726145,-97.689480374309099", "🔗 Ver Mapa")</f>
        <v>🔗 Ver Mapa</v>
      </c>
    </row>
    <row r="5850" spans="1:12" ht="43.5" x14ac:dyDescent="0.35">
      <c r="A5850" s="6" t="s">
        <v>98</v>
      </c>
      <c r="B5850" s="6" t="s">
        <v>99</v>
      </c>
      <c r="C5850" s="6" t="s">
        <v>1148</v>
      </c>
      <c r="D5850" s="6" t="s">
        <v>14</v>
      </c>
      <c r="E5850" s="6" t="s">
        <v>17</v>
      </c>
      <c r="F5850" s="6" t="s">
        <v>46</v>
      </c>
      <c r="G5850" s="6" t="s">
        <v>212</v>
      </c>
      <c r="H5850" s="6" t="s">
        <v>264</v>
      </c>
      <c r="I5850" s="6" t="s">
        <v>31</v>
      </c>
      <c r="J5850" s="6">
        <v>16.093189603751998</v>
      </c>
      <c r="K5850" s="6">
        <v>-97.691604244714995</v>
      </c>
      <c r="L5850" s="6" t="str">
        <f>HYPERLINK("https://maps.google.com/?q=16.0931896037521,-97.691604244715293", "🔗 Ver Mapa")</f>
        <v>🔗 Ver Mapa</v>
      </c>
    </row>
    <row r="5851" spans="1:12" ht="43.5" x14ac:dyDescent="0.35">
      <c r="A5851" s="5" t="s">
        <v>98</v>
      </c>
      <c r="B5851" s="5" t="s">
        <v>99</v>
      </c>
      <c r="C5851" s="5" t="s">
        <v>1148</v>
      </c>
      <c r="D5851" s="5" t="s">
        <v>14</v>
      </c>
      <c r="E5851" s="5" t="s">
        <v>17</v>
      </c>
      <c r="F5851" s="5" t="s">
        <v>46</v>
      </c>
      <c r="G5851" s="5" t="s">
        <v>212</v>
      </c>
      <c r="H5851" s="5" t="s">
        <v>264</v>
      </c>
      <c r="I5851" s="5" t="s">
        <v>31</v>
      </c>
      <c r="J5851" s="5">
        <v>16.094112602327002</v>
      </c>
      <c r="K5851" s="5">
        <v>-97.698216827053002</v>
      </c>
      <c r="L5851" s="5" t="str">
        <f>HYPERLINK("https://maps.google.com/?q=16.0941126023271,-97.698216827053002", "🔗 Ver Mapa")</f>
        <v>🔗 Ver Mapa</v>
      </c>
    </row>
    <row r="5852" spans="1:12" ht="43.5" x14ac:dyDescent="0.35">
      <c r="A5852" s="6" t="s">
        <v>98</v>
      </c>
      <c r="B5852" s="6" t="s">
        <v>99</v>
      </c>
      <c r="C5852" s="6" t="s">
        <v>1148</v>
      </c>
      <c r="D5852" s="6" t="s">
        <v>14</v>
      </c>
      <c r="E5852" s="6" t="s">
        <v>17</v>
      </c>
      <c r="F5852" s="6" t="s">
        <v>46</v>
      </c>
      <c r="G5852" s="6" t="s">
        <v>212</v>
      </c>
      <c r="H5852" s="6" t="s">
        <v>264</v>
      </c>
      <c r="I5852" s="6" t="s">
        <v>31</v>
      </c>
      <c r="J5852" s="6">
        <v>16.094123598982002</v>
      </c>
      <c r="K5852" s="6">
        <v>-97.698521441926999</v>
      </c>
      <c r="L5852" s="6" t="str">
        <f>HYPERLINK("https://maps.google.com/?q=16.0941235989817,-97.6985214419268", "🔗 Ver Mapa")</f>
        <v>🔗 Ver Mapa</v>
      </c>
    </row>
    <row r="5853" spans="1:12" ht="43.5" x14ac:dyDescent="0.35">
      <c r="A5853" s="5" t="s">
        <v>98</v>
      </c>
      <c r="B5853" s="5" t="s">
        <v>99</v>
      </c>
      <c r="C5853" s="5" t="s">
        <v>1148</v>
      </c>
      <c r="D5853" s="5" t="s">
        <v>14</v>
      </c>
      <c r="E5853" s="5" t="s">
        <v>17</v>
      </c>
      <c r="F5853" s="5" t="s">
        <v>46</v>
      </c>
      <c r="G5853" s="5" t="s">
        <v>212</v>
      </c>
      <c r="H5853" s="5" t="s">
        <v>264</v>
      </c>
      <c r="I5853" s="5" t="s">
        <v>31</v>
      </c>
      <c r="J5853" s="5">
        <v>16.094281923335</v>
      </c>
      <c r="K5853" s="5">
        <v>-97.697625836805003</v>
      </c>
      <c r="L5853" s="5" t="str">
        <f>HYPERLINK("https://maps.google.com/?q=16.0942819233349,-97.697625836805301", "🔗 Ver Mapa")</f>
        <v>🔗 Ver Mapa</v>
      </c>
    </row>
    <row r="5854" spans="1:12" ht="43.5" x14ac:dyDescent="0.35">
      <c r="A5854" s="6" t="s">
        <v>98</v>
      </c>
      <c r="B5854" s="6" t="s">
        <v>99</v>
      </c>
      <c r="C5854" s="6" t="s">
        <v>1148</v>
      </c>
      <c r="D5854" s="6" t="s">
        <v>14</v>
      </c>
      <c r="E5854" s="6" t="s">
        <v>17</v>
      </c>
      <c r="F5854" s="6" t="s">
        <v>46</v>
      </c>
      <c r="G5854" s="6" t="s">
        <v>212</v>
      </c>
      <c r="H5854" s="6" t="s">
        <v>264</v>
      </c>
      <c r="I5854" s="6" t="s">
        <v>31</v>
      </c>
      <c r="J5854" s="6">
        <v>16.094284867765001</v>
      </c>
      <c r="K5854" s="6">
        <v>-97.693585056073005</v>
      </c>
      <c r="L5854" s="6" t="str">
        <f>HYPERLINK("https://maps.google.com/?q=16.0942848677655,-97.693585056072905", "🔗 Ver Mapa")</f>
        <v>🔗 Ver Mapa</v>
      </c>
    </row>
    <row r="5855" spans="1:12" ht="43.5" x14ac:dyDescent="0.35">
      <c r="A5855" s="5" t="s">
        <v>98</v>
      </c>
      <c r="B5855" s="5" t="s">
        <v>99</v>
      </c>
      <c r="C5855" s="5" t="s">
        <v>1148</v>
      </c>
      <c r="D5855" s="5" t="s">
        <v>14</v>
      </c>
      <c r="E5855" s="5" t="s">
        <v>17</v>
      </c>
      <c r="F5855" s="5" t="s">
        <v>46</v>
      </c>
      <c r="G5855" s="5" t="s">
        <v>212</v>
      </c>
      <c r="H5855" s="5" t="s">
        <v>264</v>
      </c>
      <c r="I5855" s="5" t="s">
        <v>31</v>
      </c>
      <c r="J5855" s="5">
        <v>16.095805741408999</v>
      </c>
      <c r="K5855" s="5">
        <v>-97.704316173299006</v>
      </c>
      <c r="L5855" s="5" t="str">
        <f>HYPERLINK("https://maps.google.com/?q=16.0958057414095,-97.704316173299304", "🔗 Ver Mapa")</f>
        <v>🔗 Ver Mapa</v>
      </c>
    </row>
    <row r="5856" spans="1:12" ht="43.5" x14ac:dyDescent="0.35">
      <c r="A5856" s="6" t="s">
        <v>98</v>
      </c>
      <c r="B5856" s="6" t="s">
        <v>99</v>
      </c>
      <c r="C5856" s="6" t="s">
        <v>1148</v>
      </c>
      <c r="D5856" s="6" t="s">
        <v>14</v>
      </c>
      <c r="E5856" s="6" t="s">
        <v>17</v>
      </c>
      <c r="F5856" s="6" t="s">
        <v>46</v>
      </c>
      <c r="G5856" s="6" t="s">
        <v>212</v>
      </c>
      <c r="H5856" s="6" t="s">
        <v>264</v>
      </c>
      <c r="I5856" s="6" t="s">
        <v>31</v>
      </c>
      <c r="J5856" s="6">
        <v>16.098153887691002</v>
      </c>
      <c r="K5856" s="6">
        <v>-97.700915822089996</v>
      </c>
      <c r="L5856" s="6" t="str">
        <f>HYPERLINK("https://maps.google.com/?q=16.0981538876912,-97.700915822090096", "🔗 Ver Mapa")</f>
        <v>🔗 Ver Mapa</v>
      </c>
    </row>
    <row r="5857" spans="1:12" ht="43.5" x14ac:dyDescent="0.35">
      <c r="A5857" s="5" t="s">
        <v>98</v>
      </c>
      <c r="B5857" s="5" t="s">
        <v>99</v>
      </c>
      <c r="C5857" s="5" t="s">
        <v>1148</v>
      </c>
      <c r="D5857" s="5" t="s">
        <v>14</v>
      </c>
      <c r="E5857" s="5" t="s">
        <v>17</v>
      </c>
      <c r="F5857" s="5" t="s">
        <v>46</v>
      </c>
      <c r="G5857" s="5" t="s">
        <v>212</v>
      </c>
      <c r="H5857" s="5" t="s">
        <v>264</v>
      </c>
      <c r="I5857" s="5" t="s">
        <v>31</v>
      </c>
      <c r="J5857" s="5">
        <v>16.099867115156002</v>
      </c>
      <c r="K5857" s="5">
        <v>-97.693794588955001</v>
      </c>
      <c r="L5857" s="5" t="str">
        <f>HYPERLINK("https://maps.google.com/?q=16.0998671151555,-97.693794588954901", "🔗 Ver Mapa")</f>
        <v>🔗 Ver Mapa</v>
      </c>
    </row>
    <row r="5858" spans="1:12" ht="43.5" x14ac:dyDescent="0.35">
      <c r="A5858" s="6" t="s">
        <v>98</v>
      </c>
      <c r="B5858" s="6" t="s">
        <v>99</v>
      </c>
      <c r="C5858" s="6" t="s">
        <v>1149</v>
      </c>
      <c r="D5858" s="6" t="s">
        <v>14</v>
      </c>
      <c r="E5858" s="6" t="s">
        <v>17</v>
      </c>
      <c r="F5858" s="6" t="s">
        <v>46</v>
      </c>
      <c r="G5858" s="6" t="s">
        <v>212</v>
      </c>
      <c r="H5858" s="6" t="s">
        <v>1081</v>
      </c>
      <c r="I5858" s="6" t="s">
        <v>31</v>
      </c>
      <c r="J5858" s="6">
        <v>15.969749538163001</v>
      </c>
      <c r="K5858" s="6">
        <v>-97.245952144952994</v>
      </c>
      <c r="L5858" s="6" t="str">
        <f>HYPERLINK("https://maps.google.com/?q=15.9697495381626,-97.245952144952994", "🔗 Ver Mapa")</f>
        <v>🔗 Ver Mapa</v>
      </c>
    </row>
    <row r="5859" spans="1:12" ht="43.5" x14ac:dyDescent="0.35">
      <c r="A5859" s="5" t="s">
        <v>98</v>
      </c>
      <c r="B5859" s="5" t="s">
        <v>99</v>
      </c>
      <c r="C5859" s="5" t="s">
        <v>1149</v>
      </c>
      <c r="D5859" s="5" t="s">
        <v>14</v>
      </c>
      <c r="E5859" s="5" t="s">
        <v>17</v>
      </c>
      <c r="F5859" s="5" t="s">
        <v>46</v>
      </c>
      <c r="G5859" s="5" t="s">
        <v>212</v>
      </c>
      <c r="H5859" s="5" t="s">
        <v>1081</v>
      </c>
      <c r="I5859" s="5" t="s">
        <v>31</v>
      </c>
      <c r="J5859" s="5">
        <v>15.970822871133</v>
      </c>
      <c r="K5859" s="5">
        <v>-97.245962991425998</v>
      </c>
      <c r="L5859" s="5" t="str">
        <f>HYPERLINK("https://maps.google.com/?q=15.9708228711331,-97.245962991426396", "🔗 Ver Mapa")</f>
        <v>🔗 Ver Mapa</v>
      </c>
    </row>
    <row r="5860" spans="1:12" ht="43.5" x14ac:dyDescent="0.35">
      <c r="A5860" s="6" t="s">
        <v>98</v>
      </c>
      <c r="B5860" s="6" t="s">
        <v>99</v>
      </c>
      <c r="C5860" s="6" t="s">
        <v>1149</v>
      </c>
      <c r="D5860" s="6" t="s">
        <v>14</v>
      </c>
      <c r="E5860" s="6" t="s">
        <v>17</v>
      </c>
      <c r="F5860" s="6" t="s">
        <v>46</v>
      </c>
      <c r="G5860" s="6" t="s">
        <v>212</v>
      </c>
      <c r="H5860" s="6" t="s">
        <v>1081</v>
      </c>
      <c r="I5860" s="6" t="s">
        <v>31</v>
      </c>
      <c r="J5860" s="6">
        <v>15.971325351615</v>
      </c>
      <c r="K5860" s="6">
        <v>-97.245353193669999</v>
      </c>
      <c r="L5860" s="6" t="str">
        <f>HYPERLINK("https://maps.google.com/?q=15.9713253516153,-97.245353193670098", "🔗 Ver Mapa")</f>
        <v>🔗 Ver Mapa</v>
      </c>
    </row>
    <row r="5861" spans="1:12" ht="43.5" x14ac:dyDescent="0.35">
      <c r="A5861" s="5" t="s">
        <v>98</v>
      </c>
      <c r="B5861" s="5" t="s">
        <v>99</v>
      </c>
      <c r="C5861" s="5" t="s">
        <v>1149</v>
      </c>
      <c r="D5861" s="5" t="s">
        <v>14</v>
      </c>
      <c r="E5861" s="5" t="s">
        <v>17</v>
      </c>
      <c r="F5861" s="5" t="s">
        <v>46</v>
      </c>
      <c r="G5861" s="5" t="s">
        <v>212</v>
      </c>
      <c r="H5861" s="5" t="s">
        <v>1081</v>
      </c>
      <c r="I5861" s="5" t="s">
        <v>31</v>
      </c>
      <c r="J5861" s="5">
        <v>15.971963588525</v>
      </c>
      <c r="K5861" s="5">
        <v>-97.242925798558005</v>
      </c>
      <c r="L5861" s="5" t="str">
        <f>HYPERLINK("https://maps.google.com/?q=15.9719635885251,-97.242925798557906", "🔗 Ver Mapa")</f>
        <v>🔗 Ver Mapa</v>
      </c>
    </row>
    <row r="5862" spans="1:12" ht="43.5" x14ac:dyDescent="0.35">
      <c r="A5862" s="6" t="s">
        <v>98</v>
      </c>
      <c r="B5862" s="6" t="s">
        <v>99</v>
      </c>
      <c r="C5862" s="6" t="s">
        <v>1149</v>
      </c>
      <c r="D5862" s="6" t="s">
        <v>14</v>
      </c>
      <c r="E5862" s="6" t="s">
        <v>17</v>
      </c>
      <c r="F5862" s="6" t="s">
        <v>46</v>
      </c>
      <c r="G5862" s="6" t="s">
        <v>212</v>
      </c>
      <c r="H5862" s="6" t="s">
        <v>1081</v>
      </c>
      <c r="I5862" s="6" t="s">
        <v>31</v>
      </c>
      <c r="J5862" s="6">
        <v>15.973531339166</v>
      </c>
      <c r="K5862" s="6">
        <v>-97.241539789024003</v>
      </c>
      <c r="L5862" s="6" t="str">
        <f>HYPERLINK("https://maps.google.com/?q=15.9735313391657,-97.241539789024202", "🔗 Ver Mapa")</f>
        <v>🔗 Ver Mapa</v>
      </c>
    </row>
    <row r="5863" spans="1:12" ht="43.5" x14ac:dyDescent="0.35">
      <c r="A5863" s="5" t="s">
        <v>98</v>
      </c>
      <c r="B5863" s="5" t="s">
        <v>99</v>
      </c>
      <c r="C5863" s="5" t="s">
        <v>1149</v>
      </c>
      <c r="D5863" s="5" t="s">
        <v>14</v>
      </c>
      <c r="E5863" s="5" t="s">
        <v>17</v>
      </c>
      <c r="F5863" s="5" t="s">
        <v>46</v>
      </c>
      <c r="G5863" s="5" t="s">
        <v>212</v>
      </c>
      <c r="H5863" s="5" t="s">
        <v>1081</v>
      </c>
      <c r="I5863" s="5" t="s">
        <v>31</v>
      </c>
      <c r="J5863" s="5">
        <v>15.973901794728</v>
      </c>
      <c r="K5863" s="5">
        <v>-97.246252665011994</v>
      </c>
      <c r="L5863" s="5" t="str">
        <f>HYPERLINK("https://maps.google.com/?q=15.9739017947278,-97.246252665012307", "🔗 Ver Mapa")</f>
        <v>🔗 Ver Mapa</v>
      </c>
    </row>
    <row r="5864" spans="1:12" ht="43.5" x14ac:dyDescent="0.35">
      <c r="A5864" s="6" t="s">
        <v>98</v>
      </c>
      <c r="B5864" s="6" t="s">
        <v>99</v>
      </c>
      <c r="C5864" s="6" t="s">
        <v>1149</v>
      </c>
      <c r="D5864" s="6" t="s">
        <v>14</v>
      </c>
      <c r="E5864" s="6" t="s">
        <v>17</v>
      </c>
      <c r="F5864" s="6" t="s">
        <v>46</v>
      </c>
      <c r="G5864" s="6" t="s">
        <v>212</v>
      </c>
      <c r="H5864" s="6" t="s">
        <v>1081</v>
      </c>
      <c r="I5864" s="6" t="s">
        <v>31</v>
      </c>
      <c r="J5864" s="6">
        <v>15.973922190847</v>
      </c>
      <c r="K5864" s="6">
        <v>-97.244965849039005</v>
      </c>
      <c r="L5864" s="6" t="str">
        <f>HYPERLINK("https://maps.google.com/?q=15.9739221908473,-97.244965849039104", "🔗 Ver Mapa")</f>
        <v>🔗 Ver Mapa</v>
      </c>
    </row>
    <row r="5865" spans="1:12" ht="43.5" x14ac:dyDescent="0.35">
      <c r="A5865" s="5" t="s">
        <v>98</v>
      </c>
      <c r="B5865" s="5" t="s">
        <v>99</v>
      </c>
      <c r="C5865" s="5" t="s">
        <v>1149</v>
      </c>
      <c r="D5865" s="5" t="s">
        <v>14</v>
      </c>
      <c r="E5865" s="5" t="s">
        <v>17</v>
      </c>
      <c r="F5865" s="5" t="s">
        <v>46</v>
      </c>
      <c r="G5865" s="5" t="s">
        <v>212</v>
      </c>
      <c r="H5865" s="5" t="s">
        <v>1081</v>
      </c>
      <c r="I5865" s="5" t="s">
        <v>31</v>
      </c>
      <c r="J5865" s="5">
        <v>15.975934946056</v>
      </c>
      <c r="K5865" s="5">
        <v>-97.245361634427994</v>
      </c>
      <c r="L5865" s="5" t="str">
        <f>HYPERLINK("https://maps.google.com/?q=15.9759349460559,-97.245361634427894", "🔗 Ver Mapa")</f>
        <v>🔗 Ver Mapa</v>
      </c>
    </row>
    <row r="5866" spans="1:12" ht="43.5" x14ac:dyDescent="0.35">
      <c r="A5866" s="6" t="s">
        <v>98</v>
      </c>
      <c r="B5866" s="6" t="s">
        <v>99</v>
      </c>
      <c r="C5866" s="6" t="s">
        <v>1149</v>
      </c>
      <c r="D5866" s="6" t="s">
        <v>14</v>
      </c>
      <c r="E5866" s="6" t="s">
        <v>17</v>
      </c>
      <c r="F5866" s="6" t="s">
        <v>46</v>
      </c>
      <c r="G5866" s="6" t="s">
        <v>212</v>
      </c>
      <c r="H5866" s="6" t="s">
        <v>1081</v>
      </c>
      <c r="I5866" s="6" t="s">
        <v>31</v>
      </c>
      <c r="J5866" s="6">
        <v>15.976086103408999</v>
      </c>
      <c r="K5866" s="6">
        <v>-97.244962480986004</v>
      </c>
      <c r="L5866" s="6" t="str">
        <f>HYPERLINK("https://maps.google.com/?q=15.9760861034092,-97.244962480985507", "🔗 Ver Mapa")</f>
        <v>🔗 Ver Mapa</v>
      </c>
    </row>
    <row r="5867" spans="1:12" ht="43.5" x14ac:dyDescent="0.35">
      <c r="A5867" s="5" t="s">
        <v>98</v>
      </c>
      <c r="B5867" s="5" t="s">
        <v>99</v>
      </c>
      <c r="C5867" s="5" t="s">
        <v>1149</v>
      </c>
      <c r="D5867" s="5" t="s">
        <v>14</v>
      </c>
      <c r="E5867" s="5" t="s">
        <v>17</v>
      </c>
      <c r="F5867" s="5" t="s">
        <v>46</v>
      </c>
      <c r="G5867" s="5" t="s">
        <v>212</v>
      </c>
      <c r="H5867" s="5" t="s">
        <v>1081</v>
      </c>
      <c r="I5867" s="5" t="s">
        <v>31</v>
      </c>
      <c r="J5867" s="5">
        <v>15.976134184682</v>
      </c>
      <c r="K5867" s="5">
        <v>-97.241612822090005</v>
      </c>
      <c r="L5867" s="5" t="str">
        <f>HYPERLINK("https://maps.google.com/?q=15.9761341846821,-97.241612822090303", "🔗 Ver Mapa")</f>
        <v>🔗 Ver Mapa</v>
      </c>
    </row>
    <row r="5868" spans="1:12" ht="43.5" x14ac:dyDescent="0.35">
      <c r="A5868" s="6" t="s">
        <v>98</v>
      </c>
      <c r="B5868" s="6" t="s">
        <v>99</v>
      </c>
      <c r="C5868" s="6" t="s">
        <v>1149</v>
      </c>
      <c r="D5868" s="6" t="s">
        <v>14</v>
      </c>
      <c r="E5868" s="6" t="s">
        <v>17</v>
      </c>
      <c r="F5868" s="6" t="s">
        <v>46</v>
      </c>
      <c r="G5868" s="6" t="s">
        <v>212</v>
      </c>
      <c r="H5868" s="6" t="s">
        <v>1081</v>
      </c>
      <c r="I5868" s="6" t="s">
        <v>31</v>
      </c>
      <c r="J5868" s="6">
        <v>15.976534820157999</v>
      </c>
      <c r="K5868" s="6">
        <v>-97.245232563160002</v>
      </c>
      <c r="L5868" s="6" t="str">
        <f>HYPERLINK("https://maps.google.com/?q=15.9765348201584,-97.245232563160101", "🔗 Ver Mapa")</f>
        <v>🔗 Ver Mapa</v>
      </c>
    </row>
    <row r="5869" spans="1:12" ht="43.5" x14ac:dyDescent="0.35">
      <c r="A5869" s="5" t="s">
        <v>98</v>
      </c>
      <c r="B5869" s="5" t="s">
        <v>99</v>
      </c>
      <c r="C5869" s="5" t="s">
        <v>1150</v>
      </c>
      <c r="D5869" s="5" t="s">
        <v>14</v>
      </c>
      <c r="E5869" s="5" t="s">
        <v>90</v>
      </c>
      <c r="F5869" s="5" t="s">
        <v>119</v>
      </c>
      <c r="G5869" s="5" t="s">
        <v>498</v>
      </c>
      <c r="H5869" s="5" t="s">
        <v>499</v>
      </c>
      <c r="I5869" s="5" t="s">
        <v>31</v>
      </c>
      <c r="J5869" s="5">
        <v>17.502336615482001</v>
      </c>
      <c r="K5869" s="5">
        <v>-96.548710490738003</v>
      </c>
      <c r="L5869" s="5" t="str">
        <f>HYPERLINK("https://maps.google.com/?q=17.5023366154823,-96.548710490738003", "🔗 Ver Mapa")</f>
        <v>🔗 Ver Mapa</v>
      </c>
    </row>
    <row r="5870" spans="1:12" ht="43.5" x14ac:dyDescent="0.35">
      <c r="A5870" s="6" t="s">
        <v>98</v>
      </c>
      <c r="B5870" s="6" t="s">
        <v>99</v>
      </c>
      <c r="C5870" s="6" t="s">
        <v>1150</v>
      </c>
      <c r="D5870" s="6" t="s">
        <v>14</v>
      </c>
      <c r="E5870" s="6" t="s">
        <v>90</v>
      </c>
      <c r="F5870" s="6" t="s">
        <v>119</v>
      </c>
      <c r="G5870" s="6" t="s">
        <v>498</v>
      </c>
      <c r="H5870" s="6" t="s">
        <v>499</v>
      </c>
      <c r="I5870" s="6" t="s">
        <v>31</v>
      </c>
      <c r="J5870" s="6">
        <v>17.502851660483</v>
      </c>
      <c r="K5870" s="6">
        <v>-96.548200844248996</v>
      </c>
      <c r="L5870" s="6" t="str">
        <f>HYPERLINK("https://maps.google.com/?q=17.5028516604828,-96.548200844249493", "🔗 Ver Mapa")</f>
        <v>🔗 Ver Mapa</v>
      </c>
    </row>
    <row r="5871" spans="1:12" ht="43.5" x14ac:dyDescent="0.35">
      <c r="A5871" s="5" t="s">
        <v>98</v>
      </c>
      <c r="B5871" s="5" t="s">
        <v>99</v>
      </c>
      <c r="C5871" s="5" t="s">
        <v>1150</v>
      </c>
      <c r="D5871" s="5" t="s">
        <v>14</v>
      </c>
      <c r="E5871" s="5" t="s">
        <v>90</v>
      </c>
      <c r="F5871" s="5" t="s">
        <v>119</v>
      </c>
      <c r="G5871" s="5" t="s">
        <v>498</v>
      </c>
      <c r="H5871" s="5" t="s">
        <v>499</v>
      </c>
      <c r="I5871" s="5" t="s">
        <v>31</v>
      </c>
      <c r="J5871" s="5">
        <v>17.504411168621001</v>
      </c>
      <c r="K5871" s="5">
        <v>-96.551261046627005</v>
      </c>
      <c r="L5871" s="5" t="str">
        <f>HYPERLINK("https://maps.google.com/?q=17.5044111686215,-96.551261046627005", "🔗 Ver Mapa")</f>
        <v>🔗 Ver Mapa</v>
      </c>
    </row>
    <row r="5872" spans="1:12" ht="43.5" x14ac:dyDescent="0.35">
      <c r="A5872" s="6" t="s">
        <v>98</v>
      </c>
      <c r="B5872" s="6" t="s">
        <v>99</v>
      </c>
      <c r="C5872" s="6" t="s">
        <v>1150</v>
      </c>
      <c r="D5872" s="6" t="s">
        <v>14</v>
      </c>
      <c r="E5872" s="6" t="s">
        <v>90</v>
      </c>
      <c r="F5872" s="6" t="s">
        <v>119</v>
      </c>
      <c r="G5872" s="6" t="s">
        <v>498</v>
      </c>
      <c r="H5872" s="6" t="s">
        <v>499</v>
      </c>
      <c r="I5872" s="6" t="s">
        <v>31</v>
      </c>
      <c r="J5872" s="6">
        <v>17.504817682765999</v>
      </c>
      <c r="K5872" s="6">
        <v>-96.547489559525005</v>
      </c>
      <c r="L5872" s="6" t="str">
        <f>HYPERLINK("https://maps.google.com/?q=17.5048176827659,-96.547489559524706", "🔗 Ver Mapa")</f>
        <v>🔗 Ver Mapa</v>
      </c>
    </row>
    <row r="5873" spans="1:12" ht="43.5" x14ac:dyDescent="0.35">
      <c r="A5873" s="5" t="s">
        <v>98</v>
      </c>
      <c r="B5873" s="5" t="s">
        <v>99</v>
      </c>
      <c r="C5873" s="5" t="s">
        <v>1150</v>
      </c>
      <c r="D5873" s="5" t="s">
        <v>14</v>
      </c>
      <c r="E5873" s="5" t="s">
        <v>90</v>
      </c>
      <c r="F5873" s="5" t="s">
        <v>119</v>
      </c>
      <c r="G5873" s="5" t="s">
        <v>498</v>
      </c>
      <c r="H5873" s="5" t="s">
        <v>499</v>
      </c>
      <c r="I5873" s="5" t="s">
        <v>31</v>
      </c>
      <c r="J5873" s="5">
        <v>17.505147701795</v>
      </c>
      <c r="K5873" s="5">
        <v>-96.550469209821998</v>
      </c>
      <c r="L5873" s="5" t="str">
        <f>HYPERLINK("https://maps.google.com/?q=17.5051477017947,-96.550469209821799", "🔗 Ver Mapa")</f>
        <v>🔗 Ver Mapa</v>
      </c>
    </row>
    <row r="5874" spans="1:12" ht="43.5" x14ac:dyDescent="0.35">
      <c r="A5874" s="6" t="s">
        <v>98</v>
      </c>
      <c r="B5874" s="6" t="s">
        <v>99</v>
      </c>
      <c r="C5874" s="6" t="s">
        <v>1150</v>
      </c>
      <c r="D5874" s="6" t="s">
        <v>14</v>
      </c>
      <c r="E5874" s="6" t="s">
        <v>90</v>
      </c>
      <c r="F5874" s="6" t="s">
        <v>119</v>
      </c>
      <c r="G5874" s="6" t="s">
        <v>498</v>
      </c>
      <c r="H5874" s="6" t="s">
        <v>499</v>
      </c>
      <c r="I5874" s="6" t="s">
        <v>31</v>
      </c>
      <c r="J5874" s="6">
        <v>17.505754122009002</v>
      </c>
      <c r="K5874" s="6">
        <v>-96.548301457671997</v>
      </c>
      <c r="L5874" s="6" t="str">
        <f>HYPERLINK("https://maps.google.com/?q=17.5057541220091,-96.548301457672096", "🔗 Ver Mapa")</f>
        <v>🔗 Ver Mapa</v>
      </c>
    </row>
    <row r="5875" spans="1:12" ht="43.5" x14ac:dyDescent="0.35">
      <c r="A5875" s="5" t="s">
        <v>516</v>
      </c>
      <c r="B5875" s="5" t="s">
        <v>517</v>
      </c>
      <c r="C5875" s="5" t="s">
        <v>1151</v>
      </c>
      <c r="D5875" s="5" t="s">
        <v>13</v>
      </c>
      <c r="E5875" s="5" t="s">
        <v>140</v>
      </c>
      <c r="F5875" s="5" t="s">
        <v>141</v>
      </c>
      <c r="G5875" s="5" t="s">
        <v>1152</v>
      </c>
      <c r="H5875" s="5" t="s">
        <v>1153</v>
      </c>
      <c r="I5875" s="5" t="s">
        <v>32</v>
      </c>
      <c r="J5875" s="5">
        <v>18.143219587276</v>
      </c>
      <c r="K5875" s="5">
        <v>-96.561477051424006</v>
      </c>
      <c r="L5875" s="5" t="str">
        <f>HYPERLINK("https://maps.google.com/?q=18.1432195872761,-96.561477051423566", "🔗 Ver Mapa")</f>
        <v>🔗 Ver Mapa</v>
      </c>
    </row>
    <row r="5876" spans="1:12" ht="43.5" x14ac:dyDescent="0.35">
      <c r="A5876" s="6" t="s">
        <v>516</v>
      </c>
      <c r="B5876" s="6" t="s">
        <v>517</v>
      </c>
      <c r="C5876" s="6" t="s">
        <v>1151</v>
      </c>
      <c r="D5876" s="6" t="s">
        <v>13</v>
      </c>
      <c r="E5876" s="6" t="s">
        <v>140</v>
      </c>
      <c r="F5876" s="6" t="s">
        <v>141</v>
      </c>
      <c r="G5876" s="6" t="s">
        <v>1152</v>
      </c>
      <c r="H5876" s="6" t="s">
        <v>1153</v>
      </c>
      <c r="I5876" s="6" t="s">
        <v>32</v>
      </c>
      <c r="J5876" s="6">
        <v>18.143809277540001</v>
      </c>
      <c r="K5876" s="6">
        <v>-96.562018495632003</v>
      </c>
      <c r="L5876" s="6" t="str">
        <f>HYPERLINK("https://maps.google.com/?q=18.143809277540004,-96.562018495632401", "🔗 Ver Mapa")</f>
        <v>🔗 Ver Mapa</v>
      </c>
    </row>
    <row r="5877" spans="1:12" ht="43.5" x14ac:dyDescent="0.35">
      <c r="A5877" s="5" t="s">
        <v>516</v>
      </c>
      <c r="B5877" s="5" t="s">
        <v>517</v>
      </c>
      <c r="C5877" s="5" t="s">
        <v>1151</v>
      </c>
      <c r="D5877" s="5" t="s">
        <v>13</v>
      </c>
      <c r="E5877" s="5" t="s">
        <v>140</v>
      </c>
      <c r="F5877" s="5" t="s">
        <v>141</v>
      </c>
      <c r="G5877" s="5" t="s">
        <v>1152</v>
      </c>
      <c r="H5877" s="5" t="s">
        <v>1153</v>
      </c>
      <c r="I5877" s="5" t="s">
        <v>32</v>
      </c>
      <c r="J5877" s="5">
        <v>18.143912085002999</v>
      </c>
      <c r="K5877" s="5">
        <v>-96.562633295170997</v>
      </c>
      <c r="L5877" s="5" t="str">
        <f>HYPERLINK("https://maps.google.com/?q=18.143912085003464,-96.562633295171352", "🔗 Ver Mapa")</f>
        <v>🔗 Ver Mapa</v>
      </c>
    </row>
    <row r="5878" spans="1:12" ht="43.5" x14ac:dyDescent="0.35">
      <c r="A5878" s="6" t="s">
        <v>516</v>
      </c>
      <c r="B5878" s="6" t="s">
        <v>517</v>
      </c>
      <c r="C5878" s="6" t="s">
        <v>1151</v>
      </c>
      <c r="D5878" s="6" t="s">
        <v>13</v>
      </c>
      <c r="E5878" s="6" t="s">
        <v>140</v>
      </c>
      <c r="F5878" s="6" t="s">
        <v>141</v>
      </c>
      <c r="G5878" s="6" t="s">
        <v>1152</v>
      </c>
      <c r="H5878" s="6" t="s">
        <v>1153</v>
      </c>
      <c r="I5878" s="6" t="s">
        <v>32</v>
      </c>
      <c r="J5878" s="6">
        <v>18.144191076759</v>
      </c>
      <c r="K5878" s="6">
        <v>-96.562989451416996</v>
      </c>
      <c r="L5878" s="6" t="str">
        <f>HYPERLINK("https://maps.google.com/?q=18.14419107675946,-96.562989451416769", "🔗 Ver Mapa")</f>
        <v>🔗 Ver Mapa</v>
      </c>
    </row>
    <row r="5879" spans="1:12" ht="43.5" x14ac:dyDescent="0.35">
      <c r="A5879" s="5" t="s">
        <v>516</v>
      </c>
      <c r="B5879" s="5" t="s">
        <v>517</v>
      </c>
      <c r="C5879" s="5" t="s">
        <v>1151</v>
      </c>
      <c r="D5879" s="5" t="s">
        <v>13</v>
      </c>
      <c r="E5879" s="5" t="s">
        <v>140</v>
      </c>
      <c r="F5879" s="5" t="s">
        <v>141</v>
      </c>
      <c r="G5879" s="5" t="s">
        <v>1152</v>
      </c>
      <c r="H5879" s="5" t="s">
        <v>1153</v>
      </c>
      <c r="I5879" s="5" t="s">
        <v>32</v>
      </c>
      <c r="J5879" s="5">
        <v>18.144573787761001</v>
      </c>
      <c r="K5879" s="5">
        <v>-96.563448088198001</v>
      </c>
      <c r="L5879" s="5" t="str">
        <f>HYPERLINK("https://maps.google.com/?q=18.144573787761267,-96.563448088197674", "🔗 Ver Mapa")</f>
        <v>🔗 Ver Mapa</v>
      </c>
    </row>
    <row r="5880" spans="1:12" ht="43.5" x14ac:dyDescent="0.35">
      <c r="A5880" s="6" t="s">
        <v>516</v>
      </c>
      <c r="B5880" s="6" t="s">
        <v>517</v>
      </c>
      <c r="C5880" s="6" t="s">
        <v>1151</v>
      </c>
      <c r="D5880" s="6" t="s">
        <v>13</v>
      </c>
      <c r="E5880" s="6" t="s">
        <v>140</v>
      </c>
      <c r="F5880" s="6" t="s">
        <v>141</v>
      </c>
      <c r="G5880" s="6" t="s">
        <v>1152</v>
      </c>
      <c r="H5880" s="6" t="s">
        <v>1153</v>
      </c>
      <c r="I5880" s="6" t="s">
        <v>32</v>
      </c>
      <c r="J5880" s="6">
        <v>18.144834106114999</v>
      </c>
      <c r="K5880" s="6">
        <v>-96.567022855277003</v>
      </c>
      <c r="L5880" s="6" t="str">
        <f>HYPERLINK("https://maps.google.com/?q=18.14483410611468,-96.567022855276676", "🔗 Ver Mapa")</f>
        <v>🔗 Ver Mapa</v>
      </c>
    </row>
    <row r="5881" spans="1:12" ht="43.5" x14ac:dyDescent="0.35">
      <c r="A5881" s="5" t="s">
        <v>516</v>
      </c>
      <c r="B5881" s="5" t="s">
        <v>517</v>
      </c>
      <c r="C5881" s="5" t="s">
        <v>1151</v>
      </c>
      <c r="D5881" s="5" t="s">
        <v>13</v>
      </c>
      <c r="E5881" s="5" t="s">
        <v>140</v>
      </c>
      <c r="F5881" s="5" t="s">
        <v>141</v>
      </c>
      <c r="G5881" s="5" t="s">
        <v>1152</v>
      </c>
      <c r="H5881" s="5" t="s">
        <v>1153</v>
      </c>
      <c r="I5881" s="5" t="s">
        <v>32</v>
      </c>
      <c r="J5881" s="5">
        <v>18.144946497626002</v>
      </c>
      <c r="K5881" s="5">
        <v>-96.563915840270994</v>
      </c>
      <c r="L5881" s="5" t="str">
        <f>HYPERLINK("https://maps.google.com/?q=18.144946497625842,-96.563915840270738", "🔗 Ver Mapa")</f>
        <v>🔗 Ver Mapa</v>
      </c>
    </row>
    <row r="5882" spans="1:12" ht="43.5" x14ac:dyDescent="0.35">
      <c r="A5882" s="6" t="s">
        <v>516</v>
      </c>
      <c r="B5882" s="6" t="s">
        <v>517</v>
      </c>
      <c r="C5882" s="6" t="s">
        <v>1151</v>
      </c>
      <c r="D5882" s="6" t="s">
        <v>13</v>
      </c>
      <c r="E5882" s="6" t="s">
        <v>140</v>
      </c>
      <c r="F5882" s="6" t="s">
        <v>141</v>
      </c>
      <c r="G5882" s="6" t="s">
        <v>1152</v>
      </c>
      <c r="H5882" s="6" t="s">
        <v>1153</v>
      </c>
      <c r="I5882" s="6" t="s">
        <v>32</v>
      </c>
      <c r="J5882" s="6">
        <v>18.144953038749001</v>
      </c>
      <c r="K5882" s="6">
        <v>-96.563619396438</v>
      </c>
      <c r="L5882" s="6" t="str">
        <f>HYPERLINK("https://maps.google.com/?q=18.144953038749417,-96.563619396437872", "🔗 Ver Mapa")</f>
        <v>🔗 Ver Mapa</v>
      </c>
    </row>
    <row r="5883" spans="1:12" ht="43.5" x14ac:dyDescent="0.35">
      <c r="A5883" s="5" t="s">
        <v>516</v>
      </c>
      <c r="B5883" s="5" t="s">
        <v>517</v>
      </c>
      <c r="C5883" s="5" t="s">
        <v>1151</v>
      </c>
      <c r="D5883" s="5" t="s">
        <v>13</v>
      </c>
      <c r="E5883" s="5" t="s">
        <v>140</v>
      </c>
      <c r="F5883" s="5" t="s">
        <v>141</v>
      </c>
      <c r="G5883" s="5" t="s">
        <v>1152</v>
      </c>
      <c r="H5883" s="5" t="s">
        <v>1153</v>
      </c>
      <c r="I5883" s="5" t="s">
        <v>32</v>
      </c>
      <c r="J5883" s="5">
        <v>18.144981786917</v>
      </c>
      <c r="K5883" s="5">
        <v>-96.566701267880006</v>
      </c>
      <c r="L5883" s="5" t="str">
        <f>HYPERLINK("https://maps.google.com/?q=18.144981786917356,-96.56670126787958", "🔗 Ver Mapa")</f>
        <v>🔗 Ver Mapa</v>
      </c>
    </row>
    <row r="5884" spans="1:12" ht="43.5" x14ac:dyDescent="0.35">
      <c r="A5884" s="6" t="s">
        <v>516</v>
      </c>
      <c r="B5884" s="6" t="s">
        <v>517</v>
      </c>
      <c r="C5884" s="6" t="s">
        <v>1151</v>
      </c>
      <c r="D5884" s="6" t="s">
        <v>13</v>
      </c>
      <c r="E5884" s="6" t="s">
        <v>140</v>
      </c>
      <c r="F5884" s="6" t="s">
        <v>141</v>
      </c>
      <c r="G5884" s="6" t="s">
        <v>1152</v>
      </c>
      <c r="H5884" s="6" t="s">
        <v>1153</v>
      </c>
      <c r="I5884" s="6" t="s">
        <v>32</v>
      </c>
      <c r="J5884" s="6">
        <v>18.145025538241001</v>
      </c>
      <c r="K5884" s="6">
        <v>-96.566773434748995</v>
      </c>
      <c r="L5884" s="6" t="str">
        <f>HYPERLINK("https://maps.google.com/?q=18.145025538241427,-96.56677343474945", "🔗 Ver Mapa")</f>
        <v>🔗 Ver Mapa</v>
      </c>
    </row>
    <row r="5885" spans="1:12" ht="43.5" x14ac:dyDescent="0.35">
      <c r="A5885" s="5" t="s">
        <v>516</v>
      </c>
      <c r="B5885" s="5" t="s">
        <v>517</v>
      </c>
      <c r="C5885" s="5" t="s">
        <v>1151</v>
      </c>
      <c r="D5885" s="5" t="s">
        <v>13</v>
      </c>
      <c r="E5885" s="5" t="s">
        <v>140</v>
      </c>
      <c r="F5885" s="5" t="s">
        <v>141</v>
      </c>
      <c r="G5885" s="5" t="s">
        <v>1152</v>
      </c>
      <c r="H5885" s="5" t="s">
        <v>1153</v>
      </c>
      <c r="I5885" s="5" t="s">
        <v>32</v>
      </c>
      <c r="J5885" s="5">
        <v>18.145037455208001</v>
      </c>
      <c r="K5885" s="5">
        <v>-96.566653101474003</v>
      </c>
      <c r="L5885" s="5" t="str">
        <f>HYPERLINK("https://maps.google.com/?q=18.145037455208314,-96.566653101473676", "🔗 Ver Mapa")</f>
        <v>🔗 Ver Mapa</v>
      </c>
    </row>
    <row r="5886" spans="1:12" ht="43.5" x14ac:dyDescent="0.35">
      <c r="A5886" s="6" t="s">
        <v>516</v>
      </c>
      <c r="B5886" s="6" t="s">
        <v>517</v>
      </c>
      <c r="C5886" s="6" t="s">
        <v>1151</v>
      </c>
      <c r="D5886" s="6" t="s">
        <v>13</v>
      </c>
      <c r="E5886" s="6" t="s">
        <v>140</v>
      </c>
      <c r="F5886" s="6" t="s">
        <v>141</v>
      </c>
      <c r="G5886" s="6" t="s">
        <v>1152</v>
      </c>
      <c r="H5886" s="6" t="s">
        <v>1153</v>
      </c>
      <c r="I5886" s="6" t="s">
        <v>32</v>
      </c>
      <c r="J5886" s="6">
        <v>18.145069369419002</v>
      </c>
      <c r="K5886" s="6">
        <v>-96.566344388380003</v>
      </c>
      <c r="L5886" s="6" t="str">
        <f>HYPERLINK("https://maps.google.com/?q=18.145069369418692,-96.566344388380159", "🔗 Ver Mapa")</f>
        <v>🔗 Ver Mapa</v>
      </c>
    </row>
    <row r="5887" spans="1:12" ht="43.5" x14ac:dyDescent="0.35">
      <c r="A5887" s="5" t="s">
        <v>516</v>
      </c>
      <c r="B5887" s="5" t="s">
        <v>517</v>
      </c>
      <c r="C5887" s="5" t="s">
        <v>1151</v>
      </c>
      <c r="D5887" s="5" t="s">
        <v>13</v>
      </c>
      <c r="E5887" s="5" t="s">
        <v>140</v>
      </c>
      <c r="F5887" s="5" t="s">
        <v>141</v>
      </c>
      <c r="G5887" s="5" t="s">
        <v>1152</v>
      </c>
      <c r="H5887" s="5" t="s">
        <v>1153</v>
      </c>
      <c r="I5887" s="5" t="s">
        <v>32</v>
      </c>
      <c r="J5887" s="5">
        <v>18.145086416032999</v>
      </c>
      <c r="K5887" s="5">
        <v>-96.566242596627006</v>
      </c>
      <c r="L5887" s="5" t="str">
        <f>HYPERLINK("https://maps.google.com/?q=18.145086416032683,-96.566242596626921", "🔗 Ver Mapa")</f>
        <v>🔗 Ver Mapa</v>
      </c>
    </row>
    <row r="5888" spans="1:12" ht="43.5" x14ac:dyDescent="0.35">
      <c r="A5888" s="6" t="s">
        <v>516</v>
      </c>
      <c r="B5888" s="6" t="s">
        <v>517</v>
      </c>
      <c r="C5888" s="6" t="s">
        <v>1151</v>
      </c>
      <c r="D5888" s="6" t="s">
        <v>13</v>
      </c>
      <c r="E5888" s="6" t="s">
        <v>140</v>
      </c>
      <c r="F5888" s="6" t="s">
        <v>141</v>
      </c>
      <c r="G5888" s="6" t="s">
        <v>1152</v>
      </c>
      <c r="H5888" s="6" t="s">
        <v>1153</v>
      </c>
      <c r="I5888" s="6" t="s">
        <v>32</v>
      </c>
      <c r="J5888" s="6">
        <v>18.145099228159001</v>
      </c>
      <c r="K5888" s="6">
        <v>-96.566462818873006</v>
      </c>
      <c r="L5888" s="6" t="str">
        <f>HYPERLINK("https://maps.google.com/?q=18.145099228159083,-96.56646281887258", "🔗 Ver Mapa")</f>
        <v>🔗 Ver Mapa</v>
      </c>
    </row>
    <row r="5889" spans="1:12" ht="43.5" x14ac:dyDescent="0.35">
      <c r="A5889" s="5" t="s">
        <v>516</v>
      </c>
      <c r="B5889" s="5" t="s">
        <v>517</v>
      </c>
      <c r="C5889" s="5" t="s">
        <v>1151</v>
      </c>
      <c r="D5889" s="5" t="s">
        <v>13</v>
      </c>
      <c r="E5889" s="5" t="s">
        <v>140</v>
      </c>
      <c r="F5889" s="5" t="s">
        <v>141</v>
      </c>
      <c r="G5889" s="5" t="s">
        <v>1152</v>
      </c>
      <c r="H5889" s="5" t="s">
        <v>1153</v>
      </c>
      <c r="I5889" s="5" t="s">
        <v>32</v>
      </c>
      <c r="J5889" s="5">
        <v>18.145118427339</v>
      </c>
      <c r="K5889" s="5">
        <v>-96.566595378608</v>
      </c>
      <c r="L5889" s="5" t="str">
        <f>HYPERLINK("https://maps.google.com/?q=18.145118427338737,-96.566595378608042", "🔗 Ver Mapa")</f>
        <v>🔗 Ver Mapa</v>
      </c>
    </row>
    <row r="5890" spans="1:12" ht="43.5" x14ac:dyDescent="0.35">
      <c r="A5890" s="6" t="s">
        <v>516</v>
      </c>
      <c r="B5890" s="6" t="s">
        <v>517</v>
      </c>
      <c r="C5890" s="6" t="s">
        <v>1151</v>
      </c>
      <c r="D5890" s="6" t="s">
        <v>13</v>
      </c>
      <c r="E5890" s="6" t="s">
        <v>140</v>
      </c>
      <c r="F5890" s="6" t="s">
        <v>141</v>
      </c>
      <c r="G5890" s="6" t="s">
        <v>1152</v>
      </c>
      <c r="H5890" s="6" t="s">
        <v>1153</v>
      </c>
      <c r="I5890" s="6" t="s">
        <v>32</v>
      </c>
      <c r="J5890" s="6">
        <v>18.145148725605999</v>
      </c>
      <c r="K5890" s="6">
        <v>-96.566184673774003</v>
      </c>
      <c r="L5890" s="6" t="str">
        <f>HYPERLINK("https://maps.google.com/?q=18.145148725605566,-96.566184673773677", "🔗 Ver Mapa")</f>
        <v>🔗 Ver Mapa</v>
      </c>
    </row>
    <row r="5891" spans="1:12" ht="43.5" x14ac:dyDescent="0.35">
      <c r="A5891" s="5" t="s">
        <v>516</v>
      </c>
      <c r="B5891" s="5" t="s">
        <v>517</v>
      </c>
      <c r="C5891" s="5" t="s">
        <v>1151</v>
      </c>
      <c r="D5891" s="5" t="s">
        <v>13</v>
      </c>
      <c r="E5891" s="5" t="s">
        <v>140</v>
      </c>
      <c r="F5891" s="5" t="s">
        <v>141</v>
      </c>
      <c r="G5891" s="5" t="s">
        <v>1152</v>
      </c>
      <c r="H5891" s="5" t="s">
        <v>1153</v>
      </c>
      <c r="I5891" s="5" t="s">
        <v>32</v>
      </c>
      <c r="J5891" s="5">
        <v>18.145164599348</v>
      </c>
      <c r="K5891" s="5">
        <v>-96.566511227505998</v>
      </c>
      <c r="L5891" s="5" t="str">
        <f>HYPERLINK("https://maps.google.com/?q=18.145164599347968,-96.566511227506183", "🔗 Ver Mapa")</f>
        <v>🔗 Ver Mapa</v>
      </c>
    </row>
    <row r="5892" spans="1:12" ht="43.5" x14ac:dyDescent="0.35">
      <c r="A5892" s="6" t="s">
        <v>516</v>
      </c>
      <c r="B5892" s="6" t="s">
        <v>517</v>
      </c>
      <c r="C5892" s="6" t="s">
        <v>1151</v>
      </c>
      <c r="D5892" s="6" t="s">
        <v>13</v>
      </c>
      <c r="E5892" s="6" t="s">
        <v>140</v>
      </c>
      <c r="F5892" s="6" t="s">
        <v>141</v>
      </c>
      <c r="G5892" s="6" t="s">
        <v>1152</v>
      </c>
      <c r="H5892" s="6" t="s">
        <v>1153</v>
      </c>
      <c r="I5892" s="6" t="s">
        <v>32</v>
      </c>
      <c r="J5892" s="6">
        <v>18.145183916309001</v>
      </c>
      <c r="K5892" s="6">
        <v>-96.566103508729</v>
      </c>
      <c r="L5892" s="6" t="str">
        <f>HYPERLINK("https://maps.google.com/?q=18.145183916308618,-96.566103508729242", "🔗 Ver Mapa")</f>
        <v>🔗 Ver Mapa</v>
      </c>
    </row>
    <row r="5893" spans="1:12" ht="43.5" x14ac:dyDescent="0.35">
      <c r="A5893" s="5" t="s">
        <v>516</v>
      </c>
      <c r="B5893" s="5" t="s">
        <v>517</v>
      </c>
      <c r="C5893" s="5" t="s">
        <v>1151</v>
      </c>
      <c r="D5893" s="5" t="s">
        <v>13</v>
      </c>
      <c r="E5893" s="5" t="s">
        <v>140</v>
      </c>
      <c r="F5893" s="5" t="s">
        <v>141</v>
      </c>
      <c r="G5893" s="5" t="s">
        <v>1152</v>
      </c>
      <c r="H5893" s="5" t="s">
        <v>1153</v>
      </c>
      <c r="I5893" s="5" t="s">
        <v>32</v>
      </c>
      <c r="J5893" s="5">
        <v>18.145251581404001</v>
      </c>
      <c r="K5893" s="5">
        <v>-96.566019154360006</v>
      </c>
      <c r="L5893" s="5" t="str">
        <f>HYPERLINK("https://maps.google.com/?q=18.145251581403972,-96.566019154359665", "🔗 Ver Mapa")</f>
        <v>🔗 Ver Mapa</v>
      </c>
    </row>
    <row r="5894" spans="1:12" ht="43.5" x14ac:dyDescent="0.35">
      <c r="A5894" s="6" t="s">
        <v>516</v>
      </c>
      <c r="B5894" s="6" t="s">
        <v>517</v>
      </c>
      <c r="C5894" s="6" t="s">
        <v>1151</v>
      </c>
      <c r="D5894" s="6" t="s">
        <v>13</v>
      </c>
      <c r="E5894" s="6" t="s">
        <v>140</v>
      </c>
      <c r="F5894" s="6" t="s">
        <v>141</v>
      </c>
      <c r="G5894" s="6" t="s">
        <v>1152</v>
      </c>
      <c r="H5894" s="6" t="s">
        <v>1153</v>
      </c>
      <c r="I5894" s="6" t="s">
        <v>32</v>
      </c>
      <c r="J5894" s="6">
        <v>18.145273257008</v>
      </c>
      <c r="K5894" s="6">
        <v>-96.565947717905999</v>
      </c>
      <c r="L5894" s="6" t="str">
        <f>HYPERLINK("https://maps.google.com/?q=18.14527325700811,-96.565947717906283", "🔗 Ver Mapa")</f>
        <v>🔗 Ver Mapa</v>
      </c>
    </row>
    <row r="5895" spans="1:12" ht="43.5" x14ac:dyDescent="0.35">
      <c r="A5895" s="5" t="s">
        <v>516</v>
      </c>
      <c r="B5895" s="5" t="s">
        <v>517</v>
      </c>
      <c r="C5895" s="5" t="s">
        <v>1151</v>
      </c>
      <c r="D5895" s="5" t="s">
        <v>13</v>
      </c>
      <c r="E5895" s="5" t="s">
        <v>140</v>
      </c>
      <c r="F5895" s="5" t="s">
        <v>141</v>
      </c>
      <c r="G5895" s="5" t="s">
        <v>1152</v>
      </c>
      <c r="H5895" s="5" t="s">
        <v>1153</v>
      </c>
      <c r="I5895" s="5" t="s">
        <v>32</v>
      </c>
      <c r="J5895" s="5">
        <v>18.145346330553</v>
      </c>
      <c r="K5895" s="5">
        <v>-96.565876797838001</v>
      </c>
      <c r="L5895" s="5" t="str">
        <f>HYPERLINK("https://maps.google.com/?q=18.14534633055336,-96.565876797838371", "🔗 Ver Mapa")</f>
        <v>🔗 Ver Mapa</v>
      </c>
    </row>
    <row r="5896" spans="1:12" ht="43.5" x14ac:dyDescent="0.35">
      <c r="A5896" s="6" t="s">
        <v>516</v>
      </c>
      <c r="B5896" s="6" t="s">
        <v>517</v>
      </c>
      <c r="C5896" s="6" t="s">
        <v>1151</v>
      </c>
      <c r="D5896" s="6" t="s">
        <v>13</v>
      </c>
      <c r="E5896" s="6" t="s">
        <v>140</v>
      </c>
      <c r="F5896" s="6" t="s">
        <v>141</v>
      </c>
      <c r="G5896" s="6" t="s">
        <v>1152</v>
      </c>
      <c r="H5896" s="6" t="s">
        <v>1153</v>
      </c>
      <c r="I5896" s="6" t="s">
        <v>32</v>
      </c>
      <c r="J5896" s="6">
        <v>18.145388040694002</v>
      </c>
      <c r="K5896" s="6">
        <v>-96.565825489553006</v>
      </c>
      <c r="L5896" s="6" t="str">
        <f>HYPERLINK("https://maps.google.com/?q=18.14538804069382,-96.565825489552864", "🔗 Ver Mapa")</f>
        <v>🔗 Ver Mapa</v>
      </c>
    </row>
    <row r="5897" spans="1:12" ht="43.5" x14ac:dyDescent="0.35">
      <c r="A5897" s="5" t="s">
        <v>516</v>
      </c>
      <c r="B5897" s="5" t="s">
        <v>517</v>
      </c>
      <c r="C5897" s="5" t="s">
        <v>1151</v>
      </c>
      <c r="D5897" s="5" t="s">
        <v>13</v>
      </c>
      <c r="E5897" s="5" t="s">
        <v>140</v>
      </c>
      <c r="F5897" s="5" t="s">
        <v>141</v>
      </c>
      <c r="G5897" s="5" t="s">
        <v>1152</v>
      </c>
      <c r="H5897" s="5" t="s">
        <v>1153</v>
      </c>
      <c r="I5897" s="5" t="s">
        <v>32</v>
      </c>
      <c r="J5897" s="5">
        <v>18.145432467395</v>
      </c>
      <c r="K5897" s="5">
        <v>-96.565824685410007</v>
      </c>
      <c r="L5897" s="5" t="str">
        <f>HYPERLINK("https://maps.google.com/?q=18.145432467395263,-96.565824685410419", "🔗 Ver Mapa")</f>
        <v>🔗 Ver Mapa</v>
      </c>
    </row>
    <row r="5898" spans="1:12" ht="43.5" x14ac:dyDescent="0.35">
      <c r="A5898" s="6" t="s">
        <v>516</v>
      </c>
      <c r="B5898" s="6" t="s">
        <v>517</v>
      </c>
      <c r="C5898" s="6" t="s">
        <v>1151</v>
      </c>
      <c r="D5898" s="6" t="s">
        <v>13</v>
      </c>
      <c r="E5898" s="6" t="s">
        <v>140</v>
      </c>
      <c r="F5898" s="6" t="s">
        <v>141</v>
      </c>
      <c r="G5898" s="6" t="s">
        <v>1152</v>
      </c>
      <c r="H5898" s="6" t="s">
        <v>1153</v>
      </c>
      <c r="I5898" s="6" t="s">
        <v>32</v>
      </c>
      <c r="J5898" s="6">
        <v>18.145496973499998</v>
      </c>
      <c r="K5898" s="6">
        <v>-96.564335218574996</v>
      </c>
      <c r="L5898" s="6" t="str">
        <f>HYPERLINK("https://maps.google.com/?q=18.14549697349987,-96.564335218574513", "🔗 Ver Mapa")</f>
        <v>🔗 Ver Mapa</v>
      </c>
    </row>
    <row r="5899" spans="1:12" ht="43.5" x14ac:dyDescent="0.35">
      <c r="A5899" s="5" t="s">
        <v>516</v>
      </c>
      <c r="B5899" s="5" t="s">
        <v>517</v>
      </c>
      <c r="C5899" s="5" t="s">
        <v>1151</v>
      </c>
      <c r="D5899" s="5" t="s">
        <v>13</v>
      </c>
      <c r="E5899" s="5" t="s">
        <v>140</v>
      </c>
      <c r="F5899" s="5" t="s">
        <v>141</v>
      </c>
      <c r="G5899" s="5" t="s">
        <v>1152</v>
      </c>
      <c r="H5899" s="5" t="s">
        <v>1153</v>
      </c>
      <c r="I5899" s="5" t="s">
        <v>32</v>
      </c>
      <c r="J5899" s="5">
        <v>18.145515627803</v>
      </c>
      <c r="K5899" s="5">
        <v>-96.565772897556997</v>
      </c>
      <c r="L5899" s="5" t="str">
        <f>HYPERLINK("https://maps.google.com/?q=18.14551562780298,-96.565772897556897", "🔗 Ver Mapa")</f>
        <v>🔗 Ver Mapa</v>
      </c>
    </row>
    <row r="5900" spans="1:12" ht="43.5" x14ac:dyDescent="0.35">
      <c r="A5900" s="6" t="s">
        <v>516</v>
      </c>
      <c r="B5900" s="6" t="s">
        <v>517</v>
      </c>
      <c r="C5900" s="6" t="s">
        <v>1151</v>
      </c>
      <c r="D5900" s="6" t="s">
        <v>13</v>
      </c>
      <c r="E5900" s="6" t="s">
        <v>140</v>
      </c>
      <c r="F5900" s="6" t="s">
        <v>141</v>
      </c>
      <c r="G5900" s="6" t="s">
        <v>1152</v>
      </c>
      <c r="H5900" s="6" t="s">
        <v>1153</v>
      </c>
      <c r="I5900" s="6" t="s">
        <v>32</v>
      </c>
      <c r="J5900" s="6">
        <v>18.145517147869999</v>
      </c>
      <c r="K5900" s="6">
        <v>-96.564587458942</v>
      </c>
      <c r="L5900" s="6" t="str">
        <f>HYPERLINK("https://maps.google.com/?q=18.145517147870216,-96.564587458941944", "🔗 Ver Mapa")</f>
        <v>🔗 Ver Mapa</v>
      </c>
    </row>
    <row r="5901" spans="1:12" ht="43.5" x14ac:dyDescent="0.35">
      <c r="A5901" s="5" t="s">
        <v>516</v>
      </c>
      <c r="B5901" s="5" t="s">
        <v>517</v>
      </c>
      <c r="C5901" s="5" t="s">
        <v>1151</v>
      </c>
      <c r="D5901" s="5" t="s">
        <v>13</v>
      </c>
      <c r="E5901" s="5" t="s">
        <v>140</v>
      </c>
      <c r="F5901" s="5" t="s">
        <v>141</v>
      </c>
      <c r="G5901" s="5" t="s">
        <v>1152</v>
      </c>
      <c r="H5901" s="5" t="s">
        <v>1153</v>
      </c>
      <c r="I5901" s="5" t="s">
        <v>32</v>
      </c>
      <c r="J5901" s="5">
        <v>18.145592508823999</v>
      </c>
      <c r="K5901" s="5">
        <v>-96.565724503083999</v>
      </c>
      <c r="L5901" s="5" t="str">
        <f>HYPERLINK("https://maps.google.com/?q=18.145592508823736,-96.565724503084411", "🔗 Ver Mapa")</f>
        <v>🔗 Ver Mapa</v>
      </c>
    </row>
    <row r="5902" spans="1:12" ht="43.5" x14ac:dyDescent="0.35">
      <c r="A5902" s="6" t="s">
        <v>516</v>
      </c>
      <c r="B5902" s="6" t="s">
        <v>517</v>
      </c>
      <c r="C5902" s="6" t="s">
        <v>1151</v>
      </c>
      <c r="D5902" s="6" t="s">
        <v>13</v>
      </c>
      <c r="E5902" s="6" t="s">
        <v>140</v>
      </c>
      <c r="F5902" s="6" t="s">
        <v>141</v>
      </c>
      <c r="G5902" s="6" t="s">
        <v>1152</v>
      </c>
      <c r="H5902" s="6" t="s">
        <v>1153</v>
      </c>
      <c r="I5902" s="6" t="s">
        <v>32</v>
      </c>
      <c r="J5902" s="6">
        <v>18.145612309215998</v>
      </c>
      <c r="K5902" s="6">
        <v>-96.564898554994002</v>
      </c>
      <c r="L5902" s="6" t="str">
        <f>HYPERLINK("https://maps.google.com/?q=18.14561230921619,-96.564898554993704", "🔗 Ver Mapa")</f>
        <v>🔗 Ver Mapa</v>
      </c>
    </row>
    <row r="5903" spans="1:12" ht="43.5" x14ac:dyDescent="0.35">
      <c r="A5903" s="5" t="s">
        <v>516</v>
      </c>
      <c r="B5903" s="5" t="s">
        <v>517</v>
      </c>
      <c r="C5903" s="5" t="s">
        <v>1151</v>
      </c>
      <c r="D5903" s="5" t="s">
        <v>13</v>
      </c>
      <c r="E5903" s="5" t="s">
        <v>140</v>
      </c>
      <c r="F5903" s="5" t="s">
        <v>141</v>
      </c>
      <c r="G5903" s="5" t="s">
        <v>1152</v>
      </c>
      <c r="H5903" s="5" t="s">
        <v>1153</v>
      </c>
      <c r="I5903" s="5" t="s">
        <v>32</v>
      </c>
      <c r="J5903" s="5">
        <v>18.145654716138999</v>
      </c>
      <c r="K5903" s="5">
        <v>-96.565744141769997</v>
      </c>
      <c r="L5903" s="5" t="str">
        <f>HYPERLINK("https://maps.google.com/?q=18.145654716138523,-96.565744141769883", "🔗 Ver Mapa")</f>
        <v>🔗 Ver Mapa</v>
      </c>
    </row>
    <row r="5904" spans="1:12" ht="43.5" x14ac:dyDescent="0.35">
      <c r="A5904" s="6" t="s">
        <v>516</v>
      </c>
      <c r="B5904" s="6" t="s">
        <v>517</v>
      </c>
      <c r="C5904" s="6" t="s">
        <v>1151</v>
      </c>
      <c r="D5904" s="6" t="s">
        <v>13</v>
      </c>
      <c r="E5904" s="6" t="s">
        <v>140</v>
      </c>
      <c r="F5904" s="6" t="s">
        <v>141</v>
      </c>
      <c r="G5904" s="6" t="s">
        <v>1152</v>
      </c>
      <c r="H5904" s="6" t="s">
        <v>1153</v>
      </c>
      <c r="I5904" s="6" t="s">
        <v>32</v>
      </c>
      <c r="J5904" s="6">
        <v>18.145699406790001</v>
      </c>
      <c r="K5904" s="6">
        <v>-96.565699971859999</v>
      </c>
      <c r="L5904" s="6" t="str">
        <f>HYPERLINK("https://maps.google.com/?q=18.14569940679,-96.565699971859601", "🔗 Ver Mapa")</f>
        <v>🔗 Ver Mapa</v>
      </c>
    </row>
    <row r="5905" spans="1:12" ht="43.5" x14ac:dyDescent="0.35">
      <c r="A5905" s="5" t="s">
        <v>516</v>
      </c>
      <c r="B5905" s="5" t="s">
        <v>517</v>
      </c>
      <c r="C5905" s="5" t="s">
        <v>1151</v>
      </c>
      <c r="D5905" s="5" t="s">
        <v>13</v>
      </c>
      <c r="E5905" s="5" t="s">
        <v>140</v>
      </c>
      <c r="F5905" s="5" t="s">
        <v>141</v>
      </c>
      <c r="G5905" s="5" t="s">
        <v>1152</v>
      </c>
      <c r="H5905" s="5" t="s">
        <v>1153</v>
      </c>
      <c r="I5905" s="5" t="s">
        <v>32</v>
      </c>
      <c r="J5905" s="5">
        <v>18.145764806908002</v>
      </c>
      <c r="K5905" s="5">
        <v>-96.565615081624003</v>
      </c>
      <c r="L5905" s="5" t="str">
        <f>HYPERLINK("https://maps.google.com/?q=18.14576480690793,-96.565615081623946", "🔗 Ver Mapa")</f>
        <v>🔗 Ver Mapa</v>
      </c>
    </row>
    <row r="5906" spans="1:12" ht="43.5" x14ac:dyDescent="0.35">
      <c r="A5906" s="6" t="s">
        <v>516</v>
      </c>
      <c r="B5906" s="6" t="s">
        <v>517</v>
      </c>
      <c r="C5906" s="6" t="s">
        <v>1151</v>
      </c>
      <c r="D5906" s="6" t="s">
        <v>13</v>
      </c>
      <c r="E5906" s="6" t="s">
        <v>140</v>
      </c>
      <c r="F5906" s="6" t="s">
        <v>141</v>
      </c>
      <c r="G5906" s="6" t="s">
        <v>1152</v>
      </c>
      <c r="H5906" s="6" t="s">
        <v>1153</v>
      </c>
      <c r="I5906" s="6" t="s">
        <v>32</v>
      </c>
      <c r="J5906" s="6">
        <v>18.145798004734001</v>
      </c>
      <c r="K5906" s="6">
        <v>-96.565519206345996</v>
      </c>
      <c r="L5906" s="6" t="str">
        <f>HYPERLINK("https://maps.google.com/?q=18.14579800473383,-96.565519206345954", "🔗 Ver Mapa")</f>
        <v>🔗 Ver Mapa</v>
      </c>
    </row>
    <row r="5907" spans="1:12" ht="43.5" x14ac:dyDescent="0.35">
      <c r="A5907" s="5" t="s">
        <v>516</v>
      </c>
      <c r="B5907" s="5" t="s">
        <v>517</v>
      </c>
      <c r="C5907" s="5" t="s">
        <v>1151</v>
      </c>
      <c r="D5907" s="5" t="s">
        <v>13</v>
      </c>
      <c r="E5907" s="5" t="s">
        <v>140</v>
      </c>
      <c r="F5907" s="5" t="s">
        <v>141</v>
      </c>
      <c r="G5907" s="5" t="s">
        <v>1152</v>
      </c>
      <c r="H5907" s="5" t="s">
        <v>1153</v>
      </c>
      <c r="I5907" s="5" t="s">
        <v>32</v>
      </c>
      <c r="J5907" s="5">
        <v>18.145838410103998</v>
      </c>
      <c r="K5907" s="5">
        <v>-96.565393378430002</v>
      </c>
      <c r="L5907" s="5" t="str">
        <f>HYPERLINK("https://maps.google.com/?q=18.14583841010367,-96.565393378430102", "🔗 Ver Mapa")</f>
        <v>🔗 Ver Mapa</v>
      </c>
    </row>
    <row r="5908" spans="1:12" ht="43.5" x14ac:dyDescent="0.35">
      <c r="A5908" s="6" t="s">
        <v>516</v>
      </c>
      <c r="B5908" s="6" t="s">
        <v>517</v>
      </c>
      <c r="C5908" s="6" t="s">
        <v>1151</v>
      </c>
      <c r="D5908" s="6" t="s">
        <v>13</v>
      </c>
      <c r="E5908" s="6" t="s">
        <v>140</v>
      </c>
      <c r="F5908" s="6" t="s">
        <v>141</v>
      </c>
      <c r="G5908" s="6" t="s">
        <v>1152</v>
      </c>
      <c r="H5908" s="6" t="s">
        <v>1153</v>
      </c>
      <c r="I5908" s="6" t="s">
        <v>32</v>
      </c>
      <c r="J5908" s="6">
        <v>18.145892060318999</v>
      </c>
      <c r="K5908" s="6">
        <v>-96.565136619363997</v>
      </c>
      <c r="L5908" s="6" t="str">
        <f>HYPERLINK("https://maps.google.com/?q=18.145892060319103,-96.565136619364367", "🔗 Ver Mapa")</f>
        <v>🔗 Ver Mapa</v>
      </c>
    </row>
    <row r="5909" spans="1:12" ht="43.5" x14ac:dyDescent="0.35">
      <c r="A5909" s="5" t="s">
        <v>516</v>
      </c>
      <c r="B5909" s="5" t="s">
        <v>517</v>
      </c>
      <c r="C5909" s="5" t="s">
        <v>1151</v>
      </c>
      <c r="D5909" s="5" t="s">
        <v>13</v>
      </c>
      <c r="E5909" s="5" t="s">
        <v>140</v>
      </c>
      <c r="F5909" s="5" t="s">
        <v>141</v>
      </c>
      <c r="G5909" s="5" t="s">
        <v>1152</v>
      </c>
      <c r="H5909" s="5" t="s">
        <v>1153</v>
      </c>
      <c r="I5909" s="5" t="s">
        <v>32</v>
      </c>
      <c r="J5909" s="5">
        <v>18.145915494189001</v>
      </c>
      <c r="K5909" s="5">
        <v>-96.565389571129998</v>
      </c>
      <c r="L5909" s="5" t="str">
        <f>HYPERLINK("https://maps.google.com/?q=18.14591549418862,-96.565389571129685", "🔗 Ver Mapa")</f>
        <v>🔗 Ver Mapa</v>
      </c>
    </row>
    <row r="5910" spans="1:12" ht="43.5" x14ac:dyDescent="0.35">
      <c r="A5910" s="6" t="s">
        <v>516</v>
      </c>
      <c r="B5910" s="6" t="s">
        <v>517</v>
      </c>
      <c r="C5910" s="6" t="s">
        <v>1151</v>
      </c>
      <c r="D5910" s="6" t="s">
        <v>13</v>
      </c>
      <c r="E5910" s="6" t="s">
        <v>140</v>
      </c>
      <c r="F5910" s="6" t="s">
        <v>141</v>
      </c>
      <c r="G5910" s="6" t="s">
        <v>1152</v>
      </c>
      <c r="H5910" s="6" t="s">
        <v>1153</v>
      </c>
      <c r="I5910" s="6" t="s">
        <v>32</v>
      </c>
      <c r="J5910" s="6">
        <v>18.145939956781</v>
      </c>
      <c r="K5910" s="6">
        <v>-96.565374211442006</v>
      </c>
      <c r="L5910" s="6" t="str">
        <f>HYPERLINK("https://maps.google.com/?q=18.145939956780584,-96.565374211442048", "🔗 Ver Mapa")</f>
        <v>🔗 Ver Mapa</v>
      </c>
    </row>
    <row r="5911" spans="1:12" ht="43.5" x14ac:dyDescent="0.35">
      <c r="A5911" s="5" t="s">
        <v>516</v>
      </c>
      <c r="B5911" s="5" t="s">
        <v>517</v>
      </c>
      <c r="C5911" s="5" t="s">
        <v>1151</v>
      </c>
      <c r="D5911" s="5" t="s">
        <v>13</v>
      </c>
      <c r="E5911" s="5" t="s">
        <v>140</v>
      </c>
      <c r="F5911" s="5" t="s">
        <v>141</v>
      </c>
      <c r="G5911" s="5" t="s">
        <v>1152</v>
      </c>
      <c r="H5911" s="5" t="s">
        <v>1153</v>
      </c>
      <c r="I5911" s="5" t="s">
        <v>32</v>
      </c>
      <c r="J5911" s="5">
        <v>18.146045720391001</v>
      </c>
      <c r="K5911" s="5">
        <v>-96.565474113866998</v>
      </c>
      <c r="L5911" s="5" t="str">
        <f>HYPERLINK("https://maps.google.com/?q=18.146045720391314,-96.56547411386714", "🔗 Ver Mapa")</f>
        <v>🔗 Ver Mapa</v>
      </c>
    </row>
    <row r="5912" spans="1:12" ht="43.5" x14ac:dyDescent="0.35">
      <c r="A5912" s="6" t="s">
        <v>516</v>
      </c>
      <c r="B5912" s="6" t="s">
        <v>517</v>
      </c>
      <c r="C5912" s="6" t="s">
        <v>1151</v>
      </c>
      <c r="D5912" s="6" t="s">
        <v>13</v>
      </c>
      <c r="E5912" s="6" t="s">
        <v>140</v>
      </c>
      <c r="F5912" s="6" t="s">
        <v>141</v>
      </c>
      <c r="G5912" s="6" t="s">
        <v>1152</v>
      </c>
      <c r="H5912" s="6" t="s">
        <v>1153</v>
      </c>
      <c r="I5912" s="6" t="s">
        <v>32</v>
      </c>
      <c r="J5912" s="6">
        <v>18.146159471503999</v>
      </c>
      <c r="K5912" s="6">
        <v>-96.565520057314004</v>
      </c>
      <c r="L5912" s="6" t="str">
        <f>HYPERLINK("https://maps.google.com/?q=18.146159471503665,-96.565520057314032", "🔗 Ver Mapa")</f>
        <v>🔗 Ver Mapa</v>
      </c>
    </row>
    <row r="5913" spans="1:12" ht="43.5" x14ac:dyDescent="0.35">
      <c r="A5913" s="5" t="s">
        <v>516</v>
      </c>
      <c r="B5913" s="5" t="s">
        <v>517</v>
      </c>
      <c r="C5913" s="5" t="s">
        <v>1151</v>
      </c>
      <c r="D5913" s="5" t="s">
        <v>13</v>
      </c>
      <c r="E5913" s="5" t="s">
        <v>140</v>
      </c>
      <c r="F5913" s="5" t="s">
        <v>141</v>
      </c>
      <c r="G5913" s="5" t="s">
        <v>1152</v>
      </c>
      <c r="H5913" s="5" t="s">
        <v>1153</v>
      </c>
      <c r="I5913" s="5" t="s">
        <v>32</v>
      </c>
      <c r="J5913" s="5">
        <v>18.14623418335</v>
      </c>
      <c r="K5913" s="5">
        <v>-96.565628514503004</v>
      </c>
      <c r="L5913" s="5" t="str">
        <f>HYPERLINK("https://maps.google.com/?q=18.146234183349733,-96.565628514502706", "🔗 Ver Mapa")</f>
        <v>🔗 Ver Mapa</v>
      </c>
    </row>
    <row r="5914" spans="1:12" ht="43.5" x14ac:dyDescent="0.35">
      <c r="A5914" s="6" t="s">
        <v>516</v>
      </c>
      <c r="B5914" s="6" t="s">
        <v>517</v>
      </c>
      <c r="C5914" s="6" t="s">
        <v>1151</v>
      </c>
      <c r="D5914" s="6" t="s">
        <v>13</v>
      </c>
      <c r="E5914" s="6" t="s">
        <v>140</v>
      </c>
      <c r="F5914" s="6" t="s">
        <v>141</v>
      </c>
      <c r="G5914" s="6" t="s">
        <v>1152</v>
      </c>
      <c r="H5914" s="6" t="s">
        <v>1153</v>
      </c>
      <c r="I5914" s="6" t="s">
        <v>32</v>
      </c>
      <c r="J5914" s="6">
        <v>18.146554246387002</v>
      </c>
      <c r="K5914" s="6">
        <v>-96.565904661345002</v>
      </c>
      <c r="L5914" s="6" t="str">
        <f>HYPERLINK("https://maps.google.com/?q=18.146554246386735,-96.565904661345414", "🔗 Ver Mapa")</f>
        <v>🔗 Ver Mapa</v>
      </c>
    </row>
    <row r="5915" spans="1:12" ht="43.5" x14ac:dyDescent="0.35">
      <c r="A5915" s="5" t="s">
        <v>516</v>
      </c>
      <c r="B5915" s="5" t="s">
        <v>517</v>
      </c>
      <c r="C5915" s="5" t="s">
        <v>1151</v>
      </c>
      <c r="D5915" s="5" t="s">
        <v>13</v>
      </c>
      <c r="E5915" s="5" t="s">
        <v>140</v>
      </c>
      <c r="F5915" s="5" t="s">
        <v>141</v>
      </c>
      <c r="G5915" s="5" t="s">
        <v>1152</v>
      </c>
      <c r="H5915" s="5" t="s">
        <v>1153</v>
      </c>
      <c r="I5915" s="5" t="s">
        <v>32</v>
      </c>
      <c r="J5915" s="5">
        <v>18.146919453029</v>
      </c>
      <c r="K5915" s="5">
        <v>-96.566158172227006</v>
      </c>
      <c r="L5915" s="5" t="str">
        <f>HYPERLINK("https://maps.google.com/?q=18.146919453029142,-96.566158172226835", "🔗 Ver Mapa")</f>
        <v>🔗 Ver Mapa</v>
      </c>
    </row>
    <row r="5916" spans="1:12" ht="43.5" x14ac:dyDescent="0.35">
      <c r="A5916" s="6" t="s">
        <v>516</v>
      </c>
      <c r="B5916" s="6" t="s">
        <v>517</v>
      </c>
      <c r="C5916" s="6" t="s">
        <v>1151</v>
      </c>
      <c r="D5916" s="6" t="s">
        <v>13</v>
      </c>
      <c r="E5916" s="6" t="s">
        <v>140</v>
      </c>
      <c r="F5916" s="6" t="s">
        <v>141</v>
      </c>
      <c r="G5916" s="6" t="s">
        <v>1152</v>
      </c>
      <c r="H5916" s="6" t="s">
        <v>1153</v>
      </c>
      <c r="I5916" s="6" t="s">
        <v>32</v>
      </c>
      <c r="J5916" s="6">
        <v>18.147469948604002</v>
      </c>
      <c r="K5916" s="6">
        <v>-96.566429524526001</v>
      </c>
      <c r="L5916" s="6" t="str">
        <f>HYPERLINK("https://maps.google.com/?q=18.147469948604357,-96.566429524526086", "🔗 Ver Mapa")</f>
        <v>🔗 Ver Mapa</v>
      </c>
    </row>
    <row r="5917" spans="1:12" ht="43.5" x14ac:dyDescent="0.35">
      <c r="A5917" s="5" t="s">
        <v>516</v>
      </c>
      <c r="B5917" s="5" t="s">
        <v>517</v>
      </c>
      <c r="C5917" s="5" t="s">
        <v>1151</v>
      </c>
      <c r="D5917" s="5" t="s">
        <v>13</v>
      </c>
      <c r="E5917" s="5" t="s">
        <v>140</v>
      </c>
      <c r="F5917" s="5" t="s">
        <v>141</v>
      </c>
      <c r="G5917" s="5" t="s">
        <v>1152</v>
      </c>
      <c r="H5917" s="5" t="s">
        <v>1153</v>
      </c>
      <c r="I5917" s="5" t="s">
        <v>32</v>
      </c>
      <c r="J5917" s="5">
        <v>18.147790895223</v>
      </c>
      <c r="K5917" s="5">
        <v>-96.566504342672999</v>
      </c>
      <c r="L5917" s="5" t="str">
        <f>HYPERLINK("https://maps.google.com/?q=18.14779089522269,-96.566504342672971", "🔗 Ver Mapa")</f>
        <v>🔗 Ver Mapa</v>
      </c>
    </row>
    <row r="5918" spans="1:12" ht="43.5" x14ac:dyDescent="0.35">
      <c r="A5918" s="6" t="s">
        <v>516</v>
      </c>
      <c r="B5918" s="6" t="s">
        <v>517</v>
      </c>
      <c r="C5918" s="6" t="s">
        <v>1151</v>
      </c>
      <c r="D5918" s="6" t="s">
        <v>13</v>
      </c>
      <c r="E5918" s="6" t="s">
        <v>140</v>
      </c>
      <c r="F5918" s="6" t="s">
        <v>141</v>
      </c>
      <c r="G5918" s="6" t="s">
        <v>1152</v>
      </c>
      <c r="H5918" s="6" t="s">
        <v>1153</v>
      </c>
      <c r="I5918" s="6" t="s">
        <v>32</v>
      </c>
      <c r="J5918" s="6">
        <v>18.148094877426999</v>
      </c>
      <c r="K5918" s="6">
        <v>-96.566651761537003</v>
      </c>
      <c r="L5918" s="6" t="str">
        <f>HYPERLINK("https://maps.google.com/?q=18.14809487742675,-96.566651761536576", "🔗 Ver Mapa")</f>
        <v>🔗 Ver Mapa</v>
      </c>
    </row>
    <row r="5919" spans="1:12" ht="43.5" x14ac:dyDescent="0.35">
      <c r="A5919" s="5" t="s">
        <v>516</v>
      </c>
      <c r="B5919" s="5" t="s">
        <v>517</v>
      </c>
      <c r="C5919" s="5" t="s">
        <v>1151</v>
      </c>
      <c r="D5919" s="5" t="s">
        <v>13</v>
      </c>
      <c r="E5919" s="5" t="s">
        <v>140</v>
      </c>
      <c r="F5919" s="5" t="s">
        <v>141</v>
      </c>
      <c r="G5919" s="5" t="s">
        <v>1152</v>
      </c>
      <c r="H5919" s="5" t="s">
        <v>1153</v>
      </c>
      <c r="I5919" s="5" t="s">
        <v>32</v>
      </c>
      <c r="J5919" s="5">
        <v>18.148353792864</v>
      </c>
      <c r="K5919" s="5">
        <v>-96.566999235729995</v>
      </c>
      <c r="L5919" s="5" t="str">
        <f>HYPERLINK("https://maps.google.com/?q=18.148353792864217,-96.566999235730293", "🔗 Ver Mapa")</f>
        <v>🔗 Ver Mapa</v>
      </c>
    </row>
    <row r="5920" spans="1:12" ht="43.5" x14ac:dyDescent="0.35">
      <c r="A5920" s="6" t="s">
        <v>516</v>
      </c>
      <c r="B5920" s="6" t="s">
        <v>517</v>
      </c>
      <c r="C5920" s="6" t="s">
        <v>1151</v>
      </c>
      <c r="D5920" s="6" t="s">
        <v>13</v>
      </c>
      <c r="E5920" s="6" t="s">
        <v>140</v>
      </c>
      <c r="F5920" s="6" t="s">
        <v>141</v>
      </c>
      <c r="G5920" s="6" t="s">
        <v>1152</v>
      </c>
      <c r="H5920" s="6" t="s">
        <v>1153</v>
      </c>
      <c r="I5920" s="6" t="s">
        <v>32</v>
      </c>
      <c r="J5920" s="6">
        <v>18.148708585661002</v>
      </c>
      <c r="K5920" s="6">
        <v>-96.567193566612005</v>
      </c>
      <c r="L5920" s="6" t="str">
        <f>HYPERLINK("https://maps.google.com/?q=18.14870858566114,-96.567193566612488", "🔗 Ver Mapa")</f>
        <v>🔗 Ver Mapa</v>
      </c>
    </row>
    <row r="5921" spans="1:12" ht="43.5" x14ac:dyDescent="0.35">
      <c r="A5921" s="5" t="s">
        <v>516</v>
      </c>
      <c r="B5921" s="5" t="s">
        <v>517</v>
      </c>
      <c r="C5921" s="5" t="s">
        <v>1151</v>
      </c>
      <c r="D5921" s="5" t="s">
        <v>13</v>
      </c>
      <c r="E5921" s="5" t="s">
        <v>140</v>
      </c>
      <c r="F5921" s="5" t="s">
        <v>141</v>
      </c>
      <c r="G5921" s="5" t="s">
        <v>1152</v>
      </c>
      <c r="H5921" s="5" t="s">
        <v>1153</v>
      </c>
      <c r="I5921" s="5" t="s">
        <v>32</v>
      </c>
      <c r="J5921" s="5">
        <v>18.148886055727001</v>
      </c>
      <c r="K5921" s="5">
        <v>-96.567649963302003</v>
      </c>
      <c r="L5921" s="5" t="str">
        <f>HYPERLINK("https://maps.google.com/?q=18.148886055726745,-96.567649963302344", "🔗 Ver Mapa")</f>
        <v>🔗 Ver Mapa</v>
      </c>
    </row>
    <row r="5922" spans="1:12" ht="43.5" x14ac:dyDescent="0.35">
      <c r="A5922" s="6" t="s">
        <v>516</v>
      </c>
      <c r="B5922" s="6" t="s">
        <v>517</v>
      </c>
      <c r="C5922" s="6" t="s">
        <v>1151</v>
      </c>
      <c r="D5922" s="6" t="s">
        <v>13</v>
      </c>
      <c r="E5922" s="6" t="s">
        <v>140</v>
      </c>
      <c r="F5922" s="6" t="s">
        <v>141</v>
      </c>
      <c r="G5922" s="6" t="s">
        <v>1152</v>
      </c>
      <c r="H5922" s="6" t="s">
        <v>1153</v>
      </c>
      <c r="I5922" s="6" t="s">
        <v>32</v>
      </c>
      <c r="J5922" s="6">
        <v>18.149406038837999</v>
      </c>
      <c r="K5922" s="6">
        <v>-96.568051172897995</v>
      </c>
      <c r="L5922" s="6" t="str">
        <f>HYPERLINK("https://maps.google.com/?q=18.149406038837927,-96.568051172897995", "🔗 Ver Mapa")</f>
        <v>🔗 Ver Mapa</v>
      </c>
    </row>
    <row r="5923" spans="1:12" ht="43.5" x14ac:dyDescent="0.35">
      <c r="A5923" s="5" t="s">
        <v>516</v>
      </c>
      <c r="B5923" s="5" t="s">
        <v>517</v>
      </c>
      <c r="C5923" s="5" t="s">
        <v>1151</v>
      </c>
      <c r="D5923" s="5" t="s">
        <v>13</v>
      </c>
      <c r="E5923" s="5" t="s">
        <v>140</v>
      </c>
      <c r="F5923" s="5" t="s">
        <v>141</v>
      </c>
      <c r="G5923" s="5" t="s">
        <v>1152</v>
      </c>
      <c r="H5923" s="5" t="s">
        <v>1153</v>
      </c>
      <c r="I5923" s="5" t="s">
        <v>32</v>
      </c>
      <c r="J5923" s="5">
        <v>18.149656329677001</v>
      </c>
      <c r="K5923" s="5">
        <v>-96.568295323144994</v>
      </c>
      <c r="L5923" s="5" t="str">
        <f>HYPERLINK("https://maps.google.com/?q=18.149656329677477,-96.568295323144781", "🔗 Ver Mapa")</f>
        <v>🔗 Ver Mapa</v>
      </c>
    </row>
    <row r="5924" spans="1:12" ht="43.5" x14ac:dyDescent="0.35">
      <c r="A5924" s="6" t="s">
        <v>516</v>
      </c>
      <c r="B5924" s="6" t="s">
        <v>517</v>
      </c>
      <c r="C5924" s="6" t="s">
        <v>1151</v>
      </c>
      <c r="D5924" s="6" t="s">
        <v>13</v>
      </c>
      <c r="E5924" s="6" t="s">
        <v>140</v>
      </c>
      <c r="F5924" s="6" t="s">
        <v>141</v>
      </c>
      <c r="G5924" s="6" t="s">
        <v>1152</v>
      </c>
      <c r="H5924" s="6" t="s">
        <v>1153</v>
      </c>
      <c r="I5924" s="6" t="s">
        <v>32</v>
      </c>
      <c r="J5924" s="6">
        <v>18.149871548493</v>
      </c>
      <c r="K5924" s="6">
        <v>-96.568508688704995</v>
      </c>
      <c r="L5924" s="6" t="str">
        <f>HYPERLINK("https://maps.google.com/?q=18.149871548493437,-96.568508688705435", "🔗 Ver Mapa")</f>
        <v>🔗 Ver Mapa</v>
      </c>
    </row>
    <row r="5925" spans="1:12" ht="43.5" x14ac:dyDescent="0.35">
      <c r="A5925" s="5" t="s">
        <v>516</v>
      </c>
      <c r="B5925" s="5" t="s">
        <v>517</v>
      </c>
      <c r="C5925" s="5" t="s">
        <v>1151</v>
      </c>
      <c r="D5925" s="5" t="s">
        <v>13</v>
      </c>
      <c r="E5925" s="5" t="s">
        <v>140</v>
      </c>
      <c r="F5925" s="5" t="s">
        <v>141</v>
      </c>
      <c r="G5925" s="5" t="s">
        <v>1152</v>
      </c>
      <c r="H5925" s="5" t="s">
        <v>1153</v>
      </c>
      <c r="I5925" s="5" t="s">
        <v>32</v>
      </c>
      <c r="J5925" s="5">
        <v>18.150508629663001</v>
      </c>
      <c r="K5925" s="5">
        <v>-96.569034972009007</v>
      </c>
      <c r="L5925" s="5" t="str">
        <f>HYPERLINK("https://maps.google.com/?q=18.150508629662784,-96.569034972008765", "🔗 Ver Mapa")</f>
        <v>🔗 Ver Mapa</v>
      </c>
    </row>
    <row r="5926" spans="1:12" ht="43.5" x14ac:dyDescent="0.35">
      <c r="A5926" s="6" t="s">
        <v>516</v>
      </c>
      <c r="B5926" s="6" t="s">
        <v>517</v>
      </c>
      <c r="C5926" s="6" t="s">
        <v>1151</v>
      </c>
      <c r="D5926" s="6" t="s">
        <v>13</v>
      </c>
      <c r="E5926" s="6" t="s">
        <v>140</v>
      </c>
      <c r="F5926" s="6" t="s">
        <v>141</v>
      </c>
      <c r="G5926" s="6" t="s">
        <v>1152</v>
      </c>
      <c r="H5926" s="6" t="s">
        <v>1153</v>
      </c>
      <c r="I5926" s="6" t="s">
        <v>32</v>
      </c>
      <c r="J5926" s="6">
        <v>18.151266807037999</v>
      </c>
      <c r="K5926" s="6">
        <v>-96.569416739462</v>
      </c>
      <c r="L5926" s="6" t="str">
        <f>HYPERLINK("https://maps.google.com/?q=18.151266807037842,-96.569416739462", "🔗 Ver Mapa")</f>
        <v>🔗 Ver Mapa</v>
      </c>
    </row>
    <row r="5927" spans="1:12" ht="43.5" x14ac:dyDescent="0.35">
      <c r="A5927" s="5" t="s">
        <v>516</v>
      </c>
      <c r="B5927" s="5" t="s">
        <v>517</v>
      </c>
      <c r="C5927" s="5" t="s">
        <v>1151</v>
      </c>
      <c r="D5927" s="5" t="s">
        <v>13</v>
      </c>
      <c r="E5927" s="5" t="s">
        <v>140</v>
      </c>
      <c r="F5927" s="5" t="s">
        <v>141</v>
      </c>
      <c r="G5927" s="5" t="s">
        <v>1152</v>
      </c>
      <c r="H5927" s="5" t="s">
        <v>1153</v>
      </c>
      <c r="I5927" s="5" t="s">
        <v>32</v>
      </c>
      <c r="J5927" s="5">
        <v>18.151565446662001</v>
      </c>
      <c r="K5927" s="5">
        <v>-96.569598911686001</v>
      </c>
      <c r="L5927" s="5" t="str">
        <f>HYPERLINK("https://maps.google.com/?q=18.151565446662058,-96.569598911685915", "🔗 Ver Mapa")</f>
        <v>🔗 Ver Mapa</v>
      </c>
    </row>
    <row r="5928" spans="1:12" ht="43.5" x14ac:dyDescent="0.35">
      <c r="A5928" s="6" t="s">
        <v>516</v>
      </c>
      <c r="B5928" s="6" t="s">
        <v>517</v>
      </c>
      <c r="C5928" s="6" t="s">
        <v>1151</v>
      </c>
      <c r="D5928" s="6" t="s">
        <v>13</v>
      </c>
      <c r="E5928" s="6" t="s">
        <v>140</v>
      </c>
      <c r="F5928" s="6" t="s">
        <v>141</v>
      </c>
      <c r="G5928" s="6" t="s">
        <v>1152</v>
      </c>
      <c r="H5928" s="6" t="s">
        <v>1153</v>
      </c>
      <c r="I5928" s="6" t="s">
        <v>32</v>
      </c>
      <c r="J5928" s="6">
        <v>18.151878467557001</v>
      </c>
      <c r="K5928" s="6">
        <v>-96.569868463291996</v>
      </c>
      <c r="L5928" s="6" t="str">
        <f>HYPERLINK("https://maps.google.com/?q=18.151878467557392,-96.569868463291982", "🔗 Ver Mapa")</f>
        <v>🔗 Ver Mapa</v>
      </c>
    </row>
    <row r="5929" spans="1:12" ht="43.5" x14ac:dyDescent="0.35">
      <c r="A5929" s="5" t="s">
        <v>516</v>
      </c>
      <c r="B5929" s="5" t="s">
        <v>517</v>
      </c>
      <c r="C5929" s="5" t="s">
        <v>1151</v>
      </c>
      <c r="D5929" s="5" t="s">
        <v>13</v>
      </c>
      <c r="E5929" s="5" t="s">
        <v>140</v>
      </c>
      <c r="F5929" s="5" t="s">
        <v>141</v>
      </c>
      <c r="G5929" s="5" t="s">
        <v>1152</v>
      </c>
      <c r="H5929" s="5" t="s">
        <v>1153</v>
      </c>
      <c r="I5929" s="5" t="s">
        <v>32</v>
      </c>
      <c r="J5929" s="5">
        <v>18.152262209772001</v>
      </c>
      <c r="K5929" s="5">
        <v>-96.570095280106003</v>
      </c>
      <c r="L5929" s="5" t="str">
        <f>HYPERLINK("https://maps.google.com/?q=18.152262209771948,-96.570095280105761", "🔗 Ver Mapa")</f>
        <v>🔗 Ver Mapa</v>
      </c>
    </row>
    <row r="5930" spans="1:12" ht="43.5" x14ac:dyDescent="0.35">
      <c r="A5930" s="6" t="s">
        <v>516</v>
      </c>
      <c r="B5930" s="6" t="s">
        <v>517</v>
      </c>
      <c r="C5930" s="6" t="s">
        <v>1151</v>
      </c>
      <c r="D5930" s="6" t="s">
        <v>13</v>
      </c>
      <c r="E5930" s="6" t="s">
        <v>140</v>
      </c>
      <c r="F5930" s="6" t="s">
        <v>141</v>
      </c>
      <c r="G5930" s="6" t="s">
        <v>1152</v>
      </c>
      <c r="H5930" s="6" t="s">
        <v>1153</v>
      </c>
      <c r="I5930" s="6" t="s">
        <v>32</v>
      </c>
      <c r="J5930" s="6">
        <v>18.152756675799001</v>
      </c>
      <c r="K5930" s="6">
        <v>-96.570528789300994</v>
      </c>
      <c r="L5930" s="6" t="str">
        <f>HYPERLINK("https://maps.google.com/?q=18.152756675799438,-96.570528789300724", "🔗 Ver Mapa")</f>
        <v>🔗 Ver Mapa</v>
      </c>
    </row>
    <row r="5931" spans="1:12" ht="43.5" x14ac:dyDescent="0.35">
      <c r="A5931" s="5" t="s">
        <v>516</v>
      </c>
      <c r="B5931" s="5" t="s">
        <v>517</v>
      </c>
      <c r="C5931" s="5" t="s">
        <v>1151</v>
      </c>
      <c r="D5931" s="5" t="s">
        <v>13</v>
      </c>
      <c r="E5931" s="5" t="s">
        <v>140</v>
      </c>
      <c r="F5931" s="5" t="s">
        <v>141</v>
      </c>
      <c r="G5931" s="5" t="s">
        <v>1152</v>
      </c>
      <c r="H5931" s="5" t="s">
        <v>1153</v>
      </c>
      <c r="I5931" s="5" t="s">
        <v>32</v>
      </c>
      <c r="J5931" s="5">
        <v>18.15290918685</v>
      </c>
      <c r="K5931" s="5">
        <v>-96.570683036567004</v>
      </c>
      <c r="L5931" s="5" t="str">
        <f>HYPERLINK("https://maps.google.com/?q=18.152909186849573,-96.570683036566535", "🔗 Ver Mapa")</f>
        <v>🔗 Ver Mapa</v>
      </c>
    </row>
    <row r="5932" spans="1:12" ht="43.5" x14ac:dyDescent="0.35">
      <c r="A5932" s="6" t="s">
        <v>516</v>
      </c>
      <c r="B5932" s="6" t="s">
        <v>517</v>
      </c>
      <c r="C5932" s="6" t="s">
        <v>1151</v>
      </c>
      <c r="D5932" s="6" t="s">
        <v>13</v>
      </c>
      <c r="E5932" s="6" t="s">
        <v>140</v>
      </c>
      <c r="F5932" s="6" t="s">
        <v>141</v>
      </c>
      <c r="G5932" s="6" t="s">
        <v>1152</v>
      </c>
      <c r="H5932" s="6" t="s">
        <v>1153</v>
      </c>
      <c r="I5932" s="6" t="s">
        <v>32</v>
      </c>
      <c r="J5932" s="6">
        <v>18.153143135524999</v>
      </c>
      <c r="K5932" s="6">
        <v>-96.570892087442004</v>
      </c>
      <c r="L5932" s="6" t="str">
        <f>HYPERLINK("https://maps.google.com/?q=18.15314313552528,-96.570892087441635", "🔗 Ver Mapa")</f>
        <v>🔗 Ver Mapa</v>
      </c>
    </row>
    <row r="5933" spans="1:12" ht="43.5" x14ac:dyDescent="0.35">
      <c r="A5933" s="5" t="s">
        <v>516</v>
      </c>
      <c r="B5933" s="5" t="s">
        <v>517</v>
      </c>
      <c r="C5933" s="5" t="s">
        <v>1151</v>
      </c>
      <c r="D5933" s="5" t="s">
        <v>13</v>
      </c>
      <c r="E5933" s="5" t="s">
        <v>140</v>
      </c>
      <c r="F5933" s="5" t="s">
        <v>141</v>
      </c>
      <c r="G5933" s="5" t="s">
        <v>1152</v>
      </c>
      <c r="H5933" s="5" t="s">
        <v>1153</v>
      </c>
      <c r="I5933" s="5" t="s">
        <v>32</v>
      </c>
      <c r="J5933" s="5">
        <v>18.153268585995001</v>
      </c>
      <c r="K5933" s="5">
        <v>-96.571063431547003</v>
      </c>
      <c r="L5933" s="5" t="str">
        <f>HYPERLINK("https://maps.google.com/?q=18.153268585995416,-96.571063431547444", "🔗 Ver Mapa")</f>
        <v>🔗 Ver Mapa</v>
      </c>
    </row>
    <row r="5934" spans="1:12" ht="43.5" x14ac:dyDescent="0.35">
      <c r="A5934" s="6" t="s">
        <v>516</v>
      </c>
      <c r="B5934" s="6" t="s">
        <v>517</v>
      </c>
      <c r="C5934" s="6" t="s">
        <v>1151</v>
      </c>
      <c r="D5934" s="6" t="s">
        <v>13</v>
      </c>
      <c r="E5934" s="6" t="s">
        <v>140</v>
      </c>
      <c r="F5934" s="6" t="s">
        <v>141</v>
      </c>
      <c r="G5934" s="6" t="s">
        <v>1152</v>
      </c>
      <c r="H5934" s="6" t="s">
        <v>1153</v>
      </c>
      <c r="I5934" s="6" t="s">
        <v>32</v>
      </c>
      <c r="J5934" s="6">
        <v>18.153387967343999</v>
      </c>
      <c r="K5934" s="6">
        <v>-96.571197636562005</v>
      </c>
      <c r="L5934" s="6" t="str">
        <f>HYPERLINK("https://maps.google.com/?q=18.15338796734447,-96.571197636561635", "🔗 Ver Mapa")</f>
        <v>🔗 Ver Mapa</v>
      </c>
    </row>
    <row r="5935" spans="1:12" ht="43.5" x14ac:dyDescent="0.35">
      <c r="A5935" s="5" t="s">
        <v>516</v>
      </c>
      <c r="B5935" s="5" t="s">
        <v>517</v>
      </c>
      <c r="C5935" s="5" t="s">
        <v>1151</v>
      </c>
      <c r="D5935" s="5" t="s">
        <v>13</v>
      </c>
      <c r="E5935" s="5" t="s">
        <v>140</v>
      </c>
      <c r="F5935" s="5" t="s">
        <v>141</v>
      </c>
      <c r="G5935" s="5" t="s">
        <v>1152</v>
      </c>
      <c r="H5935" s="5" t="s">
        <v>1153</v>
      </c>
      <c r="I5935" s="5" t="s">
        <v>32</v>
      </c>
      <c r="J5935" s="5">
        <v>18.153482504633001</v>
      </c>
      <c r="K5935" s="5">
        <v>-96.573054942808994</v>
      </c>
      <c r="L5935" s="5" t="str">
        <f>HYPERLINK("https://maps.google.com/?q=18.15348250463334,-96.573054942809051", "🔗 Ver Mapa")</f>
        <v>🔗 Ver Mapa</v>
      </c>
    </row>
    <row r="5936" spans="1:12" ht="43.5" x14ac:dyDescent="0.35">
      <c r="A5936" s="6" t="s">
        <v>516</v>
      </c>
      <c r="B5936" s="6" t="s">
        <v>517</v>
      </c>
      <c r="C5936" s="6" t="s">
        <v>1151</v>
      </c>
      <c r="D5936" s="6" t="s">
        <v>13</v>
      </c>
      <c r="E5936" s="6" t="s">
        <v>140</v>
      </c>
      <c r="F5936" s="6" t="s">
        <v>141</v>
      </c>
      <c r="G5936" s="6" t="s">
        <v>1152</v>
      </c>
      <c r="H5936" s="6" t="s">
        <v>1153</v>
      </c>
      <c r="I5936" s="6" t="s">
        <v>32</v>
      </c>
      <c r="J5936" s="6">
        <v>18.153491340390001</v>
      </c>
      <c r="K5936" s="6">
        <v>-96.573246889225999</v>
      </c>
      <c r="L5936" s="6" t="str">
        <f>HYPERLINK("https://maps.google.com/?q=18.15349134039035,-96.573246889226255", "🔗 Ver Mapa")</f>
        <v>🔗 Ver Mapa</v>
      </c>
    </row>
    <row r="5937" spans="1:12" ht="43.5" x14ac:dyDescent="0.35">
      <c r="A5937" s="5" t="s">
        <v>516</v>
      </c>
      <c r="B5937" s="5" t="s">
        <v>517</v>
      </c>
      <c r="C5937" s="5" t="s">
        <v>1151</v>
      </c>
      <c r="D5937" s="5" t="s">
        <v>13</v>
      </c>
      <c r="E5937" s="5" t="s">
        <v>140</v>
      </c>
      <c r="F5937" s="5" t="s">
        <v>141</v>
      </c>
      <c r="G5937" s="5" t="s">
        <v>1152</v>
      </c>
      <c r="H5937" s="5" t="s">
        <v>1153</v>
      </c>
      <c r="I5937" s="5" t="s">
        <v>32</v>
      </c>
      <c r="J5937" s="5">
        <v>18.153514354986999</v>
      </c>
      <c r="K5937" s="5">
        <v>-96.572859222229994</v>
      </c>
      <c r="L5937" s="5" t="str">
        <f>HYPERLINK("https://maps.google.com/?q=18.153514354986683,-96.572859222229738", "🔗 Ver Mapa")</f>
        <v>🔗 Ver Mapa</v>
      </c>
    </row>
    <row r="5938" spans="1:12" ht="43.5" x14ac:dyDescent="0.35">
      <c r="A5938" s="6" t="s">
        <v>516</v>
      </c>
      <c r="B5938" s="6" t="s">
        <v>517</v>
      </c>
      <c r="C5938" s="6" t="s">
        <v>1151</v>
      </c>
      <c r="D5938" s="6" t="s">
        <v>13</v>
      </c>
      <c r="E5938" s="6" t="s">
        <v>140</v>
      </c>
      <c r="F5938" s="6" t="s">
        <v>141</v>
      </c>
      <c r="G5938" s="6" t="s">
        <v>1152</v>
      </c>
      <c r="H5938" s="6" t="s">
        <v>1153</v>
      </c>
      <c r="I5938" s="6" t="s">
        <v>32</v>
      </c>
      <c r="J5938" s="6">
        <v>18.153533624891999</v>
      </c>
      <c r="K5938" s="6">
        <v>-96.573434122337005</v>
      </c>
      <c r="L5938" s="6" t="str">
        <f>HYPERLINK("https://maps.google.com/?q=18.153533624891807,-96.573434122336749", "🔗 Ver Mapa")</f>
        <v>🔗 Ver Mapa</v>
      </c>
    </row>
    <row r="5939" spans="1:12" ht="43.5" x14ac:dyDescent="0.35">
      <c r="A5939" s="5" t="s">
        <v>516</v>
      </c>
      <c r="B5939" s="5" t="s">
        <v>517</v>
      </c>
      <c r="C5939" s="5" t="s">
        <v>1151</v>
      </c>
      <c r="D5939" s="5" t="s">
        <v>13</v>
      </c>
      <c r="E5939" s="5" t="s">
        <v>140</v>
      </c>
      <c r="F5939" s="5" t="s">
        <v>141</v>
      </c>
      <c r="G5939" s="5" t="s">
        <v>1152</v>
      </c>
      <c r="H5939" s="5" t="s">
        <v>1153</v>
      </c>
      <c r="I5939" s="5" t="s">
        <v>32</v>
      </c>
      <c r="J5939" s="5">
        <v>18.153600694346</v>
      </c>
      <c r="K5939" s="5">
        <v>-96.571385536109005</v>
      </c>
      <c r="L5939" s="5" t="str">
        <f>HYPERLINK("https://maps.google.com/?q=18.15360069434556,-96.571385536108551", "🔗 Ver Mapa")</f>
        <v>🔗 Ver Mapa</v>
      </c>
    </row>
    <row r="5940" spans="1:12" ht="43.5" x14ac:dyDescent="0.35">
      <c r="A5940" s="6" t="s">
        <v>516</v>
      </c>
      <c r="B5940" s="6" t="s">
        <v>517</v>
      </c>
      <c r="C5940" s="6" t="s">
        <v>1151</v>
      </c>
      <c r="D5940" s="6" t="s">
        <v>13</v>
      </c>
      <c r="E5940" s="6" t="s">
        <v>140</v>
      </c>
      <c r="F5940" s="6" t="s">
        <v>141</v>
      </c>
      <c r="G5940" s="6" t="s">
        <v>1152</v>
      </c>
      <c r="H5940" s="6" t="s">
        <v>1153</v>
      </c>
      <c r="I5940" s="6" t="s">
        <v>32</v>
      </c>
      <c r="J5940" s="6">
        <v>18.153611030372002</v>
      </c>
      <c r="K5940" s="6">
        <v>-96.572597229032993</v>
      </c>
      <c r="L5940" s="6" t="str">
        <f>HYPERLINK("https://maps.google.com/?q=18.153611030371557,-96.572597229033121", "🔗 Ver Mapa")</f>
        <v>🔗 Ver Mapa</v>
      </c>
    </row>
    <row r="5941" spans="1:12" ht="43.5" x14ac:dyDescent="0.35">
      <c r="A5941" s="5" t="s">
        <v>516</v>
      </c>
      <c r="B5941" s="5" t="s">
        <v>517</v>
      </c>
      <c r="C5941" s="5" t="s">
        <v>1151</v>
      </c>
      <c r="D5941" s="5" t="s">
        <v>13</v>
      </c>
      <c r="E5941" s="5" t="s">
        <v>140</v>
      </c>
      <c r="F5941" s="5" t="s">
        <v>141</v>
      </c>
      <c r="G5941" s="5" t="s">
        <v>1152</v>
      </c>
      <c r="H5941" s="5" t="s">
        <v>1153</v>
      </c>
      <c r="I5941" s="5" t="s">
        <v>32</v>
      </c>
      <c r="J5941" s="5">
        <v>18.15366830744</v>
      </c>
      <c r="K5941" s="5">
        <v>-96.574351509118998</v>
      </c>
      <c r="L5941" s="5" t="str">
        <f>HYPERLINK("https://maps.google.com/?q=18.15366830743959,-96.574351509118543", "🔗 Ver Mapa")</f>
        <v>🔗 Ver Mapa</v>
      </c>
    </row>
    <row r="5942" spans="1:12" ht="43.5" x14ac:dyDescent="0.35">
      <c r="A5942" s="6" t="s">
        <v>516</v>
      </c>
      <c r="B5942" s="6" t="s">
        <v>517</v>
      </c>
      <c r="C5942" s="6" t="s">
        <v>1151</v>
      </c>
      <c r="D5942" s="6" t="s">
        <v>13</v>
      </c>
      <c r="E5942" s="6" t="s">
        <v>140</v>
      </c>
      <c r="F5942" s="6" t="s">
        <v>141</v>
      </c>
      <c r="G5942" s="6" t="s">
        <v>1152</v>
      </c>
      <c r="H5942" s="6" t="s">
        <v>1153</v>
      </c>
      <c r="I5942" s="6" t="s">
        <v>32</v>
      </c>
      <c r="J5942" s="6">
        <v>18.153691868018999</v>
      </c>
      <c r="K5942" s="6">
        <v>-96.574529459247998</v>
      </c>
      <c r="L5942" s="6" t="str">
        <f>HYPERLINK("https://maps.google.com/?q=18.15369186801919,-96.574529459247842", "🔗 Ver Mapa")</f>
        <v>🔗 Ver Mapa</v>
      </c>
    </row>
    <row r="5943" spans="1:12" ht="43.5" x14ac:dyDescent="0.35">
      <c r="A5943" s="5" t="s">
        <v>516</v>
      </c>
      <c r="B5943" s="5" t="s">
        <v>517</v>
      </c>
      <c r="C5943" s="5" t="s">
        <v>1151</v>
      </c>
      <c r="D5943" s="5" t="s">
        <v>13</v>
      </c>
      <c r="E5943" s="5" t="s">
        <v>140</v>
      </c>
      <c r="F5943" s="5" t="s">
        <v>141</v>
      </c>
      <c r="G5943" s="5" t="s">
        <v>1152</v>
      </c>
      <c r="H5943" s="5" t="s">
        <v>1153</v>
      </c>
      <c r="I5943" s="5" t="s">
        <v>32</v>
      </c>
      <c r="J5943" s="5">
        <v>18.153696616838999</v>
      </c>
      <c r="K5943" s="5">
        <v>-96.574240109499002</v>
      </c>
      <c r="L5943" s="5" t="str">
        <f>HYPERLINK("https://maps.google.com/?q=18.153696616839287,-96.574240109498589", "🔗 Ver Mapa")</f>
        <v>🔗 Ver Mapa</v>
      </c>
    </row>
    <row r="5944" spans="1:12" ht="43.5" x14ac:dyDescent="0.35">
      <c r="A5944" s="6" t="s">
        <v>516</v>
      </c>
      <c r="B5944" s="6" t="s">
        <v>517</v>
      </c>
      <c r="C5944" s="6" t="s">
        <v>1151</v>
      </c>
      <c r="D5944" s="6" t="s">
        <v>13</v>
      </c>
      <c r="E5944" s="6" t="s">
        <v>140</v>
      </c>
      <c r="F5944" s="6" t="s">
        <v>141</v>
      </c>
      <c r="G5944" s="6" t="s">
        <v>1152</v>
      </c>
      <c r="H5944" s="6" t="s">
        <v>1153</v>
      </c>
      <c r="I5944" s="6" t="s">
        <v>32</v>
      </c>
      <c r="J5944" s="6">
        <v>18.153734103902998</v>
      </c>
      <c r="K5944" s="6">
        <v>-96.574591230088004</v>
      </c>
      <c r="L5944" s="6" t="str">
        <f>HYPERLINK("https://maps.google.com/?q=18.15373410390254,-96.574591230087904", "🔗 Ver Mapa")</f>
        <v>🔗 Ver Mapa</v>
      </c>
    </row>
    <row r="5945" spans="1:12" ht="43.5" x14ac:dyDescent="0.35">
      <c r="A5945" s="5" t="s">
        <v>516</v>
      </c>
      <c r="B5945" s="5" t="s">
        <v>517</v>
      </c>
      <c r="C5945" s="5" t="s">
        <v>1151</v>
      </c>
      <c r="D5945" s="5" t="s">
        <v>13</v>
      </c>
      <c r="E5945" s="5" t="s">
        <v>140</v>
      </c>
      <c r="F5945" s="5" t="s">
        <v>141</v>
      </c>
      <c r="G5945" s="5" t="s">
        <v>1152</v>
      </c>
      <c r="H5945" s="5" t="s">
        <v>1153</v>
      </c>
      <c r="I5945" s="5" t="s">
        <v>32</v>
      </c>
      <c r="J5945" s="5">
        <v>18.153759829639998</v>
      </c>
      <c r="K5945" s="5">
        <v>-96.572314581045006</v>
      </c>
      <c r="L5945" s="5" t="str">
        <f>HYPERLINK("https://maps.google.com/?q=18.153759829640123,-96.572314581044537", "🔗 Ver Mapa")</f>
        <v>🔗 Ver Mapa</v>
      </c>
    </row>
    <row r="5946" spans="1:12" ht="43.5" x14ac:dyDescent="0.35">
      <c r="A5946" s="6" t="s">
        <v>516</v>
      </c>
      <c r="B5946" s="6" t="s">
        <v>517</v>
      </c>
      <c r="C5946" s="6" t="s">
        <v>1151</v>
      </c>
      <c r="D5946" s="6" t="s">
        <v>13</v>
      </c>
      <c r="E5946" s="6" t="s">
        <v>140</v>
      </c>
      <c r="F5946" s="6" t="s">
        <v>141</v>
      </c>
      <c r="G5946" s="6" t="s">
        <v>1152</v>
      </c>
      <c r="H5946" s="6" t="s">
        <v>1153</v>
      </c>
      <c r="I5946" s="6" t="s">
        <v>32</v>
      </c>
      <c r="J5946" s="6">
        <v>18.153761144034</v>
      </c>
      <c r="K5946" s="6">
        <v>-96.571689229754</v>
      </c>
      <c r="L5946" s="6" t="str">
        <f>HYPERLINK("https://maps.google.com/?q=18.153761144034473,-96.571689229753702", "🔗 Ver Mapa")</f>
        <v>🔗 Ver Mapa</v>
      </c>
    </row>
    <row r="5947" spans="1:12" ht="43.5" x14ac:dyDescent="0.35">
      <c r="A5947" s="5" t="s">
        <v>516</v>
      </c>
      <c r="B5947" s="5" t="s">
        <v>517</v>
      </c>
      <c r="C5947" s="5" t="s">
        <v>1151</v>
      </c>
      <c r="D5947" s="5" t="s">
        <v>13</v>
      </c>
      <c r="E5947" s="5" t="s">
        <v>140</v>
      </c>
      <c r="F5947" s="5" t="s">
        <v>141</v>
      </c>
      <c r="G5947" s="5" t="s">
        <v>1152</v>
      </c>
      <c r="H5947" s="5" t="s">
        <v>1153</v>
      </c>
      <c r="I5947" s="5" t="s">
        <v>32</v>
      </c>
      <c r="J5947" s="5">
        <v>18.153779937959001</v>
      </c>
      <c r="K5947" s="5">
        <v>-96.573843011915002</v>
      </c>
      <c r="L5947" s="5" t="str">
        <f>HYPERLINK("https://maps.google.com/?q=18.153779937958557,-96.573843011915201", "🔗 Ver Mapa")</f>
        <v>🔗 Ver Mapa</v>
      </c>
    </row>
    <row r="5948" spans="1:12" ht="43.5" x14ac:dyDescent="0.35">
      <c r="A5948" s="6" t="s">
        <v>516</v>
      </c>
      <c r="B5948" s="6" t="s">
        <v>517</v>
      </c>
      <c r="C5948" s="6" t="s">
        <v>1151</v>
      </c>
      <c r="D5948" s="6" t="s">
        <v>13</v>
      </c>
      <c r="E5948" s="6" t="s">
        <v>140</v>
      </c>
      <c r="F5948" s="6" t="s">
        <v>141</v>
      </c>
      <c r="G5948" s="6" t="s">
        <v>1152</v>
      </c>
      <c r="H5948" s="6" t="s">
        <v>1153</v>
      </c>
      <c r="I5948" s="6" t="s">
        <v>32</v>
      </c>
      <c r="J5948" s="6">
        <v>18.15378596847</v>
      </c>
      <c r="K5948" s="6">
        <v>-96.574056065579001</v>
      </c>
      <c r="L5948" s="6" t="str">
        <f>HYPERLINK("https://maps.google.com/?q=18.153785968469776,-96.57405606557893", "🔗 Ver Mapa")</f>
        <v>🔗 Ver Mapa</v>
      </c>
    </row>
    <row r="5949" spans="1:12" ht="43.5" x14ac:dyDescent="0.35">
      <c r="A5949" s="5" t="s">
        <v>516</v>
      </c>
      <c r="B5949" s="5" t="s">
        <v>517</v>
      </c>
      <c r="C5949" s="5" t="s">
        <v>1151</v>
      </c>
      <c r="D5949" s="5" t="s">
        <v>13</v>
      </c>
      <c r="E5949" s="5" t="s">
        <v>140</v>
      </c>
      <c r="F5949" s="5" t="s">
        <v>141</v>
      </c>
      <c r="G5949" s="5" t="s">
        <v>1152</v>
      </c>
      <c r="H5949" s="5" t="s">
        <v>1153</v>
      </c>
      <c r="I5949" s="5" t="s">
        <v>32</v>
      </c>
      <c r="J5949" s="5">
        <v>18.153810042661998</v>
      </c>
      <c r="K5949" s="5">
        <v>-96.573938299993003</v>
      </c>
      <c r="L5949" s="5" t="str">
        <f>HYPERLINK("https://maps.google.com/?q=18.153810042662016,-96.57393829999296", "🔗 Ver Mapa")</f>
        <v>🔗 Ver Mapa</v>
      </c>
    </row>
    <row r="5950" spans="1:12" ht="43.5" x14ac:dyDescent="0.35">
      <c r="A5950" s="6" t="s">
        <v>516</v>
      </c>
      <c r="B5950" s="6" t="s">
        <v>517</v>
      </c>
      <c r="C5950" s="6" t="s">
        <v>1151</v>
      </c>
      <c r="D5950" s="6" t="s">
        <v>13</v>
      </c>
      <c r="E5950" s="6" t="s">
        <v>140</v>
      </c>
      <c r="F5950" s="6" t="s">
        <v>141</v>
      </c>
      <c r="G5950" s="6" t="s">
        <v>1152</v>
      </c>
      <c r="H5950" s="6" t="s">
        <v>1153</v>
      </c>
      <c r="I5950" s="6" t="s">
        <v>32</v>
      </c>
      <c r="J5950" s="6">
        <v>18.153810278714001</v>
      </c>
      <c r="K5950" s="6">
        <v>-96.572154125883003</v>
      </c>
      <c r="L5950" s="6" t="str">
        <f>HYPERLINK("https://maps.google.com/?q=18.153810278713866,-96.572154125883131", "🔗 Ver Mapa")</f>
        <v>🔗 Ver Mapa</v>
      </c>
    </row>
    <row r="5951" spans="1:12" ht="43.5" x14ac:dyDescent="0.35">
      <c r="A5951" s="5" t="s">
        <v>516</v>
      </c>
      <c r="B5951" s="5" t="s">
        <v>517</v>
      </c>
      <c r="C5951" s="5" t="s">
        <v>1151</v>
      </c>
      <c r="D5951" s="5" t="s">
        <v>13</v>
      </c>
      <c r="E5951" s="5" t="s">
        <v>140</v>
      </c>
      <c r="F5951" s="5" t="s">
        <v>141</v>
      </c>
      <c r="G5951" s="5" t="s">
        <v>1152</v>
      </c>
      <c r="H5951" s="5" t="s">
        <v>1153</v>
      </c>
      <c r="I5951" s="5" t="s">
        <v>32</v>
      </c>
      <c r="J5951" s="5">
        <v>18.153844644538999</v>
      </c>
      <c r="K5951" s="5">
        <v>-96.571885907394005</v>
      </c>
      <c r="L5951" s="5" t="str">
        <f>HYPERLINK("https://maps.google.com/?q=18.153844644538992,-96.571885907393749", "🔗 Ver Mapa")</f>
        <v>🔗 Ver Mapa</v>
      </c>
    </row>
    <row r="5952" spans="1:12" ht="43.5" x14ac:dyDescent="0.35">
      <c r="A5952" s="6" t="s">
        <v>516</v>
      </c>
      <c r="B5952" s="6" t="s">
        <v>517</v>
      </c>
      <c r="C5952" s="6" t="s">
        <v>1151</v>
      </c>
      <c r="D5952" s="6" t="s">
        <v>13</v>
      </c>
      <c r="E5952" s="6" t="s">
        <v>140</v>
      </c>
      <c r="F5952" s="6" t="s">
        <v>141</v>
      </c>
      <c r="G5952" s="6" t="s">
        <v>1152</v>
      </c>
      <c r="H5952" s="6" t="s">
        <v>1153</v>
      </c>
      <c r="I5952" s="6" t="s">
        <v>32</v>
      </c>
      <c r="J5952" s="6">
        <v>18.153888975293999</v>
      </c>
      <c r="K5952" s="6">
        <v>-96.574803929889995</v>
      </c>
      <c r="L5952" s="6" t="str">
        <f>HYPERLINK("https://maps.google.com/?q=18.153888975294215,-96.574803929889896", "🔗 Ver Mapa")</f>
        <v>🔗 Ver Mapa</v>
      </c>
    </row>
    <row r="5953" spans="1:12" ht="43.5" x14ac:dyDescent="0.35">
      <c r="A5953" s="5" t="s">
        <v>516</v>
      </c>
      <c r="B5953" s="5" t="s">
        <v>517</v>
      </c>
      <c r="C5953" s="5" t="s">
        <v>1151</v>
      </c>
      <c r="D5953" s="5" t="s">
        <v>13</v>
      </c>
      <c r="E5953" s="5" t="s">
        <v>140</v>
      </c>
      <c r="F5953" s="5" t="s">
        <v>141</v>
      </c>
      <c r="G5953" s="5" t="s">
        <v>1152</v>
      </c>
      <c r="H5953" s="5" t="s">
        <v>1153</v>
      </c>
      <c r="I5953" s="5" t="s">
        <v>32</v>
      </c>
      <c r="J5953" s="5">
        <v>18.153905174039</v>
      </c>
      <c r="K5953" s="5">
        <v>-96.572073077214995</v>
      </c>
      <c r="L5953" s="5" t="str">
        <f>HYPERLINK("https://maps.google.com/?q=18.153905174039316,-96.572073077214881", "🔗 Ver Mapa")</f>
        <v>🔗 Ver Mapa</v>
      </c>
    </row>
    <row r="5954" spans="1:12" ht="43.5" x14ac:dyDescent="0.35">
      <c r="A5954" s="6" t="s">
        <v>516</v>
      </c>
      <c r="B5954" s="6" t="s">
        <v>517</v>
      </c>
      <c r="C5954" s="6" t="s">
        <v>1151</v>
      </c>
      <c r="D5954" s="6" t="s">
        <v>13</v>
      </c>
      <c r="E5954" s="6" t="s">
        <v>140</v>
      </c>
      <c r="F5954" s="6" t="s">
        <v>141</v>
      </c>
      <c r="G5954" s="6" t="s">
        <v>1152</v>
      </c>
      <c r="H5954" s="6" t="s">
        <v>1153</v>
      </c>
      <c r="I5954" s="6" t="s">
        <v>32</v>
      </c>
      <c r="J5954" s="6">
        <v>18.153940873444999</v>
      </c>
      <c r="K5954" s="6">
        <v>-96.574994432398995</v>
      </c>
      <c r="L5954" s="6" t="str">
        <f>HYPERLINK("https://maps.google.com/?q=18.153940873444668,-96.574994432399492", "🔗 Ver Mapa")</f>
        <v>🔗 Ver Mapa</v>
      </c>
    </row>
    <row r="5955" spans="1:12" ht="43.5" x14ac:dyDescent="0.35">
      <c r="A5955" s="5" t="s">
        <v>516</v>
      </c>
      <c r="B5955" s="5" t="s">
        <v>517</v>
      </c>
      <c r="C5955" s="5" t="s">
        <v>1151</v>
      </c>
      <c r="D5955" s="5" t="s">
        <v>13</v>
      </c>
      <c r="E5955" s="5" t="s">
        <v>140</v>
      </c>
      <c r="F5955" s="5" t="s">
        <v>141</v>
      </c>
      <c r="G5955" s="5" t="s">
        <v>1152</v>
      </c>
      <c r="H5955" s="5" t="s">
        <v>1153</v>
      </c>
      <c r="I5955" s="5" t="s">
        <v>32</v>
      </c>
      <c r="J5955" s="5">
        <v>18.153948829811998</v>
      </c>
      <c r="K5955" s="5">
        <v>-96.575202736077998</v>
      </c>
      <c r="L5955" s="5" t="str">
        <f>HYPERLINK("https://maps.google.com/?q=18.15394882981237,-96.575202736078424", "🔗 Ver Mapa")</f>
        <v>🔗 Ver Mapa</v>
      </c>
    </row>
    <row r="5956" spans="1:12" ht="43.5" x14ac:dyDescent="0.35">
      <c r="A5956" s="6" t="s">
        <v>516</v>
      </c>
      <c r="B5956" s="6" t="s">
        <v>517</v>
      </c>
      <c r="C5956" s="6" t="s">
        <v>1151</v>
      </c>
      <c r="D5956" s="6" t="s">
        <v>13</v>
      </c>
      <c r="E5956" s="6" t="s">
        <v>140</v>
      </c>
      <c r="F5956" s="6" t="s">
        <v>141</v>
      </c>
      <c r="G5956" s="6" t="s">
        <v>1152</v>
      </c>
      <c r="H5956" s="6" t="s">
        <v>1153</v>
      </c>
      <c r="I5956" s="6" t="s">
        <v>32</v>
      </c>
      <c r="J5956" s="6">
        <v>18.153960104700001</v>
      </c>
      <c r="K5956" s="6">
        <v>-96.572431986704999</v>
      </c>
      <c r="L5956" s="6" t="str">
        <f>HYPERLINK("https://maps.google.com/?q=18.153960104700204,-96.572431986705297", "🔗 Ver Mapa")</f>
        <v>🔗 Ver Mapa</v>
      </c>
    </row>
    <row r="5957" spans="1:12" ht="43.5" x14ac:dyDescent="0.35">
      <c r="A5957" s="5" t="s">
        <v>516</v>
      </c>
      <c r="B5957" s="5" t="s">
        <v>517</v>
      </c>
      <c r="C5957" s="5" t="s">
        <v>1151</v>
      </c>
      <c r="D5957" s="5" t="s">
        <v>13</v>
      </c>
      <c r="E5957" s="5" t="s">
        <v>140</v>
      </c>
      <c r="F5957" s="5" t="s">
        <v>141</v>
      </c>
      <c r="G5957" s="5" t="s">
        <v>1152</v>
      </c>
      <c r="H5957" s="5" t="s">
        <v>1153</v>
      </c>
      <c r="I5957" s="5" t="s">
        <v>32</v>
      </c>
      <c r="J5957" s="5">
        <v>18.153977202276</v>
      </c>
      <c r="K5957" s="5">
        <v>-96.572891941229003</v>
      </c>
      <c r="L5957" s="5" t="str">
        <f>HYPERLINK("https://maps.google.com/?q=18.153977202275975,-96.572891941228917", "🔗 Ver Mapa")</f>
        <v>🔗 Ver Mapa</v>
      </c>
    </row>
    <row r="5958" spans="1:12" ht="43.5" x14ac:dyDescent="0.35">
      <c r="A5958" s="6" t="s">
        <v>516</v>
      </c>
      <c r="B5958" s="6" t="s">
        <v>517</v>
      </c>
      <c r="C5958" s="6" t="s">
        <v>1151</v>
      </c>
      <c r="D5958" s="6" t="s">
        <v>13</v>
      </c>
      <c r="E5958" s="6" t="s">
        <v>140</v>
      </c>
      <c r="F5958" s="6" t="s">
        <v>141</v>
      </c>
      <c r="G5958" s="6" t="s">
        <v>1152</v>
      </c>
      <c r="H5958" s="6" t="s">
        <v>1153</v>
      </c>
      <c r="I5958" s="6" t="s">
        <v>32</v>
      </c>
      <c r="J5958" s="6">
        <v>18.154026993782001</v>
      </c>
      <c r="K5958" s="6">
        <v>-96.573280304218002</v>
      </c>
      <c r="L5958" s="6" t="str">
        <f>HYPERLINK("https://maps.google.com/?q=18.154026993782235,-96.573280304218187", "🔗 Ver Mapa")</f>
        <v>🔗 Ver Mapa</v>
      </c>
    </row>
    <row r="5959" spans="1:12" ht="43.5" x14ac:dyDescent="0.35">
      <c r="A5959" s="5" t="s">
        <v>516</v>
      </c>
      <c r="B5959" s="5" t="s">
        <v>517</v>
      </c>
      <c r="C5959" s="5" t="s">
        <v>1151</v>
      </c>
      <c r="D5959" s="5" t="s">
        <v>13</v>
      </c>
      <c r="E5959" s="5" t="s">
        <v>140</v>
      </c>
      <c r="F5959" s="5" t="s">
        <v>141</v>
      </c>
      <c r="G5959" s="5" t="s">
        <v>1152</v>
      </c>
      <c r="H5959" s="5" t="s">
        <v>1153</v>
      </c>
      <c r="I5959" s="5" t="s">
        <v>32</v>
      </c>
      <c r="J5959" s="5">
        <v>18.154046105410998</v>
      </c>
      <c r="K5959" s="5">
        <v>-96.573427705764004</v>
      </c>
      <c r="L5959" s="5" t="str">
        <f>HYPERLINK("https://maps.google.com/?q=18.15404610541096,-96.573427705763947", "🔗 Ver Mapa")</f>
        <v>🔗 Ver Mapa</v>
      </c>
    </row>
    <row r="5960" spans="1:12" ht="43.5" x14ac:dyDescent="0.35">
      <c r="A5960" s="6" t="s">
        <v>516</v>
      </c>
      <c r="B5960" s="6" t="s">
        <v>517</v>
      </c>
      <c r="C5960" s="6" t="s">
        <v>1151</v>
      </c>
      <c r="D5960" s="6" t="s">
        <v>13</v>
      </c>
      <c r="E5960" s="6" t="s">
        <v>140</v>
      </c>
      <c r="F5960" s="6" t="s">
        <v>141</v>
      </c>
      <c r="G5960" s="6" t="s">
        <v>1152</v>
      </c>
      <c r="H5960" s="6" t="s">
        <v>1153</v>
      </c>
      <c r="I5960" s="6" t="s">
        <v>32</v>
      </c>
      <c r="J5960" s="6">
        <v>18.154057751793001</v>
      </c>
      <c r="K5960" s="6">
        <v>-96.575352866513001</v>
      </c>
      <c r="L5960" s="6" t="str">
        <f>HYPERLINK("https://maps.google.com/?q=18.154057751792593,-96.575352866512532", "🔗 Ver Mapa")</f>
        <v>🔗 Ver Mapa</v>
      </c>
    </row>
    <row r="5961" spans="1:12" ht="43.5" x14ac:dyDescent="0.35">
      <c r="A5961" s="5" t="s">
        <v>516</v>
      </c>
      <c r="B5961" s="5" t="s">
        <v>517</v>
      </c>
      <c r="C5961" s="5" t="s">
        <v>1151</v>
      </c>
      <c r="D5961" s="5" t="s">
        <v>13</v>
      </c>
      <c r="E5961" s="5" t="s">
        <v>140</v>
      </c>
      <c r="F5961" s="5" t="s">
        <v>141</v>
      </c>
      <c r="G5961" s="5" t="s">
        <v>1152</v>
      </c>
      <c r="H5961" s="5" t="s">
        <v>1153</v>
      </c>
      <c r="I5961" s="5" t="s">
        <v>32</v>
      </c>
      <c r="J5961" s="5">
        <v>18.154084407525001</v>
      </c>
      <c r="K5961" s="5">
        <v>-96.571983304895994</v>
      </c>
      <c r="L5961" s="5" t="str">
        <f>HYPERLINK("https://maps.google.com/?q=18.1540844075248,-96.571983304895781", "🔗 Ver Mapa")</f>
        <v>🔗 Ver Mapa</v>
      </c>
    </row>
    <row r="5962" spans="1:12" ht="43.5" x14ac:dyDescent="0.35">
      <c r="A5962" s="6" t="s">
        <v>516</v>
      </c>
      <c r="B5962" s="6" t="s">
        <v>517</v>
      </c>
      <c r="C5962" s="6" t="s">
        <v>1151</v>
      </c>
      <c r="D5962" s="6" t="s">
        <v>13</v>
      </c>
      <c r="E5962" s="6" t="s">
        <v>140</v>
      </c>
      <c r="F5962" s="6" t="s">
        <v>141</v>
      </c>
      <c r="G5962" s="6" t="s">
        <v>1152</v>
      </c>
      <c r="H5962" s="6" t="s">
        <v>1153</v>
      </c>
      <c r="I5962" s="6" t="s">
        <v>32</v>
      </c>
      <c r="J5962" s="6">
        <v>18.154154335912001</v>
      </c>
      <c r="K5962" s="6">
        <v>-96.575520173052993</v>
      </c>
      <c r="L5962" s="6" t="str">
        <f>HYPERLINK("https://maps.google.com/?q=18.154154335912075,-96.575520173053462", "🔗 Ver Mapa")</f>
        <v>🔗 Ver Mapa</v>
      </c>
    </row>
    <row r="5963" spans="1:12" ht="43.5" x14ac:dyDescent="0.35">
      <c r="A5963" s="5" t="s">
        <v>516</v>
      </c>
      <c r="B5963" s="5" t="s">
        <v>517</v>
      </c>
      <c r="C5963" s="5" t="s">
        <v>1151</v>
      </c>
      <c r="D5963" s="5" t="s">
        <v>13</v>
      </c>
      <c r="E5963" s="5" t="s">
        <v>140</v>
      </c>
      <c r="F5963" s="5" t="s">
        <v>141</v>
      </c>
      <c r="G5963" s="5" t="s">
        <v>1152</v>
      </c>
      <c r="H5963" s="5" t="s">
        <v>1153</v>
      </c>
      <c r="I5963" s="5" t="s">
        <v>32</v>
      </c>
      <c r="J5963" s="5">
        <v>18.154175132567001</v>
      </c>
      <c r="K5963" s="5">
        <v>-96.573846813345995</v>
      </c>
      <c r="L5963" s="5" t="str">
        <f>HYPERLINK("https://maps.google.com/?q=18.154175132566753,-96.573846813346321", "🔗 Ver Mapa")</f>
        <v>🔗 Ver Mapa</v>
      </c>
    </row>
    <row r="5964" spans="1:12" ht="43.5" x14ac:dyDescent="0.35">
      <c r="A5964" s="6" t="s">
        <v>516</v>
      </c>
      <c r="B5964" s="6" t="s">
        <v>517</v>
      </c>
      <c r="C5964" s="6" t="s">
        <v>1151</v>
      </c>
      <c r="D5964" s="6" t="s">
        <v>13</v>
      </c>
      <c r="E5964" s="6" t="s">
        <v>140</v>
      </c>
      <c r="F5964" s="6" t="s">
        <v>141</v>
      </c>
      <c r="G5964" s="6" t="s">
        <v>1152</v>
      </c>
      <c r="H5964" s="6" t="s">
        <v>1153</v>
      </c>
      <c r="I5964" s="6" t="s">
        <v>32</v>
      </c>
      <c r="J5964" s="6">
        <v>18.154233140568</v>
      </c>
      <c r="K5964" s="6">
        <v>-96.572024424866996</v>
      </c>
      <c r="L5964" s="6" t="str">
        <f>HYPERLINK("https://maps.google.com/?q=18.15423314056829,-96.572024424867152", "🔗 Ver Mapa")</f>
        <v>🔗 Ver Mapa</v>
      </c>
    </row>
    <row r="5965" spans="1:12" ht="43.5" x14ac:dyDescent="0.35">
      <c r="A5965" s="5" t="s">
        <v>516</v>
      </c>
      <c r="B5965" s="5" t="s">
        <v>517</v>
      </c>
      <c r="C5965" s="5" t="s">
        <v>1151</v>
      </c>
      <c r="D5965" s="5" t="s">
        <v>13</v>
      </c>
      <c r="E5965" s="5" t="s">
        <v>140</v>
      </c>
      <c r="F5965" s="5" t="s">
        <v>141</v>
      </c>
      <c r="G5965" s="5" t="s">
        <v>1152</v>
      </c>
      <c r="H5965" s="5" t="s">
        <v>1153</v>
      </c>
      <c r="I5965" s="5" t="s">
        <v>32</v>
      </c>
      <c r="J5965" s="5">
        <v>18.154234090348002</v>
      </c>
      <c r="K5965" s="5">
        <v>-96.575656440480998</v>
      </c>
      <c r="L5965" s="5" t="str">
        <f>HYPERLINK("https://maps.google.com/?q=18.154234090348393,-96.575656440480898", "🔗 Ver Mapa")</f>
        <v>🔗 Ver Mapa</v>
      </c>
    </row>
    <row r="5966" spans="1:12" ht="43.5" x14ac:dyDescent="0.35">
      <c r="A5966" s="6" t="s">
        <v>516</v>
      </c>
      <c r="B5966" s="6" t="s">
        <v>517</v>
      </c>
      <c r="C5966" s="6" t="s">
        <v>1151</v>
      </c>
      <c r="D5966" s="6" t="s">
        <v>13</v>
      </c>
      <c r="E5966" s="6" t="s">
        <v>140</v>
      </c>
      <c r="F5966" s="6" t="s">
        <v>141</v>
      </c>
      <c r="G5966" s="6" t="s">
        <v>1152</v>
      </c>
      <c r="H5966" s="6" t="s">
        <v>1153</v>
      </c>
      <c r="I5966" s="6" t="s">
        <v>32</v>
      </c>
      <c r="J5966" s="6">
        <v>18.154259852374999</v>
      </c>
      <c r="K5966" s="6">
        <v>-96.575006468525999</v>
      </c>
      <c r="L5966" s="6" t="str">
        <f>HYPERLINK("https://maps.google.com/?q=18.154259852375166,-96.575006468526041", "🔗 Ver Mapa")</f>
        <v>🔗 Ver Mapa</v>
      </c>
    </row>
    <row r="5967" spans="1:12" ht="43.5" x14ac:dyDescent="0.35">
      <c r="A5967" s="5" t="s">
        <v>516</v>
      </c>
      <c r="B5967" s="5" t="s">
        <v>517</v>
      </c>
      <c r="C5967" s="5" t="s">
        <v>1151</v>
      </c>
      <c r="D5967" s="5" t="s">
        <v>13</v>
      </c>
      <c r="E5967" s="5" t="s">
        <v>140</v>
      </c>
      <c r="F5967" s="5" t="s">
        <v>141</v>
      </c>
      <c r="G5967" s="5" t="s">
        <v>1152</v>
      </c>
      <c r="H5967" s="5" t="s">
        <v>1153</v>
      </c>
      <c r="I5967" s="5" t="s">
        <v>32</v>
      </c>
      <c r="J5967" s="5">
        <v>18.154269293391</v>
      </c>
      <c r="K5967" s="5">
        <v>-96.57506037844</v>
      </c>
      <c r="L5967" s="5" t="str">
        <f>HYPERLINK("https://maps.google.com/?q=18.15426929339129,-96.5750603784399", "🔗 Ver Mapa")</f>
        <v>🔗 Ver Mapa</v>
      </c>
    </row>
    <row r="5968" spans="1:12" ht="43.5" x14ac:dyDescent="0.35">
      <c r="A5968" s="6" t="s">
        <v>516</v>
      </c>
      <c r="B5968" s="6" t="s">
        <v>517</v>
      </c>
      <c r="C5968" s="6" t="s">
        <v>1151</v>
      </c>
      <c r="D5968" s="6" t="s">
        <v>13</v>
      </c>
      <c r="E5968" s="6" t="s">
        <v>140</v>
      </c>
      <c r="F5968" s="6" t="s">
        <v>141</v>
      </c>
      <c r="G5968" s="6" t="s">
        <v>1152</v>
      </c>
      <c r="H5968" s="6" t="s">
        <v>1153</v>
      </c>
      <c r="I5968" s="6" t="s">
        <v>32</v>
      </c>
      <c r="J5968" s="6">
        <v>18.154307225278998</v>
      </c>
      <c r="K5968" s="6">
        <v>-96.574108104581995</v>
      </c>
      <c r="L5968" s="6" t="str">
        <f>HYPERLINK("https://maps.google.com/?q=18.154307225279126,-96.574108104581924", "🔗 Ver Mapa")</f>
        <v>🔗 Ver Mapa</v>
      </c>
    </row>
    <row r="5969" spans="1:12" ht="43.5" x14ac:dyDescent="0.35">
      <c r="A5969" s="5" t="s">
        <v>516</v>
      </c>
      <c r="B5969" s="5" t="s">
        <v>517</v>
      </c>
      <c r="C5969" s="5" t="s">
        <v>1151</v>
      </c>
      <c r="D5969" s="5" t="s">
        <v>13</v>
      </c>
      <c r="E5969" s="5" t="s">
        <v>140</v>
      </c>
      <c r="F5969" s="5" t="s">
        <v>141</v>
      </c>
      <c r="G5969" s="5" t="s">
        <v>1152</v>
      </c>
      <c r="H5969" s="5" t="s">
        <v>1153</v>
      </c>
      <c r="I5969" s="5" t="s">
        <v>32</v>
      </c>
      <c r="J5969" s="5">
        <v>18.154348411000999</v>
      </c>
      <c r="K5969" s="5">
        <v>-96.574630649072006</v>
      </c>
      <c r="L5969" s="5" t="str">
        <f>HYPERLINK("https://maps.google.com/?q=18.154348411000754,-96.574630649071992", "🔗 Ver Mapa")</f>
        <v>🔗 Ver Mapa</v>
      </c>
    </row>
    <row r="5970" spans="1:12" ht="43.5" x14ac:dyDescent="0.35">
      <c r="A5970" s="6" t="s">
        <v>516</v>
      </c>
      <c r="B5970" s="6" t="s">
        <v>517</v>
      </c>
      <c r="C5970" s="6" t="s">
        <v>1151</v>
      </c>
      <c r="D5970" s="6" t="s">
        <v>13</v>
      </c>
      <c r="E5970" s="6" t="s">
        <v>140</v>
      </c>
      <c r="F5970" s="6" t="s">
        <v>141</v>
      </c>
      <c r="G5970" s="6" t="s">
        <v>1152</v>
      </c>
      <c r="H5970" s="6" t="s">
        <v>1153</v>
      </c>
      <c r="I5970" s="6" t="s">
        <v>32</v>
      </c>
      <c r="J5970" s="6">
        <v>18.154374410559001</v>
      </c>
      <c r="K5970" s="6">
        <v>-96.575481707622004</v>
      </c>
      <c r="L5970" s="6" t="str">
        <f>HYPERLINK("https://maps.google.com/?q=18.1543744105587,-96.575481707622203", "🔗 Ver Mapa")</f>
        <v>🔗 Ver Mapa</v>
      </c>
    </row>
    <row r="5971" spans="1:12" ht="43.5" x14ac:dyDescent="0.35">
      <c r="A5971" s="5" t="s">
        <v>516</v>
      </c>
      <c r="B5971" s="5" t="s">
        <v>517</v>
      </c>
      <c r="C5971" s="5" t="s">
        <v>1151</v>
      </c>
      <c r="D5971" s="5" t="s">
        <v>13</v>
      </c>
      <c r="E5971" s="5" t="s">
        <v>140</v>
      </c>
      <c r="F5971" s="5" t="s">
        <v>141</v>
      </c>
      <c r="G5971" s="5" t="s">
        <v>1152</v>
      </c>
      <c r="H5971" s="5" t="s">
        <v>1153</v>
      </c>
      <c r="I5971" s="5" t="s">
        <v>32</v>
      </c>
      <c r="J5971" s="5">
        <v>18.154385834427998</v>
      </c>
      <c r="K5971" s="5">
        <v>-96.575864744686996</v>
      </c>
      <c r="L5971" s="5" t="str">
        <f>HYPERLINK("https://maps.google.com/?q=18.15438583442759,-96.575864744686513", "🔗 Ver Mapa")</f>
        <v>🔗 Ver Mapa</v>
      </c>
    </row>
    <row r="5972" spans="1:12" ht="43.5" x14ac:dyDescent="0.35">
      <c r="A5972" s="6" t="s">
        <v>516</v>
      </c>
      <c r="B5972" s="6" t="s">
        <v>517</v>
      </c>
      <c r="C5972" s="6" t="s">
        <v>1151</v>
      </c>
      <c r="D5972" s="6" t="s">
        <v>13</v>
      </c>
      <c r="E5972" s="6" t="s">
        <v>140</v>
      </c>
      <c r="F5972" s="6" t="s">
        <v>141</v>
      </c>
      <c r="G5972" s="6" t="s">
        <v>1152</v>
      </c>
      <c r="H5972" s="6" t="s">
        <v>1153</v>
      </c>
      <c r="I5972" s="6" t="s">
        <v>32</v>
      </c>
      <c r="J5972" s="6">
        <v>18.154389821003999</v>
      </c>
      <c r="K5972" s="6">
        <v>-96.575572097451996</v>
      </c>
      <c r="L5972" s="6" t="str">
        <f>HYPERLINK("https://maps.google.com/?q=18.154389821004436,-96.57557209745157", "🔗 Ver Mapa")</f>
        <v>🔗 Ver Mapa</v>
      </c>
    </row>
    <row r="5973" spans="1:12" ht="43.5" x14ac:dyDescent="0.35">
      <c r="A5973" s="5" t="s">
        <v>516</v>
      </c>
      <c r="B5973" s="5" t="s">
        <v>517</v>
      </c>
      <c r="C5973" s="5" t="s">
        <v>1151</v>
      </c>
      <c r="D5973" s="5" t="s">
        <v>13</v>
      </c>
      <c r="E5973" s="5" t="s">
        <v>140</v>
      </c>
      <c r="F5973" s="5" t="s">
        <v>141</v>
      </c>
      <c r="G5973" s="5" t="s">
        <v>1152</v>
      </c>
      <c r="H5973" s="5" t="s">
        <v>1153</v>
      </c>
      <c r="I5973" s="5" t="s">
        <v>32</v>
      </c>
      <c r="J5973" s="5">
        <v>18.154470578519</v>
      </c>
      <c r="K5973" s="5">
        <v>-96.574470431859993</v>
      </c>
      <c r="L5973" s="5" t="str">
        <f>HYPERLINK("https://maps.google.com/?q=18.15447057851894,-96.574470431860306", "🔗 Ver Mapa")</f>
        <v>🔗 Ver Mapa</v>
      </c>
    </row>
    <row r="5974" spans="1:12" ht="43.5" x14ac:dyDescent="0.35">
      <c r="A5974" s="6" t="s">
        <v>516</v>
      </c>
      <c r="B5974" s="6" t="s">
        <v>517</v>
      </c>
      <c r="C5974" s="6" t="s">
        <v>1151</v>
      </c>
      <c r="D5974" s="6" t="s">
        <v>13</v>
      </c>
      <c r="E5974" s="6" t="s">
        <v>140</v>
      </c>
      <c r="F5974" s="6" t="s">
        <v>141</v>
      </c>
      <c r="G5974" s="6" t="s">
        <v>1152</v>
      </c>
      <c r="H5974" s="6" t="s">
        <v>1153</v>
      </c>
      <c r="I5974" s="6" t="s">
        <v>32</v>
      </c>
      <c r="J5974" s="6">
        <v>18.154495903556999</v>
      </c>
      <c r="K5974" s="6">
        <v>-96.574430307832998</v>
      </c>
      <c r="L5974" s="6" t="str">
        <f>HYPERLINK("https://maps.google.com/?q=18.154495903556782,-96.5744303078326", "🔗 Ver Mapa")</f>
        <v>🔗 Ver Mapa</v>
      </c>
    </row>
    <row r="5975" spans="1:12" ht="43.5" x14ac:dyDescent="0.35">
      <c r="A5975" s="5" t="s">
        <v>516</v>
      </c>
      <c r="B5975" s="5" t="s">
        <v>517</v>
      </c>
      <c r="C5975" s="5" t="s">
        <v>1151</v>
      </c>
      <c r="D5975" s="5" t="s">
        <v>13</v>
      </c>
      <c r="E5975" s="5" t="s">
        <v>140</v>
      </c>
      <c r="F5975" s="5" t="s">
        <v>141</v>
      </c>
      <c r="G5975" s="5" t="s">
        <v>1152</v>
      </c>
      <c r="H5975" s="5" t="s">
        <v>1153</v>
      </c>
      <c r="I5975" s="5" t="s">
        <v>32</v>
      </c>
      <c r="J5975" s="5">
        <v>18.154498513983</v>
      </c>
      <c r="K5975" s="5">
        <v>-96.576492022907004</v>
      </c>
      <c r="L5975" s="5" t="str">
        <f>HYPERLINK("https://maps.google.com/?q=18.154498513982816,-96.576492022906805", "🔗 Ver Mapa")</f>
        <v>🔗 Ver Mapa</v>
      </c>
    </row>
    <row r="5976" spans="1:12" ht="43.5" x14ac:dyDescent="0.35">
      <c r="A5976" s="6" t="s">
        <v>516</v>
      </c>
      <c r="B5976" s="6" t="s">
        <v>517</v>
      </c>
      <c r="C5976" s="6" t="s">
        <v>1151</v>
      </c>
      <c r="D5976" s="6" t="s">
        <v>13</v>
      </c>
      <c r="E5976" s="6" t="s">
        <v>140</v>
      </c>
      <c r="F5976" s="6" t="s">
        <v>141</v>
      </c>
      <c r="G5976" s="6" t="s">
        <v>1152</v>
      </c>
      <c r="H5976" s="6" t="s">
        <v>1153</v>
      </c>
      <c r="I5976" s="6" t="s">
        <v>32</v>
      </c>
      <c r="J5976" s="6">
        <v>18.154501682233999</v>
      </c>
      <c r="K5976" s="6">
        <v>-96.576342140080001</v>
      </c>
      <c r="L5976" s="6" t="str">
        <f>HYPERLINK("https://maps.google.com/?q=18.154501682234475,-96.576342140079518", "🔗 Ver Mapa")</f>
        <v>🔗 Ver Mapa</v>
      </c>
    </row>
    <row r="5977" spans="1:12" ht="43.5" x14ac:dyDescent="0.35">
      <c r="A5977" s="5" t="s">
        <v>516</v>
      </c>
      <c r="B5977" s="5" t="s">
        <v>517</v>
      </c>
      <c r="C5977" s="5" t="s">
        <v>1151</v>
      </c>
      <c r="D5977" s="5" t="s">
        <v>13</v>
      </c>
      <c r="E5977" s="5" t="s">
        <v>140</v>
      </c>
      <c r="F5977" s="5" t="s">
        <v>141</v>
      </c>
      <c r="G5977" s="5" t="s">
        <v>1152</v>
      </c>
      <c r="H5977" s="5" t="s">
        <v>1153</v>
      </c>
      <c r="I5977" s="5" t="s">
        <v>32</v>
      </c>
      <c r="J5977" s="5">
        <v>18.154504796735001</v>
      </c>
      <c r="K5977" s="5">
        <v>-96.576646499188001</v>
      </c>
      <c r="L5977" s="5" t="str">
        <f>HYPERLINK("https://maps.google.com/?q=18.154504796734777,-96.576646499187802", "🔗 Ver Mapa")</f>
        <v>🔗 Ver Mapa</v>
      </c>
    </row>
    <row r="5978" spans="1:12" ht="43.5" x14ac:dyDescent="0.35">
      <c r="A5978" s="6" t="s">
        <v>516</v>
      </c>
      <c r="B5978" s="6" t="s">
        <v>517</v>
      </c>
      <c r="C5978" s="6" t="s">
        <v>1151</v>
      </c>
      <c r="D5978" s="6" t="s">
        <v>13</v>
      </c>
      <c r="E5978" s="6" t="s">
        <v>140</v>
      </c>
      <c r="F5978" s="6" t="s">
        <v>141</v>
      </c>
      <c r="G5978" s="6" t="s">
        <v>1152</v>
      </c>
      <c r="H5978" s="6" t="s">
        <v>1153</v>
      </c>
      <c r="I5978" s="6" t="s">
        <v>32</v>
      </c>
      <c r="J5978" s="6">
        <v>18.154513612203999</v>
      </c>
      <c r="K5978" s="6">
        <v>-96.576192325337004</v>
      </c>
      <c r="L5978" s="6" t="str">
        <f>HYPERLINK("https://maps.google.com/?q=18.1545136122041,-96.576192325336564", "🔗 Ver Mapa")</f>
        <v>🔗 Ver Mapa</v>
      </c>
    </row>
    <row r="5979" spans="1:12" ht="43.5" x14ac:dyDescent="0.35">
      <c r="A5979" s="5" t="s">
        <v>516</v>
      </c>
      <c r="B5979" s="5" t="s">
        <v>517</v>
      </c>
      <c r="C5979" s="5" t="s">
        <v>1151</v>
      </c>
      <c r="D5979" s="5" t="s">
        <v>13</v>
      </c>
      <c r="E5979" s="5" t="s">
        <v>140</v>
      </c>
      <c r="F5979" s="5" t="s">
        <v>141</v>
      </c>
      <c r="G5979" s="5" t="s">
        <v>1152</v>
      </c>
      <c r="H5979" s="5" t="s">
        <v>1153</v>
      </c>
      <c r="I5979" s="5" t="s">
        <v>32</v>
      </c>
      <c r="J5979" s="5">
        <v>18.154518715057002</v>
      </c>
      <c r="K5979" s="5">
        <v>-96.572059024509997</v>
      </c>
      <c r="L5979" s="5" t="str">
        <f>HYPERLINK("https://maps.google.com/?q=18.15451871505743,-96.572059024509628", "🔗 Ver Mapa")</f>
        <v>🔗 Ver Mapa</v>
      </c>
    </row>
    <row r="5980" spans="1:12" ht="43.5" x14ac:dyDescent="0.35">
      <c r="A5980" s="6" t="s">
        <v>516</v>
      </c>
      <c r="B5980" s="6" t="s">
        <v>517</v>
      </c>
      <c r="C5980" s="6" t="s">
        <v>1151</v>
      </c>
      <c r="D5980" s="6" t="s">
        <v>13</v>
      </c>
      <c r="E5980" s="6" t="s">
        <v>140</v>
      </c>
      <c r="F5980" s="6" t="s">
        <v>141</v>
      </c>
      <c r="G5980" s="6" t="s">
        <v>1152</v>
      </c>
      <c r="H5980" s="6" t="s">
        <v>1153</v>
      </c>
      <c r="I5980" s="6" t="s">
        <v>32</v>
      </c>
      <c r="J5980" s="6">
        <v>18.154525656752998</v>
      </c>
      <c r="K5980" s="6">
        <v>-96.574383225909003</v>
      </c>
      <c r="L5980" s="6" t="str">
        <f>HYPERLINK("https://maps.google.com/?q=18.154525656753062,-96.574383225908562", "🔗 Ver Mapa")</f>
        <v>🔗 Ver Mapa</v>
      </c>
    </row>
    <row r="5981" spans="1:12" ht="43.5" x14ac:dyDescent="0.35">
      <c r="A5981" s="5" t="s">
        <v>516</v>
      </c>
      <c r="B5981" s="5" t="s">
        <v>517</v>
      </c>
      <c r="C5981" s="5" t="s">
        <v>1151</v>
      </c>
      <c r="D5981" s="5" t="s">
        <v>13</v>
      </c>
      <c r="E5981" s="5" t="s">
        <v>140</v>
      </c>
      <c r="F5981" s="5" t="s">
        <v>141</v>
      </c>
      <c r="G5981" s="5" t="s">
        <v>1152</v>
      </c>
      <c r="H5981" s="5" t="s">
        <v>1153</v>
      </c>
      <c r="I5981" s="5" t="s">
        <v>32</v>
      </c>
      <c r="J5981" s="5">
        <v>18.154531216327001</v>
      </c>
      <c r="K5981" s="5">
        <v>-96.575983951588</v>
      </c>
      <c r="L5981" s="5" t="str">
        <f>HYPERLINK("https://maps.google.com/?q=18.15453121632691,-96.575983951588483", "🔗 Ver Mapa")</f>
        <v>🔗 Ver Mapa</v>
      </c>
    </row>
    <row r="5982" spans="1:12" ht="43.5" x14ac:dyDescent="0.35">
      <c r="A5982" s="6" t="s">
        <v>516</v>
      </c>
      <c r="B5982" s="6" t="s">
        <v>517</v>
      </c>
      <c r="C5982" s="6" t="s">
        <v>1151</v>
      </c>
      <c r="D5982" s="6" t="s">
        <v>13</v>
      </c>
      <c r="E5982" s="6" t="s">
        <v>140</v>
      </c>
      <c r="F5982" s="6" t="s">
        <v>141</v>
      </c>
      <c r="G5982" s="6" t="s">
        <v>1152</v>
      </c>
      <c r="H5982" s="6" t="s">
        <v>1153</v>
      </c>
      <c r="I5982" s="6" t="s">
        <v>32</v>
      </c>
      <c r="J5982" s="6">
        <v>18.154534724333001</v>
      </c>
      <c r="K5982" s="6">
        <v>-96.575732124368997</v>
      </c>
      <c r="L5982" s="6" t="str">
        <f>HYPERLINK("https://maps.google.com/?q=18.15453472433295,-96.575732124369409", "🔗 Ver Mapa")</f>
        <v>🔗 Ver Mapa</v>
      </c>
    </row>
    <row r="5983" spans="1:12" ht="43.5" x14ac:dyDescent="0.35">
      <c r="A5983" s="5" t="s">
        <v>516</v>
      </c>
      <c r="B5983" s="5" t="s">
        <v>517</v>
      </c>
      <c r="C5983" s="5" t="s">
        <v>1151</v>
      </c>
      <c r="D5983" s="5" t="s">
        <v>13</v>
      </c>
      <c r="E5983" s="5" t="s">
        <v>140</v>
      </c>
      <c r="F5983" s="5" t="s">
        <v>141</v>
      </c>
      <c r="G5983" s="5" t="s">
        <v>1152</v>
      </c>
      <c r="H5983" s="5" t="s">
        <v>1153</v>
      </c>
      <c r="I5983" s="5" t="s">
        <v>32</v>
      </c>
      <c r="J5983" s="5">
        <v>18.154537786952002</v>
      </c>
      <c r="K5983" s="5">
        <v>-96.576856159114996</v>
      </c>
      <c r="L5983" s="5" t="str">
        <f>HYPERLINK("https://maps.google.com/?q=18.154537786951913,-96.57685615911528", "🔗 Ver Mapa")</f>
        <v>🔗 Ver Mapa</v>
      </c>
    </row>
    <row r="5984" spans="1:12" ht="43.5" x14ac:dyDescent="0.35">
      <c r="A5984" s="6" t="s">
        <v>516</v>
      </c>
      <c r="B5984" s="6" t="s">
        <v>517</v>
      </c>
      <c r="C5984" s="6" t="s">
        <v>1151</v>
      </c>
      <c r="D5984" s="6" t="s">
        <v>13</v>
      </c>
      <c r="E5984" s="6" t="s">
        <v>140</v>
      </c>
      <c r="F5984" s="6" t="s">
        <v>141</v>
      </c>
      <c r="G5984" s="6" t="s">
        <v>1152</v>
      </c>
      <c r="H5984" s="6" t="s">
        <v>1153</v>
      </c>
      <c r="I5984" s="6" t="s">
        <v>32</v>
      </c>
      <c r="J5984" s="6">
        <v>18.154557291368</v>
      </c>
      <c r="K5984" s="6">
        <v>-96.576096396322995</v>
      </c>
      <c r="L5984" s="6" t="str">
        <f>HYPERLINK("https://maps.google.com/?q=18.15455729136751,-96.576096396323408", "🔗 Ver Mapa")</f>
        <v>🔗 Ver Mapa</v>
      </c>
    </row>
    <row r="5985" spans="1:12" ht="43.5" x14ac:dyDescent="0.35">
      <c r="A5985" s="5" t="s">
        <v>516</v>
      </c>
      <c r="B5985" s="5" t="s">
        <v>517</v>
      </c>
      <c r="C5985" s="5" t="s">
        <v>1151</v>
      </c>
      <c r="D5985" s="5" t="s">
        <v>13</v>
      </c>
      <c r="E5985" s="5" t="s">
        <v>140</v>
      </c>
      <c r="F5985" s="5" t="s">
        <v>141</v>
      </c>
      <c r="G5985" s="5" t="s">
        <v>1152</v>
      </c>
      <c r="H5985" s="5" t="s">
        <v>1153</v>
      </c>
      <c r="I5985" s="5" t="s">
        <v>32</v>
      </c>
      <c r="J5985" s="5">
        <v>18.154573025304</v>
      </c>
      <c r="K5985" s="5">
        <v>-96.577029225857004</v>
      </c>
      <c r="L5985" s="5" t="str">
        <f>HYPERLINK("https://maps.google.com/?q=18.15457302530357,-96.577029225856705", "🔗 Ver Mapa")</f>
        <v>🔗 Ver Mapa</v>
      </c>
    </row>
    <row r="5986" spans="1:12" ht="43.5" x14ac:dyDescent="0.35">
      <c r="A5986" s="6" t="s">
        <v>516</v>
      </c>
      <c r="B5986" s="6" t="s">
        <v>517</v>
      </c>
      <c r="C5986" s="6" t="s">
        <v>1151</v>
      </c>
      <c r="D5986" s="6" t="s">
        <v>13</v>
      </c>
      <c r="E5986" s="6" t="s">
        <v>140</v>
      </c>
      <c r="F5986" s="6" t="s">
        <v>141</v>
      </c>
      <c r="G5986" s="6" t="s">
        <v>1152</v>
      </c>
      <c r="H5986" s="6" t="s">
        <v>1153</v>
      </c>
      <c r="I5986" s="6" t="s">
        <v>32</v>
      </c>
      <c r="J5986" s="6">
        <v>18.154574229901002</v>
      </c>
      <c r="K5986" s="6">
        <v>-96.575885386376996</v>
      </c>
      <c r="L5986" s="6" t="str">
        <f>HYPERLINK("https://maps.google.com/?q=18.15457422990117,-96.575885386377195", "🔗 Ver Mapa")</f>
        <v>🔗 Ver Mapa</v>
      </c>
    </row>
    <row r="5987" spans="1:12" ht="43.5" x14ac:dyDescent="0.35">
      <c r="A5987" s="5" t="s">
        <v>516</v>
      </c>
      <c r="B5987" s="5" t="s">
        <v>517</v>
      </c>
      <c r="C5987" s="5" t="s">
        <v>1151</v>
      </c>
      <c r="D5987" s="5" t="s">
        <v>13</v>
      </c>
      <c r="E5987" s="5" t="s">
        <v>140</v>
      </c>
      <c r="F5987" s="5" t="s">
        <v>141</v>
      </c>
      <c r="G5987" s="5" t="s">
        <v>1152</v>
      </c>
      <c r="H5987" s="5" t="s">
        <v>1153</v>
      </c>
      <c r="I5987" s="5" t="s">
        <v>32</v>
      </c>
      <c r="J5987" s="5">
        <v>18.154604954777</v>
      </c>
      <c r="K5987" s="5">
        <v>-96.576008442768</v>
      </c>
      <c r="L5987" s="5" t="str">
        <f>HYPERLINK("https://maps.google.com/?q=18.15460495477689,-96.576008442768369", "🔗 Ver Mapa")</f>
        <v>🔗 Ver Mapa</v>
      </c>
    </row>
    <row r="5988" spans="1:12" ht="43.5" x14ac:dyDescent="0.35">
      <c r="A5988" s="6" t="s">
        <v>516</v>
      </c>
      <c r="B5988" s="6" t="s">
        <v>517</v>
      </c>
      <c r="C5988" s="6" t="s">
        <v>1151</v>
      </c>
      <c r="D5988" s="6" t="s">
        <v>13</v>
      </c>
      <c r="E5988" s="6" t="s">
        <v>140</v>
      </c>
      <c r="F5988" s="6" t="s">
        <v>141</v>
      </c>
      <c r="G5988" s="6" t="s">
        <v>1152</v>
      </c>
      <c r="H5988" s="6" t="s">
        <v>1153</v>
      </c>
      <c r="I5988" s="6" t="s">
        <v>32</v>
      </c>
      <c r="J5988" s="6">
        <v>18.154715239678001</v>
      </c>
      <c r="K5988" s="6">
        <v>-96.576058977550005</v>
      </c>
      <c r="L5988" s="6" t="str">
        <f>HYPERLINK("https://maps.google.com/?q=18.154715239677856,-96.576058977550389", "🔗 Ver Mapa")</f>
        <v>🔗 Ver Mapa</v>
      </c>
    </row>
    <row r="5989" spans="1:12" ht="43.5" x14ac:dyDescent="0.35">
      <c r="A5989" s="5" t="s">
        <v>516</v>
      </c>
      <c r="B5989" s="5" t="s">
        <v>517</v>
      </c>
      <c r="C5989" s="5" t="s">
        <v>1151</v>
      </c>
      <c r="D5989" s="5" t="s">
        <v>13</v>
      </c>
      <c r="E5989" s="5" t="s">
        <v>140</v>
      </c>
      <c r="F5989" s="5" t="s">
        <v>141</v>
      </c>
      <c r="G5989" s="5" t="s">
        <v>1152</v>
      </c>
      <c r="H5989" s="5" t="s">
        <v>1153</v>
      </c>
      <c r="I5989" s="5" t="s">
        <v>32</v>
      </c>
      <c r="J5989" s="5">
        <v>18.154776970846999</v>
      </c>
      <c r="K5989" s="5">
        <v>-96.572126029108006</v>
      </c>
      <c r="L5989" s="5" t="str">
        <f>HYPERLINK("https://maps.google.com/?q=18.154776970847173,-96.572126029108048", "🔗 Ver Mapa")</f>
        <v>🔗 Ver Mapa</v>
      </c>
    </row>
    <row r="5990" spans="1:12" ht="43.5" x14ac:dyDescent="0.35">
      <c r="A5990" s="6" t="s">
        <v>516</v>
      </c>
      <c r="B5990" s="6" t="s">
        <v>517</v>
      </c>
      <c r="C5990" s="6" t="s">
        <v>1151</v>
      </c>
      <c r="D5990" s="6" t="s">
        <v>13</v>
      </c>
      <c r="E5990" s="6" t="s">
        <v>140</v>
      </c>
      <c r="F5990" s="6" t="s">
        <v>141</v>
      </c>
      <c r="G5990" s="6" t="s">
        <v>1152</v>
      </c>
      <c r="H5990" s="6" t="s">
        <v>1153</v>
      </c>
      <c r="I5990" s="6" t="s">
        <v>32</v>
      </c>
      <c r="J5990" s="6">
        <v>18.154879683156</v>
      </c>
      <c r="K5990" s="6">
        <v>-96.574252401300996</v>
      </c>
      <c r="L5990" s="6" t="str">
        <f>HYPERLINK("https://maps.google.com/?q=18.15487968315621,-96.574252401300996", "🔗 Ver Mapa")</f>
        <v>🔗 Ver Mapa</v>
      </c>
    </row>
    <row r="5991" spans="1:12" ht="43.5" x14ac:dyDescent="0.35">
      <c r="A5991" s="5" t="s">
        <v>516</v>
      </c>
      <c r="B5991" s="5" t="s">
        <v>517</v>
      </c>
      <c r="C5991" s="5" t="s">
        <v>1151</v>
      </c>
      <c r="D5991" s="5" t="s">
        <v>13</v>
      </c>
      <c r="E5991" s="5" t="s">
        <v>140</v>
      </c>
      <c r="F5991" s="5" t="s">
        <v>141</v>
      </c>
      <c r="G5991" s="5" t="s">
        <v>1152</v>
      </c>
      <c r="H5991" s="5" t="s">
        <v>1153</v>
      </c>
      <c r="I5991" s="5" t="s">
        <v>32</v>
      </c>
      <c r="J5991" s="5">
        <v>18.154893540102002</v>
      </c>
      <c r="K5991" s="5">
        <v>-96.576117076868996</v>
      </c>
      <c r="L5991" s="5" t="str">
        <f>HYPERLINK("https://maps.google.com/?q=18.15489354010228,-96.576117076868684", "🔗 Ver Mapa")</f>
        <v>🔗 Ver Mapa</v>
      </c>
    </row>
    <row r="5992" spans="1:12" ht="43.5" x14ac:dyDescent="0.35">
      <c r="A5992" s="6" t="s">
        <v>516</v>
      </c>
      <c r="B5992" s="6" t="s">
        <v>517</v>
      </c>
      <c r="C5992" s="6" t="s">
        <v>1151</v>
      </c>
      <c r="D5992" s="6" t="s">
        <v>13</v>
      </c>
      <c r="E5992" s="6" t="s">
        <v>140</v>
      </c>
      <c r="F5992" s="6" t="s">
        <v>141</v>
      </c>
      <c r="G5992" s="6" t="s">
        <v>1152</v>
      </c>
      <c r="H5992" s="6" t="s">
        <v>1153</v>
      </c>
      <c r="I5992" s="6" t="s">
        <v>32</v>
      </c>
      <c r="J5992" s="6">
        <v>18.154973219232001</v>
      </c>
      <c r="K5992" s="6">
        <v>-96.572196347124006</v>
      </c>
      <c r="L5992" s="6" t="str">
        <f>HYPERLINK("https://maps.google.com/?q=18.154973219231735,-96.572196347123992", "🔗 Ver Mapa")</f>
        <v>🔗 Ver Mapa</v>
      </c>
    </row>
    <row r="5993" spans="1:12" ht="43.5" x14ac:dyDescent="0.35">
      <c r="A5993" s="5" t="s">
        <v>516</v>
      </c>
      <c r="B5993" s="5" t="s">
        <v>517</v>
      </c>
      <c r="C5993" s="5" t="s">
        <v>1151</v>
      </c>
      <c r="D5993" s="5" t="s">
        <v>13</v>
      </c>
      <c r="E5993" s="5" t="s">
        <v>140</v>
      </c>
      <c r="F5993" s="5" t="s">
        <v>141</v>
      </c>
      <c r="G5993" s="5" t="s">
        <v>1152</v>
      </c>
      <c r="H5993" s="5" t="s">
        <v>1153</v>
      </c>
      <c r="I5993" s="5" t="s">
        <v>32</v>
      </c>
      <c r="J5993" s="5">
        <v>18.154983771081</v>
      </c>
      <c r="K5993" s="5">
        <v>-96.577335238819998</v>
      </c>
      <c r="L5993" s="5" t="str">
        <f>HYPERLINK("https://maps.google.com/?q=18.154983771081234,-96.577335238819785", "🔗 Ver Mapa")</f>
        <v>🔗 Ver Mapa</v>
      </c>
    </row>
    <row r="5994" spans="1:12" ht="43.5" x14ac:dyDescent="0.35">
      <c r="A5994" s="6" t="s">
        <v>516</v>
      </c>
      <c r="B5994" s="6" t="s">
        <v>517</v>
      </c>
      <c r="C5994" s="6" t="s">
        <v>1151</v>
      </c>
      <c r="D5994" s="6" t="s">
        <v>13</v>
      </c>
      <c r="E5994" s="6" t="s">
        <v>140</v>
      </c>
      <c r="F5994" s="6" t="s">
        <v>141</v>
      </c>
      <c r="G5994" s="6" t="s">
        <v>1152</v>
      </c>
      <c r="H5994" s="6" t="s">
        <v>1153</v>
      </c>
      <c r="I5994" s="6" t="s">
        <v>32</v>
      </c>
      <c r="J5994" s="6">
        <v>18.155032299470999</v>
      </c>
      <c r="K5994" s="6">
        <v>-96.577079388732997</v>
      </c>
      <c r="L5994" s="6" t="str">
        <f>HYPERLINK("https://maps.google.com/?q=18.155032299470744,-96.577079388733225", "🔗 Ver Mapa")</f>
        <v>🔗 Ver Mapa</v>
      </c>
    </row>
    <row r="5995" spans="1:12" ht="43.5" x14ac:dyDescent="0.35">
      <c r="A5995" s="5" t="s">
        <v>516</v>
      </c>
      <c r="B5995" s="5" t="s">
        <v>517</v>
      </c>
      <c r="C5995" s="5" t="s">
        <v>1151</v>
      </c>
      <c r="D5995" s="5" t="s">
        <v>13</v>
      </c>
      <c r="E5995" s="5" t="s">
        <v>140</v>
      </c>
      <c r="F5995" s="5" t="s">
        <v>141</v>
      </c>
      <c r="G5995" s="5" t="s">
        <v>1152</v>
      </c>
      <c r="H5995" s="5" t="s">
        <v>1153</v>
      </c>
      <c r="I5995" s="5" t="s">
        <v>32</v>
      </c>
      <c r="J5995" s="5">
        <v>18.155043589123999</v>
      </c>
      <c r="K5995" s="5">
        <v>-96.574229069983005</v>
      </c>
      <c r="L5995" s="5" t="str">
        <f>HYPERLINK("https://maps.google.com/?q=18.155043589123814,-96.574229069982692", "🔗 Ver Mapa")</f>
        <v>🔗 Ver Mapa</v>
      </c>
    </row>
    <row r="5996" spans="1:12" ht="43.5" x14ac:dyDescent="0.35">
      <c r="A5996" s="6" t="s">
        <v>516</v>
      </c>
      <c r="B5996" s="6" t="s">
        <v>517</v>
      </c>
      <c r="C5996" s="6" t="s">
        <v>1151</v>
      </c>
      <c r="D5996" s="6" t="s">
        <v>13</v>
      </c>
      <c r="E5996" s="6" t="s">
        <v>140</v>
      </c>
      <c r="F5996" s="6" t="s">
        <v>141</v>
      </c>
      <c r="G5996" s="6" t="s">
        <v>1152</v>
      </c>
      <c r="H5996" s="6" t="s">
        <v>1153</v>
      </c>
      <c r="I5996" s="6" t="s">
        <v>32</v>
      </c>
      <c r="J5996" s="6">
        <v>18.155044450475</v>
      </c>
      <c r="K5996" s="6">
        <v>-96.576151840593994</v>
      </c>
      <c r="L5996" s="6" t="str">
        <f>HYPERLINK("https://maps.google.com/?q=18.155044450474787,-96.576151840593994", "🔗 Ver Mapa")</f>
        <v>🔗 Ver Mapa</v>
      </c>
    </row>
    <row r="5997" spans="1:12" ht="43.5" x14ac:dyDescent="0.35">
      <c r="A5997" s="5" t="s">
        <v>516</v>
      </c>
      <c r="B5997" s="5" t="s">
        <v>517</v>
      </c>
      <c r="C5997" s="5" t="s">
        <v>1151</v>
      </c>
      <c r="D5997" s="5" t="s">
        <v>13</v>
      </c>
      <c r="E5997" s="5" t="s">
        <v>140</v>
      </c>
      <c r="F5997" s="5" t="s">
        <v>141</v>
      </c>
      <c r="G5997" s="5" t="s">
        <v>1152</v>
      </c>
      <c r="H5997" s="5" t="s">
        <v>1153</v>
      </c>
      <c r="I5997" s="5" t="s">
        <v>32</v>
      </c>
      <c r="J5997" s="5">
        <v>18.155063773978</v>
      </c>
      <c r="K5997" s="5">
        <v>-96.574676325561001</v>
      </c>
      <c r="L5997" s="5" t="str">
        <f>HYPERLINK("https://maps.google.com/?q=18.15506377397803,-96.574676325560972", "🔗 Ver Mapa")</f>
        <v>🔗 Ver Mapa</v>
      </c>
    </row>
    <row r="5998" spans="1:12" ht="43.5" x14ac:dyDescent="0.35">
      <c r="A5998" s="6" t="s">
        <v>516</v>
      </c>
      <c r="B5998" s="6" t="s">
        <v>517</v>
      </c>
      <c r="C5998" s="6" t="s">
        <v>1151</v>
      </c>
      <c r="D5998" s="6" t="s">
        <v>13</v>
      </c>
      <c r="E5998" s="6" t="s">
        <v>140</v>
      </c>
      <c r="F5998" s="6" t="s">
        <v>141</v>
      </c>
      <c r="G5998" s="6" t="s">
        <v>1152</v>
      </c>
      <c r="H5998" s="6" t="s">
        <v>1153</v>
      </c>
      <c r="I5998" s="6" t="s">
        <v>32</v>
      </c>
      <c r="J5998" s="6">
        <v>18.155090662414</v>
      </c>
      <c r="K5998" s="6">
        <v>-96.576872908561995</v>
      </c>
      <c r="L5998" s="6" t="str">
        <f>HYPERLINK("https://maps.google.com/?q=18.15509066241367,-96.576872908561754", "🔗 Ver Mapa")</f>
        <v>🔗 Ver Mapa</v>
      </c>
    </row>
    <row r="5999" spans="1:12" ht="43.5" x14ac:dyDescent="0.35">
      <c r="A5999" s="5" t="s">
        <v>516</v>
      </c>
      <c r="B5999" s="5" t="s">
        <v>517</v>
      </c>
      <c r="C5999" s="5" t="s">
        <v>1151</v>
      </c>
      <c r="D5999" s="5" t="s">
        <v>13</v>
      </c>
      <c r="E5999" s="5" t="s">
        <v>140</v>
      </c>
      <c r="F5999" s="5" t="s">
        <v>141</v>
      </c>
      <c r="G5999" s="5" t="s">
        <v>1152</v>
      </c>
      <c r="H5999" s="5" t="s">
        <v>1153</v>
      </c>
      <c r="I5999" s="5" t="s">
        <v>32</v>
      </c>
      <c r="J5999" s="5">
        <v>18.155113203534999</v>
      </c>
      <c r="K5999" s="5">
        <v>-96.576683550249001</v>
      </c>
      <c r="L5999" s="5" t="str">
        <f>HYPERLINK("https://maps.google.com/?q=18.155113203534633,-96.576683550249314", "🔗 Ver Mapa")</f>
        <v>🔗 Ver Mapa</v>
      </c>
    </row>
    <row r="6000" spans="1:12" ht="43.5" x14ac:dyDescent="0.35">
      <c r="A6000" s="6" t="s">
        <v>516</v>
      </c>
      <c r="B6000" s="6" t="s">
        <v>517</v>
      </c>
      <c r="C6000" s="6" t="s">
        <v>1151</v>
      </c>
      <c r="D6000" s="6" t="s">
        <v>13</v>
      </c>
      <c r="E6000" s="6" t="s">
        <v>140</v>
      </c>
      <c r="F6000" s="6" t="s">
        <v>141</v>
      </c>
      <c r="G6000" s="6" t="s">
        <v>1152</v>
      </c>
      <c r="H6000" s="6" t="s">
        <v>1153</v>
      </c>
      <c r="I6000" s="6" t="s">
        <v>32</v>
      </c>
      <c r="J6000" s="6">
        <v>18.155161339288998</v>
      </c>
      <c r="K6000" s="6">
        <v>-96.576482596138007</v>
      </c>
      <c r="L6000" s="6" t="str">
        <f>HYPERLINK("https://maps.google.com/?q=18.155161339289176,-96.576482596137652", "🔗 Ver Mapa")</f>
        <v>🔗 Ver Mapa</v>
      </c>
    </row>
    <row r="6001" spans="1:12" ht="43.5" x14ac:dyDescent="0.35">
      <c r="A6001" s="5" t="s">
        <v>516</v>
      </c>
      <c r="B6001" s="5" t="s">
        <v>517</v>
      </c>
      <c r="C6001" s="5" t="s">
        <v>1151</v>
      </c>
      <c r="D6001" s="5" t="s">
        <v>13</v>
      </c>
      <c r="E6001" s="5" t="s">
        <v>140</v>
      </c>
      <c r="F6001" s="5" t="s">
        <v>141</v>
      </c>
      <c r="G6001" s="5" t="s">
        <v>1152</v>
      </c>
      <c r="H6001" s="5" t="s">
        <v>1153</v>
      </c>
      <c r="I6001" s="5" t="s">
        <v>32</v>
      </c>
      <c r="J6001" s="5">
        <v>18.155179051187002</v>
      </c>
      <c r="K6001" s="5">
        <v>-96.576175303249997</v>
      </c>
      <c r="L6001" s="5" t="str">
        <f>HYPERLINK("https://maps.google.com/?q=18.1551790511865,-96.576175303250011", "🔗 Ver Mapa")</f>
        <v>🔗 Ver Mapa</v>
      </c>
    </row>
    <row r="6002" spans="1:12" ht="43.5" x14ac:dyDescent="0.35">
      <c r="A6002" s="6" t="s">
        <v>516</v>
      </c>
      <c r="B6002" s="6" t="s">
        <v>517</v>
      </c>
      <c r="C6002" s="6" t="s">
        <v>1151</v>
      </c>
      <c r="D6002" s="6" t="s">
        <v>13</v>
      </c>
      <c r="E6002" s="6" t="s">
        <v>140</v>
      </c>
      <c r="F6002" s="6" t="s">
        <v>141</v>
      </c>
      <c r="G6002" s="6" t="s">
        <v>1152</v>
      </c>
      <c r="H6002" s="6" t="s">
        <v>1153</v>
      </c>
      <c r="I6002" s="6" t="s">
        <v>32</v>
      </c>
      <c r="J6002" s="6">
        <v>18.155183447035</v>
      </c>
      <c r="K6002" s="6">
        <v>-96.574475895160006</v>
      </c>
      <c r="L6002" s="6" t="str">
        <f>HYPERLINK("https://maps.google.com/?q=18.155183447035327,-96.574475895160177", "🔗 Ver Mapa")</f>
        <v>🔗 Ver Mapa</v>
      </c>
    </row>
    <row r="6003" spans="1:12" ht="43.5" x14ac:dyDescent="0.35">
      <c r="A6003" s="5" t="s">
        <v>516</v>
      </c>
      <c r="B6003" s="5" t="s">
        <v>517</v>
      </c>
      <c r="C6003" s="5" t="s">
        <v>1151</v>
      </c>
      <c r="D6003" s="5" t="s">
        <v>13</v>
      </c>
      <c r="E6003" s="5" t="s">
        <v>140</v>
      </c>
      <c r="F6003" s="5" t="s">
        <v>141</v>
      </c>
      <c r="G6003" s="5" t="s">
        <v>1152</v>
      </c>
      <c r="H6003" s="5" t="s">
        <v>1153</v>
      </c>
      <c r="I6003" s="5" t="s">
        <v>32</v>
      </c>
      <c r="J6003" s="5">
        <v>18.155201081582</v>
      </c>
      <c r="K6003" s="5">
        <v>-96.572374120296999</v>
      </c>
      <c r="L6003" s="5" t="str">
        <f>HYPERLINK("https://maps.google.com/?q=18.15520108158213,-96.572374120296573", "🔗 Ver Mapa")</f>
        <v>🔗 Ver Mapa</v>
      </c>
    </row>
    <row r="6004" spans="1:12" ht="43.5" x14ac:dyDescent="0.35">
      <c r="A6004" s="6" t="s">
        <v>516</v>
      </c>
      <c r="B6004" s="6" t="s">
        <v>517</v>
      </c>
      <c r="C6004" s="6" t="s">
        <v>1151</v>
      </c>
      <c r="D6004" s="6" t="s">
        <v>13</v>
      </c>
      <c r="E6004" s="6" t="s">
        <v>140</v>
      </c>
      <c r="F6004" s="6" t="s">
        <v>141</v>
      </c>
      <c r="G6004" s="6" t="s">
        <v>1152</v>
      </c>
      <c r="H6004" s="6" t="s">
        <v>1153</v>
      </c>
      <c r="I6004" s="6" t="s">
        <v>32</v>
      </c>
      <c r="J6004" s="6">
        <v>18.155210337111999</v>
      </c>
      <c r="K6004" s="6">
        <v>-96.574201920304006</v>
      </c>
      <c r="L6004" s="6" t="str">
        <f>HYPERLINK("https://maps.google.com/?q=18.155210337112173,-96.574201920304205", "🔗 Ver Mapa")</f>
        <v>🔗 Ver Mapa</v>
      </c>
    </row>
    <row r="6005" spans="1:12" ht="43.5" x14ac:dyDescent="0.35">
      <c r="A6005" s="5" t="s">
        <v>516</v>
      </c>
      <c r="B6005" s="5" t="s">
        <v>517</v>
      </c>
      <c r="C6005" s="5" t="s">
        <v>1151</v>
      </c>
      <c r="D6005" s="5" t="s">
        <v>13</v>
      </c>
      <c r="E6005" s="5" t="s">
        <v>140</v>
      </c>
      <c r="F6005" s="5" t="s">
        <v>141</v>
      </c>
      <c r="G6005" s="5" t="s">
        <v>1152</v>
      </c>
      <c r="H6005" s="5" t="s">
        <v>1153</v>
      </c>
      <c r="I6005" s="5" t="s">
        <v>32</v>
      </c>
      <c r="J6005" s="5">
        <v>18.155214378688999</v>
      </c>
      <c r="K6005" s="5">
        <v>-96.576326734052998</v>
      </c>
      <c r="L6005" s="5" t="str">
        <f>HYPERLINK("https://maps.google.com/?q=18.155214378689227,-96.576326734052714", "🔗 Ver Mapa")</f>
        <v>🔗 Ver Mapa</v>
      </c>
    </row>
    <row r="6006" spans="1:12" ht="43.5" x14ac:dyDescent="0.35">
      <c r="A6006" s="6" t="s">
        <v>516</v>
      </c>
      <c r="B6006" s="6" t="s">
        <v>517</v>
      </c>
      <c r="C6006" s="6" t="s">
        <v>1151</v>
      </c>
      <c r="D6006" s="6" t="s">
        <v>13</v>
      </c>
      <c r="E6006" s="6" t="s">
        <v>140</v>
      </c>
      <c r="F6006" s="6" t="s">
        <v>141</v>
      </c>
      <c r="G6006" s="6" t="s">
        <v>1152</v>
      </c>
      <c r="H6006" s="6" t="s">
        <v>1153</v>
      </c>
      <c r="I6006" s="6" t="s">
        <v>32</v>
      </c>
      <c r="J6006" s="6">
        <v>18.155215338049999</v>
      </c>
      <c r="K6006" s="6">
        <v>-96.575801148142006</v>
      </c>
      <c r="L6006" s="6" t="str">
        <f>HYPERLINK("https://maps.google.com/?q=18.155215338050496,-96.575801148141522", "🔗 Ver Mapa")</f>
        <v>🔗 Ver Mapa</v>
      </c>
    </row>
    <row r="6007" spans="1:12" ht="43.5" x14ac:dyDescent="0.35">
      <c r="A6007" s="5" t="s">
        <v>516</v>
      </c>
      <c r="B6007" s="5" t="s">
        <v>517</v>
      </c>
      <c r="C6007" s="5" t="s">
        <v>1151</v>
      </c>
      <c r="D6007" s="5" t="s">
        <v>13</v>
      </c>
      <c r="E6007" s="5" t="s">
        <v>140</v>
      </c>
      <c r="F6007" s="5" t="s">
        <v>141</v>
      </c>
      <c r="G6007" s="5" t="s">
        <v>1152</v>
      </c>
      <c r="H6007" s="5" t="s">
        <v>1153</v>
      </c>
      <c r="I6007" s="5" t="s">
        <v>32</v>
      </c>
      <c r="J6007" s="5">
        <v>18.155222192515001</v>
      </c>
      <c r="K6007" s="5">
        <v>-96.575829018595002</v>
      </c>
      <c r="L6007" s="5" t="str">
        <f>HYPERLINK("https://maps.google.com/?q=18.155222192515392,-96.575829018594632", "🔗 Ver Mapa")</f>
        <v>🔗 Ver Mapa</v>
      </c>
    </row>
    <row r="6008" spans="1:12" ht="43.5" x14ac:dyDescent="0.35">
      <c r="A6008" s="6" t="s">
        <v>516</v>
      </c>
      <c r="B6008" s="6" t="s">
        <v>517</v>
      </c>
      <c r="C6008" s="6" t="s">
        <v>1151</v>
      </c>
      <c r="D6008" s="6" t="s">
        <v>13</v>
      </c>
      <c r="E6008" s="6" t="s">
        <v>140</v>
      </c>
      <c r="F6008" s="6" t="s">
        <v>141</v>
      </c>
      <c r="G6008" s="6" t="s">
        <v>1152</v>
      </c>
      <c r="H6008" s="6" t="s">
        <v>1153</v>
      </c>
      <c r="I6008" s="6" t="s">
        <v>32</v>
      </c>
      <c r="J6008" s="6">
        <v>18.155277132106001</v>
      </c>
      <c r="K6008" s="6">
        <v>-96.575995767354001</v>
      </c>
      <c r="L6008" s="6" t="str">
        <f>HYPERLINK("https://maps.google.com/?q=18.15527713210628,-96.575995767354286", "🔗 Ver Mapa")</f>
        <v>🔗 Ver Mapa</v>
      </c>
    </row>
    <row r="6009" spans="1:12" ht="43.5" x14ac:dyDescent="0.35">
      <c r="A6009" s="5" t="s">
        <v>516</v>
      </c>
      <c r="B6009" s="5" t="s">
        <v>517</v>
      </c>
      <c r="C6009" s="5" t="s">
        <v>1151</v>
      </c>
      <c r="D6009" s="5" t="s">
        <v>13</v>
      </c>
      <c r="E6009" s="5" t="s">
        <v>140</v>
      </c>
      <c r="F6009" s="5" t="s">
        <v>141</v>
      </c>
      <c r="G6009" s="5" t="s">
        <v>1152</v>
      </c>
      <c r="H6009" s="5" t="s">
        <v>1153</v>
      </c>
      <c r="I6009" s="5" t="s">
        <v>32</v>
      </c>
      <c r="J6009" s="5">
        <v>18.155290156745</v>
      </c>
      <c r="K6009" s="5">
        <v>-96.574221602978</v>
      </c>
      <c r="L6009" s="5" t="str">
        <f>HYPERLINK("https://maps.google.com/?q=18.15529015674514,-96.574221602977616", "🔗 Ver Mapa")</f>
        <v>🔗 Ver Mapa</v>
      </c>
    </row>
    <row r="6010" spans="1:12" ht="43.5" x14ac:dyDescent="0.35">
      <c r="A6010" s="6" t="s">
        <v>516</v>
      </c>
      <c r="B6010" s="6" t="s">
        <v>517</v>
      </c>
      <c r="C6010" s="6" t="s">
        <v>1151</v>
      </c>
      <c r="D6010" s="6" t="s">
        <v>13</v>
      </c>
      <c r="E6010" s="6" t="s">
        <v>140</v>
      </c>
      <c r="F6010" s="6" t="s">
        <v>141</v>
      </c>
      <c r="G6010" s="6" t="s">
        <v>1152</v>
      </c>
      <c r="H6010" s="6" t="s">
        <v>1153</v>
      </c>
      <c r="I6010" s="6" t="s">
        <v>32</v>
      </c>
      <c r="J6010" s="6">
        <v>18.155291698816999</v>
      </c>
      <c r="K6010" s="6">
        <v>-96.572447787841995</v>
      </c>
      <c r="L6010" s="6" t="str">
        <f>HYPERLINK("https://maps.google.com/?q=18.155291698817148,-96.572447787842094", "🔗 Ver Mapa")</f>
        <v>🔗 Ver Mapa</v>
      </c>
    </row>
    <row r="6011" spans="1:12" ht="43.5" x14ac:dyDescent="0.35">
      <c r="A6011" s="5" t="s">
        <v>516</v>
      </c>
      <c r="B6011" s="5" t="s">
        <v>517</v>
      </c>
      <c r="C6011" s="5" t="s">
        <v>1151</v>
      </c>
      <c r="D6011" s="5" t="s">
        <v>13</v>
      </c>
      <c r="E6011" s="5" t="s">
        <v>140</v>
      </c>
      <c r="F6011" s="5" t="s">
        <v>141</v>
      </c>
      <c r="G6011" s="5" t="s">
        <v>1152</v>
      </c>
      <c r="H6011" s="5" t="s">
        <v>1153</v>
      </c>
      <c r="I6011" s="5" t="s">
        <v>32</v>
      </c>
      <c r="J6011" s="5">
        <v>18.155295766038002</v>
      </c>
      <c r="K6011" s="5">
        <v>-96.576205720526005</v>
      </c>
      <c r="L6011" s="5" t="str">
        <f>HYPERLINK("https://maps.google.com/?q=18.155295766038204,-96.576205720525721", "🔗 Ver Mapa")</f>
        <v>🔗 Ver Mapa</v>
      </c>
    </row>
    <row r="6012" spans="1:12" ht="43.5" x14ac:dyDescent="0.35">
      <c r="A6012" s="6" t="s">
        <v>516</v>
      </c>
      <c r="B6012" s="6" t="s">
        <v>517</v>
      </c>
      <c r="C6012" s="6" t="s">
        <v>1151</v>
      </c>
      <c r="D6012" s="6" t="s">
        <v>13</v>
      </c>
      <c r="E6012" s="6" t="s">
        <v>140</v>
      </c>
      <c r="F6012" s="6" t="s">
        <v>141</v>
      </c>
      <c r="G6012" s="6" t="s">
        <v>1152</v>
      </c>
      <c r="H6012" s="6" t="s">
        <v>1153</v>
      </c>
      <c r="I6012" s="6" t="s">
        <v>32</v>
      </c>
      <c r="J6012" s="6">
        <v>18.155310258899998</v>
      </c>
      <c r="K6012" s="6">
        <v>-96.576137402989005</v>
      </c>
      <c r="L6012" s="6" t="str">
        <f>HYPERLINK("https://maps.google.com/?q=18.155310258900332,-96.576137402989474", "🔗 Ver Mapa")</f>
        <v>🔗 Ver Mapa</v>
      </c>
    </row>
    <row r="6013" spans="1:12" ht="43.5" x14ac:dyDescent="0.35">
      <c r="A6013" s="5" t="s">
        <v>516</v>
      </c>
      <c r="B6013" s="5" t="s">
        <v>517</v>
      </c>
      <c r="C6013" s="5" t="s">
        <v>1151</v>
      </c>
      <c r="D6013" s="5" t="s">
        <v>13</v>
      </c>
      <c r="E6013" s="5" t="s">
        <v>140</v>
      </c>
      <c r="F6013" s="5" t="s">
        <v>141</v>
      </c>
      <c r="G6013" s="5" t="s">
        <v>1152</v>
      </c>
      <c r="H6013" s="5" t="s">
        <v>1153</v>
      </c>
      <c r="I6013" s="5" t="s">
        <v>32</v>
      </c>
      <c r="J6013" s="5">
        <v>18.155385074474999</v>
      </c>
      <c r="K6013" s="5">
        <v>-96.574056375702</v>
      </c>
      <c r="L6013" s="5" t="str">
        <f>HYPERLINK("https://maps.google.com/?q=18.15538507447465,-96.574056375702327", "🔗 Ver Mapa")</f>
        <v>🔗 Ver Mapa</v>
      </c>
    </row>
    <row r="6014" spans="1:12" ht="43.5" x14ac:dyDescent="0.35">
      <c r="A6014" s="6" t="s">
        <v>516</v>
      </c>
      <c r="B6014" s="6" t="s">
        <v>517</v>
      </c>
      <c r="C6014" s="6" t="s">
        <v>1151</v>
      </c>
      <c r="D6014" s="6" t="s">
        <v>13</v>
      </c>
      <c r="E6014" s="6" t="s">
        <v>140</v>
      </c>
      <c r="F6014" s="6" t="s">
        <v>141</v>
      </c>
      <c r="G6014" s="6" t="s">
        <v>1152</v>
      </c>
      <c r="H6014" s="6" t="s">
        <v>1153</v>
      </c>
      <c r="I6014" s="6" t="s">
        <v>32</v>
      </c>
      <c r="J6014" s="6">
        <v>18.155484586255</v>
      </c>
      <c r="K6014" s="6">
        <v>-96.576324517938005</v>
      </c>
      <c r="L6014" s="6" t="str">
        <f>HYPERLINK("https://maps.google.com/?q=18.155484586254723,-96.576324517937707", "🔗 Ver Mapa")</f>
        <v>🔗 Ver Mapa</v>
      </c>
    </row>
    <row r="6015" spans="1:12" ht="43.5" x14ac:dyDescent="0.35">
      <c r="A6015" s="5" t="s">
        <v>516</v>
      </c>
      <c r="B6015" s="5" t="s">
        <v>517</v>
      </c>
      <c r="C6015" s="5" t="s">
        <v>1151</v>
      </c>
      <c r="D6015" s="5" t="s">
        <v>13</v>
      </c>
      <c r="E6015" s="5" t="s">
        <v>140</v>
      </c>
      <c r="F6015" s="5" t="s">
        <v>141</v>
      </c>
      <c r="G6015" s="5" t="s">
        <v>1152</v>
      </c>
      <c r="H6015" s="5" t="s">
        <v>1153</v>
      </c>
      <c r="I6015" s="5" t="s">
        <v>32</v>
      </c>
      <c r="J6015" s="5">
        <v>18.155624545436002</v>
      </c>
      <c r="K6015" s="5">
        <v>-96.573615453363004</v>
      </c>
      <c r="L6015" s="5" t="str">
        <f>HYPERLINK("https://maps.google.com/?q=18.155624545435955,-96.573615453362549", "🔗 Ver Mapa")</f>
        <v>🔗 Ver Mapa</v>
      </c>
    </row>
    <row r="6016" spans="1:12" ht="43.5" x14ac:dyDescent="0.35">
      <c r="A6016" s="6" t="s">
        <v>516</v>
      </c>
      <c r="B6016" s="6" t="s">
        <v>517</v>
      </c>
      <c r="C6016" s="6" t="s">
        <v>1151</v>
      </c>
      <c r="D6016" s="6" t="s">
        <v>13</v>
      </c>
      <c r="E6016" s="6" t="s">
        <v>140</v>
      </c>
      <c r="F6016" s="6" t="s">
        <v>141</v>
      </c>
      <c r="G6016" s="6" t="s">
        <v>1152</v>
      </c>
      <c r="H6016" s="6" t="s">
        <v>1153</v>
      </c>
      <c r="I6016" s="6" t="s">
        <v>32</v>
      </c>
      <c r="J6016" s="6">
        <v>18.155665605233001</v>
      </c>
      <c r="K6016" s="6">
        <v>-96.576261555480002</v>
      </c>
      <c r="L6016" s="6" t="str">
        <f>HYPERLINK("https://maps.google.com/?q=18.155665605233192,-96.5762615554804", "🔗 Ver Mapa")</f>
        <v>🔗 Ver Mapa</v>
      </c>
    </row>
    <row r="6017" spans="1:12" ht="43.5" x14ac:dyDescent="0.35">
      <c r="A6017" s="5" t="s">
        <v>516</v>
      </c>
      <c r="B6017" s="5" t="s">
        <v>517</v>
      </c>
      <c r="C6017" s="5" t="s">
        <v>1151</v>
      </c>
      <c r="D6017" s="5" t="s">
        <v>13</v>
      </c>
      <c r="E6017" s="5" t="s">
        <v>140</v>
      </c>
      <c r="F6017" s="5" t="s">
        <v>141</v>
      </c>
      <c r="G6017" s="5" t="s">
        <v>1152</v>
      </c>
      <c r="H6017" s="5" t="s">
        <v>1153</v>
      </c>
      <c r="I6017" s="5" t="s">
        <v>32</v>
      </c>
      <c r="J6017" s="5">
        <v>18.155708908800001</v>
      </c>
      <c r="K6017" s="5">
        <v>-96.576085703662002</v>
      </c>
      <c r="L6017" s="5" t="str">
        <f>HYPERLINK("https://maps.google.com/?q=18.155708908800033,-96.576085703662031", "🔗 Ver Mapa")</f>
        <v>🔗 Ver Mapa</v>
      </c>
    </row>
    <row r="6018" spans="1:12" ht="43.5" x14ac:dyDescent="0.35">
      <c r="A6018" s="6" t="s">
        <v>516</v>
      </c>
      <c r="B6018" s="6" t="s">
        <v>517</v>
      </c>
      <c r="C6018" s="6" t="s">
        <v>1151</v>
      </c>
      <c r="D6018" s="6" t="s">
        <v>13</v>
      </c>
      <c r="E6018" s="6" t="s">
        <v>140</v>
      </c>
      <c r="F6018" s="6" t="s">
        <v>141</v>
      </c>
      <c r="G6018" s="6" t="s">
        <v>1152</v>
      </c>
      <c r="H6018" s="6" t="s">
        <v>1153</v>
      </c>
      <c r="I6018" s="6" t="s">
        <v>32</v>
      </c>
      <c r="J6018" s="6">
        <v>18.155733000512001</v>
      </c>
      <c r="K6018" s="6">
        <v>-96.573413664998995</v>
      </c>
      <c r="L6018" s="6" t="str">
        <f>HYPERLINK("https://maps.google.com/?q=18.155733000512313,-96.57341366499908", "🔗 Ver Mapa")</f>
        <v>🔗 Ver Mapa</v>
      </c>
    </row>
    <row r="6019" spans="1:12" ht="43.5" x14ac:dyDescent="0.35">
      <c r="A6019" s="5" t="s">
        <v>516</v>
      </c>
      <c r="B6019" s="5" t="s">
        <v>517</v>
      </c>
      <c r="C6019" s="5" t="s">
        <v>1151</v>
      </c>
      <c r="D6019" s="5" t="s">
        <v>13</v>
      </c>
      <c r="E6019" s="5" t="s">
        <v>140</v>
      </c>
      <c r="F6019" s="5" t="s">
        <v>141</v>
      </c>
      <c r="G6019" s="5" t="s">
        <v>1152</v>
      </c>
      <c r="H6019" s="5" t="s">
        <v>1153</v>
      </c>
      <c r="I6019" s="5" t="s">
        <v>32</v>
      </c>
      <c r="J6019" s="5">
        <v>18.155741941051001</v>
      </c>
      <c r="K6019" s="5">
        <v>-96.575790102501003</v>
      </c>
      <c r="L6019" s="5" t="str">
        <f>HYPERLINK("https://maps.google.com/?q=18.15574194105084,-96.575790102500818", "🔗 Ver Mapa")</f>
        <v>🔗 Ver Mapa</v>
      </c>
    </row>
    <row r="6020" spans="1:12" ht="43.5" x14ac:dyDescent="0.35">
      <c r="A6020" s="6" t="s">
        <v>516</v>
      </c>
      <c r="B6020" s="6" t="s">
        <v>517</v>
      </c>
      <c r="C6020" s="6" t="s">
        <v>1151</v>
      </c>
      <c r="D6020" s="6" t="s">
        <v>13</v>
      </c>
      <c r="E6020" s="6" t="s">
        <v>140</v>
      </c>
      <c r="F6020" s="6" t="s">
        <v>141</v>
      </c>
      <c r="G6020" s="6" t="s">
        <v>1152</v>
      </c>
      <c r="H6020" s="6" t="s">
        <v>1153</v>
      </c>
      <c r="I6020" s="6" t="s">
        <v>32</v>
      </c>
      <c r="J6020" s="6">
        <v>18.155824378786999</v>
      </c>
      <c r="K6020" s="6">
        <v>-96.573218536712005</v>
      </c>
      <c r="L6020" s="6" t="str">
        <f>HYPERLINK("https://maps.google.com/?q=18.1558243787871,-96.573218536712346", "🔗 Ver Mapa")</f>
        <v>🔗 Ver Mapa</v>
      </c>
    </row>
    <row r="6021" spans="1:12" ht="43.5" x14ac:dyDescent="0.35">
      <c r="A6021" s="5" t="s">
        <v>516</v>
      </c>
      <c r="B6021" s="5" t="s">
        <v>517</v>
      </c>
      <c r="C6021" s="5" t="s">
        <v>1151</v>
      </c>
      <c r="D6021" s="5" t="s">
        <v>13</v>
      </c>
      <c r="E6021" s="5" t="s">
        <v>140</v>
      </c>
      <c r="F6021" s="5" t="s">
        <v>141</v>
      </c>
      <c r="G6021" s="5" t="s">
        <v>1152</v>
      </c>
      <c r="H6021" s="5" t="s">
        <v>1153</v>
      </c>
      <c r="I6021" s="5" t="s">
        <v>32</v>
      </c>
      <c r="J6021" s="5">
        <v>18.155883661939001</v>
      </c>
      <c r="K6021" s="5">
        <v>-96.573092441700993</v>
      </c>
      <c r="L6021" s="5" t="str">
        <f>HYPERLINK("https://maps.google.com/?q=18.155883661938855,-96.573092441701135", "🔗 Ver Mapa")</f>
        <v>🔗 Ver Mapa</v>
      </c>
    </row>
    <row r="6022" spans="1:12" ht="43.5" x14ac:dyDescent="0.35">
      <c r="A6022" s="6" t="s">
        <v>516</v>
      </c>
      <c r="B6022" s="6" t="s">
        <v>517</v>
      </c>
      <c r="C6022" s="6" t="s">
        <v>1151</v>
      </c>
      <c r="D6022" s="6" t="s">
        <v>13</v>
      </c>
      <c r="E6022" s="6" t="s">
        <v>140</v>
      </c>
      <c r="F6022" s="6" t="s">
        <v>141</v>
      </c>
      <c r="G6022" s="6" t="s">
        <v>1152</v>
      </c>
      <c r="H6022" s="6" t="s">
        <v>1153</v>
      </c>
      <c r="I6022" s="6" t="s">
        <v>32</v>
      </c>
      <c r="J6022" s="6">
        <v>18.155893947305</v>
      </c>
      <c r="K6022" s="6">
        <v>-96.57568974902</v>
      </c>
      <c r="L6022" s="6" t="str">
        <f>HYPERLINK("https://maps.google.com/?q=18.155893947305103,-96.575689749020199", "🔗 Ver Mapa")</f>
        <v>🔗 Ver Mapa</v>
      </c>
    </row>
    <row r="6023" spans="1:12" ht="43.5" x14ac:dyDescent="0.35">
      <c r="A6023" s="5" t="s">
        <v>516</v>
      </c>
      <c r="B6023" s="5" t="s">
        <v>517</v>
      </c>
      <c r="C6023" s="5" t="s">
        <v>1151</v>
      </c>
      <c r="D6023" s="5" t="s">
        <v>13</v>
      </c>
      <c r="E6023" s="5" t="s">
        <v>140</v>
      </c>
      <c r="F6023" s="5" t="s">
        <v>141</v>
      </c>
      <c r="G6023" s="5" t="s">
        <v>1152</v>
      </c>
      <c r="H6023" s="5" t="s">
        <v>1153</v>
      </c>
      <c r="I6023" s="5" t="s">
        <v>32</v>
      </c>
      <c r="J6023" s="5">
        <v>18.15592249809</v>
      </c>
      <c r="K6023" s="5">
        <v>-96.572934979406</v>
      </c>
      <c r="L6023" s="5" t="str">
        <f>HYPERLINK("https://maps.google.com/?q=18.155922498090266,-96.572934979405687", "🔗 Ver Mapa")</f>
        <v>🔗 Ver Mapa</v>
      </c>
    </row>
    <row r="6024" spans="1:12" ht="43.5" x14ac:dyDescent="0.35">
      <c r="A6024" s="6" t="s">
        <v>516</v>
      </c>
      <c r="B6024" s="6" t="s">
        <v>517</v>
      </c>
      <c r="C6024" s="6" t="s">
        <v>1151</v>
      </c>
      <c r="D6024" s="6" t="s">
        <v>13</v>
      </c>
      <c r="E6024" s="6" t="s">
        <v>140</v>
      </c>
      <c r="F6024" s="6" t="s">
        <v>141</v>
      </c>
      <c r="G6024" s="6" t="s">
        <v>1152</v>
      </c>
      <c r="H6024" s="6" t="s">
        <v>1153</v>
      </c>
      <c r="I6024" s="6" t="s">
        <v>32</v>
      </c>
      <c r="J6024" s="6">
        <v>18.156017903868001</v>
      </c>
      <c r="K6024" s="6">
        <v>-96.575778736245994</v>
      </c>
      <c r="L6024" s="6" t="str">
        <f>HYPERLINK("https://maps.google.com/?q=18.1560179038682,-96.575778736245724", "🔗 Ver Mapa")</f>
        <v>🔗 Ver Mapa</v>
      </c>
    </row>
    <row r="6025" spans="1:12" ht="43.5" x14ac:dyDescent="0.35">
      <c r="A6025" s="5" t="s">
        <v>516</v>
      </c>
      <c r="B6025" s="5" t="s">
        <v>517</v>
      </c>
      <c r="C6025" s="5" t="s">
        <v>1151</v>
      </c>
      <c r="D6025" s="5" t="s">
        <v>13</v>
      </c>
      <c r="E6025" s="5" t="s">
        <v>140</v>
      </c>
      <c r="F6025" s="5" t="s">
        <v>141</v>
      </c>
      <c r="G6025" s="5" t="s">
        <v>1152</v>
      </c>
      <c r="H6025" s="5" t="s">
        <v>1153</v>
      </c>
      <c r="I6025" s="5" t="s">
        <v>32</v>
      </c>
      <c r="J6025" s="5">
        <v>18.156046770808</v>
      </c>
      <c r="K6025" s="5">
        <v>-96.575983636245994</v>
      </c>
      <c r="L6025" s="5" t="str">
        <f>HYPERLINK("https://maps.google.com/?q=18.156046770807695,-96.575983636245724", "🔗 Ver Mapa")</f>
        <v>🔗 Ver Mapa</v>
      </c>
    </row>
    <row r="6026" spans="1:12" ht="43.5" x14ac:dyDescent="0.35">
      <c r="A6026" s="6" t="s">
        <v>516</v>
      </c>
      <c r="B6026" s="6" t="s">
        <v>517</v>
      </c>
      <c r="C6026" s="6" t="s">
        <v>1151</v>
      </c>
      <c r="D6026" s="6" t="s">
        <v>13</v>
      </c>
      <c r="E6026" s="6" t="s">
        <v>140</v>
      </c>
      <c r="F6026" s="6" t="s">
        <v>141</v>
      </c>
      <c r="G6026" s="6" t="s">
        <v>1152</v>
      </c>
      <c r="H6026" s="6" t="s">
        <v>1153</v>
      </c>
      <c r="I6026" s="6" t="s">
        <v>32</v>
      </c>
      <c r="J6026" s="6">
        <v>18.156101919592</v>
      </c>
      <c r="K6026" s="6">
        <v>-96.572624033899004</v>
      </c>
      <c r="L6026" s="6" t="str">
        <f>HYPERLINK("https://maps.google.com/?q=18.156101919591638,-96.572624033899373", "🔗 Ver Mapa")</f>
        <v>🔗 Ver Mapa</v>
      </c>
    </row>
    <row r="6027" spans="1:12" ht="43.5" x14ac:dyDescent="0.35">
      <c r="A6027" s="5" t="s">
        <v>516</v>
      </c>
      <c r="B6027" s="5" t="s">
        <v>517</v>
      </c>
      <c r="C6027" s="5" t="s">
        <v>1151</v>
      </c>
      <c r="D6027" s="5" t="s">
        <v>13</v>
      </c>
      <c r="E6027" s="5" t="s">
        <v>140</v>
      </c>
      <c r="F6027" s="5" t="s">
        <v>141</v>
      </c>
      <c r="G6027" s="5" t="s">
        <v>1152</v>
      </c>
      <c r="H6027" s="5" t="s">
        <v>1153</v>
      </c>
      <c r="I6027" s="5" t="s">
        <v>32</v>
      </c>
      <c r="J6027" s="5">
        <v>18.156137645992999</v>
      </c>
      <c r="K6027" s="5">
        <v>-96.576135151591004</v>
      </c>
      <c r="L6027" s="5" t="str">
        <f>HYPERLINK("https://maps.google.com/?q=18.156137645992704,-96.576135151590933", "🔗 Ver Mapa")</f>
        <v>🔗 Ver Mapa</v>
      </c>
    </row>
    <row r="6028" spans="1:12" ht="43.5" x14ac:dyDescent="0.35">
      <c r="A6028" s="6" t="s">
        <v>516</v>
      </c>
      <c r="B6028" s="6" t="s">
        <v>517</v>
      </c>
      <c r="C6028" s="6" t="s">
        <v>1151</v>
      </c>
      <c r="D6028" s="6" t="s">
        <v>13</v>
      </c>
      <c r="E6028" s="6" t="s">
        <v>140</v>
      </c>
      <c r="F6028" s="6" t="s">
        <v>141</v>
      </c>
      <c r="G6028" s="6" t="s">
        <v>1152</v>
      </c>
      <c r="H6028" s="6" t="s">
        <v>1153</v>
      </c>
      <c r="I6028" s="6" t="s">
        <v>32</v>
      </c>
      <c r="J6028" s="6">
        <v>18.156142432666002</v>
      </c>
      <c r="K6028" s="6">
        <v>-96.577116607253998</v>
      </c>
      <c r="L6028" s="6" t="str">
        <f>HYPERLINK("https://maps.google.com/?q=18.156142432665717,-96.577116607254482", "🔗 Ver Mapa")</f>
        <v>🔗 Ver Mapa</v>
      </c>
    </row>
    <row r="6029" spans="1:12" ht="43.5" x14ac:dyDescent="0.35">
      <c r="A6029" s="5" t="s">
        <v>516</v>
      </c>
      <c r="B6029" s="5" t="s">
        <v>517</v>
      </c>
      <c r="C6029" s="5" t="s">
        <v>1151</v>
      </c>
      <c r="D6029" s="5" t="s">
        <v>13</v>
      </c>
      <c r="E6029" s="5" t="s">
        <v>140</v>
      </c>
      <c r="F6029" s="5" t="s">
        <v>141</v>
      </c>
      <c r="G6029" s="5" t="s">
        <v>1152</v>
      </c>
      <c r="H6029" s="5" t="s">
        <v>1153</v>
      </c>
      <c r="I6029" s="5" t="s">
        <v>32</v>
      </c>
      <c r="J6029" s="5">
        <v>18.156176735191998</v>
      </c>
      <c r="K6029" s="5">
        <v>-96.576943146663993</v>
      </c>
      <c r="L6029" s="5" t="str">
        <f>HYPERLINK("https://maps.google.com/?q=18.156176735192012,-96.576943146664277", "🔗 Ver Mapa")</f>
        <v>🔗 Ver Mapa</v>
      </c>
    </row>
    <row r="6030" spans="1:12" ht="43.5" x14ac:dyDescent="0.35">
      <c r="A6030" s="6" t="s">
        <v>516</v>
      </c>
      <c r="B6030" s="6" t="s">
        <v>517</v>
      </c>
      <c r="C6030" s="6" t="s">
        <v>1151</v>
      </c>
      <c r="D6030" s="6" t="s">
        <v>13</v>
      </c>
      <c r="E6030" s="6" t="s">
        <v>140</v>
      </c>
      <c r="F6030" s="6" t="s">
        <v>141</v>
      </c>
      <c r="G6030" s="6" t="s">
        <v>1152</v>
      </c>
      <c r="H6030" s="6" t="s">
        <v>1153</v>
      </c>
      <c r="I6030" s="6" t="s">
        <v>32</v>
      </c>
      <c r="J6030" s="6">
        <v>18.156177913777</v>
      </c>
      <c r="K6030" s="6">
        <v>-96.577258778268998</v>
      </c>
      <c r="L6030" s="6" t="str">
        <f>HYPERLINK("https://maps.google.com/?q=18.156177913777203,-96.577258778268671", "🔗 Ver Mapa")</f>
        <v>🔗 Ver Mapa</v>
      </c>
    </row>
    <row r="6031" spans="1:12" ht="43.5" x14ac:dyDescent="0.35">
      <c r="A6031" s="5" t="s">
        <v>516</v>
      </c>
      <c r="B6031" s="5" t="s">
        <v>517</v>
      </c>
      <c r="C6031" s="5" t="s">
        <v>1151</v>
      </c>
      <c r="D6031" s="5" t="s">
        <v>13</v>
      </c>
      <c r="E6031" s="5" t="s">
        <v>140</v>
      </c>
      <c r="F6031" s="5" t="s">
        <v>141</v>
      </c>
      <c r="G6031" s="5" t="s">
        <v>1152</v>
      </c>
      <c r="H6031" s="5" t="s">
        <v>1153</v>
      </c>
      <c r="I6031" s="5" t="s">
        <v>32</v>
      </c>
      <c r="J6031" s="5">
        <v>18.156209098339001</v>
      </c>
      <c r="K6031" s="5">
        <v>-96.577454199208006</v>
      </c>
      <c r="L6031" s="5" t="str">
        <f>HYPERLINK("https://maps.google.com/?q=18.156209098339158,-96.577454199207978", "🔗 Ver Mapa")</f>
        <v>🔗 Ver Mapa</v>
      </c>
    </row>
    <row r="6032" spans="1:12" ht="43.5" x14ac:dyDescent="0.35">
      <c r="A6032" s="6" t="s">
        <v>516</v>
      </c>
      <c r="B6032" s="6" t="s">
        <v>517</v>
      </c>
      <c r="C6032" s="6" t="s">
        <v>1151</v>
      </c>
      <c r="D6032" s="6" t="s">
        <v>13</v>
      </c>
      <c r="E6032" s="6" t="s">
        <v>140</v>
      </c>
      <c r="F6032" s="6" t="s">
        <v>141</v>
      </c>
      <c r="G6032" s="6" t="s">
        <v>1152</v>
      </c>
      <c r="H6032" s="6" t="s">
        <v>1153</v>
      </c>
      <c r="I6032" s="6" t="s">
        <v>32</v>
      </c>
      <c r="J6032" s="6">
        <v>18.156245452375</v>
      </c>
      <c r="K6032" s="6">
        <v>-96.576841580749999</v>
      </c>
      <c r="L6032" s="6" t="str">
        <f>HYPERLINK("https://maps.google.com/?q=18.156245452375355,-96.57684158075044", "🔗 Ver Mapa")</f>
        <v>🔗 Ver Mapa</v>
      </c>
    </row>
    <row r="6033" spans="1:12" ht="43.5" x14ac:dyDescent="0.35">
      <c r="A6033" s="5" t="s">
        <v>516</v>
      </c>
      <c r="B6033" s="5" t="s">
        <v>517</v>
      </c>
      <c r="C6033" s="5" t="s">
        <v>1151</v>
      </c>
      <c r="D6033" s="5" t="s">
        <v>13</v>
      </c>
      <c r="E6033" s="5" t="s">
        <v>140</v>
      </c>
      <c r="F6033" s="5" t="s">
        <v>141</v>
      </c>
      <c r="G6033" s="5" t="s">
        <v>1152</v>
      </c>
      <c r="H6033" s="5" t="s">
        <v>1153</v>
      </c>
      <c r="I6033" s="5" t="s">
        <v>32</v>
      </c>
      <c r="J6033" s="5">
        <v>18.156273186364999</v>
      </c>
      <c r="K6033" s="5">
        <v>-96.576190156644998</v>
      </c>
      <c r="L6033" s="5" t="str">
        <f>HYPERLINK("https://maps.google.com/?q=18.156273186364928,-96.57619015664504", "🔗 Ver Mapa")</f>
        <v>🔗 Ver Mapa</v>
      </c>
    </row>
    <row r="6034" spans="1:12" ht="43.5" x14ac:dyDescent="0.35">
      <c r="A6034" s="6" t="s">
        <v>516</v>
      </c>
      <c r="B6034" s="6" t="s">
        <v>517</v>
      </c>
      <c r="C6034" s="6" t="s">
        <v>1151</v>
      </c>
      <c r="D6034" s="6" t="s">
        <v>13</v>
      </c>
      <c r="E6034" s="6" t="s">
        <v>140</v>
      </c>
      <c r="F6034" s="6" t="s">
        <v>141</v>
      </c>
      <c r="G6034" s="6" t="s">
        <v>1152</v>
      </c>
      <c r="H6034" s="6" t="s">
        <v>1153</v>
      </c>
      <c r="I6034" s="6" t="s">
        <v>32</v>
      </c>
      <c r="J6034" s="6">
        <v>18.156275714559001</v>
      </c>
      <c r="K6034" s="6">
        <v>-96.572697213954996</v>
      </c>
      <c r="L6034" s="6" t="str">
        <f>HYPERLINK("https://maps.google.com/?q=18.156275714558962,-96.572697213955209", "🔗 Ver Mapa")</f>
        <v>🔗 Ver Mapa</v>
      </c>
    </row>
    <row r="6035" spans="1:12" ht="43.5" x14ac:dyDescent="0.35">
      <c r="A6035" s="5" t="s">
        <v>516</v>
      </c>
      <c r="B6035" s="5" t="s">
        <v>517</v>
      </c>
      <c r="C6035" s="5" t="s">
        <v>1151</v>
      </c>
      <c r="D6035" s="5" t="s">
        <v>13</v>
      </c>
      <c r="E6035" s="5" t="s">
        <v>140</v>
      </c>
      <c r="F6035" s="5" t="s">
        <v>141</v>
      </c>
      <c r="G6035" s="5" t="s">
        <v>1152</v>
      </c>
      <c r="H6035" s="5" t="s">
        <v>1153</v>
      </c>
      <c r="I6035" s="5" t="s">
        <v>32</v>
      </c>
      <c r="J6035" s="5">
        <v>18.156461455174</v>
      </c>
      <c r="K6035" s="5">
        <v>-96.576752343587003</v>
      </c>
      <c r="L6035" s="5" t="str">
        <f>HYPERLINK("https://maps.google.com/?q=18.156461455174085,-96.57675234358689", "🔗 Ver Mapa")</f>
        <v>🔗 Ver Mapa</v>
      </c>
    </row>
    <row r="6036" spans="1:12" ht="43.5" x14ac:dyDescent="0.35">
      <c r="A6036" s="6" t="s">
        <v>516</v>
      </c>
      <c r="B6036" s="6" t="s">
        <v>517</v>
      </c>
      <c r="C6036" s="6" t="s">
        <v>1151</v>
      </c>
      <c r="D6036" s="6" t="s">
        <v>13</v>
      </c>
      <c r="E6036" s="6" t="s">
        <v>140</v>
      </c>
      <c r="F6036" s="6" t="s">
        <v>141</v>
      </c>
      <c r="G6036" s="6" t="s">
        <v>1152</v>
      </c>
      <c r="H6036" s="6" t="s">
        <v>1153</v>
      </c>
      <c r="I6036" s="6" t="s">
        <v>32</v>
      </c>
      <c r="J6036" s="6">
        <v>18.156462506840001</v>
      </c>
      <c r="K6036" s="6">
        <v>-96.576191040161007</v>
      </c>
      <c r="L6036" s="6" t="str">
        <f>HYPERLINK("https://maps.google.com/?q=18.156462506840004,-96.57619104016068", "🔗 Ver Mapa")</f>
        <v>🔗 Ver Mapa</v>
      </c>
    </row>
    <row r="6037" spans="1:12" ht="43.5" x14ac:dyDescent="0.35">
      <c r="A6037" s="5" t="s">
        <v>516</v>
      </c>
      <c r="B6037" s="5" t="s">
        <v>517</v>
      </c>
      <c r="C6037" s="5" t="s">
        <v>1151</v>
      </c>
      <c r="D6037" s="5" t="s">
        <v>13</v>
      </c>
      <c r="E6037" s="5" t="s">
        <v>140</v>
      </c>
      <c r="F6037" s="5" t="s">
        <v>141</v>
      </c>
      <c r="G6037" s="5" t="s">
        <v>1152</v>
      </c>
      <c r="H6037" s="5" t="s">
        <v>1153</v>
      </c>
      <c r="I6037" s="5" t="s">
        <v>32</v>
      </c>
      <c r="J6037" s="5">
        <v>18.156467679784999</v>
      </c>
      <c r="K6037" s="5">
        <v>-96.572800281233</v>
      </c>
      <c r="L6037" s="5" t="str">
        <f>HYPERLINK("https://maps.google.com/?q=18.156467679784857,-96.572800281232958", "🔗 Ver Mapa")</f>
        <v>🔗 Ver Mapa</v>
      </c>
    </row>
    <row r="6038" spans="1:12" ht="43.5" x14ac:dyDescent="0.35">
      <c r="A6038" s="6" t="s">
        <v>516</v>
      </c>
      <c r="B6038" s="6" t="s">
        <v>517</v>
      </c>
      <c r="C6038" s="6" t="s">
        <v>1151</v>
      </c>
      <c r="D6038" s="6" t="s">
        <v>13</v>
      </c>
      <c r="E6038" s="6" t="s">
        <v>140</v>
      </c>
      <c r="F6038" s="6" t="s">
        <v>141</v>
      </c>
      <c r="G6038" s="6" t="s">
        <v>1152</v>
      </c>
      <c r="H6038" s="6" t="s">
        <v>1153</v>
      </c>
      <c r="I6038" s="6" t="s">
        <v>32</v>
      </c>
      <c r="J6038" s="6">
        <v>18.156592392265999</v>
      </c>
      <c r="K6038" s="6">
        <v>-96.576678640194999</v>
      </c>
      <c r="L6038" s="6" t="str">
        <f>HYPERLINK("https://maps.google.com/?q=18.156592392265527,-96.57667864019524", "🔗 Ver Mapa")</f>
        <v>🔗 Ver Mapa</v>
      </c>
    </row>
    <row r="6039" spans="1:12" ht="43.5" x14ac:dyDescent="0.35">
      <c r="A6039" s="5" t="s">
        <v>516</v>
      </c>
      <c r="B6039" s="5" t="s">
        <v>517</v>
      </c>
      <c r="C6039" s="5" t="s">
        <v>1151</v>
      </c>
      <c r="D6039" s="5" t="s">
        <v>13</v>
      </c>
      <c r="E6039" s="5" t="s">
        <v>140</v>
      </c>
      <c r="F6039" s="5" t="s">
        <v>141</v>
      </c>
      <c r="G6039" s="5" t="s">
        <v>1152</v>
      </c>
      <c r="H6039" s="5" t="s">
        <v>1153</v>
      </c>
      <c r="I6039" s="5" t="s">
        <v>32</v>
      </c>
      <c r="J6039" s="5">
        <v>18.156632863062999</v>
      </c>
      <c r="K6039" s="5">
        <v>-96.572956814858998</v>
      </c>
      <c r="L6039" s="5" t="str">
        <f>HYPERLINK("https://maps.google.com/?q=18.156632863062658,-96.572956814859253", "🔗 Ver Mapa")</f>
        <v>🔗 Ver Mapa</v>
      </c>
    </row>
    <row r="6040" spans="1:12" ht="43.5" x14ac:dyDescent="0.35">
      <c r="A6040" s="6" t="s">
        <v>516</v>
      </c>
      <c r="B6040" s="6" t="s">
        <v>517</v>
      </c>
      <c r="C6040" s="6" t="s">
        <v>1151</v>
      </c>
      <c r="D6040" s="6" t="s">
        <v>13</v>
      </c>
      <c r="E6040" s="6" t="s">
        <v>140</v>
      </c>
      <c r="F6040" s="6" t="s">
        <v>141</v>
      </c>
      <c r="G6040" s="6" t="s">
        <v>1152</v>
      </c>
      <c r="H6040" s="6" t="s">
        <v>1153</v>
      </c>
      <c r="I6040" s="6" t="s">
        <v>32</v>
      </c>
      <c r="J6040" s="6">
        <v>18.156658521764999</v>
      </c>
      <c r="K6040" s="6">
        <v>-96.576156969172004</v>
      </c>
      <c r="L6040" s="6" t="str">
        <f>HYPERLINK("https://maps.google.com/?q=18.156658521765088,-96.576156969172303", "🔗 Ver Mapa")</f>
        <v>🔗 Ver Mapa</v>
      </c>
    </row>
    <row r="6041" spans="1:12" ht="43.5" x14ac:dyDescent="0.35">
      <c r="A6041" s="5" t="s">
        <v>516</v>
      </c>
      <c r="B6041" s="5" t="s">
        <v>517</v>
      </c>
      <c r="C6041" s="5" t="s">
        <v>1151</v>
      </c>
      <c r="D6041" s="5" t="s">
        <v>13</v>
      </c>
      <c r="E6041" s="5" t="s">
        <v>140</v>
      </c>
      <c r="F6041" s="5" t="s">
        <v>141</v>
      </c>
      <c r="G6041" s="5" t="s">
        <v>1152</v>
      </c>
      <c r="H6041" s="5" t="s">
        <v>1153</v>
      </c>
      <c r="I6041" s="5" t="s">
        <v>32</v>
      </c>
      <c r="J6041" s="5">
        <v>18.156747078605999</v>
      </c>
      <c r="K6041" s="5">
        <v>-96.576626055410998</v>
      </c>
      <c r="L6041" s="5" t="str">
        <f>HYPERLINK("https://maps.google.com/?q=18.156747078606088,-96.576626055410529", "🔗 Ver Mapa")</f>
        <v>🔗 Ver Mapa</v>
      </c>
    </row>
    <row r="6042" spans="1:12" ht="43.5" x14ac:dyDescent="0.35">
      <c r="A6042" s="6" t="s">
        <v>516</v>
      </c>
      <c r="B6042" s="6" t="s">
        <v>517</v>
      </c>
      <c r="C6042" s="6" t="s">
        <v>1151</v>
      </c>
      <c r="D6042" s="6" t="s">
        <v>13</v>
      </c>
      <c r="E6042" s="6" t="s">
        <v>140</v>
      </c>
      <c r="F6042" s="6" t="s">
        <v>141</v>
      </c>
      <c r="G6042" s="6" t="s">
        <v>1152</v>
      </c>
      <c r="H6042" s="6" t="s">
        <v>1153</v>
      </c>
      <c r="I6042" s="6" t="s">
        <v>32</v>
      </c>
      <c r="J6042" s="6">
        <v>18.156760200426</v>
      </c>
      <c r="K6042" s="6">
        <v>-96.573106030025002</v>
      </c>
      <c r="L6042" s="6" t="str">
        <f>HYPERLINK("https://maps.google.com/?q=18.156760200425957,-96.573106030025016", "🔗 Ver Mapa")</f>
        <v>🔗 Ver Mapa</v>
      </c>
    </row>
    <row r="6043" spans="1:12" ht="43.5" x14ac:dyDescent="0.35">
      <c r="A6043" s="5" t="s">
        <v>516</v>
      </c>
      <c r="B6043" s="5" t="s">
        <v>517</v>
      </c>
      <c r="C6043" s="5" t="s">
        <v>1151</v>
      </c>
      <c r="D6043" s="5" t="s">
        <v>13</v>
      </c>
      <c r="E6043" s="5" t="s">
        <v>140</v>
      </c>
      <c r="F6043" s="5" t="s">
        <v>141</v>
      </c>
      <c r="G6043" s="5" t="s">
        <v>1152</v>
      </c>
      <c r="H6043" s="5" t="s">
        <v>1153</v>
      </c>
      <c r="I6043" s="5" t="s">
        <v>32</v>
      </c>
      <c r="J6043" s="5">
        <v>18.156813330649999</v>
      </c>
      <c r="K6043" s="5">
        <v>-96.573200812441002</v>
      </c>
      <c r="L6043" s="5" t="str">
        <f>HYPERLINK("https://maps.google.com/?q=18.156813330650117,-96.57320081244076", "🔗 Ver Mapa")</f>
        <v>🔗 Ver Mapa</v>
      </c>
    </row>
    <row r="6044" spans="1:12" ht="43.5" x14ac:dyDescent="0.35">
      <c r="A6044" s="6" t="s">
        <v>516</v>
      </c>
      <c r="B6044" s="6" t="s">
        <v>517</v>
      </c>
      <c r="C6044" s="6" t="s">
        <v>1151</v>
      </c>
      <c r="D6044" s="6" t="s">
        <v>13</v>
      </c>
      <c r="E6044" s="6" t="s">
        <v>140</v>
      </c>
      <c r="F6044" s="6" t="s">
        <v>141</v>
      </c>
      <c r="G6044" s="6" t="s">
        <v>1152</v>
      </c>
      <c r="H6044" s="6" t="s">
        <v>1153</v>
      </c>
      <c r="I6044" s="6" t="s">
        <v>32</v>
      </c>
      <c r="J6044" s="6">
        <v>18.156825405170999</v>
      </c>
      <c r="K6044" s="6">
        <v>-96.576190662398005</v>
      </c>
      <c r="L6044" s="6" t="str">
        <f>HYPERLINK("https://maps.google.com/?q=18.15682540517145,-96.576190662398176", "🔗 Ver Mapa")</f>
        <v>🔗 Ver Mapa</v>
      </c>
    </row>
    <row r="6045" spans="1:12" ht="43.5" x14ac:dyDescent="0.35">
      <c r="A6045" s="5" t="s">
        <v>516</v>
      </c>
      <c r="B6045" s="5" t="s">
        <v>517</v>
      </c>
      <c r="C6045" s="5" t="s">
        <v>1151</v>
      </c>
      <c r="D6045" s="5" t="s">
        <v>13</v>
      </c>
      <c r="E6045" s="5" t="s">
        <v>140</v>
      </c>
      <c r="F6045" s="5" t="s">
        <v>141</v>
      </c>
      <c r="G6045" s="5" t="s">
        <v>1152</v>
      </c>
      <c r="H6045" s="5" t="s">
        <v>1153</v>
      </c>
      <c r="I6045" s="5" t="s">
        <v>32</v>
      </c>
      <c r="J6045" s="5">
        <v>18.156917389536002</v>
      </c>
      <c r="K6045" s="5">
        <v>-96.576645057812996</v>
      </c>
      <c r="L6045" s="5" t="str">
        <f>HYPERLINK("https://maps.google.com/?q=18.156917389535508,-96.576645057813124", "🔗 Ver Mapa")</f>
        <v>🔗 Ver Mapa</v>
      </c>
    </row>
    <row r="6046" spans="1:12" ht="43.5" x14ac:dyDescent="0.35">
      <c r="A6046" s="6" t="s">
        <v>516</v>
      </c>
      <c r="B6046" s="6" t="s">
        <v>517</v>
      </c>
      <c r="C6046" s="6" t="s">
        <v>1151</v>
      </c>
      <c r="D6046" s="6" t="s">
        <v>13</v>
      </c>
      <c r="E6046" s="6" t="s">
        <v>140</v>
      </c>
      <c r="F6046" s="6" t="s">
        <v>141</v>
      </c>
      <c r="G6046" s="6" t="s">
        <v>1152</v>
      </c>
      <c r="H6046" s="6" t="s">
        <v>1153</v>
      </c>
      <c r="I6046" s="6" t="s">
        <v>32</v>
      </c>
      <c r="J6046" s="6">
        <v>18.156920134107001</v>
      </c>
      <c r="K6046" s="6">
        <v>-96.576397111179006</v>
      </c>
      <c r="L6046" s="6" t="str">
        <f>HYPERLINK("https://maps.google.com/?q=18.15692013410663,-96.57639711117892", "🔗 Ver Mapa")</f>
        <v>🔗 Ver Mapa</v>
      </c>
    </row>
    <row r="6047" spans="1:12" ht="43.5" x14ac:dyDescent="0.35">
      <c r="A6047" s="5" t="s">
        <v>516</v>
      </c>
      <c r="B6047" s="5" t="s">
        <v>517</v>
      </c>
      <c r="C6047" s="5" t="s">
        <v>1151</v>
      </c>
      <c r="D6047" s="5" t="s">
        <v>13</v>
      </c>
      <c r="E6047" s="5" t="s">
        <v>140</v>
      </c>
      <c r="F6047" s="5" t="s">
        <v>141</v>
      </c>
      <c r="G6047" s="5" t="s">
        <v>1152</v>
      </c>
      <c r="H6047" s="5" t="s">
        <v>1153</v>
      </c>
      <c r="I6047" s="5" t="s">
        <v>32</v>
      </c>
      <c r="J6047" s="5">
        <v>18.157040741730999</v>
      </c>
      <c r="K6047" s="5">
        <v>-96.576514205387994</v>
      </c>
      <c r="L6047" s="5" t="str">
        <f>HYPERLINK("https://maps.google.com/?q=18.157040741730988,-96.576514205388435", "🔗 Ver Mapa")</f>
        <v>🔗 Ver Mapa</v>
      </c>
    </row>
    <row r="6048" spans="1:12" ht="43.5" x14ac:dyDescent="0.35">
      <c r="A6048" s="6" t="s">
        <v>516</v>
      </c>
      <c r="B6048" s="6" t="s">
        <v>517</v>
      </c>
      <c r="C6048" s="6" t="s">
        <v>1151</v>
      </c>
      <c r="D6048" s="6" t="s">
        <v>13</v>
      </c>
      <c r="E6048" s="6" t="s">
        <v>140</v>
      </c>
      <c r="F6048" s="6" t="s">
        <v>141</v>
      </c>
      <c r="G6048" s="6" t="s">
        <v>1152</v>
      </c>
      <c r="H6048" s="6" t="s">
        <v>1153</v>
      </c>
      <c r="I6048" s="6" t="s">
        <v>32</v>
      </c>
      <c r="J6048" s="6">
        <v>18.157065075929999</v>
      </c>
      <c r="K6048" s="6">
        <v>-96.576667679056996</v>
      </c>
      <c r="L6048" s="6" t="str">
        <f>HYPERLINK("https://maps.google.com/?q=18.157065075930372,-96.576667679057167", "🔗 Ver Mapa")</f>
        <v>🔗 Ver Mapa</v>
      </c>
    </row>
    <row r="6049" spans="1:12" ht="43.5" x14ac:dyDescent="0.35">
      <c r="A6049" s="5" t="s">
        <v>516</v>
      </c>
      <c r="B6049" s="5" t="s">
        <v>517</v>
      </c>
      <c r="C6049" s="5" t="s">
        <v>1151</v>
      </c>
      <c r="D6049" s="5" t="s">
        <v>13</v>
      </c>
      <c r="E6049" s="5" t="s">
        <v>140</v>
      </c>
      <c r="F6049" s="5" t="s">
        <v>141</v>
      </c>
      <c r="G6049" s="5" t="s">
        <v>1152</v>
      </c>
      <c r="H6049" s="5" t="s">
        <v>1153</v>
      </c>
      <c r="I6049" s="5" t="s">
        <v>32</v>
      </c>
      <c r="J6049" s="5">
        <v>18.157205379638999</v>
      </c>
      <c r="K6049" s="5">
        <v>-96.576677836650006</v>
      </c>
      <c r="L6049" s="5" t="str">
        <f>HYPERLINK("https://maps.google.com/?q=18.15720537963889,-96.576677836650134", "🔗 Ver Mapa")</f>
        <v>🔗 Ver Mapa</v>
      </c>
    </row>
    <row r="6050" spans="1:12" ht="43.5" x14ac:dyDescent="0.35">
      <c r="A6050" s="6" t="s">
        <v>516</v>
      </c>
      <c r="B6050" s="6" t="s">
        <v>517</v>
      </c>
      <c r="C6050" s="6" t="s">
        <v>1151</v>
      </c>
      <c r="D6050" s="6" t="s">
        <v>13</v>
      </c>
      <c r="E6050" s="6" t="s">
        <v>140</v>
      </c>
      <c r="F6050" s="6" t="s">
        <v>141</v>
      </c>
      <c r="G6050" s="6" t="s">
        <v>1152</v>
      </c>
      <c r="H6050" s="6" t="s">
        <v>1153</v>
      </c>
      <c r="I6050" s="6" t="s">
        <v>32</v>
      </c>
      <c r="J6050" s="6">
        <v>18.157339143104</v>
      </c>
      <c r="K6050" s="6">
        <v>-96.576634893546</v>
      </c>
      <c r="L6050" s="6" t="str">
        <f>HYPERLINK("https://maps.google.com/?q=18.157339143104313,-96.576634893546355", "🔗 Ver Mapa")</f>
        <v>🔗 Ver Mapa</v>
      </c>
    </row>
    <row r="6051" spans="1:12" ht="43.5" x14ac:dyDescent="0.35">
      <c r="A6051" s="5" t="s">
        <v>516</v>
      </c>
      <c r="B6051" s="5" t="s">
        <v>517</v>
      </c>
      <c r="C6051" s="5" t="s">
        <v>1151</v>
      </c>
      <c r="D6051" s="5" t="s">
        <v>13</v>
      </c>
      <c r="E6051" s="5" t="s">
        <v>140</v>
      </c>
      <c r="F6051" s="5" t="s">
        <v>141</v>
      </c>
      <c r="G6051" s="5" t="s">
        <v>1152</v>
      </c>
      <c r="H6051" s="5" t="s">
        <v>1153</v>
      </c>
      <c r="I6051" s="5" t="s">
        <v>32</v>
      </c>
      <c r="J6051" s="5">
        <v>18.157351595112999</v>
      </c>
      <c r="K6051" s="5">
        <v>-96.576540810962996</v>
      </c>
      <c r="L6051" s="5" t="str">
        <f>HYPERLINK("https://maps.google.com/?q=18.1573515951134,-96.576540810963323", "🔗 Ver Mapa")</f>
        <v>🔗 Ver Mapa</v>
      </c>
    </row>
    <row r="6052" spans="1:12" ht="43.5" x14ac:dyDescent="0.35">
      <c r="A6052" s="6" t="s">
        <v>516</v>
      </c>
      <c r="B6052" s="6" t="s">
        <v>517</v>
      </c>
      <c r="C6052" s="6" t="s">
        <v>1151</v>
      </c>
      <c r="D6052" s="6" t="s">
        <v>13</v>
      </c>
      <c r="E6052" s="6" t="s">
        <v>140</v>
      </c>
      <c r="F6052" s="6" t="s">
        <v>141</v>
      </c>
      <c r="G6052" s="6" t="s">
        <v>1152</v>
      </c>
      <c r="H6052" s="6" t="s">
        <v>1153</v>
      </c>
      <c r="I6052" s="6" t="s">
        <v>32</v>
      </c>
      <c r="J6052" s="6">
        <v>18.157388247459</v>
      </c>
      <c r="K6052" s="6">
        <v>-96.576532274694998</v>
      </c>
      <c r="L6052" s="6" t="str">
        <f>HYPERLINK("https://maps.google.com/?q=18.1573882474593,-96.576532274695111", "🔗 Ver Mapa")</f>
        <v>🔗 Ver Mapa</v>
      </c>
    </row>
    <row r="6053" spans="1:12" ht="43.5" x14ac:dyDescent="0.35">
      <c r="A6053" s="5" t="s">
        <v>516</v>
      </c>
      <c r="B6053" s="5" t="s">
        <v>517</v>
      </c>
      <c r="C6053" s="5" t="s">
        <v>1151</v>
      </c>
      <c r="D6053" s="5" t="s">
        <v>13</v>
      </c>
      <c r="E6053" s="5" t="s">
        <v>140</v>
      </c>
      <c r="F6053" s="5" t="s">
        <v>141</v>
      </c>
      <c r="G6053" s="5" t="s">
        <v>1152</v>
      </c>
      <c r="H6053" s="5" t="s">
        <v>1153</v>
      </c>
      <c r="I6053" s="5" t="s">
        <v>32</v>
      </c>
      <c r="J6053" s="5">
        <v>18.157397548054</v>
      </c>
      <c r="K6053" s="5">
        <v>-96.576589399859998</v>
      </c>
      <c r="L6053" s="5" t="str">
        <f>HYPERLINK("https://maps.google.com/?q=18.15739754805351,-96.576589399860055", "🔗 Ver Mapa")</f>
        <v>🔗 Ver Mapa</v>
      </c>
    </row>
    <row r="6054" spans="1:12" ht="43.5" x14ac:dyDescent="0.35">
      <c r="A6054" s="6" t="s">
        <v>516</v>
      </c>
      <c r="B6054" s="6" t="s">
        <v>517</v>
      </c>
      <c r="C6054" s="6" t="s">
        <v>1151</v>
      </c>
      <c r="D6054" s="6" t="s">
        <v>13</v>
      </c>
      <c r="E6054" s="6" t="s">
        <v>140</v>
      </c>
      <c r="F6054" s="6" t="s">
        <v>141</v>
      </c>
      <c r="G6054" s="6" t="s">
        <v>1152</v>
      </c>
      <c r="H6054" s="6" t="s">
        <v>1153</v>
      </c>
      <c r="I6054" s="6" t="s">
        <v>32</v>
      </c>
      <c r="J6054" s="6">
        <v>18.157502570033</v>
      </c>
      <c r="K6054" s="6">
        <v>-96.576509062054996</v>
      </c>
      <c r="L6054" s="6" t="str">
        <f>HYPERLINK("https://maps.google.com/?q=18.157502570033024,-96.576509062055308", "🔗 Ver Mapa")</f>
        <v>🔗 Ver Mapa</v>
      </c>
    </row>
    <row r="6055" spans="1:12" ht="43.5" x14ac:dyDescent="0.35">
      <c r="A6055" s="5" t="s">
        <v>516</v>
      </c>
      <c r="B6055" s="5" t="s">
        <v>517</v>
      </c>
      <c r="C6055" s="5" t="s">
        <v>1151</v>
      </c>
      <c r="D6055" s="5" t="s">
        <v>13</v>
      </c>
      <c r="E6055" s="5" t="s">
        <v>140</v>
      </c>
      <c r="F6055" s="5" t="s">
        <v>141</v>
      </c>
      <c r="G6055" s="5" t="s">
        <v>1152</v>
      </c>
      <c r="H6055" s="5" t="s">
        <v>1153</v>
      </c>
      <c r="I6055" s="5" t="s">
        <v>32</v>
      </c>
      <c r="J6055" s="5">
        <v>18.157726379227999</v>
      </c>
      <c r="K6055" s="5">
        <v>-96.576387121091997</v>
      </c>
      <c r="L6055" s="5" t="str">
        <f>HYPERLINK("https://maps.google.com/?q=18.157726379228308,-96.576387121092395", "🔗 Ver Mapa")</f>
        <v>🔗 Ver Mapa</v>
      </c>
    </row>
    <row r="6056" spans="1:12" ht="43.5" x14ac:dyDescent="0.35">
      <c r="A6056" s="6" t="s">
        <v>516</v>
      </c>
      <c r="B6056" s="6" t="s">
        <v>517</v>
      </c>
      <c r="C6056" s="6" t="s">
        <v>1151</v>
      </c>
      <c r="D6056" s="6" t="s">
        <v>13</v>
      </c>
      <c r="E6056" s="6" t="s">
        <v>140</v>
      </c>
      <c r="F6056" s="6" t="s">
        <v>141</v>
      </c>
      <c r="G6056" s="6" t="s">
        <v>1152</v>
      </c>
      <c r="H6056" s="6" t="s">
        <v>1153</v>
      </c>
      <c r="I6056" s="6" t="s">
        <v>32</v>
      </c>
      <c r="J6056" s="6">
        <v>18.157962352458</v>
      </c>
      <c r="K6056" s="6">
        <v>-96.576205585300997</v>
      </c>
      <c r="L6056" s="6" t="str">
        <f>HYPERLINK("https://maps.google.com/?q=18.15796235245767,-96.576205585301111", "🔗 Ver Mapa")</f>
        <v>🔗 Ver Mapa</v>
      </c>
    </row>
    <row r="6057" spans="1:12" ht="43.5" x14ac:dyDescent="0.35">
      <c r="A6057" s="5" t="s">
        <v>516</v>
      </c>
      <c r="B6057" s="5" t="s">
        <v>517</v>
      </c>
      <c r="C6057" s="5" t="s">
        <v>1151</v>
      </c>
      <c r="D6057" s="5" t="s">
        <v>13</v>
      </c>
      <c r="E6057" s="5" t="s">
        <v>140</v>
      </c>
      <c r="F6057" s="5" t="s">
        <v>141</v>
      </c>
      <c r="G6057" s="5" t="s">
        <v>1152</v>
      </c>
      <c r="H6057" s="5" t="s">
        <v>1153</v>
      </c>
      <c r="I6057" s="5" t="s">
        <v>32</v>
      </c>
      <c r="J6057" s="5">
        <v>18.158120245094999</v>
      </c>
      <c r="K6057" s="5">
        <v>-96.576213893648998</v>
      </c>
      <c r="L6057" s="5" t="str">
        <f>HYPERLINK("https://maps.google.com/?q=18.15812024509516,-96.576213893649026", "🔗 Ver Mapa")</f>
        <v>🔗 Ver Mapa</v>
      </c>
    </row>
    <row r="6058" spans="1:12" ht="43.5" x14ac:dyDescent="0.35">
      <c r="A6058" s="6" t="s">
        <v>516</v>
      </c>
      <c r="B6058" s="6" t="s">
        <v>517</v>
      </c>
      <c r="C6058" s="6" t="s">
        <v>1151</v>
      </c>
      <c r="D6058" s="6" t="s">
        <v>13</v>
      </c>
      <c r="E6058" s="6" t="s">
        <v>140</v>
      </c>
      <c r="F6058" s="6" t="s">
        <v>141</v>
      </c>
      <c r="G6058" s="6" t="s">
        <v>1152</v>
      </c>
      <c r="H6058" s="6" t="s">
        <v>1153</v>
      </c>
      <c r="I6058" s="6" t="s">
        <v>32</v>
      </c>
      <c r="J6058" s="6">
        <v>18.158435862312</v>
      </c>
      <c r="K6058" s="6">
        <v>-96.576288805722001</v>
      </c>
      <c r="L6058" s="6" t="str">
        <f>HYPERLINK("https://maps.google.com/?q=18.158435862312324,-96.576288805722456", "🔗 Ver Mapa")</f>
        <v>🔗 Ver Mapa</v>
      </c>
    </row>
    <row r="6059" spans="1:12" ht="43.5" x14ac:dyDescent="0.35">
      <c r="A6059" s="5" t="s">
        <v>516</v>
      </c>
      <c r="B6059" s="5" t="s">
        <v>517</v>
      </c>
      <c r="C6059" s="5" t="s">
        <v>1151</v>
      </c>
      <c r="D6059" s="5" t="s">
        <v>13</v>
      </c>
      <c r="E6059" s="5" t="s">
        <v>140</v>
      </c>
      <c r="F6059" s="5" t="s">
        <v>141</v>
      </c>
      <c r="G6059" s="5" t="s">
        <v>1152</v>
      </c>
      <c r="H6059" s="5" t="s">
        <v>1153</v>
      </c>
      <c r="I6059" s="5" t="s">
        <v>32</v>
      </c>
      <c r="J6059" s="5">
        <v>18.158552401059001</v>
      </c>
      <c r="K6059" s="5">
        <v>-96.576348230628994</v>
      </c>
      <c r="L6059" s="5" t="str">
        <f>HYPERLINK("https://maps.google.com/?q=18.15855240105864,-96.576348230629208", "🔗 Ver Mapa")</f>
        <v>🔗 Ver Mapa</v>
      </c>
    </row>
    <row r="6060" spans="1:12" ht="43.5" x14ac:dyDescent="0.35">
      <c r="A6060" s="6" t="s">
        <v>516</v>
      </c>
      <c r="B6060" s="6" t="s">
        <v>517</v>
      </c>
      <c r="C6060" s="6" t="s">
        <v>1151</v>
      </c>
      <c r="D6060" s="6" t="s">
        <v>13</v>
      </c>
      <c r="E6060" s="6" t="s">
        <v>140</v>
      </c>
      <c r="F6060" s="6" t="s">
        <v>141</v>
      </c>
      <c r="G6060" s="6" t="s">
        <v>1152</v>
      </c>
      <c r="H6060" s="6" t="s">
        <v>1153</v>
      </c>
      <c r="I6060" s="6" t="s">
        <v>32</v>
      </c>
      <c r="J6060" s="6">
        <v>18.158682773660001</v>
      </c>
      <c r="K6060" s="6">
        <v>-96.576509123457996</v>
      </c>
      <c r="L6060" s="6" t="str">
        <f>HYPERLINK("https://maps.google.com/?q=18.158682773659578,-96.576509123458422", "🔗 Ver Mapa")</f>
        <v>🔗 Ver Mapa</v>
      </c>
    </row>
    <row r="6061" spans="1:12" ht="43.5" x14ac:dyDescent="0.35">
      <c r="A6061" s="5" t="s">
        <v>516</v>
      </c>
      <c r="B6061" s="5" t="s">
        <v>517</v>
      </c>
      <c r="C6061" s="5" t="s">
        <v>1151</v>
      </c>
      <c r="D6061" s="5" t="s">
        <v>13</v>
      </c>
      <c r="E6061" s="5" t="s">
        <v>140</v>
      </c>
      <c r="F6061" s="5" t="s">
        <v>141</v>
      </c>
      <c r="G6061" s="5" t="s">
        <v>1152</v>
      </c>
      <c r="H6061" s="5" t="s">
        <v>1153</v>
      </c>
      <c r="I6061" s="5" t="s">
        <v>32</v>
      </c>
      <c r="J6061" s="5">
        <v>18.158910713156999</v>
      </c>
      <c r="K6061" s="5">
        <v>-96.576585812773999</v>
      </c>
      <c r="L6061" s="5" t="str">
        <f>HYPERLINK("https://maps.google.com/?q=18.158910713157468,-96.576585812773629", "🔗 Ver Mapa")</f>
        <v>🔗 Ver Mapa</v>
      </c>
    </row>
    <row r="6062" spans="1:12" ht="43.5" x14ac:dyDescent="0.35">
      <c r="A6062" s="6" t="s">
        <v>516</v>
      </c>
      <c r="B6062" s="6" t="s">
        <v>517</v>
      </c>
      <c r="C6062" s="6" t="s">
        <v>1151</v>
      </c>
      <c r="D6062" s="6" t="s">
        <v>13</v>
      </c>
      <c r="E6062" s="6" t="s">
        <v>140</v>
      </c>
      <c r="F6062" s="6" t="s">
        <v>141</v>
      </c>
      <c r="G6062" s="6" t="s">
        <v>1152</v>
      </c>
      <c r="H6062" s="6" t="s">
        <v>1153</v>
      </c>
      <c r="I6062" s="6" t="s">
        <v>32</v>
      </c>
      <c r="J6062" s="6">
        <v>18.159088661237998</v>
      </c>
      <c r="K6062" s="6">
        <v>-96.576623133056003</v>
      </c>
      <c r="L6062" s="6" t="str">
        <f>HYPERLINK("https://maps.google.com/?q=18.159088661238208,-96.576623133055989", "🔗 Ver Mapa")</f>
        <v>🔗 Ver Mapa</v>
      </c>
    </row>
    <row r="6063" spans="1:12" ht="43.5" x14ac:dyDescent="0.35">
      <c r="A6063" s="5" t="s">
        <v>516</v>
      </c>
      <c r="B6063" s="5" t="s">
        <v>517</v>
      </c>
      <c r="C6063" s="5" t="s">
        <v>1151</v>
      </c>
      <c r="D6063" s="5" t="s">
        <v>13</v>
      </c>
      <c r="E6063" s="5" t="s">
        <v>140</v>
      </c>
      <c r="F6063" s="5" t="s">
        <v>141</v>
      </c>
      <c r="G6063" s="5" t="s">
        <v>1152</v>
      </c>
      <c r="H6063" s="5" t="s">
        <v>1153</v>
      </c>
      <c r="I6063" s="5" t="s">
        <v>32</v>
      </c>
      <c r="J6063" s="5">
        <v>18.159283686986999</v>
      </c>
      <c r="K6063" s="5">
        <v>-96.576646707313003</v>
      </c>
      <c r="L6063" s="5" t="str">
        <f>HYPERLINK("https://maps.google.com/?q=18.159283686987216,-96.57664670731333", "🔗 Ver Mapa")</f>
        <v>🔗 Ver Mapa</v>
      </c>
    </row>
    <row r="6064" spans="1:12" ht="43.5" x14ac:dyDescent="0.35">
      <c r="A6064" s="6" t="s">
        <v>516</v>
      </c>
      <c r="B6064" s="6" t="s">
        <v>517</v>
      </c>
      <c r="C6064" s="6" t="s">
        <v>1151</v>
      </c>
      <c r="D6064" s="6" t="s">
        <v>13</v>
      </c>
      <c r="E6064" s="6" t="s">
        <v>140</v>
      </c>
      <c r="F6064" s="6" t="s">
        <v>141</v>
      </c>
      <c r="G6064" s="6" t="s">
        <v>1152</v>
      </c>
      <c r="H6064" s="6" t="s">
        <v>1153</v>
      </c>
      <c r="I6064" s="6" t="s">
        <v>32</v>
      </c>
      <c r="J6064" s="6">
        <v>18.159378819731</v>
      </c>
      <c r="K6064" s="6">
        <v>-96.576892362243001</v>
      </c>
      <c r="L6064" s="6" t="str">
        <f>HYPERLINK("https://maps.google.com/?q=18.159378819730854,-96.576892362243143", "🔗 Ver Mapa")</f>
        <v>🔗 Ver Mapa</v>
      </c>
    </row>
    <row r="6065" spans="1:12" ht="43.5" x14ac:dyDescent="0.35">
      <c r="A6065" s="5" t="s">
        <v>516</v>
      </c>
      <c r="B6065" s="5" t="s">
        <v>517</v>
      </c>
      <c r="C6065" s="5" t="s">
        <v>1151</v>
      </c>
      <c r="D6065" s="5" t="s">
        <v>13</v>
      </c>
      <c r="E6065" s="5" t="s">
        <v>140</v>
      </c>
      <c r="F6065" s="5" t="s">
        <v>141</v>
      </c>
      <c r="G6065" s="5" t="s">
        <v>1152</v>
      </c>
      <c r="H6065" s="5" t="s">
        <v>1153</v>
      </c>
      <c r="I6065" s="5" t="s">
        <v>32</v>
      </c>
      <c r="J6065" s="5">
        <v>18.15966767195</v>
      </c>
      <c r="K6065" s="5">
        <v>-96.576907556456007</v>
      </c>
      <c r="L6065" s="5" t="str">
        <f>HYPERLINK("https://maps.google.com/?q=18.15966767194975,-96.576907556455751", "🔗 Ver Mapa")</f>
        <v>🔗 Ver Mapa</v>
      </c>
    </row>
    <row r="6066" spans="1:12" ht="43.5" x14ac:dyDescent="0.35">
      <c r="A6066" s="6" t="s">
        <v>516</v>
      </c>
      <c r="B6066" s="6" t="s">
        <v>517</v>
      </c>
      <c r="C6066" s="6" t="s">
        <v>1151</v>
      </c>
      <c r="D6066" s="6" t="s">
        <v>13</v>
      </c>
      <c r="E6066" s="6" t="s">
        <v>140</v>
      </c>
      <c r="F6066" s="6" t="s">
        <v>141</v>
      </c>
      <c r="G6066" s="6" t="s">
        <v>1152</v>
      </c>
      <c r="H6066" s="6" t="s">
        <v>1153</v>
      </c>
      <c r="I6066" s="6" t="s">
        <v>32</v>
      </c>
      <c r="J6066" s="6">
        <v>18.159981695742001</v>
      </c>
      <c r="K6066" s="6">
        <v>-96.576863259467999</v>
      </c>
      <c r="L6066" s="6" t="str">
        <f>HYPERLINK("https://maps.google.com/?q=18.159981695742346,-96.576863259468311", "🔗 Ver Mapa")</f>
        <v>🔗 Ver Mapa</v>
      </c>
    </row>
    <row r="6067" spans="1:12" ht="43.5" x14ac:dyDescent="0.35">
      <c r="A6067" s="5" t="s">
        <v>516</v>
      </c>
      <c r="B6067" s="5" t="s">
        <v>517</v>
      </c>
      <c r="C6067" s="5" t="s">
        <v>1151</v>
      </c>
      <c r="D6067" s="5" t="s">
        <v>13</v>
      </c>
      <c r="E6067" s="5" t="s">
        <v>140</v>
      </c>
      <c r="F6067" s="5" t="s">
        <v>141</v>
      </c>
      <c r="G6067" s="5" t="s">
        <v>1152</v>
      </c>
      <c r="H6067" s="5" t="s">
        <v>1153</v>
      </c>
      <c r="I6067" s="5" t="s">
        <v>32</v>
      </c>
      <c r="J6067" s="5">
        <v>18.160169239697002</v>
      </c>
      <c r="K6067" s="5">
        <v>-96.576701757986996</v>
      </c>
      <c r="L6067" s="5" t="str">
        <f>HYPERLINK("https://maps.google.com/?q=18.16016923969706,-96.576701757987195", "🔗 Ver Mapa")</f>
        <v>🔗 Ver Mapa</v>
      </c>
    </row>
    <row r="6068" spans="1:12" ht="43.5" x14ac:dyDescent="0.35">
      <c r="A6068" s="6" t="s">
        <v>516</v>
      </c>
      <c r="B6068" s="6" t="s">
        <v>517</v>
      </c>
      <c r="C6068" s="6" t="s">
        <v>1151</v>
      </c>
      <c r="D6068" s="6" t="s">
        <v>13</v>
      </c>
      <c r="E6068" s="6" t="s">
        <v>140</v>
      </c>
      <c r="F6068" s="6" t="s">
        <v>141</v>
      </c>
      <c r="G6068" s="6" t="s">
        <v>1152</v>
      </c>
      <c r="H6068" s="6" t="s">
        <v>1153</v>
      </c>
      <c r="I6068" s="6" t="s">
        <v>32</v>
      </c>
      <c r="J6068" s="6">
        <v>18.160338662105001</v>
      </c>
      <c r="K6068" s="6">
        <v>-96.576614483476007</v>
      </c>
      <c r="L6068" s="6" t="str">
        <f>HYPERLINK("https://maps.google.com/?q=18.160338662104675,-96.576614483476021", "🔗 Ver Mapa")</f>
        <v>🔗 Ver Mapa</v>
      </c>
    </row>
    <row r="6069" spans="1:12" ht="43.5" x14ac:dyDescent="0.35">
      <c r="A6069" s="5" t="s">
        <v>516</v>
      </c>
      <c r="B6069" s="5" t="s">
        <v>517</v>
      </c>
      <c r="C6069" s="5" t="s">
        <v>1151</v>
      </c>
      <c r="D6069" s="5" t="s">
        <v>13</v>
      </c>
      <c r="E6069" s="5" t="s">
        <v>140</v>
      </c>
      <c r="F6069" s="5" t="s">
        <v>141</v>
      </c>
      <c r="G6069" s="5" t="s">
        <v>1152</v>
      </c>
      <c r="H6069" s="5" t="s">
        <v>1153</v>
      </c>
      <c r="I6069" s="5" t="s">
        <v>32</v>
      </c>
      <c r="J6069" s="5">
        <v>18.160697302125001</v>
      </c>
      <c r="K6069" s="5">
        <v>-96.576584403273003</v>
      </c>
      <c r="L6069" s="5" t="str">
        <f>HYPERLINK("https://maps.google.com/?q=18.160697302124667,-96.576584403273273", "🔗 Ver Mapa")</f>
        <v>🔗 Ver Mapa</v>
      </c>
    </row>
    <row r="6070" spans="1:12" ht="43.5" x14ac:dyDescent="0.35">
      <c r="A6070" s="6" t="s">
        <v>516</v>
      </c>
      <c r="B6070" s="6" t="s">
        <v>517</v>
      </c>
      <c r="C6070" s="6" t="s">
        <v>1151</v>
      </c>
      <c r="D6070" s="6" t="s">
        <v>13</v>
      </c>
      <c r="E6070" s="6" t="s">
        <v>140</v>
      </c>
      <c r="F6070" s="6" t="s">
        <v>141</v>
      </c>
      <c r="G6070" s="6" t="s">
        <v>1152</v>
      </c>
      <c r="H6070" s="6" t="s">
        <v>1153</v>
      </c>
      <c r="I6070" s="6" t="s">
        <v>32</v>
      </c>
      <c r="J6070" s="6">
        <v>18.160871844089002</v>
      </c>
      <c r="K6070" s="6">
        <v>-96.576673923422007</v>
      </c>
      <c r="L6070" s="6" t="str">
        <f>HYPERLINK("https://maps.google.com/?q=18.160871844089367,-96.576673923421694", "🔗 Ver Mapa")</f>
        <v>🔗 Ver Mapa</v>
      </c>
    </row>
    <row r="6071" spans="1:12" ht="43.5" x14ac:dyDescent="0.35">
      <c r="A6071" s="5" t="s">
        <v>516</v>
      </c>
      <c r="B6071" s="5" t="s">
        <v>517</v>
      </c>
      <c r="C6071" s="5" t="s">
        <v>1151</v>
      </c>
      <c r="D6071" s="5" t="s">
        <v>13</v>
      </c>
      <c r="E6071" s="5" t="s">
        <v>140</v>
      </c>
      <c r="F6071" s="5" t="s">
        <v>141</v>
      </c>
      <c r="G6071" s="5" t="s">
        <v>1152</v>
      </c>
      <c r="H6071" s="5" t="s">
        <v>1153</v>
      </c>
      <c r="I6071" s="5" t="s">
        <v>32</v>
      </c>
      <c r="J6071" s="5">
        <v>18.160951460159001</v>
      </c>
      <c r="K6071" s="5">
        <v>-96.577035626595006</v>
      </c>
      <c r="L6071" s="5" t="str">
        <f>HYPERLINK("https://maps.google.com/?q=18.160951460159403,-96.577035626594764", "🔗 Ver Mapa")</f>
        <v>🔗 Ver Mapa</v>
      </c>
    </row>
    <row r="6072" spans="1:12" ht="43.5" x14ac:dyDescent="0.35">
      <c r="A6072" s="6" t="s">
        <v>516</v>
      </c>
      <c r="B6072" s="6" t="s">
        <v>517</v>
      </c>
      <c r="C6072" s="6" t="s">
        <v>1151</v>
      </c>
      <c r="D6072" s="6" t="s">
        <v>13</v>
      </c>
      <c r="E6072" s="6" t="s">
        <v>140</v>
      </c>
      <c r="F6072" s="6" t="s">
        <v>141</v>
      </c>
      <c r="G6072" s="6" t="s">
        <v>1152</v>
      </c>
      <c r="H6072" s="6" t="s">
        <v>1153</v>
      </c>
      <c r="I6072" s="6" t="s">
        <v>32</v>
      </c>
      <c r="J6072" s="6">
        <v>18.161067275929</v>
      </c>
      <c r="K6072" s="6">
        <v>-96.577202486057004</v>
      </c>
      <c r="L6072" s="6" t="str">
        <f>HYPERLINK("https://maps.google.com/?q=18.161067275928538,-96.577202486056606", "🔗 Ver Mapa")</f>
        <v>🔗 Ver Mapa</v>
      </c>
    </row>
    <row r="6073" spans="1:12" ht="43.5" x14ac:dyDescent="0.35">
      <c r="A6073" s="5" t="s">
        <v>516</v>
      </c>
      <c r="B6073" s="5" t="s">
        <v>517</v>
      </c>
      <c r="C6073" s="5" t="s">
        <v>1151</v>
      </c>
      <c r="D6073" s="5" t="s">
        <v>13</v>
      </c>
      <c r="E6073" s="5" t="s">
        <v>140</v>
      </c>
      <c r="F6073" s="5" t="s">
        <v>141</v>
      </c>
      <c r="G6073" s="5" t="s">
        <v>1152</v>
      </c>
      <c r="H6073" s="5" t="s">
        <v>1153</v>
      </c>
      <c r="I6073" s="5" t="s">
        <v>32</v>
      </c>
      <c r="J6073" s="5">
        <v>18.161695938752999</v>
      </c>
      <c r="K6073" s="5">
        <v>-96.577184176201001</v>
      </c>
      <c r="L6073" s="5" t="str">
        <f>HYPERLINK("https://maps.google.com/?q=18.16169593875284,-96.577184176200603", "🔗 Ver Mapa")</f>
        <v>🔗 Ver Mapa</v>
      </c>
    </row>
    <row r="6074" spans="1:12" ht="43.5" x14ac:dyDescent="0.35">
      <c r="A6074" s="6" t="s">
        <v>516</v>
      </c>
      <c r="B6074" s="6" t="s">
        <v>517</v>
      </c>
      <c r="C6074" s="6" t="s">
        <v>1151</v>
      </c>
      <c r="D6074" s="6" t="s">
        <v>13</v>
      </c>
      <c r="E6074" s="6" t="s">
        <v>140</v>
      </c>
      <c r="F6074" s="6" t="s">
        <v>141</v>
      </c>
      <c r="G6074" s="6" t="s">
        <v>1152</v>
      </c>
      <c r="H6074" s="6" t="s">
        <v>1153</v>
      </c>
      <c r="I6074" s="6" t="s">
        <v>32</v>
      </c>
      <c r="J6074" s="6">
        <v>18.161971595354998</v>
      </c>
      <c r="K6074" s="6">
        <v>-96.577220149338004</v>
      </c>
      <c r="L6074" s="6" t="str">
        <f>HYPERLINK("https://maps.google.com/?q=18.16197159535516,-96.577220149337904", "🔗 Ver Mapa")</f>
        <v>🔗 Ver Mapa</v>
      </c>
    </row>
    <row r="6075" spans="1:12" ht="43.5" x14ac:dyDescent="0.35">
      <c r="A6075" s="5" t="s">
        <v>516</v>
      </c>
      <c r="B6075" s="5" t="s">
        <v>517</v>
      </c>
      <c r="C6075" s="5" t="s">
        <v>1151</v>
      </c>
      <c r="D6075" s="5" t="s">
        <v>13</v>
      </c>
      <c r="E6075" s="5" t="s">
        <v>140</v>
      </c>
      <c r="F6075" s="5" t="s">
        <v>141</v>
      </c>
      <c r="G6075" s="5" t="s">
        <v>1152</v>
      </c>
      <c r="H6075" s="5" t="s">
        <v>1153</v>
      </c>
      <c r="I6075" s="5" t="s">
        <v>32</v>
      </c>
      <c r="J6075" s="5">
        <v>18.162287697679002</v>
      </c>
      <c r="K6075" s="5">
        <v>-96.577433848995</v>
      </c>
      <c r="L6075" s="5" t="str">
        <f>HYPERLINK("https://maps.google.com/?q=18.162287697679282,-96.577433848995497", "🔗 Ver Mapa")</f>
        <v>🔗 Ver Mapa</v>
      </c>
    </row>
    <row r="6076" spans="1:12" ht="43.5" x14ac:dyDescent="0.35">
      <c r="A6076" s="6" t="s">
        <v>516</v>
      </c>
      <c r="B6076" s="6" t="s">
        <v>517</v>
      </c>
      <c r="C6076" s="6" t="s">
        <v>1151</v>
      </c>
      <c r="D6076" s="6" t="s">
        <v>13</v>
      </c>
      <c r="E6076" s="6" t="s">
        <v>140</v>
      </c>
      <c r="F6076" s="6" t="s">
        <v>141</v>
      </c>
      <c r="G6076" s="6" t="s">
        <v>1152</v>
      </c>
      <c r="H6076" s="6" t="s">
        <v>1153</v>
      </c>
      <c r="I6076" s="6" t="s">
        <v>32</v>
      </c>
      <c r="J6076" s="6">
        <v>18.162623083187</v>
      </c>
      <c r="K6076" s="6">
        <v>-96.577866100392001</v>
      </c>
      <c r="L6076" s="6" t="str">
        <f>HYPERLINK("https://maps.google.com/?q=18.16262308318722,-96.577866100391802", "🔗 Ver Mapa")</f>
        <v>🔗 Ver Mapa</v>
      </c>
    </row>
    <row r="6077" spans="1:12" ht="43.5" x14ac:dyDescent="0.35">
      <c r="A6077" s="5" t="s">
        <v>516</v>
      </c>
      <c r="B6077" s="5" t="s">
        <v>517</v>
      </c>
      <c r="C6077" s="5" t="s">
        <v>1151</v>
      </c>
      <c r="D6077" s="5" t="s">
        <v>13</v>
      </c>
      <c r="E6077" s="5" t="s">
        <v>140</v>
      </c>
      <c r="F6077" s="5" t="s">
        <v>141</v>
      </c>
      <c r="G6077" s="5" t="s">
        <v>1152</v>
      </c>
      <c r="H6077" s="5" t="s">
        <v>1153</v>
      </c>
      <c r="I6077" s="5" t="s">
        <v>32</v>
      </c>
      <c r="J6077" s="5">
        <v>18.162748341518999</v>
      </c>
      <c r="K6077" s="5">
        <v>-96.578001086201994</v>
      </c>
      <c r="L6077" s="5" t="str">
        <f>HYPERLINK("https://maps.google.com/?q=18.16274834151947,-96.578001086202377", "🔗 Ver Mapa")</f>
        <v>🔗 Ver Mapa</v>
      </c>
    </row>
    <row r="6078" spans="1:12" ht="43.5" x14ac:dyDescent="0.35">
      <c r="A6078" s="6" t="s">
        <v>516</v>
      </c>
      <c r="B6078" s="6" t="s">
        <v>517</v>
      </c>
      <c r="C6078" s="6" t="s">
        <v>1151</v>
      </c>
      <c r="D6078" s="6" t="s">
        <v>13</v>
      </c>
      <c r="E6078" s="6" t="s">
        <v>140</v>
      </c>
      <c r="F6078" s="6" t="s">
        <v>141</v>
      </c>
      <c r="G6078" s="6" t="s">
        <v>1152</v>
      </c>
      <c r="H6078" s="6" t="s">
        <v>1153</v>
      </c>
      <c r="I6078" s="6" t="s">
        <v>32</v>
      </c>
      <c r="J6078" s="6">
        <v>18.163076525280001</v>
      </c>
      <c r="K6078" s="6">
        <v>-96.578134312800998</v>
      </c>
      <c r="L6078" s="6" t="str">
        <f>HYPERLINK("https://maps.google.com/?q=18.16307652527968,-96.578134312801183", "🔗 Ver Mapa")</f>
        <v>🔗 Ver Mapa</v>
      </c>
    </row>
    <row r="6079" spans="1:12" ht="43.5" x14ac:dyDescent="0.35">
      <c r="A6079" s="5" t="s">
        <v>516</v>
      </c>
      <c r="B6079" s="5" t="s">
        <v>517</v>
      </c>
      <c r="C6079" s="5" t="s">
        <v>1151</v>
      </c>
      <c r="D6079" s="5" t="s">
        <v>13</v>
      </c>
      <c r="E6079" s="5" t="s">
        <v>140</v>
      </c>
      <c r="F6079" s="5" t="s">
        <v>141</v>
      </c>
      <c r="G6079" s="5" t="s">
        <v>1152</v>
      </c>
      <c r="H6079" s="5" t="s">
        <v>1153</v>
      </c>
      <c r="I6079" s="5" t="s">
        <v>32</v>
      </c>
      <c r="J6079" s="5">
        <v>18.163305735125999</v>
      </c>
      <c r="K6079" s="5">
        <v>-96.578275990880996</v>
      </c>
      <c r="L6079" s="5" t="str">
        <f>HYPERLINK("https://maps.google.com/?q=18.163305735125547,-96.578275990880755", "🔗 Ver Mapa")</f>
        <v>🔗 Ver Mapa</v>
      </c>
    </row>
    <row r="6080" spans="1:12" ht="43.5" x14ac:dyDescent="0.35">
      <c r="A6080" s="6" t="s">
        <v>516</v>
      </c>
      <c r="B6080" s="6" t="s">
        <v>517</v>
      </c>
      <c r="C6080" s="6" t="s">
        <v>1151</v>
      </c>
      <c r="D6080" s="6" t="s">
        <v>13</v>
      </c>
      <c r="E6080" s="6" t="s">
        <v>140</v>
      </c>
      <c r="F6080" s="6" t="s">
        <v>141</v>
      </c>
      <c r="G6080" s="6" t="s">
        <v>1152</v>
      </c>
      <c r="H6080" s="6" t="s">
        <v>1153</v>
      </c>
      <c r="I6080" s="6" t="s">
        <v>32</v>
      </c>
      <c r="J6080" s="6">
        <v>18.163539634545</v>
      </c>
      <c r="K6080" s="6">
        <v>-96.578359782196998</v>
      </c>
      <c r="L6080" s="6" t="str">
        <f>HYPERLINK("https://maps.google.com/?q=18.16353963454549,-96.57835978219677", "🔗 Ver Mapa")</f>
        <v>🔗 Ver Mapa</v>
      </c>
    </row>
    <row r="6081" spans="1:12" ht="43.5" x14ac:dyDescent="0.35">
      <c r="A6081" s="5" t="s">
        <v>98</v>
      </c>
      <c r="B6081" s="5" t="s">
        <v>99</v>
      </c>
      <c r="C6081" s="5" t="s">
        <v>1154</v>
      </c>
      <c r="D6081" s="5" t="s">
        <v>14</v>
      </c>
      <c r="E6081" s="5" t="s">
        <v>39</v>
      </c>
      <c r="F6081" s="5" t="s">
        <v>494</v>
      </c>
      <c r="G6081" s="5" t="s">
        <v>1155</v>
      </c>
      <c r="H6081" s="5" t="s">
        <v>1156</v>
      </c>
      <c r="I6081" s="5" t="s">
        <v>31</v>
      </c>
      <c r="J6081" s="5">
        <v>16.653485142019999</v>
      </c>
      <c r="K6081" s="5">
        <v>-97.333943309193003</v>
      </c>
      <c r="L6081" s="5" t="str">
        <f>HYPERLINK("https://maps.google.com/?q=16.6534851420204,-97.333943309192705", "🔗 Ver Mapa")</f>
        <v>🔗 Ver Mapa</v>
      </c>
    </row>
    <row r="6082" spans="1:12" ht="43.5" x14ac:dyDescent="0.35">
      <c r="A6082" s="6" t="s">
        <v>98</v>
      </c>
      <c r="B6082" s="6" t="s">
        <v>99</v>
      </c>
      <c r="C6082" s="6" t="s">
        <v>1154</v>
      </c>
      <c r="D6082" s="6" t="s">
        <v>14</v>
      </c>
      <c r="E6082" s="6" t="s">
        <v>39</v>
      </c>
      <c r="F6082" s="6" t="s">
        <v>494</v>
      </c>
      <c r="G6082" s="6" t="s">
        <v>1155</v>
      </c>
      <c r="H6082" s="6" t="s">
        <v>1156</v>
      </c>
      <c r="I6082" s="6" t="s">
        <v>31</v>
      </c>
      <c r="J6082" s="6">
        <v>16.653486280292999</v>
      </c>
      <c r="K6082" s="6">
        <v>-97.335715921287999</v>
      </c>
      <c r="L6082" s="6" t="str">
        <f>HYPERLINK("https://maps.google.com/?q=16.6534862802934,-97.3357159212879", "🔗 Ver Mapa")</f>
        <v>🔗 Ver Mapa</v>
      </c>
    </row>
    <row r="6083" spans="1:12" ht="43.5" x14ac:dyDescent="0.35">
      <c r="A6083" s="5" t="s">
        <v>98</v>
      </c>
      <c r="B6083" s="5" t="s">
        <v>99</v>
      </c>
      <c r="C6083" s="5" t="s">
        <v>1154</v>
      </c>
      <c r="D6083" s="5" t="s">
        <v>14</v>
      </c>
      <c r="E6083" s="5" t="s">
        <v>39</v>
      </c>
      <c r="F6083" s="5" t="s">
        <v>494</v>
      </c>
      <c r="G6083" s="5" t="s">
        <v>1155</v>
      </c>
      <c r="H6083" s="5" t="s">
        <v>1156</v>
      </c>
      <c r="I6083" s="5" t="s">
        <v>31</v>
      </c>
      <c r="J6083" s="5">
        <v>16.654440853267001</v>
      </c>
      <c r="K6083" s="5">
        <v>-97.332716852963003</v>
      </c>
      <c r="L6083" s="5" t="str">
        <f>HYPERLINK("https://maps.google.com/?q=16.6544408532675,-97.332716852962506", "🔗 Ver Mapa")</f>
        <v>🔗 Ver Mapa</v>
      </c>
    </row>
    <row r="6084" spans="1:12" ht="43.5" x14ac:dyDescent="0.35">
      <c r="A6084" s="6" t="s">
        <v>98</v>
      </c>
      <c r="B6084" s="6" t="s">
        <v>99</v>
      </c>
      <c r="C6084" s="6" t="s">
        <v>1154</v>
      </c>
      <c r="D6084" s="6" t="s">
        <v>14</v>
      </c>
      <c r="E6084" s="6" t="s">
        <v>39</v>
      </c>
      <c r="F6084" s="6" t="s">
        <v>494</v>
      </c>
      <c r="G6084" s="6" t="s">
        <v>1155</v>
      </c>
      <c r="H6084" s="6" t="s">
        <v>1156</v>
      </c>
      <c r="I6084" s="6" t="s">
        <v>31</v>
      </c>
      <c r="J6084" s="6">
        <v>16.654618838891</v>
      </c>
      <c r="K6084" s="6">
        <v>-97.339116868716999</v>
      </c>
      <c r="L6084" s="6" t="str">
        <f>HYPERLINK("https://maps.google.com/?q=16.6546188388907,-97.339116868717198", "🔗 Ver Mapa")</f>
        <v>🔗 Ver Mapa</v>
      </c>
    </row>
    <row r="6085" spans="1:12" ht="43.5" x14ac:dyDescent="0.35">
      <c r="A6085" s="5" t="s">
        <v>98</v>
      </c>
      <c r="B6085" s="5" t="s">
        <v>99</v>
      </c>
      <c r="C6085" s="5" t="s">
        <v>1154</v>
      </c>
      <c r="D6085" s="5" t="s">
        <v>14</v>
      </c>
      <c r="E6085" s="5" t="s">
        <v>39</v>
      </c>
      <c r="F6085" s="5" t="s">
        <v>494</v>
      </c>
      <c r="G6085" s="5" t="s">
        <v>1155</v>
      </c>
      <c r="H6085" s="5" t="s">
        <v>1156</v>
      </c>
      <c r="I6085" s="5" t="s">
        <v>31</v>
      </c>
      <c r="J6085" s="5">
        <v>16.654681190849999</v>
      </c>
      <c r="K6085" s="5">
        <v>-97.336778933174003</v>
      </c>
      <c r="L6085" s="5" t="str">
        <f>HYPERLINK("https://maps.google.com/?q=16.6546811908495,-97.336778933174003", "🔗 Ver Mapa")</f>
        <v>🔗 Ver Mapa</v>
      </c>
    </row>
    <row r="6086" spans="1:12" ht="43.5" x14ac:dyDescent="0.35">
      <c r="A6086" s="6" t="s">
        <v>98</v>
      </c>
      <c r="B6086" s="6" t="s">
        <v>99</v>
      </c>
      <c r="C6086" s="6" t="s">
        <v>1154</v>
      </c>
      <c r="D6086" s="6" t="s">
        <v>14</v>
      </c>
      <c r="E6086" s="6" t="s">
        <v>39</v>
      </c>
      <c r="F6086" s="6" t="s">
        <v>494</v>
      </c>
      <c r="G6086" s="6" t="s">
        <v>1155</v>
      </c>
      <c r="H6086" s="6" t="s">
        <v>1156</v>
      </c>
      <c r="I6086" s="6" t="s">
        <v>31</v>
      </c>
      <c r="J6086" s="6">
        <v>16.655010851418002</v>
      </c>
      <c r="K6086" s="6">
        <v>-97.335892486643999</v>
      </c>
      <c r="L6086" s="6" t="str">
        <f>HYPERLINK("https://maps.google.com/?q=16.6550108514184,-97.335892486644099", "🔗 Ver Mapa")</f>
        <v>🔗 Ver Mapa</v>
      </c>
    </row>
    <row r="6087" spans="1:12" ht="43.5" x14ac:dyDescent="0.35">
      <c r="A6087" s="5" t="s">
        <v>98</v>
      </c>
      <c r="B6087" s="5" t="s">
        <v>99</v>
      </c>
      <c r="C6087" s="5" t="s">
        <v>1154</v>
      </c>
      <c r="D6087" s="5" t="s">
        <v>14</v>
      </c>
      <c r="E6087" s="5" t="s">
        <v>39</v>
      </c>
      <c r="F6087" s="5" t="s">
        <v>494</v>
      </c>
      <c r="G6087" s="5" t="s">
        <v>1155</v>
      </c>
      <c r="H6087" s="5" t="s">
        <v>1156</v>
      </c>
      <c r="I6087" s="5" t="s">
        <v>31</v>
      </c>
      <c r="J6087" s="5">
        <v>16.655063879263999</v>
      </c>
      <c r="K6087" s="5">
        <v>-97.339185473540994</v>
      </c>
      <c r="L6087" s="5" t="str">
        <f>HYPERLINK("https://maps.google.com/?q=16.6550638792639,-97.339185473541207", "🔗 Ver Mapa")</f>
        <v>🔗 Ver Mapa</v>
      </c>
    </row>
    <row r="6088" spans="1:12" ht="43.5" x14ac:dyDescent="0.35">
      <c r="A6088" s="6" t="s">
        <v>98</v>
      </c>
      <c r="B6088" s="6" t="s">
        <v>99</v>
      </c>
      <c r="C6088" s="6" t="s">
        <v>1154</v>
      </c>
      <c r="D6088" s="6" t="s">
        <v>14</v>
      </c>
      <c r="E6088" s="6" t="s">
        <v>39</v>
      </c>
      <c r="F6088" s="6" t="s">
        <v>494</v>
      </c>
      <c r="G6088" s="6" t="s">
        <v>1155</v>
      </c>
      <c r="H6088" s="6" t="s">
        <v>1156</v>
      </c>
      <c r="I6088" s="6" t="s">
        <v>31</v>
      </c>
      <c r="J6088" s="6">
        <v>16.655593426803001</v>
      </c>
      <c r="K6088" s="6">
        <v>-97.336912186508002</v>
      </c>
      <c r="L6088" s="6" t="str">
        <f>HYPERLINK("https://maps.google.com/?q=16.6555934268026,-97.336912186508101", "🔗 Ver Mapa")</f>
        <v>🔗 Ver Mapa</v>
      </c>
    </row>
    <row r="6089" spans="1:12" ht="43.5" x14ac:dyDescent="0.35">
      <c r="A6089" s="5" t="s">
        <v>98</v>
      </c>
      <c r="B6089" s="5" t="s">
        <v>99</v>
      </c>
      <c r="C6089" s="5" t="s">
        <v>1157</v>
      </c>
      <c r="D6089" s="5" t="s">
        <v>14</v>
      </c>
      <c r="E6089" s="5" t="s">
        <v>110</v>
      </c>
      <c r="F6089" s="5" t="s">
        <v>126</v>
      </c>
      <c r="G6089" s="5" t="s">
        <v>609</v>
      </c>
      <c r="H6089" s="5" t="s">
        <v>1158</v>
      </c>
      <c r="I6089" s="5" t="s">
        <v>31</v>
      </c>
      <c r="J6089" s="5">
        <v>17.971780789075002</v>
      </c>
      <c r="K6089" s="5">
        <v>-96.70816639633</v>
      </c>
      <c r="L6089" s="5" t="str">
        <f>HYPERLINK("https://maps.google.com/?q=17.971780789074934,-96.70816639632989", "🔗 Ver Mapa")</f>
        <v>🔗 Ver Mapa</v>
      </c>
    </row>
    <row r="6090" spans="1:12" ht="43.5" x14ac:dyDescent="0.35">
      <c r="A6090" s="6" t="s">
        <v>98</v>
      </c>
      <c r="B6090" s="6" t="s">
        <v>99</v>
      </c>
      <c r="C6090" s="6" t="s">
        <v>1157</v>
      </c>
      <c r="D6090" s="6" t="s">
        <v>14</v>
      </c>
      <c r="E6090" s="6" t="s">
        <v>110</v>
      </c>
      <c r="F6090" s="6" t="s">
        <v>126</v>
      </c>
      <c r="G6090" s="6" t="s">
        <v>609</v>
      </c>
      <c r="H6090" s="6" t="s">
        <v>1158</v>
      </c>
      <c r="I6090" s="6" t="s">
        <v>31</v>
      </c>
      <c r="J6090" s="6">
        <v>17.972349000000001</v>
      </c>
      <c r="K6090" s="6">
        <v>-96.707928999999993</v>
      </c>
      <c r="L6090" s="6" t="str">
        <f>HYPERLINK("https://maps.google.com/?q=17.972349,-96.707928999999993", "🔗 Ver Mapa")</f>
        <v>🔗 Ver Mapa</v>
      </c>
    </row>
    <row r="6091" spans="1:12" ht="43.5" x14ac:dyDescent="0.35">
      <c r="A6091" s="5" t="s">
        <v>98</v>
      </c>
      <c r="B6091" s="5" t="s">
        <v>99</v>
      </c>
      <c r="C6091" s="5" t="s">
        <v>1157</v>
      </c>
      <c r="D6091" s="5" t="s">
        <v>14</v>
      </c>
      <c r="E6091" s="5" t="s">
        <v>110</v>
      </c>
      <c r="F6091" s="5" t="s">
        <v>126</v>
      </c>
      <c r="G6091" s="5" t="s">
        <v>609</v>
      </c>
      <c r="H6091" s="5" t="s">
        <v>1158</v>
      </c>
      <c r="I6091" s="5" t="s">
        <v>31</v>
      </c>
      <c r="J6091" s="5">
        <v>17.972557999999999</v>
      </c>
      <c r="K6091" s="5">
        <v>-96.707313999999997</v>
      </c>
      <c r="L6091" s="5" t="str">
        <f>HYPERLINK("https://maps.google.com/?q=17.972558,-96.707313999999997", "🔗 Ver Mapa")</f>
        <v>🔗 Ver Mapa</v>
      </c>
    </row>
    <row r="6092" spans="1:12" ht="43.5" x14ac:dyDescent="0.35">
      <c r="A6092" s="6" t="s">
        <v>98</v>
      </c>
      <c r="B6092" s="6" t="s">
        <v>99</v>
      </c>
      <c r="C6092" s="6" t="s">
        <v>1157</v>
      </c>
      <c r="D6092" s="6" t="s">
        <v>14</v>
      </c>
      <c r="E6092" s="6" t="s">
        <v>110</v>
      </c>
      <c r="F6092" s="6" t="s">
        <v>126</v>
      </c>
      <c r="G6092" s="6" t="s">
        <v>609</v>
      </c>
      <c r="H6092" s="6" t="s">
        <v>1158</v>
      </c>
      <c r="I6092" s="6" t="s">
        <v>31</v>
      </c>
      <c r="J6092" s="6">
        <v>17.974135</v>
      </c>
      <c r="K6092" s="6">
        <v>-96.706571999999994</v>
      </c>
      <c r="L6092" s="6" t="str">
        <f>HYPERLINK("https://maps.google.com/?q=17.974135,-96.706571999999994", "🔗 Ver Mapa")</f>
        <v>🔗 Ver Mapa</v>
      </c>
    </row>
    <row r="6093" spans="1:12" ht="43.5" x14ac:dyDescent="0.35">
      <c r="A6093" s="5" t="s">
        <v>98</v>
      </c>
      <c r="B6093" s="5" t="s">
        <v>99</v>
      </c>
      <c r="C6093" s="5" t="s">
        <v>1157</v>
      </c>
      <c r="D6093" s="5" t="s">
        <v>14</v>
      </c>
      <c r="E6093" s="5" t="s">
        <v>110</v>
      </c>
      <c r="F6093" s="5" t="s">
        <v>126</v>
      </c>
      <c r="G6093" s="5" t="s">
        <v>609</v>
      </c>
      <c r="H6093" s="5" t="s">
        <v>1158</v>
      </c>
      <c r="I6093" s="5" t="s">
        <v>31</v>
      </c>
      <c r="J6093" s="5">
        <v>17.974164999999999</v>
      </c>
      <c r="K6093" s="5">
        <v>-96.707161999999997</v>
      </c>
      <c r="L6093" s="5" t="str">
        <f>HYPERLINK("https://maps.google.com/?q=17.974165,-96.707161999999997", "🔗 Ver Mapa")</f>
        <v>🔗 Ver Mapa</v>
      </c>
    </row>
    <row r="6094" spans="1:12" ht="43.5" x14ac:dyDescent="0.35">
      <c r="A6094" s="6" t="s">
        <v>98</v>
      </c>
      <c r="B6094" s="6" t="s">
        <v>99</v>
      </c>
      <c r="C6094" s="6" t="s">
        <v>1157</v>
      </c>
      <c r="D6094" s="6" t="s">
        <v>14</v>
      </c>
      <c r="E6094" s="6" t="s">
        <v>110</v>
      </c>
      <c r="F6094" s="6" t="s">
        <v>126</v>
      </c>
      <c r="G6094" s="6" t="s">
        <v>609</v>
      </c>
      <c r="H6094" s="6" t="s">
        <v>1158</v>
      </c>
      <c r="I6094" s="6" t="s">
        <v>31</v>
      </c>
      <c r="J6094" s="6">
        <v>17.974618</v>
      </c>
      <c r="K6094" s="6">
        <v>-96.706181999999998</v>
      </c>
      <c r="L6094" s="6" t="str">
        <f>HYPERLINK("https://maps.google.com/?q=17.974618,-96.706181999999998", "🔗 Ver Mapa")</f>
        <v>🔗 Ver Mapa</v>
      </c>
    </row>
    <row r="6095" spans="1:12" ht="43.5" x14ac:dyDescent="0.35">
      <c r="A6095" s="5" t="s">
        <v>98</v>
      </c>
      <c r="B6095" s="5" t="s">
        <v>99</v>
      </c>
      <c r="C6095" s="5" t="s">
        <v>1157</v>
      </c>
      <c r="D6095" s="5" t="s">
        <v>14</v>
      </c>
      <c r="E6095" s="5" t="s">
        <v>110</v>
      </c>
      <c r="F6095" s="5" t="s">
        <v>126</v>
      </c>
      <c r="G6095" s="5" t="s">
        <v>609</v>
      </c>
      <c r="H6095" s="5" t="s">
        <v>1158</v>
      </c>
      <c r="I6095" s="5" t="s">
        <v>31</v>
      </c>
      <c r="J6095" s="5">
        <v>17.975515000000001</v>
      </c>
      <c r="K6095" s="5">
        <v>-96.706823999999997</v>
      </c>
      <c r="L6095" s="5" t="str">
        <f>HYPERLINK("https://maps.google.com/?q=17.975515,-96.706823999999997", "🔗 Ver Mapa")</f>
        <v>🔗 Ver Mapa</v>
      </c>
    </row>
    <row r="6096" spans="1:12" ht="43.5" x14ac:dyDescent="0.35">
      <c r="A6096" s="6" t="s">
        <v>98</v>
      </c>
      <c r="B6096" s="6" t="s">
        <v>99</v>
      </c>
      <c r="C6096" s="6" t="s">
        <v>1157</v>
      </c>
      <c r="D6096" s="6" t="s">
        <v>14</v>
      </c>
      <c r="E6096" s="6" t="s">
        <v>110</v>
      </c>
      <c r="F6096" s="6" t="s">
        <v>126</v>
      </c>
      <c r="G6096" s="6" t="s">
        <v>609</v>
      </c>
      <c r="H6096" s="6" t="s">
        <v>1158</v>
      </c>
      <c r="I6096" s="6" t="s">
        <v>31</v>
      </c>
      <c r="J6096" s="6">
        <v>17.975867999999998</v>
      </c>
      <c r="K6096" s="6">
        <v>-96.705067999999997</v>
      </c>
      <c r="L6096" s="6" t="str">
        <f>HYPERLINK("https://maps.google.com/?q=17.975868,-96.705067999999997", "🔗 Ver Mapa")</f>
        <v>🔗 Ver Mapa</v>
      </c>
    </row>
    <row r="6097" spans="1:12" ht="43.5" x14ac:dyDescent="0.35">
      <c r="A6097" s="5" t="s">
        <v>98</v>
      </c>
      <c r="B6097" s="5" t="s">
        <v>99</v>
      </c>
      <c r="C6097" s="5" t="s">
        <v>1157</v>
      </c>
      <c r="D6097" s="5" t="s">
        <v>14</v>
      </c>
      <c r="E6097" s="5" t="s">
        <v>110</v>
      </c>
      <c r="F6097" s="5" t="s">
        <v>126</v>
      </c>
      <c r="G6097" s="5" t="s">
        <v>609</v>
      </c>
      <c r="H6097" s="5" t="s">
        <v>1158</v>
      </c>
      <c r="I6097" s="5" t="s">
        <v>31</v>
      </c>
      <c r="J6097" s="5">
        <v>17.976164000000001</v>
      </c>
      <c r="K6097" s="5">
        <v>-96.704222999999999</v>
      </c>
      <c r="L6097" s="5" t="str">
        <f>HYPERLINK("https://maps.google.com/?q=17.976164,-96.704222999999999", "🔗 Ver Mapa")</f>
        <v>🔗 Ver Mapa</v>
      </c>
    </row>
    <row r="6098" spans="1:12" ht="43.5" x14ac:dyDescent="0.35">
      <c r="A6098" s="6" t="s">
        <v>98</v>
      </c>
      <c r="B6098" s="6" t="s">
        <v>99</v>
      </c>
      <c r="C6098" s="6" t="s">
        <v>1157</v>
      </c>
      <c r="D6098" s="6" t="s">
        <v>14</v>
      </c>
      <c r="E6098" s="6" t="s">
        <v>110</v>
      </c>
      <c r="F6098" s="6" t="s">
        <v>126</v>
      </c>
      <c r="G6098" s="6" t="s">
        <v>609</v>
      </c>
      <c r="H6098" s="6" t="s">
        <v>1158</v>
      </c>
      <c r="I6098" s="6" t="s">
        <v>31</v>
      </c>
      <c r="J6098" s="6">
        <v>17.976278000000001</v>
      </c>
      <c r="K6098" s="6">
        <v>-96.705242999999996</v>
      </c>
      <c r="L6098" s="6" t="str">
        <f>HYPERLINK("https://maps.google.com/?q=17.976278,-96.705242999999996", "🔗 Ver Mapa")</f>
        <v>🔗 Ver Mapa</v>
      </c>
    </row>
    <row r="6099" spans="1:12" ht="43.5" x14ac:dyDescent="0.35">
      <c r="A6099" s="5" t="s">
        <v>98</v>
      </c>
      <c r="B6099" s="5" t="s">
        <v>99</v>
      </c>
      <c r="C6099" s="5" t="s">
        <v>1157</v>
      </c>
      <c r="D6099" s="5" t="s">
        <v>14</v>
      </c>
      <c r="E6099" s="5" t="s">
        <v>110</v>
      </c>
      <c r="F6099" s="5" t="s">
        <v>126</v>
      </c>
      <c r="G6099" s="5" t="s">
        <v>609</v>
      </c>
      <c r="H6099" s="5" t="s">
        <v>1158</v>
      </c>
      <c r="I6099" s="5" t="s">
        <v>31</v>
      </c>
      <c r="J6099" s="5">
        <v>17.976552999999999</v>
      </c>
      <c r="K6099" s="5">
        <v>-96.705423999999994</v>
      </c>
      <c r="L6099" s="5" t="str">
        <f>HYPERLINK("https://maps.google.com/?q=17.976553,-96.705423999999994", "🔗 Ver Mapa")</f>
        <v>🔗 Ver Mapa</v>
      </c>
    </row>
    <row r="6100" spans="1:12" ht="43.5" x14ac:dyDescent="0.35">
      <c r="A6100" s="6" t="s">
        <v>98</v>
      </c>
      <c r="B6100" s="6" t="s">
        <v>99</v>
      </c>
      <c r="C6100" s="6" t="s">
        <v>1157</v>
      </c>
      <c r="D6100" s="6" t="s">
        <v>14</v>
      </c>
      <c r="E6100" s="6" t="s">
        <v>110</v>
      </c>
      <c r="F6100" s="6" t="s">
        <v>126</v>
      </c>
      <c r="G6100" s="6" t="s">
        <v>609</v>
      </c>
      <c r="H6100" s="6" t="s">
        <v>1158</v>
      </c>
      <c r="I6100" s="6" t="s">
        <v>31</v>
      </c>
      <c r="J6100" s="6">
        <v>17.977945999999999</v>
      </c>
      <c r="K6100" s="6">
        <v>-96.702768000000006</v>
      </c>
      <c r="L6100" s="6" t="str">
        <f>HYPERLINK("https://maps.google.com/?q=17.977946,-96.702768000000006", "🔗 Ver Mapa")</f>
        <v>🔗 Ver Mapa</v>
      </c>
    </row>
    <row r="6101" spans="1:12" ht="43.5" x14ac:dyDescent="0.35">
      <c r="A6101" s="5" t="s">
        <v>98</v>
      </c>
      <c r="B6101" s="5" t="s">
        <v>99</v>
      </c>
      <c r="C6101" s="5" t="s">
        <v>1157</v>
      </c>
      <c r="D6101" s="5" t="s">
        <v>14</v>
      </c>
      <c r="E6101" s="5" t="s">
        <v>110</v>
      </c>
      <c r="F6101" s="5" t="s">
        <v>126</v>
      </c>
      <c r="G6101" s="5" t="s">
        <v>609</v>
      </c>
      <c r="H6101" s="5" t="s">
        <v>1158</v>
      </c>
      <c r="I6101" s="5" t="s">
        <v>31</v>
      </c>
      <c r="J6101" s="5">
        <v>17.980457999999999</v>
      </c>
      <c r="K6101" s="5">
        <v>-96.702078</v>
      </c>
      <c r="L6101" s="5" t="str">
        <f>HYPERLINK("https://maps.google.com/?q=17.980458,-96.702078", "🔗 Ver Mapa")</f>
        <v>🔗 Ver Mapa</v>
      </c>
    </row>
    <row r="6102" spans="1:12" ht="43.5" x14ac:dyDescent="0.35">
      <c r="A6102" s="6" t="s">
        <v>98</v>
      </c>
      <c r="B6102" s="6" t="s">
        <v>99</v>
      </c>
      <c r="C6102" s="6" t="s">
        <v>1157</v>
      </c>
      <c r="D6102" s="6" t="s">
        <v>14</v>
      </c>
      <c r="E6102" s="6" t="s">
        <v>110</v>
      </c>
      <c r="F6102" s="6" t="s">
        <v>126</v>
      </c>
      <c r="G6102" s="6" t="s">
        <v>609</v>
      </c>
      <c r="H6102" s="6" t="s">
        <v>1158</v>
      </c>
      <c r="I6102" s="6" t="s">
        <v>31</v>
      </c>
      <c r="J6102" s="6">
        <v>17.980677</v>
      </c>
      <c r="K6102" s="6">
        <v>-96.702348000000001</v>
      </c>
      <c r="L6102" s="6" t="str">
        <f>HYPERLINK("https://maps.google.com/?q=17.980677,-96.702348000000001", "🔗 Ver Mapa")</f>
        <v>🔗 Ver Mapa</v>
      </c>
    </row>
    <row r="6103" spans="1:12" ht="43.5" x14ac:dyDescent="0.35">
      <c r="A6103" s="5" t="s">
        <v>98</v>
      </c>
      <c r="B6103" s="5" t="s">
        <v>99</v>
      </c>
      <c r="C6103" s="5" t="s">
        <v>1157</v>
      </c>
      <c r="D6103" s="5" t="s">
        <v>14</v>
      </c>
      <c r="E6103" s="5" t="s">
        <v>110</v>
      </c>
      <c r="F6103" s="5" t="s">
        <v>126</v>
      </c>
      <c r="G6103" s="5" t="s">
        <v>609</v>
      </c>
      <c r="H6103" s="5" t="s">
        <v>1158</v>
      </c>
      <c r="I6103" s="5" t="s">
        <v>31</v>
      </c>
      <c r="J6103" s="5">
        <v>17.980862999999999</v>
      </c>
      <c r="K6103" s="5">
        <v>-96.702228000000005</v>
      </c>
      <c r="L6103" s="5" t="str">
        <f>HYPERLINK("https://maps.google.com/?q=17.980863,-96.702228000000005", "🔗 Ver Mapa")</f>
        <v>🔗 Ver Mapa</v>
      </c>
    </row>
    <row r="6104" spans="1:12" ht="43.5" x14ac:dyDescent="0.35">
      <c r="A6104" s="6" t="s">
        <v>98</v>
      </c>
      <c r="B6104" s="6" t="s">
        <v>99</v>
      </c>
      <c r="C6104" s="6" t="s">
        <v>1159</v>
      </c>
      <c r="D6104" s="6" t="s">
        <v>14</v>
      </c>
      <c r="E6104" s="6" t="s">
        <v>110</v>
      </c>
      <c r="F6104" s="6" t="s">
        <v>126</v>
      </c>
      <c r="G6104" s="6" t="s">
        <v>609</v>
      </c>
      <c r="H6104" s="6" t="s">
        <v>1158</v>
      </c>
      <c r="I6104" s="6" t="s">
        <v>31</v>
      </c>
      <c r="J6104" s="6">
        <v>17.971118000000001</v>
      </c>
      <c r="K6104" s="6">
        <v>-96.708744999999993</v>
      </c>
      <c r="L6104" s="6" t="str">
        <f>HYPERLINK("https://maps.google.com/?q=17.971118,-96.708744999999993", "🔗 Ver Mapa")</f>
        <v>🔗 Ver Mapa</v>
      </c>
    </row>
    <row r="6105" spans="1:12" ht="43.5" x14ac:dyDescent="0.35">
      <c r="A6105" s="5" t="s">
        <v>98</v>
      </c>
      <c r="B6105" s="5" t="s">
        <v>99</v>
      </c>
      <c r="C6105" s="5" t="s">
        <v>1159</v>
      </c>
      <c r="D6105" s="5" t="s">
        <v>14</v>
      </c>
      <c r="E6105" s="5" t="s">
        <v>110</v>
      </c>
      <c r="F6105" s="5" t="s">
        <v>126</v>
      </c>
      <c r="G6105" s="5" t="s">
        <v>609</v>
      </c>
      <c r="H6105" s="5" t="s">
        <v>1158</v>
      </c>
      <c r="I6105" s="5" t="s">
        <v>31</v>
      </c>
      <c r="J6105" s="5">
        <v>17.971437503082999</v>
      </c>
      <c r="K6105" s="5">
        <v>-96.708547912862997</v>
      </c>
      <c r="L6105" s="5" t="str">
        <f>HYPERLINK("https://maps.google.com/?q=17.971437503082747,-96.70854791286278", "🔗 Ver Mapa")</f>
        <v>🔗 Ver Mapa</v>
      </c>
    </row>
    <row r="6106" spans="1:12" ht="43.5" x14ac:dyDescent="0.35">
      <c r="A6106" s="6" t="s">
        <v>98</v>
      </c>
      <c r="B6106" s="6" t="s">
        <v>99</v>
      </c>
      <c r="C6106" s="6" t="s">
        <v>1159</v>
      </c>
      <c r="D6106" s="6" t="s">
        <v>14</v>
      </c>
      <c r="E6106" s="6" t="s">
        <v>110</v>
      </c>
      <c r="F6106" s="6" t="s">
        <v>126</v>
      </c>
      <c r="G6106" s="6" t="s">
        <v>609</v>
      </c>
      <c r="H6106" s="6" t="s">
        <v>1158</v>
      </c>
      <c r="I6106" s="6" t="s">
        <v>31</v>
      </c>
      <c r="J6106" s="6">
        <v>17.971591</v>
      </c>
      <c r="K6106" s="6">
        <v>-96.708352000000005</v>
      </c>
      <c r="L6106" s="6" t="str">
        <f>HYPERLINK("https://maps.google.com/?q=17.971591,-96.708352000000005", "🔗 Ver Mapa")</f>
        <v>🔗 Ver Mapa</v>
      </c>
    </row>
    <row r="6107" spans="1:12" ht="43.5" x14ac:dyDescent="0.35">
      <c r="A6107" s="5" t="s">
        <v>98</v>
      </c>
      <c r="B6107" s="5" t="s">
        <v>99</v>
      </c>
      <c r="C6107" s="5" t="s">
        <v>1159</v>
      </c>
      <c r="D6107" s="5" t="s">
        <v>14</v>
      </c>
      <c r="E6107" s="5" t="s">
        <v>110</v>
      </c>
      <c r="F6107" s="5" t="s">
        <v>126</v>
      </c>
      <c r="G6107" s="5" t="s">
        <v>609</v>
      </c>
      <c r="H6107" s="5" t="s">
        <v>1158</v>
      </c>
      <c r="I6107" s="5" t="s">
        <v>31</v>
      </c>
      <c r="J6107" s="5">
        <v>17.972107999999999</v>
      </c>
      <c r="K6107" s="5">
        <v>-96.708124999999995</v>
      </c>
      <c r="L6107" s="5" t="str">
        <f>HYPERLINK("https://maps.google.com/?q=17.972108,-96.708124999999995", "🔗 Ver Mapa")</f>
        <v>🔗 Ver Mapa</v>
      </c>
    </row>
    <row r="6108" spans="1:12" ht="43.5" x14ac:dyDescent="0.35">
      <c r="A6108" s="6" t="s">
        <v>98</v>
      </c>
      <c r="B6108" s="6" t="s">
        <v>99</v>
      </c>
      <c r="C6108" s="6" t="s">
        <v>1159</v>
      </c>
      <c r="D6108" s="6" t="s">
        <v>14</v>
      </c>
      <c r="E6108" s="6" t="s">
        <v>110</v>
      </c>
      <c r="F6108" s="6" t="s">
        <v>126</v>
      </c>
      <c r="G6108" s="6" t="s">
        <v>609</v>
      </c>
      <c r="H6108" s="6" t="s">
        <v>1158</v>
      </c>
      <c r="I6108" s="6" t="s">
        <v>31</v>
      </c>
      <c r="J6108" s="6">
        <v>17.972469</v>
      </c>
      <c r="K6108" s="6">
        <v>-96.708136999999994</v>
      </c>
      <c r="L6108" s="6" t="str">
        <f>HYPERLINK("https://maps.google.com/?q=17.972469,-96.708136999999994", "🔗 Ver Mapa")</f>
        <v>🔗 Ver Mapa</v>
      </c>
    </row>
    <row r="6109" spans="1:12" ht="43.5" x14ac:dyDescent="0.35">
      <c r="A6109" s="5" t="s">
        <v>98</v>
      </c>
      <c r="B6109" s="5" t="s">
        <v>99</v>
      </c>
      <c r="C6109" s="5" t="s">
        <v>1159</v>
      </c>
      <c r="D6109" s="5" t="s">
        <v>14</v>
      </c>
      <c r="E6109" s="5" t="s">
        <v>110</v>
      </c>
      <c r="F6109" s="5" t="s">
        <v>126</v>
      </c>
      <c r="G6109" s="5" t="s">
        <v>609</v>
      </c>
      <c r="H6109" s="5" t="s">
        <v>1158</v>
      </c>
      <c r="I6109" s="5" t="s">
        <v>31</v>
      </c>
      <c r="J6109" s="5">
        <v>17.972819000000001</v>
      </c>
      <c r="K6109" s="5">
        <v>-96.702532000000005</v>
      </c>
      <c r="L6109" s="5" t="str">
        <f>HYPERLINK("https://maps.google.com/?q=17.972819,-96.702532000000005", "🔗 Ver Mapa")</f>
        <v>🔗 Ver Mapa</v>
      </c>
    </row>
    <row r="6110" spans="1:12" ht="43.5" x14ac:dyDescent="0.35">
      <c r="A6110" s="6" t="s">
        <v>98</v>
      </c>
      <c r="B6110" s="6" t="s">
        <v>99</v>
      </c>
      <c r="C6110" s="6" t="s">
        <v>1159</v>
      </c>
      <c r="D6110" s="6" t="s">
        <v>14</v>
      </c>
      <c r="E6110" s="6" t="s">
        <v>110</v>
      </c>
      <c r="F6110" s="6" t="s">
        <v>126</v>
      </c>
      <c r="G6110" s="6" t="s">
        <v>609</v>
      </c>
      <c r="H6110" s="6" t="s">
        <v>1158</v>
      </c>
      <c r="I6110" s="6" t="s">
        <v>31</v>
      </c>
      <c r="J6110" s="6">
        <v>17.975638</v>
      </c>
      <c r="K6110" s="6">
        <v>-96.706018</v>
      </c>
      <c r="L6110" s="6" t="str">
        <f>HYPERLINK("https://maps.google.com/?q=17.975638,-96.706018", "🔗 Ver Mapa")</f>
        <v>🔗 Ver Mapa</v>
      </c>
    </row>
    <row r="6111" spans="1:12" ht="43.5" x14ac:dyDescent="0.35">
      <c r="A6111" s="5" t="s">
        <v>98</v>
      </c>
      <c r="B6111" s="5" t="s">
        <v>99</v>
      </c>
      <c r="C6111" s="5" t="s">
        <v>1159</v>
      </c>
      <c r="D6111" s="5" t="s">
        <v>14</v>
      </c>
      <c r="E6111" s="5" t="s">
        <v>110</v>
      </c>
      <c r="F6111" s="5" t="s">
        <v>126</v>
      </c>
      <c r="G6111" s="5" t="s">
        <v>609</v>
      </c>
      <c r="H6111" s="5" t="s">
        <v>1158</v>
      </c>
      <c r="I6111" s="5" t="s">
        <v>31</v>
      </c>
      <c r="J6111" s="5">
        <v>17.975648</v>
      </c>
      <c r="K6111" s="5">
        <v>-96.707228000000001</v>
      </c>
      <c r="L6111" s="5" t="str">
        <f>HYPERLINK("https://maps.google.com/?q=17.975648,-96.707228000000001", "🔗 Ver Mapa")</f>
        <v>🔗 Ver Mapa</v>
      </c>
    </row>
    <row r="6112" spans="1:12" ht="43.5" x14ac:dyDescent="0.35">
      <c r="A6112" s="6" t="s">
        <v>98</v>
      </c>
      <c r="B6112" s="6" t="s">
        <v>99</v>
      </c>
      <c r="C6112" s="6" t="s">
        <v>1159</v>
      </c>
      <c r="D6112" s="6" t="s">
        <v>14</v>
      </c>
      <c r="E6112" s="6" t="s">
        <v>110</v>
      </c>
      <c r="F6112" s="6" t="s">
        <v>126</v>
      </c>
      <c r="G6112" s="6" t="s">
        <v>609</v>
      </c>
      <c r="H6112" s="6" t="s">
        <v>1158</v>
      </c>
      <c r="I6112" s="6" t="s">
        <v>31</v>
      </c>
      <c r="J6112" s="6">
        <v>17.975693</v>
      </c>
      <c r="K6112" s="6">
        <v>-96.702888000000002</v>
      </c>
      <c r="L6112" s="6" t="str">
        <f>HYPERLINK("https://maps.google.com/?q=17.975693,-96.702888000000002", "🔗 Ver Mapa")</f>
        <v>🔗 Ver Mapa</v>
      </c>
    </row>
    <row r="6113" spans="1:12" ht="43.5" x14ac:dyDescent="0.35">
      <c r="A6113" s="5" t="s">
        <v>98</v>
      </c>
      <c r="B6113" s="5" t="s">
        <v>99</v>
      </c>
      <c r="C6113" s="5" t="s">
        <v>1159</v>
      </c>
      <c r="D6113" s="5" t="s">
        <v>14</v>
      </c>
      <c r="E6113" s="5" t="s">
        <v>110</v>
      </c>
      <c r="F6113" s="5" t="s">
        <v>126</v>
      </c>
      <c r="G6113" s="5" t="s">
        <v>609</v>
      </c>
      <c r="H6113" s="5" t="s">
        <v>1158</v>
      </c>
      <c r="I6113" s="5" t="s">
        <v>31</v>
      </c>
      <c r="J6113" s="5">
        <v>17.975801000000001</v>
      </c>
      <c r="K6113" s="5">
        <v>-96.705088000000003</v>
      </c>
      <c r="L6113" s="5" t="str">
        <f>HYPERLINK("https://maps.google.com/?q=17.975801,-96.705088000000003", "🔗 Ver Mapa")</f>
        <v>🔗 Ver Mapa</v>
      </c>
    </row>
    <row r="6114" spans="1:12" ht="43.5" x14ac:dyDescent="0.35">
      <c r="A6114" s="6" t="s">
        <v>98</v>
      </c>
      <c r="B6114" s="6" t="s">
        <v>99</v>
      </c>
      <c r="C6114" s="6" t="s">
        <v>1159</v>
      </c>
      <c r="D6114" s="6" t="s">
        <v>14</v>
      </c>
      <c r="E6114" s="6" t="s">
        <v>110</v>
      </c>
      <c r="F6114" s="6" t="s">
        <v>126</v>
      </c>
      <c r="G6114" s="6" t="s">
        <v>609</v>
      </c>
      <c r="H6114" s="6" t="s">
        <v>1158</v>
      </c>
      <c r="I6114" s="6" t="s">
        <v>31</v>
      </c>
      <c r="J6114" s="6">
        <v>17.976745000000001</v>
      </c>
      <c r="K6114" s="6">
        <v>-96.706220999999999</v>
      </c>
      <c r="L6114" s="6" t="str">
        <f>HYPERLINK("https://maps.google.com/?q=17.976745,-96.706220999999999", "🔗 Ver Mapa")</f>
        <v>🔗 Ver Mapa</v>
      </c>
    </row>
    <row r="6115" spans="1:12" ht="43.5" x14ac:dyDescent="0.35">
      <c r="A6115" s="5" t="s">
        <v>98</v>
      </c>
      <c r="B6115" s="5" t="s">
        <v>99</v>
      </c>
      <c r="C6115" s="5" t="s">
        <v>1159</v>
      </c>
      <c r="D6115" s="5" t="s">
        <v>14</v>
      </c>
      <c r="E6115" s="5" t="s">
        <v>110</v>
      </c>
      <c r="F6115" s="5" t="s">
        <v>126</v>
      </c>
      <c r="G6115" s="5" t="s">
        <v>609</v>
      </c>
      <c r="H6115" s="5" t="s">
        <v>1158</v>
      </c>
      <c r="I6115" s="5" t="s">
        <v>31</v>
      </c>
      <c r="J6115" s="5">
        <v>17.976887000000001</v>
      </c>
      <c r="K6115" s="5">
        <v>-96.706208000000004</v>
      </c>
      <c r="L6115" s="5" t="str">
        <f>HYPERLINK("https://maps.google.com/?q=17.976887,-96.706208000000004", "🔗 Ver Mapa")</f>
        <v>🔗 Ver Mapa</v>
      </c>
    </row>
    <row r="6116" spans="1:12" ht="43.5" x14ac:dyDescent="0.35">
      <c r="A6116" s="6" t="s">
        <v>98</v>
      </c>
      <c r="B6116" s="6" t="s">
        <v>99</v>
      </c>
      <c r="C6116" s="6" t="s">
        <v>1159</v>
      </c>
      <c r="D6116" s="6" t="s">
        <v>14</v>
      </c>
      <c r="E6116" s="6" t="s">
        <v>110</v>
      </c>
      <c r="F6116" s="6" t="s">
        <v>126</v>
      </c>
      <c r="G6116" s="6" t="s">
        <v>609</v>
      </c>
      <c r="H6116" s="6" t="s">
        <v>1158</v>
      </c>
      <c r="I6116" s="6" t="s">
        <v>31</v>
      </c>
      <c r="J6116" s="6">
        <v>17.977544000000002</v>
      </c>
      <c r="K6116" s="6">
        <v>-96.702596999999997</v>
      </c>
      <c r="L6116" s="6" t="str">
        <f>HYPERLINK("https://maps.google.com/?q=17.977544,-96.702596999999997", "🔗 Ver Mapa")</f>
        <v>🔗 Ver Mapa</v>
      </c>
    </row>
    <row r="6117" spans="1:12" ht="43.5" x14ac:dyDescent="0.35">
      <c r="A6117" s="5" t="s">
        <v>98</v>
      </c>
      <c r="B6117" s="5" t="s">
        <v>99</v>
      </c>
      <c r="C6117" s="5" t="s">
        <v>1159</v>
      </c>
      <c r="D6117" s="5" t="s">
        <v>14</v>
      </c>
      <c r="E6117" s="5" t="s">
        <v>110</v>
      </c>
      <c r="F6117" s="5" t="s">
        <v>126</v>
      </c>
      <c r="G6117" s="5" t="s">
        <v>609</v>
      </c>
      <c r="H6117" s="5" t="s">
        <v>1158</v>
      </c>
      <c r="I6117" s="5" t="s">
        <v>31</v>
      </c>
      <c r="J6117" s="5">
        <v>17.978165000000001</v>
      </c>
      <c r="K6117" s="5">
        <v>-96.701571999999999</v>
      </c>
      <c r="L6117" s="5" t="str">
        <f>HYPERLINK("https://maps.google.com/?q=17.978165,-96.701571999999999", "🔗 Ver Mapa")</f>
        <v>🔗 Ver Mapa</v>
      </c>
    </row>
    <row r="6118" spans="1:12" ht="43.5" x14ac:dyDescent="0.35">
      <c r="A6118" s="6" t="s">
        <v>98</v>
      </c>
      <c r="B6118" s="6" t="s">
        <v>99</v>
      </c>
      <c r="C6118" s="6" t="s">
        <v>1159</v>
      </c>
      <c r="D6118" s="6" t="s">
        <v>14</v>
      </c>
      <c r="E6118" s="6" t="s">
        <v>110</v>
      </c>
      <c r="F6118" s="6" t="s">
        <v>126</v>
      </c>
      <c r="G6118" s="6" t="s">
        <v>609</v>
      </c>
      <c r="H6118" s="6" t="s">
        <v>1158</v>
      </c>
      <c r="I6118" s="6" t="s">
        <v>31</v>
      </c>
      <c r="J6118" s="6">
        <v>17.978705000000001</v>
      </c>
      <c r="K6118" s="6">
        <v>-96.702555000000004</v>
      </c>
      <c r="L6118" s="6" t="str">
        <f>HYPERLINK("https://maps.google.com/?q=17.978705,-96.702555000000004", "🔗 Ver Mapa")</f>
        <v>🔗 Ver Mapa</v>
      </c>
    </row>
    <row r="6119" spans="1:12" ht="43.5" x14ac:dyDescent="0.35">
      <c r="A6119" s="5" t="s">
        <v>98</v>
      </c>
      <c r="B6119" s="5" t="s">
        <v>99</v>
      </c>
      <c r="C6119" s="5" t="s">
        <v>1159</v>
      </c>
      <c r="D6119" s="5" t="s">
        <v>14</v>
      </c>
      <c r="E6119" s="5" t="s">
        <v>110</v>
      </c>
      <c r="F6119" s="5" t="s">
        <v>126</v>
      </c>
      <c r="G6119" s="5" t="s">
        <v>609</v>
      </c>
      <c r="H6119" s="5" t="s">
        <v>1158</v>
      </c>
      <c r="I6119" s="5" t="s">
        <v>31</v>
      </c>
      <c r="J6119" s="5">
        <v>17.978826999999999</v>
      </c>
      <c r="K6119" s="5">
        <v>-96.702813000000006</v>
      </c>
      <c r="L6119" s="5" t="str">
        <f>HYPERLINK("https://maps.google.com/?q=17.978827,-96.702813000000006", "🔗 Ver Mapa")</f>
        <v>🔗 Ver Mapa</v>
      </c>
    </row>
    <row r="6120" spans="1:12" ht="43.5" x14ac:dyDescent="0.35">
      <c r="A6120" s="6" t="s">
        <v>98</v>
      </c>
      <c r="B6120" s="6" t="s">
        <v>99</v>
      </c>
      <c r="C6120" s="6" t="s">
        <v>1159</v>
      </c>
      <c r="D6120" s="6" t="s">
        <v>14</v>
      </c>
      <c r="E6120" s="6" t="s">
        <v>110</v>
      </c>
      <c r="F6120" s="6" t="s">
        <v>126</v>
      </c>
      <c r="G6120" s="6" t="s">
        <v>609</v>
      </c>
      <c r="H6120" s="6" t="s">
        <v>1158</v>
      </c>
      <c r="I6120" s="6" t="s">
        <v>31</v>
      </c>
      <c r="J6120" s="6">
        <v>17.979289999999999</v>
      </c>
      <c r="K6120" s="6">
        <v>-96.701959000000002</v>
      </c>
      <c r="L6120" s="6" t="str">
        <f>HYPERLINK("https://maps.google.com/?q=17.97929,-96.701959000000002", "🔗 Ver Mapa")</f>
        <v>🔗 Ver Mapa</v>
      </c>
    </row>
    <row r="6121" spans="1:12" ht="43.5" x14ac:dyDescent="0.35">
      <c r="A6121" s="5" t="s">
        <v>98</v>
      </c>
      <c r="B6121" s="5" t="s">
        <v>99</v>
      </c>
      <c r="C6121" s="5" t="s">
        <v>1159</v>
      </c>
      <c r="D6121" s="5" t="s">
        <v>14</v>
      </c>
      <c r="E6121" s="5" t="s">
        <v>110</v>
      </c>
      <c r="F6121" s="5" t="s">
        <v>126</v>
      </c>
      <c r="G6121" s="5" t="s">
        <v>609</v>
      </c>
      <c r="H6121" s="5" t="s">
        <v>1158</v>
      </c>
      <c r="I6121" s="5" t="s">
        <v>31</v>
      </c>
      <c r="J6121" s="5">
        <v>17.981005</v>
      </c>
      <c r="K6121" s="5">
        <v>-96.702405999999996</v>
      </c>
      <c r="L6121" s="5" t="str">
        <f>HYPERLINK("https://maps.google.com/?q=17.981005,-96.702405999999996", "🔗 Ver Mapa")</f>
        <v>🔗 Ver Mapa</v>
      </c>
    </row>
    <row r="6122" spans="1:12" ht="43.5" x14ac:dyDescent="0.35">
      <c r="A6122" s="6" t="s">
        <v>98</v>
      </c>
      <c r="B6122" s="6" t="s">
        <v>99</v>
      </c>
      <c r="C6122" s="6" t="s">
        <v>1160</v>
      </c>
      <c r="D6122" s="6" t="s">
        <v>14</v>
      </c>
      <c r="E6122" s="6" t="s">
        <v>52</v>
      </c>
      <c r="F6122" s="6" t="s">
        <v>53</v>
      </c>
      <c r="G6122" s="6" t="s">
        <v>1161</v>
      </c>
      <c r="H6122" s="6" t="s">
        <v>1162</v>
      </c>
      <c r="I6122" s="6" t="s">
        <v>31</v>
      </c>
      <c r="J6122" s="6">
        <v>16.9485502</v>
      </c>
      <c r="K6122" s="6">
        <v>-96.611669649999996</v>
      </c>
      <c r="L6122" s="6" t="str">
        <f>HYPERLINK("https://maps.google.com/?q=16.9485502,-96.611669649999996", "🔗 Ver Mapa")</f>
        <v>🔗 Ver Mapa</v>
      </c>
    </row>
    <row r="6123" spans="1:12" ht="43.5" x14ac:dyDescent="0.35">
      <c r="A6123" s="5" t="s">
        <v>98</v>
      </c>
      <c r="B6123" s="5" t="s">
        <v>99</v>
      </c>
      <c r="C6123" s="5" t="s">
        <v>1160</v>
      </c>
      <c r="D6123" s="5" t="s">
        <v>14</v>
      </c>
      <c r="E6123" s="5" t="s">
        <v>52</v>
      </c>
      <c r="F6123" s="5" t="s">
        <v>53</v>
      </c>
      <c r="G6123" s="5" t="s">
        <v>1161</v>
      </c>
      <c r="H6123" s="5" t="s">
        <v>1162</v>
      </c>
      <c r="I6123" s="5" t="s">
        <v>31</v>
      </c>
      <c r="J6123" s="5">
        <v>16.949030759999999</v>
      </c>
      <c r="K6123" s="5">
        <v>-96.615478920000001</v>
      </c>
      <c r="L6123" s="5" t="str">
        <f>HYPERLINK("https://maps.google.com/?q=16.94903076,-96.615478920000001", "🔗 Ver Mapa")</f>
        <v>🔗 Ver Mapa</v>
      </c>
    </row>
    <row r="6124" spans="1:12" ht="43.5" x14ac:dyDescent="0.35">
      <c r="A6124" s="6" t="s">
        <v>98</v>
      </c>
      <c r="B6124" s="6" t="s">
        <v>99</v>
      </c>
      <c r="C6124" s="6" t="s">
        <v>1160</v>
      </c>
      <c r="D6124" s="6" t="s">
        <v>14</v>
      </c>
      <c r="E6124" s="6" t="s">
        <v>52</v>
      </c>
      <c r="F6124" s="6" t="s">
        <v>53</v>
      </c>
      <c r="G6124" s="6" t="s">
        <v>1161</v>
      </c>
      <c r="H6124" s="6" t="s">
        <v>1162</v>
      </c>
      <c r="I6124" s="6" t="s">
        <v>31</v>
      </c>
      <c r="J6124" s="6">
        <v>16.949658580000001</v>
      </c>
      <c r="K6124" s="6">
        <v>-96.614754189999999</v>
      </c>
      <c r="L6124" s="6" t="str">
        <f>HYPERLINK("https://maps.google.com/?q=16.94965858,-96.614754189999999", "🔗 Ver Mapa")</f>
        <v>🔗 Ver Mapa</v>
      </c>
    </row>
    <row r="6125" spans="1:12" ht="43.5" x14ac:dyDescent="0.35">
      <c r="A6125" s="5" t="s">
        <v>98</v>
      </c>
      <c r="B6125" s="5" t="s">
        <v>99</v>
      </c>
      <c r="C6125" s="5" t="s">
        <v>1160</v>
      </c>
      <c r="D6125" s="5" t="s">
        <v>14</v>
      </c>
      <c r="E6125" s="5" t="s">
        <v>52</v>
      </c>
      <c r="F6125" s="5" t="s">
        <v>53</v>
      </c>
      <c r="G6125" s="5" t="s">
        <v>1161</v>
      </c>
      <c r="H6125" s="5" t="s">
        <v>1162</v>
      </c>
      <c r="I6125" s="5" t="s">
        <v>31</v>
      </c>
      <c r="J6125" s="5">
        <v>16.949760390000002</v>
      </c>
      <c r="K6125" s="5">
        <v>-96.613954840000005</v>
      </c>
      <c r="L6125" s="5" t="str">
        <f>HYPERLINK("https://maps.google.com/?q=16.94976039,-96.613954840000005", "🔗 Ver Mapa")</f>
        <v>🔗 Ver Mapa</v>
      </c>
    </row>
    <row r="6126" spans="1:12" ht="43.5" x14ac:dyDescent="0.35">
      <c r="A6126" s="6" t="s">
        <v>98</v>
      </c>
      <c r="B6126" s="6" t="s">
        <v>99</v>
      </c>
      <c r="C6126" s="6" t="s">
        <v>1160</v>
      </c>
      <c r="D6126" s="6" t="s">
        <v>14</v>
      </c>
      <c r="E6126" s="6" t="s">
        <v>52</v>
      </c>
      <c r="F6126" s="6" t="s">
        <v>53</v>
      </c>
      <c r="G6126" s="6" t="s">
        <v>1161</v>
      </c>
      <c r="H6126" s="6" t="s">
        <v>1162</v>
      </c>
      <c r="I6126" s="6" t="s">
        <v>31</v>
      </c>
      <c r="J6126" s="6">
        <v>16.950105010000001</v>
      </c>
      <c r="K6126" s="6">
        <v>-96.610757699999994</v>
      </c>
      <c r="L6126" s="6" t="str">
        <f>HYPERLINK("https://maps.google.com/?q=16.95010501,-96.610757699999994", "🔗 Ver Mapa")</f>
        <v>🔗 Ver Mapa</v>
      </c>
    </row>
    <row r="6127" spans="1:12" ht="43.5" x14ac:dyDescent="0.35">
      <c r="A6127" s="5" t="s">
        <v>98</v>
      </c>
      <c r="B6127" s="5" t="s">
        <v>99</v>
      </c>
      <c r="C6127" s="5" t="s">
        <v>1160</v>
      </c>
      <c r="D6127" s="5" t="s">
        <v>14</v>
      </c>
      <c r="E6127" s="5" t="s">
        <v>52</v>
      </c>
      <c r="F6127" s="5" t="s">
        <v>53</v>
      </c>
      <c r="G6127" s="5" t="s">
        <v>1161</v>
      </c>
      <c r="H6127" s="5" t="s">
        <v>1162</v>
      </c>
      <c r="I6127" s="5" t="s">
        <v>31</v>
      </c>
      <c r="J6127" s="5">
        <v>16.95033892</v>
      </c>
      <c r="K6127" s="5">
        <v>-96.610989840000002</v>
      </c>
      <c r="L6127" s="5" t="str">
        <f>HYPERLINK("https://maps.google.com/?q=16.95033892,-96.610989840000002", "🔗 Ver Mapa")</f>
        <v>🔗 Ver Mapa</v>
      </c>
    </row>
    <row r="6128" spans="1:12" ht="43.5" x14ac:dyDescent="0.35">
      <c r="A6128" s="6" t="s">
        <v>98</v>
      </c>
      <c r="B6128" s="6" t="s">
        <v>99</v>
      </c>
      <c r="C6128" s="6" t="s">
        <v>1160</v>
      </c>
      <c r="D6128" s="6" t="s">
        <v>14</v>
      </c>
      <c r="E6128" s="6" t="s">
        <v>52</v>
      </c>
      <c r="F6128" s="6" t="s">
        <v>53</v>
      </c>
      <c r="G6128" s="6" t="s">
        <v>1161</v>
      </c>
      <c r="H6128" s="6" t="s">
        <v>1162</v>
      </c>
      <c r="I6128" s="6" t="s">
        <v>31</v>
      </c>
      <c r="J6128" s="6">
        <v>16.950400370000001</v>
      </c>
      <c r="K6128" s="6">
        <v>-96.617786460000005</v>
      </c>
      <c r="L6128" s="6" t="str">
        <f>HYPERLINK("https://maps.google.com/?q=16.95040037,-96.617786460000005", "🔗 Ver Mapa")</f>
        <v>🔗 Ver Mapa</v>
      </c>
    </row>
    <row r="6129" spans="1:12" ht="43.5" x14ac:dyDescent="0.35">
      <c r="A6129" s="5" t="s">
        <v>98</v>
      </c>
      <c r="B6129" s="5" t="s">
        <v>99</v>
      </c>
      <c r="C6129" s="5" t="s">
        <v>1160</v>
      </c>
      <c r="D6129" s="5" t="s">
        <v>14</v>
      </c>
      <c r="E6129" s="5" t="s">
        <v>52</v>
      </c>
      <c r="F6129" s="5" t="s">
        <v>53</v>
      </c>
      <c r="G6129" s="5" t="s">
        <v>1161</v>
      </c>
      <c r="H6129" s="5" t="s">
        <v>1162</v>
      </c>
      <c r="I6129" s="5" t="s">
        <v>31</v>
      </c>
      <c r="J6129" s="5">
        <v>16.950839460000001</v>
      </c>
      <c r="K6129" s="5">
        <v>-96.613255960000004</v>
      </c>
      <c r="L6129" s="5" t="str">
        <f>HYPERLINK("https://maps.google.com/?q=16.95083946,-96.613255960000004", "🔗 Ver Mapa")</f>
        <v>🔗 Ver Mapa</v>
      </c>
    </row>
    <row r="6130" spans="1:12" ht="43.5" x14ac:dyDescent="0.35">
      <c r="A6130" s="6" t="s">
        <v>98</v>
      </c>
      <c r="B6130" s="6" t="s">
        <v>99</v>
      </c>
      <c r="C6130" s="6" t="s">
        <v>1160</v>
      </c>
      <c r="D6130" s="6" t="s">
        <v>14</v>
      </c>
      <c r="E6130" s="6" t="s">
        <v>52</v>
      </c>
      <c r="F6130" s="6" t="s">
        <v>53</v>
      </c>
      <c r="G6130" s="6" t="s">
        <v>1161</v>
      </c>
      <c r="H6130" s="6" t="s">
        <v>1162</v>
      </c>
      <c r="I6130" s="6" t="s">
        <v>31</v>
      </c>
      <c r="J6130" s="6">
        <v>16.950871830000001</v>
      </c>
      <c r="K6130" s="6">
        <v>-96.608981499999999</v>
      </c>
      <c r="L6130" s="6" t="str">
        <f>HYPERLINK("https://maps.google.com/?q=16.95087183,-96.608981499999999", "🔗 Ver Mapa")</f>
        <v>🔗 Ver Mapa</v>
      </c>
    </row>
    <row r="6131" spans="1:12" ht="43.5" x14ac:dyDescent="0.35">
      <c r="A6131" s="5" t="s">
        <v>98</v>
      </c>
      <c r="B6131" s="5" t="s">
        <v>99</v>
      </c>
      <c r="C6131" s="5" t="s">
        <v>1160</v>
      </c>
      <c r="D6131" s="5" t="s">
        <v>14</v>
      </c>
      <c r="E6131" s="5" t="s">
        <v>52</v>
      </c>
      <c r="F6131" s="5" t="s">
        <v>53</v>
      </c>
      <c r="G6131" s="5" t="s">
        <v>1161</v>
      </c>
      <c r="H6131" s="5" t="s">
        <v>1162</v>
      </c>
      <c r="I6131" s="5" t="s">
        <v>31</v>
      </c>
      <c r="J6131" s="5">
        <v>16.951121690000001</v>
      </c>
      <c r="K6131" s="5">
        <v>-96.612397659999999</v>
      </c>
      <c r="L6131" s="5" t="str">
        <f>HYPERLINK("https://maps.google.com/?q=16.95112169,-96.612397659999999", "🔗 Ver Mapa")</f>
        <v>🔗 Ver Mapa</v>
      </c>
    </row>
    <row r="6132" spans="1:12" ht="43.5" x14ac:dyDescent="0.35">
      <c r="A6132" s="6" t="s">
        <v>98</v>
      </c>
      <c r="B6132" s="6" t="s">
        <v>99</v>
      </c>
      <c r="C6132" s="6" t="s">
        <v>1160</v>
      </c>
      <c r="D6132" s="6" t="s">
        <v>14</v>
      </c>
      <c r="E6132" s="6" t="s">
        <v>52</v>
      </c>
      <c r="F6132" s="6" t="s">
        <v>53</v>
      </c>
      <c r="G6132" s="6" t="s">
        <v>1161</v>
      </c>
      <c r="H6132" s="6" t="s">
        <v>1162</v>
      </c>
      <c r="I6132" s="6" t="s">
        <v>31</v>
      </c>
      <c r="J6132" s="6">
        <v>16.951855470000002</v>
      </c>
      <c r="K6132" s="6">
        <v>-96.612483490000002</v>
      </c>
      <c r="L6132" s="6" t="str">
        <f>HYPERLINK("https://maps.google.com/?q=16.95185547,-96.612483490000002", "🔗 Ver Mapa")</f>
        <v>🔗 Ver Mapa</v>
      </c>
    </row>
    <row r="6133" spans="1:12" ht="43.5" x14ac:dyDescent="0.35">
      <c r="A6133" s="5" t="s">
        <v>98</v>
      </c>
      <c r="B6133" s="5" t="s">
        <v>99</v>
      </c>
      <c r="C6133" s="5" t="s">
        <v>1160</v>
      </c>
      <c r="D6133" s="5" t="s">
        <v>14</v>
      </c>
      <c r="E6133" s="5" t="s">
        <v>52</v>
      </c>
      <c r="F6133" s="5" t="s">
        <v>53</v>
      </c>
      <c r="G6133" s="5" t="s">
        <v>1161</v>
      </c>
      <c r="H6133" s="5" t="s">
        <v>1162</v>
      </c>
      <c r="I6133" s="5" t="s">
        <v>31</v>
      </c>
      <c r="J6133" s="5">
        <v>16.95199156</v>
      </c>
      <c r="K6133" s="5">
        <v>-96.61712043</v>
      </c>
      <c r="L6133" s="5" t="str">
        <f>HYPERLINK("https://maps.google.com/?q=16.95199156,-96.61712043", "🔗 Ver Mapa")</f>
        <v>🔗 Ver Mapa</v>
      </c>
    </row>
    <row r="6134" spans="1:12" ht="43.5" x14ac:dyDescent="0.35">
      <c r="A6134" s="6" t="s">
        <v>98</v>
      </c>
      <c r="B6134" s="6" t="s">
        <v>99</v>
      </c>
      <c r="C6134" s="6" t="s">
        <v>1160</v>
      </c>
      <c r="D6134" s="6" t="s">
        <v>14</v>
      </c>
      <c r="E6134" s="6" t="s">
        <v>52</v>
      </c>
      <c r="F6134" s="6" t="s">
        <v>53</v>
      </c>
      <c r="G6134" s="6" t="s">
        <v>1161</v>
      </c>
      <c r="H6134" s="6" t="s">
        <v>1162</v>
      </c>
      <c r="I6134" s="6" t="s">
        <v>31</v>
      </c>
      <c r="J6134" s="6">
        <v>16.9521221</v>
      </c>
      <c r="K6134" s="6">
        <v>-96.613061669999993</v>
      </c>
      <c r="L6134" s="6" t="str">
        <f>HYPERLINK("https://maps.google.com/?q=16.9521221,-96.613061669999993", "🔗 Ver Mapa")</f>
        <v>🔗 Ver Mapa</v>
      </c>
    </row>
    <row r="6135" spans="1:12" ht="43.5" x14ac:dyDescent="0.35">
      <c r="A6135" s="5" t="s">
        <v>98</v>
      </c>
      <c r="B6135" s="5" t="s">
        <v>99</v>
      </c>
      <c r="C6135" s="5" t="s">
        <v>1160</v>
      </c>
      <c r="D6135" s="5" t="s">
        <v>14</v>
      </c>
      <c r="E6135" s="5" t="s">
        <v>52</v>
      </c>
      <c r="F6135" s="5" t="s">
        <v>53</v>
      </c>
      <c r="G6135" s="5" t="s">
        <v>1161</v>
      </c>
      <c r="H6135" s="5" t="s">
        <v>1162</v>
      </c>
      <c r="I6135" s="5" t="s">
        <v>31</v>
      </c>
      <c r="J6135" s="5">
        <v>16.952240320000001</v>
      </c>
      <c r="K6135" s="5">
        <v>-96.615039629999998</v>
      </c>
      <c r="L6135" s="5" t="str">
        <f>HYPERLINK("https://maps.google.com/?q=16.95224032,-96.615039629999998", "🔗 Ver Mapa")</f>
        <v>🔗 Ver Mapa</v>
      </c>
    </row>
    <row r="6136" spans="1:12" ht="43.5" x14ac:dyDescent="0.35">
      <c r="A6136" s="6" t="s">
        <v>98</v>
      </c>
      <c r="B6136" s="6" t="s">
        <v>99</v>
      </c>
      <c r="C6136" s="6" t="s">
        <v>1160</v>
      </c>
      <c r="D6136" s="6" t="s">
        <v>14</v>
      </c>
      <c r="E6136" s="6" t="s">
        <v>52</v>
      </c>
      <c r="F6136" s="6" t="s">
        <v>53</v>
      </c>
      <c r="G6136" s="6" t="s">
        <v>1161</v>
      </c>
      <c r="H6136" s="6" t="s">
        <v>1162</v>
      </c>
      <c r="I6136" s="6" t="s">
        <v>31</v>
      </c>
      <c r="J6136" s="6">
        <v>16.952259720000001</v>
      </c>
      <c r="K6136" s="6">
        <v>-96.609385739999993</v>
      </c>
      <c r="L6136" s="6" t="str">
        <f>HYPERLINK("https://maps.google.com/?q=16.95225972,-96.609385739999993", "🔗 Ver Mapa")</f>
        <v>🔗 Ver Mapa</v>
      </c>
    </row>
    <row r="6137" spans="1:12" ht="43.5" x14ac:dyDescent="0.35">
      <c r="A6137" s="5" t="s">
        <v>98</v>
      </c>
      <c r="B6137" s="5" t="s">
        <v>99</v>
      </c>
      <c r="C6137" s="5" t="s">
        <v>1160</v>
      </c>
      <c r="D6137" s="5" t="s">
        <v>14</v>
      </c>
      <c r="E6137" s="5" t="s">
        <v>52</v>
      </c>
      <c r="F6137" s="5" t="s">
        <v>53</v>
      </c>
      <c r="G6137" s="5" t="s">
        <v>1161</v>
      </c>
      <c r="H6137" s="5" t="s">
        <v>1162</v>
      </c>
      <c r="I6137" s="5" t="s">
        <v>31</v>
      </c>
      <c r="J6137" s="5">
        <v>16.9524072</v>
      </c>
      <c r="K6137" s="5">
        <v>-96.609760449999996</v>
      </c>
      <c r="L6137" s="5" t="str">
        <f>HYPERLINK("https://maps.google.com/?q=16.9524072,-96.609760449999996", "🔗 Ver Mapa")</f>
        <v>🔗 Ver Mapa</v>
      </c>
    </row>
    <row r="6138" spans="1:12" ht="43.5" x14ac:dyDescent="0.35">
      <c r="A6138" s="6" t="s">
        <v>98</v>
      </c>
      <c r="B6138" s="6" t="s">
        <v>99</v>
      </c>
      <c r="C6138" s="6" t="s">
        <v>1160</v>
      </c>
      <c r="D6138" s="6" t="s">
        <v>14</v>
      </c>
      <c r="E6138" s="6" t="s">
        <v>52</v>
      </c>
      <c r="F6138" s="6" t="s">
        <v>53</v>
      </c>
      <c r="G6138" s="6" t="s">
        <v>1161</v>
      </c>
      <c r="H6138" s="6" t="s">
        <v>1162</v>
      </c>
      <c r="I6138" s="6" t="s">
        <v>31</v>
      </c>
      <c r="J6138" s="6">
        <v>16.9525814</v>
      </c>
      <c r="K6138" s="6">
        <v>-96.609766050000005</v>
      </c>
      <c r="L6138" s="6" t="str">
        <f>HYPERLINK("https://maps.google.com/?q=16.9525814,-96.609766050000005", "🔗 Ver Mapa")</f>
        <v>🔗 Ver Mapa</v>
      </c>
    </row>
    <row r="6139" spans="1:12" ht="43.5" x14ac:dyDescent="0.35">
      <c r="A6139" s="5" t="s">
        <v>98</v>
      </c>
      <c r="B6139" s="5" t="s">
        <v>99</v>
      </c>
      <c r="C6139" s="5" t="s">
        <v>1160</v>
      </c>
      <c r="D6139" s="5" t="s">
        <v>14</v>
      </c>
      <c r="E6139" s="5" t="s">
        <v>52</v>
      </c>
      <c r="F6139" s="5" t="s">
        <v>53</v>
      </c>
      <c r="G6139" s="5" t="s">
        <v>1161</v>
      </c>
      <c r="H6139" s="5" t="s">
        <v>1162</v>
      </c>
      <c r="I6139" s="5" t="s">
        <v>31</v>
      </c>
      <c r="J6139" s="5">
        <v>16.952875550000002</v>
      </c>
      <c r="K6139" s="5">
        <v>-96.622621170000002</v>
      </c>
      <c r="L6139" s="5" t="str">
        <f>HYPERLINK("https://maps.google.com/?q=16.95287555,-96.622621170000002", "🔗 Ver Mapa")</f>
        <v>🔗 Ver Mapa</v>
      </c>
    </row>
    <row r="6140" spans="1:12" ht="43.5" x14ac:dyDescent="0.35">
      <c r="A6140" s="6" t="s">
        <v>98</v>
      </c>
      <c r="B6140" s="6" t="s">
        <v>99</v>
      </c>
      <c r="C6140" s="6" t="s">
        <v>1160</v>
      </c>
      <c r="D6140" s="6" t="s">
        <v>14</v>
      </c>
      <c r="E6140" s="6" t="s">
        <v>52</v>
      </c>
      <c r="F6140" s="6" t="s">
        <v>53</v>
      </c>
      <c r="G6140" s="6" t="s">
        <v>1161</v>
      </c>
      <c r="H6140" s="6" t="s">
        <v>1162</v>
      </c>
      <c r="I6140" s="6" t="s">
        <v>31</v>
      </c>
      <c r="J6140" s="6">
        <v>16.953127370000001</v>
      </c>
      <c r="K6140" s="6">
        <v>-96.621513359999994</v>
      </c>
      <c r="L6140" s="6" t="str">
        <f>HYPERLINK("https://maps.google.com/?q=16.95312737,-96.621513359999994", "🔗 Ver Mapa")</f>
        <v>🔗 Ver Mapa</v>
      </c>
    </row>
    <row r="6141" spans="1:12" ht="43.5" x14ac:dyDescent="0.35">
      <c r="A6141" s="5" t="s">
        <v>98</v>
      </c>
      <c r="B6141" s="5" t="s">
        <v>99</v>
      </c>
      <c r="C6141" s="5" t="s">
        <v>1160</v>
      </c>
      <c r="D6141" s="5" t="s">
        <v>14</v>
      </c>
      <c r="E6141" s="5" t="s">
        <v>52</v>
      </c>
      <c r="F6141" s="5" t="s">
        <v>53</v>
      </c>
      <c r="G6141" s="5" t="s">
        <v>1161</v>
      </c>
      <c r="H6141" s="5" t="s">
        <v>1162</v>
      </c>
      <c r="I6141" s="5" t="s">
        <v>31</v>
      </c>
      <c r="J6141" s="5">
        <v>16.953230000000001</v>
      </c>
      <c r="K6141" s="5">
        <v>-96.618482459999996</v>
      </c>
      <c r="L6141" s="5" t="str">
        <f>HYPERLINK("https://maps.google.com/?q=16.95323,-96.618482459999996", "🔗 Ver Mapa")</f>
        <v>🔗 Ver Mapa</v>
      </c>
    </row>
    <row r="6142" spans="1:12" ht="43.5" x14ac:dyDescent="0.35">
      <c r="A6142" s="6" t="s">
        <v>98</v>
      </c>
      <c r="B6142" s="6" t="s">
        <v>99</v>
      </c>
      <c r="C6142" s="6" t="s">
        <v>1160</v>
      </c>
      <c r="D6142" s="6" t="s">
        <v>14</v>
      </c>
      <c r="E6142" s="6" t="s">
        <v>52</v>
      </c>
      <c r="F6142" s="6" t="s">
        <v>53</v>
      </c>
      <c r="G6142" s="6" t="s">
        <v>1161</v>
      </c>
      <c r="H6142" s="6" t="s">
        <v>1162</v>
      </c>
      <c r="I6142" s="6" t="s">
        <v>31</v>
      </c>
      <c r="J6142" s="6">
        <v>16.95327151</v>
      </c>
      <c r="K6142" s="6">
        <v>-96.610384819999993</v>
      </c>
      <c r="L6142" s="6" t="str">
        <f>HYPERLINK("https://maps.google.com/?q=16.95327151,-96.610384819999993", "🔗 Ver Mapa")</f>
        <v>🔗 Ver Mapa</v>
      </c>
    </row>
    <row r="6143" spans="1:12" ht="43.5" x14ac:dyDescent="0.35">
      <c r="A6143" s="5" t="s">
        <v>98</v>
      </c>
      <c r="B6143" s="5" t="s">
        <v>99</v>
      </c>
      <c r="C6143" s="5" t="s">
        <v>1160</v>
      </c>
      <c r="D6143" s="5" t="s">
        <v>14</v>
      </c>
      <c r="E6143" s="5" t="s">
        <v>52</v>
      </c>
      <c r="F6143" s="5" t="s">
        <v>53</v>
      </c>
      <c r="G6143" s="5" t="s">
        <v>1161</v>
      </c>
      <c r="H6143" s="5" t="s">
        <v>1162</v>
      </c>
      <c r="I6143" s="5" t="s">
        <v>31</v>
      </c>
      <c r="J6143" s="5">
        <v>16.953419390000001</v>
      </c>
      <c r="K6143" s="5">
        <v>-96.613272260000002</v>
      </c>
      <c r="L6143" s="5" t="str">
        <f>HYPERLINK("https://maps.google.com/?q=16.95341939,-96.613272260000002", "🔗 Ver Mapa")</f>
        <v>🔗 Ver Mapa</v>
      </c>
    </row>
    <row r="6144" spans="1:12" ht="43.5" x14ac:dyDescent="0.35">
      <c r="A6144" s="6" t="s">
        <v>98</v>
      </c>
      <c r="B6144" s="6" t="s">
        <v>99</v>
      </c>
      <c r="C6144" s="6" t="s">
        <v>1160</v>
      </c>
      <c r="D6144" s="6" t="s">
        <v>14</v>
      </c>
      <c r="E6144" s="6" t="s">
        <v>52</v>
      </c>
      <c r="F6144" s="6" t="s">
        <v>53</v>
      </c>
      <c r="G6144" s="6" t="s">
        <v>1161</v>
      </c>
      <c r="H6144" s="6" t="s">
        <v>1162</v>
      </c>
      <c r="I6144" s="6" t="s">
        <v>31</v>
      </c>
      <c r="J6144" s="6">
        <v>16.953592530000002</v>
      </c>
      <c r="K6144" s="6">
        <v>-96.612024230000003</v>
      </c>
      <c r="L6144" s="6" t="str">
        <f>HYPERLINK("https://maps.google.com/?q=16.95359253,-96.612024230000003", "🔗 Ver Mapa")</f>
        <v>🔗 Ver Mapa</v>
      </c>
    </row>
    <row r="6145" spans="1:12" ht="43.5" x14ac:dyDescent="0.35">
      <c r="A6145" s="5" t="s">
        <v>98</v>
      </c>
      <c r="B6145" s="5" t="s">
        <v>99</v>
      </c>
      <c r="C6145" s="5" t="s">
        <v>1160</v>
      </c>
      <c r="D6145" s="5" t="s">
        <v>14</v>
      </c>
      <c r="E6145" s="5" t="s">
        <v>52</v>
      </c>
      <c r="F6145" s="5" t="s">
        <v>53</v>
      </c>
      <c r="G6145" s="5" t="s">
        <v>1161</v>
      </c>
      <c r="H6145" s="5" t="s">
        <v>1162</v>
      </c>
      <c r="I6145" s="5" t="s">
        <v>31</v>
      </c>
      <c r="J6145" s="5">
        <v>16.953973569999999</v>
      </c>
      <c r="K6145" s="5">
        <v>-96.61324544</v>
      </c>
      <c r="L6145" s="5" t="str">
        <f>HYPERLINK("https://maps.google.com/?q=16.95397357,-96.61324544", "🔗 Ver Mapa")</f>
        <v>🔗 Ver Mapa</v>
      </c>
    </row>
    <row r="6146" spans="1:12" ht="43.5" x14ac:dyDescent="0.35">
      <c r="A6146" s="6" t="s">
        <v>98</v>
      </c>
      <c r="B6146" s="6" t="s">
        <v>99</v>
      </c>
      <c r="C6146" s="6" t="s">
        <v>1160</v>
      </c>
      <c r="D6146" s="6" t="s">
        <v>14</v>
      </c>
      <c r="E6146" s="6" t="s">
        <v>52</v>
      </c>
      <c r="F6146" s="6" t="s">
        <v>53</v>
      </c>
      <c r="G6146" s="6" t="s">
        <v>1161</v>
      </c>
      <c r="H6146" s="6" t="s">
        <v>1162</v>
      </c>
      <c r="I6146" s="6" t="s">
        <v>31</v>
      </c>
      <c r="J6146" s="6">
        <v>16.9540276</v>
      </c>
      <c r="K6146" s="6">
        <v>-96.608702550000004</v>
      </c>
      <c r="L6146" s="6" t="str">
        <f>HYPERLINK("https://maps.google.com/?q=16.9540276,-96.608702550000004", "🔗 Ver Mapa")</f>
        <v>🔗 Ver Mapa</v>
      </c>
    </row>
    <row r="6147" spans="1:12" ht="43.5" x14ac:dyDescent="0.35">
      <c r="A6147" s="5" t="s">
        <v>98</v>
      </c>
      <c r="B6147" s="5" t="s">
        <v>99</v>
      </c>
      <c r="C6147" s="5" t="s">
        <v>1160</v>
      </c>
      <c r="D6147" s="5" t="s">
        <v>14</v>
      </c>
      <c r="E6147" s="5" t="s">
        <v>52</v>
      </c>
      <c r="F6147" s="5" t="s">
        <v>53</v>
      </c>
      <c r="G6147" s="5" t="s">
        <v>1161</v>
      </c>
      <c r="H6147" s="5" t="s">
        <v>1162</v>
      </c>
      <c r="I6147" s="5" t="s">
        <v>31</v>
      </c>
      <c r="J6147" s="5">
        <v>16.95445599</v>
      </c>
      <c r="K6147" s="5">
        <v>-96.623602860000005</v>
      </c>
      <c r="L6147" s="5" t="str">
        <f>HYPERLINK("https://maps.google.com/?q=16.95445599,-96.623602860000005", "🔗 Ver Mapa")</f>
        <v>🔗 Ver Mapa</v>
      </c>
    </row>
    <row r="6148" spans="1:12" ht="43.5" x14ac:dyDescent="0.35">
      <c r="A6148" s="6" t="s">
        <v>98</v>
      </c>
      <c r="B6148" s="6" t="s">
        <v>99</v>
      </c>
      <c r="C6148" s="6" t="s">
        <v>1160</v>
      </c>
      <c r="D6148" s="6" t="s">
        <v>14</v>
      </c>
      <c r="E6148" s="6" t="s">
        <v>52</v>
      </c>
      <c r="F6148" s="6" t="s">
        <v>53</v>
      </c>
      <c r="G6148" s="6" t="s">
        <v>1161</v>
      </c>
      <c r="H6148" s="6" t="s">
        <v>1162</v>
      </c>
      <c r="I6148" s="6" t="s">
        <v>31</v>
      </c>
      <c r="J6148" s="6">
        <v>16.955239670000001</v>
      </c>
      <c r="K6148" s="6">
        <v>-96.617576400000004</v>
      </c>
      <c r="L6148" s="6" t="str">
        <f>HYPERLINK("https://maps.google.com/?q=16.95523967,-96.617576400000004", "🔗 Ver Mapa")</f>
        <v>🔗 Ver Mapa</v>
      </c>
    </row>
    <row r="6149" spans="1:12" ht="43.5" x14ac:dyDescent="0.35">
      <c r="A6149" s="5" t="s">
        <v>98</v>
      </c>
      <c r="B6149" s="5" t="s">
        <v>99</v>
      </c>
      <c r="C6149" s="5" t="s">
        <v>1160</v>
      </c>
      <c r="D6149" s="5" t="s">
        <v>14</v>
      </c>
      <c r="E6149" s="5" t="s">
        <v>52</v>
      </c>
      <c r="F6149" s="5" t="s">
        <v>53</v>
      </c>
      <c r="G6149" s="5" t="s">
        <v>1161</v>
      </c>
      <c r="H6149" s="5" t="s">
        <v>1162</v>
      </c>
      <c r="I6149" s="5" t="s">
        <v>31</v>
      </c>
      <c r="J6149" s="5">
        <v>16.956585839999999</v>
      </c>
      <c r="K6149" s="5">
        <v>-96.612683529999998</v>
      </c>
      <c r="L6149" s="5" t="str">
        <f>HYPERLINK("https://maps.google.com/?q=16.95658584,-96.612683529999998", "🔗 Ver Mapa")</f>
        <v>🔗 Ver Mapa</v>
      </c>
    </row>
    <row r="6150" spans="1:12" ht="58" x14ac:dyDescent="0.35">
      <c r="A6150" s="6" t="s">
        <v>73</v>
      </c>
      <c r="B6150" s="6" t="s">
        <v>74</v>
      </c>
      <c r="C6150" s="6" t="s">
        <v>1163</v>
      </c>
      <c r="D6150" s="6" t="s">
        <v>76</v>
      </c>
      <c r="E6150" s="6" t="s">
        <v>110</v>
      </c>
      <c r="F6150" s="6" t="s">
        <v>111</v>
      </c>
      <c r="G6150" s="6" t="s">
        <v>501</v>
      </c>
      <c r="H6150" s="6" t="s">
        <v>1164</v>
      </c>
      <c r="I6150" s="6" t="s">
        <v>31</v>
      </c>
      <c r="J6150" s="6">
        <v>18.121963043236001</v>
      </c>
      <c r="K6150" s="6">
        <v>-96.899810467430001</v>
      </c>
      <c r="L6150" s="6" t="str">
        <f>HYPERLINK("https://maps.google.com/?q=18.121963043236136,-96.89981046743009", "🔗 Ver Mapa")</f>
        <v>🔗 Ver Mapa</v>
      </c>
    </row>
    <row r="6151" spans="1:12" ht="58" x14ac:dyDescent="0.35">
      <c r="A6151" s="5" t="s">
        <v>98</v>
      </c>
      <c r="B6151" s="5" t="s">
        <v>99</v>
      </c>
      <c r="C6151" s="5" t="s">
        <v>1165</v>
      </c>
      <c r="D6151" s="5" t="s">
        <v>14</v>
      </c>
      <c r="E6151" s="5" t="s">
        <v>39</v>
      </c>
      <c r="F6151" s="5" t="s">
        <v>353</v>
      </c>
      <c r="G6151" s="5" t="s">
        <v>742</v>
      </c>
      <c r="H6151" s="5" t="s">
        <v>1166</v>
      </c>
      <c r="I6151" s="5" t="s">
        <v>31</v>
      </c>
      <c r="J6151" s="5">
        <v>16.139967795792</v>
      </c>
      <c r="K6151" s="5">
        <v>-96.417017375309001</v>
      </c>
      <c r="L6151" s="5" t="str">
        <f>HYPERLINK("https://maps.google.com/?q=16.1399677957917,-96.4170173753092", "🔗 Ver Mapa")</f>
        <v>🔗 Ver Mapa</v>
      </c>
    </row>
    <row r="6152" spans="1:12" ht="58" x14ac:dyDescent="0.35">
      <c r="A6152" s="6" t="s">
        <v>98</v>
      </c>
      <c r="B6152" s="6" t="s">
        <v>99</v>
      </c>
      <c r="C6152" s="6" t="s">
        <v>1165</v>
      </c>
      <c r="D6152" s="6" t="s">
        <v>14</v>
      </c>
      <c r="E6152" s="6" t="s">
        <v>39</v>
      </c>
      <c r="F6152" s="6" t="s">
        <v>353</v>
      </c>
      <c r="G6152" s="6" t="s">
        <v>742</v>
      </c>
      <c r="H6152" s="6" t="s">
        <v>1166</v>
      </c>
      <c r="I6152" s="6" t="s">
        <v>31</v>
      </c>
      <c r="J6152" s="6">
        <v>16.140054918591002</v>
      </c>
      <c r="K6152" s="6">
        <v>-96.415763465389006</v>
      </c>
      <c r="L6152" s="6" t="str">
        <f>HYPERLINK("https://maps.google.com/?q=16.140054918591,-96.415763465389006", "🔗 Ver Mapa")</f>
        <v>🔗 Ver Mapa</v>
      </c>
    </row>
    <row r="6153" spans="1:12" ht="58" x14ac:dyDescent="0.35">
      <c r="A6153" s="5" t="s">
        <v>98</v>
      </c>
      <c r="B6153" s="5" t="s">
        <v>99</v>
      </c>
      <c r="C6153" s="5" t="s">
        <v>1165</v>
      </c>
      <c r="D6153" s="5" t="s">
        <v>14</v>
      </c>
      <c r="E6153" s="5" t="s">
        <v>39</v>
      </c>
      <c r="F6153" s="5" t="s">
        <v>353</v>
      </c>
      <c r="G6153" s="5" t="s">
        <v>742</v>
      </c>
      <c r="H6153" s="5" t="s">
        <v>1166</v>
      </c>
      <c r="I6153" s="5" t="s">
        <v>31</v>
      </c>
      <c r="J6153" s="5">
        <v>16.140208757660002</v>
      </c>
      <c r="K6153" s="5">
        <v>-96.418831408236997</v>
      </c>
      <c r="L6153" s="5" t="str">
        <f>HYPERLINK("https://maps.google.com/?q=16.1402087576605,-96.418831408237395", "🔗 Ver Mapa")</f>
        <v>🔗 Ver Mapa</v>
      </c>
    </row>
    <row r="6154" spans="1:12" ht="58" x14ac:dyDescent="0.35">
      <c r="A6154" s="6" t="s">
        <v>98</v>
      </c>
      <c r="B6154" s="6" t="s">
        <v>99</v>
      </c>
      <c r="C6154" s="6" t="s">
        <v>1165</v>
      </c>
      <c r="D6154" s="6" t="s">
        <v>14</v>
      </c>
      <c r="E6154" s="6" t="s">
        <v>39</v>
      </c>
      <c r="F6154" s="6" t="s">
        <v>353</v>
      </c>
      <c r="G6154" s="6" t="s">
        <v>742</v>
      </c>
      <c r="H6154" s="6" t="s">
        <v>1166</v>
      </c>
      <c r="I6154" s="6" t="s">
        <v>31</v>
      </c>
      <c r="J6154" s="6">
        <v>16.140507306808001</v>
      </c>
      <c r="K6154" s="6">
        <v>-96.418600359880998</v>
      </c>
      <c r="L6154" s="6" t="str">
        <f>HYPERLINK("https://maps.google.com/?q=16.1405073068077,-96.4186003598811", "🔗 Ver Mapa")</f>
        <v>🔗 Ver Mapa</v>
      </c>
    </row>
    <row r="6155" spans="1:12" ht="58" x14ac:dyDescent="0.35">
      <c r="A6155" s="5" t="s">
        <v>98</v>
      </c>
      <c r="B6155" s="5" t="s">
        <v>99</v>
      </c>
      <c r="C6155" s="5" t="s">
        <v>1165</v>
      </c>
      <c r="D6155" s="5" t="s">
        <v>14</v>
      </c>
      <c r="E6155" s="5" t="s">
        <v>39</v>
      </c>
      <c r="F6155" s="5" t="s">
        <v>353</v>
      </c>
      <c r="G6155" s="5" t="s">
        <v>742</v>
      </c>
      <c r="H6155" s="5" t="s">
        <v>1166</v>
      </c>
      <c r="I6155" s="5" t="s">
        <v>31</v>
      </c>
      <c r="J6155" s="5">
        <v>16.140828696330999</v>
      </c>
      <c r="K6155" s="5">
        <v>-96.417477874834006</v>
      </c>
      <c r="L6155" s="5" t="str">
        <f>HYPERLINK("https://maps.google.com/?q=16.1408286963308,-96.417477874834006", "🔗 Ver Mapa")</f>
        <v>🔗 Ver Mapa</v>
      </c>
    </row>
    <row r="6156" spans="1:12" ht="58" x14ac:dyDescent="0.35">
      <c r="A6156" s="6" t="s">
        <v>98</v>
      </c>
      <c r="B6156" s="6" t="s">
        <v>99</v>
      </c>
      <c r="C6156" s="6" t="s">
        <v>1165</v>
      </c>
      <c r="D6156" s="6" t="s">
        <v>14</v>
      </c>
      <c r="E6156" s="6" t="s">
        <v>39</v>
      </c>
      <c r="F6156" s="6" t="s">
        <v>353</v>
      </c>
      <c r="G6156" s="6" t="s">
        <v>742</v>
      </c>
      <c r="H6156" s="6" t="s">
        <v>1166</v>
      </c>
      <c r="I6156" s="6" t="s">
        <v>31</v>
      </c>
      <c r="J6156" s="6">
        <v>16.141642030025999</v>
      </c>
      <c r="K6156" s="6">
        <v>-96.419139031827996</v>
      </c>
      <c r="L6156" s="6" t="str">
        <f>HYPERLINK("https://maps.google.com/?q=16.1416420300265,-96.4191390318276", "🔗 Ver Mapa")</f>
        <v>🔗 Ver Mapa</v>
      </c>
    </row>
    <row r="6157" spans="1:12" ht="58" x14ac:dyDescent="0.35">
      <c r="A6157" s="5" t="s">
        <v>98</v>
      </c>
      <c r="B6157" s="5" t="s">
        <v>99</v>
      </c>
      <c r="C6157" s="5" t="s">
        <v>1165</v>
      </c>
      <c r="D6157" s="5" t="s">
        <v>14</v>
      </c>
      <c r="E6157" s="5" t="s">
        <v>39</v>
      </c>
      <c r="F6157" s="5" t="s">
        <v>353</v>
      </c>
      <c r="G6157" s="5" t="s">
        <v>742</v>
      </c>
      <c r="H6157" s="5" t="s">
        <v>1166</v>
      </c>
      <c r="I6157" s="5" t="s">
        <v>31</v>
      </c>
      <c r="J6157" s="5">
        <v>16.141694581616001</v>
      </c>
      <c r="K6157" s="5">
        <v>-96.416973673436999</v>
      </c>
      <c r="L6157" s="5" t="str">
        <f>HYPERLINK("https://maps.google.com/?q=16.1416945816159,-96.416973673437397", "🔗 Ver Mapa")</f>
        <v>🔗 Ver Mapa</v>
      </c>
    </row>
    <row r="6158" spans="1:12" ht="58" x14ac:dyDescent="0.35">
      <c r="A6158" s="6" t="s">
        <v>98</v>
      </c>
      <c r="B6158" s="6" t="s">
        <v>99</v>
      </c>
      <c r="C6158" s="6" t="s">
        <v>1165</v>
      </c>
      <c r="D6158" s="6" t="s">
        <v>14</v>
      </c>
      <c r="E6158" s="6" t="s">
        <v>39</v>
      </c>
      <c r="F6158" s="6" t="s">
        <v>353</v>
      </c>
      <c r="G6158" s="6" t="s">
        <v>742</v>
      </c>
      <c r="H6158" s="6" t="s">
        <v>1166</v>
      </c>
      <c r="I6158" s="6" t="s">
        <v>31</v>
      </c>
      <c r="J6158" s="6">
        <v>16.141767543720999</v>
      </c>
      <c r="K6158" s="6">
        <v>-96.417963145998002</v>
      </c>
      <c r="L6158" s="6" t="str">
        <f>HYPERLINK("https://maps.google.com/?q=16.1417675437207,-96.417963145998002", "🔗 Ver Mapa")</f>
        <v>🔗 Ver Mapa</v>
      </c>
    </row>
    <row r="6159" spans="1:12" ht="58" x14ac:dyDescent="0.35">
      <c r="A6159" s="5" t="s">
        <v>98</v>
      </c>
      <c r="B6159" s="5" t="s">
        <v>99</v>
      </c>
      <c r="C6159" s="5" t="s">
        <v>1165</v>
      </c>
      <c r="D6159" s="5" t="s">
        <v>14</v>
      </c>
      <c r="E6159" s="5" t="s">
        <v>39</v>
      </c>
      <c r="F6159" s="5" t="s">
        <v>353</v>
      </c>
      <c r="G6159" s="5" t="s">
        <v>742</v>
      </c>
      <c r="H6159" s="5" t="s">
        <v>1166</v>
      </c>
      <c r="I6159" s="5" t="s">
        <v>31</v>
      </c>
      <c r="J6159" s="5">
        <v>16.141863735173001</v>
      </c>
      <c r="K6159" s="5">
        <v>-96.420009322767001</v>
      </c>
      <c r="L6159" s="5" t="str">
        <f>HYPERLINK("https://maps.google.com/?q=16.141863735173,-96.420009322767001", "🔗 Ver Mapa")</f>
        <v>🔗 Ver Mapa</v>
      </c>
    </row>
    <row r="6160" spans="1:12" ht="58" x14ac:dyDescent="0.35">
      <c r="A6160" s="6" t="s">
        <v>98</v>
      </c>
      <c r="B6160" s="6" t="s">
        <v>99</v>
      </c>
      <c r="C6160" s="6" t="s">
        <v>1165</v>
      </c>
      <c r="D6160" s="6" t="s">
        <v>14</v>
      </c>
      <c r="E6160" s="6" t="s">
        <v>39</v>
      </c>
      <c r="F6160" s="6" t="s">
        <v>353</v>
      </c>
      <c r="G6160" s="6" t="s">
        <v>742</v>
      </c>
      <c r="H6160" s="6" t="s">
        <v>1166</v>
      </c>
      <c r="I6160" s="6" t="s">
        <v>31</v>
      </c>
      <c r="J6160" s="6">
        <v>16.141897810248999</v>
      </c>
      <c r="K6160" s="6">
        <v>-96.418634178605004</v>
      </c>
      <c r="L6160" s="6" t="str">
        <f>HYPERLINK("https://maps.google.com/?q=16.1418978102485,-96.418634178604805", "🔗 Ver Mapa")</f>
        <v>🔗 Ver Mapa</v>
      </c>
    </row>
    <row r="6161" spans="1:12" ht="58" x14ac:dyDescent="0.35">
      <c r="A6161" s="5" t="s">
        <v>98</v>
      </c>
      <c r="B6161" s="5" t="s">
        <v>99</v>
      </c>
      <c r="C6161" s="5" t="s">
        <v>1165</v>
      </c>
      <c r="D6161" s="5" t="s">
        <v>14</v>
      </c>
      <c r="E6161" s="5" t="s">
        <v>39</v>
      </c>
      <c r="F6161" s="5" t="s">
        <v>353</v>
      </c>
      <c r="G6161" s="5" t="s">
        <v>742</v>
      </c>
      <c r="H6161" s="5" t="s">
        <v>1166</v>
      </c>
      <c r="I6161" s="5" t="s">
        <v>31</v>
      </c>
      <c r="J6161" s="5">
        <v>16.141905043213001</v>
      </c>
      <c r="K6161" s="5">
        <v>-96.416890454611007</v>
      </c>
      <c r="L6161" s="5" t="str">
        <f>HYPERLINK("https://maps.google.com/?q=16.1419050432134,-96.416890454610893", "🔗 Ver Mapa")</f>
        <v>🔗 Ver Mapa</v>
      </c>
    </row>
    <row r="6162" spans="1:12" ht="58" x14ac:dyDescent="0.35">
      <c r="A6162" s="6" t="s">
        <v>98</v>
      </c>
      <c r="B6162" s="6" t="s">
        <v>99</v>
      </c>
      <c r="C6162" s="6" t="s">
        <v>1165</v>
      </c>
      <c r="D6162" s="6" t="s">
        <v>14</v>
      </c>
      <c r="E6162" s="6" t="s">
        <v>39</v>
      </c>
      <c r="F6162" s="6" t="s">
        <v>353</v>
      </c>
      <c r="G6162" s="6" t="s">
        <v>742</v>
      </c>
      <c r="H6162" s="6" t="s">
        <v>1166</v>
      </c>
      <c r="I6162" s="6" t="s">
        <v>31</v>
      </c>
      <c r="J6162" s="6">
        <v>16.141937573482</v>
      </c>
      <c r="K6162" s="6">
        <v>-96.418109894012005</v>
      </c>
      <c r="L6162" s="6" t="str">
        <f>HYPERLINK("https://maps.google.com/?q=16.141937573482,-96.418109894012403", "🔗 Ver Mapa")</f>
        <v>🔗 Ver Mapa</v>
      </c>
    </row>
    <row r="6163" spans="1:12" ht="58" x14ac:dyDescent="0.35">
      <c r="A6163" s="5" t="s">
        <v>98</v>
      </c>
      <c r="B6163" s="5" t="s">
        <v>99</v>
      </c>
      <c r="C6163" s="5" t="s">
        <v>1165</v>
      </c>
      <c r="D6163" s="5" t="s">
        <v>14</v>
      </c>
      <c r="E6163" s="5" t="s">
        <v>39</v>
      </c>
      <c r="F6163" s="5" t="s">
        <v>353</v>
      </c>
      <c r="G6163" s="5" t="s">
        <v>742</v>
      </c>
      <c r="H6163" s="5" t="s">
        <v>1166</v>
      </c>
      <c r="I6163" s="5" t="s">
        <v>31</v>
      </c>
      <c r="J6163" s="5">
        <v>16.141945419649002</v>
      </c>
      <c r="K6163" s="5">
        <v>-96.416658288460994</v>
      </c>
      <c r="L6163" s="5" t="str">
        <f>HYPERLINK("https://maps.google.com/?q=16.1419454196485,-96.416658288460695", "🔗 Ver Mapa")</f>
        <v>🔗 Ver Mapa</v>
      </c>
    </row>
    <row r="6164" spans="1:12" ht="58" x14ac:dyDescent="0.35">
      <c r="A6164" s="6" t="s">
        <v>98</v>
      </c>
      <c r="B6164" s="6" t="s">
        <v>99</v>
      </c>
      <c r="C6164" s="6" t="s">
        <v>1165</v>
      </c>
      <c r="D6164" s="6" t="s">
        <v>14</v>
      </c>
      <c r="E6164" s="6" t="s">
        <v>39</v>
      </c>
      <c r="F6164" s="6" t="s">
        <v>353</v>
      </c>
      <c r="G6164" s="6" t="s">
        <v>742</v>
      </c>
      <c r="H6164" s="6" t="s">
        <v>1166</v>
      </c>
      <c r="I6164" s="6" t="s">
        <v>31</v>
      </c>
      <c r="J6164" s="6">
        <v>16.141967201875001</v>
      </c>
      <c r="K6164" s="6">
        <v>-96.418547090068998</v>
      </c>
      <c r="L6164" s="6" t="str">
        <f>HYPERLINK("https://maps.google.com/?q=16.1419672018754,-96.4185470900693", "🔗 Ver Mapa")</f>
        <v>🔗 Ver Mapa</v>
      </c>
    </row>
    <row r="6165" spans="1:12" ht="58" x14ac:dyDescent="0.35">
      <c r="A6165" s="5" t="s">
        <v>98</v>
      </c>
      <c r="B6165" s="5" t="s">
        <v>99</v>
      </c>
      <c r="C6165" s="5" t="s">
        <v>1165</v>
      </c>
      <c r="D6165" s="5" t="s">
        <v>14</v>
      </c>
      <c r="E6165" s="5" t="s">
        <v>39</v>
      </c>
      <c r="F6165" s="5" t="s">
        <v>353</v>
      </c>
      <c r="G6165" s="5" t="s">
        <v>742</v>
      </c>
      <c r="H6165" s="5" t="s">
        <v>1166</v>
      </c>
      <c r="I6165" s="5" t="s">
        <v>31</v>
      </c>
      <c r="J6165" s="5">
        <v>16.142034485212001</v>
      </c>
      <c r="K6165" s="5">
        <v>-96.417622714120995</v>
      </c>
      <c r="L6165" s="5" t="str">
        <f>HYPERLINK("https://maps.google.com/?q=16.1420344852116,-96.417622714120796", "🔗 Ver Mapa")</f>
        <v>🔗 Ver Mapa</v>
      </c>
    </row>
    <row r="6166" spans="1:12" ht="58" x14ac:dyDescent="0.35">
      <c r="A6166" s="6" t="s">
        <v>98</v>
      </c>
      <c r="B6166" s="6" t="s">
        <v>99</v>
      </c>
      <c r="C6166" s="6" t="s">
        <v>1165</v>
      </c>
      <c r="D6166" s="6" t="s">
        <v>14</v>
      </c>
      <c r="E6166" s="6" t="s">
        <v>39</v>
      </c>
      <c r="F6166" s="6" t="s">
        <v>353</v>
      </c>
      <c r="G6166" s="6" t="s">
        <v>742</v>
      </c>
      <c r="H6166" s="6" t="s">
        <v>1166</v>
      </c>
      <c r="I6166" s="6" t="s">
        <v>31</v>
      </c>
      <c r="J6166" s="6">
        <v>16.142319555345999</v>
      </c>
      <c r="K6166" s="6">
        <v>-96.418857148982994</v>
      </c>
      <c r="L6166" s="6" t="str">
        <f>HYPERLINK("https://maps.google.com/?q=16.1423195553459,-96.418857148983093", "🔗 Ver Mapa")</f>
        <v>🔗 Ver Mapa</v>
      </c>
    </row>
    <row r="6167" spans="1:12" ht="58" x14ac:dyDescent="0.35">
      <c r="A6167" s="5" t="s">
        <v>98</v>
      </c>
      <c r="B6167" s="5" t="s">
        <v>99</v>
      </c>
      <c r="C6167" s="5" t="s">
        <v>1165</v>
      </c>
      <c r="D6167" s="5" t="s">
        <v>14</v>
      </c>
      <c r="E6167" s="5" t="s">
        <v>39</v>
      </c>
      <c r="F6167" s="5" t="s">
        <v>353</v>
      </c>
      <c r="G6167" s="5" t="s">
        <v>742</v>
      </c>
      <c r="H6167" s="5" t="s">
        <v>1166</v>
      </c>
      <c r="I6167" s="5" t="s">
        <v>31</v>
      </c>
      <c r="J6167" s="5">
        <v>16.142400443214999</v>
      </c>
      <c r="K6167" s="5">
        <v>-96.413406429722002</v>
      </c>
      <c r="L6167" s="5" t="str">
        <f>HYPERLINK("https://maps.google.com/?q=16.1424004432153,-96.413406429721604", "🔗 Ver Mapa")</f>
        <v>🔗 Ver Mapa</v>
      </c>
    </row>
    <row r="6168" spans="1:12" ht="58" x14ac:dyDescent="0.35">
      <c r="A6168" s="6" t="s">
        <v>98</v>
      </c>
      <c r="B6168" s="6" t="s">
        <v>99</v>
      </c>
      <c r="C6168" s="6" t="s">
        <v>1165</v>
      </c>
      <c r="D6168" s="6" t="s">
        <v>14</v>
      </c>
      <c r="E6168" s="6" t="s">
        <v>39</v>
      </c>
      <c r="F6168" s="6" t="s">
        <v>353</v>
      </c>
      <c r="G6168" s="6" t="s">
        <v>742</v>
      </c>
      <c r="H6168" s="6" t="s">
        <v>1166</v>
      </c>
      <c r="I6168" s="6" t="s">
        <v>31</v>
      </c>
      <c r="J6168" s="6">
        <v>16.142409816368001</v>
      </c>
      <c r="K6168" s="6">
        <v>-96.418618683279007</v>
      </c>
      <c r="L6168" s="6" t="str">
        <f>HYPERLINK("https://maps.google.com/?q=16.1424098163678,-96.4186186832788", "🔗 Ver Mapa")</f>
        <v>🔗 Ver Mapa</v>
      </c>
    </row>
    <row r="6169" spans="1:12" ht="58" x14ac:dyDescent="0.35">
      <c r="A6169" s="5" t="s">
        <v>98</v>
      </c>
      <c r="B6169" s="5" t="s">
        <v>99</v>
      </c>
      <c r="C6169" s="5" t="s">
        <v>1165</v>
      </c>
      <c r="D6169" s="5" t="s">
        <v>14</v>
      </c>
      <c r="E6169" s="5" t="s">
        <v>39</v>
      </c>
      <c r="F6169" s="5" t="s">
        <v>353</v>
      </c>
      <c r="G6169" s="5" t="s">
        <v>742</v>
      </c>
      <c r="H6169" s="5" t="s">
        <v>1166</v>
      </c>
      <c r="I6169" s="5" t="s">
        <v>31</v>
      </c>
      <c r="J6169" s="5">
        <v>16.142414390988002</v>
      </c>
      <c r="K6169" s="5">
        <v>-96.416651808355994</v>
      </c>
      <c r="L6169" s="5" t="str">
        <f>HYPERLINK("https://maps.google.com/?q=16.1424143909884,-96.416651808355596", "🔗 Ver Mapa")</f>
        <v>🔗 Ver Mapa</v>
      </c>
    </row>
    <row r="6170" spans="1:12" ht="58" x14ac:dyDescent="0.35">
      <c r="A6170" s="6" t="s">
        <v>98</v>
      </c>
      <c r="B6170" s="6" t="s">
        <v>99</v>
      </c>
      <c r="C6170" s="6" t="s">
        <v>1165</v>
      </c>
      <c r="D6170" s="6" t="s">
        <v>14</v>
      </c>
      <c r="E6170" s="6" t="s">
        <v>39</v>
      </c>
      <c r="F6170" s="6" t="s">
        <v>353</v>
      </c>
      <c r="G6170" s="6" t="s">
        <v>742</v>
      </c>
      <c r="H6170" s="6" t="s">
        <v>1166</v>
      </c>
      <c r="I6170" s="6" t="s">
        <v>31</v>
      </c>
      <c r="J6170" s="6">
        <v>16.142598920009</v>
      </c>
      <c r="K6170" s="6">
        <v>-96.416097932194006</v>
      </c>
      <c r="L6170" s="6" t="str">
        <f>HYPERLINK("https://maps.google.com/?q=16.1425989200094,-96.416097932194305", "🔗 Ver Mapa")</f>
        <v>🔗 Ver Mapa</v>
      </c>
    </row>
    <row r="6171" spans="1:12" ht="58" x14ac:dyDescent="0.35">
      <c r="A6171" s="5" t="s">
        <v>98</v>
      </c>
      <c r="B6171" s="5" t="s">
        <v>99</v>
      </c>
      <c r="C6171" s="5" t="s">
        <v>1165</v>
      </c>
      <c r="D6171" s="5" t="s">
        <v>14</v>
      </c>
      <c r="E6171" s="5" t="s">
        <v>39</v>
      </c>
      <c r="F6171" s="5" t="s">
        <v>353</v>
      </c>
      <c r="G6171" s="5" t="s">
        <v>742</v>
      </c>
      <c r="H6171" s="5" t="s">
        <v>1166</v>
      </c>
      <c r="I6171" s="5" t="s">
        <v>31</v>
      </c>
      <c r="J6171" s="5">
        <v>16.142685945810001</v>
      </c>
      <c r="K6171" s="5">
        <v>-96.418739142939003</v>
      </c>
      <c r="L6171" s="5" t="str">
        <f>HYPERLINK("https://maps.google.com/?q=16.1426859458103,-96.418739142939401", "🔗 Ver Mapa")</f>
        <v>🔗 Ver Mapa</v>
      </c>
    </row>
    <row r="6172" spans="1:12" ht="58" x14ac:dyDescent="0.35">
      <c r="A6172" s="6" t="s">
        <v>98</v>
      </c>
      <c r="B6172" s="6" t="s">
        <v>99</v>
      </c>
      <c r="C6172" s="6" t="s">
        <v>1165</v>
      </c>
      <c r="D6172" s="6" t="s">
        <v>14</v>
      </c>
      <c r="E6172" s="6" t="s">
        <v>39</v>
      </c>
      <c r="F6172" s="6" t="s">
        <v>353</v>
      </c>
      <c r="G6172" s="6" t="s">
        <v>742</v>
      </c>
      <c r="H6172" s="6" t="s">
        <v>1166</v>
      </c>
      <c r="I6172" s="6" t="s">
        <v>31</v>
      </c>
      <c r="J6172" s="6">
        <v>16.142698157342998</v>
      </c>
      <c r="K6172" s="6">
        <v>-96.415966381058993</v>
      </c>
      <c r="L6172" s="6" t="str">
        <f>HYPERLINK("https://maps.google.com/?q=16.142698157343,-96.415966381058794", "🔗 Ver Mapa")</f>
        <v>🔗 Ver Mapa</v>
      </c>
    </row>
    <row r="6173" spans="1:12" ht="58" x14ac:dyDescent="0.35">
      <c r="A6173" s="5" t="s">
        <v>98</v>
      </c>
      <c r="B6173" s="5" t="s">
        <v>99</v>
      </c>
      <c r="C6173" s="5" t="s">
        <v>1165</v>
      </c>
      <c r="D6173" s="5" t="s">
        <v>14</v>
      </c>
      <c r="E6173" s="5" t="s">
        <v>39</v>
      </c>
      <c r="F6173" s="5" t="s">
        <v>353</v>
      </c>
      <c r="G6173" s="5" t="s">
        <v>742</v>
      </c>
      <c r="H6173" s="5" t="s">
        <v>1166</v>
      </c>
      <c r="I6173" s="5" t="s">
        <v>31</v>
      </c>
      <c r="J6173" s="5">
        <v>16.142851222653</v>
      </c>
      <c r="K6173" s="5">
        <v>-96.416442542154002</v>
      </c>
      <c r="L6173" s="5" t="str">
        <f>HYPERLINK("https://maps.google.com/?q=16.1428512226534,-96.416442542153504", "🔗 Ver Mapa")</f>
        <v>🔗 Ver Mapa</v>
      </c>
    </row>
    <row r="6174" spans="1:12" ht="58" x14ac:dyDescent="0.35">
      <c r="A6174" s="6" t="s">
        <v>98</v>
      </c>
      <c r="B6174" s="6" t="s">
        <v>99</v>
      </c>
      <c r="C6174" s="6" t="s">
        <v>1165</v>
      </c>
      <c r="D6174" s="6" t="s">
        <v>14</v>
      </c>
      <c r="E6174" s="6" t="s">
        <v>39</v>
      </c>
      <c r="F6174" s="6" t="s">
        <v>353</v>
      </c>
      <c r="G6174" s="6" t="s">
        <v>742</v>
      </c>
      <c r="H6174" s="6" t="s">
        <v>1166</v>
      </c>
      <c r="I6174" s="6" t="s">
        <v>31</v>
      </c>
      <c r="J6174" s="6">
        <v>16.142886265135001</v>
      </c>
      <c r="K6174" s="6">
        <v>-96.417214977667001</v>
      </c>
      <c r="L6174" s="6" t="str">
        <f>HYPERLINK("https://maps.google.com/?q=16.1428862651351,-96.4172149776673", "🔗 Ver Mapa")</f>
        <v>🔗 Ver Mapa</v>
      </c>
    </row>
    <row r="6175" spans="1:12" ht="58" x14ac:dyDescent="0.35">
      <c r="A6175" s="5" t="s">
        <v>98</v>
      </c>
      <c r="B6175" s="5" t="s">
        <v>99</v>
      </c>
      <c r="C6175" s="5" t="s">
        <v>1165</v>
      </c>
      <c r="D6175" s="5" t="s">
        <v>14</v>
      </c>
      <c r="E6175" s="5" t="s">
        <v>39</v>
      </c>
      <c r="F6175" s="5" t="s">
        <v>353</v>
      </c>
      <c r="G6175" s="5" t="s">
        <v>742</v>
      </c>
      <c r="H6175" s="5" t="s">
        <v>1166</v>
      </c>
      <c r="I6175" s="5" t="s">
        <v>31</v>
      </c>
      <c r="J6175" s="5">
        <v>16.142912029664</v>
      </c>
      <c r="K6175" s="5">
        <v>-96.418875265047006</v>
      </c>
      <c r="L6175" s="5" t="str">
        <f>HYPERLINK("https://maps.google.com/?q=16.1429120296638,-96.418875265046907", "🔗 Ver Mapa")</f>
        <v>🔗 Ver Mapa</v>
      </c>
    </row>
    <row r="6176" spans="1:12" ht="58" x14ac:dyDescent="0.35">
      <c r="A6176" s="6" t="s">
        <v>98</v>
      </c>
      <c r="B6176" s="6" t="s">
        <v>99</v>
      </c>
      <c r="C6176" s="6" t="s">
        <v>1165</v>
      </c>
      <c r="D6176" s="6" t="s">
        <v>14</v>
      </c>
      <c r="E6176" s="6" t="s">
        <v>39</v>
      </c>
      <c r="F6176" s="6" t="s">
        <v>353</v>
      </c>
      <c r="G6176" s="6" t="s">
        <v>742</v>
      </c>
      <c r="H6176" s="6" t="s">
        <v>1166</v>
      </c>
      <c r="I6176" s="6" t="s">
        <v>31</v>
      </c>
      <c r="J6176" s="6">
        <v>16.142946652713999</v>
      </c>
      <c r="K6176" s="6">
        <v>-96.416831271164</v>
      </c>
      <c r="L6176" s="6" t="str">
        <f>HYPERLINK("https://maps.google.com/?q=16.1429466527145,-96.4168312711639", "🔗 Ver Mapa")</f>
        <v>🔗 Ver Mapa</v>
      </c>
    </row>
    <row r="6177" spans="1:12" ht="58" x14ac:dyDescent="0.35">
      <c r="A6177" s="5" t="s">
        <v>98</v>
      </c>
      <c r="B6177" s="5" t="s">
        <v>99</v>
      </c>
      <c r="C6177" s="5" t="s">
        <v>1165</v>
      </c>
      <c r="D6177" s="5" t="s">
        <v>14</v>
      </c>
      <c r="E6177" s="5" t="s">
        <v>39</v>
      </c>
      <c r="F6177" s="5" t="s">
        <v>353</v>
      </c>
      <c r="G6177" s="5" t="s">
        <v>742</v>
      </c>
      <c r="H6177" s="5" t="s">
        <v>1166</v>
      </c>
      <c r="I6177" s="5" t="s">
        <v>31</v>
      </c>
      <c r="J6177" s="5">
        <v>16.142953448492001</v>
      </c>
      <c r="K6177" s="5">
        <v>-96.417580536038002</v>
      </c>
      <c r="L6177" s="5" t="str">
        <f>HYPERLINK("https://maps.google.com/?q=16.1429534484915,-96.417580536038201", "🔗 Ver Mapa")</f>
        <v>🔗 Ver Mapa</v>
      </c>
    </row>
    <row r="6178" spans="1:12" ht="58" x14ac:dyDescent="0.35">
      <c r="A6178" s="6" t="s">
        <v>98</v>
      </c>
      <c r="B6178" s="6" t="s">
        <v>99</v>
      </c>
      <c r="C6178" s="6" t="s">
        <v>1165</v>
      </c>
      <c r="D6178" s="6" t="s">
        <v>14</v>
      </c>
      <c r="E6178" s="6" t="s">
        <v>39</v>
      </c>
      <c r="F6178" s="6" t="s">
        <v>353</v>
      </c>
      <c r="G6178" s="6" t="s">
        <v>742</v>
      </c>
      <c r="H6178" s="6" t="s">
        <v>1166</v>
      </c>
      <c r="I6178" s="6" t="s">
        <v>31</v>
      </c>
      <c r="J6178" s="6">
        <v>16.143531595165001</v>
      </c>
      <c r="K6178" s="6">
        <v>-96.416139506434007</v>
      </c>
      <c r="L6178" s="6" t="str">
        <f>HYPERLINK("https://maps.google.com/?q=16.1435315951648,-96.416139506434007", "🔗 Ver Mapa")</f>
        <v>🔗 Ver Mapa</v>
      </c>
    </row>
    <row r="6179" spans="1:12" ht="58" x14ac:dyDescent="0.35">
      <c r="A6179" s="5" t="s">
        <v>98</v>
      </c>
      <c r="B6179" s="5" t="s">
        <v>99</v>
      </c>
      <c r="C6179" s="5" t="s">
        <v>1165</v>
      </c>
      <c r="D6179" s="5" t="s">
        <v>14</v>
      </c>
      <c r="E6179" s="5" t="s">
        <v>39</v>
      </c>
      <c r="F6179" s="5" t="s">
        <v>353</v>
      </c>
      <c r="G6179" s="5" t="s">
        <v>742</v>
      </c>
      <c r="H6179" s="5" t="s">
        <v>1166</v>
      </c>
      <c r="I6179" s="5" t="s">
        <v>31</v>
      </c>
      <c r="J6179" s="5">
        <v>16.143616000000002</v>
      </c>
      <c r="K6179" s="5">
        <v>-96.414659</v>
      </c>
      <c r="L6179" s="5" t="str">
        <f>HYPERLINK("https://maps.google.com/?q=16.143616,-96.414659", "🔗 Ver Mapa")</f>
        <v>🔗 Ver Mapa</v>
      </c>
    </row>
    <row r="6180" spans="1:12" ht="58" x14ac:dyDescent="0.35">
      <c r="A6180" s="6" t="s">
        <v>98</v>
      </c>
      <c r="B6180" s="6" t="s">
        <v>99</v>
      </c>
      <c r="C6180" s="6" t="s">
        <v>1165</v>
      </c>
      <c r="D6180" s="6" t="s">
        <v>14</v>
      </c>
      <c r="E6180" s="6" t="s">
        <v>39</v>
      </c>
      <c r="F6180" s="6" t="s">
        <v>353</v>
      </c>
      <c r="G6180" s="6" t="s">
        <v>742</v>
      </c>
      <c r="H6180" s="6" t="s">
        <v>1166</v>
      </c>
      <c r="I6180" s="6" t="s">
        <v>31</v>
      </c>
      <c r="J6180" s="6">
        <v>16.143812723551999</v>
      </c>
      <c r="K6180" s="6">
        <v>-96.413827854255004</v>
      </c>
      <c r="L6180" s="6" t="str">
        <f>HYPERLINK("https://maps.google.com/?q=16.1438127235523,-96.413827854254507", "🔗 Ver Mapa")</f>
        <v>🔗 Ver Mapa</v>
      </c>
    </row>
    <row r="6181" spans="1:12" ht="29" x14ac:dyDescent="0.35">
      <c r="A6181" s="5" t="s">
        <v>782</v>
      </c>
      <c r="B6181" s="5" t="s">
        <v>783</v>
      </c>
      <c r="C6181" s="5" t="s">
        <v>1167</v>
      </c>
      <c r="D6181" s="5" t="s">
        <v>785</v>
      </c>
      <c r="E6181" s="5" t="s">
        <v>110</v>
      </c>
      <c r="F6181" s="5" t="s">
        <v>111</v>
      </c>
      <c r="G6181" s="5" t="s">
        <v>112</v>
      </c>
      <c r="H6181" s="5" t="s">
        <v>113</v>
      </c>
      <c r="I6181" s="5" t="s">
        <v>31</v>
      </c>
      <c r="J6181" s="5">
        <v>18.130864809125999</v>
      </c>
      <c r="K6181" s="5">
        <v>-97.075278975361996</v>
      </c>
      <c r="L6181" s="5" t="str">
        <f>HYPERLINK("https://maps.google.com/?q=18.13086480912559,-97.07527897536153", "🔗 Ver Mapa")</f>
        <v>🔗 Ver Mapa</v>
      </c>
    </row>
    <row r="6182" spans="1:12" ht="29" x14ac:dyDescent="0.35">
      <c r="A6182" s="6" t="s">
        <v>782</v>
      </c>
      <c r="B6182" s="6" t="s">
        <v>783</v>
      </c>
      <c r="C6182" s="6" t="s">
        <v>1168</v>
      </c>
      <c r="D6182" s="6" t="s">
        <v>785</v>
      </c>
      <c r="E6182" s="6" t="s">
        <v>110</v>
      </c>
      <c r="F6182" s="6" t="s">
        <v>126</v>
      </c>
      <c r="G6182" s="6" t="s">
        <v>137</v>
      </c>
      <c r="H6182" s="6" t="s">
        <v>138</v>
      </c>
      <c r="I6182" s="6" t="s">
        <v>31</v>
      </c>
      <c r="J6182" s="6">
        <v>17.808271679659999</v>
      </c>
      <c r="K6182" s="6">
        <v>-96.959579706566004</v>
      </c>
      <c r="L6182" s="6" t="str">
        <f>HYPERLINK("https://maps.google.com/?q=17.808271679660333,-96.9595797065661", "🔗 Ver Mapa")</f>
        <v>🔗 Ver Mapa</v>
      </c>
    </row>
    <row r="6183" spans="1:12" ht="58" x14ac:dyDescent="0.35">
      <c r="A6183" s="5" t="s">
        <v>73</v>
      </c>
      <c r="B6183" s="5" t="s">
        <v>74</v>
      </c>
      <c r="C6183" s="5" t="s">
        <v>1169</v>
      </c>
      <c r="D6183" s="5" t="s">
        <v>76</v>
      </c>
      <c r="E6183" s="5" t="s">
        <v>52</v>
      </c>
      <c r="F6183" s="5" t="s">
        <v>53</v>
      </c>
      <c r="G6183" s="5" t="s">
        <v>87</v>
      </c>
      <c r="H6183" s="5" t="s">
        <v>88</v>
      </c>
      <c r="I6183" s="5" t="s">
        <v>31</v>
      </c>
      <c r="J6183" s="5">
        <v>16.951325374858001</v>
      </c>
      <c r="K6183" s="5">
        <v>-96.549069747188</v>
      </c>
      <c r="L6183" s="5" t="str">
        <f>HYPERLINK("https://maps.google.com/?q=16.951325374858357,-96.54906974718807", "🔗 Ver Mapa")</f>
        <v>🔗 Ver Mapa</v>
      </c>
    </row>
    <row r="6184" spans="1:12" ht="43.5" x14ac:dyDescent="0.35">
      <c r="A6184" s="6" t="s">
        <v>98</v>
      </c>
      <c r="B6184" s="6" t="s">
        <v>99</v>
      </c>
      <c r="C6184" s="6" t="s">
        <v>1170</v>
      </c>
      <c r="D6184" s="6" t="s">
        <v>14</v>
      </c>
      <c r="E6184" s="6" t="s">
        <v>17</v>
      </c>
      <c r="F6184" s="6" t="s">
        <v>46</v>
      </c>
      <c r="G6184" s="6" t="s">
        <v>1171</v>
      </c>
      <c r="H6184" s="6" t="s">
        <v>1172</v>
      </c>
      <c r="I6184" s="6" t="s">
        <v>31</v>
      </c>
      <c r="J6184" s="6">
        <v>16.089310000000001</v>
      </c>
      <c r="K6184" s="6">
        <v>-97.081941</v>
      </c>
      <c r="L6184" s="6" t="str">
        <f>HYPERLINK("https://maps.google.com/?q=16.08931,-97.081941", "🔗 Ver Mapa")</f>
        <v>🔗 Ver Mapa</v>
      </c>
    </row>
    <row r="6185" spans="1:12" ht="43.5" x14ac:dyDescent="0.35">
      <c r="A6185" s="5" t="s">
        <v>98</v>
      </c>
      <c r="B6185" s="5" t="s">
        <v>99</v>
      </c>
      <c r="C6185" s="5" t="s">
        <v>1170</v>
      </c>
      <c r="D6185" s="5" t="s">
        <v>14</v>
      </c>
      <c r="E6185" s="5" t="s">
        <v>17</v>
      </c>
      <c r="F6185" s="5" t="s">
        <v>46</v>
      </c>
      <c r="G6185" s="5" t="s">
        <v>1171</v>
      </c>
      <c r="H6185" s="5" t="s">
        <v>1172</v>
      </c>
      <c r="I6185" s="5" t="s">
        <v>31</v>
      </c>
      <c r="J6185" s="5">
        <v>16.089352999999999</v>
      </c>
      <c r="K6185" s="5">
        <v>-97.081225000000003</v>
      </c>
      <c r="L6185" s="5" t="str">
        <f>HYPERLINK("https://maps.google.com/?q=16.089353,-97.081225000000003", "🔗 Ver Mapa")</f>
        <v>🔗 Ver Mapa</v>
      </c>
    </row>
    <row r="6186" spans="1:12" ht="43.5" x14ac:dyDescent="0.35">
      <c r="A6186" s="6" t="s">
        <v>98</v>
      </c>
      <c r="B6186" s="6" t="s">
        <v>99</v>
      </c>
      <c r="C6186" s="6" t="s">
        <v>1170</v>
      </c>
      <c r="D6186" s="6" t="s">
        <v>14</v>
      </c>
      <c r="E6186" s="6" t="s">
        <v>17</v>
      </c>
      <c r="F6186" s="6" t="s">
        <v>46</v>
      </c>
      <c r="G6186" s="6" t="s">
        <v>1171</v>
      </c>
      <c r="H6186" s="6" t="s">
        <v>1172</v>
      </c>
      <c r="I6186" s="6" t="s">
        <v>31</v>
      </c>
      <c r="J6186" s="6">
        <v>16.090095999999999</v>
      </c>
      <c r="K6186" s="6">
        <v>-97.082781999999995</v>
      </c>
      <c r="L6186" s="6" t="str">
        <f>HYPERLINK("https://maps.google.com/?q=16.090096,-97.082781999999995", "🔗 Ver Mapa")</f>
        <v>🔗 Ver Mapa</v>
      </c>
    </row>
    <row r="6187" spans="1:12" ht="43.5" x14ac:dyDescent="0.35">
      <c r="A6187" s="5" t="s">
        <v>98</v>
      </c>
      <c r="B6187" s="5" t="s">
        <v>99</v>
      </c>
      <c r="C6187" s="5" t="s">
        <v>1170</v>
      </c>
      <c r="D6187" s="5" t="s">
        <v>14</v>
      </c>
      <c r="E6187" s="5" t="s">
        <v>17</v>
      </c>
      <c r="F6187" s="5" t="s">
        <v>46</v>
      </c>
      <c r="G6187" s="5" t="s">
        <v>1171</v>
      </c>
      <c r="H6187" s="5" t="s">
        <v>1172</v>
      </c>
      <c r="I6187" s="5" t="s">
        <v>31</v>
      </c>
      <c r="J6187" s="5">
        <v>16.090111</v>
      </c>
      <c r="K6187" s="5">
        <v>-97.079423000000006</v>
      </c>
      <c r="L6187" s="5" t="str">
        <f>HYPERLINK("https://maps.google.com/?q=16.090111,-97.079423000000006", "🔗 Ver Mapa")</f>
        <v>🔗 Ver Mapa</v>
      </c>
    </row>
    <row r="6188" spans="1:12" ht="43.5" x14ac:dyDescent="0.35">
      <c r="A6188" s="6" t="s">
        <v>98</v>
      </c>
      <c r="B6188" s="6" t="s">
        <v>99</v>
      </c>
      <c r="C6188" s="6" t="s">
        <v>1170</v>
      </c>
      <c r="D6188" s="6" t="s">
        <v>14</v>
      </c>
      <c r="E6188" s="6" t="s">
        <v>17</v>
      </c>
      <c r="F6188" s="6" t="s">
        <v>46</v>
      </c>
      <c r="G6188" s="6" t="s">
        <v>1171</v>
      </c>
      <c r="H6188" s="6" t="s">
        <v>1172</v>
      </c>
      <c r="I6188" s="6" t="s">
        <v>31</v>
      </c>
      <c r="J6188" s="6">
        <v>16.090126000000001</v>
      </c>
      <c r="K6188" s="6">
        <v>-97.081435999999997</v>
      </c>
      <c r="L6188" s="6" t="str">
        <f>HYPERLINK("https://maps.google.com/?q=16.090126,-97.081435999999997", "🔗 Ver Mapa")</f>
        <v>🔗 Ver Mapa</v>
      </c>
    </row>
    <row r="6189" spans="1:12" ht="43.5" x14ac:dyDescent="0.35">
      <c r="A6189" s="5" t="s">
        <v>98</v>
      </c>
      <c r="B6189" s="5" t="s">
        <v>99</v>
      </c>
      <c r="C6189" s="5" t="s">
        <v>1170</v>
      </c>
      <c r="D6189" s="5" t="s">
        <v>14</v>
      </c>
      <c r="E6189" s="5" t="s">
        <v>17</v>
      </c>
      <c r="F6189" s="5" t="s">
        <v>46</v>
      </c>
      <c r="G6189" s="5" t="s">
        <v>1171</v>
      </c>
      <c r="H6189" s="5" t="s">
        <v>1172</v>
      </c>
      <c r="I6189" s="5" t="s">
        <v>31</v>
      </c>
      <c r="J6189" s="5">
        <v>16.090288999999999</v>
      </c>
      <c r="K6189" s="5">
        <v>-97.082378000000006</v>
      </c>
      <c r="L6189" s="5" t="str">
        <f>HYPERLINK("https://maps.google.com/?q=16.090289,-97.082378000000006", "🔗 Ver Mapa")</f>
        <v>🔗 Ver Mapa</v>
      </c>
    </row>
    <row r="6190" spans="1:12" ht="43.5" x14ac:dyDescent="0.35">
      <c r="A6190" s="6" t="s">
        <v>98</v>
      </c>
      <c r="B6190" s="6" t="s">
        <v>99</v>
      </c>
      <c r="C6190" s="6" t="s">
        <v>1170</v>
      </c>
      <c r="D6190" s="6" t="s">
        <v>14</v>
      </c>
      <c r="E6190" s="6" t="s">
        <v>17</v>
      </c>
      <c r="F6190" s="6" t="s">
        <v>46</v>
      </c>
      <c r="G6190" s="6" t="s">
        <v>1171</v>
      </c>
      <c r="H6190" s="6" t="s">
        <v>1172</v>
      </c>
      <c r="I6190" s="6" t="s">
        <v>31</v>
      </c>
      <c r="J6190" s="6">
        <v>16.090540000000001</v>
      </c>
      <c r="K6190" s="6">
        <v>-97.080001999999993</v>
      </c>
      <c r="L6190" s="6" t="str">
        <f>HYPERLINK("https://maps.google.com/?q=16.09054,-97.080001999999993", "🔗 Ver Mapa")</f>
        <v>🔗 Ver Mapa</v>
      </c>
    </row>
    <row r="6191" spans="1:12" ht="43.5" x14ac:dyDescent="0.35">
      <c r="A6191" s="5" t="s">
        <v>98</v>
      </c>
      <c r="B6191" s="5" t="s">
        <v>99</v>
      </c>
      <c r="C6191" s="5" t="s">
        <v>1170</v>
      </c>
      <c r="D6191" s="5" t="s">
        <v>14</v>
      </c>
      <c r="E6191" s="5" t="s">
        <v>17</v>
      </c>
      <c r="F6191" s="5" t="s">
        <v>46</v>
      </c>
      <c r="G6191" s="5" t="s">
        <v>1171</v>
      </c>
      <c r="H6191" s="5" t="s">
        <v>1172</v>
      </c>
      <c r="I6191" s="5" t="s">
        <v>31</v>
      </c>
      <c r="J6191" s="5">
        <v>16.090657</v>
      </c>
      <c r="K6191" s="5">
        <v>-97.081751999999994</v>
      </c>
      <c r="L6191" s="5" t="str">
        <f>HYPERLINK("https://maps.google.com/?q=16.090657,-97.081751999999994", "🔗 Ver Mapa")</f>
        <v>🔗 Ver Mapa</v>
      </c>
    </row>
    <row r="6192" spans="1:12" ht="43.5" x14ac:dyDescent="0.35">
      <c r="A6192" s="6" t="s">
        <v>98</v>
      </c>
      <c r="B6192" s="6" t="s">
        <v>99</v>
      </c>
      <c r="C6192" s="6" t="s">
        <v>1170</v>
      </c>
      <c r="D6192" s="6" t="s">
        <v>14</v>
      </c>
      <c r="E6192" s="6" t="s">
        <v>17</v>
      </c>
      <c r="F6192" s="6" t="s">
        <v>46</v>
      </c>
      <c r="G6192" s="6" t="s">
        <v>1171</v>
      </c>
      <c r="H6192" s="6" t="s">
        <v>1172</v>
      </c>
      <c r="I6192" s="6" t="s">
        <v>31</v>
      </c>
      <c r="J6192" s="6">
        <v>16.090682999999999</v>
      </c>
      <c r="K6192" s="6">
        <v>-97.081941</v>
      </c>
      <c r="L6192" s="6" t="str">
        <f>HYPERLINK("https://maps.google.com/?q=16.090683,-97.081941", "🔗 Ver Mapa")</f>
        <v>🔗 Ver Mapa</v>
      </c>
    </row>
    <row r="6193" spans="1:12" ht="43.5" x14ac:dyDescent="0.35">
      <c r="A6193" s="5" t="s">
        <v>98</v>
      </c>
      <c r="B6193" s="5" t="s">
        <v>99</v>
      </c>
      <c r="C6193" s="5" t="s">
        <v>1170</v>
      </c>
      <c r="D6193" s="5" t="s">
        <v>14</v>
      </c>
      <c r="E6193" s="5" t="s">
        <v>17</v>
      </c>
      <c r="F6193" s="5" t="s">
        <v>46</v>
      </c>
      <c r="G6193" s="5" t="s">
        <v>1171</v>
      </c>
      <c r="H6193" s="5" t="s">
        <v>1172</v>
      </c>
      <c r="I6193" s="5" t="s">
        <v>31</v>
      </c>
      <c r="J6193" s="5">
        <v>16.0915952</v>
      </c>
      <c r="K6193" s="5">
        <v>-97.0813682</v>
      </c>
      <c r="L6193" s="5" t="str">
        <f>HYPERLINK("https://maps.google.com/?q=16.0915952,-97.0813682", "🔗 Ver Mapa")</f>
        <v>🔗 Ver Mapa</v>
      </c>
    </row>
    <row r="6194" spans="1:12" ht="43.5" x14ac:dyDescent="0.35">
      <c r="A6194" s="6" t="s">
        <v>98</v>
      </c>
      <c r="B6194" s="6" t="s">
        <v>99</v>
      </c>
      <c r="C6194" s="6" t="s">
        <v>1170</v>
      </c>
      <c r="D6194" s="6" t="s">
        <v>14</v>
      </c>
      <c r="E6194" s="6" t="s">
        <v>17</v>
      </c>
      <c r="F6194" s="6" t="s">
        <v>46</v>
      </c>
      <c r="G6194" s="6" t="s">
        <v>1171</v>
      </c>
      <c r="H6194" s="6" t="s">
        <v>1172</v>
      </c>
      <c r="I6194" s="6" t="s">
        <v>31</v>
      </c>
      <c r="J6194" s="6">
        <v>16.092476000000001</v>
      </c>
      <c r="K6194" s="6">
        <v>-97.081721999999999</v>
      </c>
      <c r="L6194" s="6" t="str">
        <f>HYPERLINK("https://maps.google.com/?q=16.092476,-97.081721999999999", "🔗 Ver Mapa")</f>
        <v>🔗 Ver Mapa</v>
      </c>
    </row>
    <row r="6195" spans="1:12" ht="43.5" x14ac:dyDescent="0.35">
      <c r="A6195" s="5" t="s">
        <v>98</v>
      </c>
      <c r="B6195" s="5" t="s">
        <v>99</v>
      </c>
      <c r="C6195" s="5" t="s">
        <v>1170</v>
      </c>
      <c r="D6195" s="5" t="s">
        <v>14</v>
      </c>
      <c r="E6195" s="5" t="s">
        <v>17</v>
      </c>
      <c r="F6195" s="5" t="s">
        <v>46</v>
      </c>
      <c r="G6195" s="5" t="s">
        <v>1171</v>
      </c>
      <c r="H6195" s="5" t="s">
        <v>1172</v>
      </c>
      <c r="I6195" s="5" t="s">
        <v>31</v>
      </c>
      <c r="J6195" s="5">
        <v>16.092559999999999</v>
      </c>
      <c r="K6195" s="5">
        <v>-97.081203000000002</v>
      </c>
      <c r="L6195" s="5" t="str">
        <f>HYPERLINK("https://maps.google.com/?q=16.09256,-97.081203000000002", "🔗 Ver Mapa")</f>
        <v>🔗 Ver Mapa</v>
      </c>
    </row>
    <row r="6196" spans="1:12" ht="43.5" x14ac:dyDescent="0.35">
      <c r="A6196" s="6" t="s">
        <v>98</v>
      </c>
      <c r="B6196" s="6" t="s">
        <v>99</v>
      </c>
      <c r="C6196" s="6" t="s">
        <v>1170</v>
      </c>
      <c r="D6196" s="6" t="s">
        <v>14</v>
      </c>
      <c r="E6196" s="6" t="s">
        <v>17</v>
      </c>
      <c r="F6196" s="6" t="s">
        <v>46</v>
      </c>
      <c r="G6196" s="6" t="s">
        <v>1171</v>
      </c>
      <c r="H6196" s="6" t="s">
        <v>1172</v>
      </c>
      <c r="I6196" s="6" t="s">
        <v>31</v>
      </c>
      <c r="J6196" s="6">
        <v>16.092587000000002</v>
      </c>
      <c r="K6196" s="6">
        <v>-97.084451999999999</v>
      </c>
      <c r="L6196" s="6" t="str">
        <f>HYPERLINK("https://maps.google.com/?q=16.092587,-97.084451999999999", "🔗 Ver Mapa")</f>
        <v>🔗 Ver Mapa</v>
      </c>
    </row>
    <row r="6197" spans="1:12" ht="43.5" x14ac:dyDescent="0.35">
      <c r="A6197" s="5" t="s">
        <v>98</v>
      </c>
      <c r="B6197" s="5" t="s">
        <v>99</v>
      </c>
      <c r="C6197" s="5" t="s">
        <v>1170</v>
      </c>
      <c r="D6197" s="5" t="s">
        <v>14</v>
      </c>
      <c r="E6197" s="5" t="s">
        <v>17</v>
      </c>
      <c r="F6197" s="5" t="s">
        <v>46</v>
      </c>
      <c r="G6197" s="5" t="s">
        <v>1171</v>
      </c>
      <c r="H6197" s="5" t="s">
        <v>1172</v>
      </c>
      <c r="I6197" s="5" t="s">
        <v>31</v>
      </c>
      <c r="J6197" s="5">
        <v>16.092832999999999</v>
      </c>
      <c r="K6197" s="5">
        <v>-97.082453999999998</v>
      </c>
      <c r="L6197" s="5" t="str">
        <f>HYPERLINK("https://maps.google.com/?q=16.092833,-97.082453999999998", "🔗 Ver Mapa")</f>
        <v>🔗 Ver Mapa</v>
      </c>
    </row>
    <row r="6198" spans="1:12" ht="43.5" x14ac:dyDescent="0.35">
      <c r="A6198" s="6" t="s">
        <v>98</v>
      </c>
      <c r="B6198" s="6" t="s">
        <v>99</v>
      </c>
      <c r="C6198" s="6" t="s">
        <v>1170</v>
      </c>
      <c r="D6198" s="6" t="s">
        <v>14</v>
      </c>
      <c r="E6198" s="6" t="s">
        <v>17</v>
      </c>
      <c r="F6198" s="6" t="s">
        <v>46</v>
      </c>
      <c r="G6198" s="6" t="s">
        <v>1171</v>
      </c>
      <c r="H6198" s="6" t="s">
        <v>1172</v>
      </c>
      <c r="I6198" s="6" t="s">
        <v>31</v>
      </c>
      <c r="J6198" s="6">
        <v>16.092962</v>
      </c>
      <c r="K6198" s="6">
        <v>-97.081225000000003</v>
      </c>
      <c r="L6198" s="6" t="str">
        <f>HYPERLINK("https://maps.google.com/?q=16.092962,-97.081225000000003", "🔗 Ver Mapa")</f>
        <v>🔗 Ver Mapa</v>
      </c>
    </row>
    <row r="6199" spans="1:12" ht="43.5" x14ac:dyDescent="0.35">
      <c r="A6199" s="5" t="s">
        <v>98</v>
      </c>
      <c r="B6199" s="5" t="s">
        <v>99</v>
      </c>
      <c r="C6199" s="5" t="s">
        <v>1170</v>
      </c>
      <c r="D6199" s="5" t="s">
        <v>14</v>
      </c>
      <c r="E6199" s="5" t="s">
        <v>17</v>
      </c>
      <c r="F6199" s="5" t="s">
        <v>46</v>
      </c>
      <c r="G6199" s="5" t="s">
        <v>1171</v>
      </c>
      <c r="H6199" s="5" t="s">
        <v>1172</v>
      </c>
      <c r="I6199" s="5" t="s">
        <v>31</v>
      </c>
      <c r="J6199" s="5">
        <v>16.093389999999999</v>
      </c>
      <c r="K6199" s="5">
        <v>-97.083899000000002</v>
      </c>
      <c r="L6199" s="5" t="str">
        <f>HYPERLINK("https://maps.google.com/?q=16.09339,-97.083899000000002", "🔗 Ver Mapa")</f>
        <v>🔗 Ver Mapa</v>
      </c>
    </row>
    <row r="6200" spans="1:12" ht="43.5" x14ac:dyDescent="0.35">
      <c r="A6200" s="6" t="s">
        <v>98</v>
      </c>
      <c r="B6200" s="6" t="s">
        <v>99</v>
      </c>
      <c r="C6200" s="6" t="s">
        <v>1170</v>
      </c>
      <c r="D6200" s="6" t="s">
        <v>14</v>
      </c>
      <c r="E6200" s="6" t="s">
        <v>17</v>
      </c>
      <c r="F6200" s="6" t="s">
        <v>46</v>
      </c>
      <c r="G6200" s="6" t="s">
        <v>1171</v>
      </c>
      <c r="H6200" s="6" t="s">
        <v>1172</v>
      </c>
      <c r="I6200" s="6" t="s">
        <v>31</v>
      </c>
      <c r="J6200" s="6">
        <v>16.093630000000001</v>
      </c>
      <c r="K6200" s="6">
        <v>-97.080624999999998</v>
      </c>
      <c r="L6200" s="6" t="str">
        <f>HYPERLINK("https://maps.google.com/?q=16.09363,-97.080624999999998", "🔗 Ver Mapa")</f>
        <v>🔗 Ver Mapa</v>
      </c>
    </row>
    <row r="6201" spans="1:12" ht="43.5" x14ac:dyDescent="0.35">
      <c r="A6201" s="5" t="s">
        <v>98</v>
      </c>
      <c r="B6201" s="5" t="s">
        <v>99</v>
      </c>
      <c r="C6201" s="5" t="s">
        <v>1170</v>
      </c>
      <c r="D6201" s="5" t="s">
        <v>14</v>
      </c>
      <c r="E6201" s="5" t="s">
        <v>17</v>
      </c>
      <c r="F6201" s="5" t="s">
        <v>46</v>
      </c>
      <c r="G6201" s="5" t="s">
        <v>1171</v>
      </c>
      <c r="H6201" s="5" t="s">
        <v>1172</v>
      </c>
      <c r="I6201" s="5" t="s">
        <v>31</v>
      </c>
      <c r="J6201" s="5">
        <v>16.093644999999999</v>
      </c>
      <c r="K6201" s="5">
        <v>-97.076365999999993</v>
      </c>
      <c r="L6201" s="5" t="str">
        <f>HYPERLINK("https://maps.google.com/?q=16.093645,-97.076365999999993", "🔗 Ver Mapa")</f>
        <v>🔗 Ver Mapa</v>
      </c>
    </row>
    <row r="6202" spans="1:12" ht="43.5" x14ac:dyDescent="0.35">
      <c r="A6202" s="6" t="s">
        <v>98</v>
      </c>
      <c r="B6202" s="6" t="s">
        <v>99</v>
      </c>
      <c r="C6202" s="6" t="s">
        <v>1170</v>
      </c>
      <c r="D6202" s="6" t="s">
        <v>14</v>
      </c>
      <c r="E6202" s="6" t="s">
        <v>17</v>
      </c>
      <c r="F6202" s="6" t="s">
        <v>46</v>
      </c>
      <c r="G6202" s="6" t="s">
        <v>1171</v>
      </c>
      <c r="H6202" s="6" t="s">
        <v>1172</v>
      </c>
      <c r="I6202" s="6" t="s">
        <v>31</v>
      </c>
      <c r="J6202" s="6">
        <v>16.093969000000001</v>
      </c>
      <c r="K6202" s="6">
        <v>-97.083291000000003</v>
      </c>
      <c r="L6202" s="6" t="str">
        <f>HYPERLINK("https://maps.google.com/?q=16.093969,-97.083291000000003", "🔗 Ver Mapa")</f>
        <v>🔗 Ver Mapa</v>
      </c>
    </row>
    <row r="6203" spans="1:12" ht="43.5" x14ac:dyDescent="0.35">
      <c r="A6203" s="5" t="s">
        <v>98</v>
      </c>
      <c r="B6203" s="5" t="s">
        <v>99</v>
      </c>
      <c r="C6203" s="5" t="s">
        <v>1170</v>
      </c>
      <c r="D6203" s="5" t="s">
        <v>14</v>
      </c>
      <c r="E6203" s="5" t="s">
        <v>17</v>
      </c>
      <c r="F6203" s="5" t="s">
        <v>46</v>
      </c>
      <c r="G6203" s="5" t="s">
        <v>1171</v>
      </c>
      <c r="H6203" s="5" t="s">
        <v>1172</v>
      </c>
      <c r="I6203" s="5" t="s">
        <v>31</v>
      </c>
      <c r="J6203" s="5">
        <v>16.094059000000001</v>
      </c>
      <c r="K6203" s="5">
        <v>-97.076488999999995</v>
      </c>
      <c r="L6203" s="5" t="str">
        <f>HYPERLINK("https://maps.google.com/?q=16.094059,-97.076488999999995", "🔗 Ver Mapa")</f>
        <v>🔗 Ver Mapa</v>
      </c>
    </row>
    <row r="6204" spans="1:12" ht="43.5" x14ac:dyDescent="0.35">
      <c r="A6204" s="6" t="s">
        <v>98</v>
      </c>
      <c r="B6204" s="6" t="s">
        <v>99</v>
      </c>
      <c r="C6204" s="6" t="s">
        <v>1170</v>
      </c>
      <c r="D6204" s="6" t="s">
        <v>14</v>
      </c>
      <c r="E6204" s="6" t="s">
        <v>17</v>
      </c>
      <c r="F6204" s="6" t="s">
        <v>46</v>
      </c>
      <c r="G6204" s="6" t="s">
        <v>1171</v>
      </c>
      <c r="H6204" s="6" t="s">
        <v>1172</v>
      </c>
      <c r="I6204" s="6" t="s">
        <v>31</v>
      </c>
      <c r="J6204" s="6">
        <v>16.094425999999999</v>
      </c>
      <c r="K6204" s="6">
        <v>-97.084248000000002</v>
      </c>
      <c r="L6204" s="6" t="str">
        <f>HYPERLINK("https://maps.google.com/?q=16.094426,-97.084248000000002", "🔗 Ver Mapa")</f>
        <v>🔗 Ver Mapa</v>
      </c>
    </row>
    <row r="6205" spans="1:12" ht="43.5" x14ac:dyDescent="0.35">
      <c r="A6205" s="5" t="s">
        <v>98</v>
      </c>
      <c r="B6205" s="5" t="s">
        <v>99</v>
      </c>
      <c r="C6205" s="5" t="s">
        <v>1170</v>
      </c>
      <c r="D6205" s="5" t="s">
        <v>14</v>
      </c>
      <c r="E6205" s="5" t="s">
        <v>17</v>
      </c>
      <c r="F6205" s="5" t="s">
        <v>46</v>
      </c>
      <c r="G6205" s="5" t="s">
        <v>1171</v>
      </c>
      <c r="H6205" s="5" t="s">
        <v>1172</v>
      </c>
      <c r="I6205" s="5" t="s">
        <v>31</v>
      </c>
      <c r="J6205" s="5">
        <v>16.094456000000001</v>
      </c>
      <c r="K6205" s="5">
        <v>-97.082077999999996</v>
      </c>
      <c r="L6205" s="5" t="str">
        <f>HYPERLINK("https://maps.google.com/?q=16.094456,-97.082077999999996", "🔗 Ver Mapa")</f>
        <v>🔗 Ver Mapa</v>
      </c>
    </row>
    <row r="6206" spans="1:12" ht="43.5" x14ac:dyDescent="0.35">
      <c r="A6206" s="6" t="s">
        <v>98</v>
      </c>
      <c r="B6206" s="6" t="s">
        <v>99</v>
      </c>
      <c r="C6206" s="6" t="s">
        <v>1170</v>
      </c>
      <c r="D6206" s="6" t="s">
        <v>14</v>
      </c>
      <c r="E6206" s="6" t="s">
        <v>17</v>
      </c>
      <c r="F6206" s="6" t="s">
        <v>46</v>
      </c>
      <c r="G6206" s="6" t="s">
        <v>1171</v>
      </c>
      <c r="H6206" s="6" t="s">
        <v>1172</v>
      </c>
      <c r="I6206" s="6" t="s">
        <v>31</v>
      </c>
      <c r="J6206" s="6">
        <v>16.094609999999999</v>
      </c>
      <c r="K6206" s="6">
        <v>-97.082089999999994</v>
      </c>
      <c r="L6206" s="6" t="str">
        <f>HYPERLINK("https://maps.google.com/?q=16.09461,-97.082089999999994", "🔗 Ver Mapa")</f>
        <v>🔗 Ver Mapa</v>
      </c>
    </row>
    <row r="6207" spans="1:12" ht="43.5" x14ac:dyDescent="0.35">
      <c r="A6207" s="5" t="s">
        <v>98</v>
      </c>
      <c r="B6207" s="5" t="s">
        <v>99</v>
      </c>
      <c r="C6207" s="5" t="s">
        <v>1170</v>
      </c>
      <c r="D6207" s="5" t="s">
        <v>14</v>
      </c>
      <c r="E6207" s="5" t="s">
        <v>17</v>
      </c>
      <c r="F6207" s="5" t="s">
        <v>46</v>
      </c>
      <c r="G6207" s="5" t="s">
        <v>1171</v>
      </c>
      <c r="H6207" s="5" t="s">
        <v>1172</v>
      </c>
      <c r="I6207" s="5" t="s">
        <v>31</v>
      </c>
      <c r="J6207" s="5">
        <v>16.094612999999999</v>
      </c>
      <c r="K6207" s="5">
        <v>-97.080528999999999</v>
      </c>
      <c r="L6207" s="5" t="str">
        <f>HYPERLINK("https://maps.google.com/?q=16.094613,-97.080528999999999", "🔗 Ver Mapa")</f>
        <v>🔗 Ver Mapa</v>
      </c>
    </row>
    <row r="6208" spans="1:12" ht="43.5" x14ac:dyDescent="0.35">
      <c r="A6208" s="6" t="s">
        <v>98</v>
      </c>
      <c r="B6208" s="6" t="s">
        <v>99</v>
      </c>
      <c r="C6208" s="6" t="s">
        <v>1170</v>
      </c>
      <c r="D6208" s="6" t="s">
        <v>14</v>
      </c>
      <c r="E6208" s="6" t="s">
        <v>17</v>
      </c>
      <c r="F6208" s="6" t="s">
        <v>46</v>
      </c>
      <c r="G6208" s="6" t="s">
        <v>1171</v>
      </c>
      <c r="H6208" s="6" t="s">
        <v>1172</v>
      </c>
      <c r="I6208" s="6" t="s">
        <v>31</v>
      </c>
      <c r="J6208" s="6">
        <v>16.094642431126001</v>
      </c>
      <c r="K6208" s="6">
        <v>-97.077130361936995</v>
      </c>
      <c r="L6208" s="6" t="str">
        <f>HYPERLINK("https://maps.google.com/?q=16.094642431126033,-97.07713036193657", "🔗 Ver Mapa")</f>
        <v>🔗 Ver Mapa</v>
      </c>
    </row>
    <row r="6209" spans="1:12" ht="43.5" x14ac:dyDescent="0.35">
      <c r="A6209" s="5" t="s">
        <v>98</v>
      </c>
      <c r="B6209" s="5" t="s">
        <v>99</v>
      </c>
      <c r="C6209" s="5" t="s">
        <v>1170</v>
      </c>
      <c r="D6209" s="5" t="s">
        <v>14</v>
      </c>
      <c r="E6209" s="5" t="s">
        <v>17</v>
      </c>
      <c r="F6209" s="5" t="s">
        <v>46</v>
      </c>
      <c r="G6209" s="5" t="s">
        <v>1171</v>
      </c>
      <c r="H6209" s="5" t="s">
        <v>1172</v>
      </c>
      <c r="I6209" s="5" t="s">
        <v>31</v>
      </c>
      <c r="J6209" s="5">
        <v>16.094950000000001</v>
      </c>
      <c r="K6209" s="5">
        <v>-97.083708999999999</v>
      </c>
      <c r="L6209" s="5" t="str">
        <f>HYPERLINK("https://maps.google.com/?q=16.09495,-97.083708999999999", "🔗 Ver Mapa")</f>
        <v>🔗 Ver Mapa</v>
      </c>
    </row>
    <row r="6210" spans="1:12" ht="43.5" x14ac:dyDescent="0.35">
      <c r="A6210" s="6" t="s">
        <v>98</v>
      </c>
      <c r="B6210" s="6" t="s">
        <v>99</v>
      </c>
      <c r="C6210" s="6" t="s">
        <v>1170</v>
      </c>
      <c r="D6210" s="6" t="s">
        <v>14</v>
      </c>
      <c r="E6210" s="6" t="s">
        <v>17</v>
      </c>
      <c r="F6210" s="6" t="s">
        <v>46</v>
      </c>
      <c r="G6210" s="6" t="s">
        <v>1171</v>
      </c>
      <c r="H6210" s="6" t="s">
        <v>1172</v>
      </c>
      <c r="I6210" s="6" t="s">
        <v>31</v>
      </c>
      <c r="J6210" s="6">
        <v>16.09496</v>
      </c>
      <c r="K6210" s="6">
        <v>-97.078190000000006</v>
      </c>
      <c r="L6210" s="6" t="str">
        <f>HYPERLINK("https://maps.google.com/?q=16.09496,-97.078190000000006", "🔗 Ver Mapa")</f>
        <v>🔗 Ver Mapa</v>
      </c>
    </row>
    <row r="6211" spans="1:12" ht="43.5" x14ac:dyDescent="0.35">
      <c r="A6211" s="5" t="s">
        <v>98</v>
      </c>
      <c r="B6211" s="5" t="s">
        <v>99</v>
      </c>
      <c r="C6211" s="5" t="s">
        <v>1170</v>
      </c>
      <c r="D6211" s="5" t="s">
        <v>14</v>
      </c>
      <c r="E6211" s="5" t="s">
        <v>17</v>
      </c>
      <c r="F6211" s="5" t="s">
        <v>46</v>
      </c>
      <c r="G6211" s="5" t="s">
        <v>1171</v>
      </c>
      <c r="H6211" s="5" t="s">
        <v>1172</v>
      </c>
      <c r="I6211" s="5" t="s">
        <v>31</v>
      </c>
      <c r="J6211" s="5">
        <v>16.095241999999999</v>
      </c>
      <c r="K6211" s="5">
        <v>-97.081740999999994</v>
      </c>
      <c r="L6211" s="5" t="str">
        <f>HYPERLINK("https://maps.google.com/?q=16.095242,-97.081740999999994", "🔗 Ver Mapa")</f>
        <v>🔗 Ver Mapa</v>
      </c>
    </row>
    <row r="6212" spans="1:12" ht="43.5" x14ac:dyDescent="0.35">
      <c r="A6212" s="6" t="s">
        <v>98</v>
      </c>
      <c r="B6212" s="6" t="s">
        <v>99</v>
      </c>
      <c r="C6212" s="6" t="s">
        <v>1170</v>
      </c>
      <c r="D6212" s="6" t="s">
        <v>14</v>
      </c>
      <c r="E6212" s="6" t="s">
        <v>17</v>
      </c>
      <c r="F6212" s="6" t="s">
        <v>46</v>
      </c>
      <c r="G6212" s="6" t="s">
        <v>1171</v>
      </c>
      <c r="H6212" s="6" t="s">
        <v>1172</v>
      </c>
      <c r="I6212" s="6" t="s">
        <v>31</v>
      </c>
      <c r="J6212" s="6">
        <v>16.095618999999999</v>
      </c>
      <c r="K6212" s="6">
        <v>-97.084969000000001</v>
      </c>
      <c r="L6212" s="6" t="str">
        <f>HYPERLINK("https://maps.google.com/?q=16.095619,-97.084969000000001", "🔗 Ver Mapa")</f>
        <v>🔗 Ver Mapa</v>
      </c>
    </row>
    <row r="6213" spans="1:12" ht="43.5" x14ac:dyDescent="0.35">
      <c r="A6213" s="5" t="s">
        <v>98</v>
      </c>
      <c r="B6213" s="5" t="s">
        <v>99</v>
      </c>
      <c r="C6213" s="5" t="s">
        <v>1170</v>
      </c>
      <c r="D6213" s="5" t="s">
        <v>14</v>
      </c>
      <c r="E6213" s="5" t="s">
        <v>17</v>
      </c>
      <c r="F6213" s="5" t="s">
        <v>46</v>
      </c>
      <c r="G6213" s="5" t="s">
        <v>1171</v>
      </c>
      <c r="H6213" s="5" t="s">
        <v>1172</v>
      </c>
      <c r="I6213" s="5" t="s">
        <v>31</v>
      </c>
      <c r="J6213" s="5">
        <v>16.095775</v>
      </c>
      <c r="K6213" s="5">
        <v>-97.085077999999996</v>
      </c>
      <c r="L6213" s="5" t="str">
        <f>HYPERLINK("https://maps.google.com/?q=16.095775,-97.085077999999996", "🔗 Ver Mapa")</f>
        <v>🔗 Ver Mapa</v>
      </c>
    </row>
    <row r="6214" spans="1:12" ht="43.5" x14ac:dyDescent="0.35">
      <c r="A6214" s="6" t="s">
        <v>98</v>
      </c>
      <c r="B6214" s="6" t="s">
        <v>99</v>
      </c>
      <c r="C6214" s="6" t="s">
        <v>1170</v>
      </c>
      <c r="D6214" s="6" t="s">
        <v>14</v>
      </c>
      <c r="E6214" s="6" t="s">
        <v>17</v>
      </c>
      <c r="F6214" s="6" t="s">
        <v>46</v>
      </c>
      <c r="G6214" s="6" t="s">
        <v>1171</v>
      </c>
      <c r="H6214" s="6" t="s">
        <v>1172</v>
      </c>
      <c r="I6214" s="6" t="s">
        <v>31</v>
      </c>
      <c r="J6214" s="6">
        <v>16.095908000000001</v>
      </c>
      <c r="K6214" s="6">
        <v>-97.085104000000001</v>
      </c>
      <c r="L6214" s="6" t="str">
        <f>HYPERLINK("https://maps.google.com/?q=16.095908,-97.085104000000001", "🔗 Ver Mapa")</f>
        <v>🔗 Ver Mapa</v>
      </c>
    </row>
    <row r="6215" spans="1:12" ht="43.5" x14ac:dyDescent="0.35">
      <c r="A6215" s="5" t="s">
        <v>98</v>
      </c>
      <c r="B6215" s="5" t="s">
        <v>99</v>
      </c>
      <c r="C6215" s="5" t="s">
        <v>1170</v>
      </c>
      <c r="D6215" s="5" t="s">
        <v>14</v>
      </c>
      <c r="E6215" s="5" t="s">
        <v>17</v>
      </c>
      <c r="F6215" s="5" t="s">
        <v>46</v>
      </c>
      <c r="G6215" s="5" t="s">
        <v>1171</v>
      </c>
      <c r="H6215" s="5" t="s">
        <v>1172</v>
      </c>
      <c r="I6215" s="5" t="s">
        <v>31</v>
      </c>
      <c r="J6215" s="5">
        <v>16.096053000000001</v>
      </c>
      <c r="K6215" s="5">
        <v>-97.084923000000003</v>
      </c>
      <c r="L6215" s="5" t="str">
        <f>HYPERLINK("https://maps.google.com/?q=16.096053,-97.084923000000003", "🔗 Ver Mapa")</f>
        <v>🔗 Ver Mapa</v>
      </c>
    </row>
    <row r="6216" spans="1:12" ht="43.5" x14ac:dyDescent="0.35">
      <c r="A6216" s="6" t="s">
        <v>98</v>
      </c>
      <c r="B6216" s="6" t="s">
        <v>99</v>
      </c>
      <c r="C6216" s="6" t="s">
        <v>1170</v>
      </c>
      <c r="D6216" s="6" t="s">
        <v>14</v>
      </c>
      <c r="E6216" s="6" t="s">
        <v>17</v>
      </c>
      <c r="F6216" s="6" t="s">
        <v>46</v>
      </c>
      <c r="G6216" s="6" t="s">
        <v>1171</v>
      </c>
      <c r="H6216" s="6" t="s">
        <v>1172</v>
      </c>
      <c r="I6216" s="6" t="s">
        <v>31</v>
      </c>
      <c r="J6216" s="6">
        <v>16.096060000000001</v>
      </c>
      <c r="K6216" s="6">
        <v>-97.078759000000005</v>
      </c>
      <c r="L6216" s="6" t="str">
        <f>HYPERLINK("https://maps.google.com/?q=16.09606,-97.078759000000005", "🔗 Ver Mapa")</f>
        <v>🔗 Ver Mapa</v>
      </c>
    </row>
    <row r="6217" spans="1:12" ht="43.5" x14ac:dyDescent="0.35">
      <c r="A6217" s="5" t="s">
        <v>98</v>
      </c>
      <c r="B6217" s="5" t="s">
        <v>99</v>
      </c>
      <c r="C6217" s="5" t="s">
        <v>1170</v>
      </c>
      <c r="D6217" s="5" t="s">
        <v>14</v>
      </c>
      <c r="E6217" s="5" t="s">
        <v>17</v>
      </c>
      <c r="F6217" s="5" t="s">
        <v>46</v>
      </c>
      <c r="G6217" s="5" t="s">
        <v>1171</v>
      </c>
      <c r="H6217" s="5" t="s">
        <v>1172</v>
      </c>
      <c r="I6217" s="5" t="s">
        <v>31</v>
      </c>
      <c r="J6217" s="5">
        <v>16.096071999999999</v>
      </c>
      <c r="K6217" s="5">
        <v>-97.080416999999997</v>
      </c>
      <c r="L6217" s="5" t="str">
        <f>HYPERLINK("https://maps.google.com/?q=16.096072,-97.080416999999997", "🔗 Ver Mapa")</f>
        <v>🔗 Ver Mapa</v>
      </c>
    </row>
    <row r="6218" spans="1:12" ht="43.5" x14ac:dyDescent="0.35">
      <c r="A6218" s="6" t="s">
        <v>98</v>
      </c>
      <c r="B6218" s="6" t="s">
        <v>99</v>
      </c>
      <c r="C6218" s="6" t="s">
        <v>1170</v>
      </c>
      <c r="D6218" s="6" t="s">
        <v>14</v>
      </c>
      <c r="E6218" s="6" t="s">
        <v>17</v>
      </c>
      <c r="F6218" s="6" t="s">
        <v>46</v>
      </c>
      <c r="G6218" s="6" t="s">
        <v>1171</v>
      </c>
      <c r="H6218" s="6" t="s">
        <v>1172</v>
      </c>
      <c r="I6218" s="6" t="s">
        <v>31</v>
      </c>
      <c r="J6218" s="6">
        <v>16.0962</v>
      </c>
      <c r="K6218" s="6">
        <v>-97.078551000000004</v>
      </c>
      <c r="L6218" s="6" t="str">
        <f>HYPERLINK("https://maps.google.com/?q=16.0962,-97.078551000000004", "🔗 Ver Mapa")</f>
        <v>🔗 Ver Mapa</v>
      </c>
    </row>
    <row r="6219" spans="1:12" ht="43.5" x14ac:dyDescent="0.35">
      <c r="A6219" s="5" t="s">
        <v>98</v>
      </c>
      <c r="B6219" s="5" t="s">
        <v>99</v>
      </c>
      <c r="C6219" s="5" t="s">
        <v>1170</v>
      </c>
      <c r="D6219" s="5" t="s">
        <v>14</v>
      </c>
      <c r="E6219" s="5" t="s">
        <v>17</v>
      </c>
      <c r="F6219" s="5" t="s">
        <v>46</v>
      </c>
      <c r="G6219" s="5" t="s">
        <v>1171</v>
      </c>
      <c r="H6219" s="5" t="s">
        <v>1172</v>
      </c>
      <c r="I6219" s="5" t="s">
        <v>31</v>
      </c>
      <c r="J6219" s="5">
        <v>16.096357000000001</v>
      </c>
      <c r="K6219" s="5">
        <v>-97.078654999999998</v>
      </c>
      <c r="L6219" s="5" t="str">
        <f>HYPERLINK("https://maps.google.com/?q=16.096357,-97.078654999999998", "🔗 Ver Mapa")</f>
        <v>🔗 Ver Mapa</v>
      </c>
    </row>
    <row r="6220" spans="1:12" ht="43.5" x14ac:dyDescent="0.35">
      <c r="A6220" s="6" t="s">
        <v>98</v>
      </c>
      <c r="B6220" s="6" t="s">
        <v>99</v>
      </c>
      <c r="C6220" s="6" t="s">
        <v>1170</v>
      </c>
      <c r="D6220" s="6" t="s">
        <v>14</v>
      </c>
      <c r="E6220" s="6" t="s">
        <v>17</v>
      </c>
      <c r="F6220" s="6" t="s">
        <v>46</v>
      </c>
      <c r="G6220" s="6" t="s">
        <v>1171</v>
      </c>
      <c r="H6220" s="6" t="s">
        <v>1172</v>
      </c>
      <c r="I6220" s="6" t="s">
        <v>31</v>
      </c>
      <c r="J6220" s="6">
        <v>16.096387</v>
      </c>
      <c r="K6220" s="6">
        <v>-97.08511</v>
      </c>
      <c r="L6220" s="6" t="str">
        <f>HYPERLINK("https://maps.google.com/?q=16.096387,-97.08511", "🔗 Ver Mapa")</f>
        <v>🔗 Ver Mapa</v>
      </c>
    </row>
    <row r="6221" spans="1:12" ht="43.5" x14ac:dyDescent="0.35">
      <c r="A6221" s="5" t="s">
        <v>98</v>
      </c>
      <c r="B6221" s="5" t="s">
        <v>99</v>
      </c>
      <c r="C6221" s="5" t="s">
        <v>1170</v>
      </c>
      <c r="D6221" s="5" t="s">
        <v>14</v>
      </c>
      <c r="E6221" s="5" t="s">
        <v>17</v>
      </c>
      <c r="F6221" s="5" t="s">
        <v>46</v>
      </c>
      <c r="G6221" s="5" t="s">
        <v>1171</v>
      </c>
      <c r="H6221" s="5" t="s">
        <v>1172</v>
      </c>
      <c r="I6221" s="5" t="s">
        <v>31</v>
      </c>
      <c r="J6221" s="5">
        <v>16.096475999999999</v>
      </c>
      <c r="K6221" s="5">
        <v>-97.082622999999998</v>
      </c>
      <c r="L6221" s="5" t="str">
        <f>HYPERLINK("https://maps.google.com/?q=16.096476,-97.082622999999998", "🔗 Ver Mapa")</f>
        <v>🔗 Ver Mapa</v>
      </c>
    </row>
    <row r="6222" spans="1:12" ht="43.5" x14ac:dyDescent="0.35">
      <c r="A6222" s="6" t="s">
        <v>98</v>
      </c>
      <c r="B6222" s="6" t="s">
        <v>99</v>
      </c>
      <c r="C6222" s="6" t="s">
        <v>1170</v>
      </c>
      <c r="D6222" s="6" t="s">
        <v>14</v>
      </c>
      <c r="E6222" s="6" t="s">
        <v>17</v>
      </c>
      <c r="F6222" s="6" t="s">
        <v>46</v>
      </c>
      <c r="G6222" s="6" t="s">
        <v>1171</v>
      </c>
      <c r="H6222" s="6" t="s">
        <v>1172</v>
      </c>
      <c r="I6222" s="6" t="s">
        <v>31</v>
      </c>
      <c r="J6222" s="6">
        <v>16.096501</v>
      </c>
      <c r="K6222" s="6">
        <v>-97.080397000000005</v>
      </c>
      <c r="L6222" s="6" t="str">
        <f>HYPERLINK("https://maps.google.com/?q=16.096501,-97.080397000000005", "🔗 Ver Mapa")</f>
        <v>🔗 Ver Mapa</v>
      </c>
    </row>
    <row r="6223" spans="1:12" ht="43.5" x14ac:dyDescent="0.35">
      <c r="A6223" s="5" t="s">
        <v>98</v>
      </c>
      <c r="B6223" s="5" t="s">
        <v>99</v>
      </c>
      <c r="C6223" s="5" t="s">
        <v>1170</v>
      </c>
      <c r="D6223" s="5" t="s">
        <v>14</v>
      </c>
      <c r="E6223" s="5" t="s">
        <v>17</v>
      </c>
      <c r="F6223" s="5" t="s">
        <v>46</v>
      </c>
      <c r="G6223" s="5" t="s">
        <v>1171</v>
      </c>
      <c r="H6223" s="5" t="s">
        <v>1172</v>
      </c>
      <c r="I6223" s="5" t="s">
        <v>31</v>
      </c>
      <c r="J6223" s="5">
        <v>16.096529</v>
      </c>
      <c r="K6223" s="5">
        <v>-97.078264000000004</v>
      </c>
      <c r="L6223" s="5" t="str">
        <f>HYPERLINK("https://maps.google.com/?q=16.096529,-97.078264000000004", "🔗 Ver Mapa")</f>
        <v>🔗 Ver Mapa</v>
      </c>
    </row>
    <row r="6224" spans="1:12" ht="43.5" x14ac:dyDescent="0.35">
      <c r="A6224" s="6" t="s">
        <v>98</v>
      </c>
      <c r="B6224" s="6" t="s">
        <v>99</v>
      </c>
      <c r="C6224" s="6" t="s">
        <v>1170</v>
      </c>
      <c r="D6224" s="6" t="s">
        <v>14</v>
      </c>
      <c r="E6224" s="6" t="s">
        <v>17</v>
      </c>
      <c r="F6224" s="6" t="s">
        <v>46</v>
      </c>
      <c r="G6224" s="6" t="s">
        <v>1171</v>
      </c>
      <c r="H6224" s="6" t="s">
        <v>1172</v>
      </c>
      <c r="I6224" s="6" t="s">
        <v>31</v>
      </c>
      <c r="J6224" s="6">
        <v>16.096587</v>
      </c>
      <c r="K6224" s="6">
        <v>-97.082560000000001</v>
      </c>
      <c r="L6224" s="6" t="str">
        <f>HYPERLINK("https://maps.google.com/?q=16.096587,-97.082560000000001", "🔗 Ver Mapa")</f>
        <v>🔗 Ver Mapa</v>
      </c>
    </row>
    <row r="6225" spans="1:12" ht="43.5" x14ac:dyDescent="0.35">
      <c r="A6225" s="5" t="s">
        <v>98</v>
      </c>
      <c r="B6225" s="5" t="s">
        <v>99</v>
      </c>
      <c r="C6225" s="5" t="s">
        <v>1170</v>
      </c>
      <c r="D6225" s="5" t="s">
        <v>14</v>
      </c>
      <c r="E6225" s="5" t="s">
        <v>17</v>
      </c>
      <c r="F6225" s="5" t="s">
        <v>46</v>
      </c>
      <c r="G6225" s="5" t="s">
        <v>1171</v>
      </c>
      <c r="H6225" s="5" t="s">
        <v>1172</v>
      </c>
      <c r="I6225" s="5" t="s">
        <v>31</v>
      </c>
      <c r="J6225" s="5">
        <v>16.096637999999999</v>
      </c>
      <c r="K6225" s="5">
        <v>-97.084737000000004</v>
      </c>
      <c r="L6225" s="5" t="str">
        <f>HYPERLINK("https://maps.google.com/?q=16.096638,-97.084737000000004", "🔗 Ver Mapa")</f>
        <v>🔗 Ver Mapa</v>
      </c>
    </row>
    <row r="6226" spans="1:12" ht="43.5" x14ac:dyDescent="0.35">
      <c r="A6226" s="6" t="s">
        <v>98</v>
      </c>
      <c r="B6226" s="6" t="s">
        <v>99</v>
      </c>
      <c r="C6226" s="6" t="s">
        <v>1170</v>
      </c>
      <c r="D6226" s="6" t="s">
        <v>14</v>
      </c>
      <c r="E6226" s="6" t="s">
        <v>17</v>
      </c>
      <c r="F6226" s="6" t="s">
        <v>46</v>
      </c>
      <c r="G6226" s="6" t="s">
        <v>1171</v>
      </c>
      <c r="H6226" s="6" t="s">
        <v>1172</v>
      </c>
      <c r="I6226" s="6" t="s">
        <v>31</v>
      </c>
      <c r="J6226" s="6">
        <v>16.096914999999999</v>
      </c>
      <c r="K6226" s="6">
        <v>-97.082800000000006</v>
      </c>
      <c r="L6226" s="6" t="str">
        <f>HYPERLINK("https://maps.google.com/?q=16.096915,-97.082800000000006", "🔗 Ver Mapa")</f>
        <v>🔗 Ver Mapa</v>
      </c>
    </row>
    <row r="6227" spans="1:12" ht="43.5" x14ac:dyDescent="0.35">
      <c r="A6227" s="5" t="s">
        <v>98</v>
      </c>
      <c r="B6227" s="5" t="s">
        <v>99</v>
      </c>
      <c r="C6227" s="5" t="s">
        <v>1170</v>
      </c>
      <c r="D6227" s="5" t="s">
        <v>14</v>
      </c>
      <c r="E6227" s="5" t="s">
        <v>17</v>
      </c>
      <c r="F6227" s="5" t="s">
        <v>46</v>
      </c>
      <c r="G6227" s="5" t="s">
        <v>1171</v>
      </c>
      <c r="H6227" s="5" t="s">
        <v>1172</v>
      </c>
      <c r="I6227" s="5" t="s">
        <v>31</v>
      </c>
      <c r="J6227" s="5">
        <v>16.096976999999999</v>
      </c>
      <c r="K6227" s="5">
        <v>-97.079346999999999</v>
      </c>
      <c r="L6227" s="5" t="str">
        <f>HYPERLINK("https://maps.google.com/?q=16.096977,-97.079346999999999", "🔗 Ver Mapa")</f>
        <v>🔗 Ver Mapa</v>
      </c>
    </row>
    <row r="6228" spans="1:12" ht="43.5" x14ac:dyDescent="0.35">
      <c r="A6228" s="6" t="s">
        <v>98</v>
      </c>
      <c r="B6228" s="6" t="s">
        <v>99</v>
      </c>
      <c r="C6228" s="6" t="s">
        <v>1170</v>
      </c>
      <c r="D6228" s="6" t="s">
        <v>14</v>
      </c>
      <c r="E6228" s="6" t="s">
        <v>17</v>
      </c>
      <c r="F6228" s="6" t="s">
        <v>46</v>
      </c>
      <c r="G6228" s="6" t="s">
        <v>1171</v>
      </c>
      <c r="H6228" s="6" t="s">
        <v>1172</v>
      </c>
      <c r="I6228" s="6" t="s">
        <v>31</v>
      </c>
      <c r="J6228" s="6">
        <v>16.097318999999999</v>
      </c>
      <c r="K6228" s="6">
        <v>-97.082353999999995</v>
      </c>
      <c r="L6228" s="6" t="str">
        <f>HYPERLINK("https://maps.google.com/?q=16.097319,-97.082353999999995", "🔗 Ver Mapa")</f>
        <v>🔗 Ver Mapa</v>
      </c>
    </row>
    <row r="6229" spans="1:12" ht="43.5" x14ac:dyDescent="0.35">
      <c r="A6229" s="5" t="s">
        <v>98</v>
      </c>
      <c r="B6229" s="5" t="s">
        <v>99</v>
      </c>
      <c r="C6229" s="5" t="s">
        <v>1170</v>
      </c>
      <c r="D6229" s="5" t="s">
        <v>14</v>
      </c>
      <c r="E6229" s="5" t="s">
        <v>17</v>
      </c>
      <c r="F6229" s="5" t="s">
        <v>46</v>
      </c>
      <c r="G6229" s="5" t="s">
        <v>1171</v>
      </c>
      <c r="H6229" s="5" t="s">
        <v>1172</v>
      </c>
      <c r="I6229" s="5" t="s">
        <v>31</v>
      </c>
      <c r="J6229" s="5">
        <v>16.097327</v>
      </c>
      <c r="K6229" s="5">
        <v>-97.080326999999997</v>
      </c>
      <c r="L6229" s="5" t="str">
        <f>HYPERLINK("https://maps.google.com/?q=16.097327,-97.080326999999997", "🔗 Ver Mapa")</f>
        <v>🔗 Ver Mapa</v>
      </c>
    </row>
    <row r="6230" spans="1:12" ht="43.5" x14ac:dyDescent="0.35">
      <c r="A6230" s="6" t="s">
        <v>98</v>
      </c>
      <c r="B6230" s="6" t="s">
        <v>99</v>
      </c>
      <c r="C6230" s="6" t="s">
        <v>1170</v>
      </c>
      <c r="D6230" s="6" t="s">
        <v>14</v>
      </c>
      <c r="E6230" s="6" t="s">
        <v>17</v>
      </c>
      <c r="F6230" s="6" t="s">
        <v>46</v>
      </c>
      <c r="G6230" s="6" t="s">
        <v>1171</v>
      </c>
      <c r="H6230" s="6" t="s">
        <v>1172</v>
      </c>
      <c r="I6230" s="6" t="s">
        <v>31</v>
      </c>
      <c r="J6230" s="6">
        <v>16.097342000000001</v>
      </c>
      <c r="K6230" s="6">
        <v>-97.080985999999996</v>
      </c>
      <c r="L6230" s="6" t="str">
        <f>HYPERLINK("https://maps.google.com/?q=16.097342,-97.080985999999996", "🔗 Ver Mapa")</f>
        <v>🔗 Ver Mapa</v>
      </c>
    </row>
    <row r="6231" spans="1:12" ht="43.5" x14ac:dyDescent="0.35">
      <c r="A6231" s="5" t="s">
        <v>98</v>
      </c>
      <c r="B6231" s="5" t="s">
        <v>99</v>
      </c>
      <c r="C6231" s="5" t="s">
        <v>1170</v>
      </c>
      <c r="D6231" s="5" t="s">
        <v>14</v>
      </c>
      <c r="E6231" s="5" t="s">
        <v>17</v>
      </c>
      <c r="F6231" s="5" t="s">
        <v>46</v>
      </c>
      <c r="G6231" s="5" t="s">
        <v>1171</v>
      </c>
      <c r="H6231" s="5" t="s">
        <v>1172</v>
      </c>
      <c r="I6231" s="5" t="s">
        <v>31</v>
      </c>
      <c r="J6231" s="5">
        <v>16.097909000000001</v>
      </c>
      <c r="K6231" s="5">
        <v>-97.079177999999999</v>
      </c>
      <c r="L6231" s="5" t="str">
        <f>HYPERLINK("https://maps.google.com/?q=16.097909,-97.079177999999999", "🔗 Ver Mapa")</f>
        <v>🔗 Ver Mapa</v>
      </c>
    </row>
    <row r="6232" spans="1:12" ht="43.5" x14ac:dyDescent="0.35">
      <c r="A6232" s="6" t="s">
        <v>98</v>
      </c>
      <c r="B6232" s="6" t="s">
        <v>99</v>
      </c>
      <c r="C6232" s="6" t="s">
        <v>1170</v>
      </c>
      <c r="D6232" s="6" t="s">
        <v>14</v>
      </c>
      <c r="E6232" s="6" t="s">
        <v>17</v>
      </c>
      <c r="F6232" s="6" t="s">
        <v>46</v>
      </c>
      <c r="G6232" s="6" t="s">
        <v>1171</v>
      </c>
      <c r="H6232" s="6" t="s">
        <v>1172</v>
      </c>
      <c r="I6232" s="6" t="s">
        <v>31</v>
      </c>
      <c r="J6232" s="6">
        <v>16.099751000000001</v>
      </c>
      <c r="K6232" s="6">
        <v>-97.082359999999994</v>
      </c>
      <c r="L6232" s="6" t="str">
        <f>HYPERLINK("https://maps.google.com/?q=16.099751,-97.082359999999994", "🔗 Ver Mapa")</f>
        <v>🔗 Ver Mapa</v>
      </c>
    </row>
    <row r="6233" spans="1:12" ht="43.5" x14ac:dyDescent="0.35">
      <c r="A6233" s="5" t="s">
        <v>98</v>
      </c>
      <c r="B6233" s="5" t="s">
        <v>99</v>
      </c>
      <c r="C6233" s="5" t="s">
        <v>1170</v>
      </c>
      <c r="D6233" s="5" t="s">
        <v>14</v>
      </c>
      <c r="E6233" s="5" t="s">
        <v>17</v>
      </c>
      <c r="F6233" s="5" t="s">
        <v>46</v>
      </c>
      <c r="G6233" s="5" t="s">
        <v>1171</v>
      </c>
      <c r="H6233" s="5" t="s">
        <v>1172</v>
      </c>
      <c r="I6233" s="5" t="s">
        <v>31</v>
      </c>
      <c r="J6233" s="5">
        <v>16.100299</v>
      </c>
      <c r="K6233" s="5">
        <v>-97.079627000000002</v>
      </c>
      <c r="L6233" s="5" t="str">
        <f>HYPERLINK("https://maps.google.com/?q=16.100299,-97.079627000000002", "🔗 Ver Mapa")</f>
        <v>🔗 Ver Mapa</v>
      </c>
    </row>
    <row r="6234" spans="1:12" ht="43.5" x14ac:dyDescent="0.35">
      <c r="A6234" s="6" t="s">
        <v>98</v>
      </c>
      <c r="B6234" s="6" t="s">
        <v>99</v>
      </c>
      <c r="C6234" s="6" t="s">
        <v>1173</v>
      </c>
      <c r="D6234" s="6" t="s">
        <v>14</v>
      </c>
      <c r="E6234" s="6" t="s">
        <v>16</v>
      </c>
      <c r="F6234" s="6" t="s">
        <v>19</v>
      </c>
      <c r="G6234" s="6" t="s">
        <v>1174</v>
      </c>
      <c r="H6234" s="6" t="s">
        <v>1175</v>
      </c>
      <c r="I6234" s="6" t="s">
        <v>31</v>
      </c>
      <c r="J6234" s="6">
        <v>17.009130820721001</v>
      </c>
      <c r="K6234" s="6">
        <v>-97.267322585952002</v>
      </c>
      <c r="L6234" s="6" t="str">
        <f>HYPERLINK("https://maps.google.com/?q=17.0091308207208,-97.2673225859523", "🔗 Ver Mapa")</f>
        <v>🔗 Ver Mapa</v>
      </c>
    </row>
    <row r="6235" spans="1:12" ht="43.5" x14ac:dyDescent="0.35">
      <c r="A6235" s="5" t="s">
        <v>98</v>
      </c>
      <c r="B6235" s="5" t="s">
        <v>99</v>
      </c>
      <c r="C6235" s="5" t="s">
        <v>1173</v>
      </c>
      <c r="D6235" s="5" t="s">
        <v>14</v>
      </c>
      <c r="E6235" s="5" t="s">
        <v>16</v>
      </c>
      <c r="F6235" s="5" t="s">
        <v>19</v>
      </c>
      <c r="G6235" s="5" t="s">
        <v>1174</v>
      </c>
      <c r="H6235" s="5" t="s">
        <v>1175</v>
      </c>
      <c r="I6235" s="5" t="s">
        <v>31</v>
      </c>
      <c r="J6235" s="5">
        <v>17.009915673651001</v>
      </c>
      <c r="K6235" s="5">
        <v>-97.267789290321005</v>
      </c>
      <c r="L6235" s="5" t="str">
        <f>HYPERLINK("https://maps.google.com/?q=17.0099156736515,-97.267789290320906", "🔗 Ver Mapa")</f>
        <v>🔗 Ver Mapa</v>
      </c>
    </row>
    <row r="6236" spans="1:12" ht="43.5" x14ac:dyDescent="0.35">
      <c r="A6236" s="6" t="s">
        <v>98</v>
      </c>
      <c r="B6236" s="6" t="s">
        <v>99</v>
      </c>
      <c r="C6236" s="6" t="s">
        <v>1173</v>
      </c>
      <c r="D6236" s="6" t="s">
        <v>14</v>
      </c>
      <c r="E6236" s="6" t="s">
        <v>16</v>
      </c>
      <c r="F6236" s="6" t="s">
        <v>19</v>
      </c>
      <c r="G6236" s="6" t="s">
        <v>1174</v>
      </c>
      <c r="H6236" s="6" t="s">
        <v>1175</v>
      </c>
      <c r="I6236" s="6" t="s">
        <v>31</v>
      </c>
      <c r="J6236" s="6">
        <v>17.010187550044002</v>
      </c>
      <c r="K6236" s="6">
        <v>-97.268996284378005</v>
      </c>
      <c r="L6236" s="6" t="str">
        <f>HYPERLINK("https://maps.google.com/?q=17.0101875500436,-97.268996284377806", "🔗 Ver Mapa")</f>
        <v>🔗 Ver Mapa</v>
      </c>
    </row>
    <row r="6237" spans="1:12" ht="43.5" x14ac:dyDescent="0.35">
      <c r="A6237" s="5" t="s">
        <v>98</v>
      </c>
      <c r="B6237" s="5" t="s">
        <v>99</v>
      </c>
      <c r="C6237" s="5" t="s">
        <v>1173</v>
      </c>
      <c r="D6237" s="5" t="s">
        <v>14</v>
      </c>
      <c r="E6237" s="5" t="s">
        <v>16</v>
      </c>
      <c r="F6237" s="5" t="s">
        <v>19</v>
      </c>
      <c r="G6237" s="5" t="s">
        <v>1174</v>
      </c>
      <c r="H6237" s="5" t="s">
        <v>1175</v>
      </c>
      <c r="I6237" s="5" t="s">
        <v>31</v>
      </c>
      <c r="J6237" s="5">
        <v>17.010985222839999</v>
      </c>
      <c r="K6237" s="5">
        <v>-97.268709288013994</v>
      </c>
      <c r="L6237" s="5" t="str">
        <f>HYPERLINK("https://maps.google.com/?q=17.0109852228403,-97.268709288013596", "🔗 Ver Mapa")</f>
        <v>🔗 Ver Mapa</v>
      </c>
    </row>
    <row r="6238" spans="1:12" ht="43.5" x14ac:dyDescent="0.35">
      <c r="A6238" s="6" t="s">
        <v>98</v>
      </c>
      <c r="B6238" s="6" t="s">
        <v>99</v>
      </c>
      <c r="C6238" s="6" t="s">
        <v>1173</v>
      </c>
      <c r="D6238" s="6" t="s">
        <v>14</v>
      </c>
      <c r="E6238" s="6" t="s">
        <v>16</v>
      </c>
      <c r="F6238" s="6" t="s">
        <v>19</v>
      </c>
      <c r="G6238" s="6" t="s">
        <v>1174</v>
      </c>
      <c r="H6238" s="6" t="s">
        <v>1175</v>
      </c>
      <c r="I6238" s="6" t="s">
        <v>31</v>
      </c>
      <c r="J6238" s="6">
        <v>17.011039084867999</v>
      </c>
      <c r="K6238" s="6">
        <v>-97.269328878295994</v>
      </c>
      <c r="L6238" s="6" t="str">
        <f>HYPERLINK("https://maps.google.com/?q=17.0110390848684,-97.269328878295696", "🔗 Ver Mapa")</f>
        <v>🔗 Ver Mapa</v>
      </c>
    </row>
    <row r="6239" spans="1:12" ht="43.5" x14ac:dyDescent="0.35">
      <c r="A6239" s="5" t="s">
        <v>98</v>
      </c>
      <c r="B6239" s="5" t="s">
        <v>99</v>
      </c>
      <c r="C6239" s="5" t="s">
        <v>1176</v>
      </c>
      <c r="D6239" s="5" t="s">
        <v>14</v>
      </c>
      <c r="E6239" s="5" t="s">
        <v>39</v>
      </c>
      <c r="F6239" s="5" t="s">
        <v>353</v>
      </c>
      <c r="G6239" s="5" t="s">
        <v>1085</v>
      </c>
      <c r="H6239" s="5" t="s">
        <v>1177</v>
      </c>
      <c r="I6239" s="5" t="s">
        <v>31</v>
      </c>
      <c r="J6239" s="5">
        <v>16.239185020000001</v>
      </c>
      <c r="K6239" s="5">
        <v>-96.402729750000006</v>
      </c>
      <c r="L6239" s="5" t="str">
        <f>HYPERLINK("https://maps.google.com/?q=16.23918502,-96.402729750000006", "🔗 Ver Mapa")</f>
        <v>🔗 Ver Mapa</v>
      </c>
    </row>
    <row r="6240" spans="1:12" ht="43.5" x14ac:dyDescent="0.35">
      <c r="A6240" s="6" t="s">
        <v>98</v>
      </c>
      <c r="B6240" s="6" t="s">
        <v>99</v>
      </c>
      <c r="C6240" s="6" t="s">
        <v>1176</v>
      </c>
      <c r="D6240" s="6" t="s">
        <v>14</v>
      </c>
      <c r="E6240" s="6" t="s">
        <v>39</v>
      </c>
      <c r="F6240" s="6" t="s">
        <v>353</v>
      </c>
      <c r="G6240" s="6" t="s">
        <v>1085</v>
      </c>
      <c r="H6240" s="6" t="s">
        <v>1177</v>
      </c>
      <c r="I6240" s="6" t="s">
        <v>31</v>
      </c>
      <c r="J6240" s="6">
        <v>16.239236529999999</v>
      </c>
      <c r="K6240" s="6">
        <v>-96.402517860000003</v>
      </c>
      <c r="L6240" s="6" t="str">
        <f>HYPERLINK("https://maps.google.com/?q=16.23923653,-96.402517860000003", "🔗 Ver Mapa")</f>
        <v>🔗 Ver Mapa</v>
      </c>
    </row>
    <row r="6241" spans="1:12" ht="43.5" x14ac:dyDescent="0.35">
      <c r="A6241" s="5" t="s">
        <v>98</v>
      </c>
      <c r="B6241" s="5" t="s">
        <v>99</v>
      </c>
      <c r="C6241" s="5" t="s">
        <v>1176</v>
      </c>
      <c r="D6241" s="5" t="s">
        <v>14</v>
      </c>
      <c r="E6241" s="5" t="s">
        <v>39</v>
      </c>
      <c r="F6241" s="5" t="s">
        <v>353</v>
      </c>
      <c r="G6241" s="5" t="s">
        <v>1085</v>
      </c>
      <c r="H6241" s="5" t="s">
        <v>1177</v>
      </c>
      <c r="I6241" s="5" t="s">
        <v>31</v>
      </c>
      <c r="J6241" s="5">
        <v>16.239293180000001</v>
      </c>
      <c r="K6241" s="5">
        <v>-96.403293020000007</v>
      </c>
      <c r="L6241" s="5" t="str">
        <f>HYPERLINK("https://maps.google.com/?q=16.23929318,-96.403293020000007", "🔗 Ver Mapa")</f>
        <v>🔗 Ver Mapa</v>
      </c>
    </row>
    <row r="6242" spans="1:12" ht="43.5" x14ac:dyDescent="0.35">
      <c r="A6242" s="6" t="s">
        <v>98</v>
      </c>
      <c r="B6242" s="6" t="s">
        <v>99</v>
      </c>
      <c r="C6242" s="6" t="s">
        <v>1176</v>
      </c>
      <c r="D6242" s="6" t="s">
        <v>14</v>
      </c>
      <c r="E6242" s="6" t="s">
        <v>39</v>
      </c>
      <c r="F6242" s="6" t="s">
        <v>353</v>
      </c>
      <c r="G6242" s="6" t="s">
        <v>1085</v>
      </c>
      <c r="H6242" s="6" t="s">
        <v>1177</v>
      </c>
      <c r="I6242" s="6" t="s">
        <v>31</v>
      </c>
      <c r="J6242" s="6">
        <v>16.239388470000002</v>
      </c>
      <c r="K6242" s="6">
        <v>-96.400921940000003</v>
      </c>
      <c r="L6242" s="6" t="str">
        <f>HYPERLINK("https://maps.google.com/?q=16.23938847,-96.400921940000003", "🔗 Ver Mapa")</f>
        <v>🔗 Ver Mapa</v>
      </c>
    </row>
    <row r="6243" spans="1:12" ht="43.5" x14ac:dyDescent="0.35">
      <c r="A6243" s="5" t="s">
        <v>98</v>
      </c>
      <c r="B6243" s="5" t="s">
        <v>99</v>
      </c>
      <c r="C6243" s="5" t="s">
        <v>1176</v>
      </c>
      <c r="D6243" s="5" t="s">
        <v>14</v>
      </c>
      <c r="E6243" s="5" t="s">
        <v>39</v>
      </c>
      <c r="F6243" s="5" t="s">
        <v>353</v>
      </c>
      <c r="G6243" s="5" t="s">
        <v>1085</v>
      </c>
      <c r="H6243" s="5" t="s">
        <v>1177</v>
      </c>
      <c r="I6243" s="5" t="s">
        <v>31</v>
      </c>
      <c r="J6243" s="5">
        <v>16.23992153</v>
      </c>
      <c r="K6243" s="5">
        <v>-96.402450799999997</v>
      </c>
      <c r="L6243" s="5" t="str">
        <f>HYPERLINK("https://maps.google.com/?q=16.23992153,-96.402450799999997", "🔗 Ver Mapa")</f>
        <v>🔗 Ver Mapa</v>
      </c>
    </row>
    <row r="6244" spans="1:12" ht="43.5" x14ac:dyDescent="0.35">
      <c r="A6244" s="6" t="s">
        <v>98</v>
      </c>
      <c r="B6244" s="6" t="s">
        <v>99</v>
      </c>
      <c r="C6244" s="6" t="s">
        <v>1176</v>
      </c>
      <c r="D6244" s="6" t="s">
        <v>14</v>
      </c>
      <c r="E6244" s="6" t="s">
        <v>39</v>
      </c>
      <c r="F6244" s="6" t="s">
        <v>353</v>
      </c>
      <c r="G6244" s="6" t="s">
        <v>1085</v>
      </c>
      <c r="H6244" s="6" t="s">
        <v>1177</v>
      </c>
      <c r="I6244" s="6" t="s">
        <v>31</v>
      </c>
      <c r="J6244" s="6">
        <v>16.239995199999999</v>
      </c>
      <c r="K6244" s="6">
        <v>-96.401255419999998</v>
      </c>
      <c r="L6244" s="6" t="str">
        <f>HYPERLINK("https://maps.google.com/?q=16.2399952,-96.401255419999998", "🔗 Ver Mapa")</f>
        <v>🔗 Ver Mapa</v>
      </c>
    </row>
    <row r="6245" spans="1:12" ht="58" x14ac:dyDescent="0.35">
      <c r="A6245" s="5" t="s">
        <v>73</v>
      </c>
      <c r="B6245" s="5" t="s">
        <v>74</v>
      </c>
      <c r="C6245" s="5" t="s">
        <v>1178</v>
      </c>
      <c r="D6245" s="5" t="s">
        <v>76</v>
      </c>
      <c r="E6245" s="5" t="s">
        <v>16</v>
      </c>
      <c r="F6245" s="5" t="s">
        <v>21</v>
      </c>
      <c r="G6245" s="5" t="s">
        <v>1179</v>
      </c>
      <c r="H6245" s="5" t="s">
        <v>1180</v>
      </c>
      <c r="I6245" s="5" t="s">
        <v>31</v>
      </c>
      <c r="J6245" s="5">
        <v>17.004937000000002</v>
      </c>
      <c r="K6245" s="5">
        <v>-97.510008999999997</v>
      </c>
      <c r="L6245" s="5" t="str">
        <f>HYPERLINK("https://maps.google.com/?q=17.004937,-97.510009", "🔗 Ver Mapa")</f>
        <v>🔗 Ver Mapa</v>
      </c>
    </row>
    <row r="6246" spans="1:12" ht="43.5" x14ac:dyDescent="0.35">
      <c r="A6246" s="6" t="s">
        <v>98</v>
      </c>
      <c r="B6246" s="6" t="s">
        <v>99</v>
      </c>
      <c r="C6246" s="6" t="s">
        <v>1181</v>
      </c>
      <c r="D6246" s="6" t="s">
        <v>14</v>
      </c>
      <c r="E6246" s="6" t="s">
        <v>39</v>
      </c>
      <c r="F6246" s="6" t="s">
        <v>353</v>
      </c>
      <c r="G6246" s="6" t="s">
        <v>1182</v>
      </c>
      <c r="H6246" s="6" t="s">
        <v>1183</v>
      </c>
      <c r="I6246" s="6" t="s">
        <v>31</v>
      </c>
      <c r="J6246" s="6">
        <v>16.203299930726001</v>
      </c>
      <c r="K6246" s="6">
        <v>-96.413625312304006</v>
      </c>
      <c r="L6246" s="6" t="str">
        <f>HYPERLINK("https://maps.google.com/?q=16.2032999307264,-96.413625312303694", "🔗 Ver Mapa")</f>
        <v>🔗 Ver Mapa</v>
      </c>
    </row>
    <row r="6247" spans="1:12" ht="43.5" x14ac:dyDescent="0.35">
      <c r="A6247" s="5" t="s">
        <v>98</v>
      </c>
      <c r="B6247" s="5" t="s">
        <v>99</v>
      </c>
      <c r="C6247" s="5" t="s">
        <v>1181</v>
      </c>
      <c r="D6247" s="5" t="s">
        <v>14</v>
      </c>
      <c r="E6247" s="5" t="s">
        <v>39</v>
      </c>
      <c r="F6247" s="5" t="s">
        <v>353</v>
      </c>
      <c r="G6247" s="5" t="s">
        <v>1182</v>
      </c>
      <c r="H6247" s="5" t="s">
        <v>1183</v>
      </c>
      <c r="I6247" s="5" t="s">
        <v>31</v>
      </c>
      <c r="J6247" s="5">
        <v>16.203422273684001</v>
      </c>
      <c r="K6247" s="5">
        <v>-96.413131787696997</v>
      </c>
      <c r="L6247" s="5" t="str">
        <f>HYPERLINK("https://maps.google.com/?q=16.2034222736837,-96.413131787696898", "🔗 Ver Mapa")</f>
        <v>🔗 Ver Mapa</v>
      </c>
    </row>
    <row r="6248" spans="1:12" ht="43.5" x14ac:dyDescent="0.35">
      <c r="A6248" s="6" t="s">
        <v>98</v>
      </c>
      <c r="B6248" s="6" t="s">
        <v>99</v>
      </c>
      <c r="C6248" s="6" t="s">
        <v>1181</v>
      </c>
      <c r="D6248" s="6" t="s">
        <v>14</v>
      </c>
      <c r="E6248" s="6" t="s">
        <v>39</v>
      </c>
      <c r="F6248" s="6" t="s">
        <v>353</v>
      </c>
      <c r="G6248" s="6" t="s">
        <v>1182</v>
      </c>
      <c r="H6248" s="6" t="s">
        <v>1183</v>
      </c>
      <c r="I6248" s="6" t="s">
        <v>31</v>
      </c>
      <c r="J6248" s="6">
        <v>16.203464773235002</v>
      </c>
      <c r="K6248" s="6">
        <v>-96.413485837435005</v>
      </c>
      <c r="L6248" s="6" t="str">
        <f>HYPERLINK("https://maps.google.com/?q=16.2034647732352,-96.413485837435005", "🔗 Ver Mapa")</f>
        <v>🔗 Ver Mapa</v>
      </c>
    </row>
    <row r="6249" spans="1:12" ht="43.5" x14ac:dyDescent="0.35">
      <c r="A6249" s="5" t="s">
        <v>98</v>
      </c>
      <c r="B6249" s="5" t="s">
        <v>99</v>
      </c>
      <c r="C6249" s="5" t="s">
        <v>1184</v>
      </c>
      <c r="D6249" s="5" t="s">
        <v>14</v>
      </c>
      <c r="E6249" s="5" t="s">
        <v>17</v>
      </c>
      <c r="F6249" s="5" t="s">
        <v>46</v>
      </c>
      <c r="G6249" s="5" t="s">
        <v>47</v>
      </c>
      <c r="H6249" s="5" t="s">
        <v>1185</v>
      </c>
      <c r="I6249" s="5" t="s">
        <v>31</v>
      </c>
      <c r="J6249" s="5">
        <v>16.375360000000001</v>
      </c>
      <c r="K6249" s="5">
        <v>-97.275713999999994</v>
      </c>
      <c r="L6249" s="5" t="str">
        <f>HYPERLINK("https://maps.google.com/?q=16.37536,-97.275713999999994", "🔗 Ver Mapa")</f>
        <v>🔗 Ver Mapa</v>
      </c>
    </row>
    <row r="6250" spans="1:12" ht="43.5" x14ac:dyDescent="0.35">
      <c r="A6250" s="6" t="s">
        <v>98</v>
      </c>
      <c r="B6250" s="6" t="s">
        <v>99</v>
      </c>
      <c r="C6250" s="6" t="s">
        <v>1184</v>
      </c>
      <c r="D6250" s="6" t="s">
        <v>14</v>
      </c>
      <c r="E6250" s="6" t="s">
        <v>17</v>
      </c>
      <c r="F6250" s="6" t="s">
        <v>46</v>
      </c>
      <c r="G6250" s="6" t="s">
        <v>47</v>
      </c>
      <c r="H6250" s="6" t="s">
        <v>1185</v>
      </c>
      <c r="I6250" s="6" t="s">
        <v>31</v>
      </c>
      <c r="J6250" s="6">
        <v>16.375413000000002</v>
      </c>
      <c r="K6250" s="6">
        <v>-97.274124999999998</v>
      </c>
      <c r="L6250" s="6" t="str">
        <f>HYPERLINK("https://maps.google.com/?q=16.375413,-97.274124999999998", "🔗 Ver Mapa")</f>
        <v>🔗 Ver Mapa</v>
      </c>
    </row>
    <row r="6251" spans="1:12" ht="43.5" x14ac:dyDescent="0.35">
      <c r="A6251" s="5" t="s">
        <v>98</v>
      </c>
      <c r="B6251" s="5" t="s">
        <v>99</v>
      </c>
      <c r="C6251" s="5" t="s">
        <v>1184</v>
      </c>
      <c r="D6251" s="5" t="s">
        <v>14</v>
      </c>
      <c r="E6251" s="5" t="s">
        <v>17</v>
      </c>
      <c r="F6251" s="5" t="s">
        <v>46</v>
      </c>
      <c r="G6251" s="5" t="s">
        <v>47</v>
      </c>
      <c r="H6251" s="5" t="s">
        <v>1185</v>
      </c>
      <c r="I6251" s="5" t="s">
        <v>31</v>
      </c>
      <c r="J6251" s="5">
        <v>16.375810999999999</v>
      </c>
      <c r="K6251" s="5">
        <v>-97.274411000000001</v>
      </c>
      <c r="L6251" s="5" t="str">
        <f>HYPERLINK("https://maps.google.com/?q=16.375811,-97.274411000000001", "🔗 Ver Mapa")</f>
        <v>🔗 Ver Mapa</v>
      </c>
    </row>
    <row r="6252" spans="1:12" ht="58" x14ac:dyDescent="0.35">
      <c r="A6252" s="6" t="s">
        <v>73</v>
      </c>
      <c r="B6252" s="6" t="s">
        <v>74</v>
      </c>
      <c r="C6252" s="6" t="s">
        <v>1186</v>
      </c>
      <c r="D6252" s="6" t="s">
        <v>76</v>
      </c>
      <c r="E6252" s="6" t="s">
        <v>16</v>
      </c>
      <c r="F6252" s="6" t="s">
        <v>21</v>
      </c>
      <c r="G6252" s="6" t="s">
        <v>1179</v>
      </c>
      <c r="H6252" s="6" t="s">
        <v>1180</v>
      </c>
      <c r="I6252" s="6" t="s">
        <v>31</v>
      </c>
      <c r="J6252" s="6">
        <v>17.004873806502999</v>
      </c>
      <c r="K6252" s="6">
        <v>-97.510238506780993</v>
      </c>
      <c r="L6252" s="6" t="str">
        <f>HYPERLINK("https://maps.google.com/?q=17.004873806503024,-97.51023850678074", "🔗 Ver Mapa")</f>
        <v>🔗 Ver Mapa</v>
      </c>
    </row>
    <row r="6253" spans="1:12" ht="43.5" x14ac:dyDescent="0.35">
      <c r="A6253" s="5" t="s">
        <v>98</v>
      </c>
      <c r="B6253" s="5" t="s">
        <v>99</v>
      </c>
      <c r="C6253" s="5" t="s">
        <v>1187</v>
      </c>
      <c r="D6253" s="5" t="s">
        <v>14</v>
      </c>
      <c r="E6253" s="5" t="s">
        <v>39</v>
      </c>
      <c r="F6253" s="5" t="s">
        <v>353</v>
      </c>
      <c r="G6253" s="5" t="s">
        <v>1188</v>
      </c>
      <c r="H6253" s="5" t="s">
        <v>1189</v>
      </c>
      <c r="I6253" s="5" t="s">
        <v>31</v>
      </c>
      <c r="J6253" s="5">
        <v>16.389060000000001</v>
      </c>
      <c r="K6253" s="5">
        <v>-96.704369999999997</v>
      </c>
      <c r="L6253" s="5" t="str">
        <f>HYPERLINK("https://maps.google.com/?q=16.38906,-96.704369999999997", "🔗 Ver Mapa")</f>
        <v>🔗 Ver Mapa</v>
      </c>
    </row>
    <row r="6254" spans="1:12" ht="43.5" x14ac:dyDescent="0.35">
      <c r="A6254" s="6" t="s">
        <v>98</v>
      </c>
      <c r="B6254" s="6" t="s">
        <v>99</v>
      </c>
      <c r="C6254" s="6" t="s">
        <v>1190</v>
      </c>
      <c r="D6254" s="6" t="s">
        <v>14</v>
      </c>
      <c r="E6254" s="6" t="s">
        <v>39</v>
      </c>
      <c r="F6254" s="6" t="s">
        <v>353</v>
      </c>
      <c r="G6254" s="6" t="s">
        <v>1188</v>
      </c>
      <c r="H6254" s="6" t="s">
        <v>1191</v>
      </c>
      <c r="I6254" s="6" t="s">
        <v>31</v>
      </c>
      <c r="J6254" s="6">
        <v>16.403421000000002</v>
      </c>
      <c r="K6254" s="6">
        <v>-96.700840999999997</v>
      </c>
      <c r="L6254" s="6" t="str">
        <f>HYPERLINK("https://maps.google.com/?q=16.403421,-96.700840999999997", "🔗 Ver Mapa")</f>
        <v>🔗 Ver Mapa</v>
      </c>
    </row>
    <row r="6255" spans="1:12" ht="43.5" x14ac:dyDescent="0.35">
      <c r="A6255" s="5" t="s">
        <v>98</v>
      </c>
      <c r="B6255" s="5" t="s">
        <v>99</v>
      </c>
      <c r="C6255" s="5" t="s">
        <v>1190</v>
      </c>
      <c r="D6255" s="5" t="s">
        <v>14</v>
      </c>
      <c r="E6255" s="5" t="s">
        <v>39</v>
      </c>
      <c r="F6255" s="5" t="s">
        <v>353</v>
      </c>
      <c r="G6255" s="5" t="s">
        <v>1188</v>
      </c>
      <c r="H6255" s="5" t="s">
        <v>1191</v>
      </c>
      <c r="I6255" s="5" t="s">
        <v>31</v>
      </c>
      <c r="J6255" s="5">
        <v>16.403487999999999</v>
      </c>
      <c r="K6255" s="5">
        <v>-96.700996000000004</v>
      </c>
      <c r="L6255" s="5" t="str">
        <f>HYPERLINK("https://maps.google.com/?q=16.403488,-96.700996000000004", "🔗 Ver Mapa")</f>
        <v>🔗 Ver Mapa</v>
      </c>
    </row>
    <row r="6256" spans="1:12" ht="43.5" x14ac:dyDescent="0.35">
      <c r="A6256" s="6" t="s">
        <v>98</v>
      </c>
      <c r="B6256" s="6" t="s">
        <v>99</v>
      </c>
      <c r="C6256" s="6" t="s">
        <v>1192</v>
      </c>
      <c r="D6256" s="6" t="s">
        <v>14</v>
      </c>
      <c r="E6256" s="6" t="s">
        <v>39</v>
      </c>
      <c r="F6256" s="6" t="s">
        <v>353</v>
      </c>
      <c r="G6256" s="6" t="s">
        <v>1188</v>
      </c>
      <c r="H6256" s="6" t="s">
        <v>1193</v>
      </c>
      <c r="I6256" s="6" t="s">
        <v>31</v>
      </c>
      <c r="J6256" s="6">
        <v>16.379133639081999</v>
      </c>
      <c r="K6256" s="6">
        <v>-96.737401273469999</v>
      </c>
      <c r="L6256" s="6" t="str">
        <f>HYPERLINK("https://maps.google.com/?q=16.3791336390817,-96.737401273469999", "🔗 Ver Mapa")</f>
        <v>🔗 Ver Mapa</v>
      </c>
    </row>
    <row r="6257" spans="1:12" ht="43.5" x14ac:dyDescent="0.35">
      <c r="A6257" s="5" t="s">
        <v>98</v>
      </c>
      <c r="B6257" s="5" t="s">
        <v>99</v>
      </c>
      <c r="C6257" s="5" t="s">
        <v>1192</v>
      </c>
      <c r="D6257" s="5" t="s">
        <v>14</v>
      </c>
      <c r="E6257" s="5" t="s">
        <v>39</v>
      </c>
      <c r="F6257" s="5" t="s">
        <v>353</v>
      </c>
      <c r="G6257" s="5" t="s">
        <v>1188</v>
      </c>
      <c r="H6257" s="5" t="s">
        <v>1193</v>
      </c>
      <c r="I6257" s="5" t="s">
        <v>31</v>
      </c>
      <c r="J6257" s="5">
        <v>16.38047429305</v>
      </c>
      <c r="K6257" s="5">
        <v>-96.735229058859005</v>
      </c>
      <c r="L6257" s="5" t="str">
        <f>HYPERLINK("https://maps.google.com/?q=16.3804742930504,-96.735229058859105", "🔗 Ver Mapa")</f>
        <v>🔗 Ver Mapa</v>
      </c>
    </row>
    <row r="6258" spans="1:12" ht="43.5" x14ac:dyDescent="0.35">
      <c r="A6258" s="6" t="s">
        <v>98</v>
      </c>
      <c r="B6258" s="6" t="s">
        <v>99</v>
      </c>
      <c r="C6258" s="6" t="s">
        <v>1192</v>
      </c>
      <c r="D6258" s="6" t="s">
        <v>14</v>
      </c>
      <c r="E6258" s="6" t="s">
        <v>39</v>
      </c>
      <c r="F6258" s="6" t="s">
        <v>353</v>
      </c>
      <c r="G6258" s="6" t="s">
        <v>1188</v>
      </c>
      <c r="H6258" s="6" t="s">
        <v>1193</v>
      </c>
      <c r="I6258" s="6" t="s">
        <v>31</v>
      </c>
      <c r="J6258" s="6">
        <v>16.381896760737</v>
      </c>
      <c r="K6258" s="6">
        <v>-96.738739695768999</v>
      </c>
      <c r="L6258" s="6" t="str">
        <f>HYPERLINK("https://maps.google.com/?q=16.3818967607371,-96.738739695768601", "🔗 Ver Mapa")</f>
        <v>🔗 Ver Mapa</v>
      </c>
    </row>
    <row r="6259" spans="1:12" ht="43.5" x14ac:dyDescent="0.35">
      <c r="A6259" s="5" t="s">
        <v>98</v>
      </c>
      <c r="B6259" s="5" t="s">
        <v>99</v>
      </c>
      <c r="C6259" s="5" t="s">
        <v>1192</v>
      </c>
      <c r="D6259" s="5" t="s">
        <v>14</v>
      </c>
      <c r="E6259" s="5" t="s">
        <v>39</v>
      </c>
      <c r="F6259" s="5" t="s">
        <v>353</v>
      </c>
      <c r="G6259" s="5" t="s">
        <v>1188</v>
      </c>
      <c r="H6259" s="5" t="s">
        <v>1193</v>
      </c>
      <c r="I6259" s="5" t="s">
        <v>31</v>
      </c>
      <c r="J6259" s="5">
        <v>16.384074201939999</v>
      </c>
      <c r="K6259" s="5">
        <v>-96.729300568121005</v>
      </c>
      <c r="L6259" s="5" t="str">
        <f>HYPERLINK("https://maps.google.com/?q=16.3840742019396,-96.729300568121204", "🔗 Ver Mapa")</f>
        <v>🔗 Ver Mapa</v>
      </c>
    </row>
    <row r="6260" spans="1:12" ht="43.5" x14ac:dyDescent="0.35">
      <c r="A6260" s="6" t="s">
        <v>98</v>
      </c>
      <c r="B6260" s="6" t="s">
        <v>99</v>
      </c>
      <c r="C6260" s="6" t="s">
        <v>1192</v>
      </c>
      <c r="D6260" s="6" t="s">
        <v>14</v>
      </c>
      <c r="E6260" s="6" t="s">
        <v>39</v>
      </c>
      <c r="F6260" s="6" t="s">
        <v>353</v>
      </c>
      <c r="G6260" s="6" t="s">
        <v>1188</v>
      </c>
      <c r="H6260" s="6" t="s">
        <v>1193</v>
      </c>
      <c r="I6260" s="6" t="s">
        <v>31</v>
      </c>
      <c r="J6260" s="6">
        <v>16.384630472175001</v>
      </c>
      <c r="K6260" s="6">
        <v>-96.739390775461004</v>
      </c>
      <c r="L6260" s="6" t="str">
        <f>HYPERLINK("https://maps.google.com/?q=16.3846304721746,-96.739390775461402", "🔗 Ver Mapa")</f>
        <v>🔗 Ver Mapa</v>
      </c>
    </row>
    <row r="6261" spans="1:12" ht="43.5" x14ac:dyDescent="0.35">
      <c r="A6261" s="5" t="s">
        <v>98</v>
      </c>
      <c r="B6261" s="5" t="s">
        <v>99</v>
      </c>
      <c r="C6261" s="5" t="s">
        <v>1192</v>
      </c>
      <c r="D6261" s="5" t="s">
        <v>14</v>
      </c>
      <c r="E6261" s="5" t="s">
        <v>39</v>
      </c>
      <c r="F6261" s="5" t="s">
        <v>353</v>
      </c>
      <c r="G6261" s="5" t="s">
        <v>1188</v>
      </c>
      <c r="H6261" s="5" t="s">
        <v>1193</v>
      </c>
      <c r="I6261" s="5" t="s">
        <v>31</v>
      </c>
      <c r="J6261" s="5">
        <v>16.386016661951</v>
      </c>
      <c r="K6261" s="5">
        <v>-96.730667835649996</v>
      </c>
      <c r="L6261" s="5" t="str">
        <f>HYPERLINK("https://maps.google.com/?q=16.3860166619514,-96.730667835649598", "🔗 Ver Mapa")</f>
        <v>🔗 Ver Mapa</v>
      </c>
    </row>
    <row r="6262" spans="1:12" ht="43.5" x14ac:dyDescent="0.35">
      <c r="A6262" s="6" t="s">
        <v>98</v>
      </c>
      <c r="B6262" s="6" t="s">
        <v>99</v>
      </c>
      <c r="C6262" s="6" t="s">
        <v>1192</v>
      </c>
      <c r="D6262" s="6" t="s">
        <v>14</v>
      </c>
      <c r="E6262" s="6" t="s">
        <v>39</v>
      </c>
      <c r="F6262" s="6" t="s">
        <v>353</v>
      </c>
      <c r="G6262" s="6" t="s">
        <v>1188</v>
      </c>
      <c r="H6262" s="6" t="s">
        <v>1193</v>
      </c>
      <c r="I6262" s="6" t="s">
        <v>31</v>
      </c>
      <c r="J6262" s="6">
        <v>16.388242102199001</v>
      </c>
      <c r="K6262" s="6">
        <v>-96.732888233132996</v>
      </c>
      <c r="L6262" s="6" t="str">
        <f>HYPERLINK("https://maps.google.com/?q=16.3882421021995,-96.732888233133494", "🔗 Ver Mapa")</f>
        <v>🔗 Ver Mapa</v>
      </c>
    </row>
    <row r="6263" spans="1:12" ht="43.5" x14ac:dyDescent="0.35">
      <c r="A6263" s="5" t="s">
        <v>98</v>
      </c>
      <c r="B6263" s="5" t="s">
        <v>99</v>
      </c>
      <c r="C6263" s="5" t="s">
        <v>1192</v>
      </c>
      <c r="D6263" s="5" t="s">
        <v>14</v>
      </c>
      <c r="E6263" s="5" t="s">
        <v>39</v>
      </c>
      <c r="F6263" s="5" t="s">
        <v>353</v>
      </c>
      <c r="G6263" s="5" t="s">
        <v>1188</v>
      </c>
      <c r="H6263" s="5" t="s">
        <v>1193</v>
      </c>
      <c r="I6263" s="5" t="s">
        <v>31</v>
      </c>
      <c r="J6263" s="5">
        <v>16.388815548034</v>
      </c>
      <c r="K6263" s="5">
        <v>-96.730528110449001</v>
      </c>
      <c r="L6263" s="5" t="str">
        <f>HYPERLINK("https://maps.google.com/?q=16.3888155480337,-96.7305281104491", "🔗 Ver Mapa")</f>
        <v>🔗 Ver Mapa</v>
      </c>
    </row>
    <row r="6264" spans="1:12" ht="43.5" x14ac:dyDescent="0.35">
      <c r="A6264" s="6" t="s">
        <v>98</v>
      </c>
      <c r="B6264" s="6" t="s">
        <v>99</v>
      </c>
      <c r="C6264" s="6" t="s">
        <v>1192</v>
      </c>
      <c r="D6264" s="6" t="s">
        <v>14</v>
      </c>
      <c r="E6264" s="6" t="s">
        <v>39</v>
      </c>
      <c r="F6264" s="6" t="s">
        <v>353</v>
      </c>
      <c r="G6264" s="6" t="s">
        <v>1188</v>
      </c>
      <c r="H6264" s="6" t="s">
        <v>1193</v>
      </c>
      <c r="I6264" s="6" t="s">
        <v>31</v>
      </c>
      <c r="J6264" s="6">
        <v>16.391675616371</v>
      </c>
      <c r="K6264" s="6">
        <v>-96.736196169310006</v>
      </c>
      <c r="L6264" s="6" t="str">
        <f>HYPERLINK("https://maps.google.com/?q=16.3916756163707,-96.736196169309906", "🔗 Ver Mapa")</f>
        <v>🔗 Ver Mapa</v>
      </c>
    </row>
    <row r="6265" spans="1:12" ht="43.5" x14ac:dyDescent="0.35">
      <c r="A6265" s="5" t="s">
        <v>98</v>
      </c>
      <c r="B6265" s="5" t="s">
        <v>99</v>
      </c>
      <c r="C6265" s="5" t="s">
        <v>1192</v>
      </c>
      <c r="D6265" s="5" t="s">
        <v>14</v>
      </c>
      <c r="E6265" s="5" t="s">
        <v>39</v>
      </c>
      <c r="F6265" s="5" t="s">
        <v>353</v>
      </c>
      <c r="G6265" s="5" t="s">
        <v>1188</v>
      </c>
      <c r="H6265" s="5" t="s">
        <v>1193</v>
      </c>
      <c r="I6265" s="5" t="s">
        <v>31</v>
      </c>
      <c r="J6265" s="5">
        <v>16.395937160948002</v>
      </c>
      <c r="K6265" s="5">
        <v>-96.734527457037998</v>
      </c>
      <c r="L6265" s="5" t="str">
        <f>HYPERLINK("https://maps.google.com/?q=16.3959371609485,-96.7345274570377", "🔗 Ver Mapa")</f>
        <v>🔗 Ver Mapa</v>
      </c>
    </row>
    <row r="6266" spans="1:12" ht="43.5" x14ac:dyDescent="0.35">
      <c r="A6266" s="6" t="s">
        <v>98</v>
      </c>
      <c r="B6266" s="6" t="s">
        <v>99</v>
      </c>
      <c r="C6266" s="6" t="s">
        <v>1192</v>
      </c>
      <c r="D6266" s="6" t="s">
        <v>14</v>
      </c>
      <c r="E6266" s="6" t="s">
        <v>39</v>
      </c>
      <c r="F6266" s="6" t="s">
        <v>353</v>
      </c>
      <c r="G6266" s="6" t="s">
        <v>1188</v>
      </c>
      <c r="H6266" s="6" t="s">
        <v>1193</v>
      </c>
      <c r="I6266" s="6" t="s">
        <v>31</v>
      </c>
      <c r="J6266" s="6">
        <v>16.397388403276999</v>
      </c>
      <c r="K6266" s="6">
        <v>-96.730509507932993</v>
      </c>
      <c r="L6266" s="6" t="str">
        <f>HYPERLINK("https://maps.google.com/?q=16.3973884032769,-96.730509507932894", "🔗 Ver Mapa")</f>
        <v>🔗 Ver Mapa</v>
      </c>
    </row>
    <row r="6267" spans="1:12" ht="43.5" x14ac:dyDescent="0.35">
      <c r="A6267" s="5" t="s">
        <v>98</v>
      </c>
      <c r="B6267" s="5" t="s">
        <v>99</v>
      </c>
      <c r="C6267" s="5" t="s">
        <v>1192</v>
      </c>
      <c r="D6267" s="5" t="s">
        <v>14</v>
      </c>
      <c r="E6267" s="5" t="s">
        <v>39</v>
      </c>
      <c r="F6267" s="5" t="s">
        <v>353</v>
      </c>
      <c r="G6267" s="5" t="s">
        <v>1188</v>
      </c>
      <c r="H6267" s="5" t="s">
        <v>1193</v>
      </c>
      <c r="I6267" s="5" t="s">
        <v>31</v>
      </c>
      <c r="J6267" s="5">
        <v>16.401677403866</v>
      </c>
      <c r="K6267" s="5">
        <v>-96.733205908317004</v>
      </c>
      <c r="L6267" s="5" t="str">
        <f>HYPERLINK("https://maps.google.com/?q=16.4016774038656,-96.733205908316705", "🔗 Ver Mapa")</f>
        <v>🔗 Ver Mapa</v>
      </c>
    </row>
    <row r="6268" spans="1:12" ht="43.5" x14ac:dyDescent="0.35">
      <c r="A6268" s="6" t="s">
        <v>98</v>
      </c>
      <c r="B6268" s="6" t="s">
        <v>99</v>
      </c>
      <c r="C6268" s="6" t="s">
        <v>1192</v>
      </c>
      <c r="D6268" s="6" t="s">
        <v>14</v>
      </c>
      <c r="E6268" s="6" t="s">
        <v>39</v>
      </c>
      <c r="F6268" s="6" t="s">
        <v>353</v>
      </c>
      <c r="G6268" s="6" t="s">
        <v>1188</v>
      </c>
      <c r="H6268" s="6" t="s">
        <v>1193</v>
      </c>
      <c r="I6268" s="6" t="s">
        <v>31</v>
      </c>
      <c r="J6268" s="6">
        <v>16.402595079308998</v>
      </c>
      <c r="K6268" s="6">
        <v>-96.716999874831998</v>
      </c>
      <c r="L6268" s="6" t="str">
        <f>HYPERLINK("https://maps.google.com/?q=16.4025950793085,-96.716999874832396", "🔗 Ver Mapa")</f>
        <v>🔗 Ver Mapa</v>
      </c>
    </row>
    <row r="6269" spans="1:12" ht="43.5" x14ac:dyDescent="0.35">
      <c r="A6269" s="5" t="s">
        <v>98</v>
      </c>
      <c r="B6269" s="5" t="s">
        <v>99</v>
      </c>
      <c r="C6269" s="5" t="s">
        <v>1192</v>
      </c>
      <c r="D6269" s="5" t="s">
        <v>14</v>
      </c>
      <c r="E6269" s="5" t="s">
        <v>39</v>
      </c>
      <c r="F6269" s="5" t="s">
        <v>353</v>
      </c>
      <c r="G6269" s="5" t="s">
        <v>1188</v>
      </c>
      <c r="H6269" s="5" t="s">
        <v>1193</v>
      </c>
      <c r="I6269" s="5" t="s">
        <v>31</v>
      </c>
      <c r="J6269" s="5">
        <v>16.403545382036</v>
      </c>
      <c r="K6269" s="5">
        <v>-96.734137753301994</v>
      </c>
      <c r="L6269" s="5" t="str">
        <f>HYPERLINK("https://maps.google.com/?q=16.4035453820359,-96.734137753301795", "🔗 Ver Mapa")</f>
        <v>🔗 Ver Mapa</v>
      </c>
    </row>
    <row r="6270" spans="1:12" ht="43.5" x14ac:dyDescent="0.35">
      <c r="A6270" s="6" t="s">
        <v>98</v>
      </c>
      <c r="B6270" s="6" t="s">
        <v>99</v>
      </c>
      <c r="C6270" s="6" t="s">
        <v>1192</v>
      </c>
      <c r="D6270" s="6" t="s">
        <v>14</v>
      </c>
      <c r="E6270" s="6" t="s">
        <v>39</v>
      </c>
      <c r="F6270" s="6" t="s">
        <v>353</v>
      </c>
      <c r="G6270" s="6" t="s">
        <v>1188</v>
      </c>
      <c r="H6270" s="6" t="s">
        <v>1193</v>
      </c>
      <c r="I6270" s="6" t="s">
        <v>31</v>
      </c>
      <c r="J6270" s="6">
        <v>16.404657813755001</v>
      </c>
      <c r="K6270" s="6">
        <v>-96.718520742395995</v>
      </c>
      <c r="L6270" s="6" t="str">
        <f>HYPERLINK("https://maps.google.com/?q=16.4046578137548,-96.718520742395597", "🔗 Ver Mapa")</f>
        <v>🔗 Ver Mapa</v>
      </c>
    </row>
    <row r="6271" spans="1:12" ht="43.5" x14ac:dyDescent="0.35">
      <c r="A6271" s="5" t="s">
        <v>98</v>
      </c>
      <c r="B6271" s="5" t="s">
        <v>99</v>
      </c>
      <c r="C6271" s="5" t="s">
        <v>1192</v>
      </c>
      <c r="D6271" s="5" t="s">
        <v>14</v>
      </c>
      <c r="E6271" s="5" t="s">
        <v>39</v>
      </c>
      <c r="F6271" s="5" t="s">
        <v>353</v>
      </c>
      <c r="G6271" s="5" t="s">
        <v>1188</v>
      </c>
      <c r="H6271" s="5" t="s">
        <v>1193</v>
      </c>
      <c r="I6271" s="5" t="s">
        <v>31</v>
      </c>
      <c r="J6271" s="5">
        <v>16.40475092893</v>
      </c>
      <c r="K6271" s="5">
        <v>-96.709559051650999</v>
      </c>
      <c r="L6271" s="5" t="str">
        <f>HYPERLINK("https://maps.google.com/?q=16.4047509289304,-96.709559051650501", "🔗 Ver Mapa")</f>
        <v>🔗 Ver Mapa</v>
      </c>
    </row>
    <row r="6272" spans="1:12" ht="43.5" x14ac:dyDescent="0.35">
      <c r="A6272" s="6" t="s">
        <v>98</v>
      </c>
      <c r="B6272" s="6" t="s">
        <v>99</v>
      </c>
      <c r="C6272" s="6" t="s">
        <v>1192</v>
      </c>
      <c r="D6272" s="6" t="s">
        <v>14</v>
      </c>
      <c r="E6272" s="6" t="s">
        <v>39</v>
      </c>
      <c r="F6272" s="6" t="s">
        <v>353</v>
      </c>
      <c r="G6272" s="6" t="s">
        <v>1188</v>
      </c>
      <c r="H6272" s="6" t="s">
        <v>1193</v>
      </c>
      <c r="I6272" s="6" t="s">
        <v>31</v>
      </c>
      <c r="J6272" s="6">
        <v>16.405362985703999</v>
      </c>
      <c r="K6272" s="6">
        <v>-96.719486792658003</v>
      </c>
      <c r="L6272" s="6" t="str">
        <f>HYPERLINK("https://maps.google.com/?q=16.4053629857035,-96.719486792658103", "🔗 Ver Mapa")</f>
        <v>🔗 Ver Mapa</v>
      </c>
    </row>
    <row r="6273" spans="1:12" ht="43.5" x14ac:dyDescent="0.35">
      <c r="A6273" s="5" t="s">
        <v>98</v>
      </c>
      <c r="B6273" s="5" t="s">
        <v>99</v>
      </c>
      <c r="C6273" s="5" t="s">
        <v>1192</v>
      </c>
      <c r="D6273" s="5" t="s">
        <v>14</v>
      </c>
      <c r="E6273" s="5" t="s">
        <v>39</v>
      </c>
      <c r="F6273" s="5" t="s">
        <v>353</v>
      </c>
      <c r="G6273" s="5" t="s">
        <v>1188</v>
      </c>
      <c r="H6273" s="5" t="s">
        <v>1193</v>
      </c>
      <c r="I6273" s="5" t="s">
        <v>31</v>
      </c>
      <c r="J6273" s="5">
        <v>16.408840000000001</v>
      </c>
      <c r="K6273" s="5">
        <v>-96.711737999999997</v>
      </c>
      <c r="L6273" s="5" t="str">
        <f>HYPERLINK("https://maps.google.com/?q=16.40884,-96.711737999999997", "🔗 Ver Mapa")</f>
        <v>🔗 Ver Mapa</v>
      </c>
    </row>
    <row r="6274" spans="1:12" ht="43.5" x14ac:dyDescent="0.35">
      <c r="A6274" s="6" t="s">
        <v>98</v>
      </c>
      <c r="B6274" s="6" t="s">
        <v>99</v>
      </c>
      <c r="C6274" s="6" t="s">
        <v>1192</v>
      </c>
      <c r="D6274" s="6" t="s">
        <v>14</v>
      </c>
      <c r="E6274" s="6" t="s">
        <v>39</v>
      </c>
      <c r="F6274" s="6" t="s">
        <v>353</v>
      </c>
      <c r="G6274" s="6" t="s">
        <v>1188</v>
      </c>
      <c r="H6274" s="6" t="s">
        <v>1193</v>
      </c>
      <c r="I6274" s="6" t="s">
        <v>31</v>
      </c>
      <c r="J6274" s="6">
        <v>16.409404844118001</v>
      </c>
      <c r="K6274" s="6">
        <v>-96.705920260602994</v>
      </c>
      <c r="L6274" s="6" t="str">
        <f>HYPERLINK("https://maps.google.com/?q=16.4094048441184,-96.705920260602895", "🔗 Ver Mapa")</f>
        <v>🔗 Ver Mapa</v>
      </c>
    </row>
    <row r="6275" spans="1:12" ht="43.5" x14ac:dyDescent="0.35">
      <c r="A6275" s="5" t="s">
        <v>98</v>
      </c>
      <c r="B6275" s="5" t="s">
        <v>99</v>
      </c>
      <c r="C6275" s="5" t="s">
        <v>1192</v>
      </c>
      <c r="D6275" s="5" t="s">
        <v>14</v>
      </c>
      <c r="E6275" s="5" t="s">
        <v>39</v>
      </c>
      <c r="F6275" s="5" t="s">
        <v>353</v>
      </c>
      <c r="G6275" s="5" t="s">
        <v>1188</v>
      </c>
      <c r="H6275" s="5" t="s">
        <v>1193</v>
      </c>
      <c r="I6275" s="5" t="s">
        <v>31</v>
      </c>
      <c r="J6275" s="5">
        <v>16.409714584942002</v>
      </c>
      <c r="K6275" s="5">
        <v>-96.727166748876996</v>
      </c>
      <c r="L6275" s="5" t="str">
        <f>HYPERLINK("https://maps.google.com/?q=16.4097145849424,-96.727166748876698", "🔗 Ver Mapa")</f>
        <v>🔗 Ver Mapa</v>
      </c>
    </row>
    <row r="6276" spans="1:12" ht="43.5" x14ac:dyDescent="0.35">
      <c r="A6276" s="6" t="s">
        <v>98</v>
      </c>
      <c r="B6276" s="6" t="s">
        <v>99</v>
      </c>
      <c r="C6276" s="6" t="s">
        <v>1192</v>
      </c>
      <c r="D6276" s="6" t="s">
        <v>14</v>
      </c>
      <c r="E6276" s="6" t="s">
        <v>39</v>
      </c>
      <c r="F6276" s="6" t="s">
        <v>353</v>
      </c>
      <c r="G6276" s="6" t="s">
        <v>1188</v>
      </c>
      <c r="H6276" s="6" t="s">
        <v>1193</v>
      </c>
      <c r="I6276" s="6" t="s">
        <v>31</v>
      </c>
      <c r="J6276" s="6">
        <v>16.410411327329001</v>
      </c>
      <c r="K6276" s="6">
        <v>-96.717674998291002</v>
      </c>
      <c r="L6276" s="6" t="str">
        <f>HYPERLINK("https://maps.google.com/?q=16.4104113273286,-96.717674998290505", "🔗 Ver Mapa")</f>
        <v>🔗 Ver Mapa</v>
      </c>
    </row>
    <row r="6277" spans="1:12" ht="43.5" x14ac:dyDescent="0.35">
      <c r="A6277" s="5" t="s">
        <v>98</v>
      </c>
      <c r="B6277" s="5" t="s">
        <v>99</v>
      </c>
      <c r="C6277" s="5" t="s">
        <v>1192</v>
      </c>
      <c r="D6277" s="5" t="s">
        <v>14</v>
      </c>
      <c r="E6277" s="5" t="s">
        <v>39</v>
      </c>
      <c r="F6277" s="5" t="s">
        <v>353</v>
      </c>
      <c r="G6277" s="5" t="s">
        <v>1188</v>
      </c>
      <c r="H6277" s="5" t="s">
        <v>1193</v>
      </c>
      <c r="I6277" s="5" t="s">
        <v>31</v>
      </c>
      <c r="J6277" s="5">
        <v>16.411168295827</v>
      </c>
      <c r="K6277" s="5">
        <v>-96.726537103322002</v>
      </c>
      <c r="L6277" s="5" t="str">
        <f>HYPERLINK("https://maps.google.com/?q=16.4111682958266,-96.7265371033223", "🔗 Ver Mapa")</f>
        <v>🔗 Ver Mapa</v>
      </c>
    </row>
    <row r="6278" spans="1:12" ht="43.5" x14ac:dyDescent="0.35">
      <c r="A6278" s="6" t="s">
        <v>98</v>
      </c>
      <c r="B6278" s="6" t="s">
        <v>99</v>
      </c>
      <c r="C6278" s="6" t="s">
        <v>1192</v>
      </c>
      <c r="D6278" s="6" t="s">
        <v>14</v>
      </c>
      <c r="E6278" s="6" t="s">
        <v>39</v>
      </c>
      <c r="F6278" s="6" t="s">
        <v>353</v>
      </c>
      <c r="G6278" s="6" t="s">
        <v>1188</v>
      </c>
      <c r="H6278" s="6" t="s">
        <v>1193</v>
      </c>
      <c r="I6278" s="6" t="s">
        <v>31</v>
      </c>
      <c r="J6278" s="6">
        <v>16.412174312558001</v>
      </c>
      <c r="K6278" s="6">
        <v>-96.726083809507998</v>
      </c>
      <c r="L6278" s="6" t="str">
        <f>HYPERLINK("https://maps.google.com/?q=16.4121743125583,-96.726083809507799", "🔗 Ver Mapa")</f>
        <v>🔗 Ver Mapa</v>
      </c>
    </row>
    <row r="6279" spans="1:12" ht="43.5" x14ac:dyDescent="0.35">
      <c r="A6279" s="5" t="s">
        <v>98</v>
      </c>
      <c r="B6279" s="5" t="s">
        <v>99</v>
      </c>
      <c r="C6279" s="5" t="s">
        <v>1192</v>
      </c>
      <c r="D6279" s="5" t="s">
        <v>14</v>
      </c>
      <c r="E6279" s="5" t="s">
        <v>39</v>
      </c>
      <c r="F6279" s="5" t="s">
        <v>353</v>
      </c>
      <c r="G6279" s="5" t="s">
        <v>1188</v>
      </c>
      <c r="H6279" s="5" t="s">
        <v>1193</v>
      </c>
      <c r="I6279" s="5" t="s">
        <v>31</v>
      </c>
      <c r="J6279" s="5">
        <v>16.417862768591998</v>
      </c>
      <c r="K6279" s="5">
        <v>-96.724394499965996</v>
      </c>
      <c r="L6279" s="5" t="str">
        <f>HYPERLINK("https://maps.google.com/?q=16.4178627685917,-96.724394499966493", "🔗 Ver Mapa")</f>
        <v>🔗 Ver Mapa</v>
      </c>
    </row>
    <row r="6280" spans="1:12" ht="43.5" x14ac:dyDescent="0.35">
      <c r="A6280" s="6" t="s">
        <v>98</v>
      </c>
      <c r="B6280" s="6" t="s">
        <v>99</v>
      </c>
      <c r="C6280" s="6" t="s">
        <v>1192</v>
      </c>
      <c r="D6280" s="6" t="s">
        <v>14</v>
      </c>
      <c r="E6280" s="6" t="s">
        <v>39</v>
      </c>
      <c r="F6280" s="6" t="s">
        <v>353</v>
      </c>
      <c r="G6280" s="6" t="s">
        <v>1188</v>
      </c>
      <c r="H6280" s="6" t="s">
        <v>1193</v>
      </c>
      <c r="I6280" s="6" t="s">
        <v>31</v>
      </c>
      <c r="J6280" s="6">
        <v>16.418204267339</v>
      </c>
      <c r="K6280" s="6">
        <v>-96.724224609784997</v>
      </c>
      <c r="L6280" s="6" t="str">
        <f>HYPERLINK("https://maps.google.com/?q=16.4182042673391,-96.724224609785296", "🔗 Ver Mapa")</f>
        <v>🔗 Ver Mapa</v>
      </c>
    </row>
    <row r="6281" spans="1:12" ht="43.5" x14ac:dyDescent="0.35">
      <c r="A6281" s="5" t="s">
        <v>98</v>
      </c>
      <c r="B6281" s="5" t="s">
        <v>99</v>
      </c>
      <c r="C6281" s="5" t="s">
        <v>1192</v>
      </c>
      <c r="D6281" s="5" t="s">
        <v>14</v>
      </c>
      <c r="E6281" s="5" t="s">
        <v>39</v>
      </c>
      <c r="F6281" s="5" t="s">
        <v>353</v>
      </c>
      <c r="G6281" s="5" t="s">
        <v>1188</v>
      </c>
      <c r="H6281" s="5" t="s">
        <v>1193</v>
      </c>
      <c r="I6281" s="5" t="s">
        <v>31</v>
      </c>
      <c r="J6281" s="5">
        <v>16.418938216280001</v>
      </c>
      <c r="K6281" s="5">
        <v>-96.723439637433003</v>
      </c>
      <c r="L6281" s="5" t="str">
        <f>HYPERLINK("https://maps.google.com/?q=16.4189382162804,-96.723439637432605", "🔗 Ver Mapa")</f>
        <v>🔗 Ver Mapa</v>
      </c>
    </row>
    <row r="6282" spans="1:12" ht="43.5" x14ac:dyDescent="0.35">
      <c r="A6282" s="6" t="s">
        <v>98</v>
      </c>
      <c r="B6282" s="6" t="s">
        <v>99</v>
      </c>
      <c r="C6282" s="6" t="s">
        <v>1192</v>
      </c>
      <c r="D6282" s="6" t="s">
        <v>14</v>
      </c>
      <c r="E6282" s="6" t="s">
        <v>39</v>
      </c>
      <c r="F6282" s="6" t="s">
        <v>353</v>
      </c>
      <c r="G6282" s="6" t="s">
        <v>1188</v>
      </c>
      <c r="H6282" s="6" t="s">
        <v>1193</v>
      </c>
      <c r="I6282" s="6" t="s">
        <v>31</v>
      </c>
      <c r="J6282" s="6">
        <v>16.419164623482999</v>
      </c>
      <c r="K6282" s="6">
        <v>-96.724308669278003</v>
      </c>
      <c r="L6282" s="6" t="str">
        <f>HYPERLINK("https://maps.google.com/?q=16.4191646234835,-96.724308669278003", "🔗 Ver Mapa")</f>
        <v>🔗 Ver Mapa</v>
      </c>
    </row>
    <row r="6283" spans="1:12" ht="58" x14ac:dyDescent="0.35">
      <c r="A6283" s="5" t="s">
        <v>73</v>
      </c>
      <c r="B6283" s="5" t="s">
        <v>74</v>
      </c>
      <c r="C6283" s="5" t="s">
        <v>1194</v>
      </c>
      <c r="D6283" s="5" t="s">
        <v>76</v>
      </c>
      <c r="E6283" s="5" t="s">
        <v>17</v>
      </c>
      <c r="F6283" s="5" t="s">
        <v>59</v>
      </c>
      <c r="G6283" s="5" t="s">
        <v>1029</v>
      </c>
      <c r="H6283" s="5" t="s">
        <v>1195</v>
      </c>
      <c r="I6283" s="5" t="s">
        <v>31</v>
      </c>
      <c r="J6283" s="5">
        <v>16.416145623481</v>
      </c>
      <c r="K6283" s="5">
        <v>-98.067192055896001</v>
      </c>
      <c r="L6283" s="5" t="str">
        <f>HYPERLINK("https://maps.google.com/?q=16.416145623480695,-98.06719205589621", "🔗 Ver Mapa")</f>
        <v>🔗 Ver Mapa</v>
      </c>
    </row>
    <row r="6284" spans="1:12" ht="43.5" x14ac:dyDescent="0.35">
      <c r="A6284" s="6" t="s">
        <v>98</v>
      </c>
      <c r="B6284" s="6" t="s">
        <v>99</v>
      </c>
      <c r="C6284" s="6" t="s">
        <v>1196</v>
      </c>
      <c r="D6284" s="6" t="s">
        <v>14</v>
      </c>
      <c r="E6284" s="6" t="s">
        <v>140</v>
      </c>
      <c r="F6284" s="6" t="s">
        <v>141</v>
      </c>
      <c r="G6284" s="6" t="s">
        <v>604</v>
      </c>
      <c r="H6284" s="6" t="s">
        <v>1197</v>
      </c>
      <c r="I6284" s="6" t="s">
        <v>31</v>
      </c>
      <c r="J6284" s="6">
        <v>18.050666860467999</v>
      </c>
      <c r="K6284" s="6">
        <v>-96.389041813489996</v>
      </c>
      <c r="L6284" s="6" t="str">
        <f>HYPERLINK("https://maps.google.com/?q=18.0506668604679,-96.389041813490195", "🔗 Ver Mapa")</f>
        <v>🔗 Ver Mapa</v>
      </c>
    </row>
    <row r="6285" spans="1:12" ht="43.5" x14ac:dyDescent="0.35">
      <c r="A6285" s="5" t="s">
        <v>98</v>
      </c>
      <c r="B6285" s="5" t="s">
        <v>99</v>
      </c>
      <c r="C6285" s="5" t="s">
        <v>1196</v>
      </c>
      <c r="D6285" s="5" t="s">
        <v>14</v>
      </c>
      <c r="E6285" s="5" t="s">
        <v>140</v>
      </c>
      <c r="F6285" s="5" t="s">
        <v>141</v>
      </c>
      <c r="G6285" s="5" t="s">
        <v>604</v>
      </c>
      <c r="H6285" s="5" t="s">
        <v>1197</v>
      </c>
      <c r="I6285" s="5" t="s">
        <v>31</v>
      </c>
      <c r="J6285" s="5">
        <v>18.050732</v>
      </c>
      <c r="K6285" s="5">
        <v>-96.389146999999994</v>
      </c>
      <c r="L6285" s="5" t="str">
        <f>HYPERLINK("https://maps.google.com/?q=18.050732,-96.389146999999994", "🔗 Ver Mapa")</f>
        <v>🔗 Ver Mapa</v>
      </c>
    </row>
    <row r="6286" spans="1:12" ht="43.5" x14ac:dyDescent="0.35">
      <c r="A6286" s="6" t="s">
        <v>98</v>
      </c>
      <c r="B6286" s="6" t="s">
        <v>99</v>
      </c>
      <c r="C6286" s="6" t="s">
        <v>1196</v>
      </c>
      <c r="D6286" s="6" t="s">
        <v>14</v>
      </c>
      <c r="E6286" s="6" t="s">
        <v>140</v>
      </c>
      <c r="F6286" s="6" t="s">
        <v>141</v>
      </c>
      <c r="G6286" s="6" t="s">
        <v>604</v>
      </c>
      <c r="H6286" s="6" t="s">
        <v>1197</v>
      </c>
      <c r="I6286" s="6" t="s">
        <v>31</v>
      </c>
      <c r="J6286" s="6">
        <v>18.051516594803999</v>
      </c>
      <c r="K6286" s="6">
        <v>-96.396926343583999</v>
      </c>
      <c r="L6286" s="6" t="str">
        <f>HYPERLINK("https://maps.google.com/?q=18.0515165948038,-96.396926343584198", "🔗 Ver Mapa")</f>
        <v>🔗 Ver Mapa</v>
      </c>
    </row>
    <row r="6287" spans="1:12" ht="43.5" x14ac:dyDescent="0.35">
      <c r="A6287" s="5" t="s">
        <v>98</v>
      </c>
      <c r="B6287" s="5" t="s">
        <v>99</v>
      </c>
      <c r="C6287" s="5" t="s">
        <v>1196</v>
      </c>
      <c r="D6287" s="5" t="s">
        <v>14</v>
      </c>
      <c r="E6287" s="5" t="s">
        <v>140</v>
      </c>
      <c r="F6287" s="5" t="s">
        <v>141</v>
      </c>
      <c r="G6287" s="5" t="s">
        <v>604</v>
      </c>
      <c r="H6287" s="5" t="s">
        <v>1197</v>
      </c>
      <c r="I6287" s="5" t="s">
        <v>31</v>
      </c>
      <c r="J6287" s="5">
        <v>18.051908000000001</v>
      </c>
      <c r="K6287" s="5">
        <v>-96.399816000000001</v>
      </c>
      <c r="L6287" s="5" t="str">
        <f>HYPERLINK("https://maps.google.com/?q=18.051908,-96.399816000000001", "🔗 Ver Mapa")</f>
        <v>🔗 Ver Mapa</v>
      </c>
    </row>
    <row r="6288" spans="1:12" ht="43.5" x14ac:dyDescent="0.35">
      <c r="A6288" s="6" t="s">
        <v>98</v>
      </c>
      <c r="B6288" s="6" t="s">
        <v>99</v>
      </c>
      <c r="C6288" s="6" t="s">
        <v>1196</v>
      </c>
      <c r="D6288" s="6" t="s">
        <v>14</v>
      </c>
      <c r="E6288" s="6" t="s">
        <v>140</v>
      </c>
      <c r="F6288" s="6" t="s">
        <v>141</v>
      </c>
      <c r="G6288" s="6" t="s">
        <v>604</v>
      </c>
      <c r="H6288" s="6" t="s">
        <v>1197</v>
      </c>
      <c r="I6288" s="6" t="s">
        <v>31</v>
      </c>
      <c r="J6288" s="6">
        <v>18.054443803771999</v>
      </c>
      <c r="K6288" s="6">
        <v>-96.393058813490001</v>
      </c>
      <c r="L6288" s="6" t="str">
        <f>HYPERLINK("https://maps.google.com/?q=18.0544438037724,-96.3930588134902", "🔗 Ver Mapa")</f>
        <v>🔗 Ver Mapa</v>
      </c>
    </row>
    <row r="6289" spans="1:12" ht="43.5" x14ac:dyDescent="0.35">
      <c r="A6289" s="5" t="s">
        <v>98</v>
      </c>
      <c r="B6289" s="5" t="s">
        <v>99</v>
      </c>
      <c r="C6289" s="5" t="s">
        <v>1196</v>
      </c>
      <c r="D6289" s="5" t="s">
        <v>14</v>
      </c>
      <c r="E6289" s="5" t="s">
        <v>140</v>
      </c>
      <c r="F6289" s="5" t="s">
        <v>141</v>
      </c>
      <c r="G6289" s="5" t="s">
        <v>604</v>
      </c>
      <c r="H6289" s="5" t="s">
        <v>1197</v>
      </c>
      <c r="I6289" s="5" t="s">
        <v>31</v>
      </c>
      <c r="J6289" s="5">
        <v>18.054841091086001</v>
      </c>
      <c r="K6289" s="5">
        <v>-96.388967840296004</v>
      </c>
      <c r="L6289" s="5" t="str">
        <f>HYPERLINK("https://maps.google.com/?q=18.0548410910858,-96.388967840295507", "🔗 Ver Mapa")</f>
        <v>🔗 Ver Mapa</v>
      </c>
    </row>
    <row r="6290" spans="1:12" ht="43.5" x14ac:dyDescent="0.35">
      <c r="A6290" s="6" t="s">
        <v>98</v>
      </c>
      <c r="B6290" s="6" t="s">
        <v>99</v>
      </c>
      <c r="C6290" s="6" t="s">
        <v>1196</v>
      </c>
      <c r="D6290" s="6" t="s">
        <v>14</v>
      </c>
      <c r="E6290" s="6" t="s">
        <v>140</v>
      </c>
      <c r="F6290" s="6" t="s">
        <v>141</v>
      </c>
      <c r="G6290" s="6" t="s">
        <v>604</v>
      </c>
      <c r="H6290" s="6" t="s">
        <v>1197</v>
      </c>
      <c r="I6290" s="6" t="s">
        <v>31</v>
      </c>
      <c r="J6290" s="6">
        <v>18.054898999999999</v>
      </c>
      <c r="K6290" s="6">
        <v>-96.389026999999999</v>
      </c>
      <c r="L6290" s="6" t="str">
        <f>HYPERLINK("https://maps.google.com/?q=18.054899,-96.389026999999999", "🔗 Ver Mapa")</f>
        <v>🔗 Ver Mapa</v>
      </c>
    </row>
    <row r="6291" spans="1:12" ht="43.5" x14ac:dyDescent="0.35">
      <c r="A6291" s="5" t="s">
        <v>98</v>
      </c>
      <c r="B6291" s="5" t="s">
        <v>99</v>
      </c>
      <c r="C6291" s="5" t="s">
        <v>1196</v>
      </c>
      <c r="D6291" s="5" t="s">
        <v>14</v>
      </c>
      <c r="E6291" s="5" t="s">
        <v>140</v>
      </c>
      <c r="F6291" s="5" t="s">
        <v>141</v>
      </c>
      <c r="G6291" s="5" t="s">
        <v>604</v>
      </c>
      <c r="H6291" s="5" t="s">
        <v>1197</v>
      </c>
      <c r="I6291" s="5" t="s">
        <v>31</v>
      </c>
      <c r="J6291" s="5">
        <v>18.054952</v>
      </c>
      <c r="K6291" s="5">
        <v>-96.390045999999998</v>
      </c>
      <c r="L6291" s="5" t="str">
        <f>HYPERLINK("https://maps.google.com/?q=18.054952,-96.390045999999998", "🔗 Ver Mapa")</f>
        <v>🔗 Ver Mapa</v>
      </c>
    </row>
    <row r="6292" spans="1:12" ht="43.5" x14ac:dyDescent="0.35">
      <c r="A6292" s="6" t="s">
        <v>98</v>
      </c>
      <c r="B6292" s="6" t="s">
        <v>99</v>
      </c>
      <c r="C6292" s="6" t="s">
        <v>1196</v>
      </c>
      <c r="D6292" s="6" t="s">
        <v>14</v>
      </c>
      <c r="E6292" s="6" t="s">
        <v>140</v>
      </c>
      <c r="F6292" s="6" t="s">
        <v>141</v>
      </c>
      <c r="G6292" s="6" t="s">
        <v>604</v>
      </c>
      <c r="H6292" s="6" t="s">
        <v>1197</v>
      </c>
      <c r="I6292" s="6" t="s">
        <v>31</v>
      </c>
      <c r="J6292" s="6">
        <v>18.055105578564</v>
      </c>
      <c r="K6292" s="6">
        <v>-96.389299915343003</v>
      </c>
      <c r="L6292" s="6" t="str">
        <f>HYPERLINK("https://maps.google.com/?q=18.0551055785641,-96.389299915342505", "🔗 Ver Mapa")</f>
        <v>🔗 Ver Mapa</v>
      </c>
    </row>
    <row r="6293" spans="1:12" ht="43.5" x14ac:dyDescent="0.35">
      <c r="A6293" s="5" t="s">
        <v>98</v>
      </c>
      <c r="B6293" s="5" t="s">
        <v>99</v>
      </c>
      <c r="C6293" s="5" t="s">
        <v>1196</v>
      </c>
      <c r="D6293" s="5" t="s">
        <v>14</v>
      </c>
      <c r="E6293" s="5" t="s">
        <v>140</v>
      </c>
      <c r="F6293" s="5" t="s">
        <v>141</v>
      </c>
      <c r="G6293" s="5" t="s">
        <v>604</v>
      </c>
      <c r="H6293" s="5" t="s">
        <v>1197</v>
      </c>
      <c r="I6293" s="5" t="s">
        <v>31</v>
      </c>
      <c r="J6293" s="5">
        <v>18.055134299999999</v>
      </c>
      <c r="K6293" s="5">
        <v>-96.389044200000001</v>
      </c>
      <c r="L6293" s="5" t="str">
        <f>HYPERLINK("https://maps.google.com/?q=18.0551343,-96.389044200000001", "🔗 Ver Mapa")</f>
        <v>🔗 Ver Mapa</v>
      </c>
    </row>
    <row r="6294" spans="1:12" ht="43.5" x14ac:dyDescent="0.35">
      <c r="A6294" s="6" t="s">
        <v>98</v>
      </c>
      <c r="B6294" s="6" t="s">
        <v>99</v>
      </c>
      <c r="C6294" s="6" t="s">
        <v>1196</v>
      </c>
      <c r="D6294" s="6" t="s">
        <v>14</v>
      </c>
      <c r="E6294" s="6" t="s">
        <v>140</v>
      </c>
      <c r="F6294" s="6" t="s">
        <v>141</v>
      </c>
      <c r="G6294" s="6" t="s">
        <v>604</v>
      </c>
      <c r="H6294" s="6" t="s">
        <v>1197</v>
      </c>
      <c r="I6294" s="6" t="s">
        <v>31</v>
      </c>
      <c r="J6294" s="6">
        <v>18.055263740000001</v>
      </c>
      <c r="K6294" s="6">
        <v>-96.390347349999999</v>
      </c>
      <c r="L6294" s="6" t="str">
        <f>HYPERLINK("https://maps.google.com/?q=18.05526374,-96.390347349999999", "🔗 Ver Mapa")</f>
        <v>🔗 Ver Mapa</v>
      </c>
    </row>
    <row r="6295" spans="1:12" ht="43.5" x14ac:dyDescent="0.35">
      <c r="A6295" s="5" t="s">
        <v>98</v>
      </c>
      <c r="B6295" s="5" t="s">
        <v>99</v>
      </c>
      <c r="C6295" s="5" t="s">
        <v>1196</v>
      </c>
      <c r="D6295" s="5" t="s">
        <v>14</v>
      </c>
      <c r="E6295" s="5" t="s">
        <v>140</v>
      </c>
      <c r="F6295" s="5" t="s">
        <v>141</v>
      </c>
      <c r="G6295" s="5" t="s">
        <v>604</v>
      </c>
      <c r="H6295" s="5" t="s">
        <v>1197</v>
      </c>
      <c r="I6295" s="5" t="s">
        <v>31</v>
      </c>
      <c r="J6295" s="5">
        <v>18.055399000000001</v>
      </c>
      <c r="K6295" s="5">
        <v>-96.393370000000004</v>
      </c>
      <c r="L6295" s="5" t="str">
        <f>HYPERLINK("https://maps.google.com/?q=18.055399,-96.393370000000004", "🔗 Ver Mapa")</f>
        <v>🔗 Ver Mapa</v>
      </c>
    </row>
    <row r="6296" spans="1:12" ht="43.5" x14ac:dyDescent="0.35">
      <c r="A6296" s="6" t="s">
        <v>98</v>
      </c>
      <c r="B6296" s="6" t="s">
        <v>99</v>
      </c>
      <c r="C6296" s="6" t="s">
        <v>1196</v>
      </c>
      <c r="D6296" s="6" t="s">
        <v>14</v>
      </c>
      <c r="E6296" s="6" t="s">
        <v>140</v>
      </c>
      <c r="F6296" s="6" t="s">
        <v>141</v>
      </c>
      <c r="G6296" s="6" t="s">
        <v>604</v>
      </c>
      <c r="H6296" s="6" t="s">
        <v>1197</v>
      </c>
      <c r="I6296" s="6" t="s">
        <v>31</v>
      </c>
      <c r="J6296" s="6">
        <v>18.055816</v>
      </c>
      <c r="K6296" s="6">
        <v>-96.400910999999994</v>
      </c>
      <c r="L6296" s="6" t="str">
        <f>HYPERLINK("https://maps.google.com/?q=18.055816,-96.400910999999994", "🔗 Ver Mapa")</f>
        <v>🔗 Ver Mapa</v>
      </c>
    </row>
    <row r="6297" spans="1:12" ht="43.5" x14ac:dyDescent="0.35">
      <c r="A6297" s="5" t="s">
        <v>98</v>
      </c>
      <c r="B6297" s="5" t="s">
        <v>99</v>
      </c>
      <c r="C6297" s="5" t="s">
        <v>1196</v>
      </c>
      <c r="D6297" s="5" t="s">
        <v>14</v>
      </c>
      <c r="E6297" s="5" t="s">
        <v>140</v>
      </c>
      <c r="F6297" s="5" t="s">
        <v>141</v>
      </c>
      <c r="G6297" s="5" t="s">
        <v>604</v>
      </c>
      <c r="H6297" s="5" t="s">
        <v>1197</v>
      </c>
      <c r="I6297" s="5" t="s">
        <v>31</v>
      </c>
      <c r="J6297" s="5">
        <v>18.055855959035998</v>
      </c>
      <c r="K6297" s="5">
        <v>-96.395560227017</v>
      </c>
      <c r="L6297" s="5" t="str">
        <f>HYPERLINK("https://maps.google.com/?q=18.055855959036,-96.395560227016603", "🔗 Ver Mapa")</f>
        <v>🔗 Ver Mapa</v>
      </c>
    </row>
    <row r="6298" spans="1:12" ht="43.5" x14ac:dyDescent="0.35">
      <c r="A6298" s="6" t="s">
        <v>98</v>
      </c>
      <c r="B6298" s="6" t="s">
        <v>99</v>
      </c>
      <c r="C6298" s="6" t="s">
        <v>1196</v>
      </c>
      <c r="D6298" s="6" t="s">
        <v>14</v>
      </c>
      <c r="E6298" s="6" t="s">
        <v>140</v>
      </c>
      <c r="F6298" s="6" t="s">
        <v>141</v>
      </c>
      <c r="G6298" s="6" t="s">
        <v>604</v>
      </c>
      <c r="H6298" s="6" t="s">
        <v>1197</v>
      </c>
      <c r="I6298" s="6" t="s">
        <v>31</v>
      </c>
      <c r="J6298" s="6">
        <v>18.056150801906</v>
      </c>
      <c r="K6298" s="6">
        <v>-96.395212868716001</v>
      </c>
      <c r="L6298" s="6" t="str">
        <f>HYPERLINK("https://maps.google.com/?q=18.056150801906,-96.395212868715504", "🔗 Ver Mapa")</f>
        <v>🔗 Ver Mapa</v>
      </c>
    </row>
    <row r="6299" spans="1:12" ht="43.5" x14ac:dyDescent="0.35">
      <c r="A6299" s="5" t="s">
        <v>98</v>
      </c>
      <c r="B6299" s="5" t="s">
        <v>99</v>
      </c>
      <c r="C6299" s="5" t="s">
        <v>1196</v>
      </c>
      <c r="D6299" s="5" t="s">
        <v>14</v>
      </c>
      <c r="E6299" s="5" t="s">
        <v>140</v>
      </c>
      <c r="F6299" s="5" t="s">
        <v>141</v>
      </c>
      <c r="G6299" s="5" t="s">
        <v>604</v>
      </c>
      <c r="H6299" s="5" t="s">
        <v>1197</v>
      </c>
      <c r="I6299" s="5" t="s">
        <v>31</v>
      </c>
      <c r="J6299" s="5">
        <v>18.056224772781999</v>
      </c>
      <c r="K6299" s="5">
        <v>-96.400496396083</v>
      </c>
      <c r="L6299" s="5" t="str">
        <f>HYPERLINK("https://maps.google.com/?q=18.0562247727817,-96.400496396082502", "🔗 Ver Mapa")</f>
        <v>🔗 Ver Mapa</v>
      </c>
    </row>
    <row r="6300" spans="1:12" ht="43.5" x14ac:dyDescent="0.35">
      <c r="A6300" s="6" t="s">
        <v>98</v>
      </c>
      <c r="B6300" s="6" t="s">
        <v>99</v>
      </c>
      <c r="C6300" s="6" t="s">
        <v>1196</v>
      </c>
      <c r="D6300" s="6" t="s">
        <v>14</v>
      </c>
      <c r="E6300" s="6" t="s">
        <v>140</v>
      </c>
      <c r="F6300" s="6" t="s">
        <v>141</v>
      </c>
      <c r="G6300" s="6" t="s">
        <v>604</v>
      </c>
      <c r="H6300" s="6" t="s">
        <v>1197</v>
      </c>
      <c r="I6300" s="6" t="s">
        <v>31</v>
      </c>
      <c r="J6300" s="6">
        <v>18.056647000000002</v>
      </c>
      <c r="K6300" s="6">
        <v>-96.392044999999996</v>
      </c>
      <c r="L6300" s="6" t="str">
        <f>HYPERLINK("https://maps.google.com/?q=18.056647,-96.392044999999996", "🔗 Ver Mapa")</f>
        <v>🔗 Ver Mapa</v>
      </c>
    </row>
    <row r="6301" spans="1:12" ht="43.5" x14ac:dyDescent="0.35">
      <c r="A6301" s="5" t="s">
        <v>98</v>
      </c>
      <c r="B6301" s="5" t="s">
        <v>99</v>
      </c>
      <c r="C6301" s="5" t="s">
        <v>1196</v>
      </c>
      <c r="D6301" s="5" t="s">
        <v>14</v>
      </c>
      <c r="E6301" s="5" t="s">
        <v>140</v>
      </c>
      <c r="F6301" s="5" t="s">
        <v>141</v>
      </c>
      <c r="G6301" s="5" t="s">
        <v>604</v>
      </c>
      <c r="H6301" s="5" t="s">
        <v>1197</v>
      </c>
      <c r="I6301" s="5" t="s">
        <v>31</v>
      </c>
      <c r="J6301" s="5">
        <v>18.056891</v>
      </c>
      <c r="K6301" s="5">
        <v>-96.392775</v>
      </c>
      <c r="L6301" s="5" t="str">
        <f>HYPERLINK("https://maps.google.com/?q=18.056891,-96.392775", "🔗 Ver Mapa")</f>
        <v>🔗 Ver Mapa</v>
      </c>
    </row>
    <row r="6302" spans="1:12" ht="43.5" x14ac:dyDescent="0.35">
      <c r="A6302" s="6" t="s">
        <v>98</v>
      </c>
      <c r="B6302" s="6" t="s">
        <v>99</v>
      </c>
      <c r="C6302" s="6" t="s">
        <v>1196</v>
      </c>
      <c r="D6302" s="6" t="s">
        <v>14</v>
      </c>
      <c r="E6302" s="6" t="s">
        <v>140</v>
      </c>
      <c r="F6302" s="6" t="s">
        <v>141</v>
      </c>
      <c r="G6302" s="6" t="s">
        <v>604</v>
      </c>
      <c r="H6302" s="6" t="s">
        <v>1197</v>
      </c>
      <c r="I6302" s="6" t="s">
        <v>31</v>
      </c>
      <c r="J6302" s="6">
        <v>18.057043842028001</v>
      </c>
      <c r="K6302" s="6">
        <v>-96.397380324701004</v>
      </c>
      <c r="L6302" s="6" t="str">
        <f>HYPERLINK("https://maps.google.com/?q=18.0570438420275,-96.397380324700507", "🔗 Ver Mapa")</f>
        <v>🔗 Ver Mapa</v>
      </c>
    </row>
    <row r="6303" spans="1:12" ht="43.5" x14ac:dyDescent="0.35">
      <c r="A6303" s="5" t="s">
        <v>98</v>
      </c>
      <c r="B6303" s="5" t="s">
        <v>99</v>
      </c>
      <c r="C6303" s="5" t="s">
        <v>1196</v>
      </c>
      <c r="D6303" s="5" t="s">
        <v>14</v>
      </c>
      <c r="E6303" s="5" t="s">
        <v>140</v>
      </c>
      <c r="F6303" s="5" t="s">
        <v>141</v>
      </c>
      <c r="G6303" s="5" t="s">
        <v>604</v>
      </c>
      <c r="H6303" s="5" t="s">
        <v>1197</v>
      </c>
      <c r="I6303" s="5" t="s">
        <v>31</v>
      </c>
      <c r="J6303" s="5">
        <v>18.057118159906999</v>
      </c>
      <c r="K6303" s="5">
        <v>-96.391189609785002</v>
      </c>
      <c r="L6303" s="5" t="str">
        <f>HYPERLINK("https://maps.google.com/?q=18.0571181599075,-96.3911896097853", "🔗 Ver Mapa")</f>
        <v>🔗 Ver Mapa</v>
      </c>
    </row>
    <row r="6304" spans="1:12" ht="43.5" x14ac:dyDescent="0.35">
      <c r="A6304" s="6" t="s">
        <v>98</v>
      </c>
      <c r="B6304" s="6" t="s">
        <v>99</v>
      </c>
      <c r="C6304" s="6" t="s">
        <v>1196</v>
      </c>
      <c r="D6304" s="6" t="s">
        <v>14</v>
      </c>
      <c r="E6304" s="6" t="s">
        <v>140</v>
      </c>
      <c r="F6304" s="6" t="s">
        <v>141</v>
      </c>
      <c r="G6304" s="6" t="s">
        <v>604</v>
      </c>
      <c r="H6304" s="6" t="s">
        <v>1197</v>
      </c>
      <c r="I6304" s="6" t="s">
        <v>31</v>
      </c>
      <c r="J6304" s="6">
        <v>18.057155882995001</v>
      </c>
      <c r="K6304" s="6">
        <v>-96.395836493252006</v>
      </c>
      <c r="L6304" s="6" t="str">
        <f>HYPERLINK("https://maps.google.com/?q=18.0571558829953,-96.395836493252403", "🔗 Ver Mapa")</f>
        <v>🔗 Ver Mapa</v>
      </c>
    </row>
    <row r="6305" spans="1:12" ht="43.5" x14ac:dyDescent="0.35">
      <c r="A6305" s="5" t="s">
        <v>98</v>
      </c>
      <c r="B6305" s="5" t="s">
        <v>99</v>
      </c>
      <c r="C6305" s="5" t="s">
        <v>1196</v>
      </c>
      <c r="D6305" s="5" t="s">
        <v>14</v>
      </c>
      <c r="E6305" s="5" t="s">
        <v>140</v>
      </c>
      <c r="F6305" s="5" t="s">
        <v>141</v>
      </c>
      <c r="G6305" s="5" t="s">
        <v>604</v>
      </c>
      <c r="H6305" s="5" t="s">
        <v>1197</v>
      </c>
      <c r="I6305" s="5" t="s">
        <v>31</v>
      </c>
      <c r="J6305" s="5">
        <v>18.057293999999999</v>
      </c>
      <c r="K6305" s="5">
        <v>-96.395148000000006</v>
      </c>
      <c r="L6305" s="5" t="str">
        <f>HYPERLINK("https://maps.google.com/?q=18.057294,-96.395148000000006", "🔗 Ver Mapa")</f>
        <v>🔗 Ver Mapa</v>
      </c>
    </row>
    <row r="6306" spans="1:12" ht="43.5" x14ac:dyDescent="0.35">
      <c r="A6306" s="6" t="s">
        <v>98</v>
      </c>
      <c r="B6306" s="6" t="s">
        <v>99</v>
      </c>
      <c r="C6306" s="6" t="s">
        <v>1196</v>
      </c>
      <c r="D6306" s="6" t="s">
        <v>14</v>
      </c>
      <c r="E6306" s="6" t="s">
        <v>140</v>
      </c>
      <c r="F6306" s="6" t="s">
        <v>141</v>
      </c>
      <c r="G6306" s="6" t="s">
        <v>604</v>
      </c>
      <c r="H6306" s="6" t="s">
        <v>1197</v>
      </c>
      <c r="I6306" s="6" t="s">
        <v>31</v>
      </c>
      <c r="J6306" s="6">
        <v>18.057332882322001</v>
      </c>
      <c r="K6306" s="6">
        <v>-96.395708659438</v>
      </c>
      <c r="L6306" s="6" t="str">
        <f>HYPERLINK("https://maps.google.com/?q=18.0573328823219,-96.395708659437901", "🔗 Ver Mapa")</f>
        <v>🔗 Ver Mapa</v>
      </c>
    </row>
    <row r="6307" spans="1:12" ht="43.5" x14ac:dyDescent="0.35">
      <c r="A6307" s="5" t="s">
        <v>98</v>
      </c>
      <c r="B6307" s="5" t="s">
        <v>99</v>
      </c>
      <c r="C6307" s="5" t="s">
        <v>1196</v>
      </c>
      <c r="D6307" s="5" t="s">
        <v>14</v>
      </c>
      <c r="E6307" s="5" t="s">
        <v>140</v>
      </c>
      <c r="F6307" s="5" t="s">
        <v>141</v>
      </c>
      <c r="G6307" s="5" t="s">
        <v>604</v>
      </c>
      <c r="H6307" s="5" t="s">
        <v>1197</v>
      </c>
      <c r="I6307" s="5" t="s">
        <v>31</v>
      </c>
      <c r="J6307" s="5">
        <v>18.057444</v>
      </c>
      <c r="K6307" s="5">
        <v>-96.397126</v>
      </c>
      <c r="L6307" s="5" t="str">
        <f>HYPERLINK("https://maps.google.com/?q=18.057444,-96.397126", "🔗 Ver Mapa")</f>
        <v>🔗 Ver Mapa</v>
      </c>
    </row>
    <row r="6308" spans="1:12" ht="43.5" x14ac:dyDescent="0.35">
      <c r="A6308" s="6" t="s">
        <v>98</v>
      </c>
      <c r="B6308" s="6" t="s">
        <v>99</v>
      </c>
      <c r="C6308" s="6" t="s">
        <v>1196</v>
      </c>
      <c r="D6308" s="6" t="s">
        <v>14</v>
      </c>
      <c r="E6308" s="6" t="s">
        <v>140</v>
      </c>
      <c r="F6308" s="6" t="s">
        <v>141</v>
      </c>
      <c r="G6308" s="6" t="s">
        <v>604</v>
      </c>
      <c r="H6308" s="6" t="s">
        <v>1197</v>
      </c>
      <c r="I6308" s="6" t="s">
        <v>31</v>
      </c>
      <c r="J6308" s="6">
        <v>18.057462999999998</v>
      </c>
      <c r="K6308" s="6">
        <v>-96.399349000000001</v>
      </c>
      <c r="L6308" s="6" t="str">
        <f>HYPERLINK("https://maps.google.com/?q=18.057463,-96.399349000000001", "🔗 Ver Mapa")</f>
        <v>🔗 Ver Mapa</v>
      </c>
    </row>
    <row r="6309" spans="1:12" ht="43.5" x14ac:dyDescent="0.35">
      <c r="A6309" s="5" t="s">
        <v>98</v>
      </c>
      <c r="B6309" s="5" t="s">
        <v>99</v>
      </c>
      <c r="C6309" s="5" t="s">
        <v>1196</v>
      </c>
      <c r="D6309" s="5" t="s">
        <v>14</v>
      </c>
      <c r="E6309" s="5" t="s">
        <v>140</v>
      </c>
      <c r="F6309" s="5" t="s">
        <v>141</v>
      </c>
      <c r="G6309" s="5" t="s">
        <v>604</v>
      </c>
      <c r="H6309" s="5" t="s">
        <v>1197</v>
      </c>
      <c r="I6309" s="5" t="s">
        <v>31</v>
      </c>
      <c r="J6309" s="5">
        <v>18.057466999999999</v>
      </c>
      <c r="K6309" s="5">
        <v>-96.388126999999997</v>
      </c>
      <c r="L6309" s="5" t="str">
        <f>HYPERLINK("https://maps.google.com/?q=18.057467,-96.388126999999997", "🔗 Ver Mapa")</f>
        <v>🔗 Ver Mapa</v>
      </c>
    </row>
    <row r="6310" spans="1:12" ht="43.5" x14ac:dyDescent="0.35">
      <c r="A6310" s="6" t="s">
        <v>98</v>
      </c>
      <c r="B6310" s="6" t="s">
        <v>99</v>
      </c>
      <c r="C6310" s="6" t="s">
        <v>1196</v>
      </c>
      <c r="D6310" s="6" t="s">
        <v>14</v>
      </c>
      <c r="E6310" s="6" t="s">
        <v>140</v>
      </c>
      <c r="F6310" s="6" t="s">
        <v>141</v>
      </c>
      <c r="G6310" s="6" t="s">
        <v>604</v>
      </c>
      <c r="H6310" s="6" t="s">
        <v>1197</v>
      </c>
      <c r="I6310" s="6" t="s">
        <v>31</v>
      </c>
      <c r="J6310" s="6">
        <v>18.057669000000001</v>
      </c>
      <c r="K6310" s="6">
        <v>-96.405906000000002</v>
      </c>
      <c r="L6310" s="6" t="str">
        <f>HYPERLINK("https://maps.google.com/?q=18.057669,-96.405906000000002", "🔗 Ver Mapa")</f>
        <v>🔗 Ver Mapa</v>
      </c>
    </row>
    <row r="6311" spans="1:12" ht="43.5" x14ac:dyDescent="0.35">
      <c r="A6311" s="5" t="s">
        <v>98</v>
      </c>
      <c r="B6311" s="5" t="s">
        <v>99</v>
      </c>
      <c r="C6311" s="5" t="s">
        <v>1196</v>
      </c>
      <c r="D6311" s="5" t="s">
        <v>14</v>
      </c>
      <c r="E6311" s="5" t="s">
        <v>140</v>
      </c>
      <c r="F6311" s="5" t="s">
        <v>141</v>
      </c>
      <c r="G6311" s="5" t="s">
        <v>604</v>
      </c>
      <c r="H6311" s="5" t="s">
        <v>1197</v>
      </c>
      <c r="I6311" s="5" t="s">
        <v>31</v>
      </c>
      <c r="J6311" s="5">
        <v>18.057722890346</v>
      </c>
      <c r="K6311" s="5">
        <v>-96.405357855559004</v>
      </c>
      <c r="L6311" s="5" t="str">
        <f>HYPERLINK("https://maps.google.com/?q=18.0577228903457,-96.405357855559402", "🔗 Ver Mapa")</f>
        <v>🔗 Ver Mapa</v>
      </c>
    </row>
    <row r="6312" spans="1:12" ht="43.5" x14ac:dyDescent="0.35">
      <c r="A6312" s="6" t="s">
        <v>98</v>
      </c>
      <c r="B6312" s="6" t="s">
        <v>99</v>
      </c>
      <c r="C6312" s="6" t="s">
        <v>1196</v>
      </c>
      <c r="D6312" s="6" t="s">
        <v>14</v>
      </c>
      <c r="E6312" s="6" t="s">
        <v>140</v>
      </c>
      <c r="F6312" s="6" t="s">
        <v>141</v>
      </c>
      <c r="G6312" s="6" t="s">
        <v>604</v>
      </c>
      <c r="H6312" s="6" t="s">
        <v>1197</v>
      </c>
      <c r="I6312" s="6" t="s">
        <v>31</v>
      </c>
      <c r="J6312" s="6">
        <v>18.057908999999999</v>
      </c>
      <c r="K6312" s="6">
        <v>-96.393235000000004</v>
      </c>
      <c r="L6312" s="6" t="str">
        <f>HYPERLINK("https://maps.google.com/?q=18.057909,-96.393235000000004", "🔗 Ver Mapa")</f>
        <v>🔗 Ver Mapa</v>
      </c>
    </row>
    <row r="6313" spans="1:12" ht="43.5" x14ac:dyDescent="0.35">
      <c r="A6313" s="5" t="s">
        <v>98</v>
      </c>
      <c r="B6313" s="5" t="s">
        <v>99</v>
      </c>
      <c r="C6313" s="5" t="s">
        <v>1196</v>
      </c>
      <c r="D6313" s="5" t="s">
        <v>14</v>
      </c>
      <c r="E6313" s="5" t="s">
        <v>140</v>
      </c>
      <c r="F6313" s="5" t="s">
        <v>141</v>
      </c>
      <c r="G6313" s="5" t="s">
        <v>604</v>
      </c>
      <c r="H6313" s="5" t="s">
        <v>1197</v>
      </c>
      <c r="I6313" s="5" t="s">
        <v>31</v>
      </c>
      <c r="J6313" s="5">
        <v>18.058054104503</v>
      </c>
      <c r="K6313" s="5">
        <v>-96.392250953296994</v>
      </c>
      <c r="L6313" s="5" t="str">
        <f>HYPERLINK("https://maps.google.com/?q=18.0580541045033,-96.392250953297193", "🔗 Ver Mapa")</f>
        <v>🔗 Ver Mapa</v>
      </c>
    </row>
    <row r="6314" spans="1:12" ht="43.5" x14ac:dyDescent="0.35">
      <c r="A6314" s="6" t="s">
        <v>98</v>
      </c>
      <c r="B6314" s="6" t="s">
        <v>99</v>
      </c>
      <c r="C6314" s="6" t="s">
        <v>1196</v>
      </c>
      <c r="D6314" s="6" t="s">
        <v>14</v>
      </c>
      <c r="E6314" s="6" t="s">
        <v>140</v>
      </c>
      <c r="F6314" s="6" t="s">
        <v>141</v>
      </c>
      <c r="G6314" s="6" t="s">
        <v>604</v>
      </c>
      <c r="H6314" s="6" t="s">
        <v>1197</v>
      </c>
      <c r="I6314" s="6" t="s">
        <v>31</v>
      </c>
      <c r="J6314" s="6">
        <v>18.058062302301</v>
      </c>
      <c r="K6314" s="6">
        <v>-96.393717106539</v>
      </c>
      <c r="L6314" s="6" t="str">
        <f>HYPERLINK("https://maps.google.com/?q=18.0580623023006,-96.393717106538801", "🔗 Ver Mapa")</f>
        <v>🔗 Ver Mapa</v>
      </c>
    </row>
    <row r="6315" spans="1:12" ht="43.5" x14ac:dyDescent="0.35">
      <c r="A6315" s="5" t="s">
        <v>98</v>
      </c>
      <c r="B6315" s="5" t="s">
        <v>99</v>
      </c>
      <c r="C6315" s="5" t="s">
        <v>1196</v>
      </c>
      <c r="D6315" s="5" t="s">
        <v>14</v>
      </c>
      <c r="E6315" s="5" t="s">
        <v>140</v>
      </c>
      <c r="F6315" s="5" t="s">
        <v>141</v>
      </c>
      <c r="G6315" s="5" t="s">
        <v>604</v>
      </c>
      <c r="H6315" s="5" t="s">
        <v>1197</v>
      </c>
      <c r="I6315" s="5" t="s">
        <v>31</v>
      </c>
      <c r="J6315" s="5">
        <v>18.058137256967001</v>
      </c>
      <c r="K6315" s="5">
        <v>-96.391668484619004</v>
      </c>
      <c r="L6315" s="5" t="str">
        <f>HYPERLINK("https://maps.google.com/?q=18.0581372569672,-96.391668484619402", "🔗 Ver Mapa")</f>
        <v>🔗 Ver Mapa</v>
      </c>
    </row>
    <row r="6316" spans="1:12" ht="43.5" x14ac:dyDescent="0.35">
      <c r="A6316" s="6" t="s">
        <v>98</v>
      </c>
      <c r="B6316" s="6" t="s">
        <v>99</v>
      </c>
      <c r="C6316" s="6" t="s">
        <v>1196</v>
      </c>
      <c r="D6316" s="6" t="s">
        <v>14</v>
      </c>
      <c r="E6316" s="6" t="s">
        <v>140</v>
      </c>
      <c r="F6316" s="6" t="s">
        <v>141</v>
      </c>
      <c r="G6316" s="6" t="s">
        <v>604</v>
      </c>
      <c r="H6316" s="6" t="s">
        <v>1197</v>
      </c>
      <c r="I6316" s="6" t="s">
        <v>31</v>
      </c>
      <c r="J6316" s="6">
        <v>18.058209661235999</v>
      </c>
      <c r="K6316" s="6">
        <v>-96.394274682206998</v>
      </c>
      <c r="L6316" s="6" t="str">
        <f>HYPERLINK("https://maps.google.com/?q=18.0582096612355,-96.394274682207396", "🔗 Ver Mapa")</f>
        <v>🔗 Ver Mapa</v>
      </c>
    </row>
    <row r="6317" spans="1:12" ht="43.5" x14ac:dyDescent="0.35">
      <c r="A6317" s="5" t="s">
        <v>98</v>
      </c>
      <c r="B6317" s="5" t="s">
        <v>99</v>
      </c>
      <c r="C6317" s="5" t="s">
        <v>1196</v>
      </c>
      <c r="D6317" s="5" t="s">
        <v>14</v>
      </c>
      <c r="E6317" s="5" t="s">
        <v>140</v>
      </c>
      <c r="F6317" s="5" t="s">
        <v>141</v>
      </c>
      <c r="G6317" s="5" t="s">
        <v>604</v>
      </c>
      <c r="H6317" s="5" t="s">
        <v>1197</v>
      </c>
      <c r="I6317" s="5" t="s">
        <v>31</v>
      </c>
      <c r="J6317" s="5">
        <v>18.058312999999998</v>
      </c>
      <c r="K6317" s="5">
        <v>-96.389829000000006</v>
      </c>
      <c r="L6317" s="5" t="str">
        <f>HYPERLINK("https://maps.google.com/?q=18.058313,-96.389829000000006", "🔗 Ver Mapa")</f>
        <v>🔗 Ver Mapa</v>
      </c>
    </row>
    <row r="6318" spans="1:12" ht="43.5" x14ac:dyDescent="0.35">
      <c r="A6318" s="6" t="s">
        <v>98</v>
      </c>
      <c r="B6318" s="6" t="s">
        <v>99</v>
      </c>
      <c r="C6318" s="6" t="s">
        <v>1196</v>
      </c>
      <c r="D6318" s="6" t="s">
        <v>14</v>
      </c>
      <c r="E6318" s="6" t="s">
        <v>140</v>
      </c>
      <c r="F6318" s="6" t="s">
        <v>141</v>
      </c>
      <c r="G6318" s="6" t="s">
        <v>604</v>
      </c>
      <c r="H6318" s="6" t="s">
        <v>1197</v>
      </c>
      <c r="I6318" s="6" t="s">
        <v>31</v>
      </c>
      <c r="J6318" s="6">
        <v>18.058344999999999</v>
      </c>
      <c r="K6318" s="6">
        <v>-96.392082000000002</v>
      </c>
      <c r="L6318" s="6" t="str">
        <f>HYPERLINK("https://maps.google.com/?q=18.058345,-96.392082000000002", "🔗 Ver Mapa")</f>
        <v>🔗 Ver Mapa</v>
      </c>
    </row>
    <row r="6319" spans="1:12" ht="43.5" x14ac:dyDescent="0.35">
      <c r="A6319" s="5" t="s">
        <v>98</v>
      </c>
      <c r="B6319" s="5" t="s">
        <v>99</v>
      </c>
      <c r="C6319" s="5" t="s">
        <v>1196</v>
      </c>
      <c r="D6319" s="5" t="s">
        <v>14</v>
      </c>
      <c r="E6319" s="5" t="s">
        <v>140</v>
      </c>
      <c r="F6319" s="5" t="s">
        <v>141</v>
      </c>
      <c r="G6319" s="5" t="s">
        <v>604</v>
      </c>
      <c r="H6319" s="5" t="s">
        <v>1197</v>
      </c>
      <c r="I6319" s="5" t="s">
        <v>31</v>
      </c>
      <c r="J6319" s="5">
        <v>18.058395178173999</v>
      </c>
      <c r="K6319" s="5">
        <v>-96.399438025248998</v>
      </c>
      <c r="L6319" s="5" t="str">
        <f>HYPERLINK("https://maps.google.com/?q=18.0583951781737,-96.3994380252485", "🔗 Ver Mapa")</f>
        <v>🔗 Ver Mapa</v>
      </c>
    </row>
    <row r="6320" spans="1:12" ht="43.5" x14ac:dyDescent="0.35">
      <c r="A6320" s="6" t="s">
        <v>98</v>
      </c>
      <c r="B6320" s="6" t="s">
        <v>99</v>
      </c>
      <c r="C6320" s="6" t="s">
        <v>1196</v>
      </c>
      <c r="D6320" s="6" t="s">
        <v>14</v>
      </c>
      <c r="E6320" s="6" t="s">
        <v>140</v>
      </c>
      <c r="F6320" s="6" t="s">
        <v>141</v>
      </c>
      <c r="G6320" s="6" t="s">
        <v>604</v>
      </c>
      <c r="H6320" s="6" t="s">
        <v>1197</v>
      </c>
      <c r="I6320" s="6" t="s">
        <v>31</v>
      </c>
      <c r="J6320" s="6">
        <v>18.058577</v>
      </c>
      <c r="K6320" s="6">
        <v>-96.393797000000006</v>
      </c>
      <c r="L6320" s="6" t="str">
        <f>HYPERLINK("https://maps.google.com/?q=18.058577,-96.393797000000006", "🔗 Ver Mapa")</f>
        <v>🔗 Ver Mapa</v>
      </c>
    </row>
    <row r="6321" spans="1:12" ht="43.5" x14ac:dyDescent="0.35">
      <c r="A6321" s="5" t="s">
        <v>98</v>
      </c>
      <c r="B6321" s="5" t="s">
        <v>99</v>
      </c>
      <c r="C6321" s="5" t="s">
        <v>1196</v>
      </c>
      <c r="D6321" s="5" t="s">
        <v>14</v>
      </c>
      <c r="E6321" s="5" t="s">
        <v>140</v>
      </c>
      <c r="F6321" s="5" t="s">
        <v>141</v>
      </c>
      <c r="G6321" s="5" t="s">
        <v>604</v>
      </c>
      <c r="H6321" s="5" t="s">
        <v>1197</v>
      </c>
      <c r="I6321" s="5" t="s">
        <v>31</v>
      </c>
      <c r="J6321" s="5">
        <v>18.058706203737</v>
      </c>
      <c r="K6321" s="5">
        <v>-96.395525770354993</v>
      </c>
      <c r="L6321" s="5" t="str">
        <f>HYPERLINK("https://maps.google.com/?q=18.0587062037366,-96.395525770354993", "🔗 Ver Mapa")</f>
        <v>🔗 Ver Mapa</v>
      </c>
    </row>
    <row r="6322" spans="1:12" ht="43.5" x14ac:dyDescent="0.35">
      <c r="A6322" s="6" t="s">
        <v>98</v>
      </c>
      <c r="B6322" s="6" t="s">
        <v>99</v>
      </c>
      <c r="C6322" s="6" t="s">
        <v>1196</v>
      </c>
      <c r="D6322" s="6" t="s">
        <v>14</v>
      </c>
      <c r="E6322" s="6" t="s">
        <v>140</v>
      </c>
      <c r="F6322" s="6" t="s">
        <v>141</v>
      </c>
      <c r="G6322" s="6" t="s">
        <v>604</v>
      </c>
      <c r="H6322" s="6" t="s">
        <v>1197</v>
      </c>
      <c r="I6322" s="6" t="s">
        <v>31</v>
      </c>
      <c r="J6322" s="6">
        <v>18.058949736376999</v>
      </c>
      <c r="K6322" s="6">
        <v>-96.399803893731004</v>
      </c>
      <c r="L6322" s="6" t="str">
        <f>HYPERLINK("https://maps.google.com/?q=18.0589497363767,-96.399803893730805", "🔗 Ver Mapa")</f>
        <v>🔗 Ver Mapa</v>
      </c>
    </row>
    <row r="6323" spans="1:12" ht="43.5" x14ac:dyDescent="0.35">
      <c r="A6323" s="5" t="s">
        <v>98</v>
      </c>
      <c r="B6323" s="5" t="s">
        <v>99</v>
      </c>
      <c r="C6323" s="5" t="s">
        <v>1196</v>
      </c>
      <c r="D6323" s="5" t="s">
        <v>14</v>
      </c>
      <c r="E6323" s="5" t="s">
        <v>140</v>
      </c>
      <c r="F6323" s="5" t="s">
        <v>141</v>
      </c>
      <c r="G6323" s="5" t="s">
        <v>604</v>
      </c>
      <c r="H6323" s="5" t="s">
        <v>1197</v>
      </c>
      <c r="I6323" s="5" t="s">
        <v>31</v>
      </c>
      <c r="J6323" s="5">
        <v>18.058951</v>
      </c>
      <c r="K6323" s="5">
        <v>-96.395770999999996</v>
      </c>
      <c r="L6323" s="5" t="str">
        <f>HYPERLINK("https://maps.google.com/?q=18.058951,-96.395770999999996", "🔗 Ver Mapa")</f>
        <v>🔗 Ver Mapa</v>
      </c>
    </row>
    <row r="6324" spans="1:12" ht="43.5" x14ac:dyDescent="0.35">
      <c r="A6324" s="6" t="s">
        <v>98</v>
      </c>
      <c r="B6324" s="6" t="s">
        <v>99</v>
      </c>
      <c r="C6324" s="6" t="s">
        <v>1196</v>
      </c>
      <c r="D6324" s="6" t="s">
        <v>14</v>
      </c>
      <c r="E6324" s="6" t="s">
        <v>140</v>
      </c>
      <c r="F6324" s="6" t="s">
        <v>141</v>
      </c>
      <c r="G6324" s="6" t="s">
        <v>604</v>
      </c>
      <c r="H6324" s="6" t="s">
        <v>1197</v>
      </c>
      <c r="I6324" s="6" t="s">
        <v>31</v>
      </c>
      <c r="J6324" s="6">
        <v>18.059054</v>
      </c>
      <c r="K6324" s="6">
        <v>-96.405271999999997</v>
      </c>
      <c r="L6324" s="6" t="str">
        <f>HYPERLINK("https://maps.google.com/?q=18.059054,-96.405271999999997", "🔗 Ver Mapa")</f>
        <v>🔗 Ver Mapa</v>
      </c>
    </row>
    <row r="6325" spans="1:12" ht="43.5" x14ac:dyDescent="0.35">
      <c r="A6325" s="5" t="s">
        <v>98</v>
      </c>
      <c r="B6325" s="5" t="s">
        <v>99</v>
      </c>
      <c r="C6325" s="5" t="s">
        <v>1196</v>
      </c>
      <c r="D6325" s="5" t="s">
        <v>14</v>
      </c>
      <c r="E6325" s="5" t="s">
        <v>140</v>
      </c>
      <c r="F6325" s="5" t="s">
        <v>141</v>
      </c>
      <c r="G6325" s="5" t="s">
        <v>604</v>
      </c>
      <c r="H6325" s="5" t="s">
        <v>1197</v>
      </c>
      <c r="I6325" s="5" t="s">
        <v>31</v>
      </c>
      <c r="J6325" s="5">
        <v>18.059080000000002</v>
      </c>
      <c r="K6325" s="5">
        <v>-96.401015000000001</v>
      </c>
      <c r="L6325" s="5" t="str">
        <f>HYPERLINK("https://maps.google.com/?q=18.05908,-96.401015000000001", "🔗 Ver Mapa")</f>
        <v>🔗 Ver Mapa</v>
      </c>
    </row>
    <row r="6326" spans="1:12" ht="43.5" x14ac:dyDescent="0.35">
      <c r="A6326" s="6" t="s">
        <v>98</v>
      </c>
      <c r="B6326" s="6" t="s">
        <v>99</v>
      </c>
      <c r="C6326" s="6" t="s">
        <v>1196</v>
      </c>
      <c r="D6326" s="6" t="s">
        <v>14</v>
      </c>
      <c r="E6326" s="6" t="s">
        <v>140</v>
      </c>
      <c r="F6326" s="6" t="s">
        <v>141</v>
      </c>
      <c r="G6326" s="6" t="s">
        <v>604</v>
      </c>
      <c r="H6326" s="6" t="s">
        <v>1197</v>
      </c>
      <c r="I6326" s="6" t="s">
        <v>31</v>
      </c>
      <c r="J6326" s="6">
        <v>18.059213</v>
      </c>
      <c r="K6326" s="6">
        <v>-96.401189000000002</v>
      </c>
      <c r="L6326" s="6" t="str">
        <f>HYPERLINK("https://maps.google.com/?q=18.059213,-96.401189000000002", "🔗 Ver Mapa")</f>
        <v>🔗 Ver Mapa</v>
      </c>
    </row>
    <row r="6327" spans="1:12" ht="43.5" x14ac:dyDescent="0.35">
      <c r="A6327" s="5" t="s">
        <v>98</v>
      </c>
      <c r="B6327" s="5" t="s">
        <v>99</v>
      </c>
      <c r="C6327" s="5" t="s">
        <v>1196</v>
      </c>
      <c r="D6327" s="5" t="s">
        <v>14</v>
      </c>
      <c r="E6327" s="5" t="s">
        <v>140</v>
      </c>
      <c r="F6327" s="5" t="s">
        <v>141</v>
      </c>
      <c r="G6327" s="5" t="s">
        <v>604</v>
      </c>
      <c r="H6327" s="5" t="s">
        <v>1197</v>
      </c>
      <c r="I6327" s="5" t="s">
        <v>31</v>
      </c>
      <c r="J6327" s="5">
        <v>18.059439999999999</v>
      </c>
      <c r="K6327" s="5">
        <v>-96.400497999999999</v>
      </c>
      <c r="L6327" s="5" t="str">
        <f>HYPERLINK("https://maps.google.com/?q=18.05944,-96.400497999999999", "🔗 Ver Mapa")</f>
        <v>🔗 Ver Mapa</v>
      </c>
    </row>
    <row r="6328" spans="1:12" ht="43.5" x14ac:dyDescent="0.35">
      <c r="A6328" s="6" t="s">
        <v>98</v>
      </c>
      <c r="B6328" s="6" t="s">
        <v>99</v>
      </c>
      <c r="C6328" s="6" t="s">
        <v>1196</v>
      </c>
      <c r="D6328" s="6" t="s">
        <v>14</v>
      </c>
      <c r="E6328" s="6" t="s">
        <v>140</v>
      </c>
      <c r="F6328" s="6" t="s">
        <v>141</v>
      </c>
      <c r="G6328" s="6" t="s">
        <v>604</v>
      </c>
      <c r="H6328" s="6" t="s">
        <v>1197</v>
      </c>
      <c r="I6328" s="6" t="s">
        <v>31</v>
      </c>
      <c r="J6328" s="6">
        <v>18.059458414696</v>
      </c>
      <c r="K6328" s="6">
        <v>-96.401699746030999</v>
      </c>
      <c r="L6328" s="6" t="str">
        <f>HYPERLINK("https://maps.google.com/?q=18.0594584146959,-96.401699746030999", "🔗 Ver Mapa")</f>
        <v>🔗 Ver Mapa</v>
      </c>
    </row>
    <row r="6329" spans="1:12" ht="43.5" x14ac:dyDescent="0.35">
      <c r="A6329" s="5" t="s">
        <v>98</v>
      </c>
      <c r="B6329" s="5" t="s">
        <v>99</v>
      </c>
      <c r="C6329" s="5" t="s">
        <v>1196</v>
      </c>
      <c r="D6329" s="5" t="s">
        <v>14</v>
      </c>
      <c r="E6329" s="5" t="s">
        <v>140</v>
      </c>
      <c r="F6329" s="5" t="s">
        <v>141</v>
      </c>
      <c r="G6329" s="5" t="s">
        <v>604</v>
      </c>
      <c r="H6329" s="5" t="s">
        <v>1197</v>
      </c>
      <c r="I6329" s="5" t="s">
        <v>31</v>
      </c>
      <c r="J6329" s="5">
        <v>18.059570435493001</v>
      </c>
      <c r="K6329" s="5">
        <v>-96.400444398027005</v>
      </c>
      <c r="L6329" s="5" t="str">
        <f>HYPERLINK("https://maps.google.com/?q=18.059570435493,-96.400444398027105", "🔗 Ver Mapa")</f>
        <v>🔗 Ver Mapa</v>
      </c>
    </row>
    <row r="6330" spans="1:12" ht="43.5" x14ac:dyDescent="0.35">
      <c r="A6330" s="6" t="s">
        <v>98</v>
      </c>
      <c r="B6330" s="6" t="s">
        <v>99</v>
      </c>
      <c r="C6330" s="6" t="s">
        <v>1196</v>
      </c>
      <c r="D6330" s="6" t="s">
        <v>14</v>
      </c>
      <c r="E6330" s="6" t="s">
        <v>140</v>
      </c>
      <c r="F6330" s="6" t="s">
        <v>141</v>
      </c>
      <c r="G6330" s="6" t="s">
        <v>604</v>
      </c>
      <c r="H6330" s="6" t="s">
        <v>1197</v>
      </c>
      <c r="I6330" s="6" t="s">
        <v>31</v>
      </c>
      <c r="J6330" s="6">
        <v>18.059796221715999</v>
      </c>
      <c r="K6330" s="6">
        <v>-96.400951779096999</v>
      </c>
      <c r="L6330" s="6" t="str">
        <f>HYPERLINK("https://maps.google.com/?q=18.0597962217163,-96.4009517790969", "🔗 Ver Mapa")</f>
        <v>🔗 Ver Mapa</v>
      </c>
    </row>
    <row r="6331" spans="1:12" ht="43.5" x14ac:dyDescent="0.35">
      <c r="A6331" s="5" t="s">
        <v>98</v>
      </c>
      <c r="B6331" s="5" t="s">
        <v>99</v>
      </c>
      <c r="C6331" s="5" t="s">
        <v>1196</v>
      </c>
      <c r="D6331" s="5" t="s">
        <v>14</v>
      </c>
      <c r="E6331" s="5" t="s">
        <v>140</v>
      </c>
      <c r="F6331" s="5" t="s">
        <v>141</v>
      </c>
      <c r="G6331" s="5" t="s">
        <v>604</v>
      </c>
      <c r="H6331" s="5" t="s">
        <v>1197</v>
      </c>
      <c r="I6331" s="5" t="s">
        <v>31</v>
      </c>
      <c r="J6331" s="5">
        <v>18.059849</v>
      </c>
      <c r="K6331" s="5">
        <v>-96.391036999999997</v>
      </c>
      <c r="L6331" s="5" t="str">
        <f>HYPERLINK("https://maps.google.com/?q=18.059849,-96.391036999999997", "🔗 Ver Mapa")</f>
        <v>🔗 Ver Mapa</v>
      </c>
    </row>
    <row r="6332" spans="1:12" ht="43.5" x14ac:dyDescent="0.35">
      <c r="A6332" s="6" t="s">
        <v>98</v>
      </c>
      <c r="B6332" s="6" t="s">
        <v>99</v>
      </c>
      <c r="C6332" s="6" t="s">
        <v>1196</v>
      </c>
      <c r="D6332" s="6" t="s">
        <v>14</v>
      </c>
      <c r="E6332" s="6" t="s">
        <v>140</v>
      </c>
      <c r="F6332" s="6" t="s">
        <v>141</v>
      </c>
      <c r="G6332" s="6" t="s">
        <v>604</v>
      </c>
      <c r="H6332" s="6" t="s">
        <v>1197</v>
      </c>
      <c r="I6332" s="6" t="s">
        <v>31</v>
      </c>
      <c r="J6332" s="6">
        <v>18.059925</v>
      </c>
      <c r="K6332" s="6">
        <v>-96.401219999999995</v>
      </c>
      <c r="L6332" s="6" t="str">
        <f>HYPERLINK("https://maps.google.com/?q=18.059925,-96.401219999999995", "🔗 Ver Mapa")</f>
        <v>🔗 Ver Mapa</v>
      </c>
    </row>
    <row r="6333" spans="1:12" ht="43.5" x14ac:dyDescent="0.35">
      <c r="A6333" s="5" t="s">
        <v>98</v>
      </c>
      <c r="B6333" s="5" t="s">
        <v>99</v>
      </c>
      <c r="C6333" s="5" t="s">
        <v>1196</v>
      </c>
      <c r="D6333" s="5" t="s">
        <v>14</v>
      </c>
      <c r="E6333" s="5" t="s">
        <v>140</v>
      </c>
      <c r="F6333" s="5" t="s">
        <v>141</v>
      </c>
      <c r="G6333" s="5" t="s">
        <v>604</v>
      </c>
      <c r="H6333" s="5" t="s">
        <v>1197</v>
      </c>
      <c r="I6333" s="5" t="s">
        <v>31</v>
      </c>
      <c r="J6333" s="5">
        <v>18.059979999999999</v>
      </c>
      <c r="K6333" s="5">
        <v>-96.402362999999994</v>
      </c>
      <c r="L6333" s="5" t="str">
        <f>HYPERLINK("https://maps.google.com/?q=18.05998,-96.402362999999994", "🔗 Ver Mapa")</f>
        <v>🔗 Ver Mapa</v>
      </c>
    </row>
    <row r="6334" spans="1:12" ht="43.5" x14ac:dyDescent="0.35">
      <c r="A6334" s="6" t="s">
        <v>98</v>
      </c>
      <c r="B6334" s="6" t="s">
        <v>99</v>
      </c>
      <c r="C6334" s="6" t="s">
        <v>1196</v>
      </c>
      <c r="D6334" s="6" t="s">
        <v>14</v>
      </c>
      <c r="E6334" s="6" t="s">
        <v>140</v>
      </c>
      <c r="F6334" s="6" t="s">
        <v>141</v>
      </c>
      <c r="G6334" s="6" t="s">
        <v>604</v>
      </c>
      <c r="H6334" s="6" t="s">
        <v>1197</v>
      </c>
      <c r="I6334" s="6" t="s">
        <v>31</v>
      </c>
      <c r="J6334" s="6">
        <v>18.060236617927</v>
      </c>
      <c r="K6334" s="6">
        <v>-96.395825349700999</v>
      </c>
      <c r="L6334" s="6" t="str">
        <f>HYPERLINK("https://maps.google.com/?q=18.0602366179268,-96.395825349701099", "🔗 Ver Mapa")</f>
        <v>🔗 Ver Mapa</v>
      </c>
    </row>
    <row r="6335" spans="1:12" ht="43.5" x14ac:dyDescent="0.35">
      <c r="A6335" s="5" t="s">
        <v>98</v>
      </c>
      <c r="B6335" s="5" t="s">
        <v>99</v>
      </c>
      <c r="C6335" s="5" t="s">
        <v>1196</v>
      </c>
      <c r="D6335" s="5" t="s">
        <v>14</v>
      </c>
      <c r="E6335" s="5" t="s">
        <v>140</v>
      </c>
      <c r="F6335" s="5" t="s">
        <v>141</v>
      </c>
      <c r="G6335" s="5" t="s">
        <v>604</v>
      </c>
      <c r="H6335" s="5" t="s">
        <v>1197</v>
      </c>
      <c r="I6335" s="5" t="s">
        <v>31</v>
      </c>
      <c r="J6335" s="5">
        <v>18.060290675501001</v>
      </c>
      <c r="K6335" s="5">
        <v>-96.392341898146</v>
      </c>
      <c r="L6335" s="5" t="str">
        <f>HYPERLINK("https://maps.google.com/?q=18.0602906755006,-96.392341898145901", "🔗 Ver Mapa")</f>
        <v>🔗 Ver Mapa</v>
      </c>
    </row>
    <row r="6336" spans="1:12" ht="43.5" x14ac:dyDescent="0.35">
      <c r="A6336" s="6" t="s">
        <v>98</v>
      </c>
      <c r="B6336" s="6" t="s">
        <v>99</v>
      </c>
      <c r="C6336" s="6" t="s">
        <v>1196</v>
      </c>
      <c r="D6336" s="6" t="s">
        <v>14</v>
      </c>
      <c r="E6336" s="6" t="s">
        <v>140</v>
      </c>
      <c r="F6336" s="6" t="s">
        <v>141</v>
      </c>
      <c r="G6336" s="6" t="s">
        <v>604</v>
      </c>
      <c r="H6336" s="6" t="s">
        <v>1197</v>
      </c>
      <c r="I6336" s="6" t="s">
        <v>31</v>
      </c>
      <c r="J6336" s="6">
        <v>18.060417000000001</v>
      </c>
      <c r="K6336" s="6">
        <v>-96.397651999999994</v>
      </c>
      <c r="L6336" s="6" t="str">
        <f>HYPERLINK("https://maps.google.com/?q=18.060417,-96.397651999999994", "🔗 Ver Mapa")</f>
        <v>🔗 Ver Mapa</v>
      </c>
    </row>
    <row r="6337" spans="1:12" ht="43.5" x14ac:dyDescent="0.35">
      <c r="A6337" s="5" t="s">
        <v>98</v>
      </c>
      <c r="B6337" s="5" t="s">
        <v>99</v>
      </c>
      <c r="C6337" s="5" t="s">
        <v>1196</v>
      </c>
      <c r="D6337" s="5" t="s">
        <v>14</v>
      </c>
      <c r="E6337" s="5" t="s">
        <v>140</v>
      </c>
      <c r="F6337" s="5" t="s">
        <v>141</v>
      </c>
      <c r="G6337" s="5" t="s">
        <v>604</v>
      </c>
      <c r="H6337" s="5" t="s">
        <v>1197</v>
      </c>
      <c r="I6337" s="5" t="s">
        <v>31</v>
      </c>
      <c r="J6337" s="5">
        <v>18.060483964294999</v>
      </c>
      <c r="K6337" s="5">
        <v>-96.402525227016994</v>
      </c>
      <c r="L6337" s="5" t="str">
        <f>HYPERLINK("https://maps.google.com/?q=18.0604839642954,-96.402525227016696", "🔗 Ver Mapa")</f>
        <v>🔗 Ver Mapa</v>
      </c>
    </row>
    <row r="6338" spans="1:12" ht="43.5" x14ac:dyDescent="0.35">
      <c r="A6338" s="6" t="s">
        <v>98</v>
      </c>
      <c r="B6338" s="6" t="s">
        <v>99</v>
      </c>
      <c r="C6338" s="6" t="s">
        <v>1196</v>
      </c>
      <c r="D6338" s="6" t="s">
        <v>14</v>
      </c>
      <c r="E6338" s="6" t="s">
        <v>140</v>
      </c>
      <c r="F6338" s="6" t="s">
        <v>141</v>
      </c>
      <c r="G6338" s="6" t="s">
        <v>604</v>
      </c>
      <c r="H6338" s="6" t="s">
        <v>1197</v>
      </c>
      <c r="I6338" s="6" t="s">
        <v>31</v>
      </c>
      <c r="J6338" s="6">
        <v>18.060495585400002</v>
      </c>
      <c r="K6338" s="6">
        <v>-96.391455166306997</v>
      </c>
      <c r="L6338" s="6" t="str">
        <f>HYPERLINK("https://maps.google.com/?q=18.0604955853997,-96.391455166307196", "🔗 Ver Mapa")</f>
        <v>🔗 Ver Mapa</v>
      </c>
    </row>
    <row r="6339" spans="1:12" ht="43.5" x14ac:dyDescent="0.35">
      <c r="A6339" s="5" t="s">
        <v>98</v>
      </c>
      <c r="B6339" s="5" t="s">
        <v>99</v>
      </c>
      <c r="C6339" s="5" t="s">
        <v>1196</v>
      </c>
      <c r="D6339" s="5" t="s">
        <v>14</v>
      </c>
      <c r="E6339" s="5" t="s">
        <v>140</v>
      </c>
      <c r="F6339" s="5" t="s">
        <v>141</v>
      </c>
      <c r="G6339" s="5" t="s">
        <v>604</v>
      </c>
      <c r="H6339" s="5" t="s">
        <v>1197</v>
      </c>
      <c r="I6339" s="5" t="s">
        <v>31</v>
      </c>
      <c r="J6339" s="5">
        <v>18.060585186432998</v>
      </c>
      <c r="K6339" s="5">
        <v>-96.394727880660994</v>
      </c>
      <c r="L6339" s="5" t="str">
        <f>HYPERLINK("https://maps.google.com/?q=18.060585186433,-96.394727880661407", "🔗 Ver Mapa")</f>
        <v>🔗 Ver Mapa</v>
      </c>
    </row>
    <row r="6340" spans="1:12" ht="43.5" x14ac:dyDescent="0.35">
      <c r="A6340" s="6" t="s">
        <v>98</v>
      </c>
      <c r="B6340" s="6" t="s">
        <v>99</v>
      </c>
      <c r="C6340" s="6" t="s">
        <v>1196</v>
      </c>
      <c r="D6340" s="6" t="s">
        <v>14</v>
      </c>
      <c r="E6340" s="6" t="s">
        <v>140</v>
      </c>
      <c r="F6340" s="6" t="s">
        <v>141</v>
      </c>
      <c r="G6340" s="6" t="s">
        <v>604</v>
      </c>
      <c r="H6340" s="6" t="s">
        <v>1197</v>
      </c>
      <c r="I6340" s="6" t="s">
        <v>31</v>
      </c>
      <c r="J6340" s="6">
        <v>18.060593000000001</v>
      </c>
      <c r="K6340" s="6">
        <v>-96.395431000000002</v>
      </c>
      <c r="L6340" s="6" t="str">
        <f>HYPERLINK("https://maps.google.com/?q=18.060593,-96.395431000000002", "🔗 Ver Mapa")</f>
        <v>🔗 Ver Mapa</v>
      </c>
    </row>
    <row r="6341" spans="1:12" ht="43.5" x14ac:dyDescent="0.35">
      <c r="A6341" s="5" t="s">
        <v>98</v>
      </c>
      <c r="B6341" s="5" t="s">
        <v>99</v>
      </c>
      <c r="C6341" s="5" t="s">
        <v>1196</v>
      </c>
      <c r="D6341" s="5" t="s">
        <v>14</v>
      </c>
      <c r="E6341" s="5" t="s">
        <v>140</v>
      </c>
      <c r="F6341" s="5" t="s">
        <v>141</v>
      </c>
      <c r="G6341" s="5" t="s">
        <v>604</v>
      </c>
      <c r="H6341" s="5" t="s">
        <v>1197</v>
      </c>
      <c r="I6341" s="5" t="s">
        <v>31</v>
      </c>
      <c r="J6341" s="5">
        <v>18.060714000000001</v>
      </c>
      <c r="K6341" s="5">
        <v>-96.400886</v>
      </c>
      <c r="L6341" s="5" t="str">
        <f>HYPERLINK("https://maps.google.com/?q=18.060714,-96.400886", "🔗 Ver Mapa")</f>
        <v>🔗 Ver Mapa</v>
      </c>
    </row>
    <row r="6342" spans="1:12" ht="43.5" x14ac:dyDescent="0.35">
      <c r="A6342" s="6" t="s">
        <v>98</v>
      </c>
      <c r="B6342" s="6" t="s">
        <v>99</v>
      </c>
      <c r="C6342" s="6" t="s">
        <v>1196</v>
      </c>
      <c r="D6342" s="6" t="s">
        <v>14</v>
      </c>
      <c r="E6342" s="6" t="s">
        <v>140</v>
      </c>
      <c r="F6342" s="6" t="s">
        <v>141</v>
      </c>
      <c r="G6342" s="6" t="s">
        <v>604</v>
      </c>
      <c r="H6342" s="6" t="s">
        <v>1197</v>
      </c>
      <c r="I6342" s="6" t="s">
        <v>31</v>
      </c>
      <c r="J6342" s="6">
        <v>18.060737</v>
      </c>
      <c r="K6342" s="6">
        <v>-96.401816999999994</v>
      </c>
      <c r="L6342" s="6" t="str">
        <f>HYPERLINK("https://maps.google.com/?q=18.060737,-96.401816999999994", "🔗 Ver Mapa")</f>
        <v>🔗 Ver Mapa</v>
      </c>
    </row>
    <row r="6343" spans="1:12" ht="43.5" x14ac:dyDescent="0.35">
      <c r="A6343" s="5" t="s">
        <v>98</v>
      </c>
      <c r="B6343" s="5" t="s">
        <v>99</v>
      </c>
      <c r="C6343" s="5" t="s">
        <v>1196</v>
      </c>
      <c r="D6343" s="5" t="s">
        <v>14</v>
      </c>
      <c r="E6343" s="5" t="s">
        <v>140</v>
      </c>
      <c r="F6343" s="5" t="s">
        <v>141</v>
      </c>
      <c r="G6343" s="5" t="s">
        <v>604</v>
      </c>
      <c r="H6343" s="5" t="s">
        <v>1197</v>
      </c>
      <c r="I6343" s="5" t="s">
        <v>31</v>
      </c>
      <c r="J6343" s="5">
        <v>18.06163558631</v>
      </c>
      <c r="K6343" s="5">
        <v>-96.404281606149993</v>
      </c>
      <c r="L6343" s="5" t="str">
        <f>HYPERLINK("https://maps.google.com/?q=18.06163558631,-96.404281606149894", "🔗 Ver Mapa")</f>
        <v>🔗 Ver Mapa</v>
      </c>
    </row>
    <row r="6344" spans="1:12" ht="43.5" x14ac:dyDescent="0.35">
      <c r="A6344" s="6" t="s">
        <v>98</v>
      </c>
      <c r="B6344" s="6" t="s">
        <v>99</v>
      </c>
      <c r="C6344" s="6" t="s">
        <v>1196</v>
      </c>
      <c r="D6344" s="6" t="s">
        <v>14</v>
      </c>
      <c r="E6344" s="6" t="s">
        <v>140</v>
      </c>
      <c r="F6344" s="6" t="s">
        <v>141</v>
      </c>
      <c r="G6344" s="6" t="s">
        <v>604</v>
      </c>
      <c r="H6344" s="6" t="s">
        <v>1197</v>
      </c>
      <c r="I6344" s="6" t="s">
        <v>31</v>
      </c>
      <c r="J6344" s="6">
        <v>18.061844000000001</v>
      </c>
      <c r="K6344" s="6">
        <v>-96.395775</v>
      </c>
      <c r="L6344" s="6" t="str">
        <f>HYPERLINK("https://maps.google.com/?q=18.061844,-96.395775", "🔗 Ver Mapa")</f>
        <v>🔗 Ver Mapa</v>
      </c>
    </row>
    <row r="6345" spans="1:12" ht="43.5" x14ac:dyDescent="0.35">
      <c r="A6345" s="5" t="s">
        <v>98</v>
      </c>
      <c r="B6345" s="5" t="s">
        <v>99</v>
      </c>
      <c r="C6345" s="5" t="s">
        <v>1196</v>
      </c>
      <c r="D6345" s="5" t="s">
        <v>14</v>
      </c>
      <c r="E6345" s="5" t="s">
        <v>140</v>
      </c>
      <c r="F6345" s="5" t="s">
        <v>141</v>
      </c>
      <c r="G6345" s="5" t="s">
        <v>604</v>
      </c>
      <c r="H6345" s="5" t="s">
        <v>1197</v>
      </c>
      <c r="I6345" s="5" t="s">
        <v>31</v>
      </c>
      <c r="J6345" s="5">
        <v>18.062058612992001</v>
      </c>
      <c r="K6345" s="5">
        <v>-96.387147815972</v>
      </c>
      <c r="L6345" s="5" t="str">
        <f>HYPERLINK("https://maps.google.com/?q=18.0620586129921,-96.387147815971602", "🔗 Ver Mapa")</f>
        <v>🔗 Ver Mapa</v>
      </c>
    </row>
    <row r="6346" spans="1:12" ht="43.5" x14ac:dyDescent="0.35">
      <c r="A6346" s="6" t="s">
        <v>98</v>
      </c>
      <c r="B6346" s="6" t="s">
        <v>99</v>
      </c>
      <c r="C6346" s="6" t="s">
        <v>1196</v>
      </c>
      <c r="D6346" s="6" t="s">
        <v>14</v>
      </c>
      <c r="E6346" s="6" t="s">
        <v>140</v>
      </c>
      <c r="F6346" s="6" t="s">
        <v>141</v>
      </c>
      <c r="G6346" s="6" t="s">
        <v>604</v>
      </c>
      <c r="H6346" s="6" t="s">
        <v>1197</v>
      </c>
      <c r="I6346" s="6" t="s">
        <v>31</v>
      </c>
      <c r="J6346" s="6">
        <v>18.062128000000001</v>
      </c>
      <c r="K6346" s="6">
        <v>-96.405422999999999</v>
      </c>
      <c r="L6346" s="6" t="str">
        <f>HYPERLINK("https://maps.google.com/?q=18.062128,-96.405422999999999", "🔗 Ver Mapa")</f>
        <v>🔗 Ver Mapa</v>
      </c>
    </row>
    <row r="6347" spans="1:12" ht="43.5" x14ac:dyDescent="0.35">
      <c r="A6347" s="5" t="s">
        <v>98</v>
      </c>
      <c r="B6347" s="5" t="s">
        <v>99</v>
      </c>
      <c r="C6347" s="5" t="s">
        <v>1196</v>
      </c>
      <c r="D6347" s="5" t="s">
        <v>14</v>
      </c>
      <c r="E6347" s="5" t="s">
        <v>140</v>
      </c>
      <c r="F6347" s="5" t="s">
        <v>141</v>
      </c>
      <c r="G6347" s="5" t="s">
        <v>604</v>
      </c>
      <c r="H6347" s="5" t="s">
        <v>1197</v>
      </c>
      <c r="I6347" s="5" t="s">
        <v>31</v>
      </c>
      <c r="J6347" s="5">
        <v>18.062143088119999</v>
      </c>
      <c r="K6347" s="5">
        <v>-96.405238012232005</v>
      </c>
      <c r="L6347" s="5" t="str">
        <f>HYPERLINK("https://maps.google.com/?q=18.0621430881204,-96.405238012232104", "🔗 Ver Mapa")</f>
        <v>🔗 Ver Mapa</v>
      </c>
    </row>
    <row r="6348" spans="1:12" ht="43.5" x14ac:dyDescent="0.35">
      <c r="A6348" s="6" t="s">
        <v>98</v>
      </c>
      <c r="B6348" s="6" t="s">
        <v>99</v>
      </c>
      <c r="C6348" s="6" t="s">
        <v>1196</v>
      </c>
      <c r="D6348" s="6" t="s">
        <v>14</v>
      </c>
      <c r="E6348" s="6" t="s">
        <v>140</v>
      </c>
      <c r="F6348" s="6" t="s">
        <v>141</v>
      </c>
      <c r="G6348" s="6" t="s">
        <v>604</v>
      </c>
      <c r="H6348" s="6" t="s">
        <v>1197</v>
      </c>
      <c r="I6348" s="6" t="s">
        <v>31</v>
      </c>
      <c r="J6348" s="6">
        <v>18.062612436914002</v>
      </c>
      <c r="K6348" s="6">
        <v>-96.401840300592994</v>
      </c>
      <c r="L6348" s="6" t="str">
        <f>HYPERLINK("https://maps.google.com/?q=18.0626124369145,-96.401840300592696", "🔗 Ver Mapa")</f>
        <v>🔗 Ver Mapa</v>
      </c>
    </row>
    <row r="6349" spans="1:12" ht="43.5" x14ac:dyDescent="0.35">
      <c r="A6349" s="5" t="s">
        <v>98</v>
      </c>
      <c r="B6349" s="5" t="s">
        <v>99</v>
      </c>
      <c r="C6349" s="5" t="s">
        <v>1196</v>
      </c>
      <c r="D6349" s="5" t="s">
        <v>14</v>
      </c>
      <c r="E6349" s="5" t="s">
        <v>140</v>
      </c>
      <c r="F6349" s="5" t="s">
        <v>141</v>
      </c>
      <c r="G6349" s="5" t="s">
        <v>604</v>
      </c>
      <c r="H6349" s="5" t="s">
        <v>1197</v>
      </c>
      <c r="I6349" s="5" t="s">
        <v>31</v>
      </c>
      <c r="J6349" s="5">
        <v>18.063010999999999</v>
      </c>
      <c r="K6349" s="5">
        <v>-96.400265000000005</v>
      </c>
      <c r="L6349" s="5" t="str">
        <f>HYPERLINK("https://maps.google.com/?q=18.063011,-96.400265000000005", "🔗 Ver Mapa")</f>
        <v>🔗 Ver Mapa</v>
      </c>
    </row>
    <row r="6350" spans="1:12" ht="43.5" x14ac:dyDescent="0.35">
      <c r="A6350" s="6" t="s">
        <v>98</v>
      </c>
      <c r="B6350" s="6" t="s">
        <v>99</v>
      </c>
      <c r="C6350" s="6" t="s">
        <v>1196</v>
      </c>
      <c r="D6350" s="6" t="s">
        <v>14</v>
      </c>
      <c r="E6350" s="6" t="s">
        <v>140</v>
      </c>
      <c r="F6350" s="6" t="s">
        <v>141</v>
      </c>
      <c r="G6350" s="6" t="s">
        <v>604</v>
      </c>
      <c r="H6350" s="6" t="s">
        <v>1197</v>
      </c>
      <c r="I6350" s="6" t="s">
        <v>31</v>
      </c>
      <c r="J6350" s="6">
        <v>18.063094300109</v>
      </c>
      <c r="K6350" s="6">
        <v>-96.401251559523004</v>
      </c>
      <c r="L6350" s="6" t="str">
        <f>HYPERLINK("https://maps.google.com/?q=18.0630943001088,-96.401251559522805", "🔗 Ver Mapa")</f>
        <v>🔗 Ver Mapa</v>
      </c>
    </row>
    <row r="6351" spans="1:12" ht="43.5" x14ac:dyDescent="0.35">
      <c r="A6351" s="5" t="s">
        <v>98</v>
      </c>
      <c r="B6351" s="5" t="s">
        <v>99</v>
      </c>
      <c r="C6351" s="5" t="s">
        <v>1196</v>
      </c>
      <c r="D6351" s="5" t="s">
        <v>14</v>
      </c>
      <c r="E6351" s="5" t="s">
        <v>140</v>
      </c>
      <c r="F6351" s="5" t="s">
        <v>141</v>
      </c>
      <c r="G6351" s="5" t="s">
        <v>604</v>
      </c>
      <c r="H6351" s="5" t="s">
        <v>1197</v>
      </c>
      <c r="I6351" s="5" t="s">
        <v>31</v>
      </c>
      <c r="J6351" s="5">
        <v>18.063113000000001</v>
      </c>
      <c r="K6351" s="5">
        <v>-96.403665000000004</v>
      </c>
      <c r="L6351" s="5" t="str">
        <f>HYPERLINK("https://maps.google.com/?q=18.063113,-96.403665000000004", "🔗 Ver Mapa")</f>
        <v>🔗 Ver Mapa</v>
      </c>
    </row>
    <row r="6352" spans="1:12" ht="43.5" x14ac:dyDescent="0.35">
      <c r="A6352" s="6" t="s">
        <v>98</v>
      </c>
      <c r="B6352" s="6" t="s">
        <v>99</v>
      </c>
      <c r="C6352" s="6" t="s">
        <v>1196</v>
      </c>
      <c r="D6352" s="6" t="s">
        <v>14</v>
      </c>
      <c r="E6352" s="6" t="s">
        <v>140</v>
      </c>
      <c r="F6352" s="6" t="s">
        <v>141</v>
      </c>
      <c r="G6352" s="6" t="s">
        <v>604</v>
      </c>
      <c r="H6352" s="6" t="s">
        <v>1197</v>
      </c>
      <c r="I6352" s="6" t="s">
        <v>31</v>
      </c>
      <c r="J6352" s="6">
        <v>18.063313999999998</v>
      </c>
      <c r="K6352" s="6">
        <v>-96.396150000000006</v>
      </c>
      <c r="L6352" s="6" t="str">
        <f>HYPERLINK("https://maps.google.com/?q=18.063314,-96.396150000000006", "🔗 Ver Mapa")</f>
        <v>🔗 Ver Mapa</v>
      </c>
    </row>
    <row r="6353" spans="1:12" ht="43.5" x14ac:dyDescent="0.35">
      <c r="A6353" s="5" t="s">
        <v>98</v>
      </c>
      <c r="B6353" s="5" t="s">
        <v>99</v>
      </c>
      <c r="C6353" s="5" t="s">
        <v>1196</v>
      </c>
      <c r="D6353" s="5" t="s">
        <v>14</v>
      </c>
      <c r="E6353" s="5" t="s">
        <v>140</v>
      </c>
      <c r="F6353" s="5" t="s">
        <v>141</v>
      </c>
      <c r="G6353" s="5" t="s">
        <v>604</v>
      </c>
      <c r="H6353" s="5" t="s">
        <v>1197</v>
      </c>
      <c r="I6353" s="5" t="s">
        <v>31</v>
      </c>
      <c r="J6353" s="5">
        <v>18.06335</v>
      </c>
      <c r="K6353" s="5">
        <v>-96.396286000000003</v>
      </c>
      <c r="L6353" s="5" t="str">
        <f>HYPERLINK("https://maps.google.com/?q=18.06335,-96.396286000000003", "🔗 Ver Mapa")</f>
        <v>🔗 Ver Mapa</v>
      </c>
    </row>
    <row r="6354" spans="1:12" ht="43.5" x14ac:dyDescent="0.35">
      <c r="A6354" s="6" t="s">
        <v>98</v>
      </c>
      <c r="B6354" s="6" t="s">
        <v>99</v>
      </c>
      <c r="C6354" s="6" t="s">
        <v>1196</v>
      </c>
      <c r="D6354" s="6" t="s">
        <v>14</v>
      </c>
      <c r="E6354" s="6" t="s">
        <v>140</v>
      </c>
      <c r="F6354" s="6" t="s">
        <v>141</v>
      </c>
      <c r="G6354" s="6" t="s">
        <v>604</v>
      </c>
      <c r="H6354" s="6" t="s">
        <v>1197</v>
      </c>
      <c r="I6354" s="6" t="s">
        <v>31</v>
      </c>
      <c r="J6354" s="6">
        <v>18.063409</v>
      </c>
      <c r="K6354" s="6">
        <v>-96.394992999999999</v>
      </c>
      <c r="L6354" s="6" t="str">
        <f>HYPERLINK("https://maps.google.com/?q=18.063409,-96.394992999999999", "🔗 Ver Mapa")</f>
        <v>🔗 Ver Mapa</v>
      </c>
    </row>
    <row r="6355" spans="1:12" ht="43.5" x14ac:dyDescent="0.35">
      <c r="A6355" s="5" t="s">
        <v>98</v>
      </c>
      <c r="B6355" s="5" t="s">
        <v>99</v>
      </c>
      <c r="C6355" s="5" t="s">
        <v>1196</v>
      </c>
      <c r="D6355" s="5" t="s">
        <v>14</v>
      </c>
      <c r="E6355" s="5" t="s">
        <v>140</v>
      </c>
      <c r="F6355" s="5" t="s">
        <v>141</v>
      </c>
      <c r="G6355" s="5" t="s">
        <v>604</v>
      </c>
      <c r="H6355" s="5" t="s">
        <v>1197</v>
      </c>
      <c r="I6355" s="5" t="s">
        <v>31</v>
      </c>
      <c r="J6355" s="5">
        <v>18.063728999999999</v>
      </c>
      <c r="K6355" s="5">
        <v>-96.403864999999996</v>
      </c>
      <c r="L6355" s="5" t="str">
        <f>HYPERLINK("https://maps.google.com/?q=18.063729,-96.403864999999996", "🔗 Ver Mapa")</f>
        <v>🔗 Ver Mapa</v>
      </c>
    </row>
    <row r="6356" spans="1:12" ht="43.5" x14ac:dyDescent="0.35">
      <c r="A6356" s="6" t="s">
        <v>98</v>
      </c>
      <c r="B6356" s="6" t="s">
        <v>99</v>
      </c>
      <c r="C6356" s="6" t="s">
        <v>1196</v>
      </c>
      <c r="D6356" s="6" t="s">
        <v>14</v>
      </c>
      <c r="E6356" s="6" t="s">
        <v>140</v>
      </c>
      <c r="F6356" s="6" t="s">
        <v>141</v>
      </c>
      <c r="G6356" s="6" t="s">
        <v>604</v>
      </c>
      <c r="H6356" s="6" t="s">
        <v>1197</v>
      </c>
      <c r="I6356" s="6" t="s">
        <v>31</v>
      </c>
      <c r="J6356" s="6">
        <v>18.064463</v>
      </c>
      <c r="K6356" s="6">
        <v>-96.403015999999994</v>
      </c>
      <c r="L6356" s="6" t="str">
        <f>HYPERLINK("https://maps.google.com/?q=18.064463,-96.403015999999994", "🔗 Ver Mapa")</f>
        <v>🔗 Ver Mapa</v>
      </c>
    </row>
    <row r="6357" spans="1:12" ht="43.5" x14ac:dyDescent="0.35">
      <c r="A6357" s="5" t="s">
        <v>98</v>
      </c>
      <c r="B6357" s="5" t="s">
        <v>99</v>
      </c>
      <c r="C6357" s="5" t="s">
        <v>1196</v>
      </c>
      <c r="D6357" s="5" t="s">
        <v>14</v>
      </c>
      <c r="E6357" s="5" t="s">
        <v>140</v>
      </c>
      <c r="F6357" s="5" t="s">
        <v>141</v>
      </c>
      <c r="G6357" s="5" t="s">
        <v>604</v>
      </c>
      <c r="H6357" s="5" t="s">
        <v>1197</v>
      </c>
      <c r="I6357" s="5" t="s">
        <v>31</v>
      </c>
      <c r="J6357" s="5">
        <v>18.064615</v>
      </c>
      <c r="K6357" s="5">
        <v>-96.398931000000005</v>
      </c>
      <c r="L6357" s="5" t="str">
        <f>HYPERLINK("https://maps.google.com/?q=18.064615,-96.398931000000005", "🔗 Ver Mapa")</f>
        <v>🔗 Ver Mapa</v>
      </c>
    </row>
    <row r="6358" spans="1:12" ht="43.5" x14ac:dyDescent="0.35">
      <c r="A6358" s="6" t="s">
        <v>98</v>
      </c>
      <c r="B6358" s="6" t="s">
        <v>99</v>
      </c>
      <c r="C6358" s="6" t="s">
        <v>1196</v>
      </c>
      <c r="D6358" s="6" t="s">
        <v>14</v>
      </c>
      <c r="E6358" s="6" t="s">
        <v>140</v>
      </c>
      <c r="F6358" s="6" t="s">
        <v>141</v>
      </c>
      <c r="G6358" s="6" t="s">
        <v>604</v>
      </c>
      <c r="H6358" s="6" t="s">
        <v>1197</v>
      </c>
      <c r="I6358" s="6" t="s">
        <v>31</v>
      </c>
      <c r="J6358" s="6">
        <v>18.066424990131001</v>
      </c>
      <c r="K6358" s="6">
        <v>-96.403915909226001</v>
      </c>
      <c r="L6358" s="6" t="str">
        <f>HYPERLINK("https://maps.google.com/?q=18.0664249901309,-96.403915909225603", "🔗 Ver Mapa")</f>
        <v>🔗 Ver Mapa</v>
      </c>
    </row>
    <row r="6359" spans="1:12" ht="43.5" x14ac:dyDescent="0.35">
      <c r="A6359" s="5" t="s">
        <v>98</v>
      </c>
      <c r="B6359" s="5" t="s">
        <v>99</v>
      </c>
      <c r="C6359" s="5" t="s">
        <v>1196</v>
      </c>
      <c r="D6359" s="5" t="s">
        <v>14</v>
      </c>
      <c r="E6359" s="5" t="s">
        <v>140</v>
      </c>
      <c r="F6359" s="5" t="s">
        <v>141</v>
      </c>
      <c r="G6359" s="5" t="s">
        <v>604</v>
      </c>
      <c r="H6359" s="5" t="s">
        <v>1197</v>
      </c>
      <c r="I6359" s="5" t="s">
        <v>31</v>
      </c>
      <c r="J6359" s="5">
        <v>18.066593477861002</v>
      </c>
      <c r="K6359" s="5">
        <v>-96.403960849998001</v>
      </c>
      <c r="L6359" s="5" t="str">
        <f>HYPERLINK("https://maps.google.com/?q=18.0665934778608,-96.403960849998299", "🔗 Ver Mapa")</f>
        <v>🔗 Ver Mapa</v>
      </c>
    </row>
    <row r="6360" spans="1:12" ht="43.5" x14ac:dyDescent="0.35">
      <c r="A6360" s="6" t="s">
        <v>98</v>
      </c>
      <c r="B6360" s="6" t="s">
        <v>99</v>
      </c>
      <c r="C6360" s="6" t="s">
        <v>1196</v>
      </c>
      <c r="D6360" s="6" t="s">
        <v>14</v>
      </c>
      <c r="E6360" s="6" t="s">
        <v>140</v>
      </c>
      <c r="F6360" s="6" t="s">
        <v>141</v>
      </c>
      <c r="G6360" s="6" t="s">
        <v>604</v>
      </c>
      <c r="H6360" s="6" t="s">
        <v>1197</v>
      </c>
      <c r="I6360" s="6" t="s">
        <v>31</v>
      </c>
      <c r="J6360" s="6">
        <v>18.067087000000001</v>
      </c>
      <c r="K6360" s="6">
        <v>-96.403857000000002</v>
      </c>
      <c r="L6360" s="6" t="str">
        <f>HYPERLINK("https://maps.google.com/?q=18.067087,-96.403857000000002", "🔗 Ver Mapa")</f>
        <v>🔗 Ver Mapa</v>
      </c>
    </row>
    <row r="6361" spans="1:12" ht="58" x14ac:dyDescent="0.35">
      <c r="A6361" s="5" t="s">
        <v>73</v>
      </c>
      <c r="B6361" s="5" t="s">
        <v>74</v>
      </c>
      <c r="C6361" s="5" t="s">
        <v>1198</v>
      </c>
      <c r="D6361" s="5" t="s">
        <v>76</v>
      </c>
      <c r="E6361" s="5" t="s">
        <v>16</v>
      </c>
      <c r="F6361" s="5" t="s">
        <v>21</v>
      </c>
      <c r="G6361" s="5" t="s">
        <v>1199</v>
      </c>
      <c r="H6361" s="5" t="s">
        <v>1200</v>
      </c>
      <c r="I6361" s="5" t="s">
        <v>31</v>
      </c>
      <c r="J6361" s="5">
        <v>17.008900000000001</v>
      </c>
      <c r="K6361" s="5">
        <v>-97.629000000000005</v>
      </c>
      <c r="L6361" s="5" t="str">
        <f>HYPERLINK("https://maps.google.com/?q=17.0089,-97.629000", "🔗 Ver Mapa")</f>
        <v>🔗 Ver Mapa</v>
      </c>
    </row>
    <row r="6362" spans="1:12" ht="58" x14ac:dyDescent="0.35">
      <c r="A6362" s="6" t="s">
        <v>73</v>
      </c>
      <c r="B6362" s="6" t="s">
        <v>74</v>
      </c>
      <c r="C6362" s="6" t="s">
        <v>1201</v>
      </c>
      <c r="D6362" s="6" t="s">
        <v>76</v>
      </c>
      <c r="E6362" s="6" t="s">
        <v>17</v>
      </c>
      <c r="F6362" s="6" t="s">
        <v>59</v>
      </c>
      <c r="G6362" s="6" t="s">
        <v>266</v>
      </c>
      <c r="H6362" s="6" t="s">
        <v>267</v>
      </c>
      <c r="I6362" s="6" t="s">
        <v>31</v>
      </c>
      <c r="J6362" s="6">
        <v>16.512986783706999</v>
      </c>
      <c r="K6362" s="6">
        <v>-98.342486788113007</v>
      </c>
      <c r="L6362" s="6" t="str">
        <f>HYPERLINK("https://maps.google.com/?q=16.512986783706744,-98.34248678811286", "🔗 Ver Mapa")</f>
        <v>🔗 Ver Mapa</v>
      </c>
    </row>
    <row r="6363" spans="1:12" ht="29" x14ac:dyDescent="0.35">
      <c r="A6363" s="5" t="s">
        <v>282</v>
      </c>
      <c r="B6363" s="5" t="s">
        <v>283</v>
      </c>
      <c r="C6363" s="5" t="s">
        <v>1202</v>
      </c>
      <c r="D6363" s="5" t="s">
        <v>76</v>
      </c>
      <c r="E6363" s="5" t="s">
        <v>52</v>
      </c>
      <c r="F6363" s="5" t="s">
        <v>70</v>
      </c>
      <c r="G6363" s="5" t="s">
        <v>71</v>
      </c>
      <c r="H6363" s="5" t="s">
        <v>72</v>
      </c>
      <c r="I6363" s="5" t="s">
        <v>31</v>
      </c>
      <c r="J6363" s="5">
        <v>17.08333</v>
      </c>
      <c r="K6363" s="5">
        <v>-96.718050000000005</v>
      </c>
      <c r="L6363" s="5" t="str">
        <f>HYPERLINK("https://maps.google.com/?q=17.08333,-96.71805", "🔗 Ver Mapa")</f>
        <v>🔗 Ver Mapa</v>
      </c>
    </row>
    <row r="6364" spans="1:12" ht="29" x14ac:dyDescent="0.35">
      <c r="A6364" s="6" t="s">
        <v>282</v>
      </c>
      <c r="B6364" s="6" t="s">
        <v>283</v>
      </c>
      <c r="C6364" s="6" t="s">
        <v>1202</v>
      </c>
      <c r="D6364" s="6" t="s">
        <v>76</v>
      </c>
      <c r="E6364" s="6" t="s">
        <v>52</v>
      </c>
      <c r="F6364" s="6" t="s">
        <v>70</v>
      </c>
      <c r="G6364" s="6" t="s">
        <v>71</v>
      </c>
      <c r="H6364" s="6" t="s">
        <v>72</v>
      </c>
      <c r="I6364" s="6" t="s">
        <v>31</v>
      </c>
      <c r="J6364" s="6">
        <v>17.08334</v>
      </c>
      <c r="K6364" s="6">
        <v>-96.718019999999996</v>
      </c>
      <c r="L6364" s="6" t="str">
        <f>HYPERLINK("https://maps.google.com/?q=17.08334,-96.71802", "🔗 Ver Mapa")</f>
        <v>🔗 Ver Mapa</v>
      </c>
    </row>
    <row r="6365" spans="1:12" ht="29" x14ac:dyDescent="0.35">
      <c r="A6365" s="5" t="s">
        <v>282</v>
      </c>
      <c r="B6365" s="5" t="s">
        <v>283</v>
      </c>
      <c r="C6365" s="5" t="s">
        <v>1202</v>
      </c>
      <c r="D6365" s="5" t="s">
        <v>76</v>
      </c>
      <c r="E6365" s="5" t="s">
        <v>52</v>
      </c>
      <c r="F6365" s="5" t="s">
        <v>70</v>
      </c>
      <c r="G6365" s="5" t="s">
        <v>71</v>
      </c>
      <c r="H6365" s="5" t="s">
        <v>72</v>
      </c>
      <c r="I6365" s="5" t="s">
        <v>31</v>
      </c>
      <c r="J6365" s="5">
        <v>17.083539999999999</v>
      </c>
      <c r="K6365" s="5">
        <v>-96.718789999999998</v>
      </c>
      <c r="L6365" s="5" t="str">
        <f>HYPERLINK("https://maps.google.com/?q=17.08354,-96.71879", "🔗 Ver Mapa")</f>
        <v>🔗 Ver Mapa</v>
      </c>
    </row>
    <row r="6366" spans="1:12" ht="29" x14ac:dyDescent="0.35">
      <c r="A6366" s="6" t="s">
        <v>282</v>
      </c>
      <c r="B6366" s="6" t="s">
        <v>283</v>
      </c>
      <c r="C6366" s="6" t="s">
        <v>1202</v>
      </c>
      <c r="D6366" s="6" t="s">
        <v>76</v>
      </c>
      <c r="E6366" s="6" t="s">
        <v>52</v>
      </c>
      <c r="F6366" s="6" t="s">
        <v>70</v>
      </c>
      <c r="G6366" s="6" t="s">
        <v>71</v>
      </c>
      <c r="H6366" s="6" t="s">
        <v>72</v>
      </c>
      <c r="I6366" s="6" t="s">
        <v>31</v>
      </c>
      <c r="J6366" s="6">
        <v>17.083639999999999</v>
      </c>
      <c r="K6366" s="6">
        <v>-96.718050000000005</v>
      </c>
      <c r="L6366" s="6" t="str">
        <f>HYPERLINK("https://maps.google.com/?q=17.08364,-96.71805", "🔗 Ver Mapa")</f>
        <v>🔗 Ver Mapa</v>
      </c>
    </row>
    <row r="6367" spans="1:12" ht="29" x14ac:dyDescent="0.35">
      <c r="A6367" s="5" t="s">
        <v>282</v>
      </c>
      <c r="B6367" s="5" t="s">
        <v>283</v>
      </c>
      <c r="C6367" s="5" t="s">
        <v>1202</v>
      </c>
      <c r="D6367" s="5" t="s">
        <v>76</v>
      </c>
      <c r="E6367" s="5" t="s">
        <v>52</v>
      </c>
      <c r="F6367" s="5" t="s">
        <v>70</v>
      </c>
      <c r="G6367" s="5" t="s">
        <v>71</v>
      </c>
      <c r="H6367" s="5" t="s">
        <v>72</v>
      </c>
      <c r="I6367" s="5" t="s">
        <v>31</v>
      </c>
      <c r="J6367" s="5">
        <v>17.083770000000001</v>
      </c>
      <c r="K6367" s="5">
        <v>-96.718530000000001</v>
      </c>
      <c r="L6367" s="5" t="str">
        <f>HYPERLINK("https://maps.google.com/?q=17.08377,-96.71853", "🔗 Ver Mapa")</f>
        <v>🔗 Ver Mapa</v>
      </c>
    </row>
    <row r="6368" spans="1:12" ht="29" x14ac:dyDescent="0.35">
      <c r="A6368" s="6" t="s">
        <v>282</v>
      </c>
      <c r="B6368" s="6" t="s">
        <v>283</v>
      </c>
      <c r="C6368" s="6" t="s">
        <v>1202</v>
      </c>
      <c r="D6368" s="6" t="s">
        <v>76</v>
      </c>
      <c r="E6368" s="6" t="s">
        <v>52</v>
      </c>
      <c r="F6368" s="6" t="s">
        <v>70</v>
      </c>
      <c r="G6368" s="6" t="s">
        <v>71</v>
      </c>
      <c r="H6368" s="6" t="s">
        <v>72</v>
      </c>
      <c r="I6368" s="6" t="s">
        <v>31</v>
      </c>
      <c r="J6368" s="6">
        <v>17.083839999999999</v>
      </c>
      <c r="K6368" s="6">
        <v>-96.718239999999994</v>
      </c>
      <c r="L6368" s="6" t="str">
        <f>HYPERLINK("https://maps.google.com/?q=17.08384,-96.71824", "🔗 Ver Mapa")</f>
        <v>🔗 Ver Mapa</v>
      </c>
    </row>
    <row r="6369" spans="1:12" ht="29" x14ac:dyDescent="0.35">
      <c r="A6369" s="5" t="s">
        <v>282</v>
      </c>
      <c r="B6369" s="5" t="s">
        <v>283</v>
      </c>
      <c r="C6369" s="5" t="s">
        <v>1202</v>
      </c>
      <c r="D6369" s="5" t="s">
        <v>76</v>
      </c>
      <c r="E6369" s="5" t="s">
        <v>52</v>
      </c>
      <c r="F6369" s="5" t="s">
        <v>70</v>
      </c>
      <c r="G6369" s="5" t="s">
        <v>71</v>
      </c>
      <c r="H6369" s="5" t="s">
        <v>72</v>
      </c>
      <c r="I6369" s="5" t="s">
        <v>31</v>
      </c>
      <c r="J6369" s="5">
        <v>17.083929999999999</v>
      </c>
      <c r="K6369" s="5">
        <v>-96.718549999999993</v>
      </c>
      <c r="L6369" s="5" t="str">
        <f>HYPERLINK("https://maps.google.com/?q=17.08393,-96.71855", "🔗 Ver Mapa")</f>
        <v>🔗 Ver Mapa</v>
      </c>
    </row>
    <row r="6370" spans="1:12" ht="29" x14ac:dyDescent="0.35">
      <c r="A6370" s="6" t="s">
        <v>282</v>
      </c>
      <c r="B6370" s="6" t="s">
        <v>283</v>
      </c>
      <c r="C6370" s="6" t="s">
        <v>1202</v>
      </c>
      <c r="D6370" s="6" t="s">
        <v>76</v>
      </c>
      <c r="E6370" s="6" t="s">
        <v>52</v>
      </c>
      <c r="F6370" s="6" t="s">
        <v>70</v>
      </c>
      <c r="G6370" s="6" t="s">
        <v>71</v>
      </c>
      <c r="H6370" s="6" t="s">
        <v>72</v>
      </c>
      <c r="I6370" s="6" t="s">
        <v>31</v>
      </c>
      <c r="J6370" s="6">
        <v>17.08399</v>
      </c>
      <c r="K6370" s="6">
        <v>-96.718310000000002</v>
      </c>
      <c r="L6370" s="6" t="str">
        <f>HYPERLINK("https://maps.google.com/?q=17.08399,-96.71831", "🔗 Ver Mapa")</f>
        <v>🔗 Ver Mapa</v>
      </c>
    </row>
    <row r="6371" spans="1:12" ht="29" x14ac:dyDescent="0.35">
      <c r="A6371" s="5" t="s">
        <v>282</v>
      </c>
      <c r="B6371" s="5" t="s">
        <v>283</v>
      </c>
      <c r="C6371" s="5" t="s">
        <v>1202</v>
      </c>
      <c r="D6371" s="5" t="s">
        <v>76</v>
      </c>
      <c r="E6371" s="5" t="s">
        <v>52</v>
      </c>
      <c r="F6371" s="5" t="s">
        <v>70</v>
      </c>
      <c r="G6371" s="5" t="s">
        <v>71</v>
      </c>
      <c r="H6371" s="5" t="s">
        <v>72</v>
      </c>
      <c r="I6371" s="5" t="s">
        <v>31</v>
      </c>
      <c r="J6371" s="5">
        <v>17.08437</v>
      </c>
      <c r="K6371" s="5">
        <v>-96.718249999999998</v>
      </c>
      <c r="L6371" s="5" t="str">
        <f>HYPERLINK("https://maps.google.com/?q=17.08437,-96.71825", "🔗 Ver Mapa")</f>
        <v>🔗 Ver Mapa</v>
      </c>
    </row>
    <row r="6372" spans="1:12" ht="43.5" x14ac:dyDescent="0.35">
      <c r="A6372" s="6" t="s">
        <v>73</v>
      </c>
      <c r="B6372" s="6" t="s">
        <v>74</v>
      </c>
      <c r="C6372" s="6" t="s">
        <v>1203</v>
      </c>
      <c r="D6372" s="6" t="s">
        <v>76</v>
      </c>
      <c r="E6372" s="6" t="s">
        <v>110</v>
      </c>
      <c r="F6372" s="6" t="s">
        <v>126</v>
      </c>
      <c r="G6372" s="6" t="s">
        <v>609</v>
      </c>
      <c r="H6372" s="6" t="s">
        <v>1204</v>
      </c>
      <c r="I6372" s="6" t="s">
        <v>31</v>
      </c>
      <c r="J6372" s="6">
        <v>18.03699569154</v>
      </c>
      <c r="K6372" s="6">
        <v>-96.553095014034994</v>
      </c>
      <c r="L6372" s="6" t="str">
        <f>HYPERLINK("https://maps.google.com/?q=18.036995691540216,-96.5530950140348", "🔗 Ver Mapa")</f>
        <v>🔗 Ver Mapa</v>
      </c>
    </row>
    <row r="6373" spans="1:12" ht="29" x14ac:dyDescent="0.35">
      <c r="A6373" s="5" t="s">
        <v>782</v>
      </c>
      <c r="B6373" s="5" t="s">
        <v>783</v>
      </c>
      <c r="C6373" s="5" t="s">
        <v>1205</v>
      </c>
      <c r="D6373" s="5" t="s">
        <v>785</v>
      </c>
      <c r="E6373" s="5" t="s">
        <v>140</v>
      </c>
      <c r="F6373" s="5" t="s">
        <v>141</v>
      </c>
      <c r="G6373" s="5" t="s">
        <v>1206</v>
      </c>
      <c r="H6373" s="5" t="s">
        <v>1207</v>
      </c>
      <c r="I6373" s="5" t="s">
        <v>31</v>
      </c>
      <c r="J6373" s="5">
        <v>18.597846374187</v>
      </c>
      <c r="K6373" s="5">
        <v>-96.686615543013005</v>
      </c>
      <c r="L6373" s="5" t="str">
        <f>HYPERLINK("https://maps.google.com/?q=18.597846374187306,-96.68661554301252", "🔗 Ver Mapa")</f>
        <v>🔗 Ver Mapa</v>
      </c>
    </row>
    <row r="6374" spans="1:12" ht="29" x14ac:dyDescent="0.35">
      <c r="A6374" s="6" t="s">
        <v>782</v>
      </c>
      <c r="B6374" s="6" t="s">
        <v>783</v>
      </c>
      <c r="C6374" s="6" t="s">
        <v>1208</v>
      </c>
      <c r="D6374" s="6" t="s">
        <v>785</v>
      </c>
      <c r="E6374" s="6" t="s">
        <v>17</v>
      </c>
      <c r="F6374" s="6" t="s">
        <v>59</v>
      </c>
      <c r="G6374" s="6" t="s">
        <v>1209</v>
      </c>
      <c r="H6374" s="6" t="s">
        <v>1210</v>
      </c>
      <c r="I6374" s="6" t="s">
        <v>31</v>
      </c>
      <c r="J6374" s="6">
        <v>16.428000000000001</v>
      </c>
      <c r="K6374" s="6">
        <v>-97.976699999999994</v>
      </c>
      <c r="L6374" s="6" t="str">
        <f>HYPERLINK("https://maps.google.com/?q=16.428,-97.9767", "🔗 Ver Mapa")</f>
        <v>🔗 Ver Mapa</v>
      </c>
    </row>
    <row r="6375" spans="1:12" ht="58" x14ac:dyDescent="0.35">
      <c r="A6375" s="5" t="s">
        <v>674</v>
      </c>
      <c r="B6375" s="5" t="s">
        <v>675</v>
      </c>
      <c r="C6375" s="5" t="s">
        <v>1211</v>
      </c>
      <c r="D6375" s="5" t="s">
        <v>677</v>
      </c>
      <c r="E6375" s="5" t="s">
        <v>16</v>
      </c>
      <c r="F6375" s="5" t="s">
        <v>95</v>
      </c>
      <c r="G6375" s="5" t="s">
        <v>1212</v>
      </c>
      <c r="H6375" s="5" t="s">
        <v>1213</v>
      </c>
      <c r="I6375" s="5" t="s">
        <v>31</v>
      </c>
      <c r="J6375" s="5">
        <v>17.849409000000001</v>
      </c>
      <c r="K6375" s="5">
        <v>-97.580515000000005</v>
      </c>
      <c r="L6375" s="5" t="str">
        <f>HYPERLINK("https://maps.google.com/?q=17.849409,-97.580515", "🔗 Ver Mapa")</f>
        <v>🔗 Ver Mapa</v>
      </c>
    </row>
    <row r="6376" spans="1:12" ht="58" x14ac:dyDescent="0.35">
      <c r="A6376" s="6" t="s">
        <v>674</v>
      </c>
      <c r="B6376" s="6" t="s">
        <v>675</v>
      </c>
      <c r="C6376" s="6" t="s">
        <v>1211</v>
      </c>
      <c r="D6376" s="6" t="s">
        <v>677</v>
      </c>
      <c r="E6376" s="6" t="s">
        <v>16</v>
      </c>
      <c r="F6376" s="6" t="s">
        <v>95</v>
      </c>
      <c r="G6376" s="6" t="s">
        <v>1212</v>
      </c>
      <c r="H6376" s="6" t="s">
        <v>1213</v>
      </c>
      <c r="I6376" s="6" t="s">
        <v>31</v>
      </c>
      <c r="J6376" s="6">
        <v>17.852301000000001</v>
      </c>
      <c r="K6376" s="6">
        <v>-97.579105999999996</v>
      </c>
      <c r="L6376" s="6" t="str">
        <f>HYPERLINK("https://maps.google.com/?q=17.852301,-97.579106", "🔗 Ver Mapa")</f>
        <v>🔗 Ver Mapa</v>
      </c>
    </row>
    <row r="6377" spans="1:12" ht="58" x14ac:dyDescent="0.35">
      <c r="A6377" s="5" t="s">
        <v>674</v>
      </c>
      <c r="B6377" s="5" t="s">
        <v>675</v>
      </c>
      <c r="C6377" s="5" t="s">
        <v>1211</v>
      </c>
      <c r="D6377" s="5" t="s">
        <v>677</v>
      </c>
      <c r="E6377" s="5" t="s">
        <v>16</v>
      </c>
      <c r="F6377" s="5" t="s">
        <v>95</v>
      </c>
      <c r="G6377" s="5" t="s">
        <v>1212</v>
      </c>
      <c r="H6377" s="5" t="s">
        <v>1213</v>
      </c>
      <c r="I6377" s="5" t="s">
        <v>31</v>
      </c>
      <c r="J6377" s="5">
        <v>17.855101999999999</v>
      </c>
      <c r="K6377" s="5">
        <v>-97.577194000000006</v>
      </c>
      <c r="L6377" s="5" t="str">
        <f>HYPERLINK("https://maps.google.com/?q=17.855102,-97.577194", "🔗 Ver Mapa")</f>
        <v>🔗 Ver Mapa</v>
      </c>
    </row>
    <row r="6378" spans="1:12" ht="43.5" x14ac:dyDescent="0.35">
      <c r="A6378" s="6" t="s">
        <v>98</v>
      </c>
      <c r="B6378" s="6" t="s">
        <v>99</v>
      </c>
      <c r="C6378" s="6" t="s">
        <v>1214</v>
      </c>
      <c r="D6378" s="6" t="s">
        <v>14</v>
      </c>
      <c r="E6378" s="6" t="s">
        <v>52</v>
      </c>
      <c r="F6378" s="6" t="s">
        <v>421</v>
      </c>
      <c r="G6378" s="6" t="s">
        <v>932</v>
      </c>
      <c r="H6378" s="6" t="s">
        <v>1215</v>
      </c>
      <c r="I6378" s="6" t="s">
        <v>31</v>
      </c>
      <c r="J6378" s="6">
        <v>16.579052999999998</v>
      </c>
      <c r="K6378" s="6">
        <v>-96.875595000000004</v>
      </c>
      <c r="L6378" s="6" t="str">
        <f>HYPERLINK("https://maps.google.com/?q=16.579053,-96.875595000000004", "🔗 Ver Mapa")</f>
        <v>🔗 Ver Mapa</v>
      </c>
    </row>
    <row r="6379" spans="1:12" ht="43.5" x14ac:dyDescent="0.35">
      <c r="A6379" s="5" t="s">
        <v>98</v>
      </c>
      <c r="B6379" s="5" t="s">
        <v>99</v>
      </c>
      <c r="C6379" s="5" t="s">
        <v>1214</v>
      </c>
      <c r="D6379" s="5" t="s">
        <v>14</v>
      </c>
      <c r="E6379" s="5" t="s">
        <v>52</v>
      </c>
      <c r="F6379" s="5" t="s">
        <v>421</v>
      </c>
      <c r="G6379" s="5" t="s">
        <v>932</v>
      </c>
      <c r="H6379" s="5" t="s">
        <v>1215</v>
      </c>
      <c r="I6379" s="5" t="s">
        <v>31</v>
      </c>
      <c r="J6379" s="5">
        <v>16.579141</v>
      </c>
      <c r="K6379" s="5">
        <v>-96.875471000000005</v>
      </c>
      <c r="L6379" s="5" t="str">
        <f>HYPERLINK("https://maps.google.com/?q=16.579141,-96.875471000000005", "🔗 Ver Mapa")</f>
        <v>🔗 Ver Mapa</v>
      </c>
    </row>
    <row r="6380" spans="1:12" ht="43.5" x14ac:dyDescent="0.35">
      <c r="A6380" s="6" t="s">
        <v>98</v>
      </c>
      <c r="B6380" s="6" t="s">
        <v>99</v>
      </c>
      <c r="C6380" s="6" t="s">
        <v>1214</v>
      </c>
      <c r="D6380" s="6" t="s">
        <v>14</v>
      </c>
      <c r="E6380" s="6" t="s">
        <v>52</v>
      </c>
      <c r="F6380" s="6" t="s">
        <v>421</v>
      </c>
      <c r="G6380" s="6" t="s">
        <v>932</v>
      </c>
      <c r="H6380" s="6" t="s">
        <v>1215</v>
      </c>
      <c r="I6380" s="6" t="s">
        <v>31</v>
      </c>
      <c r="J6380" s="6">
        <v>16.579346999999999</v>
      </c>
      <c r="K6380" s="6">
        <v>-96.875373999999994</v>
      </c>
      <c r="L6380" s="6" t="str">
        <f>HYPERLINK("https://maps.google.com/?q=16.579347,-96.875373999999994", "🔗 Ver Mapa")</f>
        <v>🔗 Ver Mapa</v>
      </c>
    </row>
    <row r="6381" spans="1:12" ht="43.5" x14ac:dyDescent="0.35">
      <c r="A6381" s="5" t="s">
        <v>98</v>
      </c>
      <c r="B6381" s="5" t="s">
        <v>99</v>
      </c>
      <c r="C6381" s="5" t="s">
        <v>1214</v>
      </c>
      <c r="D6381" s="5" t="s">
        <v>14</v>
      </c>
      <c r="E6381" s="5" t="s">
        <v>52</v>
      </c>
      <c r="F6381" s="5" t="s">
        <v>421</v>
      </c>
      <c r="G6381" s="5" t="s">
        <v>932</v>
      </c>
      <c r="H6381" s="5" t="s">
        <v>1215</v>
      </c>
      <c r="I6381" s="5" t="s">
        <v>31</v>
      </c>
      <c r="J6381" s="5">
        <v>16.579388999999999</v>
      </c>
      <c r="K6381" s="5">
        <v>-96.875973999999999</v>
      </c>
      <c r="L6381" s="5" t="str">
        <f>HYPERLINK("https://maps.google.com/?q=16.579389,-96.875973999999999", "🔗 Ver Mapa")</f>
        <v>🔗 Ver Mapa</v>
      </c>
    </row>
    <row r="6382" spans="1:12" ht="43.5" x14ac:dyDescent="0.35">
      <c r="A6382" s="6" t="s">
        <v>98</v>
      </c>
      <c r="B6382" s="6" t="s">
        <v>99</v>
      </c>
      <c r="C6382" s="6" t="s">
        <v>1214</v>
      </c>
      <c r="D6382" s="6" t="s">
        <v>14</v>
      </c>
      <c r="E6382" s="6" t="s">
        <v>52</v>
      </c>
      <c r="F6382" s="6" t="s">
        <v>421</v>
      </c>
      <c r="G6382" s="6" t="s">
        <v>932</v>
      </c>
      <c r="H6382" s="6" t="s">
        <v>1215</v>
      </c>
      <c r="I6382" s="6" t="s">
        <v>31</v>
      </c>
      <c r="J6382" s="6">
        <v>16.579398000000001</v>
      </c>
      <c r="K6382" s="6">
        <v>-96.874773000000005</v>
      </c>
      <c r="L6382" s="6" t="str">
        <f>HYPERLINK("https://maps.google.com/?q=16.579398,-96.874773000000005", "🔗 Ver Mapa")</f>
        <v>🔗 Ver Mapa</v>
      </c>
    </row>
    <row r="6383" spans="1:12" ht="43.5" x14ac:dyDescent="0.35">
      <c r="A6383" s="5" t="s">
        <v>98</v>
      </c>
      <c r="B6383" s="5" t="s">
        <v>99</v>
      </c>
      <c r="C6383" s="5" t="s">
        <v>1214</v>
      </c>
      <c r="D6383" s="5" t="s">
        <v>14</v>
      </c>
      <c r="E6383" s="5" t="s">
        <v>52</v>
      </c>
      <c r="F6383" s="5" t="s">
        <v>421</v>
      </c>
      <c r="G6383" s="5" t="s">
        <v>932</v>
      </c>
      <c r="H6383" s="5" t="s">
        <v>1215</v>
      </c>
      <c r="I6383" s="5" t="s">
        <v>31</v>
      </c>
      <c r="J6383" s="5">
        <v>16.579405712126999</v>
      </c>
      <c r="K6383" s="5">
        <v>-96.875700414679997</v>
      </c>
      <c r="L6383" s="5" t="str">
        <f>HYPERLINK("https://maps.google.com/?q=16.5794057121274,-96.8757004146802", "🔗 Ver Mapa")</f>
        <v>🔗 Ver Mapa</v>
      </c>
    </row>
    <row r="6384" spans="1:12" ht="43.5" x14ac:dyDescent="0.35">
      <c r="A6384" s="6" t="s">
        <v>98</v>
      </c>
      <c r="B6384" s="6" t="s">
        <v>99</v>
      </c>
      <c r="C6384" s="6" t="s">
        <v>1214</v>
      </c>
      <c r="D6384" s="6" t="s">
        <v>14</v>
      </c>
      <c r="E6384" s="6" t="s">
        <v>52</v>
      </c>
      <c r="F6384" s="6" t="s">
        <v>421</v>
      </c>
      <c r="G6384" s="6" t="s">
        <v>932</v>
      </c>
      <c r="H6384" s="6" t="s">
        <v>1215</v>
      </c>
      <c r="I6384" s="6" t="s">
        <v>31</v>
      </c>
      <c r="J6384" s="6">
        <v>16.579651999999999</v>
      </c>
      <c r="K6384" s="6">
        <v>-96.875478000000001</v>
      </c>
      <c r="L6384" s="6" t="str">
        <f>HYPERLINK("https://maps.google.com/?q=16.579652,-96.875478", "🔗 Ver Mapa")</f>
        <v>🔗 Ver Mapa</v>
      </c>
    </row>
    <row r="6385" spans="1:12" ht="43.5" x14ac:dyDescent="0.35">
      <c r="A6385" s="5" t="s">
        <v>98</v>
      </c>
      <c r="B6385" s="5" t="s">
        <v>99</v>
      </c>
      <c r="C6385" s="5" t="s">
        <v>1214</v>
      </c>
      <c r="D6385" s="5" t="s">
        <v>14</v>
      </c>
      <c r="E6385" s="5" t="s">
        <v>52</v>
      </c>
      <c r="F6385" s="5" t="s">
        <v>421</v>
      </c>
      <c r="G6385" s="5" t="s">
        <v>932</v>
      </c>
      <c r="H6385" s="5" t="s">
        <v>1215</v>
      </c>
      <c r="I6385" s="5" t="s">
        <v>31</v>
      </c>
      <c r="J6385" s="5">
        <v>16.579730000000001</v>
      </c>
      <c r="K6385" s="5">
        <v>-96.874906999999993</v>
      </c>
      <c r="L6385" s="5" t="str">
        <f>HYPERLINK("https://maps.google.com/?q=16.57973,-96.874906999999993", "🔗 Ver Mapa")</f>
        <v>🔗 Ver Mapa</v>
      </c>
    </row>
    <row r="6386" spans="1:12" ht="43.5" x14ac:dyDescent="0.35">
      <c r="A6386" s="6" t="s">
        <v>98</v>
      </c>
      <c r="B6386" s="6" t="s">
        <v>99</v>
      </c>
      <c r="C6386" s="6" t="s">
        <v>1214</v>
      </c>
      <c r="D6386" s="6" t="s">
        <v>14</v>
      </c>
      <c r="E6386" s="6" t="s">
        <v>52</v>
      </c>
      <c r="F6386" s="6" t="s">
        <v>421</v>
      </c>
      <c r="G6386" s="6" t="s">
        <v>932</v>
      </c>
      <c r="H6386" s="6" t="s">
        <v>1215</v>
      </c>
      <c r="I6386" s="6" t="s">
        <v>31</v>
      </c>
      <c r="J6386" s="6">
        <v>16.579837000000001</v>
      </c>
      <c r="K6386" s="6">
        <v>-96.875440999999995</v>
      </c>
      <c r="L6386" s="6" t="str">
        <f>HYPERLINK("https://maps.google.com/?q=16.579837,-96.875440999999995", "🔗 Ver Mapa")</f>
        <v>🔗 Ver Mapa</v>
      </c>
    </row>
    <row r="6387" spans="1:12" ht="43.5" x14ac:dyDescent="0.35">
      <c r="A6387" s="5" t="s">
        <v>98</v>
      </c>
      <c r="B6387" s="5" t="s">
        <v>99</v>
      </c>
      <c r="C6387" s="5" t="s">
        <v>1216</v>
      </c>
      <c r="D6387" s="5" t="s">
        <v>14</v>
      </c>
      <c r="E6387" s="5" t="s">
        <v>158</v>
      </c>
      <c r="F6387" s="5" t="s">
        <v>159</v>
      </c>
      <c r="G6387" s="5" t="s">
        <v>278</v>
      </c>
      <c r="H6387" s="5" t="s">
        <v>279</v>
      </c>
      <c r="I6387" s="5" t="s">
        <v>31</v>
      </c>
      <c r="J6387" s="5">
        <v>16.459154209686002</v>
      </c>
      <c r="K6387" s="5">
        <v>-95.000901066075997</v>
      </c>
      <c r="L6387" s="5" t="str">
        <f>HYPERLINK("https://maps.google.com/?q=16.4591542096861,-95.000901066075599", "🔗 Ver Mapa")</f>
        <v>🔗 Ver Mapa</v>
      </c>
    </row>
    <row r="6388" spans="1:12" ht="43.5" x14ac:dyDescent="0.35">
      <c r="A6388" s="6" t="s">
        <v>98</v>
      </c>
      <c r="B6388" s="6" t="s">
        <v>99</v>
      </c>
      <c r="C6388" s="6" t="s">
        <v>1216</v>
      </c>
      <c r="D6388" s="6" t="s">
        <v>14</v>
      </c>
      <c r="E6388" s="6" t="s">
        <v>158</v>
      </c>
      <c r="F6388" s="6" t="s">
        <v>159</v>
      </c>
      <c r="G6388" s="6" t="s">
        <v>278</v>
      </c>
      <c r="H6388" s="6" t="s">
        <v>279</v>
      </c>
      <c r="I6388" s="6" t="s">
        <v>31</v>
      </c>
      <c r="J6388" s="6">
        <v>16.459670679828999</v>
      </c>
      <c r="K6388" s="6">
        <v>-95.001347633622004</v>
      </c>
      <c r="L6388" s="6" t="str">
        <f>HYPERLINK("https://maps.google.com/?q=16.4596706798292,-95.001347633621506", "🔗 Ver Mapa")</f>
        <v>🔗 Ver Mapa</v>
      </c>
    </row>
    <row r="6389" spans="1:12" ht="43.5" x14ac:dyDescent="0.35">
      <c r="A6389" s="5" t="s">
        <v>98</v>
      </c>
      <c r="B6389" s="5" t="s">
        <v>99</v>
      </c>
      <c r="C6389" s="5" t="s">
        <v>1216</v>
      </c>
      <c r="D6389" s="5" t="s">
        <v>14</v>
      </c>
      <c r="E6389" s="5" t="s">
        <v>158</v>
      </c>
      <c r="F6389" s="5" t="s">
        <v>159</v>
      </c>
      <c r="G6389" s="5" t="s">
        <v>278</v>
      </c>
      <c r="H6389" s="5" t="s">
        <v>279</v>
      </c>
      <c r="I6389" s="5" t="s">
        <v>31</v>
      </c>
      <c r="J6389" s="5">
        <v>16.461430118553999</v>
      </c>
      <c r="K6389" s="5">
        <v>-95.000623437187002</v>
      </c>
      <c r="L6389" s="5" t="str">
        <f>HYPERLINK("https://maps.google.com/?q=16.4614301185543,-95.0006234371875", "🔗 Ver Mapa")</f>
        <v>🔗 Ver Mapa</v>
      </c>
    </row>
    <row r="6390" spans="1:12" ht="43.5" x14ac:dyDescent="0.35">
      <c r="A6390" s="6" t="s">
        <v>98</v>
      </c>
      <c r="B6390" s="6" t="s">
        <v>99</v>
      </c>
      <c r="C6390" s="6" t="s">
        <v>1216</v>
      </c>
      <c r="D6390" s="6" t="s">
        <v>14</v>
      </c>
      <c r="E6390" s="6" t="s">
        <v>158</v>
      </c>
      <c r="F6390" s="6" t="s">
        <v>159</v>
      </c>
      <c r="G6390" s="6" t="s">
        <v>278</v>
      </c>
      <c r="H6390" s="6" t="s">
        <v>279</v>
      </c>
      <c r="I6390" s="6" t="s">
        <v>31</v>
      </c>
      <c r="J6390" s="6">
        <v>16.461682200573001</v>
      </c>
      <c r="K6390" s="6">
        <v>-95.001980634949007</v>
      </c>
      <c r="L6390" s="6" t="str">
        <f>HYPERLINK("https://maps.google.com/?q=16.461682200573,-95.001980634949106", "🔗 Ver Mapa")</f>
        <v>🔗 Ver Mapa</v>
      </c>
    </row>
    <row r="6391" spans="1:12" ht="43.5" x14ac:dyDescent="0.35">
      <c r="A6391" s="5" t="s">
        <v>98</v>
      </c>
      <c r="B6391" s="5" t="s">
        <v>99</v>
      </c>
      <c r="C6391" s="5" t="s">
        <v>1216</v>
      </c>
      <c r="D6391" s="5" t="s">
        <v>14</v>
      </c>
      <c r="E6391" s="5" t="s">
        <v>158</v>
      </c>
      <c r="F6391" s="5" t="s">
        <v>159</v>
      </c>
      <c r="G6391" s="5" t="s">
        <v>278</v>
      </c>
      <c r="H6391" s="5" t="s">
        <v>279</v>
      </c>
      <c r="I6391" s="5" t="s">
        <v>31</v>
      </c>
      <c r="J6391" s="5">
        <v>16.462289256464</v>
      </c>
      <c r="K6391" s="5">
        <v>-94.999271603843994</v>
      </c>
      <c r="L6391" s="5" t="str">
        <f>HYPERLINK("https://maps.google.com/?q=16.4622892564639,-94.999271603843695", "🔗 Ver Mapa")</f>
        <v>🔗 Ver Mapa</v>
      </c>
    </row>
    <row r="6392" spans="1:12" ht="43.5" x14ac:dyDescent="0.35">
      <c r="A6392" s="6" t="s">
        <v>98</v>
      </c>
      <c r="B6392" s="6" t="s">
        <v>99</v>
      </c>
      <c r="C6392" s="6" t="s">
        <v>1217</v>
      </c>
      <c r="D6392" s="6" t="s">
        <v>14</v>
      </c>
      <c r="E6392" s="6" t="s">
        <v>16</v>
      </c>
      <c r="F6392" s="6" t="s">
        <v>21</v>
      </c>
      <c r="G6392" s="6" t="s">
        <v>922</v>
      </c>
      <c r="H6392" s="6" t="s">
        <v>1218</v>
      </c>
      <c r="I6392" s="6" t="s">
        <v>31</v>
      </c>
      <c r="J6392" s="6">
        <v>17.236098876004998</v>
      </c>
      <c r="K6392" s="6">
        <v>-97.555061455504998</v>
      </c>
      <c r="L6392" s="6" t="str">
        <f>HYPERLINK("https://maps.google.com/?q=17.2360988760055,-97.555061455504799", "🔗 Ver Mapa")</f>
        <v>🔗 Ver Mapa</v>
      </c>
    </row>
    <row r="6393" spans="1:12" ht="43.5" x14ac:dyDescent="0.35">
      <c r="A6393" s="5" t="s">
        <v>98</v>
      </c>
      <c r="B6393" s="5" t="s">
        <v>99</v>
      </c>
      <c r="C6393" s="5" t="s">
        <v>1217</v>
      </c>
      <c r="D6393" s="5" t="s">
        <v>14</v>
      </c>
      <c r="E6393" s="5" t="s">
        <v>16</v>
      </c>
      <c r="F6393" s="5" t="s">
        <v>21</v>
      </c>
      <c r="G6393" s="5" t="s">
        <v>922</v>
      </c>
      <c r="H6393" s="5" t="s">
        <v>1218</v>
      </c>
      <c r="I6393" s="5" t="s">
        <v>31</v>
      </c>
      <c r="J6393" s="5">
        <v>17.237256979230999</v>
      </c>
      <c r="K6393" s="5">
        <v>-97.554484269013997</v>
      </c>
      <c r="L6393" s="5" t="str">
        <f>HYPERLINK("https://maps.google.com/?q=17.2372569792313,-97.554484269014296", "🔗 Ver Mapa")</f>
        <v>🔗 Ver Mapa</v>
      </c>
    </row>
    <row r="6394" spans="1:12" ht="43.5" x14ac:dyDescent="0.35">
      <c r="A6394" s="6" t="s">
        <v>98</v>
      </c>
      <c r="B6394" s="6" t="s">
        <v>99</v>
      </c>
      <c r="C6394" s="6" t="s">
        <v>1219</v>
      </c>
      <c r="D6394" s="6" t="s">
        <v>14</v>
      </c>
      <c r="E6394" s="6" t="s">
        <v>16</v>
      </c>
      <c r="F6394" s="6" t="s">
        <v>21</v>
      </c>
      <c r="G6394" s="6" t="s">
        <v>922</v>
      </c>
      <c r="H6394" s="6" t="s">
        <v>1220</v>
      </c>
      <c r="I6394" s="6" t="s">
        <v>31</v>
      </c>
      <c r="J6394" s="6">
        <v>17.209287771429</v>
      </c>
      <c r="K6394" s="6">
        <v>-97.572883010509997</v>
      </c>
      <c r="L6394" s="6" t="str">
        <f>HYPERLINK("https://maps.google.com/?q=17.2092877714291,-97.572883010510196", "🔗 Ver Mapa")</f>
        <v>🔗 Ver Mapa</v>
      </c>
    </row>
    <row r="6395" spans="1:12" ht="43.5" x14ac:dyDescent="0.35">
      <c r="A6395" s="5" t="s">
        <v>98</v>
      </c>
      <c r="B6395" s="5" t="s">
        <v>99</v>
      </c>
      <c r="C6395" s="5" t="s">
        <v>1219</v>
      </c>
      <c r="D6395" s="5" t="s">
        <v>14</v>
      </c>
      <c r="E6395" s="5" t="s">
        <v>16</v>
      </c>
      <c r="F6395" s="5" t="s">
        <v>21</v>
      </c>
      <c r="G6395" s="5" t="s">
        <v>922</v>
      </c>
      <c r="H6395" s="5" t="s">
        <v>1220</v>
      </c>
      <c r="I6395" s="5" t="s">
        <v>31</v>
      </c>
      <c r="J6395" s="5">
        <v>17.210325806795002</v>
      </c>
      <c r="K6395" s="5">
        <v>-97.571769496268999</v>
      </c>
      <c r="L6395" s="5" t="str">
        <f>HYPERLINK("https://maps.google.com/?q=17.2103258067952,-97.571769496269496", "🔗 Ver Mapa")</f>
        <v>🔗 Ver Mapa</v>
      </c>
    </row>
    <row r="6396" spans="1:12" ht="43.5" x14ac:dyDescent="0.35">
      <c r="A6396" s="6" t="s">
        <v>98</v>
      </c>
      <c r="B6396" s="6" t="s">
        <v>99</v>
      </c>
      <c r="C6396" s="6" t="s">
        <v>1221</v>
      </c>
      <c r="D6396" s="6" t="s">
        <v>14</v>
      </c>
      <c r="E6396" s="6" t="s">
        <v>16</v>
      </c>
      <c r="F6396" s="6" t="s">
        <v>21</v>
      </c>
      <c r="G6396" s="6" t="s">
        <v>922</v>
      </c>
      <c r="H6396" s="6" t="s">
        <v>1222</v>
      </c>
      <c r="I6396" s="6" t="s">
        <v>31</v>
      </c>
      <c r="J6396" s="6">
        <v>17.245685205489998</v>
      </c>
      <c r="K6396" s="6">
        <v>-97.523590663213994</v>
      </c>
      <c r="L6396" s="6" t="str">
        <f>HYPERLINK("https://maps.google.com/?q=17.2456852054903,-97.523590663214407", "🔗 Ver Mapa")</f>
        <v>🔗 Ver Mapa</v>
      </c>
    </row>
    <row r="6397" spans="1:12" ht="43.5" x14ac:dyDescent="0.35">
      <c r="A6397" s="5" t="s">
        <v>98</v>
      </c>
      <c r="B6397" s="5" t="s">
        <v>99</v>
      </c>
      <c r="C6397" s="5" t="s">
        <v>1221</v>
      </c>
      <c r="D6397" s="5" t="s">
        <v>14</v>
      </c>
      <c r="E6397" s="5" t="s">
        <v>16</v>
      </c>
      <c r="F6397" s="5" t="s">
        <v>21</v>
      </c>
      <c r="G6397" s="5" t="s">
        <v>922</v>
      </c>
      <c r="H6397" s="5" t="s">
        <v>1222</v>
      </c>
      <c r="I6397" s="5" t="s">
        <v>31</v>
      </c>
      <c r="J6397" s="5">
        <v>17.246364870848002</v>
      </c>
      <c r="K6397" s="5">
        <v>-97.518995369034002</v>
      </c>
      <c r="L6397" s="5" t="str">
        <f>HYPERLINK("https://maps.google.com/?q=17.2463648708475,-97.518995369033703", "🔗 Ver Mapa")</f>
        <v>🔗 Ver Mapa</v>
      </c>
    </row>
    <row r="6398" spans="1:12" ht="43.5" x14ac:dyDescent="0.35">
      <c r="A6398" s="6" t="s">
        <v>98</v>
      </c>
      <c r="B6398" s="6" t="s">
        <v>99</v>
      </c>
      <c r="C6398" s="6" t="s">
        <v>1223</v>
      </c>
      <c r="D6398" s="6" t="s">
        <v>14</v>
      </c>
      <c r="E6398" s="6" t="s">
        <v>16</v>
      </c>
      <c r="F6398" s="6" t="s">
        <v>21</v>
      </c>
      <c r="G6398" s="6" t="s">
        <v>922</v>
      </c>
      <c r="H6398" s="6" t="s">
        <v>923</v>
      </c>
      <c r="I6398" s="6" t="s">
        <v>31</v>
      </c>
      <c r="J6398" s="6">
        <v>17.268483187051999</v>
      </c>
      <c r="K6398" s="6">
        <v>-97.534401761696003</v>
      </c>
      <c r="L6398" s="6" t="str">
        <f>HYPERLINK("https://maps.google.com/?q=17.2684831870519,-97.534401761695506", "🔗 Ver Mapa")</f>
        <v>🔗 Ver Mapa</v>
      </c>
    </row>
    <row r="6399" spans="1:12" ht="43.5" x14ac:dyDescent="0.35">
      <c r="A6399" s="5" t="s">
        <v>98</v>
      </c>
      <c r="B6399" s="5" t="s">
        <v>99</v>
      </c>
      <c r="C6399" s="5" t="s">
        <v>1223</v>
      </c>
      <c r="D6399" s="5" t="s">
        <v>14</v>
      </c>
      <c r="E6399" s="5" t="s">
        <v>16</v>
      </c>
      <c r="F6399" s="5" t="s">
        <v>21</v>
      </c>
      <c r="G6399" s="5" t="s">
        <v>922</v>
      </c>
      <c r="H6399" s="5" t="s">
        <v>923</v>
      </c>
      <c r="I6399" s="5" t="s">
        <v>31</v>
      </c>
      <c r="J6399" s="5">
        <v>17.272084400103001</v>
      </c>
      <c r="K6399" s="5">
        <v>-97.533116313188998</v>
      </c>
      <c r="L6399" s="5" t="str">
        <f>HYPERLINK("https://maps.google.com/?q=17.2720844001025,-97.533116313189495", "🔗 Ver Mapa")</f>
        <v>🔗 Ver Mapa</v>
      </c>
    </row>
    <row r="6400" spans="1:12" ht="43.5" x14ac:dyDescent="0.35">
      <c r="A6400" s="6" t="s">
        <v>98</v>
      </c>
      <c r="B6400" s="6" t="s">
        <v>99</v>
      </c>
      <c r="C6400" s="6" t="s">
        <v>1224</v>
      </c>
      <c r="D6400" s="6" t="s">
        <v>14</v>
      </c>
      <c r="E6400" s="6" t="s">
        <v>16</v>
      </c>
      <c r="F6400" s="6" t="s">
        <v>21</v>
      </c>
      <c r="G6400" s="6" t="s">
        <v>922</v>
      </c>
      <c r="H6400" s="6" t="s">
        <v>1225</v>
      </c>
      <c r="I6400" s="6" t="s">
        <v>31</v>
      </c>
      <c r="J6400" s="6">
        <v>17.252409924622</v>
      </c>
      <c r="K6400" s="6">
        <v>-97.543785255030002</v>
      </c>
      <c r="L6400" s="6" t="str">
        <f>HYPERLINK("https://maps.google.com/?q=17.2524099246222,-97.543785255029704", "🔗 Ver Mapa")</f>
        <v>🔗 Ver Mapa</v>
      </c>
    </row>
    <row r="6401" spans="1:12" ht="43.5" x14ac:dyDescent="0.35">
      <c r="A6401" s="5" t="s">
        <v>98</v>
      </c>
      <c r="B6401" s="5" t="s">
        <v>99</v>
      </c>
      <c r="C6401" s="5" t="s">
        <v>1224</v>
      </c>
      <c r="D6401" s="5" t="s">
        <v>14</v>
      </c>
      <c r="E6401" s="5" t="s">
        <v>16</v>
      </c>
      <c r="F6401" s="5" t="s">
        <v>21</v>
      </c>
      <c r="G6401" s="5" t="s">
        <v>922</v>
      </c>
      <c r="H6401" s="5" t="s">
        <v>1225</v>
      </c>
      <c r="I6401" s="5" t="s">
        <v>31</v>
      </c>
      <c r="J6401" s="5">
        <v>17.257490502498001</v>
      </c>
      <c r="K6401" s="5">
        <v>-97.536604411537994</v>
      </c>
      <c r="L6401" s="5" t="str">
        <f>HYPERLINK("https://maps.google.com/?q=17.2574905024982,-97.536604411537695", "🔗 Ver Mapa")</f>
        <v>🔗 Ver Mapa</v>
      </c>
    </row>
    <row r="6402" spans="1:12" ht="43.5" x14ac:dyDescent="0.35">
      <c r="A6402" s="6" t="s">
        <v>98</v>
      </c>
      <c r="B6402" s="6" t="s">
        <v>99</v>
      </c>
      <c r="C6402" s="6" t="s">
        <v>1224</v>
      </c>
      <c r="D6402" s="6" t="s">
        <v>14</v>
      </c>
      <c r="E6402" s="6" t="s">
        <v>16</v>
      </c>
      <c r="F6402" s="6" t="s">
        <v>21</v>
      </c>
      <c r="G6402" s="6" t="s">
        <v>922</v>
      </c>
      <c r="H6402" s="6" t="s">
        <v>1225</v>
      </c>
      <c r="I6402" s="6" t="s">
        <v>31</v>
      </c>
      <c r="J6402" s="6">
        <v>17.258308246715</v>
      </c>
      <c r="K6402" s="6">
        <v>-97.538288166708995</v>
      </c>
      <c r="L6402" s="6" t="str">
        <f>HYPERLINK("https://maps.google.com/?q=17.258308246715,-97.538288166708597", "🔗 Ver Mapa")</f>
        <v>🔗 Ver Mapa</v>
      </c>
    </row>
    <row r="6403" spans="1:12" ht="43.5" x14ac:dyDescent="0.35">
      <c r="A6403" s="5" t="s">
        <v>98</v>
      </c>
      <c r="B6403" s="5" t="s">
        <v>99</v>
      </c>
      <c r="C6403" s="5" t="s">
        <v>1224</v>
      </c>
      <c r="D6403" s="5" t="s">
        <v>14</v>
      </c>
      <c r="E6403" s="5" t="s">
        <v>16</v>
      </c>
      <c r="F6403" s="5" t="s">
        <v>21</v>
      </c>
      <c r="G6403" s="5" t="s">
        <v>922</v>
      </c>
      <c r="H6403" s="5" t="s">
        <v>1225</v>
      </c>
      <c r="I6403" s="5" t="s">
        <v>31</v>
      </c>
      <c r="J6403" s="5">
        <v>17.259020841000002</v>
      </c>
      <c r="K6403" s="5">
        <v>-97.539760238816996</v>
      </c>
      <c r="L6403" s="5" t="str">
        <f>HYPERLINK("https://maps.google.com/?q=17.2590208410005,-97.539760238816996", "🔗 Ver Mapa")</f>
        <v>🔗 Ver Mapa</v>
      </c>
    </row>
    <row r="6404" spans="1:12" ht="43.5" x14ac:dyDescent="0.35">
      <c r="A6404" s="6" t="s">
        <v>98</v>
      </c>
      <c r="B6404" s="6" t="s">
        <v>99</v>
      </c>
      <c r="C6404" s="6" t="s">
        <v>1226</v>
      </c>
      <c r="D6404" s="6" t="s">
        <v>14</v>
      </c>
      <c r="E6404" s="6" t="s">
        <v>16</v>
      </c>
      <c r="F6404" s="6" t="s">
        <v>21</v>
      </c>
      <c r="G6404" s="6" t="s">
        <v>922</v>
      </c>
      <c r="H6404" s="6" t="s">
        <v>1227</v>
      </c>
      <c r="I6404" s="6" t="s">
        <v>31</v>
      </c>
      <c r="J6404" s="6">
        <v>17.256759700958</v>
      </c>
      <c r="K6404" s="6">
        <v>-97.572004223730005</v>
      </c>
      <c r="L6404" s="6" t="str">
        <f>HYPERLINK("https://maps.google.com/?q=17.256759700958,-97.572004223729607", "🔗 Ver Mapa")</f>
        <v>🔗 Ver Mapa</v>
      </c>
    </row>
    <row r="6405" spans="1:12" ht="43.5" x14ac:dyDescent="0.35">
      <c r="A6405" s="5" t="s">
        <v>98</v>
      </c>
      <c r="B6405" s="5" t="s">
        <v>99</v>
      </c>
      <c r="C6405" s="5" t="s">
        <v>1226</v>
      </c>
      <c r="D6405" s="5" t="s">
        <v>14</v>
      </c>
      <c r="E6405" s="5" t="s">
        <v>16</v>
      </c>
      <c r="F6405" s="5" t="s">
        <v>21</v>
      </c>
      <c r="G6405" s="5" t="s">
        <v>922</v>
      </c>
      <c r="H6405" s="5" t="s">
        <v>1227</v>
      </c>
      <c r="I6405" s="5" t="s">
        <v>31</v>
      </c>
      <c r="J6405" s="5">
        <v>17.257408968330001</v>
      </c>
      <c r="K6405" s="5">
        <v>-97.571530550000006</v>
      </c>
      <c r="L6405" s="5" t="str">
        <f>HYPERLINK("https://maps.google.com/?q=17.2574089683304,-97.571530550000006", "🔗 Ver Mapa")</f>
        <v>🔗 Ver Mapa</v>
      </c>
    </row>
    <row r="6406" spans="1:12" ht="43.5" x14ac:dyDescent="0.35">
      <c r="A6406" s="6" t="s">
        <v>98</v>
      </c>
      <c r="B6406" s="6" t="s">
        <v>99</v>
      </c>
      <c r="C6406" s="6" t="s">
        <v>1226</v>
      </c>
      <c r="D6406" s="6" t="s">
        <v>14</v>
      </c>
      <c r="E6406" s="6" t="s">
        <v>16</v>
      </c>
      <c r="F6406" s="6" t="s">
        <v>21</v>
      </c>
      <c r="G6406" s="6" t="s">
        <v>922</v>
      </c>
      <c r="H6406" s="6" t="s">
        <v>1227</v>
      </c>
      <c r="I6406" s="6" t="s">
        <v>31</v>
      </c>
      <c r="J6406" s="6">
        <v>17.257937230894999</v>
      </c>
      <c r="K6406" s="6">
        <v>-97.566292708342999</v>
      </c>
      <c r="L6406" s="6" t="str">
        <f>HYPERLINK("https://maps.google.com/?q=17.2579372308949,-97.566292708343298", "🔗 Ver Mapa")</f>
        <v>🔗 Ver Mapa</v>
      </c>
    </row>
    <row r="6407" spans="1:12" ht="43.5" x14ac:dyDescent="0.35">
      <c r="A6407" s="5" t="s">
        <v>98</v>
      </c>
      <c r="B6407" s="5" t="s">
        <v>99</v>
      </c>
      <c r="C6407" s="5" t="s">
        <v>1226</v>
      </c>
      <c r="D6407" s="5" t="s">
        <v>14</v>
      </c>
      <c r="E6407" s="5" t="s">
        <v>16</v>
      </c>
      <c r="F6407" s="5" t="s">
        <v>21</v>
      </c>
      <c r="G6407" s="5" t="s">
        <v>922</v>
      </c>
      <c r="H6407" s="5" t="s">
        <v>1227</v>
      </c>
      <c r="I6407" s="5" t="s">
        <v>31</v>
      </c>
      <c r="J6407" s="5">
        <v>17.258582716936001</v>
      </c>
      <c r="K6407" s="5">
        <v>-97.572893088835997</v>
      </c>
      <c r="L6407" s="5" t="str">
        <f>HYPERLINK("https://maps.google.com/?q=17.2585827169357,-97.572893088836096", "🔗 Ver Mapa")</f>
        <v>🔗 Ver Mapa</v>
      </c>
    </row>
    <row r="6408" spans="1:12" ht="43.5" x14ac:dyDescent="0.35">
      <c r="A6408" s="6" t="s">
        <v>98</v>
      </c>
      <c r="B6408" s="6" t="s">
        <v>99</v>
      </c>
      <c r="C6408" s="6" t="s">
        <v>1226</v>
      </c>
      <c r="D6408" s="6" t="s">
        <v>14</v>
      </c>
      <c r="E6408" s="6" t="s">
        <v>16</v>
      </c>
      <c r="F6408" s="6" t="s">
        <v>21</v>
      </c>
      <c r="G6408" s="6" t="s">
        <v>922</v>
      </c>
      <c r="H6408" s="6" t="s">
        <v>1227</v>
      </c>
      <c r="I6408" s="6" t="s">
        <v>31</v>
      </c>
      <c r="J6408" s="6">
        <v>17.259060425609999</v>
      </c>
      <c r="K6408" s="6">
        <v>-97.574423289078993</v>
      </c>
      <c r="L6408" s="6" t="str">
        <f>HYPERLINK("https://maps.google.com/?q=17.2590604256097,-97.574423289078595", "🔗 Ver Mapa")</f>
        <v>🔗 Ver Mapa</v>
      </c>
    </row>
    <row r="6409" spans="1:12" ht="43.5" x14ac:dyDescent="0.35">
      <c r="A6409" s="5" t="s">
        <v>98</v>
      </c>
      <c r="B6409" s="5" t="s">
        <v>99</v>
      </c>
      <c r="C6409" s="5" t="s">
        <v>1228</v>
      </c>
      <c r="D6409" s="5" t="s">
        <v>14</v>
      </c>
      <c r="E6409" s="5" t="s">
        <v>16</v>
      </c>
      <c r="F6409" s="5" t="s">
        <v>21</v>
      </c>
      <c r="G6409" s="5" t="s">
        <v>922</v>
      </c>
      <c r="H6409" s="5" t="s">
        <v>1229</v>
      </c>
      <c r="I6409" s="5" t="s">
        <v>31</v>
      </c>
      <c r="J6409" s="5">
        <v>17.208651174496001</v>
      </c>
      <c r="K6409" s="5">
        <v>-97.579323250233998</v>
      </c>
      <c r="L6409" s="5" t="str">
        <f>HYPERLINK("https://maps.google.com/?q=17.208651174496,-97.579323250234097", "🔗 Ver Mapa")</f>
        <v>🔗 Ver Mapa</v>
      </c>
    </row>
    <row r="6410" spans="1:12" ht="43.5" x14ac:dyDescent="0.35">
      <c r="A6410" s="6" t="s">
        <v>98</v>
      </c>
      <c r="B6410" s="6" t="s">
        <v>99</v>
      </c>
      <c r="C6410" s="6" t="s">
        <v>1228</v>
      </c>
      <c r="D6410" s="6" t="s">
        <v>14</v>
      </c>
      <c r="E6410" s="6" t="s">
        <v>16</v>
      </c>
      <c r="F6410" s="6" t="s">
        <v>21</v>
      </c>
      <c r="G6410" s="6" t="s">
        <v>922</v>
      </c>
      <c r="H6410" s="6" t="s">
        <v>1229</v>
      </c>
      <c r="I6410" s="6" t="s">
        <v>31</v>
      </c>
      <c r="J6410" s="6">
        <v>17.209198197473</v>
      </c>
      <c r="K6410" s="6">
        <v>-97.580388086449005</v>
      </c>
      <c r="L6410" s="6" t="str">
        <f>HYPERLINK("https://maps.google.com/?q=17.2091981974727,-97.580388086448707", "🔗 Ver Mapa")</f>
        <v>🔗 Ver Mapa</v>
      </c>
    </row>
    <row r="6411" spans="1:12" ht="43.5" x14ac:dyDescent="0.35">
      <c r="A6411" s="5" t="s">
        <v>98</v>
      </c>
      <c r="B6411" s="5" t="s">
        <v>99</v>
      </c>
      <c r="C6411" s="5" t="s">
        <v>1228</v>
      </c>
      <c r="D6411" s="5" t="s">
        <v>14</v>
      </c>
      <c r="E6411" s="5" t="s">
        <v>16</v>
      </c>
      <c r="F6411" s="5" t="s">
        <v>21</v>
      </c>
      <c r="G6411" s="5" t="s">
        <v>922</v>
      </c>
      <c r="H6411" s="5" t="s">
        <v>1229</v>
      </c>
      <c r="I6411" s="5" t="s">
        <v>31</v>
      </c>
      <c r="J6411" s="5">
        <v>17.209673621421</v>
      </c>
      <c r="K6411" s="5">
        <v>-97.581220872819003</v>
      </c>
      <c r="L6411" s="5" t="str">
        <f>HYPERLINK("https://maps.google.com/?q=17.2096736214209,-97.581220872819202", "🔗 Ver Mapa")</f>
        <v>🔗 Ver Mapa</v>
      </c>
    </row>
    <row r="6412" spans="1:12" ht="43.5" x14ac:dyDescent="0.35">
      <c r="A6412" s="6" t="s">
        <v>98</v>
      </c>
      <c r="B6412" s="6" t="s">
        <v>99</v>
      </c>
      <c r="C6412" s="6" t="s">
        <v>1228</v>
      </c>
      <c r="D6412" s="6" t="s">
        <v>14</v>
      </c>
      <c r="E6412" s="6" t="s">
        <v>16</v>
      </c>
      <c r="F6412" s="6" t="s">
        <v>21</v>
      </c>
      <c r="G6412" s="6" t="s">
        <v>922</v>
      </c>
      <c r="H6412" s="6" t="s">
        <v>1229</v>
      </c>
      <c r="I6412" s="6" t="s">
        <v>31</v>
      </c>
      <c r="J6412" s="6">
        <v>17.210718181903001</v>
      </c>
      <c r="K6412" s="6">
        <v>-97.584330034242001</v>
      </c>
      <c r="L6412" s="6" t="str">
        <f>HYPERLINK("https://maps.google.com/?q=17.2107181819029,-97.584330034241901", "🔗 Ver Mapa")</f>
        <v>🔗 Ver Mapa</v>
      </c>
    </row>
    <row r="6413" spans="1:12" ht="43.5" x14ac:dyDescent="0.35">
      <c r="A6413" s="5" t="s">
        <v>98</v>
      </c>
      <c r="B6413" s="5" t="s">
        <v>99</v>
      </c>
      <c r="C6413" s="5" t="s">
        <v>1228</v>
      </c>
      <c r="D6413" s="5" t="s">
        <v>14</v>
      </c>
      <c r="E6413" s="5" t="s">
        <v>16</v>
      </c>
      <c r="F6413" s="5" t="s">
        <v>21</v>
      </c>
      <c r="G6413" s="5" t="s">
        <v>922</v>
      </c>
      <c r="H6413" s="5" t="s">
        <v>1229</v>
      </c>
      <c r="I6413" s="5" t="s">
        <v>31</v>
      </c>
      <c r="J6413" s="5">
        <v>17.211397764375999</v>
      </c>
      <c r="K6413" s="5">
        <v>-97.583711344183001</v>
      </c>
      <c r="L6413" s="5" t="str">
        <f>HYPERLINK("https://maps.google.com/?q=17.2113977643764,-97.583711344183101", "🔗 Ver Mapa")</f>
        <v>🔗 Ver Mapa</v>
      </c>
    </row>
    <row r="6414" spans="1:12" ht="43.5" x14ac:dyDescent="0.35">
      <c r="A6414" s="6" t="s">
        <v>98</v>
      </c>
      <c r="B6414" s="6" t="s">
        <v>99</v>
      </c>
      <c r="C6414" s="6" t="s">
        <v>1230</v>
      </c>
      <c r="D6414" s="6" t="s">
        <v>14</v>
      </c>
      <c r="E6414" s="6" t="s">
        <v>16</v>
      </c>
      <c r="F6414" s="6" t="s">
        <v>21</v>
      </c>
      <c r="G6414" s="6" t="s">
        <v>922</v>
      </c>
      <c r="H6414" s="6" t="s">
        <v>1231</v>
      </c>
      <c r="I6414" s="6" t="s">
        <v>31</v>
      </c>
      <c r="J6414" s="6">
        <v>17.219683685762</v>
      </c>
      <c r="K6414" s="6">
        <v>-97.592208017790995</v>
      </c>
      <c r="L6414" s="6" t="str">
        <f>HYPERLINK("https://maps.google.com/?q=17.2196836857623,-97.592208017791194", "🔗 Ver Mapa")</f>
        <v>🔗 Ver Mapa</v>
      </c>
    </row>
    <row r="6415" spans="1:12" ht="43.5" x14ac:dyDescent="0.35">
      <c r="A6415" s="5" t="s">
        <v>98</v>
      </c>
      <c r="B6415" s="5" t="s">
        <v>99</v>
      </c>
      <c r="C6415" s="5" t="s">
        <v>1230</v>
      </c>
      <c r="D6415" s="5" t="s">
        <v>14</v>
      </c>
      <c r="E6415" s="5" t="s">
        <v>16</v>
      </c>
      <c r="F6415" s="5" t="s">
        <v>21</v>
      </c>
      <c r="G6415" s="5" t="s">
        <v>922</v>
      </c>
      <c r="H6415" s="5" t="s">
        <v>1231</v>
      </c>
      <c r="I6415" s="5" t="s">
        <v>31</v>
      </c>
      <c r="J6415" s="5">
        <v>17.220730246950001</v>
      </c>
      <c r="K6415" s="5">
        <v>-97.592472219745005</v>
      </c>
      <c r="L6415" s="5" t="str">
        <f>HYPERLINK("https://maps.google.com/?q=17.2207302469496,-97.592472219745304", "🔗 Ver Mapa")</f>
        <v>🔗 Ver Mapa</v>
      </c>
    </row>
    <row r="6416" spans="1:12" ht="43.5" x14ac:dyDescent="0.35">
      <c r="A6416" s="6" t="s">
        <v>98</v>
      </c>
      <c r="B6416" s="6" t="s">
        <v>99</v>
      </c>
      <c r="C6416" s="6" t="s">
        <v>1230</v>
      </c>
      <c r="D6416" s="6" t="s">
        <v>14</v>
      </c>
      <c r="E6416" s="6" t="s">
        <v>16</v>
      </c>
      <c r="F6416" s="6" t="s">
        <v>21</v>
      </c>
      <c r="G6416" s="6" t="s">
        <v>922</v>
      </c>
      <c r="H6416" s="6" t="s">
        <v>1231</v>
      </c>
      <c r="I6416" s="6" t="s">
        <v>31</v>
      </c>
      <c r="J6416" s="6">
        <v>17.221745226702001</v>
      </c>
      <c r="K6416" s="6">
        <v>-97.593188953373001</v>
      </c>
      <c r="L6416" s="6" t="str">
        <f>HYPERLINK("https://maps.google.com/?q=17.2217452267021,-97.593188953373001", "🔗 Ver Mapa")</f>
        <v>🔗 Ver Mapa</v>
      </c>
    </row>
    <row r="6417" spans="1:12" ht="43.5" x14ac:dyDescent="0.35">
      <c r="A6417" s="5" t="s">
        <v>98</v>
      </c>
      <c r="B6417" s="5" t="s">
        <v>99</v>
      </c>
      <c r="C6417" s="5" t="s">
        <v>1230</v>
      </c>
      <c r="D6417" s="5" t="s">
        <v>14</v>
      </c>
      <c r="E6417" s="5" t="s">
        <v>16</v>
      </c>
      <c r="F6417" s="5" t="s">
        <v>21</v>
      </c>
      <c r="G6417" s="5" t="s">
        <v>922</v>
      </c>
      <c r="H6417" s="5" t="s">
        <v>1231</v>
      </c>
      <c r="I6417" s="5" t="s">
        <v>31</v>
      </c>
      <c r="J6417" s="5">
        <v>17.221968163673999</v>
      </c>
      <c r="K6417" s="5">
        <v>-97.594766650769998</v>
      </c>
      <c r="L6417" s="5" t="str">
        <f>HYPERLINK("https://maps.google.com/?q=17.2219681636741,-97.594766650769699", "🔗 Ver Mapa")</f>
        <v>🔗 Ver Mapa</v>
      </c>
    </row>
    <row r="6418" spans="1:12" ht="43.5" x14ac:dyDescent="0.35">
      <c r="A6418" s="6" t="s">
        <v>98</v>
      </c>
      <c r="B6418" s="6" t="s">
        <v>99</v>
      </c>
      <c r="C6418" s="6" t="s">
        <v>1230</v>
      </c>
      <c r="D6418" s="6" t="s">
        <v>14</v>
      </c>
      <c r="E6418" s="6" t="s">
        <v>16</v>
      </c>
      <c r="F6418" s="6" t="s">
        <v>21</v>
      </c>
      <c r="G6418" s="6" t="s">
        <v>922</v>
      </c>
      <c r="H6418" s="6" t="s">
        <v>1231</v>
      </c>
      <c r="I6418" s="6" t="s">
        <v>31</v>
      </c>
      <c r="J6418" s="6">
        <v>17.222130155875</v>
      </c>
      <c r="K6418" s="6">
        <v>-97.594612663446995</v>
      </c>
      <c r="L6418" s="6" t="str">
        <f>HYPERLINK("https://maps.google.com/?q=17.2221301558748,-97.594612663447194", "🔗 Ver Mapa")</f>
        <v>🔗 Ver Mapa</v>
      </c>
    </row>
    <row r="6419" spans="1:12" ht="43.5" x14ac:dyDescent="0.35">
      <c r="A6419" s="5" t="s">
        <v>98</v>
      </c>
      <c r="B6419" s="5" t="s">
        <v>99</v>
      </c>
      <c r="C6419" s="5" t="s">
        <v>1230</v>
      </c>
      <c r="D6419" s="5" t="s">
        <v>14</v>
      </c>
      <c r="E6419" s="5" t="s">
        <v>16</v>
      </c>
      <c r="F6419" s="5" t="s">
        <v>21</v>
      </c>
      <c r="G6419" s="5" t="s">
        <v>922</v>
      </c>
      <c r="H6419" s="5" t="s">
        <v>1231</v>
      </c>
      <c r="I6419" s="5" t="s">
        <v>31</v>
      </c>
      <c r="J6419" s="5">
        <v>17.223299045895999</v>
      </c>
      <c r="K6419" s="5">
        <v>-97.594114315482997</v>
      </c>
      <c r="L6419" s="5" t="str">
        <f>HYPERLINK("https://maps.google.com/?q=17.2232990458956,-97.594114315482798", "🔗 Ver Mapa")</f>
        <v>🔗 Ver Mapa</v>
      </c>
    </row>
    <row r="6420" spans="1:12" ht="43.5" x14ac:dyDescent="0.35">
      <c r="A6420" s="6" t="s">
        <v>98</v>
      </c>
      <c r="B6420" s="6" t="s">
        <v>99</v>
      </c>
      <c r="C6420" s="6" t="s">
        <v>1230</v>
      </c>
      <c r="D6420" s="6" t="s">
        <v>14</v>
      </c>
      <c r="E6420" s="6" t="s">
        <v>16</v>
      </c>
      <c r="F6420" s="6" t="s">
        <v>21</v>
      </c>
      <c r="G6420" s="6" t="s">
        <v>922</v>
      </c>
      <c r="H6420" s="6" t="s">
        <v>1231</v>
      </c>
      <c r="I6420" s="6" t="s">
        <v>31</v>
      </c>
      <c r="J6420" s="6">
        <v>17.225039750318999</v>
      </c>
      <c r="K6420" s="6">
        <v>-97.594063370314998</v>
      </c>
      <c r="L6420" s="6" t="str">
        <f>HYPERLINK("https://maps.google.com/?q=17.2250397503188,-97.594063370314501", "🔗 Ver Mapa")</f>
        <v>🔗 Ver Mapa</v>
      </c>
    </row>
    <row r="6421" spans="1:12" ht="43.5" x14ac:dyDescent="0.35">
      <c r="A6421" s="5" t="s">
        <v>98</v>
      </c>
      <c r="B6421" s="5" t="s">
        <v>99</v>
      </c>
      <c r="C6421" s="5" t="s">
        <v>1232</v>
      </c>
      <c r="D6421" s="5" t="s">
        <v>14</v>
      </c>
      <c r="E6421" s="5" t="s">
        <v>16</v>
      </c>
      <c r="F6421" s="5" t="s">
        <v>21</v>
      </c>
      <c r="G6421" s="5" t="s">
        <v>922</v>
      </c>
      <c r="H6421" s="5" t="s">
        <v>1233</v>
      </c>
      <c r="I6421" s="5" t="s">
        <v>31</v>
      </c>
      <c r="J6421" s="5">
        <v>17.246377673405998</v>
      </c>
      <c r="K6421" s="5">
        <v>-97.584905128692</v>
      </c>
      <c r="L6421" s="5" t="str">
        <f>HYPERLINK("https://maps.google.com/?q=17.2463776734063,-97.584905128691602", "🔗 Ver Mapa")</f>
        <v>🔗 Ver Mapa</v>
      </c>
    </row>
    <row r="6422" spans="1:12" ht="43.5" x14ac:dyDescent="0.35">
      <c r="A6422" s="6" t="s">
        <v>98</v>
      </c>
      <c r="B6422" s="6" t="s">
        <v>99</v>
      </c>
      <c r="C6422" s="6" t="s">
        <v>1232</v>
      </c>
      <c r="D6422" s="6" t="s">
        <v>14</v>
      </c>
      <c r="E6422" s="6" t="s">
        <v>16</v>
      </c>
      <c r="F6422" s="6" t="s">
        <v>21</v>
      </c>
      <c r="G6422" s="6" t="s">
        <v>922</v>
      </c>
      <c r="H6422" s="6" t="s">
        <v>1233</v>
      </c>
      <c r="I6422" s="6" t="s">
        <v>31</v>
      </c>
      <c r="J6422" s="6">
        <v>17.249193486492</v>
      </c>
      <c r="K6422" s="6">
        <v>-97.584500727637007</v>
      </c>
      <c r="L6422" s="6" t="str">
        <f>HYPERLINK("https://maps.google.com/?q=17.2491934864921,-97.584500727637007", "🔗 Ver Mapa")</f>
        <v>🔗 Ver Mapa</v>
      </c>
    </row>
    <row r="6423" spans="1:12" ht="43.5" x14ac:dyDescent="0.35">
      <c r="A6423" s="5" t="s">
        <v>98</v>
      </c>
      <c r="B6423" s="5" t="s">
        <v>99</v>
      </c>
      <c r="C6423" s="5" t="s">
        <v>1232</v>
      </c>
      <c r="D6423" s="5" t="s">
        <v>14</v>
      </c>
      <c r="E6423" s="5" t="s">
        <v>16</v>
      </c>
      <c r="F6423" s="5" t="s">
        <v>21</v>
      </c>
      <c r="G6423" s="5" t="s">
        <v>922</v>
      </c>
      <c r="H6423" s="5" t="s">
        <v>1233</v>
      </c>
      <c r="I6423" s="5" t="s">
        <v>31</v>
      </c>
      <c r="J6423" s="5">
        <v>17.24958558422</v>
      </c>
      <c r="K6423" s="5">
        <v>-97.584970584136002</v>
      </c>
      <c r="L6423" s="5" t="str">
        <f>HYPERLINK("https://maps.google.com/?q=17.2495855842199,-97.584970584136002", "🔗 Ver Mapa")</f>
        <v>🔗 Ver Mapa</v>
      </c>
    </row>
    <row r="6424" spans="1:12" ht="43.5" x14ac:dyDescent="0.35">
      <c r="A6424" s="6" t="s">
        <v>98</v>
      </c>
      <c r="B6424" s="6" t="s">
        <v>99</v>
      </c>
      <c r="C6424" s="6" t="s">
        <v>1232</v>
      </c>
      <c r="D6424" s="6" t="s">
        <v>14</v>
      </c>
      <c r="E6424" s="6" t="s">
        <v>16</v>
      </c>
      <c r="F6424" s="6" t="s">
        <v>21</v>
      </c>
      <c r="G6424" s="6" t="s">
        <v>922</v>
      </c>
      <c r="H6424" s="6" t="s">
        <v>1233</v>
      </c>
      <c r="I6424" s="6" t="s">
        <v>31</v>
      </c>
      <c r="J6424" s="6">
        <v>17.250184813082999</v>
      </c>
      <c r="K6424" s="6">
        <v>-97.582462248786001</v>
      </c>
      <c r="L6424" s="6" t="str">
        <f>HYPERLINK("https://maps.google.com/?q=17.2501848130832,-97.582462248786001", "🔗 Ver Mapa")</f>
        <v>🔗 Ver Mapa</v>
      </c>
    </row>
    <row r="6425" spans="1:12" ht="43.5" x14ac:dyDescent="0.35">
      <c r="A6425" s="5" t="s">
        <v>98</v>
      </c>
      <c r="B6425" s="5" t="s">
        <v>99</v>
      </c>
      <c r="C6425" s="5" t="s">
        <v>1232</v>
      </c>
      <c r="D6425" s="5" t="s">
        <v>14</v>
      </c>
      <c r="E6425" s="5" t="s">
        <v>16</v>
      </c>
      <c r="F6425" s="5" t="s">
        <v>21</v>
      </c>
      <c r="G6425" s="5" t="s">
        <v>922</v>
      </c>
      <c r="H6425" s="5" t="s">
        <v>1233</v>
      </c>
      <c r="I6425" s="5" t="s">
        <v>31</v>
      </c>
      <c r="J6425" s="5">
        <v>17.2502203795</v>
      </c>
      <c r="K6425" s="5">
        <v>-97.586134461143004</v>
      </c>
      <c r="L6425" s="5" t="str">
        <f>HYPERLINK("https://maps.google.com/?q=17.2502203795,-97.586134461143203", "🔗 Ver Mapa")</f>
        <v>🔗 Ver Mapa</v>
      </c>
    </row>
    <row r="6426" spans="1:12" ht="43.5" x14ac:dyDescent="0.35">
      <c r="A6426" s="6" t="s">
        <v>98</v>
      </c>
      <c r="B6426" s="6" t="s">
        <v>99</v>
      </c>
      <c r="C6426" s="6" t="s">
        <v>1232</v>
      </c>
      <c r="D6426" s="6" t="s">
        <v>14</v>
      </c>
      <c r="E6426" s="6" t="s">
        <v>16</v>
      </c>
      <c r="F6426" s="6" t="s">
        <v>21</v>
      </c>
      <c r="G6426" s="6" t="s">
        <v>922</v>
      </c>
      <c r="H6426" s="6" t="s">
        <v>1233</v>
      </c>
      <c r="I6426" s="6" t="s">
        <v>31</v>
      </c>
      <c r="J6426" s="6">
        <v>17.250582917582001</v>
      </c>
      <c r="K6426" s="6">
        <v>-97.582823863314999</v>
      </c>
      <c r="L6426" s="6" t="str">
        <f>HYPERLINK("https://maps.google.com/?q=17.2505829175819,-97.582823863315099", "🔗 Ver Mapa")</f>
        <v>🔗 Ver Mapa</v>
      </c>
    </row>
    <row r="6427" spans="1:12" ht="43.5" x14ac:dyDescent="0.35">
      <c r="A6427" s="5" t="s">
        <v>98</v>
      </c>
      <c r="B6427" s="5" t="s">
        <v>99</v>
      </c>
      <c r="C6427" s="5" t="s">
        <v>1232</v>
      </c>
      <c r="D6427" s="5" t="s">
        <v>14</v>
      </c>
      <c r="E6427" s="5" t="s">
        <v>16</v>
      </c>
      <c r="F6427" s="5" t="s">
        <v>21</v>
      </c>
      <c r="G6427" s="5" t="s">
        <v>922</v>
      </c>
      <c r="H6427" s="5" t="s">
        <v>1233</v>
      </c>
      <c r="I6427" s="5" t="s">
        <v>31</v>
      </c>
      <c r="J6427" s="5">
        <v>17.251566552084</v>
      </c>
      <c r="K6427" s="5">
        <v>-97.583360305118006</v>
      </c>
      <c r="L6427" s="5" t="str">
        <f>HYPERLINK("https://maps.google.com/?q=17.2515665520844,-97.583360305117907", "🔗 Ver Mapa")</f>
        <v>🔗 Ver Mapa</v>
      </c>
    </row>
    <row r="6428" spans="1:12" ht="43.5" x14ac:dyDescent="0.35">
      <c r="A6428" s="6" t="s">
        <v>98</v>
      </c>
      <c r="B6428" s="6" t="s">
        <v>99</v>
      </c>
      <c r="C6428" s="6" t="s">
        <v>1232</v>
      </c>
      <c r="D6428" s="6" t="s">
        <v>14</v>
      </c>
      <c r="E6428" s="6" t="s">
        <v>16</v>
      </c>
      <c r="F6428" s="6" t="s">
        <v>21</v>
      </c>
      <c r="G6428" s="6" t="s">
        <v>922</v>
      </c>
      <c r="H6428" s="6" t="s">
        <v>1233</v>
      </c>
      <c r="I6428" s="6" t="s">
        <v>31</v>
      </c>
      <c r="J6428" s="6">
        <v>17.254597692710998</v>
      </c>
      <c r="K6428" s="6">
        <v>-97.584533367730998</v>
      </c>
      <c r="L6428" s="6" t="str">
        <f>HYPERLINK("https://maps.google.com/?q=17.2545976927105,-97.584533367731495", "🔗 Ver Mapa")</f>
        <v>🔗 Ver Mapa</v>
      </c>
    </row>
    <row r="6429" spans="1:12" ht="72.5" x14ac:dyDescent="0.35">
      <c r="A6429" s="5" t="s">
        <v>288</v>
      </c>
      <c r="B6429" s="5" t="s">
        <v>289</v>
      </c>
      <c r="C6429" s="5" t="s">
        <v>1234</v>
      </c>
      <c r="D6429" s="5" t="s">
        <v>76</v>
      </c>
      <c r="E6429" s="5" t="s">
        <v>16</v>
      </c>
      <c r="F6429" s="5" t="s">
        <v>21</v>
      </c>
      <c r="G6429" s="5" t="s">
        <v>1235</v>
      </c>
      <c r="H6429" s="5" t="s">
        <v>1236</v>
      </c>
      <c r="I6429" s="5" t="s">
        <v>31</v>
      </c>
      <c r="J6429" s="5">
        <v>17.183543</v>
      </c>
      <c r="K6429" s="5">
        <v>-97.710267999999999</v>
      </c>
      <c r="L6429" s="5" t="str">
        <f>HYPERLINK("https://maps.google.com/?q=17.183543,-97.710268", "🔗 Ver Mapa")</f>
        <v>🔗 Ver Mapa</v>
      </c>
    </row>
    <row r="6430" spans="1:12" ht="43.5" x14ac:dyDescent="0.35">
      <c r="A6430" s="6" t="s">
        <v>98</v>
      </c>
      <c r="B6430" s="6" t="s">
        <v>99</v>
      </c>
      <c r="C6430" s="6" t="s">
        <v>1237</v>
      </c>
      <c r="D6430" s="6" t="s">
        <v>14</v>
      </c>
      <c r="E6430" s="6" t="s">
        <v>16</v>
      </c>
      <c r="F6430" s="6" t="s">
        <v>21</v>
      </c>
      <c r="G6430" s="6" t="s">
        <v>1238</v>
      </c>
      <c r="H6430" s="6" t="s">
        <v>1239</v>
      </c>
      <c r="I6430" s="6" t="s">
        <v>31</v>
      </c>
      <c r="J6430" s="6">
        <v>17.341081750000001</v>
      </c>
      <c r="K6430" s="6">
        <v>-97.558412099999998</v>
      </c>
      <c r="L6430" s="6" t="str">
        <f>HYPERLINK("https://maps.google.com/?q=17.34108175,-97.558412099999998", "🔗 Ver Mapa")</f>
        <v>🔗 Ver Mapa</v>
      </c>
    </row>
    <row r="6431" spans="1:12" ht="43.5" x14ac:dyDescent="0.35">
      <c r="A6431" s="5" t="s">
        <v>98</v>
      </c>
      <c r="B6431" s="5" t="s">
        <v>99</v>
      </c>
      <c r="C6431" s="5" t="s">
        <v>1237</v>
      </c>
      <c r="D6431" s="5" t="s">
        <v>14</v>
      </c>
      <c r="E6431" s="5" t="s">
        <v>16</v>
      </c>
      <c r="F6431" s="5" t="s">
        <v>21</v>
      </c>
      <c r="G6431" s="5" t="s">
        <v>1238</v>
      </c>
      <c r="H6431" s="5" t="s">
        <v>1239</v>
      </c>
      <c r="I6431" s="5" t="s">
        <v>31</v>
      </c>
      <c r="J6431" s="5">
        <v>17.343344510000001</v>
      </c>
      <c r="K6431" s="5">
        <v>-97.556035510000001</v>
      </c>
      <c r="L6431" s="5" t="str">
        <f>HYPERLINK("https://maps.google.com/?q=17.34334451,-97.556035510000001", "🔗 Ver Mapa")</f>
        <v>🔗 Ver Mapa</v>
      </c>
    </row>
    <row r="6432" spans="1:12" ht="43.5" x14ac:dyDescent="0.35">
      <c r="A6432" s="6" t="s">
        <v>98</v>
      </c>
      <c r="B6432" s="6" t="s">
        <v>99</v>
      </c>
      <c r="C6432" s="6" t="s">
        <v>1237</v>
      </c>
      <c r="D6432" s="6" t="s">
        <v>14</v>
      </c>
      <c r="E6432" s="6" t="s">
        <v>16</v>
      </c>
      <c r="F6432" s="6" t="s">
        <v>21</v>
      </c>
      <c r="G6432" s="6" t="s">
        <v>1238</v>
      </c>
      <c r="H6432" s="6" t="s">
        <v>1239</v>
      </c>
      <c r="I6432" s="6" t="s">
        <v>31</v>
      </c>
      <c r="J6432" s="6">
        <v>17.343472519999999</v>
      </c>
      <c r="K6432" s="6">
        <v>-97.556140110000001</v>
      </c>
      <c r="L6432" s="6" t="str">
        <f>HYPERLINK("https://maps.google.com/?q=17.34347252,-97.556140110000001", "🔗 Ver Mapa")</f>
        <v>🔗 Ver Mapa</v>
      </c>
    </row>
    <row r="6433" spans="1:12" ht="43.5" x14ac:dyDescent="0.35">
      <c r="A6433" s="5" t="s">
        <v>98</v>
      </c>
      <c r="B6433" s="5" t="s">
        <v>99</v>
      </c>
      <c r="C6433" s="5" t="s">
        <v>1237</v>
      </c>
      <c r="D6433" s="5" t="s">
        <v>14</v>
      </c>
      <c r="E6433" s="5" t="s">
        <v>16</v>
      </c>
      <c r="F6433" s="5" t="s">
        <v>21</v>
      </c>
      <c r="G6433" s="5" t="s">
        <v>1238</v>
      </c>
      <c r="H6433" s="5" t="s">
        <v>1239</v>
      </c>
      <c r="I6433" s="5" t="s">
        <v>31</v>
      </c>
      <c r="J6433" s="5">
        <v>17.343493639999998</v>
      </c>
      <c r="K6433" s="5">
        <v>-97.560053969999998</v>
      </c>
      <c r="L6433" s="5" t="str">
        <f>HYPERLINK("https://maps.google.com/?q=17.34349364,-97.560053969999998", "🔗 Ver Mapa")</f>
        <v>🔗 Ver Mapa</v>
      </c>
    </row>
    <row r="6434" spans="1:12" ht="43.5" x14ac:dyDescent="0.35">
      <c r="A6434" s="6" t="s">
        <v>98</v>
      </c>
      <c r="B6434" s="6" t="s">
        <v>99</v>
      </c>
      <c r="C6434" s="6" t="s">
        <v>1237</v>
      </c>
      <c r="D6434" s="6" t="s">
        <v>14</v>
      </c>
      <c r="E6434" s="6" t="s">
        <v>16</v>
      </c>
      <c r="F6434" s="6" t="s">
        <v>21</v>
      </c>
      <c r="G6434" s="6" t="s">
        <v>1238</v>
      </c>
      <c r="H6434" s="6" t="s">
        <v>1239</v>
      </c>
      <c r="I6434" s="6" t="s">
        <v>31</v>
      </c>
      <c r="J6434" s="6">
        <v>17.343611410000001</v>
      </c>
      <c r="K6434" s="6">
        <v>-97.55529842</v>
      </c>
      <c r="L6434" s="6" t="str">
        <f>HYPERLINK("https://maps.google.com/?q=17.34361141,-97.55529842", "🔗 Ver Mapa")</f>
        <v>🔗 Ver Mapa</v>
      </c>
    </row>
    <row r="6435" spans="1:12" ht="43.5" x14ac:dyDescent="0.35">
      <c r="A6435" s="5" t="s">
        <v>98</v>
      </c>
      <c r="B6435" s="5" t="s">
        <v>99</v>
      </c>
      <c r="C6435" s="5" t="s">
        <v>1237</v>
      </c>
      <c r="D6435" s="5" t="s">
        <v>14</v>
      </c>
      <c r="E6435" s="5" t="s">
        <v>16</v>
      </c>
      <c r="F6435" s="5" t="s">
        <v>21</v>
      </c>
      <c r="G6435" s="5" t="s">
        <v>1238</v>
      </c>
      <c r="H6435" s="5" t="s">
        <v>1239</v>
      </c>
      <c r="I6435" s="5" t="s">
        <v>31</v>
      </c>
      <c r="J6435" s="5">
        <v>17.343660060000001</v>
      </c>
      <c r="K6435" s="5">
        <v>-97.557591700000003</v>
      </c>
      <c r="L6435" s="5" t="str">
        <f>HYPERLINK("https://maps.google.com/?q=17.34366006,-97.557591700000003", "🔗 Ver Mapa")</f>
        <v>🔗 Ver Mapa</v>
      </c>
    </row>
    <row r="6436" spans="1:12" ht="43.5" x14ac:dyDescent="0.35">
      <c r="A6436" s="6" t="s">
        <v>98</v>
      </c>
      <c r="B6436" s="6" t="s">
        <v>99</v>
      </c>
      <c r="C6436" s="6" t="s">
        <v>1237</v>
      </c>
      <c r="D6436" s="6" t="s">
        <v>14</v>
      </c>
      <c r="E6436" s="6" t="s">
        <v>16</v>
      </c>
      <c r="F6436" s="6" t="s">
        <v>21</v>
      </c>
      <c r="G6436" s="6" t="s">
        <v>1238</v>
      </c>
      <c r="H6436" s="6" t="s">
        <v>1239</v>
      </c>
      <c r="I6436" s="6" t="s">
        <v>31</v>
      </c>
      <c r="J6436" s="6">
        <v>17.343918670000001</v>
      </c>
      <c r="K6436" s="6">
        <v>-97.562285520000003</v>
      </c>
      <c r="L6436" s="6" t="str">
        <f>HYPERLINK("https://maps.google.com/?q=17.34391867,-97.562285520000003", "🔗 Ver Mapa")</f>
        <v>🔗 Ver Mapa</v>
      </c>
    </row>
    <row r="6437" spans="1:12" ht="43.5" x14ac:dyDescent="0.35">
      <c r="A6437" s="5" t="s">
        <v>98</v>
      </c>
      <c r="B6437" s="5" t="s">
        <v>99</v>
      </c>
      <c r="C6437" s="5" t="s">
        <v>1237</v>
      </c>
      <c r="D6437" s="5" t="s">
        <v>14</v>
      </c>
      <c r="E6437" s="5" t="s">
        <v>16</v>
      </c>
      <c r="F6437" s="5" t="s">
        <v>21</v>
      </c>
      <c r="G6437" s="5" t="s">
        <v>1238</v>
      </c>
      <c r="H6437" s="5" t="s">
        <v>1239</v>
      </c>
      <c r="I6437" s="5" t="s">
        <v>31</v>
      </c>
      <c r="J6437" s="5">
        <v>17.343975</v>
      </c>
      <c r="K6437" s="5">
        <v>-97.561698120000003</v>
      </c>
      <c r="L6437" s="5" t="str">
        <f>HYPERLINK("https://maps.google.com/?q=17.343975,-97.561698120000003", "🔗 Ver Mapa")</f>
        <v>🔗 Ver Mapa</v>
      </c>
    </row>
    <row r="6438" spans="1:12" ht="43.5" x14ac:dyDescent="0.35">
      <c r="A6438" s="6" t="s">
        <v>98</v>
      </c>
      <c r="B6438" s="6" t="s">
        <v>99</v>
      </c>
      <c r="C6438" s="6" t="s">
        <v>1237</v>
      </c>
      <c r="D6438" s="6" t="s">
        <v>14</v>
      </c>
      <c r="E6438" s="6" t="s">
        <v>16</v>
      </c>
      <c r="F6438" s="6" t="s">
        <v>21</v>
      </c>
      <c r="G6438" s="6" t="s">
        <v>1238</v>
      </c>
      <c r="H6438" s="6" t="s">
        <v>1239</v>
      </c>
      <c r="I6438" s="6" t="s">
        <v>31</v>
      </c>
      <c r="J6438" s="6">
        <v>17.345081029999999</v>
      </c>
      <c r="K6438" s="6">
        <v>-97.558734279999996</v>
      </c>
      <c r="L6438" s="6" t="str">
        <f>HYPERLINK("https://maps.google.com/?q=17.34508103,-97.558734279999996", "🔗 Ver Mapa")</f>
        <v>🔗 Ver Mapa</v>
      </c>
    </row>
    <row r="6439" spans="1:12" ht="43.5" x14ac:dyDescent="0.35">
      <c r="A6439" s="5" t="s">
        <v>98</v>
      </c>
      <c r="B6439" s="5" t="s">
        <v>99</v>
      </c>
      <c r="C6439" s="5" t="s">
        <v>1237</v>
      </c>
      <c r="D6439" s="5" t="s">
        <v>14</v>
      </c>
      <c r="E6439" s="5" t="s">
        <v>16</v>
      </c>
      <c r="F6439" s="5" t="s">
        <v>21</v>
      </c>
      <c r="G6439" s="5" t="s">
        <v>1238</v>
      </c>
      <c r="H6439" s="5" t="s">
        <v>1239</v>
      </c>
      <c r="I6439" s="5" t="s">
        <v>31</v>
      </c>
      <c r="J6439" s="5">
        <v>17.34568088</v>
      </c>
      <c r="K6439" s="5">
        <v>-97.557115929999995</v>
      </c>
      <c r="L6439" s="5" t="str">
        <f>HYPERLINK("https://maps.google.com/?q=17.34568088,-97.557115929999995", "🔗 Ver Mapa")</f>
        <v>🔗 Ver Mapa</v>
      </c>
    </row>
    <row r="6440" spans="1:12" ht="43.5" x14ac:dyDescent="0.35">
      <c r="A6440" s="6" t="s">
        <v>98</v>
      </c>
      <c r="B6440" s="6" t="s">
        <v>99</v>
      </c>
      <c r="C6440" s="6" t="s">
        <v>1237</v>
      </c>
      <c r="D6440" s="6" t="s">
        <v>14</v>
      </c>
      <c r="E6440" s="6" t="s">
        <v>16</v>
      </c>
      <c r="F6440" s="6" t="s">
        <v>21</v>
      </c>
      <c r="G6440" s="6" t="s">
        <v>1238</v>
      </c>
      <c r="H6440" s="6" t="s">
        <v>1239</v>
      </c>
      <c r="I6440" s="6" t="s">
        <v>31</v>
      </c>
      <c r="J6440" s="6">
        <v>17.346230540000001</v>
      </c>
      <c r="K6440" s="6">
        <v>-97.556843369999996</v>
      </c>
      <c r="L6440" s="6" t="str">
        <f>HYPERLINK("https://maps.google.com/?q=17.34623054,-97.556843369999996", "🔗 Ver Mapa")</f>
        <v>🔗 Ver Mapa</v>
      </c>
    </row>
    <row r="6441" spans="1:12" ht="43.5" x14ac:dyDescent="0.35">
      <c r="A6441" s="5" t="s">
        <v>98</v>
      </c>
      <c r="B6441" s="5" t="s">
        <v>99</v>
      </c>
      <c r="C6441" s="5" t="s">
        <v>1237</v>
      </c>
      <c r="D6441" s="5" t="s">
        <v>14</v>
      </c>
      <c r="E6441" s="5" t="s">
        <v>16</v>
      </c>
      <c r="F6441" s="5" t="s">
        <v>21</v>
      </c>
      <c r="G6441" s="5" t="s">
        <v>1238</v>
      </c>
      <c r="H6441" s="5" t="s">
        <v>1239</v>
      </c>
      <c r="I6441" s="5" t="s">
        <v>31</v>
      </c>
      <c r="J6441" s="5">
        <v>17.346423399999999</v>
      </c>
      <c r="K6441" s="5">
        <v>-97.558481270000001</v>
      </c>
      <c r="L6441" s="5" t="str">
        <f>HYPERLINK("https://maps.google.com/?q=17.3464234,-97.558481270000001", "🔗 Ver Mapa")</f>
        <v>🔗 Ver Mapa</v>
      </c>
    </row>
    <row r="6442" spans="1:12" ht="43.5" x14ac:dyDescent="0.35">
      <c r="A6442" s="6" t="s">
        <v>98</v>
      </c>
      <c r="B6442" s="6" t="s">
        <v>99</v>
      </c>
      <c r="C6442" s="6" t="s">
        <v>1237</v>
      </c>
      <c r="D6442" s="6" t="s">
        <v>14</v>
      </c>
      <c r="E6442" s="6" t="s">
        <v>16</v>
      </c>
      <c r="F6442" s="6" t="s">
        <v>21</v>
      </c>
      <c r="G6442" s="6" t="s">
        <v>1238</v>
      </c>
      <c r="H6442" s="6" t="s">
        <v>1239</v>
      </c>
      <c r="I6442" s="6" t="s">
        <v>31</v>
      </c>
      <c r="J6442" s="6">
        <v>17.346500339999999</v>
      </c>
      <c r="K6442" s="6">
        <v>-97.552781460000006</v>
      </c>
      <c r="L6442" s="6" t="str">
        <f>HYPERLINK("https://maps.google.com/?q=17.34650034,-97.552781460000006", "🔗 Ver Mapa")</f>
        <v>🔗 Ver Mapa</v>
      </c>
    </row>
    <row r="6443" spans="1:12" ht="43.5" x14ac:dyDescent="0.35">
      <c r="A6443" s="5" t="s">
        <v>98</v>
      </c>
      <c r="B6443" s="5" t="s">
        <v>99</v>
      </c>
      <c r="C6443" s="5" t="s">
        <v>1237</v>
      </c>
      <c r="D6443" s="5" t="s">
        <v>14</v>
      </c>
      <c r="E6443" s="5" t="s">
        <v>16</v>
      </c>
      <c r="F6443" s="5" t="s">
        <v>21</v>
      </c>
      <c r="G6443" s="5" t="s">
        <v>1238</v>
      </c>
      <c r="H6443" s="5" t="s">
        <v>1239</v>
      </c>
      <c r="I6443" s="5" t="s">
        <v>31</v>
      </c>
      <c r="J6443" s="5">
        <v>17.34668967</v>
      </c>
      <c r="K6443" s="5">
        <v>-97.560200570000006</v>
      </c>
      <c r="L6443" s="5" t="str">
        <f>HYPERLINK("https://maps.google.com/?q=17.34668967,-97.560200570000006", "🔗 Ver Mapa")</f>
        <v>🔗 Ver Mapa</v>
      </c>
    </row>
    <row r="6444" spans="1:12" ht="43.5" x14ac:dyDescent="0.35">
      <c r="A6444" s="6" t="s">
        <v>98</v>
      </c>
      <c r="B6444" s="6" t="s">
        <v>99</v>
      </c>
      <c r="C6444" s="6" t="s">
        <v>1237</v>
      </c>
      <c r="D6444" s="6" t="s">
        <v>14</v>
      </c>
      <c r="E6444" s="6" t="s">
        <v>16</v>
      </c>
      <c r="F6444" s="6" t="s">
        <v>21</v>
      </c>
      <c r="G6444" s="6" t="s">
        <v>1238</v>
      </c>
      <c r="H6444" s="6" t="s">
        <v>1239</v>
      </c>
      <c r="I6444" s="6" t="s">
        <v>31</v>
      </c>
      <c r="J6444" s="6">
        <v>17.346969430000001</v>
      </c>
      <c r="K6444" s="6">
        <v>-97.555901250000005</v>
      </c>
      <c r="L6444" s="6" t="str">
        <f>HYPERLINK("https://maps.google.com/?q=17.34696943,-97.555901250000005", "🔗 Ver Mapa")</f>
        <v>🔗 Ver Mapa</v>
      </c>
    </row>
    <row r="6445" spans="1:12" ht="43.5" x14ac:dyDescent="0.35">
      <c r="A6445" s="5" t="s">
        <v>98</v>
      </c>
      <c r="B6445" s="5" t="s">
        <v>99</v>
      </c>
      <c r="C6445" s="5" t="s">
        <v>1237</v>
      </c>
      <c r="D6445" s="5" t="s">
        <v>14</v>
      </c>
      <c r="E6445" s="5" t="s">
        <v>16</v>
      </c>
      <c r="F6445" s="5" t="s">
        <v>21</v>
      </c>
      <c r="G6445" s="5" t="s">
        <v>1238</v>
      </c>
      <c r="H6445" s="5" t="s">
        <v>1239</v>
      </c>
      <c r="I6445" s="5" t="s">
        <v>31</v>
      </c>
      <c r="J6445" s="5">
        <v>17.347042980000001</v>
      </c>
      <c r="K6445" s="5">
        <v>-97.558843370000005</v>
      </c>
      <c r="L6445" s="5" t="str">
        <f>HYPERLINK("https://maps.google.com/?q=17.34704298,-97.558843370000005", "🔗 Ver Mapa")</f>
        <v>🔗 Ver Mapa</v>
      </c>
    </row>
    <row r="6446" spans="1:12" ht="43.5" x14ac:dyDescent="0.35">
      <c r="A6446" s="6" t="s">
        <v>98</v>
      </c>
      <c r="B6446" s="6" t="s">
        <v>99</v>
      </c>
      <c r="C6446" s="6" t="s">
        <v>1237</v>
      </c>
      <c r="D6446" s="6" t="s">
        <v>14</v>
      </c>
      <c r="E6446" s="6" t="s">
        <v>16</v>
      </c>
      <c r="F6446" s="6" t="s">
        <v>21</v>
      </c>
      <c r="G6446" s="6" t="s">
        <v>1238</v>
      </c>
      <c r="H6446" s="6" t="s">
        <v>1239</v>
      </c>
      <c r="I6446" s="6" t="s">
        <v>31</v>
      </c>
      <c r="J6446" s="6">
        <v>17.347379069999999</v>
      </c>
      <c r="K6446" s="6">
        <v>-97.557979959999997</v>
      </c>
      <c r="L6446" s="6" t="str">
        <f>HYPERLINK("https://maps.google.com/?q=17.34737907,-97.557979959999997", "🔗 Ver Mapa")</f>
        <v>🔗 Ver Mapa</v>
      </c>
    </row>
    <row r="6447" spans="1:12" ht="43.5" x14ac:dyDescent="0.35">
      <c r="A6447" s="5" t="s">
        <v>98</v>
      </c>
      <c r="B6447" s="5" t="s">
        <v>99</v>
      </c>
      <c r="C6447" s="5" t="s">
        <v>1237</v>
      </c>
      <c r="D6447" s="5" t="s">
        <v>14</v>
      </c>
      <c r="E6447" s="5" t="s">
        <v>16</v>
      </c>
      <c r="F6447" s="5" t="s">
        <v>21</v>
      </c>
      <c r="G6447" s="5" t="s">
        <v>1238</v>
      </c>
      <c r="H6447" s="5" t="s">
        <v>1239</v>
      </c>
      <c r="I6447" s="5" t="s">
        <v>31</v>
      </c>
      <c r="J6447" s="5">
        <v>17.34849376</v>
      </c>
      <c r="K6447" s="5">
        <v>-97.559176890000003</v>
      </c>
      <c r="L6447" s="5" t="str">
        <f>HYPERLINK("https://maps.google.com/?q=17.34849376,-97.559176890000003", "🔗 Ver Mapa")</f>
        <v>🔗 Ver Mapa</v>
      </c>
    </row>
    <row r="6448" spans="1:12" ht="43.5" x14ac:dyDescent="0.35">
      <c r="A6448" s="6" t="s">
        <v>98</v>
      </c>
      <c r="B6448" s="6" t="s">
        <v>99</v>
      </c>
      <c r="C6448" s="6" t="s">
        <v>1237</v>
      </c>
      <c r="D6448" s="6" t="s">
        <v>14</v>
      </c>
      <c r="E6448" s="6" t="s">
        <v>16</v>
      </c>
      <c r="F6448" s="6" t="s">
        <v>21</v>
      </c>
      <c r="G6448" s="6" t="s">
        <v>1238</v>
      </c>
      <c r="H6448" s="6" t="s">
        <v>1239</v>
      </c>
      <c r="I6448" s="6" t="s">
        <v>31</v>
      </c>
      <c r="J6448" s="6">
        <v>17.349831729999998</v>
      </c>
      <c r="K6448" s="6">
        <v>-97.562199070000005</v>
      </c>
      <c r="L6448" s="6" t="str">
        <f>HYPERLINK("https://maps.google.com/?q=17.34983173,-97.562199070000005", "🔗 Ver Mapa")</f>
        <v>🔗 Ver Mapa</v>
      </c>
    </row>
    <row r="6449" spans="1:12" ht="43.5" x14ac:dyDescent="0.35">
      <c r="A6449" s="5" t="s">
        <v>98</v>
      </c>
      <c r="B6449" s="5" t="s">
        <v>99</v>
      </c>
      <c r="C6449" s="5" t="s">
        <v>1237</v>
      </c>
      <c r="D6449" s="5" t="s">
        <v>14</v>
      </c>
      <c r="E6449" s="5" t="s">
        <v>16</v>
      </c>
      <c r="F6449" s="5" t="s">
        <v>21</v>
      </c>
      <c r="G6449" s="5" t="s">
        <v>1238</v>
      </c>
      <c r="H6449" s="5" t="s">
        <v>1239</v>
      </c>
      <c r="I6449" s="5" t="s">
        <v>31</v>
      </c>
      <c r="J6449" s="5">
        <v>17.350190640000001</v>
      </c>
      <c r="K6449" s="5">
        <v>-97.560773929999996</v>
      </c>
      <c r="L6449" s="5" t="str">
        <f>HYPERLINK("https://maps.google.com/?q=17.35019064,-97.560773929999996", "🔗 Ver Mapa")</f>
        <v>🔗 Ver Mapa</v>
      </c>
    </row>
    <row r="6450" spans="1:12" ht="43.5" x14ac:dyDescent="0.35">
      <c r="A6450" s="6" t="s">
        <v>98</v>
      </c>
      <c r="B6450" s="6" t="s">
        <v>99</v>
      </c>
      <c r="C6450" s="6" t="s">
        <v>1240</v>
      </c>
      <c r="D6450" s="6" t="s">
        <v>14</v>
      </c>
      <c r="E6450" s="6" t="s">
        <v>17</v>
      </c>
      <c r="F6450" s="6" t="s">
        <v>46</v>
      </c>
      <c r="G6450" s="6" t="s">
        <v>47</v>
      </c>
      <c r="H6450" s="6" t="s">
        <v>1241</v>
      </c>
      <c r="I6450" s="6" t="s">
        <v>31</v>
      </c>
      <c r="J6450" s="6">
        <v>16.142780999999999</v>
      </c>
      <c r="K6450" s="6">
        <v>-97.358142999999998</v>
      </c>
      <c r="L6450" s="6" t="str">
        <f>HYPERLINK("https://maps.google.com/?q=16.142781,-97.358142999999998", "🔗 Ver Mapa")</f>
        <v>🔗 Ver Mapa</v>
      </c>
    </row>
    <row r="6451" spans="1:12" ht="43.5" x14ac:dyDescent="0.35">
      <c r="A6451" s="5" t="s">
        <v>98</v>
      </c>
      <c r="B6451" s="5" t="s">
        <v>99</v>
      </c>
      <c r="C6451" s="5" t="s">
        <v>1240</v>
      </c>
      <c r="D6451" s="5" t="s">
        <v>14</v>
      </c>
      <c r="E6451" s="5" t="s">
        <v>17</v>
      </c>
      <c r="F6451" s="5" t="s">
        <v>46</v>
      </c>
      <c r="G6451" s="5" t="s">
        <v>47</v>
      </c>
      <c r="H6451" s="5" t="s">
        <v>1241</v>
      </c>
      <c r="I6451" s="5" t="s">
        <v>31</v>
      </c>
      <c r="J6451" s="5">
        <v>16.142921000000001</v>
      </c>
      <c r="K6451" s="5">
        <v>-97.359504000000001</v>
      </c>
      <c r="L6451" s="5" t="str">
        <f>HYPERLINK("https://maps.google.com/?q=16.142921,-97.359504000000001", "🔗 Ver Mapa")</f>
        <v>🔗 Ver Mapa</v>
      </c>
    </row>
    <row r="6452" spans="1:12" ht="43.5" x14ac:dyDescent="0.35">
      <c r="A6452" s="6" t="s">
        <v>98</v>
      </c>
      <c r="B6452" s="6" t="s">
        <v>99</v>
      </c>
      <c r="C6452" s="6" t="s">
        <v>1240</v>
      </c>
      <c r="D6452" s="6" t="s">
        <v>14</v>
      </c>
      <c r="E6452" s="6" t="s">
        <v>17</v>
      </c>
      <c r="F6452" s="6" t="s">
        <v>46</v>
      </c>
      <c r="G6452" s="6" t="s">
        <v>47</v>
      </c>
      <c r="H6452" s="6" t="s">
        <v>1241</v>
      </c>
      <c r="I6452" s="6" t="s">
        <v>31</v>
      </c>
      <c r="J6452" s="6">
        <v>16.143301000000001</v>
      </c>
      <c r="K6452" s="6">
        <v>-97.359842</v>
      </c>
      <c r="L6452" s="6" t="str">
        <f>HYPERLINK("https://maps.google.com/?q=16.143301,-97.359842", "🔗 Ver Mapa")</f>
        <v>🔗 Ver Mapa</v>
      </c>
    </row>
    <row r="6453" spans="1:12" ht="43.5" x14ac:dyDescent="0.35">
      <c r="A6453" s="5" t="s">
        <v>98</v>
      </c>
      <c r="B6453" s="5" t="s">
        <v>99</v>
      </c>
      <c r="C6453" s="5" t="s">
        <v>1240</v>
      </c>
      <c r="D6453" s="5" t="s">
        <v>14</v>
      </c>
      <c r="E6453" s="5" t="s">
        <v>17</v>
      </c>
      <c r="F6453" s="5" t="s">
        <v>46</v>
      </c>
      <c r="G6453" s="5" t="s">
        <v>47</v>
      </c>
      <c r="H6453" s="5" t="s">
        <v>1241</v>
      </c>
      <c r="I6453" s="5" t="s">
        <v>31</v>
      </c>
      <c r="J6453" s="5">
        <v>16.143350000000002</v>
      </c>
      <c r="K6453" s="5">
        <v>-97.355620000000002</v>
      </c>
      <c r="L6453" s="5" t="str">
        <f>HYPERLINK("https://maps.google.com/?q=16.14335,-97.355620000000002", "🔗 Ver Mapa")</f>
        <v>🔗 Ver Mapa</v>
      </c>
    </row>
    <row r="6454" spans="1:12" ht="43.5" x14ac:dyDescent="0.35">
      <c r="A6454" s="6" t="s">
        <v>98</v>
      </c>
      <c r="B6454" s="6" t="s">
        <v>99</v>
      </c>
      <c r="C6454" s="6" t="s">
        <v>1240</v>
      </c>
      <c r="D6454" s="6" t="s">
        <v>14</v>
      </c>
      <c r="E6454" s="6" t="s">
        <v>17</v>
      </c>
      <c r="F6454" s="6" t="s">
        <v>46</v>
      </c>
      <c r="G6454" s="6" t="s">
        <v>47</v>
      </c>
      <c r="H6454" s="6" t="s">
        <v>1241</v>
      </c>
      <c r="I6454" s="6" t="s">
        <v>31</v>
      </c>
      <c r="J6454" s="6">
        <v>16.143477000000001</v>
      </c>
      <c r="K6454" s="6">
        <v>-97.357247999999998</v>
      </c>
      <c r="L6454" s="6" t="str">
        <f>HYPERLINK("https://maps.google.com/?q=16.143477,-97.357247999999998", "🔗 Ver Mapa")</f>
        <v>🔗 Ver Mapa</v>
      </c>
    </row>
    <row r="6455" spans="1:12" ht="43.5" x14ac:dyDescent="0.35">
      <c r="A6455" s="5" t="s">
        <v>98</v>
      </c>
      <c r="B6455" s="5" t="s">
        <v>99</v>
      </c>
      <c r="C6455" s="5" t="s">
        <v>1240</v>
      </c>
      <c r="D6455" s="5" t="s">
        <v>14</v>
      </c>
      <c r="E6455" s="5" t="s">
        <v>17</v>
      </c>
      <c r="F6455" s="5" t="s">
        <v>46</v>
      </c>
      <c r="G6455" s="5" t="s">
        <v>47</v>
      </c>
      <c r="H6455" s="5" t="s">
        <v>1241</v>
      </c>
      <c r="I6455" s="5" t="s">
        <v>31</v>
      </c>
      <c r="J6455" s="5">
        <v>16.143522000000001</v>
      </c>
      <c r="K6455" s="5">
        <v>-97.357365000000001</v>
      </c>
      <c r="L6455" s="5" t="str">
        <f>HYPERLINK("https://maps.google.com/?q=16.143522,-97.357365000000001", "🔗 Ver Mapa")</f>
        <v>🔗 Ver Mapa</v>
      </c>
    </row>
    <row r="6456" spans="1:12" ht="43.5" x14ac:dyDescent="0.35">
      <c r="A6456" s="6" t="s">
        <v>98</v>
      </c>
      <c r="B6456" s="6" t="s">
        <v>99</v>
      </c>
      <c r="C6456" s="6" t="s">
        <v>1240</v>
      </c>
      <c r="D6456" s="6" t="s">
        <v>14</v>
      </c>
      <c r="E6456" s="6" t="s">
        <v>17</v>
      </c>
      <c r="F6456" s="6" t="s">
        <v>46</v>
      </c>
      <c r="G6456" s="6" t="s">
        <v>47</v>
      </c>
      <c r="H6456" s="6" t="s">
        <v>1241</v>
      </c>
      <c r="I6456" s="6" t="s">
        <v>31</v>
      </c>
      <c r="J6456" s="6">
        <v>16.145738000000001</v>
      </c>
      <c r="K6456" s="6">
        <v>-97.351922000000002</v>
      </c>
      <c r="L6456" s="6" t="str">
        <f>HYPERLINK("https://maps.google.com/?q=16.145738,-97.351922000000002", "🔗 Ver Mapa")</f>
        <v>🔗 Ver Mapa</v>
      </c>
    </row>
    <row r="6457" spans="1:12" ht="43.5" x14ac:dyDescent="0.35">
      <c r="A6457" s="5" t="s">
        <v>98</v>
      </c>
      <c r="B6457" s="5" t="s">
        <v>99</v>
      </c>
      <c r="C6457" s="5" t="s">
        <v>1242</v>
      </c>
      <c r="D6457" s="5" t="s">
        <v>14</v>
      </c>
      <c r="E6457" s="5" t="s">
        <v>17</v>
      </c>
      <c r="F6457" s="5" t="s">
        <v>46</v>
      </c>
      <c r="G6457" s="5" t="s">
        <v>47</v>
      </c>
      <c r="H6457" s="5" t="s">
        <v>1243</v>
      </c>
      <c r="I6457" s="5" t="s">
        <v>31</v>
      </c>
      <c r="J6457" s="5">
        <v>16.374867999999999</v>
      </c>
      <c r="K6457" s="5">
        <v>-97.284293000000005</v>
      </c>
      <c r="L6457" s="5" t="str">
        <f>HYPERLINK("https://maps.google.com/?q=16.374868,-97.284293000000005", "🔗 Ver Mapa")</f>
        <v>🔗 Ver Mapa</v>
      </c>
    </row>
    <row r="6458" spans="1:12" ht="43.5" x14ac:dyDescent="0.35">
      <c r="A6458" s="6" t="s">
        <v>98</v>
      </c>
      <c r="B6458" s="6" t="s">
        <v>99</v>
      </c>
      <c r="C6458" s="6" t="s">
        <v>1242</v>
      </c>
      <c r="D6458" s="6" t="s">
        <v>14</v>
      </c>
      <c r="E6458" s="6" t="s">
        <v>17</v>
      </c>
      <c r="F6458" s="6" t="s">
        <v>46</v>
      </c>
      <c r="G6458" s="6" t="s">
        <v>47</v>
      </c>
      <c r="H6458" s="6" t="s">
        <v>1243</v>
      </c>
      <c r="I6458" s="6" t="s">
        <v>31</v>
      </c>
      <c r="J6458" s="6">
        <v>16.375156</v>
      </c>
      <c r="K6458" s="6">
        <v>-97.284300000000002</v>
      </c>
      <c r="L6458" s="6" t="str">
        <f>HYPERLINK("https://maps.google.com/?q=16.375156,-97.284300000000002", "🔗 Ver Mapa")</f>
        <v>🔗 Ver Mapa</v>
      </c>
    </row>
    <row r="6459" spans="1:12" ht="43.5" x14ac:dyDescent="0.35">
      <c r="A6459" s="5" t="s">
        <v>98</v>
      </c>
      <c r="B6459" s="5" t="s">
        <v>99</v>
      </c>
      <c r="C6459" s="5" t="s">
        <v>1242</v>
      </c>
      <c r="D6459" s="5" t="s">
        <v>14</v>
      </c>
      <c r="E6459" s="5" t="s">
        <v>17</v>
      </c>
      <c r="F6459" s="5" t="s">
        <v>46</v>
      </c>
      <c r="G6459" s="5" t="s">
        <v>47</v>
      </c>
      <c r="H6459" s="5" t="s">
        <v>1243</v>
      </c>
      <c r="I6459" s="5" t="s">
        <v>31</v>
      </c>
      <c r="J6459" s="5">
        <v>16.376514</v>
      </c>
      <c r="K6459" s="5">
        <v>-97.281288000000004</v>
      </c>
      <c r="L6459" s="5" t="str">
        <f>HYPERLINK("https://maps.google.com/?q=16.376514,-97.281288000000004", "🔗 Ver Mapa")</f>
        <v>🔗 Ver Mapa</v>
      </c>
    </row>
    <row r="6460" spans="1:12" ht="43.5" x14ac:dyDescent="0.35">
      <c r="A6460" s="6" t="s">
        <v>98</v>
      </c>
      <c r="B6460" s="6" t="s">
        <v>99</v>
      </c>
      <c r="C6460" s="6" t="s">
        <v>1242</v>
      </c>
      <c r="D6460" s="6" t="s">
        <v>14</v>
      </c>
      <c r="E6460" s="6" t="s">
        <v>17</v>
      </c>
      <c r="F6460" s="6" t="s">
        <v>46</v>
      </c>
      <c r="G6460" s="6" t="s">
        <v>47</v>
      </c>
      <c r="H6460" s="6" t="s">
        <v>1243</v>
      </c>
      <c r="I6460" s="6" t="s">
        <v>31</v>
      </c>
      <c r="J6460" s="6">
        <v>16.377652000000001</v>
      </c>
      <c r="K6460" s="6">
        <v>-97.279264999999995</v>
      </c>
      <c r="L6460" s="6" t="str">
        <f>HYPERLINK("https://maps.google.com/?q=16.377652,-97.279264999999995", "🔗 Ver Mapa")</f>
        <v>🔗 Ver Mapa</v>
      </c>
    </row>
    <row r="6461" spans="1:12" ht="43.5" x14ac:dyDescent="0.35">
      <c r="A6461" s="5" t="s">
        <v>98</v>
      </c>
      <c r="B6461" s="5" t="s">
        <v>99</v>
      </c>
      <c r="C6461" s="5" t="s">
        <v>1242</v>
      </c>
      <c r="D6461" s="5" t="s">
        <v>14</v>
      </c>
      <c r="E6461" s="5" t="s">
        <v>17</v>
      </c>
      <c r="F6461" s="5" t="s">
        <v>46</v>
      </c>
      <c r="G6461" s="5" t="s">
        <v>47</v>
      </c>
      <c r="H6461" s="5" t="s">
        <v>1243</v>
      </c>
      <c r="I6461" s="5" t="s">
        <v>31</v>
      </c>
      <c r="J6461" s="5">
        <v>16.377883000000001</v>
      </c>
      <c r="K6461" s="5">
        <v>-97.278841999999997</v>
      </c>
      <c r="L6461" s="5" t="str">
        <f>HYPERLINK("https://maps.google.com/?q=16.377883,-97.278841999999997", "🔗 Ver Mapa")</f>
        <v>🔗 Ver Mapa</v>
      </c>
    </row>
    <row r="6462" spans="1:12" ht="43.5" x14ac:dyDescent="0.35">
      <c r="A6462" s="6" t="s">
        <v>98</v>
      </c>
      <c r="B6462" s="6" t="s">
        <v>99</v>
      </c>
      <c r="C6462" s="6" t="s">
        <v>1242</v>
      </c>
      <c r="D6462" s="6" t="s">
        <v>14</v>
      </c>
      <c r="E6462" s="6" t="s">
        <v>17</v>
      </c>
      <c r="F6462" s="6" t="s">
        <v>46</v>
      </c>
      <c r="G6462" s="6" t="s">
        <v>47</v>
      </c>
      <c r="H6462" s="6" t="s">
        <v>1243</v>
      </c>
      <c r="I6462" s="6" t="s">
        <v>31</v>
      </c>
      <c r="J6462" s="6">
        <v>16.377934</v>
      </c>
      <c r="K6462" s="6">
        <v>-97.282522999999998</v>
      </c>
      <c r="L6462" s="6" t="str">
        <f>HYPERLINK("https://maps.google.com/?q=16.377934,-97.282522999999998", "🔗 Ver Mapa")</f>
        <v>🔗 Ver Mapa</v>
      </c>
    </row>
    <row r="6463" spans="1:12" ht="43.5" x14ac:dyDescent="0.35">
      <c r="A6463" s="5" t="s">
        <v>98</v>
      </c>
      <c r="B6463" s="5" t="s">
        <v>99</v>
      </c>
      <c r="C6463" s="5" t="s">
        <v>1242</v>
      </c>
      <c r="D6463" s="5" t="s">
        <v>14</v>
      </c>
      <c r="E6463" s="5" t="s">
        <v>17</v>
      </c>
      <c r="F6463" s="5" t="s">
        <v>46</v>
      </c>
      <c r="G6463" s="5" t="s">
        <v>47</v>
      </c>
      <c r="H6463" s="5" t="s">
        <v>1243</v>
      </c>
      <c r="I6463" s="5" t="s">
        <v>31</v>
      </c>
      <c r="J6463" s="5">
        <v>16.378153999999999</v>
      </c>
      <c r="K6463" s="5">
        <v>-97.281709000000006</v>
      </c>
      <c r="L6463" s="5" t="str">
        <f>HYPERLINK("https://maps.google.com/?q=16.378154,-97.281709000000006", "🔗 Ver Mapa")</f>
        <v>🔗 Ver Mapa</v>
      </c>
    </row>
    <row r="6464" spans="1:12" ht="43.5" x14ac:dyDescent="0.35">
      <c r="A6464" s="6" t="s">
        <v>98</v>
      </c>
      <c r="B6464" s="6" t="s">
        <v>99</v>
      </c>
      <c r="C6464" s="6" t="s">
        <v>1242</v>
      </c>
      <c r="D6464" s="6" t="s">
        <v>14</v>
      </c>
      <c r="E6464" s="6" t="s">
        <v>17</v>
      </c>
      <c r="F6464" s="6" t="s">
        <v>46</v>
      </c>
      <c r="G6464" s="6" t="s">
        <v>47</v>
      </c>
      <c r="H6464" s="6" t="s">
        <v>1243</v>
      </c>
      <c r="I6464" s="6" t="s">
        <v>31</v>
      </c>
      <c r="J6464" s="6">
        <v>16.378336999999998</v>
      </c>
      <c r="K6464" s="6">
        <v>-97.282489999999996</v>
      </c>
      <c r="L6464" s="6" t="str">
        <f>HYPERLINK("https://maps.google.com/?q=16.378337,-97.282489999999996", "🔗 Ver Mapa")</f>
        <v>🔗 Ver Mapa</v>
      </c>
    </row>
    <row r="6465" spans="1:12" ht="43.5" x14ac:dyDescent="0.35">
      <c r="A6465" s="5" t="s">
        <v>98</v>
      </c>
      <c r="B6465" s="5" t="s">
        <v>99</v>
      </c>
      <c r="C6465" s="5" t="s">
        <v>1242</v>
      </c>
      <c r="D6465" s="5" t="s">
        <v>14</v>
      </c>
      <c r="E6465" s="5" t="s">
        <v>17</v>
      </c>
      <c r="F6465" s="5" t="s">
        <v>46</v>
      </c>
      <c r="G6465" s="5" t="s">
        <v>47</v>
      </c>
      <c r="H6465" s="5" t="s">
        <v>1243</v>
      </c>
      <c r="I6465" s="5" t="s">
        <v>31</v>
      </c>
      <c r="J6465" s="5">
        <v>16.379107999999999</v>
      </c>
      <c r="K6465" s="5">
        <v>-97.278149999999997</v>
      </c>
      <c r="L6465" s="5" t="str">
        <f>HYPERLINK("https://maps.google.com/?q=16.379108,-97.278149999999997", "🔗 Ver Mapa")</f>
        <v>🔗 Ver Mapa</v>
      </c>
    </row>
    <row r="6466" spans="1:12" ht="43.5" x14ac:dyDescent="0.35">
      <c r="A6466" s="6" t="s">
        <v>98</v>
      </c>
      <c r="B6466" s="6" t="s">
        <v>99</v>
      </c>
      <c r="C6466" s="6" t="s">
        <v>1242</v>
      </c>
      <c r="D6466" s="6" t="s">
        <v>14</v>
      </c>
      <c r="E6466" s="6" t="s">
        <v>17</v>
      </c>
      <c r="F6466" s="6" t="s">
        <v>46</v>
      </c>
      <c r="G6466" s="6" t="s">
        <v>47</v>
      </c>
      <c r="H6466" s="6" t="s">
        <v>1243</v>
      </c>
      <c r="I6466" s="6" t="s">
        <v>31</v>
      </c>
      <c r="J6466" s="6">
        <v>16.379190009308999</v>
      </c>
      <c r="K6466" s="6">
        <v>-97.279815317791005</v>
      </c>
      <c r="L6466" s="6" t="str">
        <f>HYPERLINK("https://maps.google.com/?q=16.3791900093093,-97.279815317790906", "🔗 Ver Mapa")</f>
        <v>🔗 Ver Mapa</v>
      </c>
    </row>
    <row r="6467" spans="1:12" ht="43.5" x14ac:dyDescent="0.35">
      <c r="A6467" s="5" t="s">
        <v>98</v>
      </c>
      <c r="B6467" s="5" t="s">
        <v>99</v>
      </c>
      <c r="C6467" s="5" t="s">
        <v>1242</v>
      </c>
      <c r="D6467" s="5" t="s">
        <v>14</v>
      </c>
      <c r="E6467" s="5" t="s">
        <v>17</v>
      </c>
      <c r="F6467" s="5" t="s">
        <v>46</v>
      </c>
      <c r="G6467" s="5" t="s">
        <v>47</v>
      </c>
      <c r="H6467" s="5" t="s">
        <v>1243</v>
      </c>
      <c r="I6467" s="5" t="s">
        <v>31</v>
      </c>
      <c r="J6467" s="5">
        <v>16.379225000000002</v>
      </c>
      <c r="K6467" s="5">
        <v>-97.281288000000004</v>
      </c>
      <c r="L6467" s="5" t="str">
        <f>HYPERLINK("https://maps.google.com/?q=16.379225,-97.281288000000004", "🔗 Ver Mapa")</f>
        <v>🔗 Ver Mapa</v>
      </c>
    </row>
    <row r="6468" spans="1:12" ht="43.5" x14ac:dyDescent="0.35">
      <c r="A6468" s="6" t="s">
        <v>98</v>
      </c>
      <c r="B6468" s="6" t="s">
        <v>99</v>
      </c>
      <c r="C6468" s="6" t="s">
        <v>1242</v>
      </c>
      <c r="D6468" s="6" t="s">
        <v>14</v>
      </c>
      <c r="E6468" s="6" t="s">
        <v>17</v>
      </c>
      <c r="F6468" s="6" t="s">
        <v>46</v>
      </c>
      <c r="G6468" s="6" t="s">
        <v>47</v>
      </c>
      <c r="H6468" s="6" t="s">
        <v>1243</v>
      </c>
      <c r="I6468" s="6" t="s">
        <v>31</v>
      </c>
      <c r="J6468" s="6">
        <v>16.379992999999999</v>
      </c>
      <c r="K6468" s="6">
        <v>-97.279972000000001</v>
      </c>
      <c r="L6468" s="6" t="str">
        <f>HYPERLINK("https://maps.google.com/?q=16.379993,-97.279972000000001", "🔗 Ver Mapa")</f>
        <v>🔗 Ver Mapa</v>
      </c>
    </row>
    <row r="6469" spans="1:12" ht="43.5" x14ac:dyDescent="0.35">
      <c r="A6469" s="5" t="s">
        <v>98</v>
      </c>
      <c r="B6469" s="5" t="s">
        <v>99</v>
      </c>
      <c r="C6469" s="5" t="s">
        <v>1242</v>
      </c>
      <c r="D6469" s="5" t="s">
        <v>14</v>
      </c>
      <c r="E6469" s="5" t="s">
        <v>17</v>
      </c>
      <c r="F6469" s="5" t="s">
        <v>46</v>
      </c>
      <c r="G6469" s="5" t="s">
        <v>47</v>
      </c>
      <c r="H6469" s="5" t="s">
        <v>1243</v>
      </c>
      <c r="I6469" s="5" t="s">
        <v>31</v>
      </c>
      <c r="J6469" s="5">
        <v>16.380210999999999</v>
      </c>
      <c r="K6469" s="5">
        <v>-97.278298000000007</v>
      </c>
      <c r="L6469" s="5" t="str">
        <f>HYPERLINK("https://maps.google.com/?q=16.380211,-97.278298000000007", "🔗 Ver Mapa")</f>
        <v>🔗 Ver Mapa</v>
      </c>
    </row>
    <row r="6470" spans="1:12" ht="43.5" x14ac:dyDescent="0.35">
      <c r="A6470" s="6" t="s">
        <v>98</v>
      </c>
      <c r="B6470" s="6" t="s">
        <v>99</v>
      </c>
      <c r="C6470" s="6" t="s">
        <v>1242</v>
      </c>
      <c r="D6470" s="6" t="s">
        <v>14</v>
      </c>
      <c r="E6470" s="6" t="s">
        <v>17</v>
      </c>
      <c r="F6470" s="6" t="s">
        <v>46</v>
      </c>
      <c r="G6470" s="6" t="s">
        <v>47</v>
      </c>
      <c r="H6470" s="6" t="s">
        <v>1243</v>
      </c>
      <c r="I6470" s="6" t="s">
        <v>31</v>
      </c>
      <c r="J6470" s="6">
        <v>16.381460000000001</v>
      </c>
      <c r="K6470" s="6">
        <v>-97.280990000000003</v>
      </c>
      <c r="L6470" s="6" t="str">
        <f>HYPERLINK("https://maps.google.com/?q=16.38146,-97.280990000000003", "🔗 Ver Mapa")</f>
        <v>🔗 Ver Mapa</v>
      </c>
    </row>
    <row r="6471" spans="1:12" ht="43.5" x14ac:dyDescent="0.35">
      <c r="A6471" s="5" t="s">
        <v>98</v>
      </c>
      <c r="B6471" s="5" t="s">
        <v>99</v>
      </c>
      <c r="C6471" s="5" t="s">
        <v>1244</v>
      </c>
      <c r="D6471" s="5" t="s">
        <v>14</v>
      </c>
      <c r="E6471" s="5" t="s">
        <v>16</v>
      </c>
      <c r="F6471" s="5" t="s">
        <v>21</v>
      </c>
      <c r="G6471" s="5" t="s">
        <v>922</v>
      </c>
      <c r="H6471" s="5" t="s">
        <v>1233</v>
      </c>
      <c r="I6471" s="5" t="s">
        <v>31</v>
      </c>
      <c r="J6471" s="5">
        <v>17.249165022707999</v>
      </c>
      <c r="K6471" s="5">
        <v>-97.582241111057002</v>
      </c>
      <c r="L6471" s="5" t="str">
        <f>HYPERLINK("https://maps.google.com/?q=17.2491650227082,-97.582241111056604", "🔗 Ver Mapa")</f>
        <v>🔗 Ver Mapa</v>
      </c>
    </row>
    <row r="6472" spans="1:12" ht="43.5" x14ac:dyDescent="0.35">
      <c r="A6472" s="6" t="s">
        <v>98</v>
      </c>
      <c r="B6472" s="6" t="s">
        <v>99</v>
      </c>
      <c r="C6472" s="6" t="s">
        <v>1244</v>
      </c>
      <c r="D6472" s="6" t="s">
        <v>14</v>
      </c>
      <c r="E6472" s="6" t="s">
        <v>16</v>
      </c>
      <c r="F6472" s="6" t="s">
        <v>21</v>
      </c>
      <c r="G6472" s="6" t="s">
        <v>922</v>
      </c>
      <c r="H6472" s="6" t="s">
        <v>1233</v>
      </c>
      <c r="I6472" s="6" t="s">
        <v>31</v>
      </c>
      <c r="J6472" s="6">
        <v>17.251306270861001</v>
      </c>
      <c r="K6472" s="6">
        <v>-97.583716847589002</v>
      </c>
      <c r="L6472" s="6" t="str">
        <f>HYPERLINK("https://maps.google.com/?q=17.2513062708609,-97.5837168475895", "🔗 Ver Mapa")</f>
        <v>🔗 Ver Mapa</v>
      </c>
    </row>
    <row r="6473" spans="1:12" ht="43.5" x14ac:dyDescent="0.35">
      <c r="A6473" s="5" t="s">
        <v>98</v>
      </c>
      <c r="B6473" s="5" t="s">
        <v>99</v>
      </c>
      <c r="C6473" s="5" t="s">
        <v>1245</v>
      </c>
      <c r="D6473" s="5" t="s">
        <v>14</v>
      </c>
      <c r="E6473" s="5" t="s">
        <v>16</v>
      </c>
      <c r="F6473" s="5" t="s">
        <v>21</v>
      </c>
      <c r="G6473" s="5" t="s">
        <v>922</v>
      </c>
      <c r="H6473" s="5" t="s">
        <v>923</v>
      </c>
      <c r="I6473" s="5" t="s">
        <v>31</v>
      </c>
      <c r="J6473" s="5">
        <v>17.262683180524999</v>
      </c>
      <c r="K6473" s="5">
        <v>-97.531404595913997</v>
      </c>
      <c r="L6473" s="5" t="str">
        <f>HYPERLINK("https://maps.google.com/?q=17.2626831805248,-97.531404595913799", "🔗 Ver Mapa")</f>
        <v>🔗 Ver Mapa</v>
      </c>
    </row>
    <row r="6474" spans="1:12" ht="43.5" x14ac:dyDescent="0.35">
      <c r="A6474" s="6" t="s">
        <v>98</v>
      </c>
      <c r="B6474" s="6" t="s">
        <v>99</v>
      </c>
      <c r="C6474" s="6" t="s">
        <v>1245</v>
      </c>
      <c r="D6474" s="6" t="s">
        <v>14</v>
      </c>
      <c r="E6474" s="6" t="s">
        <v>16</v>
      </c>
      <c r="F6474" s="6" t="s">
        <v>21</v>
      </c>
      <c r="G6474" s="6" t="s">
        <v>922</v>
      </c>
      <c r="H6474" s="6" t="s">
        <v>923</v>
      </c>
      <c r="I6474" s="6" t="s">
        <v>31</v>
      </c>
      <c r="J6474" s="6">
        <v>17.264475819988</v>
      </c>
      <c r="K6474" s="6">
        <v>-97.528124879999993</v>
      </c>
      <c r="L6474" s="6" t="str">
        <f>HYPERLINK("https://maps.google.com/?q=17.264475819988,-97.528124879999993", "🔗 Ver Mapa")</f>
        <v>🔗 Ver Mapa</v>
      </c>
    </row>
    <row r="6475" spans="1:12" ht="43.5" x14ac:dyDescent="0.35">
      <c r="A6475" s="5" t="s">
        <v>98</v>
      </c>
      <c r="B6475" s="5" t="s">
        <v>99</v>
      </c>
      <c r="C6475" s="5" t="s">
        <v>1245</v>
      </c>
      <c r="D6475" s="5" t="s">
        <v>14</v>
      </c>
      <c r="E6475" s="5" t="s">
        <v>16</v>
      </c>
      <c r="F6475" s="5" t="s">
        <v>21</v>
      </c>
      <c r="G6475" s="5" t="s">
        <v>922</v>
      </c>
      <c r="H6475" s="5" t="s">
        <v>923</v>
      </c>
      <c r="I6475" s="5" t="s">
        <v>31</v>
      </c>
      <c r="J6475" s="5">
        <v>17.266538231378998</v>
      </c>
      <c r="K6475" s="5">
        <v>-97.532495491044997</v>
      </c>
      <c r="L6475" s="5" t="str">
        <f>HYPERLINK("https://maps.google.com/?q=17.2665382313791,-97.532495491045097", "🔗 Ver Mapa")</f>
        <v>🔗 Ver Mapa</v>
      </c>
    </row>
    <row r="6476" spans="1:12" ht="43.5" x14ac:dyDescent="0.35">
      <c r="A6476" s="6" t="s">
        <v>98</v>
      </c>
      <c r="B6476" s="6" t="s">
        <v>99</v>
      </c>
      <c r="C6476" s="6" t="s">
        <v>1245</v>
      </c>
      <c r="D6476" s="6" t="s">
        <v>14</v>
      </c>
      <c r="E6476" s="6" t="s">
        <v>16</v>
      </c>
      <c r="F6476" s="6" t="s">
        <v>21</v>
      </c>
      <c r="G6476" s="6" t="s">
        <v>922</v>
      </c>
      <c r="H6476" s="6" t="s">
        <v>923</v>
      </c>
      <c r="I6476" s="6" t="s">
        <v>31</v>
      </c>
      <c r="J6476" s="6">
        <v>17.268423042713</v>
      </c>
      <c r="K6476" s="6">
        <v>-97.534063840697996</v>
      </c>
      <c r="L6476" s="6" t="str">
        <f>HYPERLINK("https://maps.google.com/?q=17.2684230427128,-97.534063840697797", "🔗 Ver Mapa")</f>
        <v>🔗 Ver Mapa</v>
      </c>
    </row>
    <row r="6477" spans="1:12" ht="43.5" x14ac:dyDescent="0.35">
      <c r="A6477" s="5" t="s">
        <v>98</v>
      </c>
      <c r="B6477" s="5" t="s">
        <v>99</v>
      </c>
      <c r="C6477" s="5" t="s">
        <v>1246</v>
      </c>
      <c r="D6477" s="5" t="s">
        <v>14</v>
      </c>
      <c r="E6477" s="5" t="s">
        <v>16</v>
      </c>
      <c r="F6477" s="5" t="s">
        <v>21</v>
      </c>
      <c r="G6477" s="5" t="s">
        <v>922</v>
      </c>
      <c r="H6477" s="5" t="s">
        <v>1218</v>
      </c>
      <c r="I6477" s="5" t="s">
        <v>31</v>
      </c>
      <c r="J6477" s="5">
        <v>17.235151578284</v>
      </c>
      <c r="K6477" s="5">
        <v>-97.553765702145</v>
      </c>
      <c r="L6477" s="5" t="str">
        <f>HYPERLINK("https://maps.google.com/?q=17.2351515782844,-97.553765702145498", "🔗 Ver Mapa")</f>
        <v>🔗 Ver Mapa</v>
      </c>
    </row>
    <row r="6478" spans="1:12" ht="43.5" x14ac:dyDescent="0.35">
      <c r="A6478" s="6" t="s">
        <v>98</v>
      </c>
      <c r="B6478" s="6" t="s">
        <v>99</v>
      </c>
      <c r="C6478" s="6" t="s">
        <v>1246</v>
      </c>
      <c r="D6478" s="6" t="s">
        <v>14</v>
      </c>
      <c r="E6478" s="6" t="s">
        <v>16</v>
      </c>
      <c r="F6478" s="6" t="s">
        <v>21</v>
      </c>
      <c r="G6478" s="6" t="s">
        <v>922</v>
      </c>
      <c r="H6478" s="6" t="s">
        <v>1218</v>
      </c>
      <c r="I6478" s="6" t="s">
        <v>31</v>
      </c>
      <c r="J6478" s="6">
        <v>17.236171675864998</v>
      </c>
      <c r="K6478" s="6">
        <v>-97.550495442827994</v>
      </c>
      <c r="L6478" s="6" t="str">
        <f>HYPERLINK("https://maps.google.com/?q=17.2361716758654,-97.550495442828193", "🔗 Ver Mapa")</f>
        <v>🔗 Ver Mapa</v>
      </c>
    </row>
    <row r="6479" spans="1:12" ht="43.5" x14ac:dyDescent="0.35">
      <c r="A6479" s="5" t="s">
        <v>98</v>
      </c>
      <c r="B6479" s="5" t="s">
        <v>99</v>
      </c>
      <c r="C6479" s="5" t="s">
        <v>1246</v>
      </c>
      <c r="D6479" s="5" t="s">
        <v>14</v>
      </c>
      <c r="E6479" s="5" t="s">
        <v>16</v>
      </c>
      <c r="F6479" s="5" t="s">
        <v>21</v>
      </c>
      <c r="G6479" s="5" t="s">
        <v>922</v>
      </c>
      <c r="H6479" s="5" t="s">
        <v>1218</v>
      </c>
      <c r="I6479" s="5" t="s">
        <v>31</v>
      </c>
      <c r="J6479" s="5">
        <v>17.23724996728</v>
      </c>
      <c r="K6479" s="5">
        <v>-97.554484412270995</v>
      </c>
      <c r="L6479" s="5" t="str">
        <f>HYPERLINK("https://maps.google.com/?q=17.23724996728,-97.554484412271194", "🔗 Ver Mapa")</f>
        <v>🔗 Ver Mapa</v>
      </c>
    </row>
    <row r="6480" spans="1:12" ht="43.5" x14ac:dyDescent="0.35">
      <c r="A6480" s="6" t="s">
        <v>98</v>
      </c>
      <c r="B6480" s="6" t="s">
        <v>99</v>
      </c>
      <c r="C6480" s="6" t="s">
        <v>1246</v>
      </c>
      <c r="D6480" s="6" t="s">
        <v>14</v>
      </c>
      <c r="E6480" s="6" t="s">
        <v>16</v>
      </c>
      <c r="F6480" s="6" t="s">
        <v>21</v>
      </c>
      <c r="G6480" s="6" t="s">
        <v>922</v>
      </c>
      <c r="H6480" s="6" t="s">
        <v>1218</v>
      </c>
      <c r="I6480" s="6" t="s">
        <v>31</v>
      </c>
      <c r="J6480" s="6">
        <v>17.238783883747001</v>
      </c>
      <c r="K6480" s="6">
        <v>-97.552714970245006</v>
      </c>
      <c r="L6480" s="6" t="str">
        <f>HYPERLINK("https://maps.google.com/?q=17.238783883747,-97.552714970244693", "🔗 Ver Mapa")</f>
        <v>🔗 Ver Mapa</v>
      </c>
    </row>
    <row r="6481" spans="1:12" ht="43.5" x14ac:dyDescent="0.35">
      <c r="A6481" s="5" t="s">
        <v>98</v>
      </c>
      <c r="B6481" s="5" t="s">
        <v>99</v>
      </c>
      <c r="C6481" s="5" t="s">
        <v>1247</v>
      </c>
      <c r="D6481" s="5" t="s">
        <v>14</v>
      </c>
      <c r="E6481" s="5" t="s">
        <v>16</v>
      </c>
      <c r="F6481" s="5" t="s">
        <v>21</v>
      </c>
      <c r="G6481" s="5" t="s">
        <v>922</v>
      </c>
      <c r="H6481" s="5" t="s">
        <v>1225</v>
      </c>
      <c r="I6481" s="5" t="s">
        <v>31</v>
      </c>
      <c r="J6481" s="5">
        <v>17.252500266226001</v>
      </c>
      <c r="K6481" s="5">
        <v>-97.543147829543997</v>
      </c>
      <c r="L6481" s="5" t="str">
        <f>HYPERLINK("https://maps.google.com/?q=17.2525002662262,-97.543147829543699", "🔗 Ver Mapa")</f>
        <v>🔗 Ver Mapa</v>
      </c>
    </row>
    <row r="6482" spans="1:12" ht="43.5" x14ac:dyDescent="0.35">
      <c r="A6482" s="6" t="s">
        <v>98</v>
      </c>
      <c r="B6482" s="6" t="s">
        <v>99</v>
      </c>
      <c r="C6482" s="6" t="s">
        <v>1247</v>
      </c>
      <c r="D6482" s="6" t="s">
        <v>14</v>
      </c>
      <c r="E6482" s="6" t="s">
        <v>16</v>
      </c>
      <c r="F6482" s="6" t="s">
        <v>21</v>
      </c>
      <c r="G6482" s="6" t="s">
        <v>922</v>
      </c>
      <c r="H6482" s="6" t="s">
        <v>1225</v>
      </c>
      <c r="I6482" s="6" t="s">
        <v>31</v>
      </c>
      <c r="J6482" s="6">
        <v>17.255964959286999</v>
      </c>
      <c r="K6482" s="6">
        <v>-97.541537748115999</v>
      </c>
      <c r="L6482" s="6" t="str">
        <f>HYPERLINK("https://maps.google.com/?q=17.2559649592867,-97.541537748115701", "🔗 Ver Mapa")</f>
        <v>🔗 Ver Mapa</v>
      </c>
    </row>
    <row r="6483" spans="1:12" ht="43.5" x14ac:dyDescent="0.35">
      <c r="A6483" s="5" t="s">
        <v>98</v>
      </c>
      <c r="B6483" s="5" t="s">
        <v>99</v>
      </c>
      <c r="C6483" s="5" t="s">
        <v>1247</v>
      </c>
      <c r="D6483" s="5" t="s">
        <v>14</v>
      </c>
      <c r="E6483" s="5" t="s">
        <v>16</v>
      </c>
      <c r="F6483" s="5" t="s">
        <v>21</v>
      </c>
      <c r="G6483" s="5" t="s">
        <v>922</v>
      </c>
      <c r="H6483" s="5" t="s">
        <v>1225</v>
      </c>
      <c r="I6483" s="5" t="s">
        <v>31</v>
      </c>
      <c r="J6483" s="5">
        <v>17.256032422455</v>
      </c>
      <c r="K6483" s="5">
        <v>-97.542266003522997</v>
      </c>
      <c r="L6483" s="5" t="str">
        <f>HYPERLINK("https://maps.google.com/?q=17.2560324224546,-97.542266003522798", "🔗 Ver Mapa")</f>
        <v>🔗 Ver Mapa</v>
      </c>
    </row>
    <row r="6484" spans="1:12" ht="43.5" x14ac:dyDescent="0.35">
      <c r="A6484" s="6" t="s">
        <v>98</v>
      </c>
      <c r="B6484" s="6" t="s">
        <v>99</v>
      </c>
      <c r="C6484" s="6" t="s">
        <v>1247</v>
      </c>
      <c r="D6484" s="6" t="s">
        <v>14</v>
      </c>
      <c r="E6484" s="6" t="s">
        <v>16</v>
      </c>
      <c r="F6484" s="6" t="s">
        <v>21</v>
      </c>
      <c r="G6484" s="6" t="s">
        <v>922</v>
      </c>
      <c r="H6484" s="6" t="s">
        <v>1225</v>
      </c>
      <c r="I6484" s="6" t="s">
        <v>31</v>
      </c>
      <c r="J6484" s="6">
        <v>17.256128893951999</v>
      </c>
      <c r="K6484" s="6">
        <v>-97.541476057308998</v>
      </c>
      <c r="L6484" s="6" t="str">
        <f>HYPERLINK("https://maps.google.com/?q=17.2561288939521,-97.5414760573085", "🔗 Ver Mapa")</f>
        <v>🔗 Ver Mapa</v>
      </c>
    </row>
    <row r="6485" spans="1:12" ht="43.5" x14ac:dyDescent="0.35">
      <c r="A6485" s="5" t="s">
        <v>98</v>
      </c>
      <c r="B6485" s="5" t="s">
        <v>99</v>
      </c>
      <c r="C6485" s="5" t="s">
        <v>1247</v>
      </c>
      <c r="D6485" s="5" t="s">
        <v>14</v>
      </c>
      <c r="E6485" s="5" t="s">
        <v>16</v>
      </c>
      <c r="F6485" s="5" t="s">
        <v>21</v>
      </c>
      <c r="G6485" s="5" t="s">
        <v>922</v>
      </c>
      <c r="H6485" s="5" t="s">
        <v>1225</v>
      </c>
      <c r="I6485" s="5" t="s">
        <v>31</v>
      </c>
      <c r="J6485" s="5">
        <v>17.256499641996001</v>
      </c>
      <c r="K6485" s="5">
        <v>-97.541498281993</v>
      </c>
      <c r="L6485" s="5" t="str">
        <f>HYPERLINK("https://maps.google.com/?q=17.2564996419958,-97.541498281992602", "🔗 Ver Mapa")</f>
        <v>🔗 Ver Mapa</v>
      </c>
    </row>
    <row r="6486" spans="1:12" ht="43.5" x14ac:dyDescent="0.35">
      <c r="A6486" s="6" t="s">
        <v>98</v>
      </c>
      <c r="B6486" s="6" t="s">
        <v>99</v>
      </c>
      <c r="C6486" s="6" t="s">
        <v>1248</v>
      </c>
      <c r="D6486" s="6" t="s">
        <v>14</v>
      </c>
      <c r="E6486" s="6" t="s">
        <v>16</v>
      </c>
      <c r="F6486" s="6" t="s">
        <v>21</v>
      </c>
      <c r="G6486" s="6" t="s">
        <v>922</v>
      </c>
      <c r="H6486" s="6" t="s">
        <v>1249</v>
      </c>
      <c r="I6486" s="6" t="s">
        <v>31</v>
      </c>
      <c r="J6486" s="6">
        <v>17.199248666854</v>
      </c>
      <c r="K6486" s="6">
        <v>-97.588619174376007</v>
      </c>
      <c r="L6486" s="6" t="str">
        <f>HYPERLINK("https://maps.google.com/?q=17.1992486668544,-97.588619174375594", "🔗 Ver Mapa")</f>
        <v>🔗 Ver Mapa</v>
      </c>
    </row>
    <row r="6487" spans="1:12" ht="43.5" x14ac:dyDescent="0.35">
      <c r="A6487" s="5" t="s">
        <v>98</v>
      </c>
      <c r="B6487" s="5" t="s">
        <v>99</v>
      </c>
      <c r="C6487" s="5" t="s">
        <v>1248</v>
      </c>
      <c r="D6487" s="5" t="s">
        <v>14</v>
      </c>
      <c r="E6487" s="5" t="s">
        <v>16</v>
      </c>
      <c r="F6487" s="5" t="s">
        <v>21</v>
      </c>
      <c r="G6487" s="5" t="s">
        <v>922</v>
      </c>
      <c r="H6487" s="5" t="s">
        <v>1249</v>
      </c>
      <c r="I6487" s="5" t="s">
        <v>31</v>
      </c>
      <c r="J6487" s="5">
        <v>17.199700261240999</v>
      </c>
      <c r="K6487" s="5">
        <v>-97.590744538896004</v>
      </c>
      <c r="L6487" s="5" t="str">
        <f>HYPERLINK("https://maps.google.com/?q=17.1997002612405,-97.590744538895507", "🔗 Ver Mapa")</f>
        <v>🔗 Ver Mapa</v>
      </c>
    </row>
    <row r="6488" spans="1:12" ht="43.5" x14ac:dyDescent="0.35">
      <c r="A6488" s="6" t="s">
        <v>98</v>
      </c>
      <c r="B6488" s="6" t="s">
        <v>99</v>
      </c>
      <c r="C6488" s="6" t="s">
        <v>1248</v>
      </c>
      <c r="D6488" s="6" t="s">
        <v>14</v>
      </c>
      <c r="E6488" s="6" t="s">
        <v>16</v>
      </c>
      <c r="F6488" s="6" t="s">
        <v>21</v>
      </c>
      <c r="G6488" s="6" t="s">
        <v>922</v>
      </c>
      <c r="H6488" s="6" t="s">
        <v>1249</v>
      </c>
      <c r="I6488" s="6" t="s">
        <v>31</v>
      </c>
      <c r="J6488" s="6">
        <v>17.200609765185</v>
      </c>
      <c r="K6488" s="6">
        <v>-97.588979623507996</v>
      </c>
      <c r="L6488" s="6" t="str">
        <f>HYPERLINK("https://maps.google.com/?q=17.2006097651849,-97.588979623508095", "🔗 Ver Mapa")</f>
        <v>🔗 Ver Mapa</v>
      </c>
    </row>
    <row r="6489" spans="1:12" ht="43.5" x14ac:dyDescent="0.35">
      <c r="A6489" s="5" t="s">
        <v>98</v>
      </c>
      <c r="B6489" s="5" t="s">
        <v>99</v>
      </c>
      <c r="C6489" s="5" t="s">
        <v>1248</v>
      </c>
      <c r="D6489" s="5" t="s">
        <v>14</v>
      </c>
      <c r="E6489" s="5" t="s">
        <v>16</v>
      </c>
      <c r="F6489" s="5" t="s">
        <v>21</v>
      </c>
      <c r="G6489" s="5" t="s">
        <v>922</v>
      </c>
      <c r="H6489" s="5" t="s">
        <v>1249</v>
      </c>
      <c r="I6489" s="5" t="s">
        <v>31</v>
      </c>
      <c r="J6489" s="5">
        <v>17.200769314334998</v>
      </c>
      <c r="K6489" s="5">
        <v>-97.594523030277998</v>
      </c>
      <c r="L6489" s="5" t="str">
        <f>HYPERLINK("https://maps.google.com/?q=17.2007693143352,-97.594523030278495", "🔗 Ver Mapa")</f>
        <v>🔗 Ver Mapa</v>
      </c>
    </row>
    <row r="6490" spans="1:12" ht="43.5" x14ac:dyDescent="0.35">
      <c r="A6490" s="6" t="s">
        <v>98</v>
      </c>
      <c r="B6490" s="6" t="s">
        <v>99</v>
      </c>
      <c r="C6490" s="6" t="s">
        <v>1248</v>
      </c>
      <c r="D6490" s="6" t="s">
        <v>14</v>
      </c>
      <c r="E6490" s="6" t="s">
        <v>16</v>
      </c>
      <c r="F6490" s="6" t="s">
        <v>21</v>
      </c>
      <c r="G6490" s="6" t="s">
        <v>922</v>
      </c>
      <c r="H6490" s="6" t="s">
        <v>1249</v>
      </c>
      <c r="I6490" s="6" t="s">
        <v>31</v>
      </c>
      <c r="J6490" s="6">
        <v>17.201004215171</v>
      </c>
      <c r="K6490" s="6">
        <v>-97.590535915263004</v>
      </c>
      <c r="L6490" s="6" t="str">
        <f>HYPERLINK("https://maps.google.com/?q=17.2010042151707,-97.590535915262805", "🔗 Ver Mapa")</f>
        <v>🔗 Ver Mapa</v>
      </c>
    </row>
    <row r="6491" spans="1:12" ht="43.5" x14ac:dyDescent="0.35">
      <c r="A6491" s="5" t="s">
        <v>98</v>
      </c>
      <c r="B6491" s="5" t="s">
        <v>99</v>
      </c>
      <c r="C6491" s="5" t="s">
        <v>1248</v>
      </c>
      <c r="D6491" s="5" t="s">
        <v>14</v>
      </c>
      <c r="E6491" s="5" t="s">
        <v>16</v>
      </c>
      <c r="F6491" s="5" t="s">
        <v>21</v>
      </c>
      <c r="G6491" s="5" t="s">
        <v>922</v>
      </c>
      <c r="H6491" s="5" t="s">
        <v>1249</v>
      </c>
      <c r="I6491" s="5" t="s">
        <v>31</v>
      </c>
      <c r="J6491" s="5">
        <v>17.201111063260999</v>
      </c>
      <c r="K6491" s="5">
        <v>-97.595415588636996</v>
      </c>
      <c r="L6491" s="5" t="str">
        <f>HYPERLINK("https://maps.google.com/?q=17.2011110632611,-97.595415588637493", "🔗 Ver Mapa")</f>
        <v>🔗 Ver Mapa</v>
      </c>
    </row>
    <row r="6492" spans="1:12" ht="43.5" x14ac:dyDescent="0.35">
      <c r="A6492" s="6" t="s">
        <v>98</v>
      </c>
      <c r="B6492" s="6" t="s">
        <v>99</v>
      </c>
      <c r="C6492" s="6" t="s">
        <v>1248</v>
      </c>
      <c r="D6492" s="6" t="s">
        <v>14</v>
      </c>
      <c r="E6492" s="6" t="s">
        <v>16</v>
      </c>
      <c r="F6492" s="6" t="s">
        <v>21</v>
      </c>
      <c r="G6492" s="6" t="s">
        <v>922</v>
      </c>
      <c r="H6492" s="6" t="s">
        <v>1249</v>
      </c>
      <c r="I6492" s="6" t="s">
        <v>31</v>
      </c>
      <c r="J6492" s="6">
        <v>17.201289590624999</v>
      </c>
      <c r="K6492" s="6">
        <v>-97.594953628444003</v>
      </c>
      <c r="L6492" s="6" t="str">
        <f>HYPERLINK("https://maps.google.com/?q=17.2012895906254,-97.594953628444102", "🔗 Ver Mapa")</f>
        <v>🔗 Ver Mapa</v>
      </c>
    </row>
    <row r="6493" spans="1:12" ht="43.5" x14ac:dyDescent="0.35">
      <c r="A6493" s="5" t="s">
        <v>98</v>
      </c>
      <c r="B6493" s="5" t="s">
        <v>99</v>
      </c>
      <c r="C6493" s="5" t="s">
        <v>1248</v>
      </c>
      <c r="D6493" s="5" t="s">
        <v>14</v>
      </c>
      <c r="E6493" s="5" t="s">
        <v>16</v>
      </c>
      <c r="F6493" s="5" t="s">
        <v>21</v>
      </c>
      <c r="G6493" s="5" t="s">
        <v>922</v>
      </c>
      <c r="H6493" s="5" t="s">
        <v>1249</v>
      </c>
      <c r="I6493" s="5" t="s">
        <v>31</v>
      </c>
      <c r="J6493" s="5">
        <v>17.201507359691</v>
      </c>
      <c r="K6493" s="5">
        <v>-97.594293927061003</v>
      </c>
      <c r="L6493" s="5" t="str">
        <f>HYPERLINK("https://maps.google.com/?q=17.2015073596909,-97.594293927061202", "🔗 Ver Mapa")</f>
        <v>🔗 Ver Mapa</v>
      </c>
    </row>
    <row r="6494" spans="1:12" ht="43.5" x14ac:dyDescent="0.35">
      <c r="A6494" s="6" t="s">
        <v>98</v>
      </c>
      <c r="B6494" s="6" t="s">
        <v>99</v>
      </c>
      <c r="C6494" s="6" t="s">
        <v>1248</v>
      </c>
      <c r="D6494" s="6" t="s">
        <v>14</v>
      </c>
      <c r="E6494" s="6" t="s">
        <v>16</v>
      </c>
      <c r="F6494" s="6" t="s">
        <v>21</v>
      </c>
      <c r="G6494" s="6" t="s">
        <v>922</v>
      </c>
      <c r="H6494" s="6" t="s">
        <v>1249</v>
      </c>
      <c r="I6494" s="6" t="s">
        <v>31</v>
      </c>
      <c r="J6494" s="6">
        <v>17.202383856189002</v>
      </c>
      <c r="K6494" s="6">
        <v>-97.595594279964999</v>
      </c>
      <c r="L6494" s="6" t="str">
        <f>HYPERLINK("https://maps.google.com/?q=17.2023838561891,-97.595594279965397", "🔗 Ver Mapa")</f>
        <v>🔗 Ver Mapa</v>
      </c>
    </row>
    <row r="6495" spans="1:12" ht="43.5" x14ac:dyDescent="0.35">
      <c r="A6495" s="5" t="s">
        <v>98</v>
      </c>
      <c r="B6495" s="5" t="s">
        <v>99</v>
      </c>
      <c r="C6495" s="5" t="s">
        <v>1248</v>
      </c>
      <c r="D6495" s="5" t="s">
        <v>14</v>
      </c>
      <c r="E6495" s="5" t="s">
        <v>16</v>
      </c>
      <c r="F6495" s="5" t="s">
        <v>21</v>
      </c>
      <c r="G6495" s="5" t="s">
        <v>922</v>
      </c>
      <c r="H6495" s="5" t="s">
        <v>1249</v>
      </c>
      <c r="I6495" s="5" t="s">
        <v>31</v>
      </c>
      <c r="J6495" s="5">
        <v>17.203449292702</v>
      </c>
      <c r="K6495" s="5">
        <v>-97.596360509999997</v>
      </c>
      <c r="L6495" s="5" t="str">
        <f>HYPERLINK("https://maps.google.com/?q=17.2034492927021,-97.596360509999997", "🔗 Ver Mapa")</f>
        <v>🔗 Ver Mapa</v>
      </c>
    </row>
    <row r="6496" spans="1:12" ht="43.5" x14ac:dyDescent="0.35">
      <c r="A6496" s="6" t="s">
        <v>98</v>
      </c>
      <c r="B6496" s="6" t="s">
        <v>99</v>
      </c>
      <c r="C6496" s="6" t="s">
        <v>1248</v>
      </c>
      <c r="D6496" s="6" t="s">
        <v>14</v>
      </c>
      <c r="E6496" s="6" t="s">
        <v>16</v>
      </c>
      <c r="F6496" s="6" t="s">
        <v>21</v>
      </c>
      <c r="G6496" s="6" t="s">
        <v>922</v>
      </c>
      <c r="H6496" s="6" t="s">
        <v>1249</v>
      </c>
      <c r="I6496" s="6" t="s">
        <v>31</v>
      </c>
      <c r="J6496" s="6">
        <v>17.203792635083001</v>
      </c>
      <c r="K6496" s="6">
        <v>-97.597520254079001</v>
      </c>
      <c r="L6496" s="6" t="str">
        <f>HYPERLINK("https://maps.google.com/?q=17.2037926350828,-97.597520254078603", "🔗 Ver Mapa")</f>
        <v>🔗 Ver Mapa</v>
      </c>
    </row>
    <row r="6497" spans="1:12" ht="43.5" x14ac:dyDescent="0.35">
      <c r="A6497" s="5" t="s">
        <v>98</v>
      </c>
      <c r="B6497" s="5" t="s">
        <v>99</v>
      </c>
      <c r="C6497" s="5" t="s">
        <v>1248</v>
      </c>
      <c r="D6497" s="5" t="s">
        <v>14</v>
      </c>
      <c r="E6497" s="5" t="s">
        <v>16</v>
      </c>
      <c r="F6497" s="5" t="s">
        <v>21</v>
      </c>
      <c r="G6497" s="5" t="s">
        <v>922</v>
      </c>
      <c r="H6497" s="5" t="s">
        <v>1249</v>
      </c>
      <c r="I6497" s="5" t="s">
        <v>31</v>
      </c>
      <c r="J6497" s="5">
        <v>17.203886029608999</v>
      </c>
      <c r="K6497" s="5">
        <v>-97.597843531924994</v>
      </c>
      <c r="L6497" s="5" t="str">
        <f>HYPERLINK("https://maps.google.com/?q=17.2038860296094,-97.597843531925093", "🔗 Ver Mapa")</f>
        <v>🔗 Ver Mapa</v>
      </c>
    </row>
    <row r="6498" spans="1:12" ht="43.5" x14ac:dyDescent="0.35">
      <c r="A6498" s="6" t="s">
        <v>98</v>
      </c>
      <c r="B6498" s="6" t="s">
        <v>99</v>
      </c>
      <c r="C6498" s="6" t="s">
        <v>1250</v>
      </c>
      <c r="D6498" s="6" t="s">
        <v>14</v>
      </c>
      <c r="E6498" s="6" t="s">
        <v>16</v>
      </c>
      <c r="F6498" s="6" t="s">
        <v>21</v>
      </c>
      <c r="G6498" s="6" t="s">
        <v>922</v>
      </c>
      <c r="H6498" s="6" t="s">
        <v>1220</v>
      </c>
      <c r="I6498" s="6" t="s">
        <v>31</v>
      </c>
      <c r="J6498" s="6">
        <v>17.20538610473</v>
      </c>
      <c r="K6498" s="6">
        <v>-97.572751313753002</v>
      </c>
      <c r="L6498" s="6" t="str">
        <f>HYPERLINK("https://maps.google.com/?q=17.2053861047297,-97.572751313752804", "🔗 Ver Mapa")</f>
        <v>🔗 Ver Mapa</v>
      </c>
    </row>
    <row r="6499" spans="1:12" ht="43.5" x14ac:dyDescent="0.35">
      <c r="A6499" s="5" t="s">
        <v>98</v>
      </c>
      <c r="B6499" s="5" t="s">
        <v>99</v>
      </c>
      <c r="C6499" s="5" t="s">
        <v>1250</v>
      </c>
      <c r="D6499" s="5" t="s">
        <v>14</v>
      </c>
      <c r="E6499" s="5" t="s">
        <v>16</v>
      </c>
      <c r="F6499" s="5" t="s">
        <v>21</v>
      </c>
      <c r="G6499" s="5" t="s">
        <v>922</v>
      </c>
      <c r="H6499" s="5" t="s">
        <v>1220</v>
      </c>
      <c r="I6499" s="5" t="s">
        <v>31</v>
      </c>
      <c r="J6499" s="5">
        <v>17.206035600540002</v>
      </c>
      <c r="K6499" s="5">
        <v>-97.573540231164003</v>
      </c>
      <c r="L6499" s="5" t="str">
        <f>HYPERLINK("https://maps.google.com/?q=17.2060356005397,-97.573540231164003", "🔗 Ver Mapa")</f>
        <v>🔗 Ver Mapa</v>
      </c>
    </row>
    <row r="6500" spans="1:12" ht="43.5" x14ac:dyDescent="0.35">
      <c r="A6500" s="6" t="s">
        <v>98</v>
      </c>
      <c r="B6500" s="6" t="s">
        <v>99</v>
      </c>
      <c r="C6500" s="6" t="s">
        <v>1250</v>
      </c>
      <c r="D6500" s="6" t="s">
        <v>14</v>
      </c>
      <c r="E6500" s="6" t="s">
        <v>16</v>
      </c>
      <c r="F6500" s="6" t="s">
        <v>21</v>
      </c>
      <c r="G6500" s="6" t="s">
        <v>922</v>
      </c>
      <c r="H6500" s="6" t="s">
        <v>1220</v>
      </c>
      <c r="I6500" s="6" t="s">
        <v>31</v>
      </c>
      <c r="J6500" s="6">
        <v>17.206262423897002</v>
      </c>
      <c r="K6500" s="6">
        <v>-97.572419985522998</v>
      </c>
      <c r="L6500" s="6" t="str">
        <f>HYPERLINK("https://maps.google.com/?q=17.206262423897,-97.572419985522501", "🔗 Ver Mapa")</f>
        <v>🔗 Ver Mapa</v>
      </c>
    </row>
    <row r="6501" spans="1:12" ht="43.5" x14ac:dyDescent="0.35">
      <c r="A6501" s="5" t="s">
        <v>98</v>
      </c>
      <c r="B6501" s="5" t="s">
        <v>99</v>
      </c>
      <c r="C6501" s="5" t="s">
        <v>1250</v>
      </c>
      <c r="D6501" s="5" t="s">
        <v>14</v>
      </c>
      <c r="E6501" s="5" t="s">
        <v>16</v>
      </c>
      <c r="F6501" s="5" t="s">
        <v>21</v>
      </c>
      <c r="G6501" s="5" t="s">
        <v>922</v>
      </c>
      <c r="H6501" s="5" t="s">
        <v>1220</v>
      </c>
      <c r="I6501" s="5" t="s">
        <v>31</v>
      </c>
      <c r="J6501" s="5">
        <v>17.206784494566001</v>
      </c>
      <c r="K6501" s="5">
        <v>-97.5707635264</v>
      </c>
      <c r="L6501" s="5" t="str">
        <f>HYPERLINK("https://maps.google.com/?q=17.2067844945662,-97.570763526399702", "🔗 Ver Mapa")</f>
        <v>🔗 Ver Mapa</v>
      </c>
    </row>
    <row r="6502" spans="1:12" ht="43.5" x14ac:dyDescent="0.35">
      <c r="A6502" s="6" t="s">
        <v>98</v>
      </c>
      <c r="B6502" s="6" t="s">
        <v>99</v>
      </c>
      <c r="C6502" s="6" t="s">
        <v>1250</v>
      </c>
      <c r="D6502" s="6" t="s">
        <v>14</v>
      </c>
      <c r="E6502" s="6" t="s">
        <v>16</v>
      </c>
      <c r="F6502" s="6" t="s">
        <v>21</v>
      </c>
      <c r="G6502" s="6" t="s">
        <v>922</v>
      </c>
      <c r="H6502" s="6" t="s">
        <v>1220</v>
      </c>
      <c r="I6502" s="6" t="s">
        <v>31</v>
      </c>
      <c r="J6502" s="6">
        <v>17.206915234947001</v>
      </c>
      <c r="K6502" s="6">
        <v>-97.570670661872001</v>
      </c>
      <c r="L6502" s="6" t="str">
        <f>HYPERLINK("https://maps.google.com/?q=17.2069152349469,-97.570670661872299", "🔗 Ver Mapa")</f>
        <v>🔗 Ver Mapa</v>
      </c>
    </row>
    <row r="6503" spans="1:12" ht="43.5" x14ac:dyDescent="0.35">
      <c r="A6503" s="5" t="s">
        <v>98</v>
      </c>
      <c r="B6503" s="5" t="s">
        <v>99</v>
      </c>
      <c r="C6503" s="5" t="s">
        <v>1250</v>
      </c>
      <c r="D6503" s="5" t="s">
        <v>14</v>
      </c>
      <c r="E6503" s="5" t="s">
        <v>16</v>
      </c>
      <c r="F6503" s="5" t="s">
        <v>21</v>
      </c>
      <c r="G6503" s="5" t="s">
        <v>922</v>
      </c>
      <c r="H6503" s="5" t="s">
        <v>1220</v>
      </c>
      <c r="I6503" s="5" t="s">
        <v>31</v>
      </c>
      <c r="J6503" s="5">
        <v>17.208108896443999</v>
      </c>
      <c r="K6503" s="5">
        <v>-97.572823941956003</v>
      </c>
      <c r="L6503" s="5" t="str">
        <f>HYPERLINK("https://maps.google.com/?q=17.2081088964443,-97.572823941955704", "🔗 Ver Mapa")</f>
        <v>🔗 Ver Mapa</v>
      </c>
    </row>
    <row r="6504" spans="1:12" ht="43.5" x14ac:dyDescent="0.35">
      <c r="A6504" s="6" t="s">
        <v>98</v>
      </c>
      <c r="B6504" s="6" t="s">
        <v>99</v>
      </c>
      <c r="C6504" s="6" t="s">
        <v>1250</v>
      </c>
      <c r="D6504" s="6" t="s">
        <v>14</v>
      </c>
      <c r="E6504" s="6" t="s">
        <v>16</v>
      </c>
      <c r="F6504" s="6" t="s">
        <v>21</v>
      </c>
      <c r="G6504" s="6" t="s">
        <v>922</v>
      </c>
      <c r="H6504" s="6" t="s">
        <v>1220</v>
      </c>
      <c r="I6504" s="6" t="s">
        <v>31</v>
      </c>
      <c r="J6504" s="6">
        <v>17.208438218695001</v>
      </c>
      <c r="K6504" s="6">
        <v>-97.572795873347005</v>
      </c>
      <c r="L6504" s="6" t="str">
        <f>HYPERLINK("https://maps.google.com/?q=17.2084382186953,-97.572795873347005", "🔗 Ver Mapa")</f>
        <v>🔗 Ver Mapa</v>
      </c>
    </row>
    <row r="6505" spans="1:12" ht="43.5" x14ac:dyDescent="0.35">
      <c r="A6505" s="5" t="s">
        <v>98</v>
      </c>
      <c r="B6505" s="5" t="s">
        <v>99</v>
      </c>
      <c r="C6505" s="5" t="s">
        <v>1250</v>
      </c>
      <c r="D6505" s="5" t="s">
        <v>14</v>
      </c>
      <c r="E6505" s="5" t="s">
        <v>16</v>
      </c>
      <c r="F6505" s="5" t="s">
        <v>21</v>
      </c>
      <c r="G6505" s="5" t="s">
        <v>922</v>
      </c>
      <c r="H6505" s="5" t="s">
        <v>1220</v>
      </c>
      <c r="I6505" s="5" t="s">
        <v>31</v>
      </c>
      <c r="J6505" s="5">
        <v>17.211731800012</v>
      </c>
      <c r="K6505" s="5">
        <v>-97.575019862139001</v>
      </c>
      <c r="L6505" s="5" t="str">
        <f>HYPERLINK("https://maps.google.com/?q=17.2117318000117,-97.575019862139101", "🔗 Ver Mapa")</f>
        <v>🔗 Ver Mapa</v>
      </c>
    </row>
    <row r="6506" spans="1:12" ht="43.5" x14ac:dyDescent="0.35">
      <c r="A6506" s="6" t="s">
        <v>98</v>
      </c>
      <c r="B6506" s="6" t="s">
        <v>99</v>
      </c>
      <c r="C6506" s="6" t="s">
        <v>1250</v>
      </c>
      <c r="D6506" s="6" t="s">
        <v>14</v>
      </c>
      <c r="E6506" s="6" t="s">
        <v>16</v>
      </c>
      <c r="F6506" s="6" t="s">
        <v>21</v>
      </c>
      <c r="G6506" s="6" t="s">
        <v>922</v>
      </c>
      <c r="H6506" s="6" t="s">
        <v>1220</v>
      </c>
      <c r="I6506" s="6" t="s">
        <v>31</v>
      </c>
      <c r="J6506" s="6">
        <v>17.217864932563</v>
      </c>
      <c r="K6506" s="6">
        <v>-97.566867103538002</v>
      </c>
      <c r="L6506" s="6" t="str">
        <f>HYPERLINK("https://maps.google.com/?q=17.217864932563,-97.566867103537803", "🔗 Ver Mapa")</f>
        <v>🔗 Ver Mapa</v>
      </c>
    </row>
    <row r="6507" spans="1:12" ht="43.5" x14ac:dyDescent="0.35">
      <c r="A6507" s="5" t="s">
        <v>98</v>
      </c>
      <c r="B6507" s="5" t="s">
        <v>99</v>
      </c>
      <c r="C6507" s="5" t="s">
        <v>1250</v>
      </c>
      <c r="D6507" s="5" t="s">
        <v>14</v>
      </c>
      <c r="E6507" s="5" t="s">
        <v>16</v>
      </c>
      <c r="F6507" s="5" t="s">
        <v>21</v>
      </c>
      <c r="G6507" s="5" t="s">
        <v>922</v>
      </c>
      <c r="H6507" s="5" t="s">
        <v>1220</v>
      </c>
      <c r="I6507" s="5" t="s">
        <v>31</v>
      </c>
      <c r="J6507" s="5">
        <v>17.218779605464999</v>
      </c>
      <c r="K6507" s="5">
        <v>-97.570404545141002</v>
      </c>
      <c r="L6507" s="5" t="str">
        <f>HYPERLINK("https://maps.google.com/?q=17.2187796054654,-97.570404545141201", "🔗 Ver Mapa")</f>
        <v>🔗 Ver Mapa</v>
      </c>
    </row>
    <row r="6508" spans="1:12" ht="43.5" x14ac:dyDescent="0.35">
      <c r="A6508" s="6" t="s">
        <v>98</v>
      </c>
      <c r="B6508" s="6" t="s">
        <v>99</v>
      </c>
      <c r="C6508" s="6" t="s">
        <v>1250</v>
      </c>
      <c r="D6508" s="6" t="s">
        <v>14</v>
      </c>
      <c r="E6508" s="6" t="s">
        <v>16</v>
      </c>
      <c r="F6508" s="6" t="s">
        <v>21</v>
      </c>
      <c r="G6508" s="6" t="s">
        <v>922</v>
      </c>
      <c r="H6508" s="6" t="s">
        <v>1220</v>
      </c>
      <c r="I6508" s="6" t="s">
        <v>31</v>
      </c>
      <c r="J6508" s="6">
        <v>17.220869313775999</v>
      </c>
      <c r="K6508" s="6">
        <v>-97.570258106745996</v>
      </c>
      <c r="L6508" s="6" t="str">
        <f>HYPERLINK("https://maps.google.com/?q=17.2208693137758,-97.570258106745896", "🔗 Ver Mapa")</f>
        <v>🔗 Ver Mapa</v>
      </c>
    </row>
    <row r="6509" spans="1:12" ht="43.5" x14ac:dyDescent="0.35">
      <c r="A6509" s="5" t="s">
        <v>98</v>
      </c>
      <c r="B6509" s="5" t="s">
        <v>99</v>
      </c>
      <c r="C6509" s="5" t="s">
        <v>1250</v>
      </c>
      <c r="D6509" s="5" t="s">
        <v>14</v>
      </c>
      <c r="E6509" s="5" t="s">
        <v>16</v>
      </c>
      <c r="F6509" s="5" t="s">
        <v>21</v>
      </c>
      <c r="G6509" s="5" t="s">
        <v>922</v>
      </c>
      <c r="H6509" s="5" t="s">
        <v>1220</v>
      </c>
      <c r="I6509" s="5" t="s">
        <v>31</v>
      </c>
      <c r="J6509" s="5">
        <v>17.220968766466001</v>
      </c>
      <c r="K6509" s="5">
        <v>-97.572344191479004</v>
      </c>
      <c r="L6509" s="5" t="str">
        <f>HYPERLINK("https://maps.google.com/?q=17.2209687664662,-97.572344191478507", "🔗 Ver Mapa")</f>
        <v>🔗 Ver Mapa</v>
      </c>
    </row>
    <row r="6510" spans="1:12" ht="43.5" x14ac:dyDescent="0.35">
      <c r="A6510" s="6" t="s">
        <v>98</v>
      </c>
      <c r="B6510" s="6" t="s">
        <v>99</v>
      </c>
      <c r="C6510" s="6" t="s">
        <v>1250</v>
      </c>
      <c r="D6510" s="6" t="s">
        <v>14</v>
      </c>
      <c r="E6510" s="6" t="s">
        <v>16</v>
      </c>
      <c r="F6510" s="6" t="s">
        <v>21</v>
      </c>
      <c r="G6510" s="6" t="s">
        <v>922</v>
      </c>
      <c r="H6510" s="6" t="s">
        <v>1220</v>
      </c>
      <c r="I6510" s="6" t="s">
        <v>31</v>
      </c>
      <c r="J6510" s="6">
        <v>17.221178220759001</v>
      </c>
      <c r="K6510" s="6">
        <v>-97.560720172537998</v>
      </c>
      <c r="L6510" s="6" t="str">
        <f>HYPERLINK("https://maps.google.com/?q=17.2211782207593,-97.560720172537899", "🔗 Ver Mapa")</f>
        <v>🔗 Ver Mapa</v>
      </c>
    </row>
    <row r="6511" spans="1:12" ht="43.5" x14ac:dyDescent="0.35">
      <c r="A6511" s="5" t="s">
        <v>98</v>
      </c>
      <c r="B6511" s="5" t="s">
        <v>99</v>
      </c>
      <c r="C6511" s="5" t="s">
        <v>1250</v>
      </c>
      <c r="D6511" s="5" t="s">
        <v>14</v>
      </c>
      <c r="E6511" s="5" t="s">
        <v>16</v>
      </c>
      <c r="F6511" s="5" t="s">
        <v>21</v>
      </c>
      <c r="G6511" s="5" t="s">
        <v>922</v>
      </c>
      <c r="H6511" s="5" t="s">
        <v>1220</v>
      </c>
      <c r="I6511" s="5" t="s">
        <v>31</v>
      </c>
      <c r="J6511" s="5">
        <v>17.221662308374</v>
      </c>
      <c r="K6511" s="5">
        <v>-97.561139801609002</v>
      </c>
      <c r="L6511" s="5" t="str">
        <f>HYPERLINK("https://maps.google.com/?q=17.2216623083742,-97.561139801609102", "🔗 Ver Mapa")</f>
        <v>🔗 Ver Mapa</v>
      </c>
    </row>
    <row r="6512" spans="1:12" ht="43.5" x14ac:dyDescent="0.35">
      <c r="A6512" s="6" t="s">
        <v>98</v>
      </c>
      <c r="B6512" s="6" t="s">
        <v>99</v>
      </c>
      <c r="C6512" s="6" t="s">
        <v>1250</v>
      </c>
      <c r="D6512" s="6" t="s">
        <v>14</v>
      </c>
      <c r="E6512" s="6" t="s">
        <v>16</v>
      </c>
      <c r="F6512" s="6" t="s">
        <v>21</v>
      </c>
      <c r="G6512" s="6" t="s">
        <v>922</v>
      </c>
      <c r="H6512" s="6" t="s">
        <v>1220</v>
      </c>
      <c r="I6512" s="6" t="s">
        <v>31</v>
      </c>
      <c r="J6512" s="6">
        <v>17.224058466692998</v>
      </c>
      <c r="K6512" s="6">
        <v>-97.572016294801998</v>
      </c>
      <c r="L6512" s="6" t="str">
        <f>HYPERLINK("https://maps.google.com/?q=17.2240584666926,-97.572016294802395", "🔗 Ver Mapa")</f>
        <v>🔗 Ver Mapa</v>
      </c>
    </row>
    <row r="6513" spans="1:12" ht="43.5" x14ac:dyDescent="0.35">
      <c r="A6513" s="5" t="s">
        <v>98</v>
      </c>
      <c r="B6513" s="5" t="s">
        <v>99</v>
      </c>
      <c r="C6513" s="5" t="s">
        <v>1250</v>
      </c>
      <c r="D6513" s="5" t="s">
        <v>14</v>
      </c>
      <c r="E6513" s="5" t="s">
        <v>16</v>
      </c>
      <c r="F6513" s="5" t="s">
        <v>21</v>
      </c>
      <c r="G6513" s="5" t="s">
        <v>922</v>
      </c>
      <c r="H6513" s="5" t="s">
        <v>1220</v>
      </c>
      <c r="I6513" s="5" t="s">
        <v>31</v>
      </c>
      <c r="J6513" s="5">
        <v>17.224585050493999</v>
      </c>
      <c r="K6513" s="5">
        <v>-97.565010973794003</v>
      </c>
      <c r="L6513" s="5" t="str">
        <f>HYPERLINK("https://maps.google.com/?q=17.2245850504941,-97.565010973794003", "🔗 Ver Mapa")</f>
        <v>🔗 Ver Mapa</v>
      </c>
    </row>
    <row r="6514" spans="1:12" ht="43.5" x14ac:dyDescent="0.35">
      <c r="A6514" s="6" t="s">
        <v>98</v>
      </c>
      <c r="B6514" s="6" t="s">
        <v>99</v>
      </c>
      <c r="C6514" s="6" t="s">
        <v>1250</v>
      </c>
      <c r="D6514" s="6" t="s">
        <v>14</v>
      </c>
      <c r="E6514" s="6" t="s">
        <v>16</v>
      </c>
      <c r="F6514" s="6" t="s">
        <v>21</v>
      </c>
      <c r="G6514" s="6" t="s">
        <v>922</v>
      </c>
      <c r="H6514" s="6" t="s">
        <v>1220</v>
      </c>
      <c r="I6514" s="6" t="s">
        <v>31</v>
      </c>
      <c r="J6514" s="6">
        <v>17.224649993854001</v>
      </c>
      <c r="K6514" s="6">
        <v>-97.558597923874999</v>
      </c>
      <c r="L6514" s="6" t="str">
        <f>HYPERLINK("https://maps.google.com/?q=17.2246499938544,-97.558597923875396", "🔗 Ver Mapa")</f>
        <v>🔗 Ver Mapa</v>
      </c>
    </row>
    <row r="6515" spans="1:12" ht="43.5" x14ac:dyDescent="0.35">
      <c r="A6515" s="5" t="s">
        <v>98</v>
      </c>
      <c r="B6515" s="5" t="s">
        <v>99</v>
      </c>
      <c r="C6515" s="5" t="s">
        <v>1250</v>
      </c>
      <c r="D6515" s="5" t="s">
        <v>14</v>
      </c>
      <c r="E6515" s="5" t="s">
        <v>16</v>
      </c>
      <c r="F6515" s="5" t="s">
        <v>21</v>
      </c>
      <c r="G6515" s="5" t="s">
        <v>922</v>
      </c>
      <c r="H6515" s="5" t="s">
        <v>1220</v>
      </c>
      <c r="I6515" s="5" t="s">
        <v>31</v>
      </c>
      <c r="J6515" s="5">
        <v>17.224976716614002</v>
      </c>
      <c r="K6515" s="5">
        <v>-97.567944557958995</v>
      </c>
      <c r="L6515" s="5" t="str">
        <f>HYPERLINK("https://maps.google.com/?q=17.2249767166142,-97.567944557958796", "🔗 Ver Mapa")</f>
        <v>🔗 Ver Mapa</v>
      </c>
    </row>
    <row r="6516" spans="1:12" ht="43.5" x14ac:dyDescent="0.35">
      <c r="A6516" s="6" t="s">
        <v>98</v>
      </c>
      <c r="B6516" s="6" t="s">
        <v>99</v>
      </c>
      <c r="C6516" s="6" t="s">
        <v>1251</v>
      </c>
      <c r="D6516" s="6" t="s">
        <v>14</v>
      </c>
      <c r="E6516" s="6" t="s">
        <v>16</v>
      </c>
      <c r="F6516" s="6" t="s">
        <v>21</v>
      </c>
      <c r="G6516" s="6" t="s">
        <v>922</v>
      </c>
      <c r="H6516" s="6" t="s">
        <v>1227</v>
      </c>
      <c r="I6516" s="6" t="s">
        <v>31</v>
      </c>
      <c r="J6516" s="6">
        <v>17.249213218927999</v>
      </c>
      <c r="K6516" s="6">
        <v>-97.564875979448999</v>
      </c>
      <c r="L6516" s="6" t="str">
        <f>HYPERLINK("https://maps.google.com/?q=17.2492132189275,-97.564875979449198", "🔗 Ver Mapa")</f>
        <v>🔗 Ver Mapa</v>
      </c>
    </row>
    <row r="6517" spans="1:12" ht="43.5" x14ac:dyDescent="0.35">
      <c r="A6517" s="5" t="s">
        <v>98</v>
      </c>
      <c r="B6517" s="5" t="s">
        <v>99</v>
      </c>
      <c r="C6517" s="5" t="s">
        <v>1251</v>
      </c>
      <c r="D6517" s="5" t="s">
        <v>14</v>
      </c>
      <c r="E6517" s="5" t="s">
        <v>16</v>
      </c>
      <c r="F6517" s="5" t="s">
        <v>21</v>
      </c>
      <c r="G6517" s="5" t="s">
        <v>922</v>
      </c>
      <c r="H6517" s="5" t="s">
        <v>1227</v>
      </c>
      <c r="I6517" s="5" t="s">
        <v>31</v>
      </c>
      <c r="J6517" s="5">
        <v>17.249468808206998</v>
      </c>
      <c r="K6517" s="5">
        <v>-97.565760718741998</v>
      </c>
      <c r="L6517" s="5" t="str">
        <f>HYPERLINK("https://maps.google.com/?q=17.2494688082065,-97.565760718741998", "🔗 Ver Mapa")</f>
        <v>🔗 Ver Mapa</v>
      </c>
    </row>
    <row r="6518" spans="1:12" ht="43.5" x14ac:dyDescent="0.35">
      <c r="A6518" s="6" t="s">
        <v>98</v>
      </c>
      <c r="B6518" s="6" t="s">
        <v>99</v>
      </c>
      <c r="C6518" s="6" t="s">
        <v>1251</v>
      </c>
      <c r="D6518" s="6" t="s">
        <v>14</v>
      </c>
      <c r="E6518" s="6" t="s">
        <v>16</v>
      </c>
      <c r="F6518" s="6" t="s">
        <v>21</v>
      </c>
      <c r="G6518" s="6" t="s">
        <v>922</v>
      </c>
      <c r="H6518" s="6" t="s">
        <v>1227</v>
      </c>
      <c r="I6518" s="6" t="s">
        <v>31</v>
      </c>
      <c r="J6518" s="6">
        <v>17.250131872242001</v>
      </c>
      <c r="K6518" s="6">
        <v>-97.565565292282002</v>
      </c>
      <c r="L6518" s="6" t="str">
        <f>HYPERLINK("https://maps.google.com/?q=17.2501318722417,-97.565565292281804", "🔗 Ver Mapa")</f>
        <v>🔗 Ver Mapa</v>
      </c>
    </row>
    <row r="6519" spans="1:12" ht="43.5" x14ac:dyDescent="0.35">
      <c r="A6519" s="5" t="s">
        <v>98</v>
      </c>
      <c r="B6519" s="5" t="s">
        <v>99</v>
      </c>
      <c r="C6519" s="5" t="s">
        <v>1251</v>
      </c>
      <c r="D6519" s="5" t="s">
        <v>14</v>
      </c>
      <c r="E6519" s="5" t="s">
        <v>16</v>
      </c>
      <c r="F6519" s="5" t="s">
        <v>21</v>
      </c>
      <c r="G6519" s="5" t="s">
        <v>922</v>
      </c>
      <c r="H6519" s="5" t="s">
        <v>1227</v>
      </c>
      <c r="I6519" s="5" t="s">
        <v>31</v>
      </c>
      <c r="J6519" s="5">
        <v>17.251184339563999</v>
      </c>
      <c r="K6519" s="5">
        <v>-97.565991774417995</v>
      </c>
      <c r="L6519" s="5" t="str">
        <f>HYPERLINK("https://maps.google.com/?q=17.2511843395644,-97.565991774417895", "🔗 Ver Mapa")</f>
        <v>🔗 Ver Mapa</v>
      </c>
    </row>
    <row r="6520" spans="1:12" ht="43.5" x14ac:dyDescent="0.35">
      <c r="A6520" s="6" t="s">
        <v>98</v>
      </c>
      <c r="B6520" s="6" t="s">
        <v>99</v>
      </c>
      <c r="C6520" s="6" t="s">
        <v>1251</v>
      </c>
      <c r="D6520" s="6" t="s">
        <v>14</v>
      </c>
      <c r="E6520" s="6" t="s">
        <v>16</v>
      </c>
      <c r="F6520" s="6" t="s">
        <v>21</v>
      </c>
      <c r="G6520" s="6" t="s">
        <v>922</v>
      </c>
      <c r="H6520" s="6" t="s">
        <v>1227</v>
      </c>
      <c r="I6520" s="6" t="s">
        <v>31</v>
      </c>
      <c r="J6520" s="6">
        <v>17.252317362942001</v>
      </c>
      <c r="K6520" s="6">
        <v>-97.568161147913003</v>
      </c>
      <c r="L6520" s="6" t="str">
        <f>HYPERLINK("https://maps.google.com/?q=17.252317362942,-97.568161147913202", "🔗 Ver Mapa")</f>
        <v>🔗 Ver Mapa</v>
      </c>
    </row>
    <row r="6521" spans="1:12" ht="43.5" x14ac:dyDescent="0.35">
      <c r="A6521" s="5" t="s">
        <v>98</v>
      </c>
      <c r="B6521" s="5" t="s">
        <v>99</v>
      </c>
      <c r="C6521" s="5" t="s">
        <v>1251</v>
      </c>
      <c r="D6521" s="5" t="s">
        <v>14</v>
      </c>
      <c r="E6521" s="5" t="s">
        <v>16</v>
      </c>
      <c r="F6521" s="5" t="s">
        <v>21</v>
      </c>
      <c r="G6521" s="5" t="s">
        <v>922</v>
      </c>
      <c r="H6521" s="5" t="s">
        <v>1227</v>
      </c>
      <c r="I6521" s="5" t="s">
        <v>31</v>
      </c>
      <c r="J6521" s="5">
        <v>17.253878773623999</v>
      </c>
      <c r="K6521" s="5">
        <v>-97.569047384751997</v>
      </c>
      <c r="L6521" s="5" t="str">
        <f>HYPERLINK("https://maps.google.com/?q=17.2538787736237,-97.569047384752196", "🔗 Ver Mapa")</f>
        <v>🔗 Ver Mapa</v>
      </c>
    </row>
    <row r="6522" spans="1:12" ht="43.5" x14ac:dyDescent="0.35">
      <c r="A6522" s="6" t="s">
        <v>98</v>
      </c>
      <c r="B6522" s="6" t="s">
        <v>99</v>
      </c>
      <c r="C6522" s="6" t="s">
        <v>1251</v>
      </c>
      <c r="D6522" s="6" t="s">
        <v>14</v>
      </c>
      <c r="E6522" s="6" t="s">
        <v>16</v>
      </c>
      <c r="F6522" s="6" t="s">
        <v>21</v>
      </c>
      <c r="G6522" s="6" t="s">
        <v>922</v>
      </c>
      <c r="H6522" s="6" t="s">
        <v>1227</v>
      </c>
      <c r="I6522" s="6" t="s">
        <v>31</v>
      </c>
      <c r="J6522" s="6">
        <v>17.254059594720999</v>
      </c>
      <c r="K6522" s="6">
        <v>-97.566993635369997</v>
      </c>
      <c r="L6522" s="6" t="str">
        <f>HYPERLINK("https://maps.google.com/?q=17.2540595947214,-97.566993635369997", "🔗 Ver Mapa")</f>
        <v>🔗 Ver Mapa</v>
      </c>
    </row>
    <row r="6523" spans="1:12" ht="43.5" x14ac:dyDescent="0.35">
      <c r="A6523" s="5" t="s">
        <v>98</v>
      </c>
      <c r="B6523" s="5" t="s">
        <v>99</v>
      </c>
      <c r="C6523" s="5" t="s">
        <v>1251</v>
      </c>
      <c r="D6523" s="5" t="s">
        <v>14</v>
      </c>
      <c r="E6523" s="5" t="s">
        <v>16</v>
      </c>
      <c r="F6523" s="5" t="s">
        <v>21</v>
      </c>
      <c r="G6523" s="5" t="s">
        <v>922</v>
      </c>
      <c r="H6523" s="5" t="s">
        <v>1227</v>
      </c>
      <c r="I6523" s="5" t="s">
        <v>31</v>
      </c>
      <c r="J6523" s="5">
        <v>17.254380422850002</v>
      </c>
      <c r="K6523" s="5">
        <v>-97.568144374541006</v>
      </c>
      <c r="L6523" s="5" t="str">
        <f>HYPERLINK("https://maps.google.com/?q=17.2543804228505,-97.568144374541404", "🔗 Ver Mapa")</f>
        <v>🔗 Ver Mapa</v>
      </c>
    </row>
    <row r="6524" spans="1:12" ht="43.5" x14ac:dyDescent="0.35">
      <c r="A6524" s="6" t="s">
        <v>98</v>
      </c>
      <c r="B6524" s="6" t="s">
        <v>99</v>
      </c>
      <c r="C6524" s="6" t="s">
        <v>1251</v>
      </c>
      <c r="D6524" s="6" t="s">
        <v>14</v>
      </c>
      <c r="E6524" s="6" t="s">
        <v>16</v>
      </c>
      <c r="F6524" s="6" t="s">
        <v>21</v>
      </c>
      <c r="G6524" s="6" t="s">
        <v>922</v>
      </c>
      <c r="H6524" s="6" t="s">
        <v>1227</v>
      </c>
      <c r="I6524" s="6" t="s">
        <v>31</v>
      </c>
      <c r="J6524" s="6">
        <v>17.256444883217</v>
      </c>
      <c r="K6524" s="6">
        <v>-97.575137163132993</v>
      </c>
      <c r="L6524" s="6" t="str">
        <f>HYPERLINK("https://maps.google.com/?q=17.2564448832172,-97.575137163132993", "🔗 Ver Mapa")</f>
        <v>🔗 Ver Mapa</v>
      </c>
    </row>
    <row r="6525" spans="1:12" ht="43.5" x14ac:dyDescent="0.35">
      <c r="A6525" s="5" t="s">
        <v>98</v>
      </c>
      <c r="B6525" s="5" t="s">
        <v>99</v>
      </c>
      <c r="C6525" s="5" t="s">
        <v>1251</v>
      </c>
      <c r="D6525" s="5" t="s">
        <v>14</v>
      </c>
      <c r="E6525" s="5" t="s">
        <v>16</v>
      </c>
      <c r="F6525" s="5" t="s">
        <v>21</v>
      </c>
      <c r="G6525" s="5" t="s">
        <v>922</v>
      </c>
      <c r="H6525" s="5" t="s">
        <v>1227</v>
      </c>
      <c r="I6525" s="5" t="s">
        <v>31</v>
      </c>
      <c r="J6525" s="5">
        <v>17.256546442287</v>
      </c>
      <c r="K6525" s="5">
        <v>-97.572324065101</v>
      </c>
      <c r="L6525" s="5" t="str">
        <f>HYPERLINK("https://maps.google.com/?q=17.2565464422871,-97.572324065100503", "🔗 Ver Mapa")</f>
        <v>🔗 Ver Mapa</v>
      </c>
    </row>
    <row r="6526" spans="1:12" ht="43.5" x14ac:dyDescent="0.35">
      <c r="A6526" s="6" t="s">
        <v>98</v>
      </c>
      <c r="B6526" s="6" t="s">
        <v>99</v>
      </c>
      <c r="C6526" s="6" t="s">
        <v>1251</v>
      </c>
      <c r="D6526" s="6" t="s">
        <v>14</v>
      </c>
      <c r="E6526" s="6" t="s">
        <v>16</v>
      </c>
      <c r="F6526" s="6" t="s">
        <v>21</v>
      </c>
      <c r="G6526" s="6" t="s">
        <v>922</v>
      </c>
      <c r="H6526" s="6" t="s">
        <v>1227</v>
      </c>
      <c r="I6526" s="6" t="s">
        <v>31</v>
      </c>
      <c r="J6526" s="6">
        <v>17.256568291760999</v>
      </c>
      <c r="K6526" s="6">
        <v>-97.568990826703995</v>
      </c>
      <c r="L6526" s="6" t="str">
        <f>HYPERLINK("https://maps.google.com/?q=17.2565682917608,-97.568990826703896", "🔗 Ver Mapa")</f>
        <v>🔗 Ver Mapa</v>
      </c>
    </row>
    <row r="6527" spans="1:12" ht="43.5" x14ac:dyDescent="0.35">
      <c r="A6527" s="5" t="s">
        <v>98</v>
      </c>
      <c r="B6527" s="5" t="s">
        <v>99</v>
      </c>
      <c r="C6527" s="5" t="s">
        <v>1251</v>
      </c>
      <c r="D6527" s="5" t="s">
        <v>14</v>
      </c>
      <c r="E6527" s="5" t="s">
        <v>16</v>
      </c>
      <c r="F6527" s="5" t="s">
        <v>21</v>
      </c>
      <c r="G6527" s="5" t="s">
        <v>922</v>
      </c>
      <c r="H6527" s="5" t="s">
        <v>1227</v>
      </c>
      <c r="I6527" s="5" t="s">
        <v>31</v>
      </c>
      <c r="J6527" s="5">
        <v>17.256709027029999</v>
      </c>
      <c r="K6527" s="5">
        <v>-97.567823214209994</v>
      </c>
      <c r="L6527" s="5" t="str">
        <f>HYPERLINK("https://maps.google.com/?q=17.2567090270295,-97.567823214210193", "🔗 Ver Mapa")</f>
        <v>🔗 Ver Mapa</v>
      </c>
    </row>
    <row r="6528" spans="1:12" ht="43.5" x14ac:dyDescent="0.35">
      <c r="A6528" s="6" t="s">
        <v>98</v>
      </c>
      <c r="B6528" s="6" t="s">
        <v>99</v>
      </c>
      <c r="C6528" s="6" t="s">
        <v>1251</v>
      </c>
      <c r="D6528" s="6" t="s">
        <v>14</v>
      </c>
      <c r="E6528" s="6" t="s">
        <v>16</v>
      </c>
      <c r="F6528" s="6" t="s">
        <v>21</v>
      </c>
      <c r="G6528" s="6" t="s">
        <v>922</v>
      </c>
      <c r="H6528" s="6" t="s">
        <v>1227</v>
      </c>
      <c r="I6528" s="6" t="s">
        <v>31</v>
      </c>
      <c r="J6528" s="6">
        <v>17.256752771458</v>
      </c>
      <c r="K6528" s="6">
        <v>-97.570600376225997</v>
      </c>
      <c r="L6528" s="6" t="str">
        <f>HYPERLINK("https://maps.google.com/?q=17.2567527714577,-97.570600376226196", "🔗 Ver Mapa")</f>
        <v>🔗 Ver Mapa</v>
      </c>
    </row>
    <row r="6529" spans="1:12" ht="43.5" x14ac:dyDescent="0.35">
      <c r="A6529" s="5" t="s">
        <v>98</v>
      </c>
      <c r="B6529" s="5" t="s">
        <v>99</v>
      </c>
      <c r="C6529" s="5" t="s">
        <v>1251</v>
      </c>
      <c r="D6529" s="5" t="s">
        <v>14</v>
      </c>
      <c r="E6529" s="5" t="s">
        <v>16</v>
      </c>
      <c r="F6529" s="5" t="s">
        <v>21</v>
      </c>
      <c r="G6529" s="5" t="s">
        <v>922</v>
      </c>
      <c r="H6529" s="5" t="s">
        <v>1227</v>
      </c>
      <c r="I6529" s="5" t="s">
        <v>31</v>
      </c>
      <c r="J6529" s="5">
        <v>17.256971527870999</v>
      </c>
      <c r="K6529" s="5">
        <v>-97.569993278862</v>
      </c>
      <c r="L6529" s="5" t="str">
        <f>HYPERLINK("https://maps.google.com/?q=17.2569715278713,-97.569993278861503", "🔗 Ver Mapa")</f>
        <v>🔗 Ver Mapa</v>
      </c>
    </row>
    <row r="6530" spans="1:12" ht="43.5" x14ac:dyDescent="0.35">
      <c r="A6530" s="6" t="s">
        <v>98</v>
      </c>
      <c r="B6530" s="6" t="s">
        <v>99</v>
      </c>
      <c r="C6530" s="6" t="s">
        <v>1251</v>
      </c>
      <c r="D6530" s="6" t="s">
        <v>14</v>
      </c>
      <c r="E6530" s="6" t="s">
        <v>16</v>
      </c>
      <c r="F6530" s="6" t="s">
        <v>21</v>
      </c>
      <c r="G6530" s="6" t="s">
        <v>922</v>
      </c>
      <c r="H6530" s="6" t="s">
        <v>1227</v>
      </c>
      <c r="I6530" s="6" t="s">
        <v>31</v>
      </c>
      <c r="J6530" s="6">
        <v>17.258303520003</v>
      </c>
      <c r="K6530" s="6">
        <v>-97.577729110164</v>
      </c>
      <c r="L6530" s="6" t="str">
        <f>HYPERLINK("https://maps.google.com/?q=17.2583035200032,-97.577729110164199", "🔗 Ver Mapa")</f>
        <v>🔗 Ver Mapa</v>
      </c>
    </row>
    <row r="6531" spans="1:12" ht="43.5" x14ac:dyDescent="0.35">
      <c r="A6531" s="5" t="s">
        <v>98</v>
      </c>
      <c r="B6531" s="5" t="s">
        <v>99</v>
      </c>
      <c r="C6531" s="5" t="s">
        <v>1251</v>
      </c>
      <c r="D6531" s="5" t="s">
        <v>14</v>
      </c>
      <c r="E6531" s="5" t="s">
        <v>16</v>
      </c>
      <c r="F6531" s="5" t="s">
        <v>21</v>
      </c>
      <c r="G6531" s="5" t="s">
        <v>922</v>
      </c>
      <c r="H6531" s="5" t="s">
        <v>1227</v>
      </c>
      <c r="I6531" s="5" t="s">
        <v>31</v>
      </c>
      <c r="J6531" s="5">
        <v>17.258519977393998</v>
      </c>
      <c r="K6531" s="5">
        <v>-97.571654749787996</v>
      </c>
      <c r="L6531" s="5" t="str">
        <f>HYPERLINK("https://maps.google.com/?q=17.2585199773945,-97.571654749788095", "🔗 Ver Mapa")</f>
        <v>🔗 Ver Mapa</v>
      </c>
    </row>
    <row r="6532" spans="1:12" ht="43.5" x14ac:dyDescent="0.35">
      <c r="A6532" s="6" t="s">
        <v>98</v>
      </c>
      <c r="B6532" s="6" t="s">
        <v>99</v>
      </c>
      <c r="C6532" s="6" t="s">
        <v>1251</v>
      </c>
      <c r="D6532" s="6" t="s">
        <v>14</v>
      </c>
      <c r="E6532" s="6" t="s">
        <v>16</v>
      </c>
      <c r="F6532" s="6" t="s">
        <v>21</v>
      </c>
      <c r="G6532" s="6" t="s">
        <v>922</v>
      </c>
      <c r="H6532" s="6" t="s">
        <v>1227</v>
      </c>
      <c r="I6532" s="6" t="s">
        <v>31</v>
      </c>
      <c r="J6532" s="6">
        <v>17.258806841990999</v>
      </c>
      <c r="K6532" s="6">
        <v>-97.577678144299</v>
      </c>
      <c r="L6532" s="6" t="str">
        <f>HYPERLINK("https://maps.google.com/?q=17.2588068419906,-97.577678144299", "🔗 Ver Mapa")</f>
        <v>🔗 Ver Mapa</v>
      </c>
    </row>
    <row r="6533" spans="1:12" ht="43.5" x14ac:dyDescent="0.35">
      <c r="A6533" s="5" t="s">
        <v>98</v>
      </c>
      <c r="B6533" s="5" t="s">
        <v>99</v>
      </c>
      <c r="C6533" s="5" t="s">
        <v>1251</v>
      </c>
      <c r="D6533" s="5" t="s">
        <v>14</v>
      </c>
      <c r="E6533" s="5" t="s">
        <v>16</v>
      </c>
      <c r="F6533" s="5" t="s">
        <v>21</v>
      </c>
      <c r="G6533" s="5" t="s">
        <v>922</v>
      </c>
      <c r="H6533" s="5" t="s">
        <v>1227</v>
      </c>
      <c r="I6533" s="5" t="s">
        <v>31</v>
      </c>
      <c r="J6533" s="5">
        <v>17.258973630806999</v>
      </c>
      <c r="K6533" s="5">
        <v>-97.573842592183993</v>
      </c>
      <c r="L6533" s="5" t="str">
        <f>HYPERLINK("https://maps.google.com/?q=17.2589736308072,-97.573842592184405", "🔗 Ver Mapa")</f>
        <v>🔗 Ver Mapa</v>
      </c>
    </row>
    <row r="6534" spans="1:12" ht="43.5" x14ac:dyDescent="0.35">
      <c r="A6534" s="6" t="s">
        <v>98</v>
      </c>
      <c r="B6534" s="6" t="s">
        <v>99</v>
      </c>
      <c r="C6534" s="6" t="s">
        <v>1251</v>
      </c>
      <c r="D6534" s="6" t="s">
        <v>14</v>
      </c>
      <c r="E6534" s="6" t="s">
        <v>16</v>
      </c>
      <c r="F6534" s="6" t="s">
        <v>21</v>
      </c>
      <c r="G6534" s="6" t="s">
        <v>922</v>
      </c>
      <c r="H6534" s="6" t="s">
        <v>1227</v>
      </c>
      <c r="I6534" s="6" t="s">
        <v>31</v>
      </c>
      <c r="J6534" s="6">
        <v>17.259062024193</v>
      </c>
      <c r="K6534" s="6">
        <v>-97.572938473082004</v>
      </c>
      <c r="L6534" s="6" t="str">
        <f>HYPERLINK("https://maps.google.com/?q=17.2590620241928,-97.572938473081507", "🔗 Ver Mapa")</f>
        <v>🔗 Ver Mapa</v>
      </c>
    </row>
    <row r="6535" spans="1:12" ht="43.5" x14ac:dyDescent="0.35">
      <c r="A6535" s="5" t="s">
        <v>98</v>
      </c>
      <c r="B6535" s="5" t="s">
        <v>99</v>
      </c>
      <c r="C6535" s="5" t="s">
        <v>1251</v>
      </c>
      <c r="D6535" s="5" t="s">
        <v>14</v>
      </c>
      <c r="E6535" s="5" t="s">
        <v>16</v>
      </c>
      <c r="F6535" s="5" t="s">
        <v>21</v>
      </c>
      <c r="G6535" s="5" t="s">
        <v>922</v>
      </c>
      <c r="H6535" s="5" t="s">
        <v>1227</v>
      </c>
      <c r="I6535" s="5" t="s">
        <v>31</v>
      </c>
      <c r="J6535" s="5">
        <v>17.259200375967001</v>
      </c>
      <c r="K6535" s="5">
        <v>-97.577831686720003</v>
      </c>
      <c r="L6535" s="5" t="str">
        <f>HYPERLINK("https://maps.google.com/?q=17.2592003759674,-97.577831686719804", "🔗 Ver Mapa")</f>
        <v>🔗 Ver Mapa</v>
      </c>
    </row>
    <row r="6536" spans="1:12" ht="29" x14ac:dyDescent="0.35">
      <c r="A6536" s="6" t="s">
        <v>282</v>
      </c>
      <c r="B6536" s="6" t="s">
        <v>283</v>
      </c>
      <c r="C6536" s="6" t="s">
        <v>1252</v>
      </c>
      <c r="D6536" s="6" t="s">
        <v>76</v>
      </c>
      <c r="E6536" s="6" t="s">
        <v>52</v>
      </c>
      <c r="F6536" s="6" t="s">
        <v>70</v>
      </c>
      <c r="G6536" s="6" t="s">
        <v>71</v>
      </c>
      <c r="H6536" s="6" t="s">
        <v>72</v>
      </c>
      <c r="I6536" s="6" t="s">
        <v>31</v>
      </c>
      <c r="J6536" s="6">
        <v>17.05179</v>
      </c>
      <c r="K6536" s="6">
        <v>-96.712400000000002</v>
      </c>
      <c r="L6536" s="6" t="str">
        <f>HYPERLINK("https://maps.google.com/?q=17.05179,-96.71240", "🔗 Ver Mapa")</f>
        <v>🔗 Ver Mapa</v>
      </c>
    </row>
    <row r="6537" spans="1:12" ht="43.5" x14ac:dyDescent="0.35">
      <c r="A6537" s="5" t="s">
        <v>66</v>
      </c>
      <c r="B6537" s="5" t="s">
        <v>67</v>
      </c>
      <c r="C6537" s="5" t="s">
        <v>68</v>
      </c>
      <c r="D6537" s="5" t="s">
        <v>69</v>
      </c>
      <c r="E6537" s="5" t="s">
        <v>52</v>
      </c>
      <c r="F6537" s="5" t="s">
        <v>70</v>
      </c>
      <c r="G6537" s="5" t="s">
        <v>71</v>
      </c>
      <c r="H6537" s="5" t="s">
        <v>72</v>
      </c>
      <c r="I6537" s="5" t="s">
        <v>31</v>
      </c>
      <c r="J6537" s="5">
        <v>17.078447594107999</v>
      </c>
      <c r="K6537" s="5" t="s">
        <v>1253</v>
      </c>
      <c r="L6537" s="5" t="str">
        <f>HYPERLINK("https://maps.google.com/?q=17.0784475941075,	-96.711226860438761075", "🔗 Ver Mapa")</f>
        <v>🔗 Ver Mapa</v>
      </c>
    </row>
    <row r="6538" spans="1:12" ht="58" x14ac:dyDescent="0.35">
      <c r="A6538" s="6" t="s">
        <v>73</v>
      </c>
      <c r="B6538" s="6" t="s">
        <v>74</v>
      </c>
      <c r="C6538" s="6" t="s">
        <v>1254</v>
      </c>
      <c r="D6538" s="6" t="s">
        <v>76</v>
      </c>
      <c r="E6538" s="6" t="s">
        <v>90</v>
      </c>
      <c r="F6538" s="6" t="s">
        <v>119</v>
      </c>
      <c r="G6538" s="6" t="s">
        <v>350</v>
      </c>
      <c r="H6538" s="6" t="s">
        <v>351</v>
      </c>
      <c r="I6538" s="6" t="s">
        <v>31</v>
      </c>
      <c r="J6538" s="6">
        <v>17.319695333952001</v>
      </c>
      <c r="K6538" s="6">
        <v>-96.494900961971993</v>
      </c>
      <c r="L6538" s="6" t="str">
        <f>HYPERLINK("https://maps.google.com/?q=17.319695333951543,-96.49490096197181", "🔗 Ver Mapa")</f>
        <v>🔗 Ver Mapa</v>
      </c>
    </row>
    <row r="6539" spans="1:12" ht="58" x14ac:dyDescent="0.35">
      <c r="A6539" s="5" t="s">
        <v>73</v>
      </c>
      <c r="B6539" s="5" t="s">
        <v>74</v>
      </c>
      <c r="C6539" s="5" t="s">
        <v>1255</v>
      </c>
      <c r="D6539" s="5" t="s">
        <v>76</v>
      </c>
      <c r="E6539" s="5" t="s">
        <v>110</v>
      </c>
      <c r="F6539" s="5" t="s">
        <v>126</v>
      </c>
      <c r="G6539" s="5" t="s">
        <v>127</v>
      </c>
      <c r="H6539" s="5" t="s">
        <v>128</v>
      </c>
      <c r="I6539" s="5" t="s">
        <v>31</v>
      </c>
      <c r="J6539" s="5">
        <v>17.951599470843998</v>
      </c>
      <c r="K6539" s="5">
        <v>-96.738466108717006</v>
      </c>
      <c r="L6539" s="5" t="str">
        <f>HYPERLINK("https://maps.google.com/?q=17.951599470843544,-96.73846610871736", "🔗 Ver Mapa")</f>
        <v>🔗 Ver Mapa</v>
      </c>
    </row>
    <row r="6540" spans="1:12" ht="43.5" x14ac:dyDescent="0.35">
      <c r="A6540" s="6" t="s">
        <v>73</v>
      </c>
      <c r="B6540" s="6" t="s">
        <v>74</v>
      </c>
      <c r="C6540" s="6" t="s">
        <v>1256</v>
      </c>
      <c r="D6540" s="6" t="s">
        <v>76</v>
      </c>
      <c r="E6540" s="6" t="s">
        <v>17</v>
      </c>
      <c r="F6540" s="6" t="s">
        <v>59</v>
      </c>
      <c r="G6540" s="6" t="s">
        <v>982</v>
      </c>
      <c r="H6540" s="6" t="s">
        <v>1257</v>
      </c>
      <c r="I6540" s="6" t="s">
        <v>31</v>
      </c>
      <c r="J6540" s="6">
        <v>16.305851455239001</v>
      </c>
      <c r="K6540" s="6">
        <v>-98.442984294412994</v>
      </c>
      <c r="L6540" s="6" t="str">
        <f>HYPERLINK("https://maps.google.com/?q=16.305851455238997,-98.44298429441317", "🔗 Ver Mapa")</f>
        <v>🔗 Ver Mapa</v>
      </c>
    </row>
    <row r="6541" spans="1:12" ht="58" x14ac:dyDescent="0.35">
      <c r="A6541" s="5" t="s">
        <v>73</v>
      </c>
      <c r="B6541" s="5" t="s">
        <v>74</v>
      </c>
      <c r="C6541" s="5" t="s">
        <v>1258</v>
      </c>
      <c r="D6541" s="5" t="s">
        <v>76</v>
      </c>
      <c r="E6541" s="5" t="s">
        <v>17</v>
      </c>
      <c r="F6541" s="5" t="s">
        <v>20</v>
      </c>
      <c r="G6541" s="5" t="s">
        <v>77</v>
      </c>
      <c r="H6541" s="5" t="s">
        <v>916</v>
      </c>
      <c r="I6541" s="5" t="s">
        <v>31</v>
      </c>
      <c r="J6541" s="5">
        <v>16.041001217910999</v>
      </c>
      <c r="K6541" s="5">
        <v>-96.585955702872994</v>
      </c>
      <c r="L6541" s="5" t="str">
        <f>HYPERLINK("https://maps.google.com/?q=16.04100121791066,-96.58595570287348", "🔗 Ver Mapa")</f>
        <v>🔗 Ver Mapa</v>
      </c>
    </row>
    <row r="6542" spans="1:12" ht="43.5" x14ac:dyDescent="0.35">
      <c r="A6542" s="6" t="s">
        <v>73</v>
      </c>
      <c r="B6542" s="6" t="s">
        <v>74</v>
      </c>
      <c r="C6542" s="6" t="s">
        <v>1259</v>
      </c>
      <c r="D6542" s="6" t="s">
        <v>76</v>
      </c>
      <c r="E6542" s="6" t="s">
        <v>17</v>
      </c>
      <c r="F6542" s="6" t="s">
        <v>59</v>
      </c>
      <c r="G6542" s="6" t="s">
        <v>266</v>
      </c>
      <c r="H6542" s="6" t="s">
        <v>1260</v>
      </c>
      <c r="I6542" s="6" t="s">
        <v>31</v>
      </c>
      <c r="J6542" s="6">
        <v>16.465311199748001</v>
      </c>
      <c r="K6542" s="6">
        <v>-98.329121626741994</v>
      </c>
      <c r="L6542" s="6" t="str">
        <f>HYPERLINK("https://maps.google.com/?q=16.465311199747703,-98.32912162674185", "🔗 Ver Mapa")</f>
        <v>🔗 Ver Mapa</v>
      </c>
    </row>
    <row r="6543" spans="1:12" ht="87" x14ac:dyDescent="0.35">
      <c r="A6543" s="5" t="s">
        <v>288</v>
      </c>
      <c r="B6543" s="5" t="s">
        <v>289</v>
      </c>
      <c r="C6543" s="5" t="s">
        <v>1261</v>
      </c>
      <c r="D6543" s="5" t="s">
        <v>677</v>
      </c>
      <c r="E6543" s="5" t="s">
        <v>110</v>
      </c>
      <c r="F6543" s="5" t="s">
        <v>111</v>
      </c>
      <c r="G6543" s="5" t="s">
        <v>112</v>
      </c>
      <c r="H6543" s="5" t="s">
        <v>113</v>
      </c>
      <c r="I6543" s="5" t="s">
        <v>31</v>
      </c>
      <c r="J6543" s="5">
        <v>17.980173438200001</v>
      </c>
      <c r="K6543" s="5">
        <v>-97.355246671000003</v>
      </c>
      <c r="L6543" s="5" t="str">
        <f>HYPERLINK("https://maps.google.com/?q=17.9801734382,-97.355246671", "🔗 Ver Mapa")</f>
        <v>🔗 Ver Mapa</v>
      </c>
    </row>
    <row r="6544" spans="1:12" ht="87" x14ac:dyDescent="0.35">
      <c r="A6544" s="6" t="s">
        <v>288</v>
      </c>
      <c r="B6544" s="6" t="s">
        <v>289</v>
      </c>
      <c r="C6544" s="6" t="s">
        <v>1261</v>
      </c>
      <c r="D6544" s="6" t="s">
        <v>677</v>
      </c>
      <c r="E6544" s="6" t="s">
        <v>110</v>
      </c>
      <c r="F6544" s="6" t="s">
        <v>111</v>
      </c>
      <c r="G6544" s="6" t="s">
        <v>112</v>
      </c>
      <c r="H6544" s="6" t="s">
        <v>113</v>
      </c>
      <c r="I6544" s="6" t="s">
        <v>31</v>
      </c>
      <c r="J6544" s="6">
        <v>18.083337161399999</v>
      </c>
      <c r="K6544" s="6">
        <v>-97.244690417000001</v>
      </c>
      <c r="L6544" s="6" t="str">
        <f>HYPERLINK("https://maps.google.com/?q=18.0833371614,-97.244690417", "🔗 Ver Mapa")</f>
        <v>🔗 Ver Mapa</v>
      </c>
    </row>
    <row r="6545" spans="1:12" ht="87" x14ac:dyDescent="0.35">
      <c r="A6545" s="5" t="s">
        <v>288</v>
      </c>
      <c r="B6545" s="5" t="s">
        <v>289</v>
      </c>
      <c r="C6545" s="5" t="s">
        <v>1261</v>
      </c>
      <c r="D6545" s="5" t="s">
        <v>677</v>
      </c>
      <c r="E6545" s="5" t="s">
        <v>110</v>
      </c>
      <c r="F6545" s="5" t="s">
        <v>111</v>
      </c>
      <c r="G6545" s="5" t="s">
        <v>112</v>
      </c>
      <c r="H6545" s="5" t="s">
        <v>113</v>
      </c>
      <c r="I6545" s="5" t="s">
        <v>31</v>
      </c>
      <c r="J6545" s="5">
        <v>18.118207670210001</v>
      </c>
      <c r="K6545" s="5">
        <v>-97.176188311999994</v>
      </c>
      <c r="L6545" s="5" t="str">
        <f>HYPERLINK("https://maps.google.com/?q=18.11820767021,-97.176188312", "🔗 Ver Mapa")</f>
        <v>🔗 Ver Mapa</v>
      </c>
    </row>
    <row r="6546" spans="1:12" ht="87" x14ac:dyDescent="0.35">
      <c r="A6546" s="6" t="s">
        <v>288</v>
      </c>
      <c r="B6546" s="6" t="s">
        <v>289</v>
      </c>
      <c r="C6546" s="6" t="s">
        <v>1261</v>
      </c>
      <c r="D6546" s="6" t="s">
        <v>677</v>
      </c>
      <c r="E6546" s="6" t="s">
        <v>110</v>
      </c>
      <c r="F6546" s="6" t="s">
        <v>111</v>
      </c>
      <c r="G6546" s="6" t="s">
        <v>112</v>
      </c>
      <c r="H6546" s="6" t="s">
        <v>113</v>
      </c>
      <c r="I6546" s="6" t="s">
        <v>31</v>
      </c>
      <c r="J6546" s="6">
        <v>18.136650232400001</v>
      </c>
      <c r="K6546" s="6">
        <v>-97.079076450000002</v>
      </c>
      <c r="L6546" s="6" t="str">
        <f>HYPERLINK("https://maps.google.com/?q=18.1366502324,-97.079076450", "🔗 Ver Mapa")</f>
        <v>🔗 Ver Mapa</v>
      </c>
    </row>
    <row r="6547" spans="1:12" ht="29" x14ac:dyDescent="0.35">
      <c r="A6547" s="5" t="s">
        <v>107</v>
      </c>
      <c r="B6547" s="5" t="s">
        <v>108</v>
      </c>
      <c r="C6547" s="5" t="s">
        <v>1262</v>
      </c>
      <c r="D6547" s="5" t="s">
        <v>950</v>
      </c>
      <c r="E6547" s="5" t="s">
        <v>110</v>
      </c>
      <c r="F6547" s="5" t="s">
        <v>111</v>
      </c>
      <c r="G6547" s="5" t="s">
        <v>112</v>
      </c>
      <c r="H6547" s="5" t="s">
        <v>113</v>
      </c>
      <c r="I6547" s="5" t="s">
        <v>31</v>
      </c>
      <c r="J6547" s="5">
        <v>18.135309502826999</v>
      </c>
      <c r="K6547" s="5">
        <v>-97.095412493943996</v>
      </c>
      <c r="L6547" s="5" t="str">
        <f>HYPERLINK("https://maps.google.com/?q=18.13530950282725,-97.0954124939436", "🔗 Ver Mapa")</f>
        <v>🔗 Ver Mapa</v>
      </c>
    </row>
    <row r="6548" spans="1:12" ht="43.5" x14ac:dyDescent="0.35">
      <c r="A6548" s="6" t="s">
        <v>1263</v>
      </c>
      <c r="B6548" s="6" t="s">
        <v>1264</v>
      </c>
      <c r="C6548" s="6" t="s">
        <v>1265</v>
      </c>
      <c r="D6548" s="6" t="s">
        <v>76</v>
      </c>
      <c r="E6548" s="6" t="s">
        <v>39</v>
      </c>
      <c r="F6548" s="6" t="s">
        <v>353</v>
      </c>
      <c r="G6548" s="6" t="s">
        <v>1266</v>
      </c>
      <c r="H6548" s="6" t="s">
        <v>1267</v>
      </c>
      <c r="I6548" s="6" t="s">
        <v>31</v>
      </c>
      <c r="J6548" s="6">
        <v>16.344846</v>
      </c>
      <c r="K6548" s="6">
        <v>-96.579284999999999</v>
      </c>
      <c r="L6548" s="6" t="str">
        <f>HYPERLINK("https://maps.google.com/?q=16.344846,-96.579285", "🔗 Ver Mapa")</f>
        <v>🔗 Ver Mapa</v>
      </c>
    </row>
    <row r="6549" spans="1:12" ht="58" x14ac:dyDescent="0.35">
      <c r="A6549" s="5" t="s">
        <v>288</v>
      </c>
      <c r="B6549" s="5" t="s">
        <v>289</v>
      </c>
      <c r="C6549" s="5" t="s">
        <v>1268</v>
      </c>
      <c r="D6549" s="5" t="s">
        <v>745</v>
      </c>
      <c r="E6549" s="5" t="s">
        <v>110</v>
      </c>
      <c r="F6549" s="5" t="s">
        <v>126</v>
      </c>
      <c r="G6549" s="5" t="s">
        <v>1269</v>
      </c>
      <c r="H6549" s="5" t="s">
        <v>1270</v>
      </c>
      <c r="I6549" s="5" t="s">
        <v>31</v>
      </c>
      <c r="J6549" s="5">
        <v>17.759544999999999</v>
      </c>
      <c r="K6549" s="5">
        <v>-96.878887000000006</v>
      </c>
      <c r="L6549" s="5" t="str">
        <f>HYPERLINK("https://maps.google.com/?q=17.759545,-96.878887", "🔗 Ver Mapa")</f>
        <v>🔗 Ver Mapa</v>
      </c>
    </row>
    <row r="6550" spans="1:12" ht="58" x14ac:dyDescent="0.35">
      <c r="A6550" s="6" t="s">
        <v>288</v>
      </c>
      <c r="B6550" s="6" t="s">
        <v>289</v>
      </c>
      <c r="C6550" s="6" t="s">
        <v>1268</v>
      </c>
      <c r="D6550" s="6" t="s">
        <v>745</v>
      </c>
      <c r="E6550" s="6" t="s">
        <v>110</v>
      </c>
      <c r="F6550" s="6" t="s">
        <v>126</v>
      </c>
      <c r="G6550" s="6" t="s">
        <v>1269</v>
      </c>
      <c r="H6550" s="6" t="s">
        <v>1270</v>
      </c>
      <c r="I6550" s="6" t="s">
        <v>31</v>
      </c>
      <c r="J6550" s="6">
        <v>17.759793999999999</v>
      </c>
      <c r="K6550" s="6">
        <v>-96.878573000000003</v>
      </c>
      <c r="L6550" s="6" t="str">
        <f>HYPERLINK("https://maps.google.com/?q=17.759794,-96.878573", "🔗 Ver Mapa")</f>
        <v>🔗 Ver Mapa</v>
      </c>
    </row>
    <row r="6551" spans="1:12" ht="58" x14ac:dyDescent="0.35">
      <c r="A6551" s="5" t="s">
        <v>288</v>
      </c>
      <c r="B6551" s="5" t="s">
        <v>289</v>
      </c>
      <c r="C6551" s="5" t="s">
        <v>1268</v>
      </c>
      <c r="D6551" s="5" t="s">
        <v>745</v>
      </c>
      <c r="E6551" s="5" t="s">
        <v>110</v>
      </c>
      <c r="F6551" s="5" t="s">
        <v>126</v>
      </c>
      <c r="G6551" s="5" t="s">
        <v>1269</v>
      </c>
      <c r="H6551" s="5" t="s">
        <v>1270</v>
      </c>
      <c r="I6551" s="5" t="s">
        <v>31</v>
      </c>
      <c r="J6551" s="5">
        <v>17.76023</v>
      </c>
      <c r="K6551" s="5">
        <v>-96.878776000000002</v>
      </c>
      <c r="L6551" s="5" t="str">
        <f>HYPERLINK("https://maps.google.com/?q=17.76023,-96.878776", "🔗 Ver Mapa")</f>
        <v>🔗 Ver Mapa</v>
      </c>
    </row>
    <row r="6552" spans="1:12" ht="58" x14ac:dyDescent="0.35">
      <c r="A6552" s="6" t="s">
        <v>288</v>
      </c>
      <c r="B6552" s="6" t="s">
        <v>289</v>
      </c>
      <c r="C6552" s="6" t="s">
        <v>1268</v>
      </c>
      <c r="D6552" s="6" t="s">
        <v>745</v>
      </c>
      <c r="E6552" s="6" t="s">
        <v>110</v>
      </c>
      <c r="F6552" s="6" t="s">
        <v>126</v>
      </c>
      <c r="G6552" s="6" t="s">
        <v>1269</v>
      </c>
      <c r="H6552" s="6" t="s">
        <v>1270</v>
      </c>
      <c r="I6552" s="6" t="s">
        <v>31</v>
      </c>
      <c r="J6552" s="6">
        <v>17.760604000000001</v>
      </c>
      <c r="K6552" s="6">
        <v>-96.879129000000006</v>
      </c>
      <c r="L6552" s="6" t="str">
        <f>HYPERLINK("https://maps.google.com/?q=17.760604,-96.879129", "🔗 Ver Mapa")</f>
        <v>🔗 Ver Mapa</v>
      </c>
    </row>
    <row r="6553" spans="1:12" ht="58" x14ac:dyDescent="0.35">
      <c r="A6553" s="5" t="s">
        <v>288</v>
      </c>
      <c r="B6553" s="5" t="s">
        <v>289</v>
      </c>
      <c r="C6553" s="5" t="s">
        <v>1268</v>
      </c>
      <c r="D6553" s="5" t="s">
        <v>745</v>
      </c>
      <c r="E6553" s="5" t="s">
        <v>110</v>
      </c>
      <c r="F6553" s="5" t="s">
        <v>126</v>
      </c>
      <c r="G6553" s="5" t="s">
        <v>1269</v>
      </c>
      <c r="H6553" s="5" t="s">
        <v>1270</v>
      </c>
      <c r="I6553" s="5" t="s">
        <v>31</v>
      </c>
      <c r="J6553" s="5">
        <v>17.760835</v>
      </c>
      <c r="K6553" s="5">
        <v>-96.877920000000003</v>
      </c>
      <c r="L6553" s="5" t="str">
        <f>HYPERLINK("https://maps.google.com/?q=17.760835,-96.877920", "🔗 Ver Mapa")</f>
        <v>🔗 Ver Mapa</v>
      </c>
    </row>
    <row r="6554" spans="1:12" ht="58" x14ac:dyDescent="0.35">
      <c r="A6554" s="6" t="s">
        <v>288</v>
      </c>
      <c r="B6554" s="6" t="s">
        <v>289</v>
      </c>
      <c r="C6554" s="6" t="s">
        <v>1268</v>
      </c>
      <c r="D6554" s="6" t="s">
        <v>745</v>
      </c>
      <c r="E6554" s="6" t="s">
        <v>110</v>
      </c>
      <c r="F6554" s="6" t="s">
        <v>126</v>
      </c>
      <c r="G6554" s="6" t="s">
        <v>1269</v>
      </c>
      <c r="H6554" s="6" t="s">
        <v>1270</v>
      </c>
      <c r="I6554" s="6" t="s">
        <v>31</v>
      </c>
      <c r="J6554" s="6">
        <v>17.760861999999999</v>
      </c>
      <c r="K6554" s="6">
        <v>-96.879521999999994</v>
      </c>
      <c r="L6554" s="6" t="str">
        <f>HYPERLINK("https://maps.google.com/?q=17.760862,-96.879522", "🔗 Ver Mapa")</f>
        <v>🔗 Ver Mapa</v>
      </c>
    </row>
    <row r="6555" spans="1:12" ht="58" x14ac:dyDescent="0.35">
      <c r="A6555" s="5" t="s">
        <v>288</v>
      </c>
      <c r="B6555" s="5" t="s">
        <v>289</v>
      </c>
      <c r="C6555" s="5" t="s">
        <v>1268</v>
      </c>
      <c r="D6555" s="5" t="s">
        <v>745</v>
      </c>
      <c r="E6555" s="5" t="s">
        <v>110</v>
      </c>
      <c r="F6555" s="5" t="s">
        <v>126</v>
      </c>
      <c r="G6555" s="5" t="s">
        <v>1269</v>
      </c>
      <c r="H6555" s="5" t="s">
        <v>1270</v>
      </c>
      <c r="I6555" s="5" t="s">
        <v>31</v>
      </c>
      <c r="J6555" s="5">
        <v>17.760930999999999</v>
      </c>
      <c r="K6555" s="5">
        <v>-96.878389999999996</v>
      </c>
      <c r="L6555" s="5" t="str">
        <f>HYPERLINK("https://maps.google.com/?q=17.760931,-96.878390", "🔗 Ver Mapa")</f>
        <v>🔗 Ver Mapa</v>
      </c>
    </row>
    <row r="6556" spans="1:12" ht="58" x14ac:dyDescent="0.35">
      <c r="A6556" s="6" t="s">
        <v>288</v>
      </c>
      <c r="B6556" s="6" t="s">
        <v>289</v>
      </c>
      <c r="C6556" s="6" t="s">
        <v>1268</v>
      </c>
      <c r="D6556" s="6" t="s">
        <v>745</v>
      </c>
      <c r="E6556" s="6" t="s">
        <v>110</v>
      </c>
      <c r="F6556" s="6" t="s">
        <v>126</v>
      </c>
      <c r="G6556" s="6" t="s">
        <v>1269</v>
      </c>
      <c r="H6556" s="6" t="s">
        <v>1270</v>
      </c>
      <c r="I6556" s="6" t="s">
        <v>31</v>
      </c>
      <c r="J6556" s="6">
        <v>17.760974999999998</v>
      </c>
      <c r="K6556" s="6">
        <v>-96.879105999999993</v>
      </c>
      <c r="L6556" s="6" t="str">
        <f>HYPERLINK("https://maps.google.com/?q=17.760975,-96.879106", "🔗 Ver Mapa")</f>
        <v>🔗 Ver Mapa</v>
      </c>
    </row>
    <row r="6557" spans="1:12" ht="58" x14ac:dyDescent="0.35">
      <c r="A6557" s="5" t="s">
        <v>288</v>
      </c>
      <c r="B6557" s="5" t="s">
        <v>289</v>
      </c>
      <c r="C6557" s="5" t="s">
        <v>1268</v>
      </c>
      <c r="D6557" s="5" t="s">
        <v>745</v>
      </c>
      <c r="E6557" s="5" t="s">
        <v>110</v>
      </c>
      <c r="F6557" s="5" t="s">
        <v>126</v>
      </c>
      <c r="G6557" s="5" t="s">
        <v>1269</v>
      </c>
      <c r="H6557" s="5" t="s">
        <v>1270</v>
      </c>
      <c r="I6557" s="5" t="s">
        <v>31</v>
      </c>
      <c r="J6557" s="5">
        <v>17.761068999999999</v>
      </c>
      <c r="K6557" s="5">
        <v>-96.878699999999995</v>
      </c>
      <c r="L6557" s="5" t="str">
        <f>HYPERLINK("https://maps.google.com/?q=17.761069,-96.878700", "🔗 Ver Mapa")</f>
        <v>🔗 Ver Mapa</v>
      </c>
    </row>
    <row r="6558" spans="1:12" ht="58" x14ac:dyDescent="0.35">
      <c r="A6558" s="6" t="s">
        <v>288</v>
      </c>
      <c r="B6558" s="6" t="s">
        <v>289</v>
      </c>
      <c r="C6558" s="6" t="s">
        <v>1268</v>
      </c>
      <c r="D6558" s="6" t="s">
        <v>745</v>
      </c>
      <c r="E6558" s="6" t="s">
        <v>110</v>
      </c>
      <c r="F6558" s="6" t="s">
        <v>126</v>
      </c>
      <c r="G6558" s="6" t="s">
        <v>1269</v>
      </c>
      <c r="H6558" s="6" t="s">
        <v>1270</v>
      </c>
      <c r="I6558" s="6" t="s">
        <v>31</v>
      </c>
      <c r="J6558" s="6">
        <v>17.761081000000001</v>
      </c>
      <c r="K6558" s="6">
        <v>-96.878124</v>
      </c>
      <c r="L6558" s="6" t="str">
        <f>HYPERLINK("https://maps.google.com/?q=17.761081,-96.878124", "🔗 Ver Mapa")</f>
        <v>🔗 Ver Mapa</v>
      </c>
    </row>
    <row r="6559" spans="1:12" ht="58" x14ac:dyDescent="0.35">
      <c r="A6559" s="5" t="s">
        <v>288</v>
      </c>
      <c r="B6559" s="5" t="s">
        <v>289</v>
      </c>
      <c r="C6559" s="5" t="s">
        <v>1268</v>
      </c>
      <c r="D6559" s="5" t="s">
        <v>745</v>
      </c>
      <c r="E6559" s="5" t="s">
        <v>110</v>
      </c>
      <c r="F6559" s="5" t="s">
        <v>126</v>
      </c>
      <c r="G6559" s="5" t="s">
        <v>1269</v>
      </c>
      <c r="H6559" s="5" t="s">
        <v>1270</v>
      </c>
      <c r="I6559" s="5" t="s">
        <v>31</v>
      </c>
      <c r="J6559" s="5">
        <v>17.761499000000001</v>
      </c>
      <c r="K6559" s="5">
        <v>-96.878345999999993</v>
      </c>
      <c r="L6559" s="5" t="str">
        <f>HYPERLINK("https://maps.google.com/?q=17.761499,-96.878346", "🔗 Ver Mapa")</f>
        <v>🔗 Ver Mapa</v>
      </c>
    </row>
    <row r="6560" spans="1:12" ht="58" x14ac:dyDescent="0.35">
      <c r="A6560" s="6" t="s">
        <v>288</v>
      </c>
      <c r="B6560" s="6" t="s">
        <v>289</v>
      </c>
      <c r="C6560" s="6" t="s">
        <v>1268</v>
      </c>
      <c r="D6560" s="6" t="s">
        <v>745</v>
      </c>
      <c r="E6560" s="6" t="s">
        <v>110</v>
      </c>
      <c r="F6560" s="6" t="s">
        <v>126</v>
      </c>
      <c r="G6560" s="6" t="s">
        <v>1269</v>
      </c>
      <c r="H6560" s="6" t="s">
        <v>1270</v>
      </c>
      <c r="I6560" s="6" t="s">
        <v>31</v>
      </c>
      <c r="J6560" s="6">
        <v>17.761666999999999</v>
      </c>
      <c r="K6560" s="6">
        <v>-96.878825000000006</v>
      </c>
      <c r="L6560" s="6" t="str">
        <f>HYPERLINK("https://maps.google.com/?q=17.761667,-96.878825", "🔗 Ver Mapa")</f>
        <v>🔗 Ver Mapa</v>
      </c>
    </row>
    <row r="6561" spans="1:12" ht="58" x14ac:dyDescent="0.35">
      <c r="A6561" s="5" t="s">
        <v>288</v>
      </c>
      <c r="B6561" s="5" t="s">
        <v>289</v>
      </c>
      <c r="C6561" s="5" t="s">
        <v>1268</v>
      </c>
      <c r="D6561" s="5" t="s">
        <v>745</v>
      </c>
      <c r="E6561" s="5" t="s">
        <v>110</v>
      </c>
      <c r="F6561" s="5" t="s">
        <v>126</v>
      </c>
      <c r="G6561" s="5" t="s">
        <v>1269</v>
      </c>
      <c r="H6561" s="5" t="s">
        <v>1270</v>
      </c>
      <c r="I6561" s="5" t="s">
        <v>31</v>
      </c>
      <c r="J6561" s="5">
        <v>17.762132000000001</v>
      </c>
      <c r="K6561" s="5">
        <v>-96.879195999999993</v>
      </c>
      <c r="L6561" s="5" t="str">
        <f>HYPERLINK("https://maps.google.com/?q=17.762132,-96.879196", "🔗 Ver Mapa")</f>
        <v>🔗 Ver Mapa</v>
      </c>
    </row>
    <row r="6562" spans="1:12" ht="58" x14ac:dyDescent="0.35">
      <c r="A6562" s="6" t="s">
        <v>288</v>
      </c>
      <c r="B6562" s="6" t="s">
        <v>289</v>
      </c>
      <c r="C6562" s="6" t="s">
        <v>1268</v>
      </c>
      <c r="D6562" s="6" t="s">
        <v>745</v>
      </c>
      <c r="E6562" s="6" t="s">
        <v>110</v>
      </c>
      <c r="F6562" s="6" t="s">
        <v>126</v>
      </c>
      <c r="G6562" s="6" t="s">
        <v>1269</v>
      </c>
      <c r="H6562" s="6" t="s">
        <v>1270</v>
      </c>
      <c r="I6562" s="6" t="s">
        <v>31</v>
      </c>
      <c r="J6562" s="6">
        <v>17.762191000000001</v>
      </c>
      <c r="K6562" s="6">
        <v>-96.878781000000004</v>
      </c>
      <c r="L6562" s="6" t="str">
        <f>HYPERLINK("https://maps.google.com/?q=17.762191,-96.878781", "🔗 Ver Mapa")</f>
        <v>🔗 Ver Mapa</v>
      </c>
    </row>
    <row r="6563" spans="1:12" ht="58" x14ac:dyDescent="0.35">
      <c r="A6563" s="5" t="s">
        <v>288</v>
      </c>
      <c r="B6563" s="5" t="s">
        <v>289</v>
      </c>
      <c r="C6563" s="5" t="s">
        <v>1268</v>
      </c>
      <c r="D6563" s="5" t="s">
        <v>745</v>
      </c>
      <c r="E6563" s="5" t="s">
        <v>110</v>
      </c>
      <c r="F6563" s="5" t="s">
        <v>126</v>
      </c>
      <c r="G6563" s="5" t="s">
        <v>1269</v>
      </c>
      <c r="H6563" s="5" t="s">
        <v>1270</v>
      </c>
      <c r="I6563" s="5" t="s">
        <v>31</v>
      </c>
      <c r="J6563" s="5">
        <v>17.762267000000001</v>
      </c>
      <c r="K6563" s="5">
        <v>-96.878365000000002</v>
      </c>
      <c r="L6563" s="5" t="str">
        <f>HYPERLINK("https://maps.google.com/?q=17.762267,-96.878365", "🔗 Ver Mapa")</f>
        <v>🔗 Ver Mapa</v>
      </c>
    </row>
    <row r="6564" spans="1:12" ht="58" x14ac:dyDescent="0.35">
      <c r="A6564" s="6" t="s">
        <v>288</v>
      </c>
      <c r="B6564" s="6" t="s">
        <v>289</v>
      </c>
      <c r="C6564" s="6" t="s">
        <v>1268</v>
      </c>
      <c r="D6564" s="6" t="s">
        <v>745</v>
      </c>
      <c r="E6564" s="6" t="s">
        <v>110</v>
      </c>
      <c r="F6564" s="6" t="s">
        <v>126</v>
      </c>
      <c r="G6564" s="6" t="s">
        <v>1269</v>
      </c>
      <c r="H6564" s="6" t="s">
        <v>1270</v>
      </c>
      <c r="I6564" s="6" t="s">
        <v>31</v>
      </c>
      <c r="J6564" s="6">
        <v>17.762366</v>
      </c>
      <c r="K6564" s="6">
        <v>-96.879146000000006</v>
      </c>
      <c r="L6564" s="6" t="str">
        <f>HYPERLINK("https://maps.google.com/?q=17.762366,-96.879146", "🔗 Ver Mapa")</f>
        <v>🔗 Ver Mapa</v>
      </c>
    </row>
    <row r="6565" spans="1:12" ht="58" x14ac:dyDescent="0.35">
      <c r="A6565" s="5" t="s">
        <v>288</v>
      </c>
      <c r="B6565" s="5" t="s">
        <v>289</v>
      </c>
      <c r="C6565" s="5" t="s">
        <v>1268</v>
      </c>
      <c r="D6565" s="5" t="s">
        <v>745</v>
      </c>
      <c r="E6565" s="5" t="s">
        <v>110</v>
      </c>
      <c r="F6565" s="5" t="s">
        <v>126</v>
      </c>
      <c r="G6565" s="5" t="s">
        <v>1269</v>
      </c>
      <c r="H6565" s="5" t="s">
        <v>1270</v>
      </c>
      <c r="I6565" s="5" t="s">
        <v>31</v>
      </c>
      <c r="J6565" s="5">
        <v>17.762398999999998</v>
      </c>
      <c r="K6565" s="5">
        <v>-96.878033000000002</v>
      </c>
      <c r="L6565" s="5" t="str">
        <f>HYPERLINK("https://maps.google.com/?q=17.762399,-96.878033", "🔗 Ver Mapa")</f>
        <v>🔗 Ver Mapa</v>
      </c>
    </row>
    <row r="6566" spans="1:12" ht="58" x14ac:dyDescent="0.35">
      <c r="A6566" s="6" t="s">
        <v>288</v>
      </c>
      <c r="B6566" s="6" t="s">
        <v>289</v>
      </c>
      <c r="C6566" s="6" t="s">
        <v>1268</v>
      </c>
      <c r="D6566" s="6" t="s">
        <v>745</v>
      </c>
      <c r="E6566" s="6" t="s">
        <v>110</v>
      </c>
      <c r="F6566" s="6" t="s">
        <v>126</v>
      </c>
      <c r="G6566" s="6" t="s">
        <v>1269</v>
      </c>
      <c r="H6566" s="6" t="s">
        <v>1270</v>
      </c>
      <c r="I6566" s="6" t="s">
        <v>31</v>
      </c>
      <c r="J6566" s="6">
        <v>17.762402000000002</v>
      </c>
      <c r="K6566" s="6">
        <v>-96.878269000000003</v>
      </c>
      <c r="L6566" s="6" t="str">
        <f>HYPERLINK("https://maps.google.com/?q=17.762402,-96.878269", "🔗 Ver Mapa")</f>
        <v>🔗 Ver Mapa</v>
      </c>
    </row>
    <row r="6567" spans="1:12" ht="58" x14ac:dyDescent="0.35">
      <c r="A6567" s="5" t="s">
        <v>288</v>
      </c>
      <c r="B6567" s="5" t="s">
        <v>289</v>
      </c>
      <c r="C6567" s="5" t="s">
        <v>1268</v>
      </c>
      <c r="D6567" s="5" t="s">
        <v>745</v>
      </c>
      <c r="E6567" s="5" t="s">
        <v>110</v>
      </c>
      <c r="F6567" s="5" t="s">
        <v>126</v>
      </c>
      <c r="G6567" s="5" t="s">
        <v>1269</v>
      </c>
      <c r="H6567" s="5" t="s">
        <v>1270</v>
      </c>
      <c r="I6567" s="5" t="s">
        <v>31</v>
      </c>
      <c r="J6567" s="5">
        <v>17.762449</v>
      </c>
      <c r="K6567" s="5">
        <v>-96.879262999999995</v>
      </c>
      <c r="L6567" s="5" t="str">
        <f>HYPERLINK("https://maps.google.com/?q=17.762449,-96.879263", "🔗 Ver Mapa")</f>
        <v>🔗 Ver Mapa</v>
      </c>
    </row>
    <row r="6568" spans="1:12" ht="58" x14ac:dyDescent="0.35">
      <c r="A6568" s="6" t="s">
        <v>288</v>
      </c>
      <c r="B6568" s="6" t="s">
        <v>289</v>
      </c>
      <c r="C6568" s="6" t="s">
        <v>1268</v>
      </c>
      <c r="D6568" s="6" t="s">
        <v>745</v>
      </c>
      <c r="E6568" s="6" t="s">
        <v>110</v>
      </c>
      <c r="F6568" s="6" t="s">
        <v>126</v>
      </c>
      <c r="G6568" s="6" t="s">
        <v>1269</v>
      </c>
      <c r="H6568" s="6" t="s">
        <v>1270</v>
      </c>
      <c r="I6568" s="6" t="s">
        <v>31</v>
      </c>
      <c r="J6568" s="6">
        <v>17.762710999999999</v>
      </c>
      <c r="K6568" s="6">
        <v>-96.879302999999993</v>
      </c>
      <c r="L6568" s="6" t="str">
        <f>HYPERLINK("https://maps.google.com/?q=17.762711,-96.879303", "🔗 Ver Mapa")</f>
        <v>🔗 Ver Mapa</v>
      </c>
    </row>
    <row r="6569" spans="1:12" ht="58" x14ac:dyDescent="0.35">
      <c r="A6569" s="5" t="s">
        <v>288</v>
      </c>
      <c r="B6569" s="5" t="s">
        <v>289</v>
      </c>
      <c r="C6569" s="5" t="s">
        <v>1268</v>
      </c>
      <c r="D6569" s="5" t="s">
        <v>745</v>
      </c>
      <c r="E6569" s="5" t="s">
        <v>110</v>
      </c>
      <c r="F6569" s="5" t="s">
        <v>126</v>
      </c>
      <c r="G6569" s="5" t="s">
        <v>1269</v>
      </c>
      <c r="H6569" s="5" t="s">
        <v>1270</v>
      </c>
      <c r="I6569" s="5" t="s">
        <v>31</v>
      </c>
      <c r="J6569" s="5">
        <v>17.762727000000002</v>
      </c>
      <c r="K6569" s="5">
        <v>-96.879132999999996</v>
      </c>
      <c r="L6569" s="5" t="str">
        <f>HYPERLINK("https://maps.google.com/?q=17.762727,-96.879133", "🔗 Ver Mapa")</f>
        <v>🔗 Ver Mapa</v>
      </c>
    </row>
    <row r="6570" spans="1:12" ht="58" x14ac:dyDescent="0.35">
      <c r="A6570" s="6" t="s">
        <v>288</v>
      </c>
      <c r="B6570" s="6" t="s">
        <v>289</v>
      </c>
      <c r="C6570" s="6" t="s">
        <v>1268</v>
      </c>
      <c r="D6570" s="6" t="s">
        <v>745</v>
      </c>
      <c r="E6570" s="6" t="s">
        <v>110</v>
      </c>
      <c r="F6570" s="6" t="s">
        <v>126</v>
      </c>
      <c r="G6570" s="6" t="s">
        <v>1269</v>
      </c>
      <c r="H6570" s="6" t="s">
        <v>1270</v>
      </c>
      <c r="I6570" s="6" t="s">
        <v>31</v>
      </c>
      <c r="J6570" s="6">
        <v>17.762740999999998</v>
      </c>
      <c r="K6570" s="6">
        <v>-96.880424000000005</v>
      </c>
      <c r="L6570" s="6" t="str">
        <f>HYPERLINK("https://maps.google.com/?q=17.762741,-96.880424", "🔗 Ver Mapa")</f>
        <v>🔗 Ver Mapa</v>
      </c>
    </row>
    <row r="6571" spans="1:12" ht="58" x14ac:dyDescent="0.35">
      <c r="A6571" s="5" t="s">
        <v>288</v>
      </c>
      <c r="B6571" s="5" t="s">
        <v>289</v>
      </c>
      <c r="C6571" s="5" t="s">
        <v>1268</v>
      </c>
      <c r="D6571" s="5" t="s">
        <v>745</v>
      </c>
      <c r="E6571" s="5" t="s">
        <v>110</v>
      </c>
      <c r="F6571" s="5" t="s">
        <v>126</v>
      </c>
      <c r="G6571" s="5" t="s">
        <v>1269</v>
      </c>
      <c r="H6571" s="5" t="s">
        <v>1270</v>
      </c>
      <c r="I6571" s="5" t="s">
        <v>31</v>
      </c>
      <c r="J6571" s="5">
        <v>17.762896000000001</v>
      </c>
      <c r="K6571" s="5">
        <v>-96.879695999999996</v>
      </c>
      <c r="L6571" s="5" t="str">
        <f>HYPERLINK("https://maps.google.com/?q=17.762896,-96.879696", "🔗 Ver Mapa")</f>
        <v>🔗 Ver Mapa</v>
      </c>
    </row>
    <row r="6572" spans="1:12" ht="58" x14ac:dyDescent="0.35">
      <c r="A6572" s="6" t="s">
        <v>288</v>
      </c>
      <c r="B6572" s="6" t="s">
        <v>289</v>
      </c>
      <c r="C6572" s="6" t="s">
        <v>1268</v>
      </c>
      <c r="D6572" s="6" t="s">
        <v>745</v>
      </c>
      <c r="E6572" s="6" t="s">
        <v>110</v>
      </c>
      <c r="F6572" s="6" t="s">
        <v>126</v>
      </c>
      <c r="G6572" s="6" t="s">
        <v>1269</v>
      </c>
      <c r="H6572" s="6" t="s">
        <v>1270</v>
      </c>
      <c r="I6572" s="6" t="s">
        <v>31</v>
      </c>
      <c r="J6572" s="6">
        <v>17.763045000000002</v>
      </c>
      <c r="K6572" s="6">
        <v>-96.879251999999994</v>
      </c>
      <c r="L6572" s="6" t="str">
        <f>HYPERLINK("https://maps.google.com/?q=17.763045,-96.879252", "🔗 Ver Mapa")</f>
        <v>🔗 Ver Mapa</v>
      </c>
    </row>
    <row r="6573" spans="1:12" ht="58" x14ac:dyDescent="0.35">
      <c r="A6573" s="5" t="s">
        <v>288</v>
      </c>
      <c r="B6573" s="5" t="s">
        <v>289</v>
      </c>
      <c r="C6573" s="5" t="s">
        <v>1268</v>
      </c>
      <c r="D6573" s="5" t="s">
        <v>745</v>
      </c>
      <c r="E6573" s="5" t="s">
        <v>110</v>
      </c>
      <c r="F6573" s="5" t="s">
        <v>126</v>
      </c>
      <c r="G6573" s="5" t="s">
        <v>1269</v>
      </c>
      <c r="H6573" s="5" t="s">
        <v>1270</v>
      </c>
      <c r="I6573" s="5" t="s">
        <v>31</v>
      </c>
      <c r="J6573" s="5">
        <v>17.763075000000001</v>
      </c>
      <c r="K6573" s="5">
        <v>-96.880373000000006</v>
      </c>
      <c r="L6573" s="5" t="str">
        <f>HYPERLINK("https://maps.google.com/?q=17.763075,-96.880373", "🔗 Ver Mapa")</f>
        <v>🔗 Ver Mapa</v>
      </c>
    </row>
    <row r="6574" spans="1:12" ht="58" x14ac:dyDescent="0.35">
      <c r="A6574" s="6" t="s">
        <v>288</v>
      </c>
      <c r="B6574" s="6" t="s">
        <v>289</v>
      </c>
      <c r="C6574" s="6" t="s">
        <v>1268</v>
      </c>
      <c r="D6574" s="6" t="s">
        <v>745</v>
      </c>
      <c r="E6574" s="6" t="s">
        <v>110</v>
      </c>
      <c r="F6574" s="6" t="s">
        <v>126</v>
      </c>
      <c r="G6574" s="6" t="s">
        <v>1269</v>
      </c>
      <c r="H6574" s="6" t="s">
        <v>1270</v>
      </c>
      <c r="I6574" s="6" t="s">
        <v>31</v>
      </c>
      <c r="J6574" s="6">
        <v>17.763193999999999</v>
      </c>
      <c r="K6574" s="6">
        <v>-96.879673999999994</v>
      </c>
      <c r="L6574" s="6" t="str">
        <f>HYPERLINK("https://maps.google.com/?q=17.763194,-96.879674", "🔗 Ver Mapa")</f>
        <v>🔗 Ver Mapa</v>
      </c>
    </row>
    <row r="6575" spans="1:12" ht="58" x14ac:dyDescent="0.35">
      <c r="A6575" s="5" t="s">
        <v>288</v>
      </c>
      <c r="B6575" s="5" t="s">
        <v>289</v>
      </c>
      <c r="C6575" s="5" t="s">
        <v>1268</v>
      </c>
      <c r="D6575" s="5" t="s">
        <v>745</v>
      </c>
      <c r="E6575" s="5" t="s">
        <v>110</v>
      </c>
      <c r="F6575" s="5" t="s">
        <v>126</v>
      </c>
      <c r="G6575" s="5" t="s">
        <v>1269</v>
      </c>
      <c r="H6575" s="5" t="s">
        <v>1270</v>
      </c>
      <c r="I6575" s="5" t="s">
        <v>31</v>
      </c>
      <c r="J6575" s="5">
        <v>17.763271</v>
      </c>
      <c r="K6575" s="5">
        <v>-96.880126000000004</v>
      </c>
      <c r="L6575" s="5" t="str">
        <f>HYPERLINK("https://maps.google.com/?q=17.763271,-96.880126", "🔗 Ver Mapa")</f>
        <v>🔗 Ver Mapa</v>
      </c>
    </row>
    <row r="6576" spans="1:12" ht="58" x14ac:dyDescent="0.35">
      <c r="A6576" s="6" t="s">
        <v>288</v>
      </c>
      <c r="B6576" s="6" t="s">
        <v>289</v>
      </c>
      <c r="C6576" s="6" t="s">
        <v>1268</v>
      </c>
      <c r="D6576" s="6" t="s">
        <v>745</v>
      </c>
      <c r="E6576" s="6" t="s">
        <v>110</v>
      </c>
      <c r="F6576" s="6" t="s">
        <v>126</v>
      </c>
      <c r="G6576" s="6" t="s">
        <v>1269</v>
      </c>
      <c r="H6576" s="6" t="s">
        <v>1270</v>
      </c>
      <c r="I6576" s="6" t="s">
        <v>31</v>
      </c>
      <c r="J6576" s="6">
        <v>17.764240999999998</v>
      </c>
      <c r="K6576" s="6">
        <v>-96.881254999999996</v>
      </c>
      <c r="L6576" s="6" t="str">
        <f>HYPERLINK("https://maps.google.com/?q=17.764241,-96.881255", "🔗 Ver Mapa")</f>
        <v>🔗 Ver Mapa</v>
      </c>
    </row>
    <row r="6577" spans="1:12" ht="58" x14ac:dyDescent="0.35">
      <c r="A6577" s="5" t="s">
        <v>288</v>
      </c>
      <c r="B6577" s="5" t="s">
        <v>289</v>
      </c>
      <c r="C6577" s="5" t="s">
        <v>1268</v>
      </c>
      <c r="D6577" s="5" t="s">
        <v>745</v>
      </c>
      <c r="E6577" s="5" t="s">
        <v>110</v>
      </c>
      <c r="F6577" s="5" t="s">
        <v>126</v>
      </c>
      <c r="G6577" s="5" t="s">
        <v>1269</v>
      </c>
      <c r="H6577" s="5" t="s">
        <v>1270</v>
      </c>
      <c r="I6577" s="5" t="s">
        <v>31</v>
      </c>
      <c r="J6577" s="5">
        <v>17.76463</v>
      </c>
      <c r="K6577" s="5">
        <v>-96.881298000000001</v>
      </c>
      <c r="L6577" s="5" t="str">
        <f>HYPERLINK("https://maps.google.com/?q=17.76463,-96.881298", "🔗 Ver Mapa")</f>
        <v>🔗 Ver Mapa</v>
      </c>
    </row>
    <row r="6578" spans="1:12" ht="58" x14ac:dyDescent="0.35">
      <c r="A6578" s="6" t="s">
        <v>288</v>
      </c>
      <c r="B6578" s="6" t="s">
        <v>289</v>
      </c>
      <c r="C6578" s="6" t="s">
        <v>1268</v>
      </c>
      <c r="D6578" s="6" t="s">
        <v>745</v>
      </c>
      <c r="E6578" s="6" t="s">
        <v>110</v>
      </c>
      <c r="F6578" s="6" t="s">
        <v>126</v>
      </c>
      <c r="G6578" s="6" t="s">
        <v>1269</v>
      </c>
      <c r="H6578" s="6" t="s">
        <v>1270</v>
      </c>
      <c r="I6578" s="6" t="s">
        <v>31</v>
      </c>
      <c r="J6578" s="6">
        <v>17.764885</v>
      </c>
      <c r="K6578" s="6">
        <v>-96.881483000000003</v>
      </c>
      <c r="L6578" s="6" t="str">
        <f>HYPERLINK("https://maps.google.com/?q=17.764885,-96.881483", "🔗 Ver Mapa")</f>
        <v>🔗 Ver Mapa</v>
      </c>
    </row>
    <row r="6579" spans="1:12" ht="58" x14ac:dyDescent="0.35">
      <c r="A6579" s="5" t="s">
        <v>288</v>
      </c>
      <c r="B6579" s="5" t="s">
        <v>289</v>
      </c>
      <c r="C6579" s="5" t="s">
        <v>1268</v>
      </c>
      <c r="D6579" s="5" t="s">
        <v>745</v>
      </c>
      <c r="E6579" s="5" t="s">
        <v>110</v>
      </c>
      <c r="F6579" s="5" t="s">
        <v>126</v>
      </c>
      <c r="G6579" s="5" t="s">
        <v>1269</v>
      </c>
      <c r="H6579" s="5" t="s">
        <v>1270</v>
      </c>
      <c r="I6579" s="5" t="s">
        <v>31</v>
      </c>
      <c r="J6579" s="5">
        <v>17.765149000000001</v>
      </c>
      <c r="K6579" s="5">
        <v>-96.881658999999999</v>
      </c>
      <c r="L6579" s="5" t="str">
        <f>HYPERLINK("https://maps.google.com/?q=17.765149,-96.881659", "🔗 Ver Mapa")</f>
        <v>🔗 Ver Mapa</v>
      </c>
    </row>
    <row r="6580" spans="1:12" ht="58" x14ac:dyDescent="0.35">
      <c r="A6580" s="6" t="s">
        <v>288</v>
      </c>
      <c r="B6580" s="6" t="s">
        <v>289</v>
      </c>
      <c r="C6580" s="6" t="s">
        <v>1268</v>
      </c>
      <c r="D6580" s="6" t="s">
        <v>745</v>
      </c>
      <c r="E6580" s="6" t="s">
        <v>110</v>
      </c>
      <c r="F6580" s="6" t="s">
        <v>126</v>
      </c>
      <c r="G6580" s="6" t="s">
        <v>1269</v>
      </c>
      <c r="H6580" s="6" t="s">
        <v>1270</v>
      </c>
      <c r="I6580" s="6" t="s">
        <v>31</v>
      </c>
      <c r="J6580" s="6">
        <v>17.765597</v>
      </c>
      <c r="K6580" s="6">
        <v>-96.882228999999995</v>
      </c>
      <c r="L6580" s="6" t="str">
        <f>HYPERLINK("https://maps.google.com/?q=17.765597,-96.882229", "🔗 Ver Mapa")</f>
        <v>🔗 Ver Mapa</v>
      </c>
    </row>
    <row r="6581" spans="1:12" ht="58" x14ac:dyDescent="0.35">
      <c r="A6581" s="5" t="s">
        <v>288</v>
      </c>
      <c r="B6581" s="5" t="s">
        <v>289</v>
      </c>
      <c r="C6581" s="5" t="s">
        <v>1268</v>
      </c>
      <c r="D6581" s="5" t="s">
        <v>745</v>
      </c>
      <c r="E6581" s="5" t="s">
        <v>110</v>
      </c>
      <c r="F6581" s="5" t="s">
        <v>126</v>
      </c>
      <c r="G6581" s="5" t="s">
        <v>1269</v>
      </c>
      <c r="H6581" s="5" t="s">
        <v>1270</v>
      </c>
      <c r="I6581" s="5" t="s">
        <v>31</v>
      </c>
      <c r="J6581" s="5">
        <v>17.766069000000002</v>
      </c>
      <c r="K6581" s="5">
        <v>-96.882373999999999</v>
      </c>
      <c r="L6581" s="5" t="str">
        <f>HYPERLINK("https://maps.google.com/?q=17.766069,-96.882374", "🔗 Ver Mapa")</f>
        <v>🔗 Ver Mapa</v>
      </c>
    </row>
    <row r="6582" spans="1:12" ht="58" x14ac:dyDescent="0.35">
      <c r="A6582" s="6" t="s">
        <v>288</v>
      </c>
      <c r="B6582" s="6" t="s">
        <v>289</v>
      </c>
      <c r="C6582" s="6" t="s">
        <v>1268</v>
      </c>
      <c r="D6582" s="6" t="s">
        <v>745</v>
      </c>
      <c r="E6582" s="6" t="s">
        <v>110</v>
      </c>
      <c r="F6582" s="6" t="s">
        <v>126</v>
      </c>
      <c r="G6582" s="6" t="s">
        <v>1269</v>
      </c>
      <c r="H6582" s="6" t="s">
        <v>1270</v>
      </c>
      <c r="I6582" s="6" t="s">
        <v>31</v>
      </c>
      <c r="J6582" s="6">
        <v>17.766558</v>
      </c>
      <c r="K6582" s="6">
        <v>-96.882491000000002</v>
      </c>
      <c r="L6582" s="6" t="str">
        <f>HYPERLINK("https://maps.google.com/?q=17.766558,-96.882491", "🔗 Ver Mapa")</f>
        <v>🔗 Ver Mapa</v>
      </c>
    </row>
    <row r="6583" spans="1:12" ht="58" x14ac:dyDescent="0.35">
      <c r="A6583" s="5" t="s">
        <v>288</v>
      </c>
      <c r="B6583" s="5" t="s">
        <v>289</v>
      </c>
      <c r="C6583" s="5" t="s">
        <v>1268</v>
      </c>
      <c r="D6583" s="5" t="s">
        <v>745</v>
      </c>
      <c r="E6583" s="5" t="s">
        <v>110</v>
      </c>
      <c r="F6583" s="5" t="s">
        <v>126</v>
      </c>
      <c r="G6583" s="5" t="s">
        <v>1269</v>
      </c>
      <c r="H6583" s="5" t="s">
        <v>1270</v>
      </c>
      <c r="I6583" s="5" t="s">
        <v>31</v>
      </c>
      <c r="J6583" s="5">
        <v>17.766627</v>
      </c>
      <c r="K6583" s="5">
        <v>-96.883009000000001</v>
      </c>
      <c r="L6583" s="5" t="str">
        <f>HYPERLINK("https://maps.google.com/?q=17.766627,-96.883009", "🔗 Ver Mapa")</f>
        <v>🔗 Ver Mapa</v>
      </c>
    </row>
    <row r="6584" spans="1:12" ht="58" x14ac:dyDescent="0.35">
      <c r="A6584" s="6" t="s">
        <v>288</v>
      </c>
      <c r="B6584" s="6" t="s">
        <v>289</v>
      </c>
      <c r="C6584" s="6" t="s">
        <v>1271</v>
      </c>
      <c r="D6584" s="6" t="s">
        <v>414</v>
      </c>
      <c r="E6584" s="6" t="s">
        <v>16</v>
      </c>
      <c r="F6584" s="6" t="s">
        <v>21</v>
      </c>
      <c r="G6584" s="6" t="s">
        <v>235</v>
      </c>
      <c r="H6584" s="6" t="s">
        <v>236</v>
      </c>
      <c r="I6584" s="6" t="s">
        <v>31</v>
      </c>
      <c r="J6584" s="6">
        <v>17.258555000000001</v>
      </c>
      <c r="K6584" s="6">
        <v>-97.686502000000004</v>
      </c>
      <c r="L6584" s="6" t="str">
        <f>HYPERLINK("https://maps.google.com/?q=17.258555,-97.686502", "🔗 Ver Mapa")</f>
        <v>🔗 Ver Mapa</v>
      </c>
    </row>
    <row r="6585" spans="1:12" ht="58" x14ac:dyDescent="0.35">
      <c r="A6585" s="5" t="s">
        <v>288</v>
      </c>
      <c r="B6585" s="5" t="s">
        <v>289</v>
      </c>
      <c r="C6585" s="5" t="s">
        <v>1271</v>
      </c>
      <c r="D6585" s="5" t="s">
        <v>414</v>
      </c>
      <c r="E6585" s="5" t="s">
        <v>16</v>
      </c>
      <c r="F6585" s="5" t="s">
        <v>21</v>
      </c>
      <c r="G6585" s="5" t="s">
        <v>235</v>
      </c>
      <c r="H6585" s="5" t="s">
        <v>236</v>
      </c>
      <c r="I6585" s="5" t="s">
        <v>31</v>
      </c>
      <c r="J6585" s="5">
        <v>17.258689</v>
      </c>
      <c r="K6585" s="5">
        <v>-97.687468999999993</v>
      </c>
      <c r="L6585" s="5" t="str">
        <f>HYPERLINK("https://maps.google.com/?q=17.258689,-97.687469", "🔗 Ver Mapa")</f>
        <v>🔗 Ver Mapa</v>
      </c>
    </row>
    <row r="6586" spans="1:12" ht="58" x14ac:dyDescent="0.35">
      <c r="A6586" s="6" t="s">
        <v>288</v>
      </c>
      <c r="B6586" s="6" t="s">
        <v>289</v>
      </c>
      <c r="C6586" s="6" t="s">
        <v>1271</v>
      </c>
      <c r="D6586" s="6" t="s">
        <v>414</v>
      </c>
      <c r="E6586" s="6" t="s">
        <v>16</v>
      </c>
      <c r="F6586" s="6" t="s">
        <v>21</v>
      </c>
      <c r="G6586" s="6" t="s">
        <v>235</v>
      </c>
      <c r="H6586" s="6" t="s">
        <v>236</v>
      </c>
      <c r="I6586" s="6" t="s">
        <v>31</v>
      </c>
      <c r="J6586" s="6">
        <v>17.258724000000001</v>
      </c>
      <c r="K6586" s="6">
        <v>-97.687451999999993</v>
      </c>
      <c r="L6586" s="6" t="str">
        <f>HYPERLINK("https://maps.google.com/?q=17.258724,-97.687452", "🔗 Ver Mapa")</f>
        <v>🔗 Ver Mapa</v>
      </c>
    </row>
    <row r="6587" spans="1:12" ht="58" x14ac:dyDescent="0.35">
      <c r="A6587" s="5" t="s">
        <v>288</v>
      </c>
      <c r="B6587" s="5" t="s">
        <v>289</v>
      </c>
      <c r="C6587" s="5" t="s">
        <v>1271</v>
      </c>
      <c r="D6587" s="5" t="s">
        <v>414</v>
      </c>
      <c r="E6587" s="5" t="s">
        <v>16</v>
      </c>
      <c r="F6587" s="5" t="s">
        <v>21</v>
      </c>
      <c r="G6587" s="5" t="s">
        <v>235</v>
      </c>
      <c r="H6587" s="5" t="s">
        <v>236</v>
      </c>
      <c r="I6587" s="5" t="s">
        <v>31</v>
      </c>
      <c r="J6587" s="5">
        <v>17.258763999999999</v>
      </c>
      <c r="K6587" s="5">
        <v>-97.686594999999997</v>
      </c>
      <c r="L6587" s="5" t="str">
        <f>HYPERLINK("https://maps.google.com/?q=17.258764,-97.686595", "🔗 Ver Mapa")</f>
        <v>🔗 Ver Mapa</v>
      </c>
    </row>
    <row r="6588" spans="1:12" ht="58" x14ac:dyDescent="0.35">
      <c r="A6588" s="6" t="s">
        <v>288</v>
      </c>
      <c r="B6588" s="6" t="s">
        <v>289</v>
      </c>
      <c r="C6588" s="6" t="s">
        <v>1271</v>
      </c>
      <c r="D6588" s="6" t="s">
        <v>414</v>
      </c>
      <c r="E6588" s="6" t="s">
        <v>16</v>
      </c>
      <c r="F6588" s="6" t="s">
        <v>21</v>
      </c>
      <c r="G6588" s="6" t="s">
        <v>235</v>
      </c>
      <c r="H6588" s="6" t="s">
        <v>236</v>
      </c>
      <c r="I6588" s="6" t="s">
        <v>31</v>
      </c>
      <c r="J6588" s="6">
        <v>17.258866000000001</v>
      </c>
      <c r="K6588" s="6">
        <v>-97.687055000000001</v>
      </c>
      <c r="L6588" s="6" t="str">
        <f>HYPERLINK("https://maps.google.com/?q=17.258866,-97.687055", "🔗 Ver Mapa")</f>
        <v>🔗 Ver Mapa</v>
      </c>
    </row>
    <row r="6589" spans="1:12" ht="58" x14ac:dyDescent="0.35">
      <c r="A6589" s="5" t="s">
        <v>288</v>
      </c>
      <c r="B6589" s="5" t="s">
        <v>289</v>
      </c>
      <c r="C6589" s="5" t="s">
        <v>1271</v>
      </c>
      <c r="D6589" s="5" t="s">
        <v>414</v>
      </c>
      <c r="E6589" s="5" t="s">
        <v>16</v>
      </c>
      <c r="F6589" s="5" t="s">
        <v>21</v>
      </c>
      <c r="G6589" s="5" t="s">
        <v>235</v>
      </c>
      <c r="H6589" s="5" t="s">
        <v>236</v>
      </c>
      <c r="I6589" s="5" t="s">
        <v>31</v>
      </c>
      <c r="J6589" s="5">
        <v>17.258945000000001</v>
      </c>
      <c r="K6589" s="5">
        <v>-97.686687000000006</v>
      </c>
      <c r="L6589" s="5" t="str">
        <f>HYPERLINK("https://maps.google.com/?q=17.258945,-97.686687", "🔗 Ver Mapa")</f>
        <v>🔗 Ver Mapa</v>
      </c>
    </row>
    <row r="6590" spans="1:12" ht="58" x14ac:dyDescent="0.35">
      <c r="A6590" s="6" t="s">
        <v>288</v>
      </c>
      <c r="B6590" s="6" t="s">
        <v>289</v>
      </c>
      <c r="C6590" s="6" t="s">
        <v>1271</v>
      </c>
      <c r="D6590" s="6" t="s">
        <v>414</v>
      </c>
      <c r="E6590" s="6" t="s">
        <v>16</v>
      </c>
      <c r="F6590" s="6" t="s">
        <v>21</v>
      </c>
      <c r="G6590" s="6" t="s">
        <v>235</v>
      </c>
      <c r="H6590" s="6" t="s">
        <v>236</v>
      </c>
      <c r="I6590" s="6" t="s">
        <v>31</v>
      </c>
      <c r="J6590" s="6">
        <v>17.258972</v>
      </c>
      <c r="K6590" s="6">
        <v>-97.686678000000001</v>
      </c>
      <c r="L6590" s="6" t="str">
        <f>HYPERLINK("https://maps.google.com/?q=17.258972,-97.686678", "🔗 Ver Mapa")</f>
        <v>🔗 Ver Mapa</v>
      </c>
    </row>
    <row r="6591" spans="1:12" ht="58" x14ac:dyDescent="0.35">
      <c r="A6591" s="5" t="s">
        <v>288</v>
      </c>
      <c r="B6591" s="5" t="s">
        <v>289</v>
      </c>
      <c r="C6591" s="5" t="s">
        <v>1271</v>
      </c>
      <c r="D6591" s="5" t="s">
        <v>414</v>
      </c>
      <c r="E6591" s="5" t="s">
        <v>16</v>
      </c>
      <c r="F6591" s="5" t="s">
        <v>21</v>
      </c>
      <c r="G6591" s="5" t="s">
        <v>235</v>
      </c>
      <c r="H6591" s="5" t="s">
        <v>236</v>
      </c>
      <c r="I6591" s="5" t="s">
        <v>31</v>
      </c>
      <c r="J6591" s="5">
        <v>17.259204</v>
      </c>
      <c r="K6591" s="5">
        <v>-97.687625999999995</v>
      </c>
      <c r="L6591" s="5" t="str">
        <f>HYPERLINK("https://maps.google.com/?q=17.259204,-97.687626", "🔗 Ver Mapa")</f>
        <v>🔗 Ver Mapa</v>
      </c>
    </row>
    <row r="6592" spans="1:12" ht="58" x14ac:dyDescent="0.35">
      <c r="A6592" s="6" t="s">
        <v>288</v>
      </c>
      <c r="B6592" s="6" t="s">
        <v>289</v>
      </c>
      <c r="C6592" s="6" t="s">
        <v>1271</v>
      </c>
      <c r="D6592" s="6" t="s">
        <v>414</v>
      </c>
      <c r="E6592" s="6" t="s">
        <v>16</v>
      </c>
      <c r="F6592" s="6" t="s">
        <v>21</v>
      </c>
      <c r="G6592" s="6" t="s">
        <v>235</v>
      </c>
      <c r="H6592" s="6" t="s">
        <v>236</v>
      </c>
      <c r="I6592" s="6" t="s">
        <v>31</v>
      </c>
      <c r="J6592" s="6">
        <v>17.259575999999999</v>
      </c>
      <c r="K6592" s="6">
        <v>-97.687746000000004</v>
      </c>
      <c r="L6592" s="6" t="str">
        <f>HYPERLINK("https://maps.google.com/?q=17.259576,-97.687746", "🔗 Ver Mapa")</f>
        <v>🔗 Ver Mapa</v>
      </c>
    </row>
    <row r="6593" spans="1:12" ht="58" x14ac:dyDescent="0.35">
      <c r="A6593" s="5" t="s">
        <v>288</v>
      </c>
      <c r="B6593" s="5" t="s">
        <v>289</v>
      </c>
      <c r="C6593" s="5" t="s">
        <v>1272</v>
      </c>
      <c r="D6593" s="5" t="s">
        <v>414</v>
      </c>
      <c r="E6593" s="5" t="s">
        <v>16</v>
      </c>
      <c r="F6593" s="5" t="s">
        <v>21</v>
      </c>
      <c r="G6593" s="5" t="s">
        <v>235</v>
      </c>
      <c r="H6593" s="5" t="s">
        <v>236</v>
      </c>
      <c r="I6593" s="5" t="s">
        <v>31</v>
      </c>
      <c r="J6593" s="5">
        <v>17.269586367746999</v>
      </c>
      <c r="K6593" s="5">
        <v>-97.690353198742002</v>
      </c>
      <c r="L6593" s="5" t="str">
        <f>HYPERLINK("https://maps.google.com/?q=17.269586367746964,-97.6903531987419", "🔗 Ver Mapa")</f>
        <v>🔗 Ver Mapa</v>
      </c>
    </row>
    <row r="6594" spans="1:12" ht="58" x14ac:dyDescent="0.35">
      <c r="A6594" s="6" t="s">
        <v>288</v>
      </c>
      <c r="B6594" s="6" t="s">
        <v>289</v>
      </c>
      <c r="C6594" s="6" t="s">
        <v>1272</v>
      </c>
      <c r="D6594" s="6" t="s">
        <v>414</v>
      </c>
      <c r="E6594" s="6" t="s">
        <v>16</v>
      </c>
      <c r="F6594" s="6" t="s">
        <v>21</v>
      </c>
      <c r="G6594" s="6" t="s">
        <v>235</v>
      </c>
      <c r="H6594" s="6" t="s">
        <v>236</v>
      </c>
      <c r="I6594" s="6" t="s">
        <v>31</v>
      </c>
      <c r="J6594" s="6">
        <v>17.269743999999999</v>
      </c>
      <c r="K6594" s="6">
        <v>-97.689518000000007</v>
      </c>
      <c r="L6594" s="6" t="str">
        <f>HYPERLINK("https://maps.google.com/?q=17.269744,-97.689518", "🔗 Ver Mapa")</f>
        <v>🔗 Ver Mapa</v>
      </c>
    </row>
    <row r="6595" spans="1:12" ht="58" x14ac:dyDescent="0.35">
      <c r="A6595" s="5" t="s">
        <v>288</v>
      </c>
      <c r="B6595" s="5" t="s">
        <v>289</v>
      </c>
      <c r="C6595" s="5" t="s">
        <v>1272</v>
      </c>
      <c r="D6595" s="5" t="s">
        <v>414</v>
      </c>
      <c r="E6595" s="5" t="s">
        <v>16</v>
      </c>
      <c r="F6595" s="5" t="s">
        <v>21</v>
      </c>
      <c r="G6595" s="5" t="s">
        <v>235</v>
      </c>
      <c r="H6595" s="5" t="s">
        <v>236</v>
      </c>
      <c r="I6595" s="5" t="s">
        <v>31</v>
      </c>
      <c r="J6595" s="5">
        <v>17.269945</v>
      </c>
      <c r="K6595" s="5">
        <v>-97.688524000000001</v>
      </c>
      <c r="L6595" s="5" t="str">
        <f>HYPERLINK("https://maps.google.com/?q=17.269945,-97.688524", "🔗 Ver Mapa")</f>
        <v>🔗 Ver Mapa</v>
      </c>
    </row>
    <row r="6596" spans="1:12" ht="72.5" x14ac:dyDescent="0.35">
      <c r="A6596" s="6" t="s">
        <v>674</v>
      </c>
      <c r="B6596" s="6" t="s">
        <v>675</v>
      </c>
      <c r="C6596" s="6" t="s">
        <v>1273</v>
      </c>
      <c r="D6596" s="6" t="s">
        <v>677</v>
      </c>
      <c r="E6596" s="6" t="s">
        <v>90</v>
      </c>
      <c r="F6596" s="6" t="s">
        <v>91</v>
      </c>
      <c r="G6596" s="6" t="s">
        <v>778</v>
      </c>
      <c r="H6596" s="6" t="s">
        <v>1274</v>
      </c>
      <c r="I6596" s="6" t="s">
        <v>31</v>
      </c>
      <c r="J6596" s="6">
        <v>17.088183000000001</v>
      </c>
      <c r="K6596" s="6">
        <v>-96.048586999999998</v>
      </c>
      <c r="L6596" s="6" t="str">
        <f>HYPERLINK("https://maps.google.com/?q=17.088183,-96.048587", "🔗 Ver Mapa")</f>
        <v>🔗 Ver Mapa</v>
      </c>
    </row>
    <row r="6597" spans="1:12" ht="72.5" x14ac:dyDescent="0.35">
      <c r="A6597" s="5" t="s">
        <v>674</v>
      </c>
      <c r="B6597" s="5" t="s">
        <v>675</v>
      </c>
      <c r="C6597" s="5" t="s">
        <v>1273</v>
      </c>
      <c r="D6597" s="5" t="s">
        <v>677</v>
      </c>
      <c r="E6597" s="5" t="s">
        <v>90</v>
      </c>
      <c r="F6597" s="5" t="s">
        <v>91</v>
      </c>
      <c r="G6597" s="5" t="s">
        <v>778</v>
      </c>
      <c r="H6597" s="5" t="s">
        <v>1274</v>
      </c>
      <c r="I6597" s="5" t="s">
        <v>31</v>
      </c>
      <c r="J6597" s="5">
        <v>17.088277000000001</v>
      </c>
      <c r="K6597" s="5">
        <v>-96.052214000000006</v>
      </c>
      <c r="L6597" s="5" t="str">
        <f>HYPERLINK("https://maps.google.com/?q=17.088277,-96.052214", "🔗 Ver Mapa")</f>
        <v>🔗 Ver Mapa</v>
      </c>
    </row>
    <row r="6598" spans="1:12" ht="72.5" x14ac:dyDescent="0.35">
      <c r="A6598" s="6" t="s">
        <v>674</v>
      </c>
      <c r="B6598" s="6" t="s">
        <v>675</v>
      </c>
      <c r="C6598" s="6" t="s">
        <v>1273</v>
      </c>
      <c r="D6598" s="6" t="s">
        <v>677</v>
      </c>
      <c r="E6598" s="6" t="s">
        <v>90</v>
      </c>
      <c r="F6598" s="6" t="s">
        <v>91</v>
      </c>
      <c r="G6598" s="6" t="s">
        <v>778</v>
      </c>
      <c r="H6598" s="6" t="s">
        <v>1274</v>
      </c>
      <c r="I6598" s="6" t="s">
        <v>31</v>
      </c>
      <c r="J6598" s="6">
        <v>17.089956000000001</v>
      </c>
      <c r="K6598" s="6">
        <v>-96.051509999999993</v>
      </c>
      <c r="L6598" s="6" t="str">
        <f>HYPERLINK("https://maps.google.com/?q=17.089956,-96.051510", "🔗 Ver Mapa")</f>
        <v>🔗 Ver Mapa</v>
      </c>
    </row>
    <row r="6599" spans="1:12" ht="87" x14ac:dyDescent="0.35">
      <c r="A6599" s="5" t="s">
        <v>674</v>
      </c>
      <c r="B6599" s="5" t="s">
        <v>675</v>
      </c>
      <c r="C6599" s="5" t="s">
        <v>1275</v>
      </c>
      <c r="D6599" s="5" t="s">
        <v>677</v>
      </c>
      <c r="E6599" s="5" t="s">
        <v>90</v>
      </c>
      <c r="F6599" s="5" t="s">
        <v>91</v>
      </c>
      <c r="G6599" s="5" t="s">
        <v>778</v>
      </c>
      <c r="H6599" s="5" t="s">
        <v>779</v>
      </c>
      <c r="I6599" s="5" t="s">
        <v>31</v>
      </c>
      <c r="J6599" s="5">
        <v>17.103000999999999</v>
      </c>
      <c r="K6599" s="5">
        <v>-96.065696000000003</v>
      </c>
      <c r="L6599" s="5" t="str">
        <f>HYPERLINK("https://maps.google.com/?q=17.103001,-96.065696", "🔗 Ver Mapa")</f>
        <v>🔗 Ver Mapa</v>
      </c>
    </row>
    <row r="6600" spans="1:12" ht="87" x14ac:dyDescent="0.35">
      <c r="A6600" s="6" t="s">
        <v>674</v>
      </c>
      <c r="B6600" s="6" t="s">
        <v>675</v>
      </c>
      <c r="C6600" s="6" t="s">
        <v>1275</v>
      </c>
      <c r="D6600" s="6" t="s">
        <v>677</v>
      </c>
      <c r="E6600" s="6" t="s">
        <v>90</v>
      </c>
      <c r="F6600" s="6" t="s">
        <v>91</v>
      </c>
      <c r="G6600" s="6" t="s">
        <v>778</v>
      </c>
      <c r="H6600" s="6" t="s">
        <v>779</v>
      </c>
      <c r="I6600" s="6" t="s">
        <v>31</v>
      </c>
      <c r="J6600" s="6">
        <v>17.105134</v>
      </c>
      <c r="K6600" s="6">
        <v>-96.063541999999998</v>
      </c>
      <c r="L6600" s="6" t="str">
        <f>HYPERLINK("https://maps.google.com/?q=17.105134,-96.063542", "🔗 Ver Mapa")</f>
        <v>🔗 Ver Mapa</v>
      </c>
    </row>
    <row r="6601" spans="1:12" ht="87" x14ac:dyDescent="0.35">
      <c r="A6601" s="5" t="s">
        <v>674</v>
      </c>
      <c r="B6601" s="5" t="s">
        <v>675</v>
      </c>
      <c r="C6601" s="5" t="s">
        <v>1275</v>
      </c>
      <c r="D6601" s="5" t="s">
        <v>677</v>
      </c>
      <c r="E6601" s="5" t="s">
        <v>90</v>
      </c>
      <c r="F6601" s="5" t="s">
        <v>91</v>
      </c>
      <c r="G6601" s="5" t="s">
        <v>778</v>
      </c>
      <c r="H6601" s="5" t="s">
        <v>779</v>
      </c>
      <c r="I6601" s="5" t="s">
        <v>31</v>
      </c>
      <c r="J6601" s="5">
        <v>17.106363000000002</v>
      </c>
      <c r="K6601" s="5">
        <v>-96.061785</v>
      </c>
      <c r="L6601" s="5" t="str">
        <f>HYPERLINK("https://maps.google.com/?q=17.106363,-96.061785", "🔗 Ver Mapa")</f>
        <v>🔗 Ver Mapa</v>
      </c>
    </row>
    <row r="6602" spans="1:12" ht="72.5" x14ac:dyDescent="0.35">
      <c r="A6602" s="6" t="s">
        <v>674</v>
      </c>
      <c r="B6602" s="6" t="s">
        <v>675</v>
      </c>
      <c r="C6602" s="6" t="s">
        <v>1276</v>
      </c>
      <c r="D6602" s="6" t="s">
        <v>677</v>
      </c>
      <c r="E6602" s="6" t="s">
        <v>17</v>
      </c>
      <c r="F6602" s="6" t="s">
        <v>46</v>
      </c>
      <c r="G6602" s="6" t="s">
        <v>1277</v>
      </c>
      <c r="H6602" s="6" t="s">
        <v>1278</v>
      </c>
      <c r="I6602" s="6" t="s">
        <v>31</v>
      </c>
      <c r="J6602" s="6">
        <v>16.216612000000001</v>
      </c>
      <c r="K6602" s="6">
        <v>-97.256939000000003</v>
      </c>
      <c r="L6602" s="6" t="str">
        <f>HYPERLINK("https://maps.google.com/?q=16.216612,-97.256939", "🔗 Ver Mapa")</f>
        <v>🔗 Ver Mapa</v>
      </c>
    </row>
    <row r="6603" spans="1:12" ht="72.5" x14ac:dyDescent="0.35">
      <c r="A6603" s="5" t="s">
        <v>674</v>
      </c>
      <c r="B6603" s="5" t="s">
        <v>675</v>
      </c>
      <c r="C6603" s="5" t="s">
        <v>1276</v>
      </c>
      <c r="D6603" s="5" t="s">
        <v>677</v>
      </c>
      <c r="E6603" s="5" t="s">
        <v>17</v>
      </c>
      <c r="F6603" s="5" t="s">
        <v>46</v>
      </c>
      <c r="G6603" s="5" t="s">
        <v>1277</v>
      </c>
      <c r="H6603" s="5" t="s">
        <v>1278</v>
      </c>
      <c r="I6603" s="5" t="s">
        <v>31</v>
      </c>
      <c r="J6603" s="5">
        <v>16.216802000000001</v>
      </c>
      <c r="K6603" s="5">
        <v>-97.259572000000006</v>
      </c>
      <c r="L6603" s="5" t="str">
        <f>HYPERLINK("https://maps.google.com/?q=16.216802,-97.259572", "🔗 Ver Mapa")</f>
        <v>🔗 Ver Mapa</v>
      </c>
    </row>
    <row r="6604" spans="1:12" ht="72.5" x14ac:dyDescent="0.35">
      <c r="A6604" s="6" t="s">
        <v>674</v>
      </c>
      <c r="B6604" s="6" t="s">
        <v>675</v>
      </c>
      <c r="C6604" s="6" t="s">
        <v>1276</v>
      </c>
      <c r="D6604" s="6" t="s">
        <v>677</v>
      </c>
      <c r="E6604" s="6" t="s">
        <v>17</v>
      </c>
      <c r="F6604" s="6" t="s">
        <v>46</v>
      </c>
      <c r="G6604" s="6" t="s">
        <v>1277</v>
      </c>
      <c r="H6604" s="6" t="s">
        <v>1278</v>
      </c>
      <c r="I6604" s="6" t="s">
        <v>31</v>
      </c>
      <c r="J6604" s="6">
        <v>16.218634000000002</v>
      </c>
      <c r="K6604" s="6">
        <v>-97.261698999999993</v>
      </c>
      <c r="L6604" s="6" t="str">
        <f>HYPERLINK("https://maps.google.com/?q=16.218634,-97.261699", "🔗 Ver Mapa")</f>
        <v>🔗 Ver Mapa</v>
      </c>
    </row>
    <row r="6605" spans="1:12" ht="72.5" x14ac:dyDescent="0.35">
      <c r="A6605" s="5" t="s">
        <v>674</v>
      </c>
      <c r="B6605" s="5" t="s">
        <v>675</v>
      </c>
      <c r="C6605" s="5" t="s">
        <v>1279</v>
      </c>
      <c r="D6605" s="5" t="s">
        <v>677</v>
      </c>
      <c r="E6605" s="5" t="s">
        <v>90</v>
      </c>
      <c r="F6605" s="5" t="s">
        <v>91</v>
      </c>
      <c r="G6605" s="5" t="s">
        <v>778</v>
      </c>
      <c r="H6605" s="5" t="s">
        <v>779</v>
      </c>
      <c r="I6605" s="5" t="s">
        <v>31</v>
      </c>
      <c r="J6605" s="5">
        <v>17.088279</v>
      </c>
      <c r="K6605" s="5">
        <v>-96.068026000000003</v>
      </c>
      <c r="L6605" s="5" t="str">
        <f>HYPERLINK("https://maps.google.com/?q=17.088279,-96.068026", "🔗 Ver Mapa")</f>
        <v>🔗 Ver Mapa</v>
      </c>
    </row>
    <row r="6606" spans="1:12" ht="72.5" x14ac:dyDescent="0.35">
      <c r="A6606" s="6" t="s">
        <v>674</v>
      </c>
      <c r="B6606" s="6" t="s">
        <v>675</v>
      </c>
      <c r="C6606" s="6" t="s">
        <v>1279</v>
      </c>
      <c r="D6606" s="6" t="s">
        <v>677</v>
      </c>
      <c r="E6606" s="6" t="s">
        <v>90</v>
      </c>
      <c r="F6606" s="6" t="s">
        <v>91</v>
      </c>
      <c r="G6606" s="6" t="s">
        <v>778</v>
      </c>
      <c r="H6606" s="6" t="s">
        <v>779</v>
      </c>
      <c r="I6606" s="6" t="s">
        <v>31</v>
      </c>
      <c r="J6606" s="6">
        <v>17.089751</v>
      </c>
      <c r="K6606" s="6">
        <v>-96.067496000000006</v>
      </c>
      <c r="L6606" s="6" t="str">
        <f>HYPERLINK("https://maps.google.com/?q=17.089751,-96.067496", "🔗 Ver Mapa")</f>
        <v>🔗 Ver Mapa</v>
      </c>
    </row>
    <row r="6607" spans="1:12" ht="72.5" x14ac:dyDescent="0.35">
      <c r="A6607" s="5" t="s">
        <v>674</v>
      </c>
      <c r="B6607" s="5" t="s">
        <v>675</v>
      </c>
      <c r="C6607" s="5" t="s">
        <v>1279</v>
      </c>
      <c r="D6607" s="5" t="s">
        <v>677</v>
      </c>
      <c r="E6607" s="5" t="s">
        <v>90</v>
      </c>
      <c r="F6607" s="5" t="s">
        <v>91</v>
      </c>
      <c r="G6607" s="5" t="s">
        <v>778</v>
      </c>
      <c r="H6607" s="5" t="s">
        <v>779</v>
      </c>
      <c r="I6607" s="5" t="s">
        <v>31</v>
      </c>
      <c r="J6607" s="5">
        <v>17.091664999999999</v>
      </c>
      <c r="K6607" s="5">
        <v>-96.065849</v>
      </c>
      <c r="L6607" s="5" t="str">
        <f>HYPERLINK("https://maps.google.com/?q=17.091665,-96.065849", "🔗 Ver Mapa")</f>
        <v>🔗 Ver Mapa</v>
      </c>
    </row>
    <row r="6608" spans="1:12" ht="72.5" x14ac:dyDescent="0.35">
      <c r="A6608" s="6" t="s">
        <v>674</v>
      </c>
      <c r="B6608" s="6" t="s">
        <v>675</v>
      </c>
      <c r="C6608" s="6" t="s">
        <v>1280</v>
      </c>
      <c r="D6608" s="6" t="s">
        <v>677</v>
      </c>
      <c r="E6608" s="6" t="s">
        <v>17</v>
      </c>
      <c r="F6608" s="6" t="s">
        <v>46</v>
      </c>
      <c r="G6608" s="6" t="s">
        <v>1281</v>
      </c>
      <c r="H6608" s="6" t="s">
        <v>1282</v>
      </c>
      <c r="I6608" s="6" t="s">
        <v>31</v>
      </c>
      <c r="J6608" s="6">
        <v>16.279716000000001</v>
      </c>
      <c r="K6608" s="6">
        <v>-97.497910000000005</v>
      </c>
      <c r="L6608" s="6" t="str">
        <f>HYPERLINK("https://maps.google.com/?q=16.279716,-97.497910", "🔗 Ver Mapa")</f>
        <v>🔗 Ver Mapa</v>
      </c>
    </row>
    <row r="6609" spans="1:12" ht="72.5" x14ac:dyDescent="0.35">
      <c r="A6609" s="5" t="s">
        <v>674</v>
      </c>
      <c r="B6609" s="5" t="s">
        <v>675</v>
      </c>
      <c r="C6609" s="5" t="s">
        <v>1280</v>
      </c>
      <c r="D6609" s="5" t="s">
        <v>677</v>
      </c>
      <c r="E6609" s="5" t="s">
        <v>17</v>
      </c>
      <c r="F6609" s="5" t="s">
        <v>46</v>
      </c>
      <c r="G6609" s="5" t="s">
        <v>1281</v>
      </c>
      <c r="H6609" s="5" t="s">
        <v>1282</v>
      </c>
      <c r="I6609" s="5" t="s">
        <v>31</v>
      </c>
      <c r="J6609" s="5">
        <v>16.282474000000001</v>
      </c>
      <c r="K6609" s="5">
        <v>-97.497472000000002</v>
      </c>
      <c r="L6609" s="5" t="str">
        <f>HYPERLINK("https://maps.google.com/?q=16.282474,-97.497472", "🔗 Ver Mapa")</f>
        <v>🔗 Ver Mapa</v>
      </c>
    </row>
    <row r="6610" spans="1:12" ht="72.5" x14ac:dyDescent="0.35">
      <c r="A6610" s="6" t="s">
        <v>674</v>
      </c>
      <c r="B6610" s="6" t="s">
        <v>675</v>
      </c>
      <c r="C6610" s="6" t="s">
        <v>1280</v>
      </c>
      <c r="D6610" s="6" t="s">
        <v>677</v>
      </c>
      <c r="E6610" s="6" t="s">
        <v>17</v>
      </c>
      <c r="F6610" s="6" t="s">
        <v>46</v>
      </c>
      <c r="G6610" s="6" t="s">
        <v>1281</v>
      </c>
      <c r="H6610" s="6" t="s">
        <v>1282</v>
      </c>
      <c r="I6610" s="6" t="s">
        <v>31</v>
      </c>
      <c r="J6610" s="6">
        <v>16.285330999999999</v>
      </c>
      <c r="K6610" s="6">
        <v>-97.497438000000002</v>
      </c>
      <c r="L6610" s="6" t="str">
        <f>HYPERLINK("https://maps.google.com/?q=16.285331,-97.497438", "🔗 Ver Mapa")</f>
        <v>🔗 Ver Mapa</v>
      </c>
    </row>
    <row r="6611" spans="1:12" ht="72.5" x14ac:dyDescent="0.35">
      <c r="A6611" s="5" t="s">
        <v>674</v>
      </c>
      <c r="B6611" s="5" t="s">
        <v>675</v>
      </c>
      <c r="C6611" s="5" t="s">
        <v>1283</v>
      </c>
      <c r="D6611" s="5" t="s">
        <v>677</v>
      </c>
      <c r="E6611" s="5" t="s">
        <v>17</v>
      </c>
      <c r="F6611" s="5" t="s">
        <v>46</v>
      </c>
      <c r="G6611" s="5" t="s">
        <v>1284</v>
      </c>
      <c r="H6611" s="5" t="s">
        <v>1285</v>
      </c>
      <c r="I6611" s="5" t="s">
        <v>31</v>
      </c>
      <c r="J6611" s="5">
        <v>16.153502</v>
      </c>
      <c r="K6611" s="5">
        <v>-97.156512000000006</v>
      </c>
      <c r="L6611" s="5" t="str">
        <f>HYPERLINK("https://maps.google.com/?q=16.153502,-97.156512", "🔗 Ver Mapa")</f>
        <v>🔗 Ver Mapa</v>
      </c>
    </row>
    <row r="6612" spans="1:12" ht="72.5" x14ac:dyDescent="0.35">
      <c r="A6612" s="6" t="s">
        <v>674</v>
      </c>
      <c r="B6612" s="6" t="s">
        <v>675</v>
      </c>
      <c r="C6612" s="6" t="s">
        <v>1283</v>
      </c>
      <c r="D6612" s="6" t="s">
        <v>677</v>
      </c>
      <c r="E6612" s="6" t="s">
        <v>17</v>
      </c>
      <c r="F6612" s="6" t="s">
        <v>46</v>
      </c>
      <c r="G6612" s="6" t="s">
        <v>1284</v>
      </c>
      <c r="H6612" s="6" t="s">
        <v>1285</v>
      </c>
      <c r="I6612" s="6" t="s">
        <v>31</v>
      </c>
      <c r="J6612" s="6">
        <v>16.155384000000002</v>
      </c>
      <c r="K6612" s="6">
        <v>-97.157888999999997</v>
      </c>
      <c r="L6612" s="6" t="str">
        <f>HYPERLINK("https://maps.google.com/?q=16.155384,-97.157889", "🔗 Ver Mapa")</f>
        <v>🔗 Ver Mapa</v>
      </c>
    </row>
    <row r="6613" spans="1:12" ht="72.5" x14ac:dyDescent="0.35">
      <c r="A6613" s="5" t="s">
        <v>674</v>
      </c>
      <c r="B6613" s="5" t="s">
        <v>675</v>
      </c>
      <c r="C6613" s="5" t="s">
        <v>1283</v>
      </c>
      <c r="D6613" s="5" t="s">
        <v>677</v>
      </c>
      <c r="E6613" s="5" t="s">
        <v>17</v>
      </c>
      <c r="F6613" s="5" t="s">
        <v>46</v>
      </c>
      <c r="G6613" s="5" t="s">
        <v>1284</v>
      </c>
      <c r="H6613" s="5" t="s">
        <v>1285</v>
      </c>
      <c r="I6613" s="5" t="s">
        <v>31</v>
      </c>
      <c r="J6613" s="5">
        <v>16.156504000000002</v>
      </c>
      <c r="K6613" s="5">
        <v>-97.160437999999999</v>
      </c>
      <c r="L6613" s="5" t="str">
        <f>HYPERLINK("https://maps.google.com/?q=16.156504,-97.160438", "🔗 Ver Mapa")</f>
        <v>🔗 Ver Mapa</v>
      </c>
    </row>
    <row r="6614" spans="1:12" ht="72.5" x14ac:dyDescent="0.35">
      <c r="A6614" s="6" t="s">
        <v>674</v>
      </c>
      <c r="B6614" s="6" t="s">
        <v>675</v>
      </c>
      <c r="C6614" s="6" t="s">
        <v>1286</v>
      </c>
      <c r="D6614" s="6" t="s">
        <v>677</v>
      </c>
      <c r="E6614" s="6" t="s">
        <v>52</v>
      </c>
      <c r="F6614" s="6" t="s">
        <v>228</v>
      </c>
      <c r="G6614" s="6" t="s">
        <v>1287</v>
      </c>
      <c r="H6614" s="6" t="s">
        <v>1288</v>
      </c>
      <c r="I6614" s="6" t="s">
        <v>31</v>
      </c>
      <c r="J6614" s="6">
        <v>16.877088000000001</v>
      </c>
      <c r="K6614" s="6">
        <v>-96.618853000000001</v>
      </c>
      <c r="L6614" s="6" t="str">
        <f>HYPERLINK("https://maps.google.com/?q=16.877088,-96.618853", "🔗 Ver Mapa")</f>
        <v>🔗 Ver Mapa</v>
      </c>
    </row>
    <row r="6615" spans="1:12" ht="72.5" x14ac:dyDescent="0.35">
      <c r="A6615" s="5" t="s">
        <v>674</v>
      </c>
      <c r="B6615" s="5" t="s">
        <v>675</v>
      </c>
      <c r="C6615" s="5" t="s">
        <v>1286</v>
      </c>
      <c r="D6615" s="5" t="s">
        <v>677</v>
      </c>
      <c r="E6615" s="5" t="s">
        <v>52</v>
      </c>
      <c r="F6615" s="5" t="s">
        <v>228</v>
      </c>
      <c r="G6615" s="5" t="s">
        <v>1287</v>
      </c>
      <c r="H6615" s="5" t="s">
        <v>1288</v>
      </c>
      <c r="I6615" s="5" t="s">
        <v>31</v>
      </c>
      <c r="J6615" s="5">
        <v>16.878516999999999</v>
      </c>
      <c r="K6615" s="5">
        <v>-96.615633000000003</v>
      </c>
      <c r="L6615" s="5" t="str">
        <f>HYPERLINK("https://maps.google.com/?q=16.878517,-96.615633", "🔗 Ver Mapa")</f>
        <v>🔗 Ver Mapa</v>
      </c>
    </row>
    <row r="6616" spans="1:12" ht="72.5" x14ac:dyDescent="0.35">
      <c r="A6616" s="6" t="s">
        <v>674</v>
      </c>
      <c r="B6616" s="6" t="s">
        <v>675</v>
      </c>
      <c r="C6616" s="6" t="s">
        <v>1286</v>
      </c>
      <c r="D6616" s="6" t="s">
        <v>677</v>
      </c>
      <c r="E6616" s="6" t="s">
        <v>52</v>
      </c>
      <c r="F6616" s="6" t="s">
        <v>228</v>
      </c>
      <c r="G6616" s="6" t="s">
        <v>1287</v>
      </c>
      <c r="H6616" s="6" t="s">
        <v>1288</v>
      </c>
      <c r="I6616" s="6" t="s">
        <v>31</v>
      </c>
      <c r="J6616" s="6">
        <v>16.881637000000001</v>
      </c>
      <c r="K6616" s="6">
        <v>-96.614733000000001</v>
      </c>
      <c r="L6616" s="6" t="str">
        <f>HYPERLINK("https://maps.google.com/?q=16.881637,-96.614733", "🔗 Ver Mapa")</f>
        <v>🔗 Ver Mapa</v>
      </c>
    </row>
    <row r="6617" spans="1:12" ht="72.5" x14ac:dyDescent="0.35">
      <c r="A6617" s="5" t="s">
        <v>674</v>
      </c>
      <c r="B6617" s="5" t="s">
        <v>675</v>
      </c>
      <c r="C6617" s="5" t="s">
        <v>1289</v>
      </c>
      <c r="D6617" s="5" t="s">
        <v>677</v>
      </c>
      <c r="E6617" s="5" t="s">
        <v>16</v>
      </c>
      <c r="F6617" s="5" t="s">
        <v>21</v>
      </c>
      <c r="G6617" s="5" t="s">
        <v>1290</v>
      </c>
      <c r="H6617" s="5" t="s">
        <v>1291</v>
      </c>
      <c r="I6617" s="5" t="s">
        <v>31</v>
      </c>
      <c r="J6617" s="5">
        <v>17.116330999999999</v>
      </c>
      <c r="K6617" s="5">
        <v>-97.780119999999997</v>
      </c>
      <c r="L6617" s="5" t="str">
        <f>HYPERLINK("https://maps.google.com/?q=17.116331,-97.780120", "🔗 Ver Mapa")</f>
        <v>🔗 Ver Mapa</v>
      </c>
    </row>
    <row r="6618" spans="1:12" ht="72.5" x14ac:dyDescent="0.35">
      <c r="A6618" s="6" t="s">
        <v>674</v>
      </c>
      <c r="B6618" s="6" t="s">
        <v>675</v>
      </c>
      <c r="C6618" s="6" t="s">
        <v>1289</v>
      </c>
      <c r="D6618" s="6" t="s">
        <v>677</v>
      </c>
      <c r="E6618" s="6" t="s">
        <v>16</v>
      </c>
      <c r="F6618" s="6" t="s">
        <v>21</v>
      </c>
      <c r="G6618" s="6" t="s">
        <v>1290</v>
      </c>
      <c r="H6618" s="6" t="s">
        <v>1291</v>
      </c>
      <c r="I6618" s="6" t="s">
        <v>31</v>
      </c>
      <c r="J6618" s="6">
        <v>17.119788</v>
      </c>
      <c r="K6618" s="6">
        <v>-97.782075000000006</v>
      </c>
      <c r="L6618" s="6" t="str">
        <f>HYPERLINK("https://maps.google.com/?q=17.119788,-97.782075", "🔗 Ver Mapa")</f>
        <v>🔗 Ver Mapa</v>
      </c>
    </row>
    <row r="6619" spans="1:12" ht="72.5" x14ac:dyDescent="0.35">
      <c r="A6619" s="5" t="s">
        <v>674</v>
      </c>
      <c r="B6619" s="5" t="s">
        <v>675</v>
      </c>
      <c r="C6619" s="5" t="s">
        <v>1289</v>
      </c>
      <c r="D6619" s="5" t="s">
        <v>677</v>
      </c>
      <c r="E6619" s="5" t="s">
        <v>16</v>
      </c>
      <c r="F6619" s="5" t="s">
        <v>21</v>
      </c>
      <c r="G6619" s="5" t="s">
        <v>1290</v>
      </c>
      <c r="H6619" s="5" t="s">
        <v>1291</v>
      </c>
      <c r="I6619" s="5" t="s">
        <v>31</v>
      </c>
      <c r="J6619" s="5">
        <v>17.119921999999999</v>
      </c>
      <c r="K6619" s="5">
        <v>-97.784943999999996</v>
      </c>
      <c r="L6619" s="5" t="str">
        <f>HYPERLINK("https://maps.google.com/?q=17.119922,-97.784944", "🔗 Ver Mapa")</f>
        <v>🔗 Ver Mapa</v>
      </c>
    </row>
    <row r="6620" spans="1:12" ht="72.5" x14ac:dyDescent="0.35">
      <c r="A6620" s="6" t="s">
        <v>674</v>
      </c>
      <c r="B6620" s="6" t="s">
        <v>675</v>
      </c>
      <c r="C6620" s="6" t="s">
        <v>1292</v>
      </c>
      <c r="D6620" s="6" t="s">
        <v>677</v>
      </c>
      <c r="E6620" s="6" t="s">
        <v>52</v>
      </c>
      <c r="F6620" s="6" t="s">
        <v>228</v>
      </c>
      <c r="G6620" s="6" t="s">
        <v>1293</v>
      </c>
      <c r="H6620" s="6" t="s">
        <v>1294</v>
      </c>
      <c r="I6620" s="6" t="s">
        <v>31</v>
      </c>
      <c r="J6620" s="6">
        <v>16.725641</v>
      </c>
      <c r="K6620" s="6">
        <v>-96.667360000000002</v>
      </c>
      <c r="L6620" s="6" t="str">
        <f>HYPERLINK("https://maps.google.com/?q=16.725641,-96.667360", "🔗 Ver Mapa")</f>
        <v>🔗 Ver Mapa</v>
      </c>
    </row>
    <row r="6621" spans="1:12" ht="72.5" x14ac:dyDescent="0.35">
      <c r="A6621" s="5" t="s">
        <v>674</v>
      </c>
      <c r="B6621" s="5" t="s">
        <v>675</v>
      </c>
      <c r="C6621" s="5" t="s">
        <v>1292</v>
      </c>
      <c r="D6621" s="5" t="s">
        <v>677</v>
      </c>
      <c r="E6621" s="5" t="s">
        <v>52</v>
      </c>
      <c r="F6621" s="5" t="s">
        <v>228</v>
      </c>
      <c r="G6621" s="5" t="s">
        <v>1293</v>
      </c>
      <c r="H6621" s="5" t="s">
        <v>1294</v>
      </c>
      <c r="I6621" s="5" t="s">
        <v>31</v>
      </c>
      <c r="J6621" s="5">
        <v>16.729106000000002</v>
      </c>
      <c r="K6621" s="5">
        <v>-96.669028999999995</v>
      </c>
      <c r="L6621" s="5" t="str">
        <f>HYPERLINK("https://maps.google.com/?q=16.729106,-96.669029", "🔗 Ver Mapa")</f>
        <v>🔗 Ver Mapa</v>
      </c>
    </row>
    <row r="6622" spans="1:12" ht="72.5" x14ac:dyDescent="0.35">
      <c r="A6622" s="6" t="s">
        <v>674</v>
      </c>
      <c r="B6622" s="6" t="s">
        <v>675</v>
      </c>
      <c r="C6622" s="6" t="s">
        <v>1292</v>
      </c>
      <c r="D6622" s="6" t="s">
        <v>677</v>
      </c>
      <c r="E6622" s="6" t="s">
        <v>52</v>
      </c>
      <c r="F6622" s="6" t="s">
        <v>228</v>
      </c>
      <c r="G6622" s="6" t="s">
        <v>1293</v>
      </c>
      <c r="H6622" s="6" t="s">
        <v>1294</v>
      </c>
      <c r="I6622" s="6" t="s">
        <v>31</v>
      </c>
      <c r="J6622" s="6">
        <v>16.732364</v>
      </c>
      <c r="K6622" s="6">
        <v>-96.672275999999997</v>
      </c>
      <c r="L6622" s="6" t="str">
        <f>HYPERLINK("https://maps.google.com/?q=16.732364,-96.672276", "🔗 Ver Mapa")</f>
        <v>🔗 Ver Mapa</v>
      </c>
    </row>
    <row r="6623" spans="1:12" ht="72.5" x14ac:dyDescent="0.35">
      <c r="A6623" s="5" t="s">
        <v>674</v>
      </c>
      <c r="B6623" s="5" t="s">
        <v>675</v>
      </c>
      <c r="C6623" s="5" t="s">
        <v>1295</v>
      </c>
      <c r="D6623" s="5" t="s">
        <v>677</v>
      </c>
      <c r="E6623" s="5" t="s">
        <v>17</v>
      </c>
      <c r="F6623" s="5" t="s">
        <v>59</v>
      </c>
      <c r="G6623" s="5" t="s">
        <v>1296</v>
      </c>
      <c r="H6623" s="5" t="s">
        <v>1297</v>
      </c>
      <c r="I6623" s="5" t="s">
        <v>31</v>
      </c>
      <c r="J6623" s="5">
        <v>16.366108000000001</v>
      </c>
      <c r="K6623" s="5">
        <v>-97.684287999999995</v>
      </c>
      <c r="L6623" s="5" t="str">
        <f>HYPERLINK("https://maps.google.com/?q=16.366108,-97.684288", "🔗 Ver Mapa")</f>
        <v>🔗 Ver Mapa</v>
      </c>
    </row>
    <row r="6624" spans="1:12" ht="72.5" x14ac:dyDescent="0.35">
      <c r="A6624" s="6" t="s">
        <v>674</v>
      </c>
      <c r="B6624" s="6" t="s">
        <v>675</v>
      </c>
      <c r="C6624" s="6" t="s">
        <v>1295</v>
      </c>
      <c r="D6624" s="6" t="s">
        <v>677</v>
      </c>
      <c r="E6624" s="6" t="s">
        <v>17</v>
      </c>
      <c r="F6624" s="6" t="s">
        <v>59</v>
      </c>
      <c r="G6624" s="6" t="s">
        <v>1296</v>
      </c>
      <c r="H6624" s="6" t="s">
        <v>1297</v>
      </c>
      <c r="I6624" s="6" t="s">
        <v>31</v>
      </c>
      <c r="J6624" s="6">
        <v>16.369741000000001</v>
      </c>
      <c r="K6624" s="6">
        <v>-97.681872999999996</v>
      </c>
      <c r="L6624" s="6" t="str">
        <f>HYPERLINK("https://maps.google.com/?q=16.369741,-97.681873", "🔗 Ver Mapa")</f>
        <v>🔗 Ver Mapa</v>
      </c>
    </row>
    <row r="6625" spans="1:12" ht="72.5" x14ac:dyDescent="0.35">
      <c r="A6625" s="5" t="s">
        <v>674</v>
      </c>
      <c r="B6625" s="5" t="s">
        <v>675</v>
      </c>
      <c r="C6625" s="5" t="s">
        <v>1295</v>
      </c>
      <c r="D6625" s="5" t="s">
        <v>677</v>
      </c>
      <c r="E6625" s="5" t="s">
        <v>17</v>
      </c>
      <c r="F6625" s="5" t="s">
        <v>59</v>
      </c>
      <c r="G6625" s="5" t="s">
        <v>1296</v>
      </c>
      <c r="H6625" s="5" t="s">
        <v>1297</v>
      </c>
      <c r="I6625" s="5" t="s">
        <v>31</v>
      </c>
      <c r="J6625" s="5">
        <v>16.370027</v>
      </c>
      <c r="K6625" s="5">
        <v>-97.678989000000001</v>
      </c>
      <c r="L6625" s="5" t="str">
        <f>HYPERLINK("https://maps.google.com/?q=16.370027,-97.678989", "🔗 Ver Mapa")</f>
        <v>🔗 Ver Mapa</v>
      </c>
    </row>
    <row r="6626" spans="1:12" ht="72.5" x14ac:dyDescent="0.35">
      <c r="A6626" s="6" t="s">
        <v>674</v>
      </c>
      <c r="B6626" s="6" t="s">
        <v>675</v>
      </c>
      <c r="C6626" s="6" t="s">
        <v>1298</v>
      </c>
      <c r="D6626" s="6" t="s">
        <v>677</v>
      </c>
      <c r="E6626" s="6" t="s">
        <v>16</v>
      </c>
      <c r="F6626" s="6" t="s">
        <v>19</v>
      </c>
      <c r="G6626" s="6" t="s">
        <v>1299</v>
      </c>
      <c r="H6626" s="6" t="s">
        <v>1300</v>
      </c>
      <c r="I6626" s="6" t="s">
        <v>31</v>
      </c>
      <c r="J6626" s="6">
        <v>17.263275</v>
      </c>
      <c r="K6626" s="6">
        <v>-97.334869999999995</v>
      </c>
      <c r="L6626" s="6" t="str">
        <f>HYPERLINK("https://maps.google.com/?q=17.263275,-97.334870", "🔗 Ver Mapa")</f>
        <v>🔗 Ver Mapa</v>
      </c>
    </row>
    <row r="6627" spans="1:12" ht="72.5" x14ac:dyDescent="0.35">
      <c r="A6627" s="5" t="s">
        <v>674</v>
      </c>
      <c r="B6627" s="5" t="s">
        <v>675</v>
      </c>
      <c r="C6627" s="5" t="s">
        <v>1298</v>
      </c>
      <c r="D6627" s="5" t="s">
        <v>677</v>
      </c>
      <c r="E6627" s="5" t="s">
        <v>16</v>
      </c>
      <c r="F6627" s="5" t="s">
        <v>19</v>
      </c>
      <c r="G6627" s="5" t="s">
        <v>1299</v>
      </c>
      <c r="H6627" s="5" t="s">
        <v>1300</v>
      </c>
      <c r="I6627" s="5" t="s">
        <v>31</v>
      </c>
      <c r="J6627" s="5">
        <v>17.264665000000001</v>
      </c>
      <c r="K6627" s="5">
        <v>-97.334817999999999</v>
      </c>
      <c r="L6627" s="5" t="str">
        <f>HYPERLINK("https://maps.google.com/?q=17.264665,-97.334818", "🔗 Ver Mapa")</f>
        <v>🔗 Ver Mapa</v>
      </c>
    </row>
    <row r="6628" spans="1:12" ht="72.5" x14ac:dyDescent="0.35">
      <c r="A6628" s="6" t="s">
        <v>674</v>
      </c>
      <c r="B6628" s="6" t="s">
        <v>675</v>
      </c>
      <c r="C6628" s="6" t="s">
        <v>1298</v>
      </c>
      <c r="D6628" s="6" t="s">
        <v>677</v>
      </c>
      <c r="E6628" s="6" t="s">
        <v>16</v>
      </c>
      <c r="F6628" s="6" t="s">
        <v>19</v>
      </c>
      <c r="G6628" s="6" t="s">
        <v>1299</v>
      </c>
      <c r="H6628" s="6" t="s">
        <v>1300</v>
      </c>
      <c r="I6628" s="6" t="s">
        <v>31</v>
      </c>
      <c r="J6628" s="6">
        <v>17.266331999999998</v>
      </c>
      <c r="K6628" s="6">
        <v>-97.333771999999996</v>
      </c>
      <c r="L6628" s="6" t="str">
        <f>HYPERLINK("https://maps.google.com/?q=17.266332,-97.333772", "🔗 Ver Mapa")</f>
        <v>🔗 Ver Mapa</v>
      </c>
    </row>
    <row r="6629" spans="1:12" ht="72.5" x14ac:dyDescent="0.35">
      <c r="A6629" s="5" t="s">
        <v>674</v>
      </c>
      <c r="B6629" s="5" t="s">
        <v>675</v>
      </c>
      <c r="C6629" s="5" t="s">
        <v>1301</v>
      </c>
      <c r="D6629" s="5" t="s">
        <v>677</v>
      </c>
      <c r="E6629" s="5" t="s">
        <v>110</v>
      </c>
      <c r="F6629" s="5" t="s">
        <v>126</v>
      </c>
      <c r="G6629" s="5" t="s">
        <v>127</v>
      </c>
      <c r="H6629" s="5" t="s">
        <v>1302</v>
      </c>
      <c r="I6629" s="5" t="s">
        <v>31</v>
      </c>
      <c r="J6629" s="5">
        <v>17.883026000000001</v>
      </c>
      <c r="K6629" s="5">
        <v>-96.750803000000005</v>
      </c>
      <c r="L6629" s="5" t="str">
        <f>HYPERLINK("https://maps.google.com/?q=17.883026,-96.750803", "🔗 Ver Mapa")</f>
        <v>🔗 Ver Mapa</v>
      </c>
    </row>
    <row r="6630" spans="1:12" ht="72.5" x14ac:dyDescent="0.35">
      <c r="A6630" s="6" t="s">
        <v>674</v>
      </c>
      <c r="B6630" s="6" t="s">
        <v>675</v>
      </c>
      <c r="C6630" s="6" t="s">
        <v>1301</v>
      </c>
      <c r="D6630" s="6" t="s">
        <v>677</v>
      </c>
      <c r="E6630" s="6" t="s">
        <v>110</v>
      </c>
      <c r="F6630" s="6" t="s">
        <v>126</v>
      </c>
      <c r="G6630" s="6" t="s">
        <v>127</v>
      </c>
      <c r="H6630" s="6" t="s">
        <v>1302</v>
      </c>
      <c r="I6630" s="6" t="s">
        <v>31</v>
      </c>
      <c r="J6630" s="6">
        <v>17.884363</v>
      </c>
      <c r="K6630" s="6">
        <v>-96.751088999999993</v>
      </c>
      <c r="L6630" s="6" t="str">
        <f>HYPERLINK("https://maps.google.com/?q=17.884363,-96.751089", "🔗 Ver Mapa")</f>
        <v>🔗 Ver Mapa</v>
      </c>
    </row>
    <row r="6631" spans="1:12" ht="72.5" x14ac:dyDescent="0.35">
      <c r="A6631" s="5" t="s">
        <v>674</v>
      </c>
      <c r="B6631" s="5" t="s">
        <v>675</v>
      </c>
      <c r="C6631" s="5" t="s">
        <v>1301</v>
      </c>
      <c r="D6631" s="5" t="s">
        <v>677</v>
      </c>
      <c r="E6631" s="5" t="s">
        <v>110</v>
      </c>
      <c r="F6631" s="5" t="s">
        <v>126</v>
      </c>
      <c r="G6631" s="5" t="s">
        <v>127</v>
      </c>
      <c r="H6631" s="5" t="s">
        <v>1302</v>
      </c>
      <c r="I6631" s="5" t="s">
        <v>31</v>
      </c>
      <c r="J6631" s="5">
        <v>17.885916000000002</v>
      </c>
      <c r="K6631" s="5">
        <v>-96.750127000000006</v>
      </c>
      <c r="L6631" s="5" t="str">
        <f>HYPERLINK("https://maps.google.com/?q=17.885916,-96.750127", "🔗 Ver Mapa")</f>
        <v>🔗 Ver Mapa</v>
      </c>
    </row>
    <row r="6632" spans="1:12" ht="72.5" x14ac:dyDescent="0.35">
      <c r="A6632" s="6" t="s">
        <v>674</v>
      </c>
      <c r="B6632" s="6" t="s">
        <v>675</v>
      </c>
      <c r="C6632" s="6" t="s">
        <v>1303</v>
      </c>
      <c r="D6632" s="6" t="s">
        <v>677</v>
      </c>
      <c r="E6632" s="6" t="s">
        <v>39</v>
      </c>
      <c r="F6632" s="6" t="s">
        <v>353</v>
      </c>
      <c r="G6632" s="6" t="s">
        <v>1182</v>
      </c>
      <c r="H6632" s="6" t="s">
        <v>1304</v>
      </c>
      <c r="I6632" s="6" t="s">
        <v>31</v>
      </c>
      <c r="J6632" s="6">
        <v>16.183786999999999</v>
      </c>
      <c r="K6632" s="6">
        <v>-96.450017000000003</v>
      </c>
      <c r="L6632" s="6" t="str">
        <f>HYPERLINK("https://maps.google.com/?q=16.183787,-96.450017", "🔗 Ver Mapa")</f>
        <v>🔗 Ver Mapa</v>
      </c>
    </row>
    <row r="6633" spans="1:12" ht="72.5" x14ac:dyDescent="0.35">
      <c r="A6633" s="5" t="s">
        <v>674</v>
      </c>
      <c r="B6633" s="5" t="s">
        <v>675</v>
      </c>
      <c r="C6633" s="5" t="s">
        <v>1303</v>
      </c>
      <c r="D6633" s="5" t="s">
        <v>677</v>
      </c>
      <c r="E6633" s="5" t="s">
        <v>39</v>
      </c>
      <c r="F6633" s="5" t="s">
        <v>353</v>
      </c>
      <c r="G6633" s="5" t="s">
        <v>1182</v>
      </c>
      <c r="H6633" s="5" t="s">
        <v>1304</v>
      </c>
      <c r="I6633" s="5" t="s">
        <v>31</v>
      </c>
      <c r="J6633" s="5">
        <v>16.184324</v>
      </c>
      <c r="K6633" s="5">
        <v>-96.453038000000006</v>
      </c>
      <c r="L6633" s="5" t="str">
        <f>HYPERLINK("https://maps.google.com/?q=16.184324,-96.453038", "🔗 Ver Mapa")</f>
        <v>🔗 Ver Mapa</v>
      </c>
    </row>
    <row r="6634" spans="1:12" ht="72.5" x14ac:dyDescent="0.35">
      <c r="A6634" s="6" t="s">
        <v>674</v>
      </c>
      <c r="B6634" s="6" t="s">
        <v>675</v>
      </c>
      <c r="C6634" s="6" t="s">
        <v>1303</v>
      </c>
      <c r="D6634" s="6" t="s">
        <v>677</v>
      </c>
      <c r="E6634" s="6" t="s">
        <v>39</v>
      </c>
      <c r="F6634" s="6" t="s">
        <v>353</v>
      </c>
      <c r="G6634" s="6" t="s">
        <v>1182</v>
      </c>
      <c r="H6634" s="6" t="s">
        <v>1304</v>
      </c>
      <c r="I6634" s="6" t="s">
        <v>31</v>
      </c>
      <c r="J6634" s="6">
        <v>16.185735000000001</v>
      </c>
      <c r="K6634" s="6">
        <v>-96.455753999999999</v>
      </c>
      <c r="L6634" s="6" t="str">
        <f>HYPERLINK("https://maps.google.com/?q=16.185735,-96.455754", "🔗 Ver Mapa")</f>
        <v>🔗 Ver Mapa</v>
      </c>
    </row>
    <row r="6635" spans="1:12" ht="72.5" x14ac:dyDescent="0.35">
      <c r="A6635" s="5" t="s">
        <v>674</v>
      </c>
      <c r="B6635" s="5" t="s">
        <v>675</v>
      </c>
      <c r="C6635" s="5" t="s">
        <v>1305</v>
      </c>
      <c r="D6635" s="5" t="s">
        <v>677</v>
      </c>
      <c r="E6635" s="5" t="s">
        <v>17</v>
      </c>
      <c r="F6635" s="5" t="s">
        <v>59</v>
      </c>
      <c r="G6635" s="5" t="s">
        <v>1306</v>
      </c>
      <c r="H6635" s="5" t="s">
        <v>1307</v>
      </c>
      <c r="I6635" s="5" t="s">
        <v>31</v>
      </c>
      <c r="J6635" s="5">
        <v>16.518153999999999</v>
      </c>
      <c r="K6635" s="5">
        <v>-98.027011000000002</v>
      </c>
      <c r="L6635" s="5" t="str">
        <f>HYPERLINK("https://maps.google.com/?q=16.518154,-98.027011", "🔗 Ver Mapa")</f>
        <v>🔗 Ver Mapa</v>
      </c>
    </row>
    <row r="6636" spans="1:12" ht="72.5" x14ac:dyDescent="0.35">
      <c r="A6636" s="6" t="s">
        <v>674</v>
      </c>
      <c r="B6636" s="6" t="s">
        <v>675</v>
      </c>
      <c r="C6636" s="6" t="s">
        <v>1305</v>
      </c>
      <c r="D6636" s="6" t="s">
        <v>677</v>
      </c>
      <c r="E6636" s="6" t="s">
        <v>17</v>
      </c>
      <c r="F6636" s="6" t="s">
        <v>59</v>
      </c>
      <c r="G6636" s="6" t="s">
        <v>1306</v>
      </c>
      <c r="H6636" s="6" t="s">
        <v>1307</v>
      </c>
      <c r="I6636" s="6" t="s">
        <v>31</v>
      </c>
      <c r="J6636" s="6">
        <v>16.521194000000001</v>
      </c>
      <c r="K6636" s="6">
        <v>-98.031464999999997</v>
      </c>
      <c r="L6636" s="6" t="str">
        <f>HYPERLINK("https://maps.google.com/?q=16.521194,-98.031465", "🔗 Ver Mapa")</f>
        <v>🔗 Ver Mapa</v>
      </c>
    </row>
    <row r="6637" spans="1:12" ht="72.5" x14ac:dyDescent="0.35">
      <c r="A6637" s="5" t="s">
        <v>674</v>
      </c>
      <c r="B6637" s="5" t="s">
        <v>675</v>
      </c>
      <c r="C6637" s="5" t="s">
        <v>1305</v>
      </c>
      <c r="D6637" s="5" t="s">
        <v>677</v>
      </c>
      <c r="E6637" s="5" t="s">
        <v>17</v>
      </c>
      <c r="F6637" s="5" t="s">
        <v>59</v>
      </c>
      <c r="G6637" s="5" t="s">
        <v>1306</v>
      </c>
      <c r="H6637" s="5" t="s">
        <v>1307</v>
      </c>
      <c r="I6637" s="5" t="s">
        <v>31</v>
      </c>
      <c r="J6637" s="5">
        <v>16.526426000000001</v>
      </c>
      <c r="K6637" s="5">
        <v>-98.030681999999999</v>
      </c>
      <c r="L6637" s="5" t="str">
        <f>HYPERLINK("https://maps.google.com/?q=16.526426,-98.030682", "🔗 Ver Mapa")</f>
        <v>🔗 Ver Mapa</v>
      </c>
    </row>
    <row r="6638" spans="1:12" ht="72.5" x14ac:dyDescent="0.35">
      <c r="A6638" s="6" t="s">
        <v>674</v>
      </c>
      <c r="B6638" s="6" t="s">
        <v>675</v>
      </c>
      <c r="C6638" s="6" t="s">
        <v>1305</v>
      </c>
      <c r="D6638" s="6" t="s">
        <v>677</v>
      </c>
      <c r="E6638" s="6" t="s">
        <v>17</v>
      </c>
      <c r="F6638" s="6" t="s">
        <v>59</v>
      </c>
      <c r="G6638" s="6" t="s">
        <v>1306</v>
      </c>
      <c r="H6638" s="6" t="s">
        <v>1307</v>
      </c>
      <c r="I6638" s="6" t="s">
        <v>31</v>
      </c>
      <c r="J6638" s="6">
        <v>16.530152999999999</v>
      </c>
      <c r="K6638" s="6">
        <v>-98.030606000000006</v>
      </c>
      <c r="L6638" s="6" t="str">
        <f>HYPERLINK("https://maps.google.com/?q=16.530153,-98.030606", "🔗 Ver Mapa")</f>
        <v>🔗 Ver Mapa</v>
      </c>
    </row>
    <row r="6639" spans="1:12" ht="43.5" x14ac:dyDescent="0.35">
      <c r="A6639" s="5" t="s">
        <v>98</v>
      </c>
      <c r="B6639" s="5" t="s">
        <v>99</v>
      </c>
      <c r="C6639" s="5" t="s">
        <v>1308</v>
      </c>
      <c r="D6639" s="5" t="s">
        <v>14</v>
      </c>
      <c r="E6639" s="5" t="s">
        <v>39</v>
      </c>
      <c r="F6639" s="5" t="s">
        <v>494</v>
      </c>
      <c r="G6639" s="5" t="s">
        <v>639</v>
      </c>
      <c r="H6639" s="5" t="s">
        <v>1309</v>
      </c>
      <c r="I6639" s="5" t="s">
        <v>31</v>
      </c>
      <c r="J6639" s="5">
        <v>16.842330178804001</v>
      </c>
      <c r="K6639" s="5">
        <v>-97.209311008564995</v>
      </c>
      <c r="L6639" s="5" t="str">
        <f>HYPERLINK("https://maps.google.com/?q=16.8423301788038,-97.209311008564995", "🔗 Ver Mapa")</f>
        <v>🔗 Ver Mapa</v>
      </c>
    </row>
    <row r="6640" spans="1:12" ht="43.5" x14ac:dyDescent="0.35">
      <c r="A6640" s="6" t="s">
        <v>98</v>
      </c>
      <c r="B6640" s="6" t="s">
        <v>99</v>
      </c>
      <c r="C6640" s="6" t="s">
        <v>1308</v>
      </c>
      <c r="D6640" s="6" t="s">
        <v>14</v>
      </c>
      <c r="E6640" s="6" t="s">
        <v>39</v>
      </c>
      <c r="F6640" s="6" t="s">
        <v>494</v>
      </c>
      <c r="G6640" s="6" t="s">
        <v>639</v>
      </c>
      <c r="H6640" s="6" t="s">
        <v>1309</v>
      </c>
      <c r="I6640" s="6" t="s">
        <v>31</v>
      </c>
      <c r="J6640" s="6">
        <v>16.842400128529</v>
      </c>
      <c r="K6640" s="6">
        <v>-97.208738689653003</v>
      </c>
      <c r="L6640" s="6" t="str">
        <f>HYPERLINK("https://maps.google.com/?q=16.8424001285294,-97.208738689653202", "🔗 Ver Mapa")</f>
        <v>🔗 Ver Mapa</v>
      </c>
    </row>
    <row r="6641" spans="1:12" ht="43.5" x14ac:dyDescent="0.35">
      <c r="A6641" s="5" t="s">
        <v>98</v>
      </c>
      <c r="B6641" s="5" t="s">
        <v>99</v>
      </c>
      <c r="C6641" s="5" t="s">
        <v>1308</v>
      </c>
      <c r="D6641" s="5" t="s">
        <v>14</v>
      </c>
      <c r="E6641" s="5" t="s">
        <v>39</v>
      </c>
      <c r="F6641" s="5" t="s">
        <v>494</v>
      </c>
      <c r="G6641" s="5" t="s">
        <v>639</v>
      </c>
      <c r="H6641" s="5" t="s">
        <v>1309</v>
      </c>
      <c r="I6641" s="5" t="s">
        <v>31</v>
      </c>
      <c r="J6641" s="5">
        <v>16.842502814765002</v>
      </c>
      <c r="K6641" s="5">
        <v>-97.208398145824006</v>
      </c>
      <c r="L6641" s="5" t="str">
        <f>HYPERLINK("https://maps.google.com/?q=16.842502814765,-97.208398145823594", "🔗 Ver Mapa")</f>
        <v>🔗 Ver Mapa</v>
      </c>
    </row>
    <row r="6642" spans="1:12" ht="43.5" x14ac:dyDescent="0.35">
      <c r="A6642" s="6" t="s">
        <v>98</v>
      </c>
      <c r="B6642" s="6" t="s">
        <v>99</v>
      </c>
      <c r="C6642" s="6" t="s">
        <v>1308</v>
      </c>
      <c r="D6642" s="6" t="s">
        <v>14</v>
      </c>
      <c r="E6642" s="6" t="s">
        <v>39</v>
      </c>
      <c r="F6642" s="6" t="s">
        <v>494</v>
      </c>
      <c r="G6642" s="6" t="s">
        <v>639</v>
      </c>
      <c r="H6642" s="6" t="s">
        <v>1309</v>
      </c>
      <c r="I6642" s="6" t="s">
        <v>31</v>
      </c>
      <c r="J6642" s="6">
        <v>16.842893515627001</v>
      </c>
      <c r="K6642" s="6">
        <v>-97.208842492065997</v>
      </c>
      <c r="L6642" s="6" t="str">
        <f>HYPERLINK("https://maps.google.com/?q=16.8428935156268,-97.208842492066097", "🔗 Ver Mapa")</f>
        <v>🔗 Ver Mapa</v>
      </c>
    </row>
    <row r="6643" spans="1:12" ht="43.5" x14ac:dyDescent="0.35">
      <c r="A6643" s="5" t="s">
        <v>98</v>
      </c>
      <c r="B6643" s="5" t="s">
        <v>99</v>
      </c>
      <c r="C6643" s="5" t="s">
        <v>1308</v>
      </c>
      <c r="D6643" s="5" t="s">
        <v>14</v>
      </c>
      <c r="E6643" s="5" t="s">
        <v>39</v>
      </c>
      <c r="F6643" s="5" t="s">
        <v>494</v>
      </c>
      <c r="G6643" s="5" t="s">
        <v>639</v>
      </c>
      <c r="H6643" s="5" t="s">
        <v>1309</v>
      </c>
      <c r="I6643" s="5" t="s">
        <v>31</v>
      </c>
      <c r="J6643" s="5">
        <v>16.843093645974001</v>
      </c>
      <c r="K6643" s="5">
        <v>-97.208820047955001</v>
      </c>
      <c r="L6643" s="5" t="str">
        <f>HYPERLINK("https://maps.google.com/?q=16.8430936459739,-97.208820047954603", "🔗 Ver Mapa")</f>
        <v>🔗 Ver Mapa</v>
      </c>
    </row>
    <row r="6644" spans="1:12" ht="43.5" x14ac:dyDescent="0.35">
      <c r="A6644" s="6" t="s">
        <v>98</v>
      </c>
      <c r="B6644" s="6" t="s">
        <v>99</v>
      </c>
      <c r="C6644" s="6" t="s">
        <v>1308</v>
      </c>
      <c r="D6644" s="6" t="s">
        <v>14</v>
      </c>
      <c r="E6644" s="6" t="s">
        <v>39</v>
      </c>
      <c r="F6644" s="6" t="s">
        <v>494</v>
      </c>
      <c r="G6644" s="6" t="s">
        <v>639</v>
      </c>
      <c r="H6644" s="6" t="s">
        <v>1309</v>
      </c>
      <c r="I6644" s="6" t="s">
        <v>31</v>
      </c>
      <c r="J6644" s="6">
        <v>16.843094377398</v>
      </c>
      <c r="K6644" s="6">
        <v>-97.208420440476004</v>
      </c>
      <c r="L6644" s="6" t="str">
        <f>HYPERLINK("https://maps.google.com/?q=16.843094377398,-97.208420440475507", "🔗 Ver Mapa")</f>
        <v>🔗 Ver Mapa</v>
      </c>
    </row>
    <row r="6645" spans="1:12" ht="43.5" x14ac:dyDescent="0.35">
      <c r="A6645" s="5" t="s">
        <v>98</v>
      </c>
      <c r="B6645" s="5" t="s">
        <v>99</v>
      </c>
      <c r="C6645" s="5" t="s">
        <v>1308</v>
      </c>
      <c r="D6645" s="5" t="s">
        <v>14</v>
      </c>
      <c r="E6645" s="5" t="s">
        <v>39</v>
      </c>
      <c r="F6645" s="5" t="s">
        <v>494</v>
      </c>
      <c r="G6645" s="5" t="s">
        <v>639</v>
      </c>
      <c r="H6645" s="5" t="s">
        <v>1309</v>
      </c>
      <c r="I6645" s="5" t="s">
        <v>31</v>
      </c>
      <c r="J6645" s="5">
        <v>16.843596897590999</v>
      </c>
      <c r="K6645" s="5">
        <v>-97.208310866236005</v>
      </c>
      <c r="L6645" s="5" t="str">
        <f>HYPERLINK("https://maps.google.com/?q=16.843596897591,-97.208310866235806", "🔗 Ver Mapa")</f>
        <v>🔗 Ver Mapa</v>
      </c>
    </row>
    <row r="6646" spans="1:12" ht="43.5" x14ac:dyDescent="0.35">
      <c r="A6646" s="6" t="s">
        <v>98</v>
      </c>
      <c r="B6646" s="6" t="s">
        <v>99</v>
      </c>
      <c r="C6646" s="6" t="s">
        <v>1308</v>
      </c>
      <c r="D6646" s="6" t="s">
        <v>14</v>
      </c>
      <c r="E6646" s="6" t="s">
        <v>39</v>
      </c>
      <c r="F6646" s="6" t="s">
        <v>494</v>
      </c>
      <c r="G6646" s="6" t="s">
        <v>639</v>
      </c>
      <c r="H6646" s="6" t="s">
        <v>1309</v>
      </c>
      <c r="I6646" s="6" t="s">
        <v>31</v>
      </c>
      <c r="J6646" s="6">
        <v>16.843749164506999</v>
      </c>
      <c r="K6646" s="6">
        <v>-97.207935368053001</v>
      </c>
      <c r="L6646" s="6" t="str">
        <f>HYPERLINK("https://maps.google.com/?q=16.8437491645071,-97.207935368053498", "🔗 Ver Mapa")</f>
        <v>🔗 Ver Mapa</v>
      </c>
    </row>
    <row r="6647" spans="1:12" ht="43.5" x14ac:dyDescent="0.35">
      <c r="A6647" s="5" t="s">
        <v>98</v>
      </c>
      <c r="B6647" s="5" t="s">
        <v>99</v>
      </c>
      <c r="C6647" s="5" t="s">
        <v>1308</v>
      </c>
      <c r="D6647" s="5" t="s">
        <v>14</v>
      </c>
      <c r="E6647" s="5" t="s">
        <v>39</v>
      </c>
      <c r="F6647" s="5" t="s">
        <v>494</v>
      </c>
      <c r="G6647" s="5" t="s">
        <v>639</v>
      </c>
      <c r="H6647" s="5" t="s">
        <v>1309</v>
      </c>
      <c r="I6647" s="5" t="s">
        <v>31</v>
      </c>
      <c r="J6647" s="5">
        <v>16.843837565044002</v>
      </c>
      <c r="K6647" s="5">
        <v>-97.208307787696995</v>
      </c>
      <c r="L6647" s="5" t="str">
        <f>HYPERLINK("https://maps.google.com/?q=16.8438375650443,-97.208307787697095", "🔗 Ver Mapa")</f>
        <v>🔗 Ver Mapa</v>
      </c>
    </row>
    <row r="6648" spans="1:12" ht="43.5" x14ac:dyDescent="0.35">
      <c r="A6648" s="6" t="s">
        <v>98</v>
      </c>
      <c r="B6648" s="6" t="s">
        <v>99</v>
      </c>
      <c r="C6648" s="6" t="s">
        <v>1308</v>
      </c>
      <c r="D6648" s="6" t="s">
        <v>14</v>
      </c>
      <c r="E6648" s="6" t="s">
        <v>39</v>
      </c>
      <c r="F6648" s="6" t="s">
        <v>494</v>
      </c>
      <c r="G6648" s="6" t="s">
        <v>639</v>
      </c>
      <c r="H6648" s="6" t="s">
        <v>1309</v>
      </c>
      <c r="I6648" s="6" t="s">
        <v>31</v>
      </c>
      <c r="J6648" s="6">
        <v>16.843899835708999</v>
      </c>
      <c r="K6648" s="6">
        <v>-97.208475029430005</v>
      </c>
      <c r="L6648" s="6" t="str">
        <f>HYPERLINK("https://maps.google.com/?q=16.8438998357094,-97.208475029430403", "🔗 Ver Mapa")</f>
        <v>🔗 Ver Mapa</v>
      </c>
    </row>
    <row r="6649" spans="1:12" ht="43.5" x14ac:dyDescent="0.35">
      <c r="A6649" s="5" t="s">
        <v>98</v>
      </c>
      <c r="B6649" s="5" t="s">
        <v>99</v>
      </c>
      <c r="C6649" s="5" t="s">
        <v>1308</v>
      </c>
      <c r="D6649" s="5" t="s">
        <v>14</v>
      </c>
      <c r="E6649" s="5" t="s">
        <v>39</v>
      </c>
      <c r="F6649" s="5" t="s">
        <v>494</v>
      </c>
      <c r="G6649" s="5" t="s">
        <v>639</v>
      </c>
      <c r="H6649" s="5" t="s">
        <v>1309</v>
      </c>
      <c r="I6649" s="5" t="s">
        <v>31</v>
      </c>
      <c r="J6649" s="5">
        <v>16.844815420452001</v>
      </c>
      <c r="K6649" s="5">
        <v>-97.211011474868997</v>
      </c>
      <c r="L6649" s="5" t="str">
        <f>HYPERLINK("https://maps.google.com/?q=16.8448154204519,-97.211011474868698", "🔗 Ver Mapa")</f>
        <v>🔗 Ver Mapa</v>
      </c>
    </row>
    <row r="6650" spans="1:12" ht="58" x14ac:dyDescent="0.35">
      <c r="A6650" s="6" t="s">
        <v>98</v>
      </c>
      <c r="B6650" s="6" t="s">
        <v>99</v>
      </c>
      <c r="C6650" s="6" t="s">
        <v>1310</v>
      </c>
      <c r="D6650" s="6" t="s">
        <v>14</v>
      </c>
      <c r="E6650" s="6" t="s">
        <v>140</v>
      </c>
      <c r="F6650" s="6" t="s">
        <v>141</v>
      </c>
      <c r="G6650" s="6" t="s">
        <v>142</v>
      </c>
      <c r="H6650" s="6" t="s">
        <v>532</v>
      </c>
      <c r="I6650" s="6" t="s">
        <v>31</v>
      </c>
      <c r="J6650" s="6">
        <v>17.753250492121001</v>
      </c>
      <c r="K6650" s="6">
        <v>-96.198846384903007</v>
      </c>
      <c r="L6650" s="6" t="str">
        <f>HYPERLINK("https://maps.google.com/?q=17.753250492121,-96.198846384902595", "🔗 Ver Mapa")</f>
        <v>🔗 Ver Mapa</v>
      </c>
    </row>
    <row r="6651" spans="1:12" ht="58" x14ac:dyDescent="0.35">
      <c r="A6651" s="5" t="s">
        <v>98</v>
      </c>
      <c r="B6651" s="5" t="s">
        <v>99</v>
      </c>
      <c r="C6651" s="5" t="s">
        <v>1310</v>
      </c>
      <c r="D6651" s="5" t="s">
        <v>14</v>
      </c>
      <c r="E6651" s="5" t="s">
        <v>140</v>
      </c>
      <c r="F6651" s="5" t="s">
        <v>141</v>
      </c>
      <c r="G6651" s="5" t="s">
        <v>142</v>
      </c>
      <c r="H6651" s="5" t="s">
        <v>532</v>
      </c>
      <c r="I6651" s="5" t="s">
        <v>31</v>
      </c>
      <c r="J6651" s="5">
        <v>17.753301</v>
      </c>
      <c r="K6651" s="5">
        <v>-96.199411999999995</v>
      </c>
      <c r="L6651" s="5" t="str">
        <f>HYPERLINK("https://maps.google.com/?q=17.753301,-96.199411999999995", "🔗 Ver Mapa")</f>
        <v>🔗 Ver Mapa</v>
      </c>
    </row>
    <row r="6652" spans="1:12" ht="58" x14ac:dyDescent="0.35">
      <c r="A6652" s="6" t="s">
        <v>98</v>
      </c>
      <c r="B6652" s="6" t="s">
        <v>99</v>
      </c>
      <c r="C6652" s="6" t="s">
        <v>1310</v>
      </c>
      <c r="D6652" s="6" t="s">
        <v>14</v>
      </c>
      <c r="E6652" s="6" t="s">
        <v>140</v>
      </c>
      <c r="F6652" s="6" t="s">
        <v>141</v>
      </c>
      <c r="G6652" s="6" t="s">
        <v>142</v>
      </c>
      <c r="H6652" s="6" t="s">
        <v>532</v>
      </c>
      <c r="I6652" s="6" t="s">
        <v>31</v>
      </c>
      <c r="J6652" s="6">
        <v>17.753640428834</v>
      </c>
      <c r="K6652" s="6">
        <v>-96.200414754630998</v>
      </c>
      <c r="L6652" s="6" t="str">
        <f>HYPERLINK("https://maps.google.com/?q=17.7536404288341,-96.200414754630998", "🔗 Ver Mapa")</f>
        <v>🔗 Ver Mapa</v>
      </c>
    </row>
    <row r="6653" spans="1:12" ht="58" x14ac:dyDescent="0.35">
      <c r="A6653" s="5" t="s">
        <v>98</v>
      </c>
      <c r="B6653" s="5" t="s">
        <v>99</v>
      </c>
      <c r="C6653" s="5" t="s">
        <v>1310</v>
      </c>
      <c r="D6653" s="5" t="s">
        <v>14</v>
      </c>
      <c r="E6653" s="5" t="s">
        <v>140</v>
      </c>
      <c r="F6653" s="5" t="s">
        <v>141</v>
      </c>
      <c r="G6653" s="5" t="s">
        <v>142</v>
      </c>
      <c r="H6653" s="5" t="s">
        <v>532</v>
      </c>
      <c r="I6653" s="5" t="s">
        <v>31</v>
      </c>
      <c r="J6653" s="5">
        <v>17.753817585383999</v>
      </c>
      <c r="K6653" s="5">
        <v>-96.200176760573996</v>
      </c>
      <c r="L6653" s="5" t="str">
        <f>HYPERLINK("https://maps.google.com/?q=17.7538175853841,-96.200176760574195", "🔗 Ver Mapa")</f>
        <v>🔗 Ver Mapa</v>
      </c>
    </row>
    <row r="6654" spans="1:12" ht="58" x14ac:dyDescent="0.35">
      <c r="A6654" s="6" t="s">
        <v>98</v>
      </c>
      <c r="B6654" s="6" t="s">
        <v>99</v>
      </c>
      <c r="C6654" s="6" t="s">
        <v>1310</v>
      </c>
      <c r="D6654" s="6" t="s">
        <v>14</v>
      </c>
      <c r="E6654" s="6" t="s">
        <v>140</v>
      </c>
      <c r="F6654" s="6" t="s">
        <v>141</v>
      </c>
      <c r="G6654" s="6" t="s">
        <v>142</v>
      </c>
      <c r="H6654" s="6" t="s">
        <v>532</v>
      </c>
      <c r="I6654" s="6" t="s">
        <v>31</v>
      </c>
      <c r="J6654" s="6">
        <v>17.755037999999999</v>
      </c>
      <c r="K6654" s="6">
        <v>-96.200192999999999</v>
      </c>
      <c r="L6654" s="6" t="str">
        <f>HYPERLINK("https://maps.google.com/?q=17.755038,-96.200192999999999", "🔗 Ver Mapa")</f>
        <v>🔗 Ver Mapa</v>
      </c>
    </row>
    <row r="6655" spans="1:12" ht="58" x14ac:dyDescent="0.35">
      <c r="A6655" s="5" t="s">
        <v>98</v>
      </c>
      <c r="B6655" s="5" t="s">
        <v>99</v>
      </c>
      <c r="C6655" s="5" t="s">
        <v>1310</v>
      </c>
      <c r="D6655" s="5" t="s">
        <v>14</v>
      </c>
      <c r="E6655" s="5" t="s">
        <v>140</v>
      </c>
      <c r="F6655" s="5" t="s">
        <v>141</v>
      </c>
      <c r="G6655" s="5" t="s">
        <v>142</v>
      </c>
      <c r="H6655" s="5" t="s">
        <v>532</v>
      </c>
      <c r="I6655" s="5" t="s">
        <v>31</v>
      </c>
      <c r="J6655" s="5">
        <v>17.755777999999999</v>
      </c>
      <c r="K6655" s="5">
        <v>-96.194618000000006</v>
      </c>
      <c r="L6655" s="5" t="str">
        <f>HYPERLINK("https://maps.google.com/?q=17.755778,-96.194618000000006", "🔗 Ver Mapa")</f>
        <v>🔗 Ver Mapa</v>
      </c>
    </row>
    <row r="6656" spans="1:12" ht="58" x14ac:dyDescent="0.35">
      <c r="A6656" s="6" t="s">
        <v>98</v>
      </c>
      <c r="B6656" s="6" t="s">
        <v>99</v>
      </c>
      <c r="C6656" s="6" t="s">
        <v>1310</v>
      </c>
      <c r="D6656" s="6" t="s">
        <v>14</v>
      </c>
      <c r="E6656" s="6" t="s">
        <v>140</v>
      </c>
      <c r="F6656" s="6" t="s">
        <v>141</v>
      </c>
      <c r="G6656" s="6" t="s">
        <v>142</v>
      </c>
      <c r="H6656" s="6" t="s">
        <v>532</v>
      </c>
      <c r="I6656" s="6" t="s">
        <v>31</v>
      </c>
      <c r="J6656" s="6">
        <v>17.755931</v>
      </c>
      <c r="K6656" s="6">
        <v>-96.195081999999999</v>
      </c>
      <c r="L6656" s="6" t="str">
        <f>HYPERLINK("https://maps.google.com/?q=17.755931,-96.195081999999999", "🔗 Ver Mapa")</f>
        <v>🔗 Ver Mapa</v>
      </c>
    </row>
    <row r="6657" spans="1:12" ht="58" x14ac:dyDescent="0.35">
      <c r="A6657" s="5" t="s">
        <v>98</v>
      </c>
      <c r="B6657" s="5" t="s">
        <v>99</v>
      </c>
      <c r="C6657" s="5" t="s">
        <v>1310</v>
      </c>
      <c r="D6657" s="5" t="s">
        <v>14</v>
      </c>
      <c r="E6657" s="5" t="s">
        <v>140</v>
      </c>
      <c r="F6657" s="5" t="s">
        <v>141</v>
      </c>
      <c r="G6657" s="5" t="s">
        <v>142</v>
      </c>
      <c r="H6657" s="5" t="s">
        <v>532</v>
      </c>
      <c r="I6657" s="5" t="s">
        <v>31</v>
      </c>
      <c r="J6657" s="5">
        <v>17.756522</v>
      </c>
      <c r="K6657" s="5">
        <v>-96.194441999999995</v>
      </c>
      <c r="L6657" s="5" t="str">
        <f>HYPERLINK("https://maps.google.com/?q=17.756522,-96.194441999999995", "🔗 Ver Mapa")</f>
        <v>🔗 Ver Mapa</v>
      </c>
    </row>
    <row r="6658" spans="1:12" ht="43.5" x14ac:dyDescent="0.35">
      <c r="A6658" s="6" t="s">
        <v>98</v>
      </c>
      <c r="B6658" s="6" t="s">
        <v>99</v>
      </c>
      <c r="C6658" s="6" t="s">
        <v>1311</v>
      </c>
      <c r="D6658" s="6" t="s">
        <v>14</v>
      </c>
      <c r="E6658" s="6" t="s">
        <v>140</v>
      </c>
      <c r="F6658" s="6" t="s">
        <v>141</v>
      </c>
      <c r="G6658" s="6" t="s">
        <v>258</v>
      </c>
      <c r="H6658" s="6" t="s">
        <v>553</v>
      </c>
      <c r="I6658" s="6" t="s">
        <v>31</v>
      </c>
      <c r="J6658" s="6">
        <v>18.214216</v>
      </c>
      <c r="K6658" s="6">
        <v>-96.334783999999999</v>
      </c>
      <c r="L6658" s="6" t="str">
        <f>HYPERLINK("https://maps.google.com/?q=18.214216,-96.334783999999999", "🔗 Ver Mapa")</f>
        <v>🔗 Ver Mapa</v>
      </c>
    </row>
    <row r="6659" spans="1:12" ht="43.5" x14ac:dyDescent="0.35">
      <c r="A6659" s="5" t="s">
        <v>98</v>
      </c>
      <c r="B6659" s="5" t="s">
        <v>99</v>
      </c>
      <c r="C6659" s="5" t="s">
        <v>1311</v>
      </c>
      <c r="D6659" s="5" t="s">
        <v>14</v>
      </c>
      <c r="E6659" s="5" t="s">
        <v>140</v>
      </c>
      <c r="F6659" s="5" t="s">
        <v>141</v>
      </c>
      <c r="G6659" s="5" t="s">
        <v>258</v>
      </c>
      <c r="H6659" s="5" t="s">
        <v>553</v>
      </c>
      <c r="I6659" s="5" t="s">
        <v>31</v>
      </c>
      <c r="J6659" s="5">
        <v>18.215792</v>
      </c>
      <c r="K6659" s="5">
        <v>-96.337316000000001</v>
      </c>
      <c r="L6659" s="5" t="str">
        <f>HYPERLINK("https://maps.google.com/?q=18.215792,-96.337316000000001", "🔗 Ver Mapa")</f>
        <v>🔗 Ver Mapa</v>
      </c>
    </row>
    <row r="6660" spans="1:12" ht="43.5" x14ac:dyDescent="0.35">
      <c r="A6660" s="6" t="s">
        <v>98</v>
      </c>
      <c r="B6660" s="6" t="s">
        <v>99</v>
      </c>
      <c r="C6660" s="6" t="s">
        <v>1311</v>
      </c>
      <c r="D6660" s="6" t="s">
        <v>14</v>
      </c>
      <c r="E6660" s="6" t="s">
        <v>140</v>
      </c>
      <c r="F6660" s="6" t="s">
        <v>141</v>
      </c>
      <c r="G6660" s="6" t="s">
        <v>258</v>
      </c>
      <c r="H6660" s="6" t="s">
        <v>553</v>
      </c>
      <c r="I6660" s="6" t="s">
        <v>31</v>
      </c>
      <c r="J6660" s="6">
        <v>18.217631000000001</v>
      </c>
      <c r="K6660" s="6">
        <v>-96.336021000000002</v>
      </c>
      <c r="L6660" s="6" t="str">
        <f>HYPERLINK("https://maps.google.com/?q=18.217631,-96.336021000000002", "🔗 Ver Mapa")</f>
        <v>🔗 Ver Mapa</v>
      </c>
    </row>
    <row r="6661" spans="1:12" ht="43.5" x14ac:dyDescent="0.35">
      <c r="A6661" s="5" t="s">
        <v>98</v>
      </c>
      <c r="B6661" s="5" t="s">
        <v>99</v>
      </c>
      <c r="C6661" s="5" t="s">
        <v>1311</v>
      </c>
      <c r="D6661" s="5" t="s">
        <v>14</v>
      </c>
      <c r="E6661" s="5" t="s">
        <v>140</v>
      </c>
      <c r="F6661" s="5" t="s">
        <v>141</v>
      </c>
      <c r="G6661" s="5" t="s">
        <v>258</v>
      </c>
      <c r="H6661" s="5" t="s">
        <v>553</v>
      </c>
      <c r="I6661" s="5" t="s">
        <v>31</v>
      </c>
      <c r="J6661" s="5">
        <v>18.217929000000002</v>
      </c>
      <c r="K6661" s="5">
        <v>-96.336601000000002</v>
      </c>
      <c r="L6661" s="5" t="str">
        <f>HYPERLINK("https://maps.google.com/?q=18.217929,-96.336601000000002", "🔗 Ver Mapa")</f>
        <v>🔗 Ver Mapa</v>
      </c>
    </row>
    <row r="6662" spans="1:12" ht="43.5" x14ac:dyDescent="0.35">
      <c r="A6662" s="6" t="s">
        <v>98</v>
      </c>
      <c r="B6662" s="6" t="s">
        <v>99</v>
      </c>
      <c r="C6662" s="6" t="s">
        <v>1311</v>
      </c>
      <c r="D6662" s="6" t="s">
        <v>14</v>
      </c>
      <c r="E6662" s="6" t="s">
        <v>140</v>
      </c>
      <c r="F6662" s="6" t="s">
        <v>141</v>
      </c>
      <c r="G6662" s="6" t="s">
        <v>258</v>
      </c>
      <c r="H6662" s="6" t="s">
        <v>553</v>
      </c>
      <c r="I6662" s="6" t="s">
        <v>31</v>
      </c>
      <c r="J6662" s="6">
        <v>18.218303353896999</v>
      </c>
      <c r="K6662" s="6">
        <v>-96.336075548444995</v>
      </c>
      <c r="L6662" s="6" t="str">
        <f>HYPERLINK("https://maps.google.com/?q=18.2183033538968,-96.336075548444796", "🔗 Ver Mapa")</f>
        <v>🔗 Ver Mapa</v>
      </c>
    </row>
    <row r="6663" spans="1:12" ht="43.5" x14ac:dyDescent="0.35">
      <c r="A6663" s="5" t="s">
        <v>98</v>
      </c>
      <c r="B6663" s="5" t="s">
        <v>99</v>
      </c>
      <c r="C6663" s="5" t="s">
        <v>1311</v>
      </c>
      <c r="D6663" s="5" t="s">
        <v>14</v>
      </c>
      <c r="E6663" s="5" t="s">
        <v>140</v>
      </c>
      <c r="F6663" s="5" t="s">
        <v>141</v>
      </c>
      <c r="G6663" s="5" t="s">
        <v>258</v>
      </c>
      <c r="H6663" s="5" t="s">
        <v>553</v>
      </c>
      <c r="I6663" s="5" t="s">
        <v>31</v>
      </c>
      <c r="J6663" s="5">
        <v>18.218437999999999</v>
      </c>
      <c r="K6663" s="5">
        <v>-96.337237999999999</v>
      </c>
      <c r="L6663" s="5" t="str">
        <f>HYPERLINK("https://maps.google.com/?q=18.218438,-96.337237999999999", "🔗 Ver Mapa")</f>
        <v>🔗 Ver Mapa</v>
      </c>
    </row>
    <row r="6664" spans="1:12" ht="43.5" x14ac:dyDescent="0.35">
      <c r="A6664" s="6" t="s">
        <v>98</v>
      </c>
      <c r="B6664" s="6" t="s">
        <v>99</v>
      </c>
      <c r="C6664" s="6" t="s">
        <v>1312</v>
      </c>
      <c r="D6664" s="6" t="s">
        <v>14</v>
      </c>
      <c r="E6664" s="6" t="s">
        <v>52</v>
      </c>
      <c r="F6664" s="6" t="s">
        <v>101</v>
      </c>
      <c r="G6664" s="6" t="s">
        <v>649</v>
      </c>
      <c r="H6664" s="6" t="s">
        <v>650</v>
      </c>
      <c r="I6664" s="6" t="s">
        <v>31</v>
      </c>
      <c r="J6664" s="6">
        <v>16.936379134414</v>
      </c>
      <c r="K6664" s="6">
        <v>-97.011101434359006</v>
      </c>
      <c r="L6664" s="6" t="str">
        <f>HYPERLINK("https://maps.google.com/?q=16.9363791344143,-97.011101434358594", "🔗 Ver Mapa")</f>
        <v>🔗 Ver Mapa</v>
      </c>
    </row>
    <row r="6665" spans="1:12" ht="43.5" x14ac:dyDescent="0.35">
      <c r="A6665" s="5" t="s">
        <v>98</v>
      </c>
      <c r="B6665" s="5" t="s">
        <v>99</v>
      </c>
      <c r="C6665" s="5" t="s">
        <v>1312</v>
      </c>
      <c r="D6665" s="5" t="s">
        <v>14</v>
      </c>
      <c r="E6665" s="5" t="s">
        <v>52</v>
      </c>
      <c r="F6665" s="5" t="s">
        <v>101</v>
      </c>
      <c r="G6665" s="5" t="s">
        <v>649</v>
      </c>
      <c r="H6665" s="5" t="s">
        <v>650</v>
      </c>
      <c r="I6665" s="5" t="s">
        <v>31</v>
      </c>
      <c r="J6665" s="5">
        <v>16.938223000000001</v>
      </c>
      <c r="K6665" s="5">
        <v>-97.007375999999994</v>
      </c>
      <c r="L6665" s="5" t="str">
        <f>HYPERLINK("https://maps.google.com/?q=16.938223,-97.007375999999994", "🔗 Ver Mapa")</f>
        <v>🔗 Ver Mapa</v>
      </c>
    </row>
    <row r="6666" spans="1:12" ht="43.5" x14ac:dyDescent="0.35">
      <c r="A6666" s="6" t="s">
        <v>98</v>
      </c>
      <c r="B6666" s="6" t="s">
        <v>99</v>
      </c>
      <c r="C6666" s="6" t="s">
        <v>1312</v>
      </c>
      <c r="D6666" s="6" t="s">
        <v>14</v>
      </c>
      <c r="E6666" s="6" t="s">
        <v>52</v>
      </c>
      <c r="F6666" s="6" t="s">
        <v>101</v>
      </c>
      <c r="G6666" s="6" t="s">
        <v>649</v>
      </c>
      <c r="H6666" s="6" t="s">
        <v>650</v>
      </c>
      <c r="I6666" s="6" t="s">
        <v>31</v>
      </c>
      <c r="J6666" s="6">
        <v>16.939042000000001</v>
      </c>
      <c r="K6666" s="6">
        <v>-97.013976</v>
      </c>
      <c r="L6666" s="6" t="str">
        <f>HYPERLINK("https://maps.google.com/?q=16.939042,-97.013976", "🔗 Ver Mapa")</f>
        <v>🔗 Ver Mapa</v>
      </c>
    </row>
    <row r="6667" spans="1:12" ht="43.5" x14ac:dyDescent="0.35">
      <c r="A6667" s="5" t="s">
        <v>98</v>
      </c>
      <c r="B6667" s="5" t="s">
        <v>99</v>
      </c>
      <c r="C6667" s="5" t="s">
        <v>1312</v>
      </c>
      <c r="D6667" s="5" t="s">
        <v>14</v>
      </c>
      <c r="E6667" s="5" t="s">
        <v>52</v>
      </c>
      <c r="F6667" s="5" t="s">
        <v>101</v>
      </c>
      <c r="G6667" s="5" t="s">
        <v>649</v>
      </c>
      <c r="H6667" s="5" t="s">
        <v>650</v>
      </c>
      <c r="I6667" s="5" t="s">
        <v>31</v>
      </c>
      <c r="J6667" s="5">
        <v>16.9390772</v>
      </c>
      <c r="K6667" s="5">
        <v>-97.013852600000007</v>
      </c>
      <c r="L6667" s="5" t="str">
        <f>HYPERLINK("https://maps.google.com/?q=16.9390772,-97.013852600000007", "🔗 Ver Mapa")</f>
        <v>🔗 Ver Mapa</v>
      </c>
    </row>
    <row r="6668" spans="1:12" ht="43.5" x14ac:dyDescent="0.35">
      <c r="A6668" s="6" t="s">
        <v>98</v>
      </c>
      <c r="B6668" s="6" t="s">
        <v>99</v>
      </c>
      <c r="C6668" s="6" t="s">
        <v>1312</v>
      </c>
      <c r="D6668" s="6" t="s">
        <v>14</v>
      </c>
      <c r="E6668" s="6" t="s">
        <v>52</v>
      </c>
      <c r="F6668" s="6" t="s">
        <v>101</v>
      </c>
      <c r="G6668" s="6" t="s">
        <v>649</v>
      </c>
      <c r="H6668" s="6" t="s">
        <v>650</v>
      </c>
      <c r="I6668" s="6" t="s">
        <v>31</v>
      </c>
      <c r="J6668" s="6">
        <v>16.939087000000001</v>
      </c>
      <c r="K6668" s="6">
        <v>-97.011745000000005</v>
      </c>
      <c r="L6668" s="6" t="str">
        <f>HYPERLINK("https://maps.google.com/?q=16.939087,-97.011745000000005", "🔗 Ver Mapa")</f>
        <v>🔗 Ver Mapa</v>
      </c>
    </row>
    <row r="6669" spans="1:12" ht="43.5" x14ac:dyDescent="0.35">
      <c r="A6669" s="5" t="s">
        <v>98</v>
      </c>
      <c r="B6669" s="5" t="s">
        <v>99</v>
      </c>
      <c r="C6669" s="5" t="s">
        <v>1312</v>
      </c>
      <c r="D6669" s="5" t="s">
        <v>14</v>
      </c>
      <c r="E6669" s="5" t="s">
        <v>52</v>
      </c>
      <c r="F6669" s="5" t="s">
        <v>101</v>
      </c>
      <c r="G6669" s="5" t="s">
        <v>649</v>
      </c>
      <c r="H6669" s="5" t="s">
        <v>650</v>
      </c>
      <c r="I6669" s="5" t="s">
        <v>31</v>
      </c>
      <c r="J6669" s="5">
        <v>16.939109999999999</v>
      </c>
      <c r="K6669" s="5">
        <v>-97.010970999999998</v>
      </c>
      <c r="L6669" s="5" t="str">
        <f>HYPERLINK("https://maps.google.com/?q=16.93911,-97.010970999999998", "🔗 Ver Mapa")</f>
        <v>🔗 Ver Mapa</v>
      </c>
    </row>
    <row r="6670" spans="1:12" ht="43.5" x14ac:dyDescent="0.35">
      <c r="A6670" s="6" t="s">
        <v>98</v>
      </c>
      <c r="B6670" s="6" t="s">
        <v>99</v>
      </c>
      <c r="C6670" s="6" t="s">
        <v>1312</v>
      </c>
      <c r="D6670" s="6" t="s">
        <v>14</v>
      </c>
      <c r="E6670" s="6" t="s">
        <v>52</v>
      </c>
      <c r="F6670" s="6" t="s">
        <v>101</v>
      </c>
      <c r="G6670" s="6" t="s">
        <v>649</v>
      </c>
      <c r="H6670" s="6" t="s">
        <v>650</v>
      </c>
      <c r="I6670" s="6" t="s">
        <v>31</v>
      </c>
      <c r="J6670" s="6">
        <v>16.939150305704</v>
      </c>
      <c r="K6670" s="6">
        <v>-97.012604817335003</v>
      </c>
      <c r="L6670" s="6" t="str">
        <f>HYPERLINK("https://maps.google.com/?q=16.9391503057038,-97.012604817335202", "🔗 Ver Mapa")</f>
        <v>🔗 Ver Mapa</v>
      </c>
    </row>
    <row r="6671" spans="1:12" ht="43.5" x14ac:dyDescent="0.35">
      <c r="A6671" s="5" t="s">
        <v>98</v>
      </c>
      <c r="B6671" s="5" t="s">
        <v>99</v>
      </c>
      <c r="C6671" s="5" t="s">
        <v>1312</v>
      </c>
      <c r="D6671" s="5" t="s">
        <v>14</v>
      </c>
      <c r="E6671" s="5" t="s">
        <v>52</v>
      </c>
      <c r="F6671" s="5" t="s">
        <v>101</v>
      </c>
      <c r="G6671" s="5" t="s">
        <v>649</v>
      </c>
      <c r="H6671" s="5" t="s">
        <v>650</v>
      </c>
      <c r="I6671" s="5" t="s">
        <v>31</v>
      </c>
      <c r="J6671" s="5">
        <v>16.939252</v>
      </c>
      <c r="K6671" s="5">
        <v>-97.010789000000003</v>
      </c>
      <c r="L6671" s="5" t="str">
        <f>HYPERLINK("https://maps.google.com/?q=16.939252,-97.010789000000003", "🔗 Ver Mapa")</f>
        <v>🔗 Ver Mapa</v>
      </c>
    </row>
    <row r="6672" spans="1:12" ht="43.5" x14ac:dyDescent="0.35">
      <c r="A6672" s="6" t="s">
        <v>98</v>
      </c>
      <c r="B6672" s="6" t="s">
        <v>99</v>
      </c>
      <c r="C6672" s="6" t="s">
        <v>1312</v>
      </c>
      <c r="D6672" s="6" t="s">
        <v>14</v>
      </c>
      <c r="E6672" s="6" t="s">
        <v>52</v>
      </c>
      <c r="F6672" s="6" t="s">
        <v>101</v>
      </c>
      <c r="G6672" s="6" t="s">
        <v>649</v>
      </c>
      <c r="H6672" s="6" t="s">
        <v>650</v>
      </c>
      <c r="I6672" s="6" t="s">
        <v>31</v>
      </c>
      <c r="J6672" s="6">
        <v>16.939382999999999</v>
      </c>
      <c r="K6672" s="6">
        <v>-97.011065000000002</v>
      </c>
      <c r="L6672" s="6" t="str">
        <f>HYPERLINK("https://maps.google.com/?q=16.939383,-97.011065000000002", "🔗 Ver Mapa")</f>
        <v>🔗 Ver Mapa</v>
      </c>
    </row>
    <row r="6673" spans="1:12" ht="43.5" x14ac:dyDescent="0.35">
      <c r="A6673" s="5" t="s">
        <v>98</v>
      </c>
      <c r="B6673" s="5" t="s">
        <v>99</v>
      </c>
      <c r="C6673" s="5" t="s">
        <v>1312</v>
      </c>
      <c r="D6673" s="5" t="s">
        <v>14</v>
      </c>
      <c r="E6673" s="5" t="s">
        <v>52</v>
      </c>
      <c r="F6673" s="5" t="s">
        <v>101</v>
      </c>
      <c r="G6673" s="5" t="s">
        <v>649</v>
      </c>
      <c r="H6673" s="5" t="s">
        <v>650</v>
      </c>
      <c r="I6673" s="5" t="s">
        <v>31</v>
      </c>
      <c r="J6673" s="5">
        <v>16.939392999999999</v>
      </c>
      <c r="K6673" s="5">
        <v>-97.010821000000007</v>
      </c>
      <c r="L6673" s="5" t="str">
        <f>HYPERLINK("https://maps.google.com/?q=16.939393,-97.010821000000007", "🔗 Ver Mapa")</f>
        <v>🔗 Ver Mapa</v>
      </c>
    </row>
    <row r="6674" spans="1:12" ht="43.5" x14ac:dyDescent="0.35">
      <c r="A6674" s="6" t="s">
        <v>98</v>
      </c>
      <c r="B6674" s="6" t="s">
        <v>99</v>
      </c>
      <c r="C6674" s="6" t="s">
        <v>1312</v>
      </c>
      <c r="D6674" s="6" t="s">
        <v>14</v>
      </c>
      <c r="E6674" s="6" t="s">
        <v>52</v>
      </c>
      <c r="F6674" s="6" t="s">
        <v>101</v>
      </c>
      <c r="G6674" s="6" t="s">
        <v>649</v>
      </c>
      <c r="H6674" s="6" t="s">
        <v>650</v>
      </c>
      <c r="I6674" s="6" t="s">
        <v>31</v>
      </c>
      <c r="J6674" s="6">
        <v>16.939423999999999</v>
      </c>
      <c r="K6674" s="6">
        <v>-97.009677999999994</v>
      </c>
      <c r="L6674" s="6" t="str">
        <f>HYPERLINK("https://maps.google.com/?q=16.939424,-97.009677999999994", "🔗 Ver Mapa")</f>
        <v>🔗 Ver Mapa</v>
      </c>
    </row>
    <row r="6675" spans="1:12" ht="43.5" x14ac:dyDescent="0.35">
      <c r="A6675" s="5" t="s">
        <v>98</v>
      </c>
      <c r="B6675" s="5" t="s">
        <v>99</v>
      </c>
      <c r="C6675" s="5" t="s">
        <v>1312</v>
      </c>
      <c r="D6675" s="5" t="s">
        <v>14</v>
      </c>
      <c r="E6675" s="5" t="s">
        <v>52</v>
      </c>
      <c r="F6675" s="5" t="s">
        <v>101</v>
      </c>
      <c r="G6675" s="5" t="s">
        <v>649</v>
      </c>
      <c r="H6675" s="5" t="s">
        <v>650</v>
      </c>
      <c r="I6675" s="5" t="s">
        <v>31</v>
      </c>
      <c r="J6675" s="5">
        <v>16.941468</v>
      </c>
      <c r="K6675" s="5">
        <v>-97.014095999999995</v>
      </c>
      <c r="L6675" s="5" t="str">
        <f>HYPERLINK("https://maps.google.com/?q=16.941468,-97.014095999999995", "🔗 Ver Mapa")</f>
        <v>🔗 Ver Mapa</v>
      </c>
    </row>
    <row r="6676" spans="1:12" ht="43.5" x14ac:dyDescent="0.35">
      <c r="A6676" s="6" t="s">
        <v>98</v>
      </c>
      <c r="B6676" s="6" t="s">
        <v>99</v>
      </c>
      <c r="C6676" s="6" t="s">
        <v>1312</v>
      </c>
      <c r="D6676" s="6" t="s">
        <v>14</v>
      </c>
      <c r="E6676" s="6" t="s">
        <v>52</v>
      </c>
      <c r="F6676" s="6" t="s">
        <v>101</v>
      </c>
      <c r="G6676" s="6" t="s">
        <v>649</v>
      </c>
      <c r="H6676" s="6" t="s">
        <v>650</v>
      </c>
      <c r="I6676" s="6" t="s">
        <v>31</v>
      </c>
      <c r="J6676" s="6">
        <v>16.9421</v>
      </c>
      <c r="K6676" s="6">
        <v>-97.014035000000007</v>
      </c>
      <c r="L6676" s="6" t="str">
        <f>HYPERLINK("https://maps.google.com/?q=16.9421,-97.014035000000007", "🔗 Ver Mapa")</f>
        <v>🔗 Ver Mapa</v>
      </c>
    </row>
    <row r="6677" spans="1:12" ht="43.5" x14ac:dyDescent="0.35">
      <c r="A6677" s="5" t="s">
        <v>98</v>
      </c>
      <c r="B6677" s="5" t="s">
        <v>99</v>
      </c>
      <c r="C6677" s="5" t="s">
        <v>1312</v>
      </c>
      <c r="D6677" s="5" t="s">
        <v>14</v>
      </c>
      <c r="E6677" s="5" t="s">
        <v>52</v>
      </c>
      <c r="F6677" s="5" t="s">
        <v>101</v>
      </c>
      <c r="G6677" s="5" t="s">
        <v>649</v>
      </c>
      <c r="H6677" s="5" t="s">
        <v>650</v>
      </c>
      <c r="I6677" s="5" t="s">
        <v>31</v>
      </c>
      <c r="J6677" s="5">
        <v>16.942882999999998</v>
      </c>
      <c r="K6677" s="5">
        <v>-97.012991999999997</v>
      </c>
      <c r="L6677" s="5" t="str">
        <f>HYPERLINK("https://maps.google.com/?q=16.942883,-97.012991999999997", "🔗 Ver Mapa")</f>
        <v>🔗 Ver Mapa</v>
      </c>
    </row>
    <row r="6678" spans="1:12" ht="43.5" x14ac:dyDescent="0.35">
      <c r="A6678" s="6" t="s">
        <v>98</v>
      </c>
      <c r="B6678" s="6" t="s">
        <v>99</v>
      </c>
      <c r="C6678" s="6" t="s">
        <v>1312</v>
      </c>
      <c r="D6678" s="6" t="s">
        <v>14</v>
      </c>
      <c r="E6678" s="6" t="s">
        <v>52</v>
      </c>
      <c r="F6678" s="6" t="s">
        <v>101</v>
      </c>
      <c r="G6678" s="6" t="s">
        <v>649</v>
      </c>
      <c r="H6678" s="6" t="s">
        <v>650</v>
      </c>
      <c r="I6678" s="6" t="s">
        <v>31</v>
      </c>
      <c r="J6678" s="6">
        <v>16.942989528965999</v>
      </c>
      <c r="K6678" s="6">
        <v>-97.013264434359002</v>
      </c>
      <c r="L6678" s="6" t="str">
        <f>HYPERLINK("https://maps.google.com/?q=16.9429895289657,-97.013264434358604", "🔗 Ver Mapa")</f>
        <v>🔗 Ver Mapa</v>
      </c>
    </row>
    <row r="6679" spans="1:12" ht="43.5" x14ac:dyDescent="0.35">
      <c r="A6679" s="5" t="s">
        <v>98</v>
      </c>
      <c r="B6679" s="5" t="s">
        <v>99</v>
      </c>
      <c r="C6679" s="5" t="s">
        <v>1313</v>
      </c>
      <c r="D6679" s="5" t="s">
        <v>14</v>
      </c>
      <c r="E6679" s="5" t="s">
        <v>52</v>
      </c>
      <c r="F6679" s="5" t="s">
        <v>101</v>
      </c>
      <c r="G6679" s="5" t="s">
        <v>649</v>
      </c>
      <c r="H6679" s="5" t="s">
        <v>1314</v>
      </c>
      <c r="I6679" s="5" t="s">
        <v>31</v>
      </c>
      <c r="J6679" s="5">
        <v>16.937234499999999</v>
      </c>
      <c r="K6679" s="5">
        <v>-96.972281699999996</v>
      </c>
      <c r="L6679" s="5" t="str">
        <f>HYPERLINK("https://maps.google.com/?q=16.9372345,-96.972281699999996", "🔗 Ver Mapa")</f>
        <v>🔗 Ver Mapa</v>
      </c>
    </row>
    <row r="6680" spans="1:12" ht="43.5" x14ac:dyDescent="0.35">
      <c r="A6680" s="6" t="s">
        <v>98</v>
      </c>
      <c r="B6680" s="6" t="s">
        <v>99</v>
      </c>
      <c r="C6680" s="6" t="s">
        <v>1313</v>
      </c>
      <c r="D6680" s="6" t="s">
        <v>14</v>
      </c>
      <c r="E6680" s="6" t="s">
        <v>52</v>
      </c>
      <c r="F6680" s="6" t="s">
        <v>101</v>
      </c>
      <c r="G6680" s="6" t="s">
        <v>649</v>
      </c>
      <c r="H6680" s="6" t="s">
        <v>1314</v>
      </c>
      <c r="I6680" s="6" t="s">
        <v>31</v>
      </c>
      <c r="J6680" s="6">
        <v>16.937256000000001</v>
      </c>
      <c r="K6680" s="6">
        <v>-96.972436999999999</v>
      </c>
      <c r="L6680" s="6" t="str">
        <f>HYPERLINK("https://maps.google.com/?q=16.937256,-96.972436999999999", "🔗 Ver Mapa")</f>
        <v>🔗 Ver Mapa</v>
      </c>
    </row>
    <row r="6681" spans="1:12" ht="43.5" x14ac:dyDescent="0.35">
      <c r="A6681" s="5" t="s">
        <v>98</v>
      </c>
      <c r="B6681" s="5" t="s">
        <v>99</v>
      </c>
      <c r="C6681" s="5" t="s">
        <v>1313</v>
      </c>
      <c r="D6681" s="5" t="s">
        <v>14</v>
      </c>
      <c r="E6681" s="5" t="s">
        <v>52</v>
      </c>
      <c r="F6681" s="5" t="s">
        <v>101</v>
      </c>
      <c r="G6681" s="5" t="s">
        <v>649</v>
      </c>
      <c r="H6681" s="5" t="s">
        <v>1314</v>
      </c>
      <c r="I6681" s="5" t="s">
        <v>31</v>
      </c>
      <c r="J6681" s="5">
        <v>16.9372817</v>
      </c>
      <c r="K6681" s="5">
        <v>-96.9723817</v>
      </c>
      <c r="L6681" s="5" t="str">
        <f>HYPERLINK("https://maps.google.com/?q=16.9372817,-96.9723817", "🔗 Ver Mapa")</f>
        <v>🔗 Ver Mapa</v>
      </c>
    </row>
    <row r="6682" spans="1:12" ht="43.5" x14ac:dyDescent="0.35">
      <c r="A6682" s="6" t="s">
        <v>98</v>
      </c>
      <c r="B6682" s="6" t="s">
        <v>99</v>
      </c>
      <c r="C6682" s="6" t="s">
        <v>1313</v>
      </c>
      <c r="D6682" s="6" t="s">
        <v>14</v>
      </c>
      <c r="E6682" s="6" t="s">
        <v>52</v>
      </c>
      <c r="F6682" s="6" t="s">
        <v>101</v>
      </c>
      <c r="G6682" s="6" t="s">
        <v>649</v>
      </c>
      <c r="H6682" s="6" t="s">
        <v>1314</v>
      </c>
      <c r="I6682" s="6" t="s">
        <v>31</v>
      </c>
      <c r="J6682" s="6">
        <v>16.937302697753999</v>
      </c>
      <c r="K6682" s="6">
        <v>-96.972519402162007</v>
      </c>
      <c r="L6682" s="6" t="str">
        <f>HYPERLINK("https://maps.google.com/?q=16.937302697754,-96.972519402161794", "🔗 Ver Mapa")</f>
        <v>🔗 Ver Mapa</v>
      </c>
    </row>
    <row r="6683" spans="1:12" ht="43.5" x14ac:dyDescent="0.35">
      <c r="A6683" s="5" t="s">
        <v>98</v>
      </c>
      <c r="B6683" s="5" t="s">
        <v>99</v>
      </c>
      <c r="C6683" s="5" t="s">
        <v>1313</v>
      </c>
      <c r="D6683" s="5" t="s">
        <v>14</v>
      </c>
      <c r="E6683" s="5" t="s">
        <v>52</v>
      </c>
      <c r="F6683" s="5" t="s">
        <v>101</v>
      </c>
      <c r="G6683" s="5" t="s">
        <v>649</v>
      </c>
      <c r="H6683" s="5" t="s">
        <v>1314</v>
      </c>
      <c r="I6683" s="5" t="s">
        <v>31</v>
      </c>
      <c r="J6683" s="5">
        <v>16.93732322468</v>
      </c>
      <c r="K6683" s="5">
        <v>-96.972168032780999</v>
      </c>
      <c r="L6683" s="5" t="str">
        <f>HYPERLINK("https://maps.google.com/?q=16.9373232246796,-96.972168032780999", "🔗 Ver Mapa")</f>
        <v>🔗 Ver Mapa</v>
      </c>
    </row>
    <row r="6684" spans="1:12" ht="43.5" x14ac:dyDescent="0.35">
      <c r="A6684" s="6" t="s">
        <v>98</v>
      </c>
      <c r="B6684" s="6" t="s">
        <v>99</v>
      </c>
      <c r="C6684" s="6" t="s">
        <v>1313</v>
      </c>
      <c r="D6684" s="6" t="s">
        <v>14</v>
      </c>
      <c r="E6684" s="6" t="s">
        <v>52</v>
      </c>
      <c r="F6684" s="6" t="s">
        <v>101</v>
      </c>
      <c r="G6684" s="6" t="s">
        <v>649</v>
      </c>
      <c r="H6684" s="6" t="s">
        <v>1314</v>
      </c>
      <c r="I6684" s="6" t="s">
        <v>31</v>
      </c>
      <c r="J6684" s="6">
        <v>16.937596394277001</v>
      </c>
      <c r="K6684" s="6">
        <v>-96.973334443859002</v>
      </c>
      <c r="L6684" s="6" t="str">
        <f>HYPERLINK("https://maps.google.com/?q=16.9375963942768,-96.9733344438595", "🔗 Ver Mapa")</f>
        <v>🔗 Ver Mapa</v>
      </c>
    </row>
    <row r="6685" spans="1:12" ht="43.5" x14ac:dyDescent="0.35">
      <c r="A6685" s="5" t="s">
        <v>98</v>
      </c>
      <c r="B6685" s="5" t="s">
        <v>99</v>
      </c>
      <c r="C6685" s="5" t="s">
        <v>1313</v>
      </c>
      <c r="D6685" s="5" t="s">
        <v>14</v>
      </c>
      <c r="E6685" s="5" t="s">
        <v>52</v>
      </c>
      <c r="F6685" s="5" t="s">
        <v>101</v>
      </c>
      <c r="G6685" s="5" t="s">
        <v>649</v>
      </c>
      <c r="H6685" s="5" t="s">
        <v>1314</v>
      </c>
      <c r="I6685" s="5" t="s">
        <v>31</v>
      </c>
      <c r="J6685" s="5">
        <v>16.937697766345</v>
      </c>
      <c r="K6685" s="5">
        <v>-96.973578924695005</v>
      </c>
      <c r="L6685" s="5" t="str">
        <f>HYPERLINK("https://maps.google.com/?q=16.937697766345,-96.973578924694905", "🔗 Ver Mapa")</f>
        <v>🔗 Ver Mapa</v>
      </c>
    </row>
    <row r="6686" spans="1:12" ht="43.5" x14ac:dyDescent="0.35">
      <c r="A6686" s="6" t="s">
        <v>98</v>
      </c>
      <c r="B6686" s="6" t="s">
        <v>99</v>
      </c>
      <c r="C6686" s="6" t="s">
        <v>1313</v>
      </c>
      <c r="D6686" s="6" t="s">
        <v>14</v>
      </c>
      <c r="E6686" s="6" t="s">
        <v>52</v>
      </c>
      <c r="F6686" s="6" t="s">
        <v>101</v>
      </c>
      <c r="G6686" s="6" t="s">
        <v>649</v>
      </c>
      <c r="H6686" s="6" t="s">
        <v>1314</v>
      </c>
      <c r="I6686" s="6" t="s">
        <v>31</v>
      </c>
      <c r="J6686" s="6">
        <v>16.937729649301001</v>
      </c>
      <c r="K6686" s="6">
        <v>-96.973706792580003</v>
      </c>
      <c r="L6686" s="6" t="str">
        <f>HYPERLINK("https://maps.google.com/?q=16.9377296493007,-96.973706792579605", "🔗 Ver Mapa")</f>
        <v>🔗 Ver Mapa</v>
      </c>
    </row>
    <row r="6687" spans="1:12" ht="43.5" x14ac:dyDescent="0.35">
      <c r="A6687" s="5" t="s">
        <v>98</v>
      </c>
      <c r="B6687" s="5" t="s">
        <v>99</v>
      </c>
      <c r="C6687" s="5" t="s">
        <v>1313</v>
      </c>
      <c r="D6687" s="5" t="s">
        <v>14</v>
      </c>
      <c r="E6687" s="5" t="s">
        <v>52</v>
      </c>
      <c r="F6687" s="5" t="s">
        <v>101</v>
      </c>
      <c r="G6687" s="5" t="s">
        <v>649</v>
      </c>
      <c r="H6687" s="5" t="s">
        <v>1314</v>
      </c>
      <c r="I6687" s="5" t="s">
        <v>31</v>
      </c>
      <c r="J6687" s="5">
        <v>16.937895999999999</v>
      </c>
      <c r="K6687" s="5">
        <v>-96.966295799999997</v>
      </c>
      <c r="L6687" s="5" t="str">
        <f>HYPERLINK("https://maps.google.com/?q=16.937896,-96.966295799999997", "🔗 Ver Mapa")</f>
        <v>🔗 Ver Mapa</v>
      </c>
    </row>
    <row r="6688" spans="1:12" ht="43.5" x14ac:dyDescent="0.35">
      <c r="A6688" s="6" t="s">
        <v>98</v>
      </c>
      <c r="B6688" s="6" t="s">
        <v>99</v>
      </c>
      <c r="C6688" s="6" t="s">
        <v>1313</v>
      </c>
      <c r="D6688" s="6" t="s">
        <v>14</v>
      </c>
      <c r="E6688" s="6" t="s">
        <v>52</v>
      </c>
      <c r="F6688" s="6" t="s">
        <v>101</v>
      </c>
      <c r="G6688" s="6" t="s">
        <v>649</v>
      </c>
      <c r="H6688" s="6" t="s">
        <v>1314</v>
      </c>
      <c r="I6688" s="6" t="s">
        <v>31</v>
      </c>
      <c r="J6688" s="6">
        <v>16.937907953850999</v>
      </c>
      <c r="K6688" s="6">
        <v>-96.970012796581997</v>
      </c>
      <c r="L6688" s="6" t="str">
        <f>HYPERLINK("https://maps.google.com/?q=16.9379079538509,-96.970012796581898", "🔗 Ver Mapa")</f>
        <v>🔗 Ver Mapa</v>
      </c>
    </row>
    <row r="6689" spans="1:12" ht="43.5" x14ac:dyDescent="0.35">
      <c r="A6689" s="5" t="s">
        <v>98</v>
      </c>
      <c r="B6689" s="5" t="s">
        <v>99</v>
      </c>
      <c r="C6689" s="5" t="s">
        <v>1313</v>
      </c>
      <c r="D6689" s="5" t="s">
        <v>14</v>
      </c>
      <c r="E6689" s="5" t="s">
        <v>52</v>
      </c>
      <c r="F6689" s="5" t="s">
        <v>101</v>
      </c>
      <c r="G6689" s="5" t="s">
        <v>649</v>
      </c>
      <c r="H6689" s="5" t="s">
        <v>1314</v>
      </c>
      <c r="I6689" s="5" t="s">
        <v>31</v>
      </c>
      <c r="J6689" s="5">
        <v>16.938047775765</v>
      </c>
      <c r="K6689" s="5">
        <v>-96.978155934441006</v>
      </c>
      <c r="L6689" s="5" t="str">
        <f>HYPERLINK("https://maps.google.com/?q=16.9380477757648,-96.9781559344408", "🔗 Ver Mapa")</f>
        <v>🔗 Ver Mapa</v>
      </c>
    </row>
    <row r="6690" spans="1:12" ht="43.5" x14ac:dyDescent="0.35">
      <c r="A6690" s="6" t="s">
        <v>98</v>
      </c>
      <c r="B6690" s="6" t="s">
        <v>99</v>
      </c>
      <c r="C6690" s="6" t="s">
        <v>1313</v>
      </c>
      <c r="D6690" s="6" t="s">
        <v>14</v>
      </c>
      <c r="E6690" s="6" t="s">
        <v>52</v>
      </c>
      <c r="F6690" s="6" t="s">
        <v>101</v>
      </c>
      <c r="G6690" s="6" t="s">
        <v>649</v>
      </c>
      <c r="H6690" s="6" t="s">
        <v>1314</v>
      </c>
      <c r="I6690" s="6" t="s">
        <v>31</v>
      </c>
      <c r="J6690" s="6">
        <v>16.938096300000002</v>
      </c>
      <c r="K6690" s="6">
        <v>-96.966263299999994</v>
      </c>
      <c r="L6690" s="6" t="str">
        <f>HYPERLINK("https://maps.google.com/?q=16.9380963,-96.966263299999994", "🔗 Ver Mapa")</f>
        <v>🔗 Ver Mapa</v>
      </c>
    </row>
    <row r="6691" spans="1:12" ht="43.5" x14ac:dyDescent="0.35">
      <c r="A6691" s="5" t="s">
        <v>98</v>
      </c>
      <c r="B6691" s="5" t="s">
        <v>99</v>
      </c>
      <c r="C6691" s="5" t="s">
        <v>1313</v>
      </c>
      <c r="D6691" s="5" t="s">
        <v>14</v>
      </c>
      <c r="E6691" s="5" t="s">
        <v>52</v>
      </c>
      <c r="F6691" s="5" t="s">
        <v>101</v>
      </c>
      <c r="G6691" s="5" t="s">
        <v>649</v>
      </c>
      <c r="H6691" s="5" t="s">
        <v>1314</v>
      </c>
      <c r="I6691" s="5" t="s">
        <v>31</v>
      </c>
      <c r="J6691" s="5">
        <v>16.938168900000001</v>
      </c>
      <c r="K6691" s="5">
        <v>-96.966289900000007</v>
      </c>
      <c r="L6691" s="5" t="str">
        <f>HYPERLINK("https://maps.google.com/?q=16.9381689,-96.966289900000007", "🔗 Ver Mapa")</f>
        <v>🔗 Ver Mapa</v>
      </c>
    </row>
    <row r="6692" spans="1:12" ht="43.5" x14ac:dyDescent="0.35">
      <c r="A6692" s="6" t="s">
        <v>98</v>
      </c>
      <c r="B6692" s="6" t="s">
        <v>99</v>
      </c>
      <c r="C6692" s="6" t="s">
        <v>1313</v>
      </c>
      <c r="D6692" s="6" t="s">
        <v>14</v>
      </c>
      <c r="E6692" s="6" t="s">
        <v>52</v>
      </c>
      <c r="F6692" s="6" t="s">
        <v>101</v>
      </c>
      <c r="G6692" s="6" t="s">
        <v>649</v>
      </c>
      <c r="H6692" s="6" t="s">
        <v>1314</v>
      </c>
      <c r="I6692" s="6" t="s">
        <v>31</v>
      </c>
      <c r="J6692" s="6">
        <v>16.938348639373999</v>
      </c>
      <c r="K6692" s="6">
        <v>-96.972051127086004</v>
      </c>
      <c r="L6692" s="6" t="str">
        <f>HYPERLINK("https://maps.google.com/?q=16.9383486393739,-96.972051127086104", "🔗 Ver Mapa")</f>
        <v>🔗 Ver Mapa</v>
      </c>
    </row>
    <row r="6693" spans="1:12" ht="43.5" x14ac:dyDescent="0.35">
      <c r="A6693" s="5" t="s">
        <v>98</v>
      </c>
      <c r="B6693" s="5" t="s">
        <v>99</v>
      </c>
      <c r="C6693" s="5" t="s">
        <v>1313</v>
      </c>
      <c r="D6693" s="5" t="s">
        <v>14</v>
      </c>
      <c r="E6693" s="5" t="s">
        <v>52</v>
      </c>
      <c r="F6693" s="5" t="s">
        <v>101</v>
      </c>
      <c r="G6693" s="5" t="s">
        <v>649</v>
      </c>
      <c r="H6693" s="5" t="s">
        <v>1314</v>
      </c>
      <c r="I6693" s="5" t="s">
        <v>31</v>
      </c>
      <c r="J6693" s="5">
        <v>16.938362397359001</v>
      </c>
      <c r="K6693" s="5">
        <v>-96.966425423282004</v>
      </c>
      <c r="L6693" s="5" t="str">
        <f>HYPERLINK("https://maps.google.com/?q=16.9383623973586,-96.966425423281905", "🔗 Ver Mapa")</f>
        <v>🔗 Ver Mapa</v>
      </c>
    </row>
    <row r="6694" spans="1:12" ht="43.5" x14ac:dyDescent="0.35">
      <c r="A6694" s="6" t="s">
        <v>98</v>
      </c>
      <c r="B6694" s="6" t="s">
        <v>99</v>
      </c>
      <c r="C6694" s="6" t="s">
        <v>1313</v>
      </c>
      <c r="D6694" s="6" t="s">
        <v>14</v>
      </c>
      <c r="E6694" s="6" t="s">
        <v>52</v>
      </c>
      <c r="F6694" s="6" t="s">
        <v>101</v>
      </c>
      <c r="G6694" s="6" t="s">
        <v>649</v>
      </c>
      <c r="H6694" s="6" t="s">
        <v>1314</v>
      </c>
      <c r="I6694" s="6" t="s">
        <v>31</v>
      </c>
      <c r="J6694" s="6">
        <v>16.938770099999999</v>
      </c>
      <c r="K6694" s="6">
        <v>-96.966333399999996</v>
      </c>
      <c r="L6694" s="6" t="str">
        <f>HYPERLINK("https://maps.google.com/?q=16.9387701,-96.966333399999996", "🔗 Ver Mapa")</f>
        <v>🔗 Ver Mapa</v>
      </c>
    </row>
    <row r="6695" spans="1:12" ht="43.5" x14ac:dyDescent="0.35">
      <c r="A6695" s="5" t="s">
        <v>98</v>
      </c>
      <c r="B6695" s="5" t="s">
        <v>99</v>
      </c>
      <c r="C6695" s="5" t="s">
        <v>1313</v>
      </c>
      <c r="D6695" s="5" t="s">
        <v>14</v>
      </c>
      <c r="E6695" s="5" t="s">
        <v>52</v>
      </c>
      <c r="F6695" s="5" t="s">
        <v>101</v>
      </c>
      <c r="G6695" s="5" t="s">
        <v>649</v>
      </c>
      <c r="H6695" s="5" t="s">
        <v>1314</v>
      </c>
      <c r="I6695" s="5" t="s">
        <v>31</v>
      </c>
      <c r="J6695" s="5">
        <v>16.938842210954999</v>
      </c>
      <c r="K6695" s="5">
        <v>-96.968809907094993</v>
      </c>
      <c r="L6695" s="5" t="str">
        <f>HYPERLINK("https://maps.google.com/?q=16.9388422109549,-96.968809907095405", "🔗 Ver Mapa")</f>
        <v>🔗 Ver Mapa</v>
      </c>
    </row>
    <row r="6696" spans="1:12" ht="43.5" x14ac:dyDescent="0.35">
      <c r="A6696" s="6" t="s">
        <v>98</v>
      </c>
      <c r="B6696" s="6" t="s">
        <v>99</v>
      </c>
      <c r="C6696" s="6" t="s">
        <v>1313</v>
      </c>
      <c r="D6696" s="6" t="s">
        <v>14</v>
      </c>
      <c r="E6696" s="6" t="s">
        <v>52</v>
      </c>
      <c r="F6696" s="6" t="s">
        <v>101</v>
      </c>
      <c r="G6696" s="6" t="s">
        <v>649</v>
      </c>
      <c r="H6696" s="6" t="s">
        <v>1314</v>
      </c>
      <c r="I6696" s="6" t="s">
        <v>31</v>
      </c>
      <c r="J6696" s="6">
        <v>16.9388501</v>
      </c>
      <c r="K6696" s="6">
        <v>-96.966689500000001</v>
      </c>
      <c r="L6696" s="6" t="str">
        <f>HYPERLINK("https://maps.google.com/?q=16.9388501,-96.966689500000001", "🔗 Ver Mapa")</f>
        <v>🔗 Ver Mapa</v>
      </c>
    </row>
    <row r="6697" spans="1:12" ht="43.5" x14ac:dyDescent="0.35">
      <c r="A6697" s="5" t="s">
        <v>98</v>
      </c>
      <c r="B6697" s="5" t="s">
        <v>99</v>
      </c>
      <c r="C6697" s="5" t="s">
        <v>1313</v>
      </c>
      <c r="D6697" s="5" t="s">
        <v>14</v>
      </c>
      <c r="E6697" s="5" t="s">
        <v>52</v>
      </c>
      <c r="F6697" s="5" t="s">
        <v>101</v>
      </c>
      <c r="G6697" s="5" t="s">
        <v>649</v>
      </c>
      <c r="H6697" s="5" t="s">
        <v>1314</v>
      </c>
      <c r="I6697" s="5" t="s">
        <v>31</v>
      </c>
      <c r="J6697" s="5">
        <v>16.938852474333999</v>
      </c>
      <c r="K6697" s="5">
        <v>-96.967541222232001</v>
      </c>
      <c r="L6697" s="5" t="str">
        <f>HYPERLINK("https://maps.google.com/?q=16.9388524743339,-96.967541222231702", "🔗 Ver Mapa")</f>
        <v>🔗 Ver Mapa</v>
      </c>
    </row>
    <row r="6698" spans="1:12" ht="43.5" x14ac:dyDescent="0.35">
      <c r="A6698" s="6" t="s">
        <v>98</v>
      </c>
      <c r="B6698" s="6" t="s">
        <v>99</v>
      </c>
      <c r="C6698" s="6" t="s">
        <v>1313</v>
      </c>
      <c r="D6698" s="6" t="s">
        <v>14</v>
      </c>
      <c r="E6698" s="6" t="s">
        <v>52</v>
      </c>
      <c r="F6698" s="6" t="s">
        <v>101</v>
      </c>
      <c r="G6698" s="6" t="s">
        <v>649</v>
      </c>
      <c r="H6698" s="6" t="s">
        <v>1314</v>
      </c>
      <c r="I6698" s="6" t="s">
        <v>31</v>
      </c>
      <c r="J6698" s="6">
        <v>16.938857606022999</v>
      </c>
      <c r="K6698" s="6">
        <v>-96.966264490740997</v>
      </c>
      <c r="L6698" s="6" t="str">
        <f>HYPERLINK("https://maps.google.com/?q=16.9388576060232,-96.966264490740997", "🔗 Ver Mapa")</f>
        <v>🔗 Ver Mapa</v>
      </c>
    </row>
    <row r="6699" spans="1:12" ht="43.5" x14ac:dyDescent="0.35">
      <c r="A6699" s="5" t="s">
        <v>98</v>
      </c>
      <c r="B6699" s="5" t="s">
        <v>99</v>
      </c>
      <c r="C6699" s="5" t="s">
        <v>1313</v>
      </c>
      <c r="D6699" s="5" t="s">
        <v>14</v>
      </c>
      <c r="E6699" s="5" t="s">
        <v>52</v>
      </c>
      <c r="F6699" s="5" t="s">
        <v>101</v>
      </c>
      <c r="G6699" s="5" t="s">
        <v>649</v>
      </c>
      <c r="H6699" s="5" t="s">
        <v>1314</v>
      </c>
      <c r="I6699" s="5" t="s">
        <v>31</v>
      </c>
      <c r="J6699" s="5">
        <v>16.938897499999999</v>
      </c>
      <c r="K6699" s="5">
        <v>-96.967043200000006</v>
      </c>
      <c r="L6699" s="5" t="str">
        <f>HYPERLINK("https://maps.google.com/?q=16.9388975,-96.967043200000006", "🔗 Ver Mapa")</f>
        <v>🔗 Ver Mapa</v>
      </c>
    </row>
    <row r="6700" spans="1:12" ht="43.5" x14ac:dyDescent="0.35">
      <c r="A6700" s="6" t="s">
        <v>98</v>
      </c>
      <c r="B6700" s="6" t="s">
        <v>99</v>
      </c>
      <c r="C6700" s="6" t="s">
        <v>1313</v>
      </c>
      <c r="D6700" s="6" t="s">
        <v>14</v>
      </c>
      <c r="E6700" s="6" t="s">
        <v>52</v>
      </c>
      <c r="F6700" s="6" t="s">
        <v>101</v>
      </c>
      <c r="G6700" s="6" t="s">
        <v>649</v>
      </c>
      <c r="H6700" s="6" t="s">
        <v>1314</v>
      </c>
      <c r="I6700" s="6" t="s">
        <v>31</v>
      </c>
      <c r="J6700" s="6">
        <v>16.938945</v>
      </c>
      <c r="K6700" s="6">
        <v>-96.966828899999996</v>
      </c>
      <c r="L6700" s="6" t="str">
        <f>HYPERLINK("https://maps.google.com/?q=16.938945,-96.966828899999996", "🔗 Ver Mapa")</f>
        <v>🔗 Ver Mapa</v>
      </c>
    </row>
    <row r="6701" spans="1:12" ht="43.5" x14ac:dyDescent="0.35">
      <c r="A6701" s="5" t="s">
        <v>98</v>
      </c>
      <c r="B6701" s="5" t="s">
        <v>99</v>
      </c>
      <c r="C6701" s="5" t="s">
        <v>1313</v>
      </c>
      <c r="D6701" s="5" t="s">
        <v>14</v>
      </c>
      <c r="E6701" s="5" t="s">
        <v>52</v>
      </c>
      <c r="F6701" s="5" t="s">
        <v>101</v>
      </c>
      <c r="G6701" s="5" t="s">
        <v>649</v>
      </c>
      <c r="H6701" s="5" t="s">
        <v>1314</v>
      </c>
      <c r="I6701" s="5" t="s">
        <v>31</v>
      </c>
      <c r="J6701" s="5">
        <v>16.938988464053999</v>
      </c>
      <c r="K6701" s="5">
        <v>-96.966709737437</v>
      </c>
      <c r="L6701" s="5" t="str">
        <f>HYPERLINK("https://maps.google.com/?q=16.9389884640537,-96.966709737437398", "🔗 Ver Mapa")</f>
        <v>🔗 Ver Mapa</v>
      </c>
    </row>
    <row r="6702" spans="1:12" ht="43.5" x14ac:dyDescent="0.35">
      <c r="A6702" s="6" t="s">
        <v>98</v>
      </c>
      <c r="B6702" s="6" t="s">
        <v>99</v>
      </c>
      <c r="C6702" s="6" t="s">
        <v>1313</v>
      </c>
      <c r="D6702" s="6" t="s">
        <v>14</v>
      </c>
      <c r="E6702" s="6" t="s">
        <v>52</v>
      </c>
      <c r="F6702" s="6" t="s">
        <v>101</v>
      </c>
      <c r="G6702" s="6" t="s">
        <v>649</v>
      </c>
      <c r="H6702" s="6" t="s">
        <v>1314</v>
      </c>
      <c r="I6702" s="6" t="s">
        <v>31</v>
      </c>
      <c r="J6702" s="6">
        <v>16.939039780902998</v>
      </c>
      <c r="K6702" s="6">
        <v>-96.967104022162005</v>
      </c>
      <c r="L6702" s="6" t="str">
        <f>HYPERLINK("https://maps.google.com/?q=16.9390397809035,-96.967104022162403", "🔗 Ver Mapa")</f>
        <v>🔗 Ver Mapa</v>
      </c>
    </row>
    <row r="6703" spans="1:12" ht="43.5" x14ac:dyDescent="0.35">
      <c r="A6703" s="5" t="s">
        <v>98</v>
      </c>
      <c r="B6703" s="5" t="s">
        <v>99</v>
      </c>
      <c r="C6703" s="5" t="s">
        <v>1313</v>
      </c>
      <c r="D6703" s="5" t="s">
        <v>14</v>
      </c>
      <c r="E6703" s="5" t="s">
        <v>52</v>
      </c>
      <c r="F6703" s="5" t="s">
        <v>101</v>
      </c>
      <c r="G6703" s="5" t="s">
        <v>649</v>
      </c>
      <c r="H6703" s="5" t="s">
        <v>1314</v>
      </c>
      <c r="I6703" s="5" t="s">
        <v>31</v>
      </c>
      <c r="J6703" s="5">
        <v>16.939057699999999</v>
      </c>
      <c r="K6703" s="5">
        <v>-96.966227700000005</v>
      </c>
      <c r="L6703" s="5" t="str">
        <f>HYPERLINK("https://maps.google.com/?q=16.9390577,-96.966227700000005", "🔗 Ver Mapa")</f>
        <v>🔗 Ver Mapa</v>
      </c>
    </row>
    <row r="6704" spans="1:12" ht="43.5" x14ac:dyDescent="0.35">
      <c r="A6704" s="6" t="s">
        <v>98</v>
      </c>
      <c r="B6704" s="6" t="s">
        <v>99</v>
      </c>
      <c r="C6704" s="6" t="s">
        <v>1313</v>
      </c>
      <c r="D6704" s="6" t="s">
        <v>14</v>
      </c>
      <c r="E6704" s="6" t="s">
        <v>52</v>
      </c>
      <c r="F6704" s="6" t="s">
        <v>101</v>
      </c>
      <c r="G6704" s="6" t="s">
        <v>649</v>
      </c>
      <c r="H6704" s="6" t="s">
        <v>1314</v>
      </c>
      <c r="I6704" s="6" t="s">
        <v>31</v>
      </c>
      <c r="J6704" s="6">
        <v>16.939058961078</v>
      </c>
      <c r="K6704" s="6">
        <v>-96.966731643551</v>
      </c>
      <c r="L6704" s="6" t="str">
        <f>HYPERLINK("https://maps.google.com/?q=16.9390589610783,-96.966731643551199", "🔗 Ver Mapa")</f>
        <v>🔗 Ver Mapa</v>
      </c>
    </row>
    <row r="6705" spans="1:12" ht="43.5" x14ac:dyDescent="0.35">
      <c r="A6705" s="5" t="s">
        <v>98</v>
      </c>
      <c r="B6705" s="5" t="s">
        <v>99</v>
      </c>
      <c r="C6705" s="5" t="s">
        <v>1313</v>
      </c>
      <c r="D6705" s="5" t="s">
        <v>14</v>
      </c>
      <c r="E6705" s="5" t="s">
        <v>52</v>
      </c>
      <c r="F6705" s="5" t="s">
        <v>101</v>
      </c>
      <c r="G6705" s="5" t="s">
        <v>649</v>
      </c>
      <c r="H6705" s="5" t="s">
        <v>1314</v>
      </c>
      <c r="I6705" s="5" t="s">
        <v>31</v>
      </c>
      <c r="J6705" s="5">
        <v>16.9391578</v>
      </c>
      <c r="K6705" s="5">
        <v>-96.966126799999998</v>
      </c>
      <c r="L6705" s="5" t="str">
        <f>HYPERLINK("https://maps.google.com/?q=16.9391578,-96.966126799999998", "🔗 Ver Mapa")</f>
        <v>🔗 Ver Mapa</v>
      </c>
    </row>
    <row r="6706" spans="1:12" ht="43.5" x14ac:dyDescent="0.35">
      <c r="A6706" s="6" t="s">
        <v>98</v>
      </c>
      <c r="B6706" s="6" t="s">
        <v>99</v>
      </c>
      <c r="C6706" s="6" t="s">
        <v>1313</v>
      </c>
      <c r="D6706" s="6" t="s">
        <v>14</v>
      </c>
      <c r="E6706" s="6" t="s">
        <v>52</v>
      </c>
      <c r="F6706" s="6" t="s">
        <v>101</v>
      </c>
      <c r="G6706" s="6" t="s">
        <v>649</v>
      </c>
      <c r="H6706" s="6" t="s">
        <v>1314</v>
      </c>
      <c r="I6706" s="6" t="s">
        <v>31</v>
      </c>
      <c r="J6706" s="6">
        <v>16.939160375444999</v>
      </c>
      <c r="K6706" s="6">
        <v>-96.965821926253994</v>
      </c>
      <c r="L6706" s="6" t="str">
        <f>HYPERLINK("https://maps.google.com/?q=16.9391603754455,-96.965821926253696", "🔗 Ver Mapa")</f>
        <v>🔗 Ver Mapa</v>
      </c>
    </row>
    <row r="6707" spans="1:12" ht="43.5" x14ac:dyDescent="0.35">
      <c r="A6707" s="5" t="s">
        <v>98</v>
      </c>
      <c r="B6707" s="5" t="s">
        <v>99</v>
      </c>
      <c r="C6707" s="5" t="s">
        <v>1313</v>
      </c>
      <c r="D6707" s="5" t="s">
        <v>14</v>
      </c>
      <c r="E6707" s="5" t="s">
        <v>52</v>
      </c>
      <c r="F6707" s="5" t="s">
        <v>101</v>
      </c>
      <c r="G6707" s="5" t="s">
        <v>649</v>
      </c>
      <c r="H6707" s="5" t="s">
        <v>1314</v>
      </c>
      <c r="I6707" s="5" t="s">
        <v>31</v>
      </c>
      <c r="J6707" s="5">
        <v>16.939171785496001</v>
      </c>
      <c r="K6707" s="5">
        <v>-96.966390551377003</v>
      </c>
      <c r="L6707" s="5" t="str">
        <f>HYPERLINK("https://maps.google.com/?q=16.9391717854962,-96.966390551376804", "🔗 Ver Mapa")</f>
        <v>🔗 Ver Mapa</v>
      </c>
    </row>
    <row r="6708" spans="1:12" ht="43.5" x14ac:dyDescent="0.35">
      <c r="A6708" s="6" t="s">
        <v>98</v>
      </c>
      <c r="B6708" s="6" t="s">
        <v>99</v>
      </c>
      <c r="C6708" s="6" t="s">
        <v>1313</v>
      </c>
      <c r="D6708" s="6" t="s">
        <v>14</v>
      </c>
      <c r="E6708" s="6" t="s">
        <v>52</v>
      </c>
      <c r="F6708" s="6" t="s">
        <v>101</v>
      </c>
      <c r="G6708" s="6" t="s">
        <v>649</v>
      </c>
      <c r="H6708" s="6" t="s">
        <v>1314</v>
      </c>
      <c r="I6708" s="6" t="s">
        <v>31</v>
      </c>
      <c r="J6708" s="6">
        <v>16.939192899999998</v>
      </c>
      <c r="K6708" s="6">
        <v>-96.966045199999996</v>
      </c>
      <c r="L6708" s="6" t="str">
        <f>HYPERLINK("https://maps.google.com/?q=16.9391929,-96.966045199999996", "🔗 Ver Mapa")</f>
        <v>🔗 Ver Mapa</v>
      </c>
    </row>
    <row r="6709" spans="1:12" ht="43.5" x14ac:dyDescent="0.35">
      <c r="A6709" s="5" t="s">
        <v>98</v>
      </c>
      <c r="B6709" s="5" t="s">
        <v>99</v>
      </c>
      <c r="C6709" s="5" t="s">
        <v>1315</v>
      </c>
      <c r="D6709" s="5" t="s">
        <v>14</v>
      </c>
      <c r="E6709" s="5" t="s">
        <v>52</v>
      </c>
      <c r="F6709" s="5" t="s">
        <v>83</v>
      </c>
      <c r="G6709" s="5" t="s">
        <v>1316</v>
      </c>
      <c r="H6709" s="5" t="s">
        <v>1317</v>
      </c>
      <c r="I6709" s="5" t="s">
        <v>31</v>
      </c>
      <c r="J6709" s="5">
        <v>17.027234699344</v>
      </c>
      <c r="K6709" s="5">
        <v>-96.984866530874996</v>
      </c>
      <c r="L6709" s="5" t="str">
        <f>HYPERLINK("https://maps.google.com/?q=17.0272346993437,-96.984866530874797", "🔗 Ver Mapa")</f>
        <v>🔗 Ver Mapa</v>
      </c>
    </row>
    <row r="6710" spans="1:12" ht="43.5" x14ac:dyDescent="0.35">
      <c r="A6710" s="6" t="s">
        <v>98</v>
      </c>
      <c r="B6710" s="6" t="s">
        <v>99</v>
      </c>
      <c r="C6710" s="6" t="s">
        <v>1315</v>
      </c>
      <c r="D6710" s="6" t="s">
        <v>14</v>
      </c>
      <c r="E6710" s="6" t="s">
        <v>52</v>
      </c>
      <c r="F6710" s="6" t="s">
        <v>83</v>
      </c>
      <c r="G6710" s="6" t="s">
        <v>1316</v>
      </c>
      <c r="H6710" s="6" t="s">
        <v>1317</v>
      </c>
      <c r="I6710" s="6" t="s">
        <v>31</v>
      </c>
      <c r="J6710" s="6">
        <v>17.027275733518</v>
      </c>
      <c r="K6710" s="6">
        <v>-96.984598309972995</v>
      </c>
      <c r="L6710" s="6" t="str">
        <f>HYPERLINK("https://maps.google.com/?q=17.0272757335182,-96.984598309973293", "🔗 Ver Mapa")</f>
        <v>🔗 Ver Mapa</v>
      </c>
    </row>
    <row r="6711" spans="1:12" ht="43.5" x14ac:dyDescent="0.35">
      <c r="A6711" s="5" t="s">
        <v>98</v>
      </c>
      <c r="B6711" s="5" t="s">
        <v>99</v>
      </c>
      <c r="C6711" s="5" t="s">
        <v>1315</v>
      </c>
      <c r="D6711" s="5" t="s">
        <v>14</v>
      </c>
      <c r="E6711" s="5" t="s">
        <v>52</v>
      </c>
      <c r="F6711" s="5" t="s">
        <v>83</v>
      </c>
      <c r="G6711" s="5" t="s">
        <v>1316</v>
      </c>
      <c r="H6711" s="5" t="s">
        <v>1317</v>
      </c>
      <c r="I6711" s="5" t="s">
        <v>31</v>
      </c>
      <c r="J6711" s="5">
        <v>17.027773272168002</v>
      </c>
      <c r="K6711" s="5">
        <v>-96.984356911161996</v>
      </c>
      <c r="L6711" s="5" t="str">
        <f>HYPERLINK("https://maps.google.com/?q=17.0277732721682,-96.984356911161896", "🔗 Ver Mapa")</f>
        <v>🔗 Ver Mapa</v>
      </c>
    </row>
    <row r="6712" spans="1:12" ht="43.5" x14ac:dyDescent="0.35">
      <c r="A6712" s="6" t="s">
        <v>98</v>
      </c>
      <c r="B6712" s="6" t="s">
        <v>99</v>
      </c>
      <c r="C6712" s="6" t="s">
        <v>1315</v>
      </c>
      <c r="D6712" s="6" t="s">
        <v>14</v>
      </c>
      <c r="E6712" s="6" t="s">
        <v>52</v>
      </c>
      <c r="F6712" s="6" t="s">
        <v>83</v>
      </c>
      <c r="G6712" s="6" t="s">
        <v>1316</v>
      </c>
      <c r="H6712" s="6" t="s">
        <v>1317</v>
      </c>
      <c r="I6712" s="6" t="s">
        <v>31</v>
      </c>
      <c r="J6712" s="6">
        <v>17.028399040549999</v>
      </c>
      <c r="K6712" s="6">
        <v>-96.984313995817999</v>
      </c>
      <c r="L6712" s="6" t="str">
        <f>HYPERLINK("https://maps.google.com/?q=17.0283990405503,-96.984313995817701", "🔗 Ver Mapa")</f>
        <v>🔗 Ver Mapa</v>
      </c>
    </row>
    <row r="6713" spans="1:12" ht="43.5" x14ac:dyDescent="0.35">
      <c r="A6713" s="5" t="s">
        <v>98</v>
      </c>
      <c r="B6713" s="5" t="s">
        <v>99</v>
      </c>
      <c r="C6713" s="5" t="s">
        <v>1315</v>
      </c>
      <c r="D6713" s="5" t="s">
        <v>14</v>
      </c>
      <c r="E6713" s="5" t="s">
        <v>52</v>
      </c>
      <c r="F6713" s="5" t="s">
        <v>83</v>
      </c>
      <c r="G6713" s="5" t="s">
        <v>1316</v>
      </c>
      <c r="H6713" s="5" t="s">
        <v>1317</v>
      </c>
      <c r="I6713" s="5" t="s">
        <v>31</v>
      </c>
      <c r="J6713" s="5">
        <v>17.028401096503998</v>
      </c>
      <c r="K6713" s="5">
        <v>-96.986222938194999</v>
      </c>
      <c r="L6713" s="5" t="str">
        <f>HYPERLINK("https://maps.google.com/?q=17.0284010965039,-96.986222938195198", "🔗 Ver Mapa")</f>
        <v>🔗 Ver Mapa</v>
      </c>
    </row>
    <row r="6714" spans="1:12" ht="43.5" x14ac:dyDescent="0.35">
      <c r="A6714" s="6" t="s">
        <v>98</v>
      </c>
      <c r="B6714" s="6" t="s">
        <v>99</v>
      </c>
      <c r="C6714" s="6" t="s">
        <v>1315</v>
      </c>
      <c r="D6714" s="6" t="s">
        <v>14</v>
      </c>
      <c r="E6714" s="6" t="s">
        <v>52</v>
      </c>
      <c r="F6714" s="6" t="s">
        <v>83</v>
      </c>
      <c r="G6714" s="6" t="s">
        <v>1316</v>
      </c>
      <c r="H6714" s="6" t="s">
        <v>1317</v>
      </c>
      <c r="I6714" s="6" t="s">
        <v>31</v>
      </c>
      <c r="J6714" s="6">
        <v>17.029040194509001</v>
      </c>
      <c r="K6714" s="6">
        <v>-96.984233529546998</v>
      </c>
      <c r="L6714" s="6" t="str">
        <f>HYPERLINK("https://maps.google.com/?q=17.0290401945085,-96.984233529547197", "🔗 Ver Mapa")</f>
        <v>🔗 Ver Mapa</v>
      </c>
    </row>
    <row r="6715" spans="1:12" ht="43.5" x14ac:dyDescent="0.35">
      <c r="A6715" s="5" t="s">
        <v>98</v>
      </c>
      <c r="B6715" s="5" t="s">
        <v>99</v>
      </c>
      <c r="C6715" s="5" t="s">
        <v>1315</v>
      </c>
      <c r="D6715" s="5" t="s">
        <v>14</v>
      </c>
      <c r="E6715" s="5" t="s">
        <v>52</v>
      </c>
      <c r="F6715" s="5" t="s">
        <v>83</v>
      </c>
      <c r="G6715" s="5" t="s">
        <v>1316</v>
      </c>
      <c r="H6715" s="5" t="s">
        <v>1317</v>
      </c>
      <c r="I6715" s="5" t="s">
        <v>31</v>
      </c>
      <c r="J6715" s="5">
        <v>17.029424885828998</v>
      </c>
      <c r="K6715" s="5">
        <v>-96.984845073203005</v>
      </c>
      <c r="L6715" s="5" t="str">
        <f>HYPERLINK("https://maps.google.com/?q=17.0294248858287,-96.984845073202706", "🔗 Ver Mapa")</f>
        <v>🔗 Ver Mapa</v>
      </c>
    </row>
    <row r="6716" spans="1:12" ht="43.5" x14ac:dyDescent="0.35">
      <c r="A6716" s="6" t="s">
        <v>98</v>
      </c>
      <c r="B6716" s="6" t="s">
        <v>99</v>
      </c>
      <c r="C6716" s="6" t="s">
        <v>1315</v>
      </c>
      <c r="D6716" s="6" t="s">
        <v>14</v>
      </c>
      <c r="E6716" s="6" t="s">
        <v>52</v>
      </c>
      <c r="F6716" s="6" t="s">
        <v>83</v>
      </c>
      <c r="G6716" s="6" t="s">
        <v>1316</v>
      </c>
      <c r="H6716" s="6" t="s">
        <v>1317</v>
      </c>
      <c r="I6716" s="6" t="s">
        <v>31</v>
      </c>
      <c r="J6716" s="6">
        <v>17.030060907075999</v>
      </c>
      <c r="K6716" s="6">
        <v>-96.984018952826005</v>
      </c>
      <c r="L6716" s="6" t="str">
        <f>HYPERLINK("https://maps.google.com/?q=17.030060907076,-96.984018952826005", "🔗 Ver Mapa")</f>
        <v>🔗 Ver Mapa</v>
      </c>
    </row>
    <row r="6717" spans="1:12" ht="43.5" x14ac:dyDescent="0.35">
      <c r="A6717" s="5" t="s">
        <v>98</v>
      </c>
      <c r="B6717" s="5" t="s">
        <v>99</v>
      </c>
      <c r="C6717" s="5" t="s">
        <v>1315</v>
      </c>
      <c r="D6717" s="5" t="s">
        <v>14</v>
      </c>
      <c r="E6717" s="5" t="s">
        <v>52</v>
      </c>
      <c r="F6717" s="5" t="s">
        <v>83</v>
      </c>
      <c r="G6717" s="5" t="s">
        <v>1316</v>
      </c>
      <c r="H6717" s="5" t="s">
        <v>1317</v>
      </c>
      <c r="I6717" s="5" t="s">
        <v>31</v>
      </c>
      <c r="J6717" s="5">
        <v>17.030896963974001</v>
      </c>
      <c r="K6717" s="5">
        <v>-96.984480292776993</v>
      </c>
      <c r="L6717" s="5" t="str">
        <f>HYPERLINK("https://maps.google.com/?q=17.0308969639743,-96.984480292776595", "🔗 Ver Mapa")</f>
        <v>🔗 Ver Mapa</v>
      </c>
    </row>
    <row r="6718" spans="1:12" ht="43.5" x14ac:dyDescent="0.35">
      <c r="A6718" s="6" t="s">
        <v>98</v>
      </c>
      <c r="B6718" s="6" t="s">
        <v>99</v>
      </c>
      <c r="C6718" s="6" t="s">
        <v>1315</v>
      </c>
      <c r="D6718" s="6" t="s">
        <v>14</v>
      </c>
      <c r="E6718" s="6" t="s">
        <v>52</v>
      </c>
      <c r="F6718" s="6" t="s">
        <v>83</v>
      </c>
      <c r="G6718" s="6" t="s">
        <v>1316</v>
      </c>
      <c r="H6718" s="6" t="s">
        <v>1317</v>
      </c>
      <c r="I6718" s="6" t="s">
        <v>31</v>
      </c>
      <c r="J6718" s="6">
        <v>17.031313711607002</v>
      </c>
      <c r="K6718" s="6">
        <v>-96.984386419193001</v>
      </c>
      <c r="L6718" s="6" t="str">
        <f>HYPERLINK("https://maps.google.com/?q=17.0313137116067,-96.984386419192603", "🔗 Ver Mapa")</f>
        <v>🔗 Ver Mapa</v>
      </c>
    </row>
    <row r="6719" spans="1:12" ht="43.5" x14ac:dyDescent="0.35">
      <c r="A6719" s="5" t="s">
        <v>98</v>
      </c>
      <c r="B6719" s="5" t="s">
        <v>99</v>
      </c>
      <c r="C6719" s="5" t="s">
        <v>1315</v>
      </c>
      <c r="D6719" s="5" t="s">
        <v>14</v>
      </c>
      <c r="E6719" s="5" t="s">
        <v>52</v>
      </c>
      <c r="F6719" s="5" t="s">
        <v>83</v>
      </c>
      <c r="G6719" s="5" t="s">
        <v>1316</v>
      </c>
      <c r="H6719" s="5" t="s">
        <v>1317</v>
      </c>
      <c r="I6719" s="5" t="s">
        <v>31</v>
      </c>
      <c r="J6719" s="5">
        <v>17.031733017135998</v>
      </c>
      <c r="K6719" s="5">
        <v>-96.984405190923994</v>
      </c>
      <c r="L6719" s="5" t="str">
        <f>HYPERLINK("https://maps.google.com/?q=17.0317330171356,-96.984405190924207", "🔗 Ver Mapa")</f>
        <v>🔗 Ver Mapa</v>
      </c>
    </row>
    <row r="6720" spans="1:12" ht="43.5" x14ac:dyDescent="0.35">
      <c r="A6720" s="6" t="s">
        <v>98</v>
      </c>
      <c r="B6720" s="6" t="s">
        <v>99</v>
      </c>
      <c r="C6720" s="6" t="s">
        <v>1315</v>
      </c>
      <c r="D6720" s="6" t="s">
        <v>14</v>
      </c>
      <c r="E6720" s="6" t="s">
        <v>52</v>
      </c>
      <c r="F6720" s="6" t="s">
        <v>83</v>
      </c>
      <c r="G6720" s="6" t="s">
        <v>1316</v>
      </c>
      <c r="H6720" s="6" t="s">
        <v>1317</v>
      </c>
      <c r="I6720" s="6" t="s">
        <v>31</v>
      </c>
      <c r="J6720" s="6">
        <v>17.032210027386999</v>
      </c>
      <c r="K6720" s="6">
        <v>-96.984367639997998</v>
      </c>
      <c r="L6720" s="6" t="str">
        <f>HYPERLINK("https://maps.google.com/?q=17.0322100273875,-96.984367639997998", "🔗 Ver Mapa")</f>
        <v>🔗 Ver Mapa</v>
      </c>
    </row>
    <row r="6721" spans="1:12" ht="43.5" x14ac:dyDescent="0.35">
      <c r="A6721" s="5" t="s">
        <v>98</v>
      </c>
      <c r="B6721" s="5" t="s">
        <v>99</v>
      </c>
      <c r="C6721" s="5" t="s">
        <v>1315</v>
      </c>
      <c r="D6721" s="5" t="s">
        <v>14</v>
      </c>
      <c r="E6721" s="5" t="s">
        <v>52</v>
      </c>
      <c r="F6721" s="5" t="s">
        <v>83</v>
      </c>
      <c r="G6721" s="5" t="s">
        <v>1316</v>
      </c>
      <c r="H6721" s="5" t="s">
        <v>1317</v>
      </c>
      <c r="I6721" s="5" t="s">
        <v>31</v>
      </c>
      <c r="J6721" s="5">
        <v>17.032312610078002</v>
      </c>
      <c r="K6721" s="5">
        <v>-96.985783846358004</v>
      </c>
      <c r="L6721" s="5" t="str">
        <f>HYPERLINK("https://maps.google.com/?q=17.0323126100785,-96.985783846358004", "🔗 Ver Mapa")</f>
        <v>🔗 Ver Mapa</v>
      </c>
    </row>
    <row r="6722" spans="1:12" ht="43.5" x14ac:dyDescent="0.35">
      <c r="A6722" s="6" t="s">
        <v>98</v>
      </c>
      <c r="B6722" s="6" t="s">
        <v>99</v>
      </c>
      <c r="C6722" s="6" t="s">
        <v>1315</v>
      </c>
      <c r="D6722" s="6" t="s">
        <v>14</v>
      </c>
      <c r="E6722" s="6" t="s">
        <v>52</v>
      </c>
      <c r="F6722" s="6" t="s">
        <v>83</v>
      </c>
      <c r="G6722" s="6" t="s">
        <v>1316</v>
      </c>
      <c r="H6722" s="6" t="s">
        <v>1317</v>
      </c>
      <c r="I6722" s="6" t="s">
        <v>31</v>
      </c>
      <c r="J6722" s="6">
        <v>17.032992865714</v>
      </c>
      <c r="K6722" s="6" t="s">
        <v>1318</v>
      </c>
      <c r="L6722" s="6" t="str">
        <f>HYPERLINK("https://maps.google.com/?q=17.0329928657144, -96.9843455129396", "🔗 Ver Mapa")</f>
        <v>🔗 Ver Mapa</v>
      </c>
    </row>
    <row r="6723" spans="1:12" ht="43.5" x14ac:dyDescent="0.35">
      <c r="A6723" s="5" t="s">
        <v>98</v>
      </c>
      <c r="B6723" s="5" t="s">
        <v>99</v>
      </c>
      <c r="C6723" s="5" t="s">
        <v>1315</v>
      </c>
      <c r="D6723" s="5" t="s">
        <v>14</v>
      </c>
      <c r="E6723" s="5" t="s">
        <v>52</v>
      </c>
      <c r="F6723" s="5" t="s">
        <v>83</v>
      </c>
      <c r="G6723" s="5" t="s">
        <v>1316</v>
      </c>
      <c r="H6723" s="5" t="s">
        <v>1317</v>
      </c>
      <c r="I6723" s="5" t="s">
        <v>31</v>
      </c>
      <c r="J6723" s="5">
        <v>17.034071894471001</v>
      </c>
      <c r="K6723" s="5">
        <v>-96.983992130735999</v>
      </c>
      <c r="L6723" s="5" t="str">
        <f>HYPERLINK("https://maps.google.com/?q=17.034071894471,-96.9839921307358", "🔗 Ver Mapa")</f>
        <v>🔗 Ver Mapa</v>
      </c>
    </row>
    <row r="6724" spans="1:12" ht="43.5" x14ac:dyDescent="0.35">
      <c r="A6724" s="6" t="s">
        <v>98</v>
      </c>
      <c r="B6724" s="6" t="s">
        <v>99</v>
      </c>
      <c r="C6724" s="6" t="s">
        <v>1315</v>
      </c>
      <c r="D6724" s="6" t="s">
        <v>14</v>
      </c>
      <c r="E6724" s="6" t="s">
        <v>52</v>
      </c>
      <c r="F6724" s="6" t="s">
        <v>83</v>
      </c>
      <c r="G6724" s="6" t="s">
        <v>1316</v>
      </c>
      <c r="H6724" s="6" t="s">
        <v>1317</v>
      </c>
      <c r="I6724" s="6" t="s">
        <v>31</v>
      </c>
      <c r="J6724" s="6">
        <v>17.035615742649998</v>
      </c>
      <c r="K6724" s="6">
        <v>-96.985934050062994</v>
      </c>
      <c r="L6724" s="6" t="str">
        <f>HYPERLINK("https://maps.google.com/?q=17.0356157426503,-96.985934050062895", "🔗 Ver Mapa")</f>
        <v>🔗 Ver Mapa</v>
      </c>
    </row>
    <row r="6725" spans="1:12" ht="43.5" x14ac:dyDescent="0.35">
      <c r="A6725" s="5" t="s">
        <v>98</v>
      </c>
      <c r="B6725" s="5" t="s">
        <v>99</v>
      </c>
      <c r="C6725" s="5" t="s">
        <v>1315</v>
      </c>
      <c r="D6725" s="5" t="s">
        <v>14</v>
      </c>
      <c r="E6725" s="5" t="s">
        <v>52</v>
      </c>
      <c r="F6725" s="5" t="s">
        <v>83</v>
      </c>
      <c r="G6725" s="5" t="s">
        <v>1316</v>
      </c>
      <c r="H6725" s="5" t="s">
        <v>1317</v>
      </c>
      <c r="I6725" s="5" t="s">
        <v>31</v>
      </c>
      <c r="J6725" s="5">
        <v>17.035631129776998</v>
      </c>
      <c r="K6725" s="5">
        <v>-96.984405190923994</v>
      </c>
      <c r="L6725" s="5" t="str">
        <f>HYPERLINK("https://maps.google.com/?q=17.0356311297773,-96.984405190924207", "🔗 Ver Mapa")</f>
        <v>🔗 Ver Mapa</v>
      </c>
    </row>
    <row r="6726" spans="1:12" ht="43.5" x14ac:dyDescent="0.35">
      <c r="A6726" s="6" t="s">
        <v>98</v>
      </c>
      <c r="B6726" s="6" t="s">
        <v>99</v>
      </c>
      <c r="C6726" s="6" t="s">
        <v>1315</v>
      </c>
      <c r="D6726" s="6" t="s">
        <v>14</v>
      </c>
      <c r="E6726" s="6" t="s">
        <v>52</v>
      </c>
      <c r="F6726" s="6" t="s">
        <v>83</v>
      </c>
      <c r="G6726" s="6" t="s">
        <v>1316</v>
      </c>
      <c r="H6726" s="6" t="s">
        <v>1317</v>
      </c>
      <c r="I6726" s="6" t="s">
        <v>31</v>
      </c>
      <c r="J6726" s="6">
        <v>17.035802360748999</v>
      </c>
      <c r="K6726" s="6">
        <v>-96.984336163194001</v>
      </c>
      <c r="L6726" s="6" t="str">
        <f>HYPERLINK("https://maps.google.com/?q=17.035802360749,-96.984336163194399", "🔗 Ver Mapa")</f>
        <v>🔗 Ver Mapa</v>
      </c>
    </row>
    <row r="6727" spans="1:12" ht="43.5" x14ac:dyDescent="0.35">
      <c r="A6727" s="5" t="s">
        <v>98</v>
      </c>
      <c r="B6727" s="5" t="s">
        <v>99</v>
      </c>
      <c r="C6727" s="5" t="s">
        <v>1315</v>
      </c>
      <c r="D6727" s="5" t="s">
        <v>14</v>
      </c>
      <c r="E6727" s="5" t="s">
        <v>52</v>
      </c>
      <c r="F6727" s="5" t="s">
        <v>83</v>
      </c>
      <c r="G6727" s="5" t="s">
        <v>1316</v>
      </c>
      <c r="H6727" s="5" t="s">
        <v>1317</v>
      </c>
      <c r="I6727" s="5" t="s">
        <v>31</v>
      </c>
      <c r="J6727" s="5">
        <v>17.035933743017999</v>
      </c>
      <c r="K6727" s="5">
        <v>-96.984367639997998</v>
      </c>
      <c r="L6727" s="5" t="str">
        <f>HYPERLINK("https://maps.google.com/?q=17.0359337430177,-96.984367639997998", "🔗 Ver Mapa")</f>
        <v>🔗 Ver Mapa</v>
      </c>
    </row>
    <row r="6728" spans="1:12" ht="43.5" x14ac:dyDescent="0.35">
      <c r="A6728" s="6" t="s">
        <v>98</v>
      </c>
      <c r="B6728" s="6" t="s">
        <v>99</v>
      </c>
      <c r="C6728" s="6" t="s">
        <v>1315</v>
      </c>
      <c r="D6728" s="6" t="s">
        <v>14</v>
      </c>
      <c r="E6728" s="6" t="s">
        <v>52</v>
      </c>
      <c r="F6728" s="6" t="s">
        <v>83</v>
      </c>
      <c r="G6728" s="6" t="s">
        <v>1316</v>
      </c>
      <c r="H6728" s="6" t="s">
        <v>1317</v>
      </c>
      <c r="I6728" s="6" t="s">
        <v>31</v>
      </c>
      <c r="J6728" s="6">
        <v>17.036544097046999</v>
      </c>
      <c r="K6728" s="6">
        <v>-96.984491021612996</v>
      </c>
      <c r="L6728" s="6" t="str">
        <f>HYPERLINK("https://maps.google.com/?q=17.0365440970465,-96.984491021612698", "🔗 Ver Mapa")</f>
        <v>🔗 Ver Mapa</v>
      </c>
    </row>
    <row r="6729" spans="1:12" ht="43.5" x14ac:dyDescent="0.35">
      <c r="A6729" s="5" t="s">
        <v>98</v>
      </c>
      <c r="B6729" s="5" t="s">
        <v>99</v>
      </c>
      <c r="C6729" s="5" t="s">
        <v>1315</v>
      </c>
      <c r="D6729" s="5" t="s">
        <v>14</v>
      </c>
      <c r="E6729" s="5" t="s">
        <v>52</v>
      </c>
      <c r="F6729" s="5" t="s">
        <v>83</v>
      </c>
      <c r="G6729" s="5" t="s">
        <v>1316</v>
      </c>
      <c r="H6729" s="5" t="s">
        <v>1317</v>
      </c>
      <c r="I6729" s="5" t="s">
        <v>31</v>
      </c>
      <c r="J6729" s="5">
        <v>17.036585129178999</v>
      </c>
      <c r="K6729" s="5">
        <v>-96.984254987219003</v>
      </c>
      <c r="L6729" s="5" t="str">
        <f>HYPERLINK("https://maps.google.com/?q=17.0365851291786,-96.984254987219302", "🔗 Ver Mapa")</f>
        <v>🔗 Ver Mapa</v>
      </c>
    </row>
    <row r="6730" spans="1:12" ht="43.5" x14ac:dyDescent="0.35">
      <c r="A6730" s="6" t="s">
        <v>98</v>
      </c>
      <c r="B6730" s="6" t="s">
        <v>99</v>
      </c>
      <c r="C6730" s="6" t="s">
        <v>1315</v>
      </c>
      <c r="D6730" s="6" t="s">
        <v>14</v>
      </c>
      <c r="E6730" s="6" t="s">
        <v>52</v>
      </c>
      <c r="F6730" s="6" t="s">
        <v>83</v>
      </c>
      <c r="G6730" s="6" t="s">
        <v>1316</v>
      </c>
      <c r="H6730" s="6" t="s">
        <v>1317</v>
      </c>
      <c r="I6730" s="6" t="s">
        <v>31</v>
      </c>
      <c r="J6730" s="6">
        <v>17.036672322428998</v>
      </c>
      <c r="K6730" s="6">
        <v>-96.983965308646006</v>
      </c>
      <c r="L6730" s="6" t="str">
        <f>HYPERLINK("https://maps.google.com/?q=17.0366723224295,-96.983965308645693", "🔗 Ver Mapa")</f>
        <v>🔗 Ver Mapa</v>
      </c>
    </row>
    <row r="6731" spans="1:12" ht="43.5" x14ac:dyDescent="0.35">
      <c r="A6731" s="5" t="s">
        <v>98</v>
      </c>
      <c r="B6731" s="5" t="s">
        <v>99</v>
      </c>
      <c r="C6731" s="5" t="s">
        <v>1315</v>
      </c>
      <c r="D6731" s="5" t="s">
        <v>14</v>
      </c>
      <c r="E6731" s="5" t="s">
        <v>52</v>
      </c>
      <c r="F6731" s="5" t="s">
        <v>83</v>
      </c>
      <c r="G6731" s="5" t="s">
        <v>1316</v>
      </c>
      <c r="H6731" s="5" t="s">
        <v>1317</v>
      </c>
      <c r="I6731" s="5" t="s">
        <v>31</v>
      </c>
      <c r="J6731" s="5">
        <v>17.037256200000002</v>
      </c>
      <c r="K6731" s="5">
        <v>-96.984272599999997</v>
      </c>
      <c r="L6731" s="5" t="str">
        <f>HYPERLINK("https://maps.google.com/?q=17.0372562,-96.984272599999997", "🔗 Ver Mapa")</f>
        <v>🔗 Ver Mapa</v>
      </c>
    </row>
    <row r="6732" spans="1:12" ht="43.5" x14ac:dyDescent="0.35">
      <c r="A6732" s="6" t="s">
        <v>98</v>
      </c>
      <c r="B6732" s="6" t="s">
        <v>99</v>
      </c>
      <c r="C6732" s="6" t="s">
        <v>1315</v>
      </c>
      <c r="D6732" s="6" t="s">
        <v>14</v>
      </c>
      <c r="E6732" s="6" t="s">
        <v>52</v>
      </c>
      <c r="F6732" s="6" t="s">
        <v>83</v>
      </c>
      <c r="G6732" s="6" t="s">
        <v>1316</v>
      </c>
      <c r="H6732" s="6" t="s">
        <v>1317</v>
      </c>
      <c r="I6732" s="6" t="s">
        <v>31</v>
      </c>
      <c r="J6732" s="6">
        <v>17.037574389641001</v>
      </c>
      <c r="K6732" s="6">
        <v>-96.984312650058996</v>
      </c>
      <c r="L6732" s="6" t="str">
        <f>HYPERLINK("https://maps.google.com/?q=17.0375743896413,-96.984312650059394", "🔗 Ver Mapa")</f>
        <v>🔗 Ver Mapa</v>
      </c>
    </row>
    <row r="6733" spans="1:12" ht="43.5" x14ac:dyDescent="0.35">
      <c r="A6733" s="5" t="s">
        <v>98</v>
      </c>
      <c r="B6733" s="5" t="s">
        <v>99</v>
      </c>
      <c r="C6733" s="5" t="s">
        <v>1315</v>
      </c>
      <c r="D6733" s="5" t="s">
        <v>14</v>
      </c>
      <c r="E6733" s="5" t="s">
        <v>52</v>
      </c>
      <c r="F6733" s="5" t="s">
        <v>83</v>
      </c>
      <c r="G6733" s="5" t="s">
        <v>1316</v>
      </c>
      <c r="H6733" s="5" t="s">
        <v>1317</v>
      </c>
      <c r="I6733" s="5" t="s">
        <v>31</v>
      </c>
      <c r="J6733" s="5">
        <v>17.038031506084</v>
      </c>
      <c r="K6733" s="5">
        <v>-96.984249622801002</v>
      </c>
      <c r="L6733" s="5" t="str">
        <f>HYPERLINK("https://maps.google.com/?q=17.0380315060836,-96.9842496228013", "🔗 Ver Mapa")</f>
        <v>🔗 Ver Mapa</v>
      </c>
    </row>
    <row r="6734" spans="1:12" ht="43.5" x14ac:dyDescent="0.35">
      <c r="A6734" s="6" t="s">
        <v>98</v>
      </c>
      <c r="B6734" s="6" t="s">
        <v>99</v>
      </c>
      <c r="C6734" s="6" t="s">
        <v>1319</v>
      </c>
      <c r="D6734" s="6" t="s">
        <v>14</v>
      </c>
      <c r="E6734" s="6" t="s">
        <v>17</v>
      </c>
      <c r="F6734" s="6" t="s">
        <v>20</v>
      </c>
      <c r="G6734" s="6" t="s">
        <v>1320</v>
      </c>
      <c r="H6734" s="6" t="s">
        <v>1321</v>
      </c>
      <c r="I6734" s="6" t="s">
        <v>31</v>
      </c>
      <c r="J6734" s="6">
        <v>0</v>
      </c>
      <c r="K6734" s="6">
        <v>-96.652899968699998</v>
      </c>
      <c r="L6734" s="6" t="str">
        <f>HYPERLINK("https://maps.google.com/?q=0,-96.652899968699998", "🔗 Ver Mapa")</f>
        <v>🔗 Ver Mapa</v>
      </c>
    </row>
    <row r="6735" spans="1:12" ht="43.5" x14ac:dyDescent="0.35">
      <c r="A6735" s="5" t="s">
        <v>98</v>
      </c>
      <c r="B6735" s="5" t="s">
        <v>99</v>
      </c>
      <c r="C6735" s="5" t="s">
        <v>1319</v>
      </c>
      <c r="D6735" s="5" t="s">
        <v>14</v>
      </c>
      <c r="E6735" s="5" t="s">
        <v>17</v>
      </c>
      <c r="F6735" s="5" t="s">
        <v>20</v>
      </c>
      <c r="G6735" s="5" t="s">
        <v>1320</v>
      </c>
      <c r="H6735" s="5" t="s">
        <v>1321</v>
      </c>
      <c r="I6735" s="5" t="s">
        <v>31</v>
      </c>
      <c r="J6735" s="5">
        <v>0</v>
      </c>
      <c r="K6735" s="5">
        <v>-96.649329874299994</v>
      </c>
      <c r="L6735" s="5" t="str">
        <f>HYPERLINK("https://maps.google.com/?q=0,-96.649329874299994", "🔗 Ver Mapa")</f>
        <v>🔗 Ver Mapa</v>
      </c>
    </row>
    <row r="6736" spans="1:12" ht="43.5" x14ac:dyDescent="0.35">
      <c r="A6736" s="6" t="s">
        <v>98</v>
      </c>
      <c r="B6736" s="6" t="s">
        <v>99</v>
      </c>
      <c r="C6736" s="6" t="s">
        <v>1319</v>
      </c>
      <c r="D6736" s="6" t="s">
        <v>14</v>
      </c>
      <c r="E6736" s="6" t="s">
        <v>17</v>
      </c>
      <c r="F6736" s="6" t="s">
        <v>20</v>
      </c>
      <c r="G6736" s="6" t="s">
        <v>1320</v>
      </c>
      <c r="H6736" s="6" t="s">
        <v>1321</v>
      </c>
      <c r="I6736" s="6" t="s">
        <v>31</v>
      </c>
      <c r="J6736" s="6">
        <v>15.84801802534</v>
      </c>
      <c r="K6736" s="6">
        <v>-96.654483779700001</v>
      </c>
      <c r="L6736" s="6" t="str">
        <f>HYPERLINK("https://maps.google.com/?q=15.84801802534,-96.654483779700001", "🔗 Ver Mapa")</f>
        <v>🔗 Ver Mapa</v>
      </c>
    </row>
    <row r="6737" spans="1:12" ht="43.5" x14ac:dyDescent="0.35">
      <c r="A6737" s="5" t="s">
        <v>98</v>
      </c>
      <c r="B6737" s="5" t="s">
        <v>99</v>
      </c>
      <c r="C6737" s="5" t="s">
        <v>1319</v>
      </c>
      <c r="D6737" s="5" t="s">
        <v>14</v>
      </c>
      <c r="E6737" s="5" t="s">
        <v>17</v>
      </c>
      <c r="F6737" s="5" t="s">
        <v>20</v>
      </c>
      <c r="G6737" s="5" t="s">
        <v>1320</v>
      </c>
      <c r="H6737" s="5" t="s">
        <v>1321</v>
      </c>
      <c r="I6737" s="5" t="s">
        <v>31</v>
      </c>
      <c r="J6737" s="5">
        <v>15.848488762715</v>
      </c>
      <c r="K6737" s="5">
        <v>-96.644938816167993</v>
      </c>
      <c r="L6737" s="5" t="str">
        <f>HYPERLINK("https://maps.google.com/?q=15.8484887627155,-96.6449388161682", "🔗 Ver Mapa")</f>
        <v>🔗 Ver Mapa</v>
      </c>
    </row>
    <row r="6738" spans="1:12" ht="43.5" x14ac:dyDescent="0.35">
      <c r="A6738" s="6" t="s">
        <v>98</v>
      </c>
      <c r="B6738" s="6" t="s">
        <v>99</v>
      </c>
      <c r="C6738" s="6" t="s">
        <v>1319</v>
      </c>
      <c r="D6738" s="6" t="s">
        <v>14</v>
      </c>
      <c r="E6738" s="6" t="s">
        <v>17</v>
      </c>
      <c r="F6738" s="6" t="s">
        <v>20</v>
      </c>
      <c r="G6738" s="6" t="s">
        <v>1320</v>
      </c>
      <c r="H6738" s="6" t="s">
        <v>1321</v>
      </c>
      <c r="I6738" s="6" t="s">
        <v>31</v>
      </c>
      <c r="J6738" s="6">
        <v>15.8488923728</v>
      </c>
      <c r="K6738" s="6">
        <v>-96.641049970500006</v>
      </c>
      <c r="L6738" s="6" t="str">
        <f>HYPERLINK("https://maps.google.com/?q=15.8488923728,-96.641049970500006", "🔗 Ver Mapa")</f>
        <v>🔗 Ver Mapa</v>
      </c>
    </row>
    <row r="6739" spans="1:12" ht="43.5" x14ac:dyDescent="0.35">
      <c r="A6739" s="5" t="s">
        <v>98</v>
      </c>
      <c r="B6739" s="5" t="s">
        <v>99</v>
      </c>
      <c r="C6739" s="5" t="s">
        <v>1319</v>
      </c>
      <c r="D6739" s="5" t="s">
        <v>14</v>
      </c>
      <c r="E6739" s="5" t="s">
        <v>17</v>
      </c>
      <c r="F6739" s="5" t="s">
        <v>20</v>
      </c>
      <c r="G6739" s="5" t="s">
        <v>1320</v>
      </c>
      <c r="H6739" s="5" t="s">
        <v>1321</v>
      </c>
      <c r="I6739" s="5" t="s">
        <v>31</v>
      </c>
      <c r="J6739" s="5">
        <v>15.84915671944</v>
      </c>
      <c r="K6739" s="5">
        <v>-96.645178537299998</v>
      </c>
      <c r="L6739" s="5" t="str">
        <f>HYPERLINK("https://maps.google.com/?q=15.84915671944,-96.645178537299998", "🔗 Ver Mapa")</f>
        <v>🔗 Ver Mapa</v>
      </c>
    </row>
    <row r="6740" spans="1:12" ht="43.5" x14ac:dyDescent="0.35">
      <c r="A6740" s="6" t="s">
        <v>98</v>
      </c>
      <c r="B6740" s="6" t="s">
        <v>99</v>
      </c>
      <c r="C6740" s="6" t="s">
        <v>1319</v>
      </c>
      <c r="D6740" s="6" t="s">
        <v>14</v>
      </c>
      <c r="E6740" s="6" t="s">
        <v>17</v>
      </c>
      <c r="F6740" s="6" t="s">
        <v>20</v>
      </c>
      <c r="G6740" s="6" t="s">
        <v>1320</v>
      </c>
      <c r="H6740" s="6" t="s">
        <v>1321</v>
      </c>
      <c r="I6740" s="6" t="s">
        <v>31</v>
      </c>
      <c r="J6740" s="6">
        <v>15.8494003969</v>
      </c>
      <c r="K6740" s="6">
        <v>-96.647017162200001</v>
      </c>
      <c r="L6740" s="6" t="str">
        <f>HYPERLINK("https://maps.google.com/?q=15.8494003969,-96.647017162200001", "🔗 Ver Mapa")</f>
        <v>🔗 Ver Mapa</v>
      </c>
    </row>
    <row r="6741" spans="1:12" ht="43.5" x14ac:dyDescent="0.35">
      <c r="A6741" s="5" t="s">
        <v>98</v>
      </c>
      <c r="B6741" s="5" t="s">
        <v>99</v>
      </c>
      <c r="C6741" s="5" t="s">
        <v>1319</v>
      </c>
      <c r="D6741" s="5" t="s">
        <v>14</v>
      </c>
      <c r="E6741" s="5" t="s">
        <v>17</v>
      </c>
      <c r="F6741" s="5" t="s">
        <v>20</v>
      </c>
      <c r="G6741" s="5" t="s">
        <v>1320</v>
      </c>
      <c r="H6741" s="5" t="s">
        <v>1321</v>
      </c>
      <c r="I6741" s="5" t="s">
        <v>31</v>
      </c>
      <c r="J6741" s="5">
        <v>15.849411014299999</v>
      </c>
      <c r="K6741" s="5">
        <v>-96.649916684600001</v>
      </c>
      <c r="L6741" s="5" t="str">
        <f>HYPERLINK("https://maps.google.com/?q=15.8494110143,-96.649916684600001", "🔗 Ver Mapa")</f>
        <v>🔗 Ver Mapa</v>
      </c>
    </row>
    <row r="6742" spans="1:12" ht="43.5" x14ac:dyDescent="0.35">
      <c r="A6742" s="6" t="s">
        <v>98</v>
      </c>
      <c r="B6742" s="6" t="s">
        <v>99</v>
      </c>
      <c r="C6742" s="6" t="s">
        <v>1319</v>
      </c>
      <c r="D6742" s="6" t="s">
        <v>14</v>
      </c>
      <c r="E6742" s="6" t="s">
        <v>17</v>
      </c>
      <c r="F6742" s="6" t="s">
        <v>20</v>
      </c>
      <c r="G6742" s="6" t="s">
        <v>1320</v>
      </c>
      <c r="H6742" s="6" t="s">
        <v>1321</v>
      </c>
      <c r="I6742" s="6" t="s">
        <v>31</v>
      </c>
      <c r="J6742" s="6">
        <v>15.8494365333</v>
      </c>
      <c r="K6742" s="6" t="s">
        <v>1322</v>
      </c>
      <c r="L6742" s="6" t="str">
        <f>HYPERLINK("https://maps.google.com/?q=15.8494365333, -96.6478660625", "🔗 Ver Mapa")</f>
        <v>🔗 Ver Mapa</v>
      </c>
    </row>
    <row r="6743" spans="1:12" ht="43.5" x14ac:dyDescent="0.35">
      <c r="A6743" s="5" t="s">
        <v>98</v>
      </c>
      <c r="B6743" s="5" t="s">
        <v>99</v>
      </c>
      <c r="C6743" s="5" t="s">
        <v>1319</v>
      </c>
      <c r="D6743" s="5" t="s">
        <v>14</v>
      </c>
      <c r="E6743" s="5" t="s">
        <v>17</v>
      </c>
      <c r="F6743" s="5" t="s">
        <v>20</v>
      </c>
      <c r="G6743" s="5" t="s">
        <v>1320</v>
      </c>
      <c r="H6743" s="5" t="s">
        <v>1321</v>
      </c>
      <c r="I6743" s="5" t="s">
        <v>31</v>
      </c>
      <c r="J6743" s="5">
        <v>15.849508511</v>
      </c>
      <c r="K6743" s="5">
        <v>-96.6467455863</v>
      </c>
      <c r="L6743" s="5" t="str">
        <f>HYPERLINK("https://maps.google.com/?q=15.849508511,-96.6467455863", "🔗 Ver Mapa")</f>
        <v>🔗 Ver Mapa</v>
      </c>
    </row>
    <row r="6744" spans="1:12" ht="43.5" x14ac:dyDescent="0.35">
      <c r="A6744" s="6" t="s">
        <v>98</v>
      </c>
      <c r="B6744" s="6" t="s">
        <v>99</v>
      </c>
      <c r="C6744" s="6" t="s">
        <v>1319</v>
      </c>
      <c r="D6744" s="6" t="s">
        <v>14</v>
      </c>
      <c r="E6744" s="6" t="s">
        <v>17</v>
      </c>
      <c r="F6744" s="6" t="s">
        <v>20</v>
      </c>
      <c r="G6744" s="6" t="s">
        <v>1320</v>
      </c>
      <c r="H6744" s="6" t="s">
        <v>1321</v>
      </c>
      <c r="I6744" s="6" t="s">
        <v>31</v>
      </c>
      <c r="J6744" s="6">
        <v>15.850684161837</v>
      </c>
      <c r="K6744" s="6">
        <v>-96.6419049</v>
      </c>
      <c r="L6744" s="6" t="str">
        <f>HYPERLINK("https://maps.google.com/?q=15.8506841618374,-96.6419049", "🔗 Ver Mapa")</f>
        <v>🔗 Ver Mapa</v>
      </c>
    </row>
    <row r="6745" spans="1:12" ht="43.5" x14ac:dyDescent="0.35">
      <c r="A6745" s="5" t="s">
        <v>98</v>
      </c>
      <c r="B6745" s="5" t="s">
        <v>99</v>
      </c>
      <c r="C6745" s="5" t="s">
        <v>1319</v>
      </c>
      <c r="D6745" s="5" t="s">
        <v>14</v>
      </c>
      <c r="E6745" s="5" t="s">
        <v>17</v>
      </c>
      <c r="F6745" s="5" t="s">
        <v>20</v>
      </c>
      <c r="G6745" s="5" t="s">
        <v>1320</v>
      </c>
      <c r="H6745" s="5" t="s">
        <v>1321</v>
      </c>
      <c r="I6745" s="5" t="s">
        <v>31</v>
      </c>
      <c r="J6745" s="5">
        <v>15.8539991742</v>
      </c>
      <c r="K6745" s="5">
        <v>-96.641719115900003</v>
      </c>
      <c r="L6745" s="5" t="str">
        <f>HYPERLINK("https://maps.google.com/?q=15.8539991742,-96.641719115900003", "🔗 Ver Mapa")</f>
        <v>🔗 Ver Mapa</v>
      </c>
    </row>
    <row r="6746" spans="1:12" ht="43.5" x14ac:dyDescent="0.35">
      <c r="A6746" s="6" t="s">
        <v>98</v>
      </c>
      <c r="B6746" s="6" t="s">
        <v>99</v>
      </c>
      <c r="C6746" s="6" t="s">
        <v>1319</v>
      </c>
      <c r="D6746" s="6" t="s">
        <v>14</v>
      </c>
      <c r="E6746" s="6" t="s">
        <v>17</v>
      </c>
      <c r="F6746" s="6" t="s">
        <v>20</v>
      </c>
      <c r="G6746" s="6" t="s">
        <v>1320</v>
      </c>
      <c r="H6746" s="6" t="s">
        <v>1321</v>
      </c>
      <c r="I6746" s="6" t="s">
        <v>31</v>
      </c>
      <c r="J6746" s="6">
        <v>15.854667600000001</v>
      </c>
      <c r="K6746" s="6">
        <v>-96.651970199999994</v>
      </c>
      <c r="L6746" s="6" t="str">
        <f>HYPERLINK("https://maps.google.com/?q=15.8546676,-96.651970199999994", "🔗 Ver Mapa")</f>
        <v>🔗 Ver Mapa</v>
      </c>
    </row>
    <row r="6747" spans="1:12" ht="43.5" x14ac:dyDescent="0.35">
      <c r="A6747" s="5" t="s">
        <v>98</v>
      </c>
      <c r="B6747" s="5" t="s">
        <v>99</v>
      </c>
      <c r="C6747" s="5" t="s">
        <v>1319</v>
      </c>
      <c r="D6747" s="5" t="s">
        <v>14</v>
      </c>
      <c r="E6747" s="5" t="s">
        <v>17</v>
      </c>
      <c r="F6747" s="5" t="s">
        <v>20</v>
      </c>
      <c r="G6747" s="5" t="s">
        <v>1320</v>
      </c>
      <c r="H6747" s="5" t="s">
        <v>1321</v>
      </c>
      <c r="I6747" s="5" t="s">
        <v>31</v>
      </c>
      <c r="J6747" s="5">
        <v>15.854947430999999</v>
      </c>
      <c r="K6747" s="5">
        <v>-96.649651988000002</v>
      </c>
      <c r="L6747" s="5" t="str">
        <f>HYPERLINK("https://maps.google.com/?q=15.854947431,-96.649651988000002", "🔗 Ver Mapa")</f>
        <v>🔗 Ver Mapa</v>
      </c>
    </row>
    <row r="6748" spans="1:12" ht="43.5" x14ac:dyDescent="0.35">
      <c r="A6748" s="6" t="s">
        <v>98</v>
      </c>
      <c r="B6748" s="6" t="s">
        <v>99</v>
      </c>
      <c r="C6748" s="6" t="s">
        <v>1319</v>
      </c>
      <c r="D6748" s="6" t="s">
        <v>14</v>
      </c>
      <c r="E6748" s="6" t="s">
        <v>17</v>
      </c>
      <c r="F6748" s="6" t="s">
        <v>20</v>
      </c>
      <c r="G6748" s="6" t="s">
        <v>1320</v>
      </c>
      <c r="H6748" s="6" t="s">
        <v>1321</v>
      </c>
      <c r="I6748" s="6" t="s">
        <v>31</v>
      </c>
      <c r="J6748" s="6">
        <v>15.8550326463</v>
      </c>
      <c r="K6748" s="6" t="s">
        <v>1323</v>
      </c>
      <c r="L6748" s="6" t="str">
        <f>HYPERLINK("https://maps.google.com/?q=15.8550326463, -96.6494630631", "🔗 Ver Mapa")</f>
        <v>🔗 Ver Mapa</v>
      </c>
    </row>
    <row r="6749" spans="1:12" ht="43.5" x14ac:dyDescent="0.35">
      <c r="A6749" s="5" t="s">
        <v>98</v>
      </c>
      <c r="B6749" s="5" t="s">
        <v>99</v>
      </c>
      <c r="C6749" s="5" t="s">
        <v>1319</v>
      </c>
      <c r="D6749" s="5" t="s">
        <v>14</v>
      </c>
      <c r="E6749" s="5" t="s">
        <v>17</v>
      </c>
      <c r="F6749" s="5" t="s">
        <v>20</v>
      </c>
      <c r="G6749" s="5" t="s">
        <v>1320</v>
      </c>
      <c r="H6749" s="5" t="s">
        <v>1321</v>
      </c>
      <c r="I6749" s="5" t="s">
        <v>31</v>
      </c>
      <c r="J6749" s="5">
        <v>15.8577031416</v>
      </c>
      <c r="K6749" s="5" t="s">
        <v>1324</v>
      </c>
      <c r="L6749" s="5" t="str">
        <f>HYPERLINK("https://maps.google.com/?q=15.8577031416, -96.6493481709", "🔗 Ver Mapa")</f>
        <v>🔗 Ver Mapa</v>
      </c>
    </row>
    <row r="6750" spans="1:12" ht="43.5" x14ac:dyDescent="0.35">
      <c r="A6750" s="6" t="s">
        <v>98</v>
      </c>
      <c r="B6750" s="6" t="s">
        <v>99</v>
      </c>
      <c r="C6750" s="6" t="s">
        <v>1319</v>
      </c>
      <c r="D6750" s="6" t="s">
        <v>14</v>
      </c>
      <c r="E6750" s="6" t="s">
        <v>17</v>
      </c>
      <c r="F6750" s="6" t="s">
        <v>20</v>
      </c>
      <c r="G6750" s="6" t="s">
        <v>1320</v>
      </c>
      <c r="H6750" s="6" t="s">
        <v>1321</v>
      </c>
      <c r="I6750" s="6" t="s">
        <v>31</v>
      </c>
      <c r="J6750" s="6">
        <v>15.857950623100001</v>
      </c>
      <c r="K6750" s="6">
        <v>-96.648974144700006</v>
      </c>
      <c r="L6750" s="6" t="str">
        <f>HYPERLINK("https://maps.google.com/?q=15.8579506231,-96.648974144700006", "🔗 Ver Mapa")</f>
        <v>🔗 Ver Mapa</v>
      </c>
    </row>
    <row r="6751" spans="1:12" ht="43.5" x14ac:dyDescent="0.35">
      <c r="A6751" s="5" t="s">
        <v>98</v>
      </c>
      <c r="B6751" s="5" t="s">
        <v>99</v>
      </c>
      <c r="C6751" s="5" t="s">
        <v>1319</v>
      </c>
      <c r="D6751" s="5" t="s">
        <v>14</v>
      </c>
      <c r="E6751" s="5" t="s">
        <v>17</v>
      </c>
      <c r="F6751" s="5" t="s">
        <v>20</v>
      </c>
      <c r="G6751" s="5" t="s">
        <v>1320</v>
      </c>
      <c r="H6751" s="5" t="s">
        <v>1321</v>
      </c>
      <c r="I6751" s="5" t="s">
        <v>31</v>
      </c>
      <c r="J6751" s="5">
        <v>15.859656921799999</v>
      </c>
      <c r="K6751" s="5">
        <v>-96.648639214100001</v>
      </c>
      <c r="L6751" s="5" t="str">
        <f>HYPERLINK("https://maps.google.com/?q=15.8596569218,-96.648639214100001", "🔗 Ver Mapa")</f>
        <v>🔗 Ver Mapa</v>
      </c>
    </row>
    <row r="6752" spans="1:12" ht="43.5" x14ac:dyDescent="0.35">
      <c r="A6752" s="6" t="s">
        <v>98</v>
      </c>
      <c r="B6752" s="6" t="s">
        <v>99</v>
      </c>
      <c r="C6752" s="6" t="s">
        <v>1325</v>
      </c>
      <c r="D6752" s="6" t="s">
        <v>14</v>
      </c>
      <c r="E6752" s="6" t="s">
        <v>39</v>
      </c>
      <c r="F6752" s="6" t="s">
        <v>494</v>
      </c>
      <c r="G6752" s="6" t="s">
        <v>1326</v>
      </c>
      <c r="H6752" s="6" t="s">
        <v>1327</v>
      </c>
      <c r="I6752" s="6" t="s">
        <v>31</v>
      </c>
      <c r="J6752" s="6">
        <v>16.699611600000001</v>
      </c>
      <c r="K6752" s="6">
        <v>-97.014742699999999</v>
      </c>
      <c r="L6752" s="6" t="str">
        <f>HYPERLINK("https://maps.google.com/?q=16.6996116,-97.014742699999999", "🔗 Ver Mapa")</f>
        <v>🔗 Ver Mapa</v>
      </c>
    </row>
    <row r="6753" spans="1:12" ht="43.5" x14ac:dyDescent="0.35">
      <c r="A6753" s="5" t="s">
        <v>98</v>
      </c>
      <c r="B6753" s="5" t="s">
        <v>99</v>
      </c>
      <c r="C6753" s="5" t="s">
        <v>1325</v>
      </c>
      <c r="D6753" s="5" t="s">
        <v>14</v>
      </c>
      <c r="E6753" s="5" t="s">
        <v>39</v>
      </c>
      <c r="F6753" s="5" t="s">
        <v>494</v>
      </c>
      <c r="G6753" s="5" t="s">
        <v>1326</v>
      </c>
      <c r="H6753" s="5" t="s">
        <v>1327</v>
      </c>
      <c r="I6753" s="5" t="s">
        <v>31</v>
      </c>
      <c r="J6753" s="5">
        <v>16.701586470889001</v>
      </c>
      <c r="K6753" s="5">
        <v>-97.014612123619003</v>
      </c>
      <c r="L6753" s="5" t="str">
        <f>HYPERLINK("https://maps.google.com/?q=16.7015864708885,-97.014612123619301", "🔗 Ver Mapa")</f>
        <v>🔗 Ver Mapa</v>
      </c>
    </row>
    <row r="6754" spans="1:12" ht="43.5" x14ac:dyDescent="0.35">
      <c r="A6754" s="6" t="s">
        <v>98</v>
      </c>
      <c r="B6754" s="6" t="s">
        <v>99</v>
      </c>
      <c r="C6754" s="6" t="s">
        <v>1325</v>
      </c>
      <c r="D6754" s="6" t="s">
        <v>14</v>
      </c>
      <c r="E6754" s="6" t="s">
        <v>39</v>
      </c>
      <c r="F6754" s="6" t="s">
        <v>494</v>
      </c>
      <c r="G6754" s="6" t="s">
        <v>1326</v>
      </c>
      <c r="H6754" s="6" t="s">
        <v>1327</v>
      </c>
      <c r="I6754" s="6" t="s">
        <v>31</v>
      </c>
      <c r="J6754" s="6">
        <v>16.702472965426001</v>
      </c>
      <c r="K6754" s="6">
        <v>-97.020420054591</v>
      </c>
      <c r="L6754" s="6" t="str">
        <f>HYPERLINK("https://maps.google.com/?q=16.7024729654262,-97.0204200545909", "🔗 Ver Mapa")</f>
        <v>🔗 Ver Mapa</v>
      </c>
    </row>
    <row r="6755" spans="1:12" ht="43.5" x14ac:dyDescent="0.35">
      <c r="A6755" s="5" t="s">
        <v>98</v>
      </c>
      <c r="B6755" s="5" t="s">
        <v>99</v>
      </c>
      <c r="C6755" s="5" t="s">
        <v>1325</v>
      </c>
      <c r="D6755" s="5" t="s">
        <v>14</v>
      </c>
      <c r="E6755" s="5" t="s">
        <v>39</v>
      </c>
      <c r="F6755" s="5" t="s">
        <v>494</v>
      </c>
      <c r="G6755" s="5" t="s">
        <v>1326</v>
      </c>
      <c r="H6755" s="5" t="s">
        <v>1327</v>
      </c>
      <c r="I6755" s="5" t="s">
        <v>31</v>
      </c>
      <c r="J6755" s="5">
        <v>16.702786388886</v>
      </c>
      <c r="K6755" s="5">
        <v>-97.018016795313997</v>
      </c>
      <c r="L6755" s="5" t="str">
        <f>HYPERLINK("https://maps.google.com/?q=16.7027863888859,-97.018016795314196", "🔗 Ver Mapa")</f>
        <v>🔗 Ver Mapa</v>
      </c>
    </row>
    <row r="6756" spans="1:12" ht="43.5" x14ac:dyDescent="0.35">
      <c r="A6756" s="6" t="s">
        <v>98</v>
      </c>
      <c r="B6756" s="6" t="s">
        <v>99</v>
      </c>
      <c r="C6756" s="6" t="s">
        <v>1325</v>
      </c>
      <c r="D6756" s="6" t="s">
        <v>14</v>
      </c>
      <c r="E6756" s="6" t="s">
        <v>39</v>
      </c>
      <c r="F6756" s="6" t="s">
        <v>494</v>
      </c>
      <c r="G6756" s="6" t="s">
        <v>1326</v>
      </c>
      <c r="H6756" s="6" t="s">
        <v>1327</v>
      </c>
      <c r="I6756" s="6" t="s">
        <v>31</v>
      </c>
      <c r="J6756" s="6">
        <v>16.703749777447001</v>
      </c>
      <c r="K6756" s="6">
        <v>-97.020519296323997</v>
      </c>
      <c r="L6756" s="6" t="str">
        <f>HYPERLINK("https://maps.google.com/?q=16.7037497774467,-97.020519296324395", "🔗 Ver Mapa")</f>
        <v>🔗 Ver Mapa</v>
      </c>
    </row>
    <row r="6757" spans="1:12" ht="43.5" x14ac:dyDescent="0.35">
      <c r="A6757" s="5" t="s">
        <v>98</v>
      </c>
      <c r="B6757" s="5" t="s">
        <v>99</v>
      </c>
      <c r="C6757" s="5" t="s">
        <v>1325</v>
      </c>
      <c r="D6757" s="5" t="s">
        <v>14</v>
      </c>
      <c r="E6757" s="5" t="s">
        <v>39</v>
      </c>
      <c r="F6757" s="5" t="s">
        <v>494</v>
      </c>
      <c r="G6757" s="5" t="s">
        <v>1326</v>
      </c>
      <c r="H6757" s="5" t="s">
        <v>1327</v>
      </c>
      <c r="I6757" s="5" t="s">
        <v>31</v>
      </c>
      <c r="J6757" s="5">
        <v>16.705208980729001</v>
      </c>
      <c r="K6757" s="5">
        <v>-97.016431609787006</v>
      </c>
      <c r="L6757" s="5" t="str">
        <f>HYPERLINK("https://maps.google.com/?q=16.7052089807292,-97.016431609786906", "🔗 Ver Mapa")</f>
        <v>🔗 Ver Mapa</v>
      </c>
    </row>
    <row r="6758" spans="1:12" ht="43.5" x14ac:dyDescent="0.35">
      <c r="A6758" s="6" t="s">
        <v>98</v>
      </c>
      <c r="B6758" s="6" t="s">
        <v>99</v>
      </c>
      <c r="C6758" s="6" t="s">
        <v>1325</v>
      </c>
      <c r="D6758" s="6" t="s">
        <v>14</v>
      </c>
      <c r="E6758" s="6" t="s">
        <v>39</v>
      </c>
      <c r="F6758" s="6" t="s">
        <v>494</v>
      </c>
      <c r="G6758" s="6" t="s">
        <v>1326</v>
      </c>
      <c r="H6758" s="6" t="s">
        <v>1327</v>
      </c>
      <c r="I6758" s="6" t="s">
        <v>31</v>
      </c>
      <c r="J6758" s="6">
        <v>16.705314310112001</v>
      </c>
      <c r="K6758" s="6">
        <v>-97.021023551618995</v>
      </c>
      <c r="L6758" s="6" t="str">
        <f>HYPERLINK("https://maps.google.com/?q=16.705314310112,-97.021023551618995", "🔗 Ver Mapa")</f>
        <v>🔗 Ver Mapa</v>
      </c>
    </row>
    <row r="6759" spans="1:12" ht="43.5" x14ac:dyDescent="0.35">
      <c r="A6759" s="5" t="s">
        <v>98</v>
      </c>
      <c r="B6759" s="5" t="s">
        <v>99</v>
      </c>
      <c r="C6759" s="5" t="s">
        <v>1325</v>
      </c>
      <c r="D6759" s="5" t="s">
        <v>14</v>
      </c>
      <c r="E6759" s="5" t="s">
        <v>39</v>
      </c>
      <c r="F6759" s="5" t="s">
        <v>494</v>
      </c>
      <c r="G6759" s="5" t="s">
        <v>1326</v>
      </c>
      <c r="H6759" s="5" t="s">
        <v>1327</v>
      </c>
      <c r="I6759" s="5" t="s">
        <v>31</v>
      </c>
      <c r="J6759" s="5">
        <v>16.7060584</v>
      </c>
      <c r="K6759" s="5">
        <v>-97.017197100000004</v>
      </c>
      <c r="L6759" s="5" t="str">
        <f>HYPERLINK("https://maps.google.com/?q=16.7060584,-97.017197100000004", "🔗 Ver Mapa")</f>
        <v>🔗 Ver Mapa</v>
      </c>
    </row>
    <row r="6760" spans="1:12" ht="43.5" x14ac:dyDescent="0.35">
      <c r="A6760" s="6" t="s">
        <v>98</v>
      </c>
      <c r="B6760" s="6" t="s">
        <v>99</v>
      </c>
      <c r="C6760" s="6" t="s">
        <v>1325</v>
      </c>
      <c r="D6760" s="6" t="s">
        <v>14</v>
      </c>
      <c r="E6760" s="6" t="s">
        <v>39</v>
      </c>
      <c r="F6760" s="6" t="s">
        <v>494</v>
      </c>
      <c r="G6760" s="6" t="s">
        <v>1326</v>
      </c>
      <c r="H6760" s="6" t="s">
        <v>1327</v>
      </c>
      <c r="I6760" s="6" t="s">
        <v>31</v>
      </c>
      <c r="J6760" s="6">
        <v>16.706323927833001</v>
      </c>
      <c r="K6760" s="6">
        <v>-97.019483963645001</v>
      </c>
      <c r="L6760" s="6" t="str">
        <f>HYPERLINK("https://maps.google.com/?q=16.7063239278334,-97.019483963645001", "🔗 Ver Mapa")</f>
        <v>🔗 Ver Mapa</v>
      </c>
    </row>
    <row r="6761" spans="1:12" ht="43.5" x14ac:dyDescent="0.35">
      <c r="A6761" s="5" t="s">
        <v>98</v>
      </c>
      <c r="B6761" s="5" t="s">
        <v>99</v>
      </c>
      <c r="C6761" s="5" t="s">
        <v>1325</v>
      </c>
      <c r="D6761" s="5" t="s">
        <v>14</v>
      </c>
      <c r="E6761" s="5" t="s">
        <v>39</v>
      </c>
      <c r="F6761" s="5" t="s">
        <v>494</v>
      </c>
      <c r="G6761" s="5" t="s">
        <v>1326</v>
      </c>
      <c r="H6761" s="5" t="s">
        <v>1327</v>
      </c>
      <c r="I6761" s="5" t="s">
        <v>31</v>
      </c>
      <c r="J6761" s="5">
        <v>16.706431825595001</v>
      </c>
      <c r="K6761" s="5">
        <v>-97.020586351549994</v>
      </c>
      <c r="L6761" s="5" t="str">
        <f>HYPERLINK("https://maps.google.com/?q=16.7064318255947,-97.020586351549696", "🔗 Ver Mapa")</f>
        <v>🔗 Ver Mapa</v>
      </c>
    </row>
    <row r="6762" spans="1:12" ht="43.5" x14ac:dyDescent="0.35">
      <c r="A6762" s="6" t="s">
        <v>98</v>
      </c>
      <c r="B6762" s="6" t="s">
        <v>99</v>
      </c>
      <c r="C6762" s="6" t="s">
        <v>1325</v>
      </c>
      <c r="D6762" s="6" t="s">
        <v>14</v>
      </c>
      <c r="E6762" s="6" t="s">
        <v>39</v>
      </c>
      <c r="F6762" s="6" t="s">
        <v>494</v>
      </c>
      <c r="G6762" s="6" t="s">
        <v>1326</v>
      </c>
      <c r="H6762" s="6" t="s">
        <v>1327</v>
      </c>
      <c r="I6762" s="6" t="s">
        <v>31</v>
      </c>
      <c r="J6762" s="6">
        <v>16.706508899999999</v>
      </c>
      <c r="K6762" s="6">
        <v>-97.018410700000004</v>
      </c>
      <c r="L6762" s="6" t="str">
        <f>HYPERLINK("https://maps.google.com/?q=16.7065089,-97.018410700000004", "🔗 Ver Mapa")</f>
        <v>🔗 Ver Mapa</v>
      </c>
    </row>
    <row r="6763" spans="1:12" ht="43.5" x14ac:dyDescent="0.35">
      <c r="A6763" s="5" t="s">
        <v>98</v>
      </c>
      <c r="B6763" s="5" t="s">
        <v>99</v>
      </c>
      <c r="C6763" s="5" t="s">
        <v>1325</v>
      </c>
      <c r="D6763" s="5" t="s">
        <v>14</v>
      </c>
      <c r="E6763" s="5" t="s">
        <v>39</v>
      </c>
      <c r="F6763" s="5" t="s">
        <v>494</v>
      </c>
      <c r="G6763" s="5" t="s">
        <v>1326</v>
      </c>
      <c r="H6763" s="5" t="s">
        <v>1327</v>
      </c>
      <c r="I6763" s="5" t="s">
        <v>31</v>
      </c>
      <c r="J6763" s="5">
        <v>16.707171694315001</v>
      </c>
      <c r="K6763" s="5">
        <v>-97.016321639216997</v>
      </c>
      <c r="L6763" s="5" t="str">
        <f>HYPERLINK("https://maps.google.com/?q=16.707171694315,-97.016321639217395", "🔗 Ver Mapa")</f>
        <v>🔗 Ver Mapa</v>
      </c>
    </row>
    <row r="6764" spans="1:12" ht="43.5" x14ac:dyDescent="0.35">
      <c r="A6764" s="6" t="s">
        <v>98</v>
      </c>
      <c r="B6764" s="6" t="s">
        <v>99</v>
      </c>
      <c r="C6764" s="6" t="s">
        <v>1325</v>
      </c>
      <c r="D6764" s="6" t="s">
        <v>14</v>
      </c>
      <c r="E6764" s="6" t="s">
        <v>39</v>
      </c>
      <c r="F6764" s="6" t="s">
        <v>494</v>
      </c>
      <c r="G6764" s="6" t="s">
        <v>1326</v>
      </c>
      <c r="H6764" s="6" t="s">
        <v>1327</v>
      </c>
      <c r="I6764" s="6" t="s">
        <v>31</v>
      </c>
      <c r="J6764" s="6">
        <v>16.707837059915999</v>
      </c>
      <c r="K6764" s="6">
        <v>-97.017072657740997</v>
      </c>
      <c r="L6764" s="6" t="str">
        <f>HYPERLINK("https://maps.google.com/?q=16.7078370599164,-97.017072657741295", "🔗 Ver Mapa")</f>
        <v>🔗 Ver Mapa</v>
      </c>
    </row>
    <row r="6765" spans="1:12" ht="43.5" x14ac:dyDescent="0.35">
      <c r="A6765" s="5" t="s">
        <v>98</v>
      </c>
      <c r="B6765" s="5" t="s">
        <v>99</v>
      </c>
      <c r="C6765" s="5" t="s">
        <v>1325</v>
      </c>
      <c r="D6765" s="5" t="s">
        <v>14</v>
      </c>
      <c r="E6765" s="5" t="s">
        <v>39</v>
      </c>
      <c r="F6765" s="5" t="s">
        <v>494</v>
      </c>
      <c r="G6765" s="5" t="s">
        <v>1326</v>
      </c>
      <c r="H6765" s="5" t="s">
        <v>1327</v>
      </c>
      <c r="I6765" s="5" t="s">
        <v>31</v>
      </c>
      <c r="J6765" s="5">
        <v>16.707875594533</v>
      </c>
      <c r="K6765" s="5">
        <v>-97.018142859137996</v>
      </c>
      <c r="L6765" s="5" t="str">
        <f>HYPERLINK("https://maps.google.com/?q=16.7078755945327,-97.018142859137896", "🔗 Ver Mapa")</f>
        <v>🔗 Ver Mapa</v>
      </c>
    </row>
    <row r="6766" spans="1:12" ht="43.5" x14ac:dyDescent="0.35">
      <c r="A6766" s="6" t="s">
        <v>98</v>
      </c>
      <c r="B6766" s="6" t="s">
        <v>99</v>
      </c>
      <c r="C6766" s="6" t="s">
        <v>1325</v>
      </c>
      <c r="D6766" s="6" t="s">
        <v>14</v>
      </c>
      <c r="E6766" s="6" t="s">
        <v>39</v>
      </c>
      <c r="F6766" s="6" t="s">
        <v>494</v>
      </c>
      <c r="G6766" s="6" t="s">
        <v>1326</v>
      </c>
      <c r="H6766" s="6" t="s">
        <v>1327</v>
      </c>
      <c r="I6766" s="6" t="s">
        <v>31</v>
      </c>
      <c r="J6766" s="6">
        <v>16.709026491490999</v>
      </c>
      <c r="K6766" s="6">
        <v>-97.020524660744996</v>
      </c>
      <c r="L6766" s="6" t="str">
        <f>HYPERLINK("https://maps.google.com/?q=16.7090264914906,-97.020524660744698", "🔗 Ver Mapa")</f>
        <v>🔗 Ver Mapa</v>
      </c>
    </row>
    <row r="6767" spans="1:12" ht="43.5" x14ac:dyDescent="0.35">
      <c r="A6767" s="5" t="s">
        <v>98</v>
      </c>
      <c r="B6767" s="5" t="s">
        <v>99</v>
      </c>
      <c r="C6767" s="5" t="s">
        <v>1325</v>
      </c>
      <c r="D6767" s="5" t="s">
        <v>14</v>
      </c>
      <c r="E6767" s="5" t="s">
        <v>39</v>
      </c>
      <c r="F6767" s="5" t="s">
        <v>494</v>
      </c>
      <c r="G6767" s="5" t="s">
        <v>1326</v>
      </c>
      <c r="H6767" s="5" t="s">
        <v>1327</v>
      </c>
      <c r="I6767" s="5" t="s">
        <v>31</v>
      </c>
      <c r="J6767" s="5">
        <v>16.709242283897002</v>
      </c>
      <c r="K6767" s="5">
        <v>-97.021525124706997</v>
      </c>
      <c r="L6767" s="5" t="str">
        <f>HYPERLINK("https://maps.google.com/?q=16.709242283897,-97.021525124706997", "🔗 Ver Mapa")</f>
        <v>🔗 Ver Mapa</v>
      </c>
    </row>
    <row r="6768" spans="1:12" ht="43.5" x14ac:dyDescent="0.35">
      <c r="A6768" s="6" t="s">
        <v>98</v>
      </c>
      <c r="B6768" s="6" t="s">
        <v>99</v>
      </c>
      <c r="C6768" s="6" t="s">
        <v>1325</v>
      </c>
      <c r="D6768" s="6" t="s">
        <v>14</v>
      </c>
      <c r="E6768" s="6" t="s">
        <v>39</v>
      </c>
      <c r="F6768" s="6" t="s">
        <v>494</v>
      </c>
      <c r="G6768" s="6" t="s">
        <v>1326</v>
      </c>
      <c r="H6768" s="6" t="s">
        <v>1327</v>
      </c>
      <c r="I6768" s="6" t="s">
        <v>31</v>
      </c>
      <c r="J6768" s="6">
        <v>16.709658454277001</v>
      </c>
      <c r="K6768" s="6">
        <v>-97.017584959662997</v>
      </c>
      <c r="L6768" s="6" t="str">
        <f>HYPERLINK("https://maps.google.com/?q=16.7096584542766,-97.017584959662699", "🔗 Ver Mapa")</f>
        <v>🔗 Ver Mapa</v>
      </c>
    </row>
    <row r="6769" spans="1:12" ht="43.5" x14ac:dyDescent="0.35">
      <c r="A6769" s="5" t="s">
        <v>98</v>
      </c>
      <c r="B6769" s="5" t="s">
        <v>99</v>
      </c>
      <c r="C6769" s="5" t="s">
        <v>1325</v>
      </c>
      <c r="D6769" s="5" t="s">
        <v>14</v>
      </c>
      <c r="E6769" s="5" t="s">
        <v>39</v>
      </c>
      <c r="F6769" s="5" t="s">
        <v>494</v>
      </c>
      <c r="G6769" s="5" t="s">
        <v>1326</v>
      </c>
      <c r="H6769" s="5" t="s">
        <v>1327</v>
      </c>
      <c r="I6769" s="5" t="s">
        <v>31</v>
      </c>
      <c r="J6769" s="5">
        <v>16.709797177534998</v>
      </c>
      <c r="K6769" s="5">
        <v>-97.020712415375002</v>
      </c>
      <c r="L6769" s="5" t="str">
        <f>HYPERLINK("https://maps.google.com/?q=16.7097971775351,-97.020712415374504", "🔗 Ver Mapa")</f>
        <v>🔗 Ver Mapa</v>
      </c>
    </row>
    <row r="6770" spans="1:12" ht="43.5" x14ac:dyDescent="0.35">
      <c r="A6770" s="6" t="s">
        <v>98</v>
      </c>
      <c r="B6770" s="6" t="s">
        <v>99</v>
      </c>
      <c r="C6770" s="6" t="s">
        <v>1325</v>
      </c>
      <c r="D6770" s="6" t="s">
        <v>14</v>
      </c>
      <c r="E6770" s="6" t="s">
        <v>39</v>
      </c>
      <c r="F6770" s="6" t="s">
        <v>494</v>
      </c>
      <c r="G6770" s="6" t="s">
        <v>1326</v>
      </c>
      <c r="H6770" s="6" t="s">
        <v>1327</v>
      </c>
      <c r="I6770" s="6" t="s">
        <v>31</v>
      </c>
      <c r="J6770" s="6">
        <v>16.710501068071</v>
      </c>
      <c r="K6770" s="6">
        <v>-97.021731654801002</v>
      </c>
      <c r="L6770" s="6" t="str">
        <f>HYPERLINK("https://maps.google.com/?q=16.7105010680712,-97.021731654801101", "🔗 Ver Mapa")</f>
        <v>🔗 Ver Mapa</v>
      </c>
    </row>
    <row r="6771" spans="1:12" ht="43.5" x14ac:dyDescent="0.35">
      <c r="A6771" s="5" t="s">
        <v>98</v>
      </c>
      <c r="B6771" s="5" t="s">
        <v>99</v>
      </c>
      <c r="C6771" s="5" t="s">
        <v>1325</v>
      </c>
      <c r="D6771" s="5" t="s">
        <v>14</v>
      </c>
      <c r="E6771" s="5" t="s">
        <v>39</v>
      </c>
      <c r="F6771" s="5" t="s">
        <v>494</v>
      </c>
      <c r="G6771" s="5" t="s">
        <v>1326</v>
      </c>
      <c r="H6771" s="5" t="s">
        <v>1327</v>
      </c>
      <c r="I6771" s="5" t="s">
        <v>31</v>
      </c>
      <c r="J6771" s="5">
        <v>16.712078389990001</v>
      </c>
      <c r="K6771" s="5">
        <v>-97.022262732185993</v>
      </c>
      <c r="L6771" s="5" t="str">
        <f>HYPERLINK("https://maps.google.com/?q=16.7120783899901,-97.022262732185894", "🔗 Ver Mapa")</f>
        <v>🔗 Ver Mapa</v>
      </c>
    </row>
    <row r="6772" spans="1:12" ht="43.5" x14ac:dyDescent="0.35">
      <c r="A6772" s="6" t="s">
        <v>98</v>
      </c>
      <c r="B6772" s="6" t="s">
        <v>99</v>
      </c>
      <c r="C6772" s="6" t="s">
        <v>1328</v>
      </c>
      <c r="D6772" s="6" t="s">
        <v>14</v>
      </c>
      <c r="E6772" s="6" t="s">
        <v>39</v>
      </c>
      <c r="F6772" s="6" t="s">
        <v>494</v>
      </c>
      <c r="G6772" s="6" t="s">
        <v>1326</v>
      </c>
      <c r="H6772" s="6" t="s">
        <v>1329</v>
      </c>
      <c r="I6772" s="6" t="s">
        <v>31</v>
      </c>
      <c r="J6772" s="6">
        <v>16.622925207750001</v>
      </c>
      <c r="K6772" s="6">
        <v>-97.042240644833001</v>
      </c>
      <c r="L6772" s="6" t="str">
        <f>HYPERLINK("https://maps.google.com/?q=16.6229252077496,-97.0422406448332", "🔗 Ver Mapa")</f>
        <v>🔗 Ver Mapa</v>
      </c>
    </row>
    <row r="6773" spans="1:12" ht="43.5" x14ac:dyDescent="0.35">
      <c r="A6773" s="5" t="s">
        <v>98</v>
      </c>
      <c r="B6773" s="5" t="s">
        <v>99</v>
      </c>
      <c r="C6773" s="5" t="s">
        <v>1328</v>
      </c>
      <c r="D6773" s="5" t="s">
        <v>14</v>
      </c>
      <c r="E6773" s="5" t="s">
        <v>39</v>
      </c>
      <c r="F6773" s="5" t="s">
        <v>494</v>
      </c>
      <c r="G6773" s="5" t="s">
        <v>1326</v>
      </c>
      <c r="H6773" s="5" t="s">
        <v>1329</v>
      </c>
      <c r="I6773" s="5" t="s">
        <v>31</v>
      </c>
      <c r="J6773" s="5">
        <v>16.624085611001998</v>
      </c>
      <c r="K6773" s="5">
        <v>-97.042477014503007</v>
      </c>
      <c r="L6773" s="5" t="str">
        <f>HYPERLINK("https://maps.google.com/?q=16.6240856110017,-97.042477014502893", "🔗 Ver Mapa")</f>
        <v>🔗 Ver Mapa</v>
      </c>
    </row>
    <row r="6774" spans="1:12" ht="43.5" x14ac:dyDescent="0.35">
      <c r="A6774" s="6" t="s">
        <v>98</v>
      </c>
      <c r="B6774" s="6" t="s">
        <v>99</v>
      </c>
      <c r="C6774" s="6" t="s">
        <v>1328</v>
      </c>
      <c r="D6774" s="6" t="s">
        <v>14</v>
      </c>
      <c r="E6774" s="6" t="s">
        <v>39</v>
      </c>
      <c r="F6774" s="6" t="s">
        <v>494</v>
      </c>
      <c r="G6774" s="6" t="s">
        <v>1326</v>
      </c>
      <c r="H6774" s="6" t="s">
        <v>1329</v>
      </c>
      <c r="I6774" s="6" t="s">
        <v>31</v>
      </c>
      <c r="J6774" s="6">
        <v>16.626706015821998</v>
      </c>
      <c r="K6774" s="6">
        <v>-97.044518172817007</v>
      </c>
      <c r="L6774" s="6" t="str">
        <f>HYPERLINK("https://maps.google.com/?q=16.6267060158224,-97.044518172817405", "🔗 Ver Mapa")</f>
        <v>🔗 Ver Mapa</v>
      </c>
    </row>
    <row r="6775" spans="1:12" ht="43.5" x14ac:dyDescent="0.35">
      <c r="A6775" s="5" t="s">
        <v>98</v>
      </c>
      <c r="B6775" s="5" t="s">
        <v>99</v>
      </c>
      <c r="C6775" s="5" t="s">
        <v>1328</v>
      </c>
      <c r="D6775" s="5" t="s">
        <v>14</v>
      </c>
      <c r="E6775" s="5" t="s">
        <v>39</v>
      </c>
      <c r="F6775" s="5" t="s">
        <v>494</v>
      </c>
      <c r="G6775" s="5" t="s">
        <v>1326</v>
      </c>
      <c r="H6775" s="5" t="s">
        <v>1329</v>
      </c>
      <c r="I6775" s="5" t="s">
        <v>31</v>
      </c>
      <c r="J6775" s="5">
        <v>16.631000540106001</v>
      </c>
      <c r="K6775" s="5">
        <v>-97.041800424662</v>
      </c>
      <c r="L6775" s="5" t="str">
        <f>HYPERLINK("https://maps.google.com/?q=16.6310005401063,-97.041800424661901", "🔗 Ver Mapa")</f>
        <v>🔗 Ver Mapa</v>
      </c>
    </row>
    <row r="6776" spans="1:12" ht="43.5" x14ac:dyDescent="0.35">
      <c r="A6776" s="6" t="s">
        <v>98</v>
      </c>
      <c r="B6776" s="6" t="s">
        <v>99</v>
      </c>
      <c r="C6776" s="6" t="s">
        <v>1328</v>
      </c>
      <c r="D6776" s="6" t="s">
        <v>14</v>
      </c>
      <c r="E6776" s="6" t="s">
        <v>39</v>
      </c>
      <c r="F6776" s="6" t="s">
        <v>494</v>
      </c>
      <c r="G6776" s="6" t="s">
        <v>1326</v>
      </c>
      <c r="H6776" s="6" t="s">
        <v>1329</v>
      </c>
      <c r="I6776" s="6" t="s">
        <v>31</v>
      </c>
      <c r="J6776" s="6">
        <v>16.631030418929999</v>
      </c>
      <c r="K6776" s="6">
        <v>-97.041899326456999</v>
      </c>
      <c r="L6776" s="6" t="str">
        <f>HYPERLINK("https://maps.google.com/?q=16.6310304189295,-97.041899326457397", "🔗 Ver Mapa")</f>
        <v>🔗 Ver Mapa</v>
      </c>
    </row>
    <row r="6777" spans="1:12" ht="43.5" x14ac:dyDescent="0.35">
      <c r="A6777" s="5" t="s">
        <v>98</v>
      </c>
      <c r="B6777" s="5" t="s">
        <v>99</v>
      </c>
      <c r="C6777" s="5" t="s">
        <v>1328</v>
      </c>
      <c r="D6777" s="5" t="s">
        <v>14</v>
      </c>
      <c r="E6777" s="5" t="s">
        <v>39</v>
      </c>
      <c r="F6777" s="5" t="s">
        <v>494</v>
      </c>
      <c r="G6777" s="5" t="s">
        <v>1326</v>
      </c>
      <c r="H6777" s="5" t="s">
        <v>1329</v>
      </c>
      <c r="I6777" s="5" t="s">
        <v>31</v>
      </c>
      <c r="J6777" s="5">
        <v>16.632341839273</v>
      </c>
      <c r="K6777" s="5">
        <v>-97.039063217036997</v>
      </c>
      <c r="L6777" s="5" t="str">
        <f>HYPERLINK("https://maps.google.com/?q=16.6323418392732,-97.039063217036698", "🔗 Ver Mapa")</f>
        <v>🔗 Ver Mapa</v>
      </c>
    </row>
    <row r="6778" spans="1:12" ht="43.5" x14ac:dyDescent="0.35">
      <c r="A6778" s="6" t="s">
        <v>98</v>
      </c>
      <c r="B6778" s="6" t="s">
        <v>99</v>
      </c>
      <c r="C6778" s="6" t="s">
        <v>1328</v>
      </c>
      <c r="D6778" s="6" t="s">
        <v>14</v>
      </c>
      <c r="E6778" s="6" t="s">
        <v>39</v>
      </c>
      <c r="F6778" s="6" t="s">
        <v>494</v>
      </c>
      <c r="G6778" s="6" t="s">
        <v>1326</v>
      </c>
      <c r="H6778" s="6" t="s">
        <v>1329</v>
      </c>
      <c r="I6778" s="6" t="s">
        <v>31</v>
      </c>
      <c r="J6778" s="6">
        <v>16.632372679132999</v>
      </c>
      <c r="K6778" s="6">
        <v>-97.038567008369</v>
      </c>
      <c r="L6778" s="6" t="str">
        <f>HYPERLINK("https://maps.google.com/?q=16.6323726791329,-97.038567008368503", "🔗 Ver Mapa")</f>
        <v>🔗 Ver Mapa</v>
      </c>
    </row>
    <row r="6779" spans="1:12" ht="43.5" x14ac:dyDescent="0.35">
      <c r="A6779" s="5" t="s">
        <v>98</v>
      </c>
      <c r="B6779" s="5" t="s">
        <v>99</v>
      </c>
      <c r="C6779" s="5" t="s">
        <v>1328</v>
      </c>
      <c r="D6779" s="5" t="s">
        <v>14</v>
      </c>
      <c r="E6779" s="5" t="s">
        <v>39</v>
      </c>
      <c r="F6779" s="5" t="s">
        <v>494</v>
      </c>
      <c r="G6779" s="5" t="s">
        <v>1326</v>
      </c>
      <c r="H6779" s="5" t="s">
        <v>1329</v>
      </c>
      <c r="I6779" s="5" t="s">
        <v>31</v>
      </c>
      <c r="J6779" s="5">
        <v>16.63271191726</v>
      </c>
      <c r="K6779" s="5">
        <v>-97.039830328815</v>
      </c>
      <c r="L6779" s="5" t="str">
        <f>HYPERLINK("https://maps.google.com/?q=16.6327119172604,-97.039830328814602", "🔗 Ver Mapa")</f>
        <v>🔗 Ver Mapa</v>
      </c>
    </row>
    <row r="6780" spans="1:12" ht="43.5" x14ac:dyDescent="0.35">
      <c r="A6780" s="6" t="s">
        <v>98</v>
      </c>
      <c r="B6780" s="6" t="s">
        <v>99</v>
      </c>
      <c r="C6780" s="6" t="s">
        <v>1328</v>
      </c>
      <c r="D6780" s="6" t="s">
        <v>14</v>
      </c>
      <c r="E6780" s="6" t="s">
        <v>39</v>
      </c>
      <c r="F6780" s="6" t="s">
        <v>494</v>
      </c>
      <c r="G6780" s="6" t="s">
        <v>1326</v>
      </c>
      <c r="H6780" s="6" t="s">
        <v>1329</v>
      </c>
      <c r="I6780" s="6" t="s">
        <v>31</v>
      </c>
      <c r="J6780" s="6">
        <v>16.633847214174999</v>
      </c>
      <c r="K6780" s="6">
        <v>-97.040061365791999</v>
      </c>
      <c r="L6780" s="6" t="str">
        <f>HYPERLINK("https://maps.google.com/?q=16.6338472141746,-97.040061365792297", "🔗 Ver Mapa")</f>
        <v>🔗 Ver Mapa</v>
      </c>
    </row>
    <row r="6781" spans="1:12" ht="43.5" x14ac:dyDescent="0.35">
      <c r="A6781" s="5" t="s">
        <v>98</v>
      </c>
      <c r="B6781" s="5" t="s">
        <v>99</v>
      </c>
      <c r="C6781" s="5" t="s">
        <v>1328</v>
      </c>
      <c r="D6781" s="5" t="s">
        <v>14</v>
      </c>
      <c r="E6781" s="5" t="s">
        <v>39</v>
      </c>
      <c r="F6781" s="5" t="s">
        <v>494</v>
      </c>
      <c r="G6781" s="5" t="s">
        <v>1326</v>
      </c>
      <c r="H6781" s="5" t="s">
        <v>1329</v>
      </c>
      <c r="I6781" s="5" t="s">
        <v>31</v>
      </c>
      <c r="J6781" s="5">
        <v>16.633923581441</v>
      </c>
      <c r="K6781" s="5">
        <v>-97.040513630226002</v>
      </c>
      <c r="L6781" s="5" t="str">
        <f>HYPERLINK("https://maps.google.com/?q=16.633923581441,-97.040513630225504", "🔗 Ver Mapa")</f>
        <v>🔗 Ver Mapa</v>
      </c>
    </row>
    <row r="6782" spans="1:12" ht="43.5" x14ac:dyDescent="0.35">
      <c r="A6782" s="6" t="s">
        <v>98</v>
      </c>
      <c r="B6782" s="6" t="s">
        <v>99</v>
      </c>
      <c r="C6782" s="6" t="s">
        <v>1328</v>
      </c>
      <c r="D6782" s="6" t="s">
        <v>14</v>
      </c>
      <c r="E6782" s="6" t="s">
        <v>39</v>
      </c>
      <c r="F6782" s="6" t="s">
        <v>494</v>
      </c>
      <c r="G6782" s="6" t="s">
        <v>1326</v>
      </c>
      <c r="H6782" s="6" t="s">
        <v>1329</v>
      </c>
      <c r="I6782" s="6" t="s">
        <v>31</v>
      </c>
      <c r="J6782" s="6">
        <v>16.635688075299001</v>
      </c>
      <c r="K6782" s="6">
        <v>-97.040406084417995</v>
      </c>
      <c r="L6782" s="6" t="str">
        <f>HYPERLINK("https://maps.google.com/?q=16.6356880752987,-97.040406084417995", "🔗 Ver Mapa")</f>
        <v>🔗 Ver Mapa</v>
      </c>
    </row>
    <row r="6783" spans="1:12" ht="43.5" x14ac:dyDescent="0.35">
      <c r="A6783" s="5" t="s">
        <v>98</v>
      </c>
      <c r="B6783" s="5" t="s">
        <v>99</v>
      </c>
      <c r="C6783" s="5" t="s">
        <v>1328</v>
      </c>
      <c r="D6783" s="5" t="s">
        <v>14</v>
      </c>
      <c r="E6783" s="5" t="s">
        <v>39</v>
      </c>
      <c r="F6783" s="5" t="s">
        <v>494</v>
      </c>
      <c r="G6783" s="5" t="s">
        <v>1326</v>
      </c>
      <c r="H6783" s="5" t="s">
        <v>1329</v>
      </c>
      <c r="I6783" s="5" t="s">
        <v>31</v>
      </c>
      <c r="J6783" s="5">
        <v>16.636476916233001</v>
      </c>
      <c r="K6783" s="5">
        <v>-97.039917867610001</v>
      </c>
      <c r="L6783" s="5" t="str">
        <f>HYPERLINK("https://maps.google.com/?q=16.6364769162331,-97.0399178676101", "🔗 Ver Mapa")</f>
        <v>🔗 Ver Mapa</v>
      </c>
    </row>
    <row r="6784" spans="1:12" ht="43.5" x14ac:dyDescent="0.35">
      <c r="A6784" s="6" t="s">
        <v>98</v>
      </c>
      <c r="B6784" s="6" t="s">
        <v>99</v>
      </c>
      <c r="C6784" s="6" t="s">
        <v>1328</v>
      </c>
      <c r="D6784" s="6" t="s">
        <v>14</v>
      </c>
      <c r="E6784" s="6" t="s">
        <v>39</v>
      </c>
      <c r="F6784" s="6" t="s">
        <v>494</v>
      </c>
      <c r="G6784" s="6" t="s">
        <v>1326</v>
      </c>
      <c r="H6784" s="6" t="s">
        <v>1329</v>
      </c>
      <c r="I6784" s="6" t="s">
        <v>31</v>
      </c>
      <c r="J6784" s="6">
        <v>16.637531870861999</v>
      </c>
      <c r="K6784" s="6">
        <v>-97.039156120249999</v>
      </c>
      <c r="L6784" s="6" t="str">
        <f>HYPERLINK("https://maps.google.com/?q=16.6375318708615,-97.039156120249999", "🔗 Ver Mapa")</f>
        <v>🔗 Ver Mapa</v>
      </c>
    </row>
    <row r="6785" spans="1:12" ht="43.5" x14ac:dyDescent="0.35">
      <c r="A6785" s="5" t="s">
        <v>98</v>
      </c>
      <c r="B6785" s="5" t="s">
        <v>99</v>
      </c>
      <c r="C6785" s="5" t="s">
        <v>1328</v>
      </c>
      <c r="D6785" s="5" t="s">
        <v>14</v>
      </c>
      <c r="E6785" s="5" t="s">
        <v>39</v>
      </c>
      <c r="F6785" s="5" t="s">
        <v>494</v>
      </c>
      <c r="G6785" s="5" t="s">
        <v>1326</v>
      </c>
      <c r="H6785" s="5" t="s">
        <v>1329</v>
      </c>
      <c r="I6785" s="5" t="s">
        <v>31</v>
      </c>
      <c r="J6785" s="5">
        <v>16.637826504797001</v>
      </c>
      <c r="K6785" s="5">
        <v>-97.039368685314003</v>
      </c>
      <c r="L6785" s="5" t="str">
        <f>HYPERLINK("https://maps.google.com/?q=16.6378265047974,-97.0393686853145", "🔗 Ver Mapa")</f>
        <v>🔗 Ver Mapa</v>
      </c>
    </row>
    <row r="6786" spans="1:12" ht="43.5" x14ac:dyDescent="0.35">
      <c r="A6786" s="6" t="s">
        <v>98</v>
      </c>
      <c r="B6786" s="6" t="s">
        <v>99</v>
      </c>
      <c r="C6786" s="6" t="s">
        <v>1328</v>
      </c>
      <c r="D6786" s="6" t="s">
        <v>14</v>
      </c>
      <c r="E6786" s="6" t="s">
        <v>39</v>
      </c>
      <c r="F6786" s="6" t="s">
        <v>494</v>
      </c>
      <c r="G6786" s="6" t="s">
        <v>1326</v>
      </c>
      <c r="H6786" s="6" t="s">
        <v>1329</v>
      </c>
      <c r="I6786" s="6" t="s">
        <v>31</v>
      </c>
      <c r="J6786" s="6">
        <v>16.639259484720998</v>
      </c>
      <c r="K6786" s="6">
        <v>-97.039348820119002</v>
      </c>
      <c r="L6786" s="6" t="str">
        <f>HYPERLINK("https://maps.google.com/?q=16.6392594847209,-97.039348820118803", "🔗 Ver Mapa")</f>
        <v>🔗 Ver Mapa</v>
      </c>
    </row>
    <row r="6787" spans="1:12" ht="43.5" x14ac:dyDescent="0.35">
      <c r="A6787" s="5" t="s">
        <v>98</v>
      </c>
      <c r="B6787" s="5" t="s">
        <v>99</v>
      </c>
      <c r="C6787" s="5" t="s">
        <v>1328</v>
      </c>
      <c r="D6787" s="5" t="s">
        <v>14</v>
      </c>
      <c r="E6787" s="5" t="s">
        <v>39</v>
      </c>
      <c r="F6787" s="5" t="s">
        <v>494</v>
      </c>
      <c r="G6787" s="5" t="s">
        <v>1326</v>
      </c>
      <c r="H6787" s="5" t="s">
        <v>1329</v>
      </c>
      <c r="I6787" s="5" t="s">
        <v>31</v>
      </c>
      <c r="J6787" s="5">
        <v>16.639432950524998</v>
      </c>
      <c r="K6787" s="5">
        <v>-97.039372962515998</v>
      </c>
      <c r="L6787" s="5" t="str">
        <f>HYPERLINK("https://maps.google.com/?q=16.6394329505248,-97.039372962516097", "🔗 Ver Mapa")</f>
        <v>🔗 Ver Mapa</v>
      </c>
    </row>
    <row r="6788" spans="1:12" ht="43.5" x14ac:dyDescent="0.35">
      <c r="A6788" s="6" t="s">
        <v>98</v>
      </c>
      <c r="B6788" s="6" t="s">
        <v>99</v>
      </c>
      <c r="C6788" s="6" t="s">
        <v>1328</v>
      </c>
      <c r="D6788" s="6" t="s">
        <v>14</v>
      </c>
      <c r="E6788" s="6" t="s">
        <v>39</v>
      </c>
      <c r="F6788" s="6" t="s">
        <v>494</v>
      </c>
      <c r="G6788" s="6" t="s">
        <v>1326</v>
      </c>
      <c r="H6788" s="6" t="s">
        <v>1329</v>
      </c>
      <c r="I6788" s="6" t="s">
        <v>31</v>
      </c>
      <c r="J6788" s="6">
        <v>16.640307353186</v>
      </c>
      <c r="K6788" s="6">
        <v>-97.039368988863998</v>
      </c>
      <c r="L6788" s="6" t="str">
        <f>HYPERLINK("https://maps.google.com/?q=16.6403073531862,-97.039368988863799", "🔗 Ver Mapa")</f>
        <v>🔗 Ver Mapa</v>
      </c>
    </row>
    <row r="6789" spans="1:12" ht="43.5" x14ac:dyDescent="0.35">
      <c r="A6789" s="5" t="s">
        <v>98</v>
      </c>
      <c r="B6789" s="5" t="s">
        <v>99</v>
      </c>
      <c r="C6789" s="5" t="s">
        <v>1328</v>
      </c>
      <c r="D6789" s="5" t="s">
        <v>14</v>
      </c>
      <c r="E6789" s="5" t="s">
        <v>39</v>
      </c>
      <c r="F6789" s="5" t="s">
        <v>494</v>
      </c>
      <c r="G6789" s="5" t="s">
        <v>1326</v>
      </c>
      <c r="H6789" s="5" t="s">
        <v>1329</v>
      </c>
      <c r="I6789" s="5" t="s">
        <v>31</v>
      </c>
      <c r="J6789" s="5">
        <v>16.640779118935999</v>
      </c>
      <c r="K6789" s="5" t="s">
        <v>1330</v>
      </c>
      <c r="L6789" s="5" t="str">
        <f>HYPERLINK("https://maps.google.com/?q=16.6407791189361, -97.039361411", "🔗 Ver Mapa")</f>
        <v>🔗 Ver Mapa</v>
      </c>
    </row>
    <row r="6790" spans="1:12" ht="43.5" x14ac:dyDescent="0.35">
      <c r="A6790" s="6" t="s">
        <v>98</v>
      </c>
      <c r="B6790" s="6" t="s">
        <v>99</v>
      </c>
      <c r="C6790" s="6" t="s">
        <v>1328</v>
      </c>
      <c r="D6790" s="6" t="s">
        <v>14</v>
      </c>
      <c r="E6790" s="6" t="s">
        <v>39</v>
      </c>
      <c r="F6790" s="6" t="s">
        <v>494</v>
      </c>
      <c r="G6790" s="6" t="s">
        <v>1326</v>
      </c>
      <c r="H6790" s="6" t="s">
        <v>1329</v>
      </c>
      <c r="I6790" s="6" t="s">
        <v>31</v>
      </c>
      <c r="J6790" s="6">
        <v>16.642948552911999</v>
      </c>
      <c r="K6790" s="6">
        <v>-97.038476298028002</v>
      </c>
      <c r="L6790" s="6" t="str">
        <f>HYPERLINK("https://maps.google.com/?q=16.6429485529123,-97.038476298028499", "🔗 Ver Mapa")</f>
        <v>🔗 Ver Mapa</v>
      </c>
    </row>
    <row r="6791" spans="1:12" ht="43.5" x14ac:dyDescent="0.35">
      <c r="A6791" s="5" t="s">
        <v>98</v>
      </c>
      <c r="B6791" s="5" t="s">
        <v>99</v>
      </c>
      <c r="C6791" s="5" t="s">
        <v>1328</v>
      </c>
      <c r="D6791" s="5" t="s">
        <v>14</v>
      </c>
      <c r="E6791" s="5" t="s">
        <v>39</v>
      </c>
      <c r="F6791" s="5" t="s">
        <v>494</v>
      </c>
      <c r="G6791" s="5" t="s">
        <v>1326</v>
      </c>
      <c r="H6791" s="5" t="s">
        <v>1329</v>
      </c>
      <c r="I6791" s="5" t="s">
        <v>31</v>
      </c>
      <c r="J6791" s="5">
        <v>16.643412509333999</v>
      </c>
      <c r="K6791" s="5">
        <v>-97.037706816829996</v>
      </c>
      <c r="L6791" s="5" t="str">
        <f>HYPERLINK("https://maps.google.com/?q=16.6434125093342,-97.037706816829598", "🔗 Ver Mapa")</f>
        <v>🔗 Ver Mapa</v>
      </c>
    </row>
    <row r="6792" spans="1:12" ht="43.5" x14ac:dyDescent="0.35">
      <c r="A6792" s="6" t="s">
        <v>98</v>
      </c>
      <c r="B6792" s="6" t="s">
        <v>99</v>
      </c>
      <c r="C6792" s="6" t="s">
        <v>1328</v>
      </c>
      <c r="D6792" s="6" t="s">
        <v>14</v>
      </c>
      <c r="E6792" s="6" t="s">
        <v>39</v>
      </c>
      <c r="F6792" s="6" t="s">
        <v>494</v>
      </c>
      <c r="G6792" s="6" t="s">
        <v>1326</v>
      </c>
      <c r="H6792" s="6" t="s">
        <v>1329</v>
      </c>
      <c r="I6792" s="6" t="s">
        <v>31</v>
      </c>
      <c r="J6792" s="6">
        <v>16.643582118706</v>
      </c>
      <c r="K6792" s="6">
        <v>-97.036709035076001</v>
      </c>
      <c r="L6792" s="6" t="str">
        <f>HYPERLINK("https://maps.google.com/?q=16.6435821187063,-97.036709035076399", "🔗 Ver Mapa")</f>
        <v>🔗 Ver Mapa</v>
      </c>
    </row>
    <row r="6793" spans="1:12" ht="43.5" x14ac:dyDescent="0.35">
      <c r="A6793" s="5" t="s">
        <v>98</v>
      </c>
      <c r="B6793" s="5" t="s">
        <v>99</v>
      </c>
      <c r="C6793" s="5" t="s">
        <v>1328</v>
      </c>
      <c r="D6793" s="5" t="s">
        <v>14</v>
      </c>
      <c r="E6793" s="5" t="s">
        <v>39</v>
      </c>
      <c r="F6793" s="5" t="s">
        <v>494</v>
      </c>
      <c r="G6793" s="5" t="s">
        <v>1326</v>
      </c>
      <c r="H6793" s="5" t="s">
        <v>1329</v>
      </c>
      <c r="I6793" s="5" t="s">
        <v>31</v>
      </c>
      <c r="J6793" s="5">
        <v>16.644346715282001</v>
      </c>
      <c r="K6793" s="5" t="s">
        <v>1331</v>
      </c>
      <c r="L6793" s="5" t="str">
        <f>HYPERLINK("https://maps.google.com/?q=16.6443467152824, -97.03941103218749", "🔗 Ver Mapa")</f>
        <v>🔗 Ver Mapa</v>
      </c>
    </row>
    <row r="6794" spans="1:12" ht="43.5" x14ac:dyDescent="0.35">
      <c r="A6794" s="6" t="s">
        <v>98</v>
      </c>
      <c r="B6794" s="6" t="s">
        <v>99</v>
      </c>
      <c r="C6794" s="6" t="s">
        <v>1328</v>
      </c>
      <c r="D6794" s="6" t="s">
        <v>14</v>
      </c>
      <c r="E6794" s="6" t="s">
        <v>39</v>
      </c>
      <c r="F6794" s="6" t="s">
        <v>494</v>
      </c>
      <c r="G6794" s="6" t="s">
        <v>1326</v>
      </c>
      <c r="H6794" s="6" t="s">
        <v>1329</v>
      </c>
      <c r="I6794" s="6" t="s">
        <v>31</v>
      </c>
      <c r="J6794" s="6">
        <v>16.645088751561001</v>
      </c>
      <c r="K6794" s="6">
        <v>-97.039693334686007</v>
      </c>
      <c r="L6794" s="6" t="str">
        <f>HYPERLINK("https://maps.google.com/?q=16.6450887515605,-97.039693334686206", "🔗 Ver Mapa")</f>
        <v>🔗 Ver Mapa</v>
      </c>
    </row>
    <row r="6795" spans="1:12" ht="43.5" x14ac:dyDescent="0.35">
      <c r="A6795" s="5" t="s">
        <v>98</v>
      </c>
      <c r="B6795" s="5" t="s">
        <v>99</v>
      </c>
      <c r="C6795" s="5" t="s">
        <v>1328</v>
      </c>
      <c r="D6795" s="5" t="s">
        <v>14</v>
      </c>
      <c r="E6795" s="5" t="s">
        <v>39</v>
      </c>
      <c r="F6795" s="5" t="s">
        <v>494</v>
      </c>
      <c r="G6795" s="5" t="s">
        <v>1326</v>
      </c>
      <c r="H6795" s="5" t="s">
        <v>1329</v>
      </c>
      <c r="I6795" s="5" t="s">
        <v>31</v>
      </c>
      <c r="J6795" s="5">
        <v>16.645115734644001</v>
      </c>
      <c r="K6795" s="5">
        <v>-97.039419749366999</v>
      </c>
      <c r="L6795" s="5" t="str">
        <f>HYPERLINK("https://maps.google.com/?q=16.6451157346437,-97.0394197493668", "🔗 Ver Mapa")</f>
        <v>🔗 Ver Mapa</v>
      </c>
    </row>
    <row r="6796" spans="1:12" ht="43.5" x14ac:dyDescent="0.35">
      <c r="A6796" s="6" t="s">
        <v>98</v>
      </c>
      <c r="B6796" s="6" t="s">
        <v>99</v>
      </c>
      <c r="C6796" s="6" t="s">
        <v>1328</v>
      </c>
      <c r="D6796" s="6" t="s">
        <v>14</v>
      </c>
      <c r="E6796" s="6" t="s">
        <v>39</v>
      </c>
      <c r="F6796" s="6" t="s">
        <v>494</v>
      </c>
      <c r="G6796" s="6" t="s">
        <v>1326</v>
      </c>
      <c r="H6796" s="6" t="s">
        <v>1329</v>
      </c>
      <c r="I6796" s="6" t="s">
        <v>31</v>
      </c>
      <c r="J6796" s="6">
        <v>16.645286627415999</v>
      </c>
      <c r="K6796" s="6">
        <v>-97.039443889248005</v>
      </c>
      <c r="L6796" s="6" t="str">
        <f>HYPERLINK("https://maps.google.com/?q=16.6452866274161,-97.039443889247906", "🔗 Ver Mapa")</f>
        <v>🔗 Ver Mapa</v>
      </c>
    </row>
    <row r="6797" spans="1:12" ht="43.5" x14ac:dyDescent="0.35">
      <c r="A6797" s="5" t="s">
        <v>98</v>
      </c>
      <c r="B6797" s="5" t="s">
        <v>99</v>
      </c>
      <c r="C6797" s="5" t="s">
        <v>1328</v>
      </c>
      <c r="D6797" s="5" t="s">
        <v>14</v>
      </c>
      <c r="E6797" s="5" t="s">
        <v>39</v>
      </c>
      <c r="F6797" s="5" t="s">
        <v>494</v>
      </c>
      <c r="G6797" s="5" t="s">
        <v>1326</v>
      </c>
      <c r="H6797" s="5" t="s">
        <v>1329</v>
      </c>
      <c r="I6797" s="5" t="s">
        <v>31</v>
      </c>
      <c r="J6797" s="5">
        <v>16.646447366446999</v>
      </c>
      <c r="K6797" s="5">
        <v>-97.037426215172005</v>
      </c>
      <c r="L6797" s="5" t="str">
        <f>HYPERLINK("https://maps.google.com/?q=16.6464473664467,-97.037426215171905", "🔗 Ver Mapa")</f>
        <v>🔗 Ver Mapa</v>
      </c>
    </row>
    <row r="6798" spans="1:12" ht="43.5" x14ac:dyDescent="0.35">
      <c r="A6798" s="6" t="s">
        <v>98</v>
      </c>
      <c r="B6798" s="6" t="s">
        <v>99</v>
      </c>
      <c r="C6798" s="6" t="s">
        <v>1328</v>
      </c>
      <c r="D6798" s="6" t="s">
        <v>14</v>
      </c>
      <c r="E6798" s="6" t="s">
        <v>39</v>
      </c>
      <c r="F6798" s="6" t="s">
        <v>494</v>
      </c>
      <c r="G6798" s="6" t="s">
        <v>1326</v>
      </c>
      <c r="H6798" s="6" t="s">
        <v>1329</v>
      </c>
      <c r="I6798" s="6" t="s">
        <v>31</v>
      </c>
      <c r="J6798" s="6">
        <v>16.646632380307</v>
      </c>
      <c r="K6798" s="6">
        <v>-97.037612508961999</v>
      </c>
      <c r="L6798" s="6" t="str">
        <f>HYPERLINK("https://maps.google.com/?q=16.6466323803071,-97.037612508962098", "🔗 Ver Mapa")</f>
        <v>🔗 Ver Mapa</v>
      </c>
    </row>
    <row r="6799" spans="1:12" ht="43.5" x14ac:dyDescent="0.35">
      <c r="A6799" s="5" t="s">
        <v>98</v>
      </c>
      <c r="B6799" s="5" t="s">
        <v>99</v>
      </c>
      <c r="C6799" s="5" t="s">
        <v>1328</v>
      </c>
      <c r="D6799" s="5" t="s">
        <v>14</v>
      </c>
      <c r="E6799" s="5" t="s">
        <v>39</v>
      </c>
      <c r="F6799" s="5" t="s">
        <v>494</v>
      </c>
      <c r="G6799" s="5" t="s">
        <v>1326</v>
      </c>
      <c r="H6799" s="5" t="s">
        <v>1329</v>
      </c>
      <c r="I6799" s="5" t="s">
        <v>31</v>
      </c>
      <c r="J6799" s="5">
        <v>16.646712686444001</v>
      </c>
      <c r="K6799" s="5">
        <v>-97.037831779548995</v>
      </c>
      <c r="L6799" s="5" t="str">
        <f>HYPERLINK("https://maps.google.com/?q=16.6467126864445,-97.037831779548995", "🔗 Ver Mapa")</f>
        <v>🔗 Ver Mapa</v>
      </c>
    </row>
    <row r="6800" spans="1:12" ht="43.5" x14ac:dyDescent="0.35">
      <c r="A6800" s="6" t="s">
        <v>98</v>
      </c>
      <c r="B6800" s="6" t="s">
        <v>99</v>
      </c>
      <c r="C6800" s="6" t="s">
        <v>1328</v>
      </c>
      <c r="D6800" s="6" t="s">
        <v>14</v>
      </c>
      <c r="E6800" s="6" t="s">
        <v>39</v>
      </c>
      <c r="F6800" s="6" t="s">
        <v>494</v>
      </c>
      <c r="G6800" s="6" t="s">
        <v>1326</v>
      </c>
      <c r="H6800" s="6" t="s">
        <v>1329</v>
      </c>
      <c r="I6800" s="6" t="s">
        <v>31</v>
      </c>
      <c r="J6800" s="6">
        <v>16.648541948291999</v>
      </c>
      <c r="K6800" s="6">
        <v>-97.040673578463995</v>
      </c>
      <c r="L6800" s="6" t="str">
        <f>HYPERLINK("https://maps.google.com/?q=16.6485419482923,-97.040673578464407", "🔗 Ver Mapa")</f>
        <v>🔗 Ver Mapa</v>
      </c>
    </row>
    <row r="6801" spans="1:12" ht="43.5" x14ac:dyDescent="0.35">
      <c r="A6801" s="5" t="s">
        <v>98</v>
      </c>
      <c r="B6801" s="5" t="s">
        <v>99</v>
      </c>
      <c r="C6801" s="5" t="s">
        <v>1328</v>
      </c>
      <c r="D6801" s="5" t="s">
        <v>14</v>
      </c>
      <c r="E6801" s="5" t="s">
        <v>39</v>
      </c>
      <c r="F6801" s="5" t="s">
        <v>494</v>
      </c>
      <c r="G6801" s="5" t="s">
        <v>1326</v>
      </c>
      <c r="H6801" s="5" t="s">
        <v>1329</v>
      </c>
      <c r="I6801" s="5" t="s">
        <v>31</v>
      </c>
      <c r="J6801" s="5">
        <v>16.649585269822001</v>
      </c>
      <c r="K6801" s="5">
        <v>-97.039910492407003</v>
      </c>
      <c r="L6801" s="5" t="str">
        <f>HYPERLINK("https://maps.google.com/?q=16.6495852698223,-97.039910492406605", "🔗 Ver Mapa")</f>
        <v>🔗 Ver Mapa</v>
      </c>
    </row>
    <row r="6802" spans="1:12" ht="43.5" x14ac:dyDescent="0.35">
      <c r="A6802" s="6" t="s">
        <v>98</v>
      </c>
      <c r="B6802" s="6" t="s">
        <v>99</v>
      </c>
      <c r="C6802" s="6" t="s">
        <v>1332</v>
      </c>
      <c r="D6802" s="6" t="s">
        <v>14</v>
      </c>
      <c r="E6802" s="6" t="s">
        <v>39</v>
      </c>
      <c r="F6802" s="6" t="s">
        <v>494</v>
      </c>
      <c r="G6802" s="6" t="s">
        <v>639</v>
      </c>
      <c r="H6802" s="6" t="s">
        <v>1141</v>
      </c>
      <c r="I6802" s="6" t="s">
        <v>31</v>
      </c>
      <c r="J6802" s="6">
        <v>16.357278598876</v>
      </c>
      <c r="K6802" s="6">
        <v>-97.045361134722</v>
      </c>
      <c r="L6802" s="6" t="str">
        <f>HYPERLINK("https://maps.google.com/?q=16.3572785988759,-97.0453611347221", "🔗 Ver Mapa")</f>
        <v>🔗 Ver Mapa</v>
      </c>
    </row>
    <row r="6803" spans="1:12" ht="43.5" x14ac:dyDescent="0.35">
      <c r="A6803" s="5" t="s">
        <v>98</v>
      </c>
      <c r="B6803" s="5" t="s">
        <v>99</v>
      </c>
      <c r="C6803" s="5" t="s">
        <v>1332</v>
      </c>
      <c r="D6803" s="5" t="s">
        <v>14</v>
      </c>
      <c r="E6803" s="5" t="s">
        <v>39</v>
      </c>
      <c r="F6803" s="5" t="s">
        <v>494</v>
      </c>
      <c r="G6803" s="5" t="s">
        <v>639</v>
      </c>
      <c r="H6803" s="5" t="s">
        <v>1141</v>
      </c>
      <c r="I6803" s="5" t="s">
        <v>31</v>
      </c>
      <c r="J6803" s="5">
        <v>16.357302483209999</v>
      </c>
      <c r="K6803" s="5">
        <v>-97.044741317790994</v>
      </c>
      <c r="L6803" s="5" t="str">
        <f>HYPERLINK("https://maps.google.com/?q=16.3573024832098,-97.044741317790695", "🔗 Ver Mapa")</f>
        <v>🔗 Ver Mapa</v>
      </c>
    </row>
    <row r="6804" spans="1:12" ht="43.5" x14ac:dyDescent="0.35">
      <c r="A6804" s="6" t="s">
        <v>98</v>
      </c>
      <c r="B6804" s="6" t="s">
        <v>99</v>
      </c>
      <c r="C6804" s="6" t="s">
        <v>1332</v>
      </c>
      <c r="D6804" s="6" t="s">
        <v>14</v>
      </c>
      <c r="E6804" s="6" t="s">
        <v>39</v>
      </c>
      <c r="F6804" s="6" t="s">
        <v>494</v>
      </c>
      <c r="G6804" s="6" t="s">
        <v>639</v>
      </c>
      <c r="H6804" s="6" t="s">
        <v>1141</v>
      </c>
      <c r="I6804" s="6" t="s">
        <v>31</v>
      </c>
      <c r="J6804" s="6">
        <v>16.360018809576999</v>
      </c>
      <c r="K6804" s="6">
        <v>-97.049342177908997</v>
      </c>
      <c r="L6804" s="6" t="str">
        <f>HYPERLINK("https://maps.google.com/?q=16.3600188095774,-97.049342177909296", "🔗 Ver Mapa")</f>
        <v>🔗 Ver Mapa</v>
      </c>
    </row>
    <row r="6805" spans="1:12" ht="43.5" x14ac:dyDescent="0.35">
      <c r="A6805" s="5" t="s">
        <v>98</v>
      </c>
      <c r="B6805" s="5" t="s">
        <v>99</v>
      </c>
      <c r="C6805" s="5" t="s">
        <v>1332</v>
      </c>
      <c r="D6805" s="5" t="s">
        <v>14</v>
      </c>
      <c r="E6805" s="5" t="s">
        <v>39</v>
      </c>
      <c r="F6805" s="5" t="s">
        <v>494</v>
      </c>
      <c r="G6805" s="5" t="s">
        <v>639</v>
      </c>
      <c r="H6805" s="5" t="s">
        <v>1141</v>
      </c>
      <c r="I6805" s="5" t="s">
        <v>31</v>
      </c>
      <c r="J6805" s="5">
        <v>16.362498296864999</v>
      </c>
      <c r="K6805" s="5">
        <v>-97.048033038029004</v>
      </c>
      <c r="L6805" s="5" t="str">
        <f>HYPERLINK("https://maps.google.com/?q=16.3624982968651,-97.048033038028706", "🔗 Ver Mapa")</f>
        <v>🔗 Ver Mapa</v>
      </c>
    </row>
    <row r="6806" spans="1:12" ht="43.5" x14ac:dyDescent="0.35">
      <c r="A6806" s="6" t="s">
        <v>98</v>
      </c>
      <c r="B6806" s="6" t="s">
        <v>99</v>
      </c>
      <c r="C6806" s="6" t="s">
        <v>1332</v>
      </c>
      <c r="D6806" s="6" t="s">
        <v>14</v>
      </c>
      <c r="E6806" s="6" t="s">
        <v>39</v>
      </c>
      <c r="F6806" s="6" t="s">
        <v>494</v>
      </c>
      <c r="G6806" s="6" t="s">
        <v>639</v>
      </c>
      <c r="H6806" s="6" t="s">
        <v>1141</v>
      </c>
      <c r="I6806" s="6" t="s">
        <v>31</v>
      </c>
      <c r="J6806" s="6">
        <v>16.362711526066001</v>
      </c>
      <c r="K6806" s="6">
        <v>-97.046117797554999</v>
      </c>
      <c r="L6806" s="6" t="str">
        <f>HYPERLINK("https://maps.google.com/?q=16.3627115260658,-97.046117797554999", "🔗 Ver Mapa")</f>
        <v>🔗 Ver Mapa</v>
      </c>
    </row>
    <row r="6807" spans="1:12" ht="43.5" x14ac:dyDescent="0.35">
      <c r="A6807" s="5" t="s">
        <v>98</v>
      </c>
      <c r="B6807" s="5" t="s">
        <v>99</v>
      </c>
      <c r="C6807" s="5" t="s">
        <v>1332</v>
      </c>
      <c r="D6807" s="5" t="s">
        <v>14</v>
      </c>
      <c r="E6807" s="5" t="s">
        <v>39</v>
      </c>
      <c r="F6807" s="5" t="s">
        <v>494</v>
      </c>
      <c r="G6807" s="5" t="s">
        <v>639</v>
      </c>
      <c r="H6807" s="5" t="s">
        <v>1141</v>
      </c>
      <c r="I6807" s="5" t="s">
        <v>31</v>
      </c>
      <c r="J6807" s="5">
        <v>16.362810454718002</v>
      </c>
      <c r="K6807" s="5">
        <v>-97.045877517682001</v>
      </c>
      <c r="L6807" s="5" t="str">
        <f>HYPERLINK("https://maps.google.com/?q=16.36281045471804,-97.04587751768206", "🔗 Ver Mapa")</f>
        <v>🔗 Ver Mapa</v>
      </c>
    </row>
    <row r="6808" spans="1:12" ht="43.5" x14ac:dyDescent="0.35">
      <c r="A6808" s="6" t="s">
        <v>98</v>
      </c>
      <c r="B6808" s="6" t="s">
        <v>99</v>
      </c>
      <c r="C6808" s="6" t="s">
        <v>1332</v>
      </c>
      <c r="D6808" s="6" t="s">
        <v>14</v>
      </c>
      <c r="E6808" s="6" t="s">
        <v>39</v>
      </c>
      <c r="F6808" s="6" t="s">
        <v>494</v>
      </c>
      <c r="G6808" s="6" t="s">
        <v>639</v>
      </c>
      <c r="H6808" s="6" t="s">
        <v>1141</v>
      </c>
      <c r="I6808" s="6" t="s">
        <v>31</v>
      </c>
      <c r="J6808" s="6">
        <v>16.362810945907999</v>
      </c>
      <c r="K6808" s="6">
        <v>-97.047134995597006</v>
      </c>
      <c r="L6808" s="6" t="str">
        <f>HYPERLINK("https://maps.google.com/?q=16.3628109459081,-97.047134995596593", "🔗 Ver Mapa")</f>
        <v>🔗 Ver Mapa</v>
      </c>
    </row>
    <row r="6809" spans="1:12" ht="43.5" x14ac:dyDescent="0.35">
      <c r="A6809" s="5" t="s">
        <v>98</v>
      </c>
      <c r="B6809" s="5" t="s">
        <v>99</v>
      </c>
      <c r="C6809" s="5" t="s">
        <v>1332</v>
      </c>
      <c r="D6809" s="5" t="s">
        <v>14</v>
      </c>
      <c r="E6809" s="5" t="s">
        <v>39</v>
      </c>
      <c r="F6809" s="5" t="s">
        <v>494</v>
      </c>
      <c r="G6809" s="5" t="s">
        <v>639</v>
      </c>
      <c r="H6809" s="5" t="s">
        <v>1141</v>
      </c>
      <c r="I6809" s="5" t="s">
        <v>31</v>
      </c>
      <c r="J6809" s="5">
        <v>16.362826387337002</v>
      </c>
      <c r="K6809" s="5">
        <v>-97.045592725413002</v>
      </c>
      <c r="L6809" s="5" t="str">
        <f>HYPERLINK("https://maps.google.com/?q=16.3628263873371,-97.045592725413499", "🔗 Ver Mapa")</f>
        <v>🔗 Ver Mapa</v>
      </c>
    </row>
    <row r="6810" spans="1:12" ht="43.5" x14ac:dyDescent="0.35">
      <c r="A6810" s="6" t="s">
        <v>98</v>
      </c>
      <c r="B6810" s="6" t="s">
        <v>99</v>
      </c>
      <c r="C6810" s="6" t="s">
        <v>1332</v>
      </c>
      <c r="D6810" s="6" t="s">
        <v>14</v>
      </c>
      <c r="E6810" s="6" t="s">
        <v>39</v>
      </c>
      <c r="F6810" s="6" t="s">
        <v>494</v>
      </c>
      <c r="G6810" s="6" t="s">
        <v>639</v>
      </c>
      <c r="H6810" s="6" t="s">
        <v>1141</v>
      </c>
      <c r="I6810" s="6" t="s">
        <v>31</v>
      </c>
      <c r="J6810" s="6">
        <v>16.362961488953999</v>
      </c>
      <c r="K6810" s="6">
        <v>-97.047456387731998</v>
      </c>
      <c r="L6810" s="6" t="str">
        <f>HYPERLINK("https://maps.google.com/?q=16.3629614889539,-97.047456387731501", "🔗 Ver Mapa")</f>
        <v>🔗 Ver Mapa</v>
      </c>
    </row>
    <row r="6811" spans="1:12" ht="43.5" x14ac:dyDescent="0.35">
      <c r="A6811" s="5" t="s">
        <v>98</v>
      </c>
      <c r="B6811" s="5" t="s">
        <v>99</v>
      </c>
      <c r="C6811" s="5" t="s">
        <v>1332</v>
      </c>
      <c r="D6811" s="5" t="s">
        <v>14</v>
      </c>
      <c r="E6811" s="5" t="s">
        <v>39</v>
      </c>
      <c r="F6811" s="5" t="s">
        <v>494</v>
      </c>
      <c r="G6811" s="5" t="s">
        <v>639</v>
      </c>
      <c r="H6811" s="5" t="s">
        <v>1141</v>
      </c>
      <c r="I6811" s="5" t="s">
        <v>31</v>
      </c>
      <c r="J6811" s="5">
        <v>16.363964024906998</v>
      </c>
      <c r="K6811" s="5">
        <v>-97.043911160712995</v>
      </c>
      <c r="L6811" s="5" t="str">
        <f>HYPERLINK("https://maps.google.com/?q=16.3639640249065,-97.043911160713094", "🔗 Ver Mapa")</f>
        <v>🔗 Ver Mapa</v>
      </c>
    </row>
    <row r="6812" spans="1:12" ht="43.5" x14ac:dyDescent="0.35">
      <c r="A6812" s="6" t="s">
        <v>98</v>
      </c>
      <c r="B6812" s="6" t="s">
        <v>99</v>
      </c>
      <c r="C6812" s="6" t="s">
        <v>1333</v>
      </c>
      <c r="D6812" s="6" t="s">
        <v>14</v>
      </c>
      <c r="E6812" s="6" t="s">
        <v>17</v>
      </c>
      <c r="F6812" s="6" t="s">
        <v>46</v>
      </c>
      <c r="G6812" s="6" t="s">
        <v>546</v>
      </c>
      <c r="H6812" s="6" t="s">
        <v>1334</v>
      </c>
      <c r="I6812" s="6" t="s">
        <v>31</v>
      </c>
      <c r="J6812" s="6">
        <v>15.990818294013</v>
      </c>
      <c r="K6812" s="6">
        <v>-97.191109270715998</v>
      </c>
      <c r="L6812" s="6" t="str">
        <f>HYPERLINK("https://maps.google.com/?q=15.9908182940127,-97.191109270716495", "🔗 Ver Mapa")</f>
        <v>🔗 Ver Mapa</v>
      </c>
    </row>
    <row r="6813" spans="1:12" ht="43.5" x14ac:dyDescent="0.35">
      <c r="A6813" s="5" t="s">
        <v>98</v>
      </c>
      <c r="B6813" s="5" t="s">
        <v>99</v>
      </c>
      <c r="C6813" s="5" t="s">
        <v>1333</v>
      </c>
      <c r="D6813" s="5" t="s">
        <v>14</v>
      </c>
      <c r="E6813" s="5" t="s">
        <v>17</v>
      </c>
      <c r="F6813" s="5" t="s">
        <v>46</v>
      </c>
      <c r="G6813" s="5" t="s">
        <v>546</v>
      </c>
      <c r="H6813" s="5" t="s">
        <v>1334</v>
      </c>
      <c r="I6813" s="5" t="s">
        <v>31</v>
      </c>
      <c r="J6813" s="5">
        <v>15.990847846949</v>
      </c>
      <c r="K6813" s="5">
        <v>-97.188044636607003</v>
      </c>
      <c r="L6813" s="5" t="str">
        <f>HYPERLINK("https://maps.google.com/?q=15.9908478469495,-97.188044636607302", "🔗 Ver Mapa")</f>
        <v>🔗 Ver Mapa</v>
      </c>
    </row>
    <row r="6814" spans="1:12" ht="43.5" x14ac:dyDescent="0.35">
      <c r="A6814" s="6" t="s">
        <v>98</v>
      </c>
      <c r="B6814" s="6" t="s">
        <v>99</v>
      </c>
      <c r="C6814" s="6" t="s">
        <v>1333</v>
      </c>
      <c r="D6814" s="6" t="s">
        <v>14</v>
      </c>
      <c r="E6814" s="6" t="s">
        <v>17</v>
      </c>
      <c r="F6814" s="6" t="s">
        <v>46</v>
      </c>
      <c r="G6814" s="6" t="s">
        <v>546</v>
      </c>
      <c r="H6814" s="6" t="s">
        <v>1334</v>
      </c>
      <c r="I6814" s="6" t="s">
        <v>31</v>
      </c>
      <c r="J6814" s="6">
        <v>15.99108376669</v>
      </c>
      <c r="K6814" s="6">
        <v>-97.188935127646999</v>
      </c>
      <c r="L6814" s="6" t="str">
        <f>HYPERLINK("https://maps.google.com/?q=15.9910837666898,-97.188935127647298", "🔗 Ver Mapa")</f>
        <v>🔗 Ver Mapa</v>
      </c>
    </row>
    <row r="6815" spans="1:12" ht="43.5" x14ac:dyDescent="0.35">
      <c r="A6815" s="5" t="s">
        <v>98</v>
      </c>
      <c r="B6815" s="5" t="s">
        <v>99</v>
      </c>
      <c r="C6815" s="5" t="s">
        <v>1333</v>
      </c>
      <c r="D6815" s="5" t="s">
        <v>14</v>
      </c>
      <c r="E6815" s="5" t="s">
        <v>17</v>
      </c>
      <c r="F6815" s="5" t="s">
        <v>46</v>
      </c>
      <c r="G6815" s="5" t="s">
        <v>546</v>
      </c>
      <c r="H6815" s="5" t="s">
        <v>1334</v>
      </c>
      <c r="I6815" s="5" t="s">
        <v>31</v>
      </c>
      <c r="J6815" s="5">
        <v>15.991164992708001</v>
      </c>
      <c r="K6815" s="5">
        <v>-97.191040664075999</v>
      </c>
      <c r="L6815" s="5" t="str">
        <f>HYPERLINK("https://maps.google.com/?q=15.9911649927082,-97.191040664076098", "🔗 Ver Mapa")</f>
        <v>🔗 Ver Mapa</v>
      </c>
    </row>
    <row r="6816" spans="1:12" ht="43.5" x14ac:dyDescent="0.35">
      <c r="A6816" s="6" t="s">
        <v>98</v>
      </c>
      <c r="B6816" s="6" t="s">
        <v>99</v>
      </c>
      <c r="C6816" s="6" t="s">
        <v>1333</v>
      </c>
      <c r="D6816" s="6" t="s">
        <v>14</v>
      </c>
      <c r="E6816" s="6" t="s">
        <v>17</v>
      </c>
      <c r="F6816" s="6" t="s">
        <v>46</v>
      </c>
      <c r="G6816" s="6" t="s">
        <v>546</v>
      </c>
      <c r="H6816" s="6" t="s">
        <v>1334</v>
      </c>
      <c r="I6816" s="6" t="s">
        <v>31</v>
      </c>
      <c r="J6816" s="6">
        <v>15.991611058656</v>
      </c>
      <c r="K6816" s="6">
        <v>-97.189079969286993</v>
      </c>
      <c r="L6816" s="6" t="str">
        <f>HYPERLINK("https://maps.google.com/?q=15.9916110586557,-97.189079969286794", "🔗 Ver Mapa")</f>
        <v>🔗 Ver Mapa</v>
      </c>
    </row>
    <row r="6817" spans="1:12" ht="43.5" x14ac:dyDescent="0.35">
      <c r="A6817" s="5" t="s">
        <v>98</v>
      </c>
      <c r="B6817" s="5" t="s">
        <v>99</v>
      </c>
      <c r="C6817" s="5" t="s">
        <v>1333</v>
      </c>
      <c r="D6817" s="5" t="s">
        <v>14</v>
      </c>
      <c r="E6817" s="5" t="s">
        <v>17</v>
      </c>
      <c r="F6817" s="5" t="s">
        <v>46</v>
      </c>
      <c r="G6817" s="5" t="s">
        <v>546</v>
      </c>
      <c r="H6817" s="5" t="s">
        <v>1334</v>
      </c>
      <c r="I6817" s="5" t="s">
        <v>31</v>
      </c>
      <c r="J6817" s="5">
        <v>15.991614919806</v>
      </c>
      <c r="K6817" s="5">
        <v>-97.189252044610996</v>
      </c>
      <c r="L6817" s="5" t="str">
        <f>HYPERLINK("https://maps.google.com/?q=15.9916149198057,-97.189252044611294", "🔗 Ver Mapa")</f>
        <v>🔗 Ver Mapa</v>
      </c>
    </row>
    <row r="6818" spans="1:12" ht="43.5" x14ac:dyDescent="0.35">
      <c r="A6818" s="6" t="s">
        <v>98</v>
      </c>
      <c r="B6818" s="6" t="s">
        <v>99</v>
      </c>
      <c r="C6818" s="6" t="s">
        <v>1333</v>
      </c>
      <c r="D6818" s="6" t="s">
        <v>14</v>
      </c>
      <c r="E6818" s="6" t="s">
        <v>17</v>
      </c>
      <c r="F6818" s="6" t="s">
        <v>46</v>
      </c>
      <c r="G6818" s="6" t="s">
        <v>546</v>
      </c>
      <c r="H6818" s="6" t="s">
        <v>1334</v>
      </c>
      <c r="I6818" s="6" t="s">
        <v>31</v>
      </c>
      <c r="J6818" s="6">
        <v>15.991960426843001</v>
      </c>
      <c r="K6818" s="6">
        <v>-97.189922596865003</v>
      </c>
      <c r="L6818" s="6" t="str">
        <f>HYPERLINK("https://maps.google.com/?q=15.9919604268431,-97.189922596864804", "🔗 Ver Mapa")</f>
        <v>🔗 Ver Mapa</v>
      </c>
    </row>
    <row r="6819" spans="1:12" ht="43.5" x14ac:dyDescent="0.35">
      <c r="A6819" s="5" t="s">
        <v>98</v>
      </c>
      <c r="B6819" s="5" t="s">
        <v>99</v>
      </c>
      <c r="C6819" s="5" t="s">
        <v>1333</v>
      </c>
      <c r="D6819" s="5" t="s">
        <v>14</v>
      </c>
      <c r="E6819" s="5" t="s">
        <v>17</v>
      </c>
      <c r="F6819" s="5" t="s">
        <v>46</v>
      </c>
      <c r="G6819" s="5" t="s">
        <v>546</v>
      </c>
      <c r="H6819" s="5" t="s">
        <v>1334</v>
      </c>
      <c r="I6819" s="5" t="s">
        <v>31</v>
      </c>
      <c r="J6819" s="5">
        <v>15.992492873959</v>
      </c>
      <c r="K6819" s="5">
        <v>-97.190493493437003</v>
      </c>
      <c r="L6819" s="5" t="str">
        <f>HYPERLINK("https://maps.google.com/?q=15.9924928739586,-97.190493493437202", "🔗 Ver Mapa")</f>
        <v>🔗 Ver Mapa</v>
      </c>
    </row>
    <row r="6820" spans="1:12" ht="43.5" x14ac:dyDescent="0.35">
      <c r="A6820" s="6" t="s">
        <v>98</v>
      </c>
      <c r="B6820" s="6" t="s">
        <v>99</v>
      </c>
      <c r="C6820" s="6" t="s">
        <v>1333</v>
      </c>
      <c r="D6820" s="6" t="s">
        <v>14</v>
      </c>
      <c r="E6820" s="6" t="s">
        <v>17</v>
      </c>
      <c r="F6820" s="6" t="s">
        <v>46</v>
      </c>
      <c r="G6820" s="6" t="s">
        <v>546</v>
      </c>
      <c r="H6820" s="6" t="s">
        <v>1334</v>
      </c>
      <c r="I6820" s="6" t="s">
        <v>31</v>
      </c>
      <c r="J6820" s="6">
        <v>15.993089767234</v>
      </c>
      <c r="K6820" s="6">
        <v>-97.192006256968</v>
      </c>
      <c r="L6820" s="6" t="str">
        <f>HYPERLINK("https://maps.google.com/?q=15.9930897672343,-97.192006256968398", "🔗 Ver Mapa")</f>
        <v>🔗 Ver Mapa</v>
      </c>
    </row>
    <row r="6821" spans="1:12" ht="58" x14ac:dyDescent="0.35">
      <c r="A6821" s="5" t="s">
        <v>98</v>
      </c>
      <c r="B6821" s="5" t="s">
        <v>99</v>
      </c>
      <c r="C6821" s="5" t="s">
        <v>1335</v>
      </c>
      <c r="D6821" s="5" t="s">
        <v>14</v>
      </c>
      <c r="E6821" s="5" t="s">
        <v>17</v>
      </c>
      <c r="F6821" s="5" t="s">
        <v>46</v>
      </c>
      <c r="G6821" s="5" t="s">
        <v>546</v>
      </c>
      <c r="H6821" s="5" t="s">
        <v>1336</v>
      </c>
      <c r="I6821" s="5" t="s">
        <v>31</v>
      </c>
      <c r="J6821" s="5">
        <v>16.062258471263998</v>
      </c>
      <c r="K6821" s="5">
        <v>-97.172372597552993</v>
      </c>
      <c r="L6821" s="5" t="str">
        <f>HYPERLINK("https://maps.google.com/?q=16.0622584712643,-97.172372597553405", "🔗 Ver Mapa")</f>
        <v>🔗 Ver Mapa</v>
      </c>
    </row>
    <row r="6822" spans="1:12" ht="58" x14ac:dyDescent="0.35">
      <c r="A6822" s="6" t="s">
        <v>98</v>
      </c>
      <c r="B6822" s="6" t="s">
        <v>99</v>
      </c>
      <c r="C6822" s="6" t="s">
        <v>1335</v>
      </c>
      <c r="D6822" s="6" t="s">
        <v>14</v>
      </c>
      <c r="E6822" s="6" t="s">
        <v>17</v>
      </c>
      <c r="F6822" s="6" t="s">
        <v>46</v>
      </c>
      <c r="G6822" s="6" t="s">
        <v>546</v>
      </c>
      <c r="H6822" s="6" t="s">
        <v>1336</v>
      </c>
      <c r="I6822" s="6" t="s">
        <v>31</v>
      </c>
      <c r="J6822" s="6">
        <v>16.062304642924001</v>
      </c>
      <c r="K6822" s="6">
        <v>-97.172235291095006</v>
      </c>
      <c r="L6822" s="6" t="str">
        <f>HYPERLINK("https://maps.google.com/?q=16.0623046429235,-97.172235291094694", "🔗 Ver Mapa")</f>
        <v>🔗 Ver Mapa</v>
      </c>
    </row>
    <row r="6823" spans="1:12" ht="58" x14ac:dyDescent="0.35">
      <c r="A6823" s="5" t="s">
        <v>98</v>
      </c>
      <c r="B6823" s="5" t="s">
        <v>99</v>
      </c>
      <c r="C6823" s="5" t="s">
        <v>1335</v>
      </c>
      <c r="D6823" s="5" t="s">
        <v>14</v>
      </c>
      <c r="E6823" s="5" t="s">
        <v>17</v>
      </c>
      <c r="F6823" s="5" t="s">
        <v>46</v>
      </c>
      <c r="G6823" s="5" t="s">
        <v>546</v>
      </c>
      <c r="H6823" s="5" t="s">
        <v>1336</v>
      </c>
      <c r="I6823" s="5" t="s">
        <v>31</v>
      </c>
      <c r="J6823" s="5">
        <v>16.062340210098</v>
      </c>
      <c r="K6823" s="5">
        <v>-97.170649215691</v>
      </c>
      <c r="L6823" s="5" t="str">
        <f>HYPERLINK("https://maps.google.com/?q=16.0623402100978,-97.170649215691299", "🔗 Ver Mapa")</f>
        <v>🔗 Ver Mapa</v>
      </c>
    </row>
    <row r="6824" spans="1:12" ht="58" x14ac:dyDescent="0.35">
      <c r="A6824" s="6" t="s">
        <v>98</v>
      </c>
      <c r="B6824" s="6" t="s">
        <v>99</v>
      </c>
      <c r="C6824" s="6" t="s">
        <v>1335</v>
      </c>
      <c r="D6824" s="6" t="s">
        <v>14</v>
      </c>
      <c r="E6824" s="6" t="s">
        <v>17</v>
      </c>
      <c r="F6824" s="6" t="s">
        <v>46</v>
      </c>
      <c r="G6824" s="6" t="s">
        <v>546</v>
      </c>
      <c r="H6824" s="6" t="s">
        <v>1336</v>
      </c>
      <c r="I6824" s="6" t="s">
        <v>31</v>
      </c>
      <c r="J6824" s="6">
        <v>16.062594543903</v>
      </c>
      <c r="K6824" s="6">
        <v>-97.174699868716999</v>
      </c>
      <c r="L6824" s="6" t="str">
        <f>HYPERLINK("https://maps.google.com/?q=16.0625945439028,-97.174699868717198", "🔗 Ver Mapa")</f>
        <v>🔗 Ver Mapa</v>
      </c>
    </row>
    <row r="6825" spans="1:12" ht="58" x14ac:dyDescent="0.35">
      <c r="A6825" s="5" t="s">
        <v>98</v>
      </c>
      <c r="B6825" s="5" t="s">
        <v>99</v>
      </c>
      <c r="C6825" s="5" t="s">
        <v>1335</v>
      </c>
      <c r="D6825" s="5" t="s">
        <v>14</v>
      </c>
      <c r="E6825" s="5" t="s">
        <v>17</v>
      </c>
      <c r="F6825" s="5" t="s">
        <v>46</v>
      </c>
      <c r="G6825" s="5" t="s">
        <v>546</v>
      </c>
      <c r="H6825" s="5" t="s">
        <v>1336</v>
      </c>
      <c r="I6825" s="5" t="s">
        <v>31</v>
      </c>
      <c r="J6825" s="5">
        <v>16.062743215647</v>
      </c>
      <c r="K6825" s="5">
        <v>-97.174361572753995</v>
      </c>
      <c r="L6825" s="5" t="str">
        <f>HYPERLINK("https://maps.google.com/?q=16.0627432156474,-97.174361572754094", "🔗 Ver Mapa")</f>
        <v>🔗 Ver Mapa</v>
      </c>
    </row>
    <row r="6826" spans="1:12" ht="58" x14ac:dyDescent="0.35">
      <c r="A6826" s="6" t="s">
        <v>98</v>
      </c>
      <c r="B6826" s="6" t="s">
        <v>99</v>
      </c>
      <c r="C6826" s="6" t="s">
        <v>1335</v>
      </c>
      <c r="D6826" s="6" t="s">
        <v>14</v>
      </c>
      <c r="E6826" s="6" t="s">
        <v>17</v>
      </c>
      <c r="F6826" s="6" t="s">
        <v>46</v>
      </c>
      <c r="G6826" s="6" t="s">
        <v>546</v>
      </c>
      <c r="H6826" s="6" t="s">
        <v>1336</v>
      </c>
      <c r="I6826" s="6" t="s">
        <v>31</v>
      </c>
      <c r="J6826" s="6">
        <v>16.062878999999999</v>
      </c>
      <c r="K6826" s="6">
        <v>-97.172331</v>
      </c>
      <c r="L6826" s="6" t="str">
        <f>HYPERLINK("https://maps.google.com/?q=16.062879,-97.172331", "🔗 Ver Mapa")</f>
        <v>🔗 Ver Mapa</v>
      </c>
    </row>
    <row r="6827" spans="1:12" ht="58" x14ac:dyDescent="0.35">
      <c r="A6827" s="5" t="s">
        <v>98</v>
      </c>
      <c r="B6827" s="5" t="s">
        <v>99</v>
      </c>
      <c r="C6827" s="5" t="s">
        <v>1335</v>
      </c>
      <c r="D6827" s="5" t="s">
        <v>14</v>
      </c>
      <c r="E6827" s="5" t="s">
        <v>17</v>
      </c>
      <c r="F6827" s="5" t="s">
        <v>46</v>
      </c>
      <c r="G6827" s="5" t="s">
        <v>546</v>
      </c>
      <c r="H6827" s="5" t="s">
        <v>1336</v>
      </c>
      <c r="I6827" s="5" t="s">
        <v>31</v>
      </c>
      <c r="J6827" s="5">
        <v>16.062985868748999</v>
      </c>
      <c r="K6827" s="5">
        <v>-97.173835682209003</v>
      </c>
      <c r="L6827" s="5" t="str">
        <f>HYPERLINK("https://maps.google.com/?q=16.0629858687486,-97.173835682209102", "🔗 Ver Mapa")</f>
        <v>🔗 Ver Mapa</v>
      </c>
    </row>
    <row r="6828" spans="1:12" ht="58" x14ac:dyDescent="0.35">
      <c r="A6828" s="6" t="s">
        <v>98</v>
      </c>
      <c r="B6828" s="6" t="s">
        <v>99</v>
      </c>
      <c r="C6828" s="6" t="s">
        <v>1335</v>
      </c>
      <c r="D6828" s="6" t="s">
        <v>14</v>
      </c>
      <c r="E6828" s="6" t="s">
        <v>17</v>
      </c>
      <c r="F6828" s="6" t="s">
        <v>46</v>
      </c>
      <c r="G6828" s="6" t="s">
        <v>546</v>
      </c>
      <c r="H6828" s="6" t="s">
        <v>1336</v>
      </c>
      <c r="I6828" s="6" t="s">
        <v>31</v>
      </c>
      <c r="J6828" s="6">
        <v>16.063023999999999</v>
      </c>
      <c r="K6828" s="6">
        <v>-97.173610999999994</v>
      </c>
      <c r="L6828" s="6" t="str">
        <f>HYPERLINK("https://maps.google.com/?q=16.063024,-97.173610999999994", "🔗 Ver Mapa")</f>
        <v>🔗 Ver Mapa</v>
      </c>
    </row>
    <row r="6829" spans="1:12" ht="58" x14ac:dyDescent="0.35">
      <c r="A6829" s="5" t="s">
        <v>98</v>
      </c>
      <c r="B6829" s="5" t="s">
        <v>99</v>
      </c>
      <c r="C6829" s="5" t="s">
        <v>1335</v>
      </c>
      <c r="D6829" s="5" t="s">
        <v>14</v>
      </c>
      <c r="E6829" s="5" t="s">
        <v>17</v>
      </c>
      <c r="F6829" s="5" t="s">
        <v>46</v>
      </c>
      <c r="G6829" s="5" t="s">
        <v>546</v>
      </c>
      <c r="H6829" s="5" t="s">
        <v>1336</v>
      </c>
      <c r="I6829" s="5" t="s">
        <v>31</v>
      </c>
      <c r="J6829" s="5">
        <v>16.063057911175001</v>
      </c>
      <c r="K6829" s="5">
        <v>-97.173908923943003</v>
      </c>
      <c r="L6829" s="5" t="str">
        <f>HYPERLINK("https://maps.google.com/?q=16.0630579111752,-97.173908923942804", "🔗 Ver Mapa")</f>
        <v>🔗 Ver Mapa</v>
      </c>
    </row>
    <row r="6830" spans="1:12" ht="58" x14ac:dyDescent="0.35">
      <c r="A6830" s="6" t="s">
        <v>98</v>
      </c>
      <c r="B6830" s="6" t="s">
        <v>99</v>
      </c>
      <c r="C6830" s="6" t="s">
        <v>1335</v>
      </c>
      <c r="D6830" s="6" t="s">
        <v>14</v>
      </c>
      <c r="E6830" s="6" t="s">
        <v>17</v>
      </c>
      <c r="F6830" s="6" t="s">
        <v>46</v>
      </c>
      <c r="G6830" s="6" t="s">
        <v>546</v>
      </c>
      <c r="H6830" s="6" t="s">
        <v>1336</v>
      </c>
      <c r="I6830" s="6" t="s">
        <v>31</v>
      </c>
      <c r="J6830" s="6">
        <v>16.063066291258</v>
      </c>
      <c r="K6830" s="6">
        <v>-97.172683224536996</v>
      </c>
      <c r="L6830" s="6" t="str">
        <f>HYPERLINK("https://maps.google.com/?q=16.0630662912576,-97.172683224536897", "🔗 Ver Mapa")</f>
        <v>🔗 Ver Mapa</v>
      </c>
    </row>
    <row r="6831" spans="1:12" ht="58" x14ac:dyDescent="0.35">
      <c r="A6831" s="5" t="s">
        <v>98</v>
      </c>
      <c r="B6831" s="5" t="s">
        <v>99</v>
      </c>
      <c r="C6831" s="5" t="s">
        <v>1335</v>
      </c>
      <c r="D6831" s="5" t="s">
        <v>14</v>
      </c>
      <c r="E6831" s="5" t="s">
        <v>17</v>
      </c>
      <c r="F6831" s="5" t="s">
        <v>46</v>
      </c>
      <c r="G6831" s="5" t="s">
        <v>546</v>
      </c>
      <c r="H6831" s="5" t="s">
        <v>1336</v>
      </c>
      <c r="I6831" s="5" t="s">
        <v>31</v>
      </c>
      <c r="J6831" s="5">
        <v>16.063179999999999</v>
      </c>
      <c r="K6831" s="5">
        <v>-97.171583999999996</v>
      </c>
      <c r="L6831" s="5" t="str">
        <f>HYPERLINK("https://maps.google.com/?q=16.06318,-97.171583999999996", "🔗 Ver Mapa")</f>
        <v>🔗 Ver Mapa</v>
      </c>
    </row>
    <row r="6832" spans="1:12" ht="43.5" x14ac:dyDescent="0.35">
      <c r="A6832" s="6" t="s">
        <v>98</v>
      </c>
      <c r="B6832" s="6" t="s">
        <v>99</v>
      </c>
      <c r="C6832" s="6" t="s">
        <v>1337</v>
      </c>
      <c r="D6832" s="6" t="s">
        <v>14</v>
      </c>
      <c r="E6832" s="6" t="s">
        <v>52</v>
      </c>
      <c r="F6832" s="6" t="s">
        <v>83</v>
      </c>
      <c r="G6832" s="6" t="s">
        <v>1316</v>
      </c>
      <c r="H6832" s="6" t="s">
        <v>1338</v>
      </c>
      <c r="I6832" s="6" t="s">
        <v>31</v>
      </c>
      <c r="J6832" s="6">
        <v>17.006727621109</v>
      </c>
      <c r="K6832" s="6">
        <v>-96.975925131283006</v>
      </c>
      <c r="L6832" s="6" t="str">
        <f>HYPERLINK("https://maps.google.com/?q=17.0067276211086,-96.975925131282807", "🔗 Ver Mapa")</f>
        <v>🔗 Ver Mapa</v>
      </c>
    </row>
    <row r="6833" spans="1:12" ht="43.5" x14ac:dyDescent="0.35">
      <c r="A6833" s="5" t="s">
        <v>98</v>
      </c>
      <c r="B6833" s="5" t="s">
        <v>99</v>
      </c>
      <c r="C6833" s="5" t="s">
        <v>1337</v>
      </c>
      <c r="D6833" s="5" t="s">
        <v>14</v>
      </c>
      <c r="E6833" s="5" t="s">
        <v>52</v>
      </c>
      <c r="F6833" s="5" t="s">
        <v>83</v>
      </c>
      <c r="G6833" s="5" t="s">
        <v>1316</v>
      </c>
      <c r="H6833" s="5" t="s">
        <v>1338</v>
      </c>
      <c r="I6833" s="5" t="s">
        <v>31</v>
      </c>
      <c r="J6833" s="5">
        <v>17.006860191996999</v>
      </c>
      <c r="K6833" s="5">
        <v>-96.976085501010004</v>
      </c>
      <c r="L6833" s="5" t="str">
        <f>HYPERLINK("https://maps.google.com/?q=17.0068601919974,-96.976085501010303", "🔗 Ver Mapa")</f>
        <v>🔗 Ver Mapa</v>
      </c>
    </row>
    <row r="6834" spans="1:12" ht="43.5" x14ac:dyDescent="0.35">
      <c r="A6834" s="6" t="s">
        <v>98</v>
      </c>
      <c r="B6834" s="6" t="s">
        <v>99</v>
      </c>
      <c r="C6834" s="6" t="s">
        <v>1337</v>
      </c>
      <c r="D6834" s="6" t="s">
        <v>14</v>
      </c>
      <c r="E6834" s="6" t="s">
        <v>52</v>
      </c>
      <c r="F6834" s="6" t="s">
        <v>83</v>
      </c>
      <c r="G6834" s="6" t="s">
        <v>1316</v>
      </c>
      <c r="H6834" s="6" t="s">
        <v>1338</v>
      </c>
      <c r="I6834" s="6" t="s">
        <v>31</v>
      </c>
      <c r="J6834" s="6">
        <v>17.006923392156001</v>
      </c>
      <c r="K6834" s="6">
        <v>-96.976120588954998</v>
      </c>
      <c r="L6834" s="6" t="str">
        <f>HYPERLINK("https://maps.google.com/?q=17.0069233921564,-96.9761205889547", "🔗 Ver Mapa")</f>
        <v>🔗 Ver Mapa</v>
      </c>
    </row>
    <row r="6835" spans="1:12" ht="43.5" x14ac:dyDescent="0.35">
      <c r="A6835" s="5" t="s">
        <v>98</v>
      </c>
      <c r="B6835" s="5" t="s">
        <v>99</v>
      </c>
      <c r="C6835" s="5" t="s">
        <v>1337</v>
      </c>
      <c r="D6835" s="5" t="s">
        <v>14</v>
      </c>
      <c r="E6835" s="5" t="s">
        <v>52</v>
      </c>
      <c r="F6835" s="5" t="s">
        <v>83</v>
      </c>
      <c r="G6835" s="5" t="s">
        <v>1316</v>
      </c>
      <c r="H6835" s="5" t="s">
        <v>1338</v>
      </c>
      <c r="I6835" s="5" t="s">
        <v>31</v>
      </c>
      <c r="J6835" s="5">
        <v>17.007007999999999</v>
      </c>
      <c r="K6835" s="5">
        <v>-96.975972999999996</v>
      </c>
      <c r="L6835" s="5" t="str">
        <f>HYPERLINK("https://maps.google.com/?q=17.007008,-96.975972999999996", "🔗 Ver Mapa")</f>
        <v>🔗 Ver Mapa</v>
      </c>
    </row>
    <row r="6836" spans="1:12" ht="43.5" x14ac:dyDescent="0.35">
      <c r="A6836" s="6" t="s">
        <v>98</v>
      </c>
      <c r="B6836" s="6" t="s">
        <v>99</v>
      </c>
      <c r="C6836" s="6" t="s">
        <v>1337</v>
      </c>
      <c r="D6836" s="6" t="s">
        <v>14</v>
      </c>
      <c r="E6836" s="6" t="s">
        <v>52</v>
      </c>
      <c r="F6836" s="6" t="s">
        <v>83</v>
      </c>
      <c r="G6836" s="6" t="s">
        <v>1316</v>
      </c>
      <c r="H6836" s="6" t="s">
        <v>1338</v>
      </c>
      <c r="I6836" s="6" t="s">
        <v>31</v>
      </c>
      <c r="J6836" s="6">
        <v>17.007057199999998</v>
      </c>
      <c r="K6836" s="6">
        <v>-96.976006799999993</v>
      </c>
      <c r="L6836" s="6" t="str">
        <f>HYPERLINK("https://maps.google.com/?q=17.0070572,-96.976006799999993", "🔗 Ver Mapa")</f>
        <v>🔗 Ver Mapa</v>
      </c>
    </row>
    <row r="6837" spans="1:12" ht="43.5" x14ac:dyDescent="0.35">
      <c r="A6837" s="5" t="s">
        <v>98</v>
      </c>
      <c r="B6837" s="5" t="s">
        <v>99</v>
      </c>
      <c r="C6837" s="5" t="s">
        <v>1337</v>
      </c>
      <c r="D6837" s="5" t="s">
        <v>14</v>
      </c>
      <c r="E6837" s="5" t="s">
        <v>52</v>
      </c>
      <c r="F6837" s="5" t="s">
        <v>83</v>
      </c>
      <c r="G6837" s="5" t="s">
        <v>1316</v>
      </c>
      <c r="H6837" s="5" t="s">
        <v>1338</v>
      </c>
      <c r="I6837" s="5" t="s">
        <v>31</v>
      </c>
      <c r="J6837" s="5">
        <v>17.007074507416</v>
      </c>
      <c r="K6837" s="5">
        <v>-96.976206565157</v>
      </c>
      <c r="L6837" s="5" t="str">
        <f>HYPERLINK("https://maps.google.com/?q=17.0070745074157,-96.976206565156602", "🔗 Ver Mapa")</f>
        <v>🔗 Ver Mapa</v>
      </c>
    </row>
    <row r="6838" spans="1:12" ht="43.5" x14ac:dyDescent="0.35">
      <c r="A6838" s="6" t="s">
        <v>98</v>
      </c>
      <c r="B6838" s="6" t="s">
        <v>99</v>
      </c>
      <c r="C6838" s="6" t="s">
        <v>1337</v>
      </c>
      <c r="D6838" s="6" t="s">
        <v>14</v>
      </c>
      <c r="E6838" s="6" t="s">
        <v>52</v>
      </c>
      <c r="F6838" s="6" t="s">
        <v>83</v>
      </c>
      <c r="G6838" s="6" t="s">
        <v>1316</v>
      </c>
      <c r="H6838" s="6" t="s">
        <v>1338</v>
      </c>
      <c r="I6838" s="6" t="s">
        <v>31</v>
      </c>
      <c r="J6838" s="6">
        <v>17.007091552671</v>
      </c>
      <c r="K6838" s="6">
        <v>-96.978119976686003</v>
      </c>
      <c r="L6838" s="6" t="str">
        <f>HYPERLINK("https://maps.google.com/?q=17.0070915526709,-96.978119976686401", "🔗 Ver Mapa")</f>
        <v>🔗 Ver Mapa</v>
      </c>
    </row>
    <row r="6839" spans="1:12" ht="43.5" x14ac:dyDescent="0.35">
      <c r="A6839" s="5" t="s">
        <v>98</v>
      </c>
      <c r="B6839" s="5" t="s">
        <v>99</v>
      </c>
      <c r="C6839" s="5" t="s">
        <v>1337</v>
      </c>
      <c r="D6839" s="5" t="s">
        <v>14</v>
      </c>
      <c r="E6839" s="5" t="s">
        <v>52</v>
      </c>
      <c r="F6839" s="5" t="s">
        <v>83</v>
      </c>
      <c r="G6839" s="5" t="s">
        <v>1316</v>
      </c>
      <c r="H6839" s="5" t="s">
        <v>1338</v>
      </c>
      <c r="I6839" s="5" t="s">
        <v>31</v>
      </c>
      <c r="J6839" s="5">
        <v>17.007214461404001</v>
      </c>
      <c r="K6839" s="5">
        <v>-96.978254918402996</v>
      </c>
      <c r="L6839" s="5" t="str">
        <f>HYPERLINK("https://maps.google.com/?q=17.007214461404,-96.978254918402598", "🔗 Ver Mapa")</f>
        <v>🔗 Ver Mapa</v>
      </c>
    </row>
    <row r="6840" spans="1:12" ht="43.5" x14ac:dyDescent="0.35">
      <c r="A6840" s="6" t="s">
        <v>98</v>
      </c>
      <c r="B6840" s="6" t="s">
        <v>99</v>
      </c>
      <c r="C6840" s="6" t="s">
        <v>1337</v>
      </c>
      <c r="D6840" s="6" t="s">
        <v>14</v>
      </c>
      <c r="E6840" s="6" t="s">
        <v>52</v>
      </c>
      <c r="F6840" s="6" t="s">
        <v>83</v>
      </c>
      <c r="G6840" s="6" t="s">
        <v>1316</v>
      </c>
      <c r="H6840" s="6" t="s">
        <v>1338</v>
      </c>
      <c r="I6840" s="6" t="s">
        <v>31</v>
      </c>
      <c r="J6840" s="6">
        <v>17.007373999999999</v>
      </c>
      <c r="K6840" s="6">
        <v>-96.977705999999998</v>
      </c>
      <c r="L6840" s="6" t="str">
        <f>HYPERLINK("https://maps.google.com/?q=17.007374,-96.977705999999998", "🔗 Ver Mapa")</f>
        <v>🔗 Ver Mapa</v>
      </c>
    </row>
    <row r="6841" spans="1:12" ht="43.5" x14ac:dyDescent="0.35">
      <c r="A6841" s="5" t="s">
        <v>98</v>
      </c>
      <c r="B6841" s="5" t="s">
        <v>99</v>
      </c>
      <c r="C6841" s="5" t="s">
        <v>1337</v>
      </c>
      <c r="D6841" s="5" t="s">
        <v>14</v>
      </c>
      <c r="E6841" s="5" t="s">
        <v>52</v>
      </c>
      <c r="F6841" s="5" t="s">
        <v>83</v>
      </c>
      <c r="G6841" s="5" t="s">
        <v>1316</v>
      </c>
      <c r="H6841" s="5" t="s">
        <v>1338</v>
      </c>
      <c r="I6841" s="5" t="s">
        <v>31</v>
      </c>
      <c r="J6841" s="5">
        <v>17.007396583289999</v>
      </c>
      <c r="K6841" s="5">
        <v>-96.977470527612994</v>
      </c>
      <c r="L6841" s="5" t="str">
        <f>HYPERLINK("https://maps.google.com/?q=17.0073965832901,-96.977470527612596", "🔗 Ver Mapa")</f>
        <v>🔗 Ver Mapa</v>
      </c>
    </row>
    <row r="6842" spans="1:12" ht="43.5" x14ac:dyDescent="0.35">
      <c r="A6842" s="6" t="s">
        <v>98</v>
      </c>
      <c r="B6842" s="6" t="s">
        <v>99</v>
      </c>
      <c r="C6842" s="6" t="s">
        <v>1337</v>
      </c>
      <c r="D6842" s="6" t="s">
        <v>14</v>
      </c>
      <c r="E6842" s="6" t="s">
        <v>52</v>
      </c>
      <c r="F6842" s="6" t="s">
        <v>83</v>
      </c>
      <c r="G6842" s="6" t="s">
        <v>1316</v>
      </c>
      <c r="H6842" s="6" t="s">
        <v>1338</v>
      </c>
      <c r="I6842" s="6" t="s">
        <v>31</v>
      </c>
      <c r="J6842" s="6">
        <v>17.007528613921998</v>
      </c>
      <c r="K6842" s="6">
        <v>-96.978229230365002</v>
      </c>
      <c r="L6842" s="6" t="str">
        <f>HYPERLINK("https://maps.google.com/?q=17.0075286139218,-96.978229230365201", "🔗 Ver Mapa")</f>
        <v>🔗 Ver Mapa</v>
      </c>
    </row>
    <row r="6843" spans="1:12" ht="43.5" x14ac:dyDescent="0.35">
      <c r="A6843" s="5" t="s">
        <v>98</v>
      </c>
      <c r="B6843" s="5" t="s">
        <v>99</v>
      </c>
      <c r="C6843" s="5" t="s">
        <v>1337</v>
      </c>
      <c r="D6843" s="5" t="s">
        <v>14</v>
      </c>
      <c r="E6843" s="5" t="s">
        <v>52</v>
      </c>
      <c r="F6843" s="5" t="s">
        <v>83</v>
      </c>
      <c r="G6843" s="5" t="s">
        <v>1316</v>
      </c>
      <c r="H6843" s="5" t="s">
        <v>1338</v>
      </c>
      <c r="I6843" s="5" t="s">
        <v>31</v>
      </c>
      <c r="J6843" s="5">
        <v>17.007569</v>
      </c>
      <c r="K6843" s="5">
        <v>-96.976490999999996</v>
      </c>
      <c r="L6843" s="5" t="str">
        <f>HYPERLINK("https://maps.google.com/?q=17.007569,-96.976490999999996", "🔗 Ver Mapa")</f>
        <v>🔗 Ver Mapa</v>
      </c>
    </row>
    <row r="6844" spans="1:12" ht="43.5" x14ac:dyDescent="0.35">
      <c r="A6844" s="6" t="s">
        <v>98</v>
      </c>
      <c r="B6844" s="6" t="s">
        <v>99</v>
      </c>
      <c r="C6844" s="6" t="s">
        <v>1337</v>
      </c>
      <c r="D6844" s="6" t="s">
        <v>14</v>
      </c>
      <c r="E6844" s="6" t="s">
        <v>52</v>
      </c>
      <c r="F6844" s="6" t="s">
        <v>83</v>
      </c>
      <c r="G6844" s="6" t="s">
        <v>1316</v>
      </c>
      <c r="H6844" s="6" t="s">
        <v>1338</v>
      </c>
      <c r="I6844" s="6" t="s">
        <v>31</v>
      </c>
      <c r="J6844" s="6">
        <v>17.007659239611002</v>
      </c>
      <c r="K6844" s="6">
        <v>-96.978589201223002</v>
      </c>
      <c r="L6844" s="6" t="str">
        <f>HYPERLINK("https://maps.google.com/?q=17.007659239611,-96.978589201223301", "🔗 Ver Mapa")</f>
        <v>🔗 Ver Mapa</v>
      </c>
    </row>
    <row r="6845" spans="1:12" ht="43.5" x14ac:dyDescent="0.35">
      <c r="A6845" s="5" t="s">
        <v>98</v>
      </c>
      <c r="B6845" s="5" t="s">
        <v>99</v>
      </c>
      <c r="C6845" s="5" t="s">
        <v>1337</v>
      </c>
      <c r="D6845" s="5" t="s">
        <v>14</v>
      </c>
      <c r="E6845" s="5" t="s">
        <v>52</v>
      </c>
      <c r="F6845" s="5" t="s">
        <v>83</v>
      </c>
      <c r="G6845" s="5" t="s">
        <v>1316</v>
      </c>
      <c r="H6845" s="5" t="s">
        <v>1338</v>
      </c>
      <c r="I6845" s="5" t="s">
        <v>31</v>
      </c>
      <c r="J6845" s="5">
        <v>17.007715659521999</v>
      </c>
      <c r="K6845" s="5">
        <v>-96.978500641409994</v>
      </c>
      <c r="L6845" s="5" t="str">
        <f>HYPERLINK("https://maps.google.com/?q=17.0077156595224,-96.978500641410307", "🔗 Ver Mapa")</f>
        <v>🔗 Ver Mapa</v>
      </c>
    </row>
    <row r="6846" spans="1:12" ht="43.5" x14ac:dyDescent="0.35">
      <c r="A6846" s="6" t="s">
        <v>98</v>
      </c>
      <c r="B6846" s="6" t="s">
        <v>99</v>
      </c>
      <c r="C6846" s="6" t="s">
        <v>1337</v>
      </c>
      <c r="D6846" s="6" t="s">
        <v>14</v>
      </c>
      <c r="E6846" s="6" t="s">
        <v>52</v>
      </c>
      <c r="F6846" s="6" t="s">
        <v>83</v>
      </c>
      <c r="G6846" s="6" t="s">
        <v>1316</v>
      </c>
      <c r="H6846" s="6" t="s">
        <v>1338</v>
      </c>
      <c r="I6846" s="6" t="s">
        <v>31</v>
      </c>
      <c r="J6846" s="6">
        <v>17.007767999999999</v>
      </c>
      <c r="K6846" s="6">
        <v>-96.978424000000004</v>
      </c>
      <c r="L6846" s="6" t="str">
        <f>HYPERLINK("https://maps.google.com/?q=17.007768,-96.978424000000004", "🔗 Ver Mapa")</f>
        <v>🔗 Ver Mapa</v>
      </c>
    </row>
    <row r="6847" spans="1:12" ht="43.5" x14ac:dyDescent="0.35">
      <c r="A6847" s="5" t="s">
        <v>98</v>
      </c>
      <c r="B6847" s="5" t="s">
        <v>99</v>
      </c>
      <c r="C6847" s="5" t="s">
        <v>1337</v>
      </c>
      <c r="D6847" s="5" t="s">
        <v>14</v>
      </c>
      <c r="E6847" s="5" t="s">
        <v>52</v>
      </c>
      <c r="F6847" s="5" t="s">
        <v>83</v>
      </c>
      <c r="G6847" s="5" t="s">
        <v>1316</v>
      </c>
      <c r="H6847" s="5" t="s">
        <v>1338</v>
      </c>
      <c r="I6847" s="5" t="s">
        <v>31</v>
      </c>
      <c r="J6847" s="5">
        <v>17.008223651638001</v>
      </c>
      <c r="K6847" s="5">
        <v>-96.977483763806006</v>
      </c>
      <c r="L6847" s="5" t="str">
        <f>HYPERLINK("https://maps.google.com/?q=17.0082236516376,-96.977483763806305", "🔗 Ver Mapa")</f>
        <v>🔗 Ver Mapa</v>
      </c>
    </row>
    <row r="6848" spans="1:12" ht="43.5" x14ac:dyDescent="0.35">
      <c r="A6848" s="6" t="s">
        <v>98</v>
      </c>
      <c r="B6848" s="6" t="s">
        <v>99</v>
      </c>
      <c r="C6848" s="6" t="s">
        <v>1337</v>
      </c>
      <c r="D6848" s="6" t="s">
        <v>14</v>
      </c>
      <c r="E6848" s="6" t="s">
        <v>52</v>
      </c>
      <c r="F6848" s="6" t="s">
        <v>83</v>
      </c>
      <c r="G6848" s="6" t="s">
        <v>1316</v>
      </c>
      <c r="H6848" s="6" t="s">
        <v>1338</v>
      </c>
      <c r="I6848" s="6" t="s">
        <v>31</v>
      </c>
      <c r="J6848" s="6">
        <v>17.008496705056999</v>
      </c>
      <c r="K6848" s="6">
        <v>-96.976861046625999</v>
      </c>
      <c r="L6848" s="6" t="str">
        <f>HYPERLINK("https://maps.google.com/?q=17.0084967050569,-96.976861046626496", "🔗 Ver Mapa")</f>
        <v>🔗 Ver Mapa</v>
      </c>
    </row>
    <row r="6849" spans="1:12" ht="43.5" x14ac:dyDescent="0.35">
      <c r="A6849" s="5" t="s">
        <v>98</v>
      </c>
      <c r="B6849" s="5" t="s">
        <v>99</v>
      </c>
      <c r="C6849" s="5" t="s">
        <v>1337</v>
      </c>
      <c r="D6849" s="5" t="s">
        <v>14</v>
      </c>
      <c r="E6849" s="5" t="s">
        <v>52</v>
      </c>
      <c r="F6849" s="5" t="s">
        <v>83</v>
      </c>
      <c r="G6849" s="5" t="s">
        <v>1316</v>
      </c>
      <c r="H6849" s="5" t="s">
        <v>1338</v>
      </c>
      <c r="I6849" s="5" t="s">
        <v>31</v>
      </c>
      <c r="J6849" s="5">
        <v>17.008501500000001</v>
      </c>
      <c r="K6849" s="5">
        <v>-96.978167099999993</v>
      </c>
      <c r="L6849" s="5" t="str">
        <f>HYPERLINK("https://maps.google.com/?q=17.0085015,-96.978167099999993", "🔗 Ver Mapa")</f>
        <v>🔗 Ver Mapa</v>
      </c>
    </row>
    <row r="6850" spans="1:12" ht="43.5" x14ac:dyDescent="0.35">
      <c r="A6850" s="6" t="s">
        <v>98</v>
      </c>
      <c r="B6850" s="6" t="s">
        <v>99</v>
      </c>
      <c r="C6850" s="6" t="s">
        <v>1337</v>
      </c>
      <c r="D6850" s="6" t="s">
        <v>14</v>
      </c>
      <c r="E6850" s="6" t="s">
        <v>52</v>
      </c>
      <c r="F6850" s="6" t="s">
        <v>83</v>
      </c>
      <c r="G6850" s="6" t="s">
        <v>1316</v>
      </c>
      <c r="H6850" s="6" t="s">
        <v>1338</v>
      </c>
      <c r="I6850" s="6" t="s">
        <v>31</v>
      </c>
      <c r="J6850" s="6">
        <v>17.008847755337001</v>
      </c>
      <c r="K6850" s="6">
        <v>-96.978197158284004</v>
      </c>
      <c r="L6850" s="6" t="str">
        <f>HYPERLINK("https://maps.google.com/?q=17.0088477553373,-96.978197158283805", "🔗 Ver Mapa")</f>
        <v>🔗 Ver Mapa</v>
      </c>
    </row>
    <row r="6851" spans="1:12" ht="43.5" x14ac:dyDescent="0.35">
      <c r="A6851" s="5" t="s">
        <v>98</v>
      </c>
      <c r="B6851" s="5" t="s">
        <v>99</v>
      </c>
      <c r="C6851" s="5" t="s">
        <v>1337</v>
      </c>
      <c r="D6851" s="5" t="s">
        <v>14</v>
      </c>
      <c r="E6851" s="5" t="s">
        <v>52</v>
      </c>
      <c r="F6851" s="5" t="s">
        <v>83</v>
      </c>
      <c r="G6851" s="5" t="s">
        <v>1316</v>
      </c>
      <c r="H6851" s="5" t="s">
        <v>1338</v>
      </c>
      <c r="I6851" s="5" t="s">
        <v>31</v>
      </c>
      <c r="J6851" s="5">
        <v>17.008861400000001</v>
      </c>
      <c r="K6851" s="5">
        <v>-96.978118800000004</v>
      </c>
      <c r="L6851" s="5" t="str">
        <f>HYPERLINK("https://maps.google.com/?q=17.0088614,-96.978118800000004", "🔗 Ver Mapa")</f>
        <v>🔗 Ver Mapa</v>
      </c>
    </row>
    <row r="6852" spans="1:12" ht="43.5" x14ac:dyDescent="0.35">
      <c r="A6852" s="6" t="s">
        <v>98</v>
      </c>
      <c r="B6852" s="6" t="s">
        <v>99</v>
      </c>
      <c r="C6852" s="6" t="s">
        <v>1337</v>
      </c>
      <c r="D6852" s="6" t="s">
        <v>14</v>
      </c>
      <c r="E6852" s="6" t="s">
        <v>52</v>
      </c>
      <c r="F6852" s="6" t="s">
        <v>83</v>
      </c>
      <c r="G6852" s="6" t="s">
        <v>1316</v>
      </c>
      <c r="H6852" s="6" t="s">
        <v>1338</v>
      </c>
      <c r="I6852" s="6" t="s">
        <v>31</v>
      </c>
      <c r="J6852" s="6">
        <v>17.008894999999999</v>
      </c>
      <c r="K6852" s="6">
        <v>-96.977794000000003</v>
      </c>
      <c r="L6852" s="6" t="str">
        <f>HYPERLINK("https://maps.google.com/?q=17.008895,-96.977794000000003", "🔗 Ver Mapa")</f>
        <v>🔗 Ver Mapa</v>
      </c>
    </row>
    <row r="6853" spans="1:12" ht="43.5" x14ac:dyDescent="0.35">
      <c r="A6853" s="5" t="s">
        <v>98</v>
      </c>
      <c r="B6853" s="5" t="s">
        <v>99</v>
      </c>
      <c r="C6853" s="5" t="s">
        <v>1337</v>
      </c>
      <c r="D6853" s="5" t="s">
        <v>14</v>
      </c>
      <c r="E6853" s="5" t="s">
        <v>52</v>
      </c>
      <c r="F6853" s="5" t="s">
        <v>83</v>
      </c>
      <c r="G6853" s="5" t="s">
        <v>1316</v>
      </c>
      <c r="H6853" s="5" t="s">
        <v>1338</v>
      </c>
      <c r="I6853" s="5" t="s">
        <v>31</v>
      </c>
      <c r="J6853" s="5">
        <v>17.009045674509</v>
      </c>
      <c r="K6853" s="5">
        <v>-96.977645590109006</v>
      </c>
      <c r="L6853" s="5" t="str">
        <f>HYPERLINK("https://maps.google.com/?q=17.0090456745091,-96.977645590108907", "🔗 Ver Mapa")</f>
        <v>🔗 Ver Mapa</v>
      </c>
    </row>
    <row r="6854" spans="1:12" ht="43.5" x14ac:dyDescent="0.35">
      <c r="A6854" s="6" t="s">
        <v>98</v>
      </c>
      <c r="B6854" s="6" t="s">
        <v>99</v>
      </c>
      <c r="C6854" s="6" t="s">
        <v>1337</v>
      </c>
      <c r="D6854" s="6" t="s">
        <v>14</v>
      </c>
      <c r="E6854" s="6" t="s">
        <v>52</v>
      </c>
      <c r="F6854" s="6" t="s">
        <v>83</v>
      </c>
      <c r="G6854" s="6" t="s">
        <v>1316</v>
      </c>
      <c r="H6854" s="6" t="s">
        <v>1338</v>
      </c>
      <c r="I6854" s="6" t="s">
        <v>31</v>
      </c>
      <c r="J6854" s="6">
        <v>17.009123850900998</v>
      </c>
      <c r="K6854" s="6">
        <v>-96.978714984719005</v>
      </c>
      <c r="L6854" s="6" t="str">
        <f>HYPERLINK("https://maps.google.com/?q=17.0091238509015,-96.978714984719005", "🔗 Ver Mapa")</f>
        <v>🔗 Ver Mapa</v>
      </c>
    </row>
    <row r="6855" spans="1:12" ht="43.5" x14ac:dyDescent="0.35">
      <c r="A6855" s="5" t="s">
        <v>98</v>
      </c>
      <c r="B6855" s="5" t="s">
        <v>99</v>
      </c>
      <c r="C6855" s="5" t="s">
        <v>1337</v>
      </c>
      <c r="D6855" s="5" t="s">
        <v>14</v>
      </c>
      <c r="E6855" s="5" t="s">
        <v>52</v>
      </c>
      <c r="F6855" s="5" t="s">
        <v>83</v>
      </c>
      <c r="G6855" s="5" t="s">
        <v>1316</v>
      </c>
      <c r="H6855" s="5" t="s">
        <v>1338</v>
      </c>
      <c r="I6855" s="5" t="s">
        <v>31</v>
      </c>
      <c r="J6855" s="5">
        <v>17.009705094108</v>
      </c>
      <c r="K6855" s="5">
        <v>-96.979832104910997</v>
      </c>
      <c r="L6855" s="5" t="str">
        <f>HYPERLINK("https://maps.google.com/?q=17.0097050941076,-96.979832104910798", "🔗 Ver Mapa")</f>
        <v>🔗 Ver Mapa</v>
      </c>
    </row>
    <row r="6856" spans="1:12" ht="43.5" x14ac:dyDescent="0.35">
      <c r="A6856" s="6" t="s">
        <v>98</v>
      </c>
      <c r="B6856" s="6" t="s">
        <v>99</v>
      </c>
      <c r="C6856" s="6" t="s">
        <v>1337</v>
      </c>
      <c r="D6856" s="6" t="s">
        <v>14</v>
      </c>
      <c r="E6856" s="6" t="s">
        <v>52</v>
      </c>
      <c r="F6856" s="6" t="s">
        <v>83</v>
      </c>
      <c r="G6856" s="6" t="s">
        <v>1316</v>
      </c>
      <c r="H6856" s="6" t="s">
        <v>1338</v>
      </c>
      <c r="I6856" s="6" t="s">
        <v>31</v>
      </c>
      <c r="J6856" s="6">
        <v>17.009747000000001</v>
      </c>
      <c r="K6856" s="6">
        <v>-96.979690000000005</v>
      </c>
      <c r="L6856" s="6" t="str">
        <f>HYPERLINK("https://maps.google.com/?q=17.009747,-96.979690000000005", "🔗 Ver Mapa")</f>
        <v>🔗 Ver Mapa</v>
      </c>
    </row>
    <row r="6857" spans="1:12" ht="43.5" x14ac:dyDescent="0.35">
      <c r="A6857" s="5" t="s">
        <v>98</v>
      </c>
      <c r="B6857" s="5" t="s">
        <v>99</v>
      </c>
      <c r="C6857" s="5" t="s">
        <v>1337</v>
      </c>
      <c r="D6857" s="5" t="s">
        <v>14</v>
      </c>
      <c r="E6857" s="5" t="s">
        <v>52</v>
      </c>
      <c r="F6857" s="5" t="s">
        <v>83</v>
      </c>
      <c r="G6857" s="5" t="s">
        <v>1316</v>
      </c>
      <c r="H6857" s="5" t="s">
        <v>1338</v>
      </c>
      <c r="I6857" s="5" t="s">
        <v>31</v>
      </c>
      <c r="J6857" s="5">
        <v>17.009824499659999</v>
      </c>
      <c r="K6857" s="5">
        <v>-96.979736568844004</v>
      </c>
      <c r="L6857" s="5" t="str">
        <f>HYPERLINK("https://maps.google.com/?q=17.0098244996604,-96.979736568844103", "🔗 Ver Mapa")</f>
        <v>🔗 Ver Mapa</v>
      </c>
    </row>
    <row r="6858" spans="1:12" ht="43.5" x14ac:dyDescent="0.35">
      <c r="A6858" s="6" t="s">
        <v>98</v>
      </c>
      <c r="B6858" s="6" t="s">
        <v>99</v>
      </c>
      <c r="C6858" s="6" t="s">
        <v>1337</v>
      </c>
      <c r="D6858" s="6" t="s">
        <v>14</v>
      </c>
      <c r="E6858" s="6" t="s">
        <v>52</v>
      </c>
      <c r="F6858" s="6" t="s">
        <v>83</v>
      </c>
      <c r="G6858" s="6" t="s">
        <v>1316</v>
      </c>
      <c r="H6858" s="6" t="s">
        <v>1338</v>
      </c>
      <c r="I6858" s="6" t="s">
        <v>31</v>
      </c>
      <c r="J6858" s="6">
        <v>17.009943810184001</v>
      </c>
      <c r="K6858" s="6">
        <v>-96.979815916112003</v>
      </c>
      <c r="L6858" s="6" t="str">
        <f>HYPERLINK("https://maps.google.com/?q=17.009943810184,-96.979815916112202", "🔗 Ver Mapa")</f>
        <v>🔗 Ver Mapa</v>
      </c>
    </row>
    <row r="6859" spans="1:12" ht="43.5" x14ac:dyDescent="0.35">
      <c r="A6859" s="5" t="s">
        <v>98</v>
      </c>
      <c r="B6859" s="5" t="s">
        <v>99</v>
      </c>
      <c r="C6859" s="5" t="s">
        <v>1337</v>
      </c>
      <c r="D6859" s="5" t="s">
        <v>14</v>
      </c>
      <c r="E6859" s="5" t="s">
        <v>52</v>
      </c>
      <c r="F6859" s="5" t="s">
        <v>83</v>
      </c>
      <c r="G6859" s="5" t="s">
        <v>1316</v>
      </c>
      <c r="H6859" s="5" t="s">
        <v>1338</v>
      </c>
      <c r="I6859" s="5" t="s">
        <v>31</v>
      </c>
      <c r="J6859" s="5">
        <v>17.009993941343001</v>
      </c>
      <c r="K6859" s="5">
        <v>-96.979726111863997</v>
      </c>
      <c r="L6859" s="5" t="str">
        <f>HYPERLINK("https://maps.google.com/?q=17.0099939413432,-96.979726111863698", "🔗 Ver Mapa")</f>
        <v>🔗 Ver Mapa</v>
      </c>
    </row>
    <row r="6860" spans="1:12" ht="43.5" x14ac:dyDescent="0.35">
      <c r="A6860" s="6" t="s">
        <v>98</v>
      </c>
      <c r="B6860" s="6" t="s">
        <v>99</v>
      </c>
      <c r="C6860" s="6" t="s">
        <v>1337</v>
      </c>
      <c r="D6860" s="6" t="s">
        <v>14</v>
      </c>
      <c r="E6860" s="6" t="s">
        <v>52</v>
      </c>
      <c r="F6860" s="6" t="s">
        <v>83</v>
      </c>
      <c r="G6860" s="6" t="s">
        <v>1316</v>
      </c>
      <c r="H6860" s="6" t="s">
        <v>1338</v>
      </c>
      <c r="I6860" s="6" t="s">
        <v>31</v>
      </c>
      <c r="J6860" s="6">
        <v>17.011256800725999</v>
      </c>
      <c r="K6860" s="6">
        <v>-96.978705598158996</v>
      </c>
      <c r="L6860" s="6" t="str">
        <f>HYPERLINK("https://maps.google.com/?q=17.0112568007264,-96.978705598158996", "🔗 Ver Mapa")</f>
        <v>🔗 Ver Mapa</v>
      </c>
    </row>
    <row r="6861" spans="1:12" ht="43.5" x14ac:dyDescent="0.35">
      <c r="A6861" s="5" t="s">
        <v>98</v>
      </c>
      <c r="B6861" s="5" t="s">
        <v>99</v>
      </c>
      <c r="C6861" s="5" t="s">
        <v>1337</v>
      </c>
      <c r="D6861" s="5" t="s">
        <v>14</v>
      </c>
      <c r="E6861" s="5" t="s">
        <v>52</v>
      </c>
      <c r="F6861" s="5" t="s">
        <v>83</v>
      </c>
      <c r="G6861" s="5" t="s">
        <v>1316</v>
      </c>
      <c r="H6861" s="5" t="s">
        <v>1338</v>
      </c>
      <c r="I6861" s="5" t="s">
        <v>31</v>
      </c>
      <c r="J6861" s="5">
        <v>17.011314509958002</v>
      </c>
      <c r="K6861" s="5">
        <v>-96.979397608084994</v>
      </c>
      <c r="L6861" s="5" t="str">
        <f>HYPERLINK("https://maps.google.com/?q=17.0113145099576,-96.979397608084895", "🔗 Ver Mapa")</f>
        <v>🔗 Ver Mapa</v>
      </c>
    </row>
    <row r="6862" spans="1:12" ht="43.5" x14ac:dyDescent="0.35">
      <c r="A6862" s="6" t="s">
        <v>98</v>
      </c>
      <c r="B6862" s="6" t="s">
        <v>99</v>
      </c>
      <c r="C6862" s="6" t="s">
        <v>1339</v>
      </c>
      <c r="D6862" s="6" t="s">
        <v>14</v>
      </c>
      <c r="E6862" s="6" t="s">
        <v>52</v>
      </c>
      <c r="F6862" s="6" t="s">
        <v>83</v>
      </c>
      <c r="G6862" s="6" t="s">
        <v>1316</v>
      </c>
      <c r="H6862" s="6" t="s">
        <v>1340</v>
      </c>
      <c r="I6862" s="6" t="s">
        <v>31</v>
      </c>
      <c r="J6862" s="6">
        <v>16.968361000000002</v>
      </c>
      <c r="K6862" s="6">
        <v>-97.081378999999998</v>
      </c>
      <c r="L6862" s="6" t="str">
        <f>HYPERLINK("https://maps.google.com/?q=16.968361,-97.081378999999998", "🔗 Ver Mapa")</f>
        <v>🔗 Ver Mapa</v>
      </c>
    </row>
    <row r="6863" spans="1:12" ht="43.5" x14ac:dyDescent="0.35">
      <c r="A6863" s="5" t="s">
        <v>98</v>
      </c>
      <c r="B6863" s="5" t="s">
        <v>99</v>
      </c>
      <c r="C6863" s="5" t="s">
        <v>1339</v>
      </c>
      <c r="D6863" s="5" t="s">
        <v>14</v>
      </c>
      <c r="E6863" s="5" t="s">
        <v>52</v>
      </c>
      <c r="F6863" s="5" t="s">
        <v>83</v>
      </c>
      <c r="G6863" s="5" t="s">
        <v>1316</v>
      </c>
      <c r="H6863" s="5" t="s">
        <v>1340</v>
      </c>
      <c r="I6863" s="5" t="s">
        <v>31</v>
      </c>
      <c r="J6863" s="5">
        <v>16.968450757418001</v>
      </c>
      <c r="K6863" s="5">
        <v>-97.081759107969006</v>
      </c>
      <c r="L6863" s="5" t="str">
        <f>HYPERLINK("https://maps.google.com/?q=16.9684507574179,-97.081759107969305", "🔗 Ver Mapa")</f>
        <v>🔗 Ver Mapa</v>
      </c>
    </row>
    <row r="6864" spans="1:12" ht="43.5" x14ac:dyDescent="0.35">
      <c r="A6864" s="6" t="s">
        <v>98</v>
      </c>
      <c r="B6864" s="6" t="s">
        <v>99</v>
      </c>
      <c r="C6864" s="6" t="s">
        <v>1339</v>
      </c>
      <c r="D6864" s="6" t="s">
        <v>14</v>
      </c>
      <c r="E6864" s="6" t="s">
        <v>52</v>
      </c>
      <c r="F6864" s="6" t="s">
        <v>83</v>
      </c>
      <c r="G6864" s="6" t="s">
        <v>1316</v>
      </c>
      <c r="H6864" s="6" t="s">
        <v>1340</v>
      </c>
      <c r="I6864" s="6" t="s">
        <v>31</v>
      </c>
      <c r="J6864" s="6">
        <v>16.968683556414</v>
      </c>
      <c r="K6864" s="6">
        <v>-97.082427749991993</v>
      </c>
      <c r="L6864" s="6" t="str">
        <f>HYPERLINK("https://maps.google.com/?q=16.9686835564139,-97.082427749992206", "🔗 Ver Mapa")</f>
        <v>🔗 Ver Mapa</v>
      </c>
    </row>
    <row r="6865" spans="1:12" ht="43.5" x14ac:dyDescent="0.35">
      <c r="A6865" s="5" t="s">
        <v>98</v>
      </c>
      <c r="B6865" s="5" t="s">
        <v>99</v>
      </c>
      <c r="C6865" s="5" t="s">
        <v>1339</v>
      </c>
      <c r="D6865" s="5" t="s">
        <v>14</v>
      </c>
      <c r="E6865" s="5" t="s">
        <v>52</v>
      </c>
      <c r="F6865" s="5" t="s">
        <v>83</v>
      </c>
      <c r="G6865" s="5" t="s">
        <v>1316</v>
      </c>
      <c r="H6865" s="5" t="s">
        <v>1340</v>
      </c>
      <c r="I6865" s="5" t="s">
        <v>31</v>
      </c>
      <c r="J6865" s="5">
        <v>16.968737117623999</v>
      </c>
      <c r="K6865" s="5">
        <v>-97.083645927578004</v>
      </c>
      <c r="L6865" s="5" t="str">
        <f>HYPERLINK("https://maps.google.com/?q=16.9687371176243,-97.083645927578004", "🔗 Ver Mapa")</f>
        <v>🔗 Ver Mapa</v>
      </c>
    </row>
    <row r="6866" spans="1:12" ht="43.5" x14ac:dyDescent="0.35">
      <c r="A6866" s="6" t="s">
        <v>98</v>
      </c>
      <c r="B6866" s="6" t="s">
        <v>99</v>
      </c>
      <c r="C6866" s="6" t="s">
        <v>1339</v>
      </c>
      <c r="D6866" s="6" t="s">
        <v>14</v>
      </c>
      <c r="E6866" s="6" t="s">
        <v>52</v>
      </c>
      <c r="F6866" s="6" t="s">
        <v>83</v>
      </c>
      <c r="G6866" s="6" t="s">
        <v>1316</v>
      </c>
      <c r="H6866" s="6" t="s">
        <v>1340</v>
      </c>
      <c r="I6866" s="6" t="s">
        <v>31</v>
      </c>
      <c r="J6866" s="6">
        <v>16.968774</v>
      </c>
      <c r="K6866" s="6">
        <v>-97.081798000000006</v>
      </c>
      <c r="L6866" s="6" t="str">
        <f>HYPERLINK("https://maps.google.com/?q=16.968774,-97.081798000000006", "🔗 Ver Mapa")</f>
        <v>🔗 Ver Mapa</v>
      </c>
    </row>
    <row r="6867" spans="1:12" ht="43.5" x14ac:dyDescent="0.35">
      <c r="A6867" s="5" t="s">
        <v>98</v>
      </c>
      <c r="B6867" s="5" t="s">
        <v>99</v>
      </c>
      <c r="C6867" s="5" t="s">
        <v>1339</v>
      </c>
      <c r="D6867" s="5" t="s">
        <v>14</v>
      </c>
      <c r="E6867" s="5" t="s">
        <v>52</v>
      </c>
      <c r="F6867" s="5" t="s">
        <v>83</v>
      </c>
      <c r="G6867" s="5" t="s">
        <v>1316</v>
      </c>
      <c r="H6867" s="5" t="s">
        <v>1340</v>
      </c>
      <c r="I6867" s="5" t="s">
        <v>31</v>
      </c>
      <c r="J6867" s="5">
        <v>16.969302500000001</v>
      </c>
      <c r="K6867" s="5">
        <v>-97.083715999999995</v>
      </c>
      <c r="L6867" s="5" t="str">
        <f>HYPERLINK("https://maps.google.com/?q=16.9693025,-97.083715999999995", "🔗 Ver Mapa")</f>
        <v>🔗 Ver Mapa</v>
      </c>
    </row>
    <row r="6868" spans="1:12" ht="43.5" x14ac:dyDescent="0.35">
      <c r="A6868" s="6" t="s">
        <v>98</v>
      </c>
      <c r="B6868" s="6" t="s">
        <v>99</v>
      </c>
      <c r="C6868" s="6" t="s">
        <v>1339</v>
      </c>
      <c r="D6868" s="6" t="s">
        <v>14</v>
      </c>
      <c r="E6868" s="6" t="s">
        <v>52</v>
      </c>
      <c r="F6868" s="6" t="s">
        <v>83</v>
      </c>
      <c r="G6868" s="6" t="s">
        <v>1316</v>
      </c>
      <c r="H6868" s="6" t="s">
        <v>1340</v>
      </c>
      <c r="I6868" s="6" t="s">
        <v>31</v>
      </c>
      <c r="J6868" s="6">
        <v>16.969706293213999</v>
      </c>
      <c r="K6868" s="6">
        <v>-97.083433030571001</v>
      </c>
      <c r="L6868" s="6" t="str">
        <f>HYPERLINK("https://maps.google.com/?q=16.969706293214,-97.083433030570802", "🔗 Ver Mapa")</f>
        <v>🔗 Ver Mapa</v>
      </c>
    </row>
    <row r="6869" spans="1:12" ht="43.5" x14ac:dyDescent="0.35">
      <c r="A6869" s="5" t="s">
        <v>98</v>
      </c>
      <c r="B6869" s="5" t="s">
        <v>99</v>
      </c>
      <c r="C6869" s="5" t="s">
        <v>1339</v>
      </c>
      <c r="D6869" s="5" t="s">
        <v>14</v>
      </c>
      <c r="E6869" s="5" t="s">
        <v>52</v>
      </c>
      <c r="F6869" s="5" t="s">
        <v>83</v>
      </c>
      <c r="G6869" s="5" t="s">
        <v>1316</v>
      </c>
      <c r="H6869" s="5" t="s">
        <v>1340</v>
      </c>
      <c r="I6869" s="5" t="s">
        <v>31</v>
      </c>
      <c r="J6869" s="5">
        <v>16.969757133508999</v>
      </c>
      <c r="K6869" s="5">
        <v>-97.082769728835999</v>
      </c>
      <c r="L6869" s="5" t="str">
        <f>HYPERLINK("https://maps.google.com/?q=16.969757133508583,-97.08276972883601", "🔗 Ver Mapa")</f>
        <v>🔗 Ver Mapa</v>
      </c>
    </row>
    <row r="6870" spans="1:12" ht="43.5" x14ac:dyDescent="0.35">
      <c r="A6870" s="6" t="s">
        <v>98</v>
      </c>
      <c r="B6870" s="6" t="s">
        <v>99</v>
      </c>
      <c r="C6870" s="6" t="s">
        <v>1339</v>
      </c>
      <c r="D6870" s="6" t="s">
        <v>14</v>
      </c>
      <c r="E6870" s="6" t="s">
        <v>52</v>
      </c>
      <c r="F6870" s="6" t="s">
        <v>83</v>
      </c>
      <c r="G6870" s="6" t="s">
        <v>1316</v>
      </c>
      <c r="H6870" s="6" t="s">
        <v>1340</v>
      </c>
      <c r="I6870" s="6" t="s">
        <v>31</v>
      </c>
      <c r="J6870" s="6">
        <v>16.969873804058999</v>
      </c>
      <c r="K6870" s="6">
        <v>-97.087704466269997</v>
      </c>
      <c r="L6870" s="6" t="str">
        <f>HYPERLINK("https://maps.google.com/?q=16.969873804059,-97.087704466270395", "🔗 Ver Mapa")</f>
        <v>🔗 Ver Mapa</v>
      </c>
    </row>
    <row r="6871" spans="1:12" ht="43.5" x14ac:dyDescent="0.35">
      <c r="A6871" s="5" t="s">
        <v>98</v>
      </c>
      <c r="B6871" s="5" t="s">
        <v>99</v>
      </c>
      <c r="C6871" s="5" t="s">
        <v>1339</v>
      </c>
      <c r="D6871" s="5" t="s">
        <v>14</v>
      </c>
      <c r="E6871" s="5" t="s">
        <v>52</v>
      </c>
      <c r="F6871" s="5" t="s">
        <v>83</v>
      </c>
      <c r="G6871" s="5" t="s">
        <v>1316</v>
      </c>
      <c r="H6871" s="5" t="s">
        <v>1340</v>
      </c>
      <c r="I6871" s="5" t="s">
        <v>31</v>
      </c>
      <c r="J6871" s="5">
        <v>16.969940099999999</v>
      </c>
      <c r="K6871" s="5">
        <v>-97.083507999999995</v>
      </c>
      <c r="L6871" s="5" t="str">
        <f>HYPERLINK("https://maps.google.com/?q=16.9699401,-97.083507999999995", "🔗 Ver Mapa")</f>
        <v>🔗 Ver Mapa</v>
      </c>
    </row>
    <row r="6872" spans="1:12" ht="43.5" x14ac:dyDescent="0.35">
      <c r="A6872" s="6" t="s">
        <v>98</v>
      </c>
      <c r="B6872" s="6" t="s">
        <v>99</v>
      </c>
      <c r="C6872" s="6" t="s">
        <v>1339</v>
      </c>
      <c r="D6872" s="6" t="s">
        <v>14</v>
      </c>
      <c r="E6872" s="6" t="s">
        <v>52</v>
      </c>
      <c r="F6872" s="6" t="s">
        <v>83</v>
      </c>
      <c r="G6872" s="6" t="s">
        <v>1316</v>
      </c>
      <c r="H6872" s="6" t="s">
        <v>1340</v>
      </c>
      <c r="I6872" s="6" t="s">
        <v>31</v>
      </c>
      <c r="J6872" s="6">
        <v>16.969972538303999</v>
      </c>
      <c r="K6872" s="6">
        <v>-97.082849087425998</v>
      </c>
      <c r="L6872" s="6" t="str">
        <f>HYPERLINK("https://maps.google.com/?q=16.9699725383045,-97.0828490874257", "🔗 Ver Mapa")</f>
        <v>🔗 Ver Mapa</v>
      </c>
    </row>
    <row r="6873" spans="1:12" ht="43.5" x14ac:dyDescent="0.35">
      <c r="A6873" s="5" t="s">
        <v>98</v>
      </c>
      <c r="B6873" s="5" t="s">
        <v>99</v>
      </c>
      <c r="C6873" s="5" t="s">
        <v>1339</v>
      </c>
      <c r="D6873" s="5" t="s">
        <v>14</v>
      </c>
      <c r="E6873" s="5" t="s">
        <v>52</v>
      </c>
      <c r="F6873" s="5" t="s">
        <v>83</v>
      </c>
      <c r="G6873" s="5" t="s">
        <v>1316</v>
      </c>
      <c r="H6873" s="5" t="s">
        <v>1340</v>
      </c>
      <c r="I6873" s="5" t="s">
        <v>31</v>
      </c>
      <c r="J6873" s="5">
        <v>16.970030192345</v>
      </c>
      <c r="K6873" s="5">
        <v>-97.082859393847997</v>
      </c>
      <c r="L6873" s="5" t="str">
        <f>HYPERLINK("https://maps.google.com/?q=16.9700301923449,-97.082859393848395", "🔗 Ver Mapa")</f>
        <v>🔗 Ver Mapa</v>
      </c>
    </row>
    <row r="6874" spans="1:12" ht="43.5" x14ac:dyDescent="0.35">
      <c r="A6874" s="6" t="s">
        <v>98</v>
      </c>
      <c r="B6874" s="6" t="s">
        <v>99</v>
      </c>
      <c r="C6874" s="6" t="s">
        <v>1339</v>
      </c>
      <c r="D6874" s="6" t="s">
        <v>14</v>
      </c>
      <c r="E6874" s="6" t="s">
        <v>52</v>
      </c>
      <c r="F6874" s="6" t="s">
        <v>83</v>
      </c>
      <c r="G6874" s="6" t="s">
        <v>1316</v>
      </c>
      <c r="H6874" s="6" t="s">
        <v>1340</v>
      </c>
      <c r="I6874" s="6" t="s">
        <v>31</v>
      </c>
      <c r="J6874" s="6">
        <v>16.970114829052001</v>
      </c>
      <c r="K6874" s="6">
        <v>-97.082977610165003</v>
      </c>
      <c r="L6874" s="6" t="str">
        <f>HYPERLINK("https://maps.google.com/?q=16.9701148290516,-97.082977610165301", "🔗 Ver Mapa")</f>
        <v>🔗 Ver Mapa</v>
      </c>
    </row>
    <row r="6875" spans="1:12" ht="43.5" x14ac:dyDescent="0.35">
      <c r="A6875" s="5" t="s">
        <v>98</v>
      </c>
      <c r="B6875" s="5" t="s">
        <v>99</v>
      </c>
      <c r="C6875" s="5" t="s">
        <v>1339</v>
      </c>
      <c r="D6875" s="5" t="s">
        <v>14</v>
      </c>
      <c r="E6875" s="5" t="s">
        <v>52</v>
      </c>
      <c r="F6875" s="5" t="s">
        <v>83</v>
      </c>
      <c r="G6875" s="5" t="s">
        <v>1316</v>
      </c>
      <c r="H6875" s="5" t="s">
        <v>1340</v>
      </c>
      <c r="I6875" s="5" t="s">
        <v>31</v>
      </c>
      <c r="J6875" s="5">
        <v>16.970289500387</v>
      </c>
      <c r="K6875" s="5">
        <v>-97.082618253389995</v>
      </c>
      <c r="L6875" s="5" t="str">
        <f>HYPERLINK("https://maps.google.com/?q=16.9702895003867,-97.082618253390294", "🔗 Ver Mapa")</f>
        <v>🔗 Ver Mapa</v>
      </c>
    </row>
    <row r="6876" spans="1:12" ht="43.5" x14ac:dyDescent="0.35">
      <c r="A6876" s="6" t="s">
        <v>98</v>
      </c>
      <c r="B6876" s="6" t="s">
        <v>99</v>
      </c>
      <c r="C6876" s="6" t="s">
        <v>1339</v>
      </c>
      <c r="D6876" s="6" t="s">
        <v>14</v>
      </c>
      <c r="E6876" s="6" t="s">
        <v>52</v>
      </c>
      <c r="F6876" s="6" t="s">
        <v>83</v>
      </c>
      <c r="G6876" s="6" t="s">
        <v>1316</v>
      </c>
      <c r="H6876" s="6" t="s">
        <v>1340</v>
      </c>
      <c r="I6876" s="6" t="s">
        <v>31</v>
      </c>
      <c r="J6876" s="6">
        <v>16.970379128969999</v>
      </c>
      <c r="K6876" s="6">
        <v>-97.084431142940005</v>
      </c>
      <c r="L6876" s="6" t="str">
        <f>HYPERLINK("https://maps.google.com/?q=16.9703791289702,-97.084431142939593", "🔗 Ver Mapa")</f>
        <v>🔗 Ver Mapa</v>
      </c>
    </row>
    <row r="6877" spans="1:12" ht="43.5" x14ac:dyDescent="0.35">
      <c r="A6877" s="5" t="s">
        <v>98</v>
      </c>
      <c r="B6877" s="5" t="s">
        <v>99</v>
      </c>
      <c r="C6877" s="5" t="s">
        <v>1339</v>
      </c>
      <c r="D6877" s="5" t="s">
        <v>14</v>
      </c>
      <c r="E6877" s="5" t="s">
        <v>52</v>
      </c>
      <c r="F6877" s="5" t="s">
        <v>83</v>
      </c>
      <c r="G6877" s="5" t="s">
        <v>1316</v>
      </c>
      <c r="H6877" s="5" t="s">
        <v>1340</v>
      </c>
      <c r="I6877" s="5" t="s">
        <v>31</v>
      </c>
      <c r="J6877" s="5">
        <v>16.970458000000001</v>
      </c>
      <c r="K6877" s="5">
        <v>-97.085607999999993</v>
      </c>
      <c r="L6877" s="5" t="str">
        <f>HYPERLINK("https://maps.google.com/?q=16.970458,-97.085607999999993", "🔗 Ver Mapa")</f>
        <v>🔗 Ver Mapa</v>
      </c>
    </row>
    <row r="6878" spans="1:12" ht="43.5" x14ac:dyDescent="0.35">
      <c r="A6878" s="6" t="s">
        <v>98</v>
      </c>
      <c r="B6878" s="6" t="s">
        <v>99</v>
      </c>
      <c r="C6878" s="6" t="s">
        <v>1339</v>
      </c>
      <c r="D6878" s="6" t="s">
        <v>14</v>
      </c>
      <c r="E6878" s="6" t="s">
        <v>52</v>
      </c>
      <c r="F6878" s="6" t="s">
        <v>83</v>
      </c>
      <c r="G6878" s="6" t="s">
        <v>1316</v>
      </c>
      <c r="H6878" s="6" t="s">
        <v>1340</v>
      </c>
      <c r="I6878" s="6" t="s">
        <v>31</v>
      </c>
      <c r="J6878" s="6">
        <v>16.970563762076001</v>
      </c>
      <c r="K6878" s="6">
        <v>-97.086109655837006</v>
      </c>
      <c r="L6878" s="6" t="str">
        <f>HYPERLINK("https://maps.google.com/?q=16.9705637620756,-97.086109655837006", "🔗 Ver Mapa")</f>
        <v>🔗 Ver Mapa</v>
      </c>
    </row>
    <row r="6879" spans="1:12" ht="43.5" x14ac:dyDescent="0.35">
      <c r="A6879" s="5" t="s">
        <v>98</v>
      </c>
      <c r="B6879" s="5" t="s">
        <v>99</v>
      </c>
      <c r="C6879" s="5" t="s">
        <v>1339</v>
      </c>
      <c r="D6879" s="5" t="s">
        <v>14</v>
      </c>
      <c r="E6879" s="5" t="s">
        <v>52</v>
      </c>
      <c r="F6879" s="5" t="s">
        <v>83</v>
      </c>
      <c r="G6879" s="5" t="s">
        <v>1316</v>
      </c>
      <c r="H6879" s="5" t="s">
        <v>1340</v>
      </c>
      <c r="I6879" s="5" t="s">
        <v>31</v>
      </c>
      <c r="J6879" s="5">
        <v>16.970616850780001</v>
      </c>
      <c r="K6879" s="5">
        <v>-97.083815874834002</v>
      </c>
      <c r="L6879" s="5" t="str">
        <f>HYPERLINK("https://maps.google.com/?q=16.9706168507797,-97.083815874834102", "🔗 Ver Mapa")</f>
        <v>🔗 Ver Mapa</v>
      </c>
    </row>
    <row r="6880" spans="1:12" ht="43.5" x14ac:dyDescent="0.35">
      <c r="A6880" s="6" t="s">
        <v>98</v>
      </c>
      <c r="B6880" s="6" t="s">
        <v>99</v>
      </c>
      <c r="C6880" s="6" t="s">
        <v>1339</v>
      </c>
      <c r="D6880" s="6" t="s">
        <v>14</v>
      </c>
      <c r="E6880" s="6" t="s">
        <v>52</v>
      </c>
      <c r="F6880" s="6" t="s">
        <v>83</v>
      </c>
      <c r="G6880" s="6" t="s">
        <v>1316</v>
      </c>
      <c r="H6880" s="6" t="s">
        <v>1340</v>
      </c>
      <c r="I6880" s="6" t="s">
        <v>31</v>
      </c>
      <c r="J6880" s="6">
        <v>16.971321935148001</v>
      </c>
      <c r="K6880" s="6">
        <v>-97.083159638813996</v>
      </c>
      <c r="L6880" s="6" t="str">
        <f>HYPERLINK("https://maps.google.com/?q=16.9713219351481,-97.083159638813598", "🔗 Ver Mapa")</f>
        <v>🔗 Ver Mapa</v>
      </c>
    </row>
    <row r="6881" spans="1:12" ht="43.5" x14ac:dyDescent="0.35">
      <c r="A6881" s="5" t="s">
        <v>98</v>
      </c>
      <c r="B6881" s="5" t="s">
        <v>99</v>
      </c>
      <c r="C6881" s="5" t="s">
        <v>1339</v>
      </c>
      <c r="D6881" s="5" t="s">
        <v>14</v>
      </c>
      <c r="E6881" s="5" t="s">
        <v>52</v>
      </c>
      <c r="F6881" s="5" t="s">
        <v>83</v>
      </c>
      <c r="G6881" s="5" t="s">
        <v>1316</v>
      </c>
      <c r="H6881" s="5" t="s">
        <v>1340</v>
      </c>
      <c r="I6881" s="5" t="s">
        <v>31</v>
      </c>
      <c r="J6881" s="5">
        <v>16.971440289642</v>
      </c>
      <c r="K6881" s="5">
        <v>-97.085233918403006</v>
      </c>
      <c r="L6881" s="5" t="str">
        <f>HYPERLINK("https://maps.google.com/?q=16.9714402896423,-97.085233918402693", "🔗 Ver Mapa")</f>
        <v>🔗 Ver Mapa</v>
      </c>
    </row>
    <row r="6882" spans="1:12" ht="43.5" x14ac:dyDescent="0.35">
      <c r="A6882" s="6" t="s">
        <v>98</v>
      </c>
      <c r="B6882" s="6" t="s">
        <v>99</v>
      </c>
      <c r="C6882" s="6" t="s">
        <v>1339</v>
      </c>
      <c r="D6882" s="6" t="s">
        <v>14</v>
      </c>
      <c r="E6882" s="6" t="s">
        <v>52</v>
      </c>
      <c r="F6882" s="6" t="s">
        <v>83</v>
      </c>
      <c r="G6882" s="6" t="s">
        <v>1316</v>
      </c>
      <c r="H6882" s="6" t="s">
        <v>1340</v>
      </c>
      <c r="I6882" s="6" t="s">
        <v>31</v>
      </c>
      <c r="J6882" s="6">
        <v>16.971548656648</v>
      </c>
      <c r="K6882" s="6">
        <v>-97.083332230826997</v>
      </c>
      <c r="L6882" s="6" t="str">
        <f>HYPERLINK("https://maps.google.com/?q=16.9715486566483,-97.083332230826997", "🔗 Ver Mapa")</f>
        <v>🔗 Ver Mapa</v>
      </c>
    </row>
    <row r="6883" spans="1:12" ht="43.5" x14ac:dyDescent="0.35">
      <c r="A6883" s="5" t="s">
        <v>98</v>
      </c>
      <c r="B6883" s="5" t="s">
        <v>99</v>
      </c>
      <c r="C6883" s="5" t="s">
        <v>1339</v>
      </c>
      <c r="D6883" s="5" t="s">
        <v>14</v>
      </c>
      <c r="E6883" s="5" t="s">
        <v>52</v>
      </c>
      <c r="F6883" s="5" t="s">
        <v>83</v>
      </c>
      <c r="G6883" s="5" t="s">
        <v>1316</v>
      </c>
      <c r="H6883" s="5" t="s">
        <v>1340</v>
      </c>
      <c r="I6883" s="5" t="s">
        <v>31</v>
      </c>
      <c r="J6883" s="5">
        <v>16.971621652378001</v>
      </c>
      <c r="K6883" s="5">
        <v>-97.084439309928001</v>
      </c>
      <c r="L6883" s="5" t="str">
        <f>HYPERLINK("https://maps.google.com/?q=16.9716216523775,-97.084439309927802", "🔗 Ver Mapa")</f>
        <v>🔗 Ver Mapa</v>
      </c>
    </row>
    <row r="6884" spans="1:12" ht="43.5" x14ac:dyDescent="0.35">
      <c r="A6884" s="6" t="s">
        <v>98</v>
      </c>
      <c r="B6884" s="6" t="s">
        <v>99</v>
      </c>
      <c r="C6884" s="6" t="s">
        <v>1339</v>
      </c>
      <c r="D6884" s="6" t="s">
        <v>14</v>
      </c>
      <c r="E6884" s="6" t="s">
        <v>52</v>
      </c>
      <c r="F6884" s="6" t="s">
        <v>83</v>
      </c>
      <c r="G6884" s="6" t="s">
        <v>1316</v>
      </c>
      <c r="H6884" s="6" t="s">
        <v>1340</v>
      </c>
      <c r="I6884" s="6" t="s">
        <v>31</v>
      </c>
      <c r="J6884" s="6">
        <v>16.971794758133001</v>
      </c>
      <c r="K6884" s="6">
        <v>-97.083756903687004</v>
      </c>
      <c r="L6884" s="6" t="str">
        <f>HYPERLINK("https://maps.google.com/?q=16.971794758133,-97.083756903687402", "🔗 Ver Mapa")</f>
        <v>🔗 Ver Mapa</v>
      </c>
    </row>
    <row r="6885" spans="1:12" ht="43.5" x14ac:dyDescent="0.35">
      <c r="A6885" s="5" t="s">
        <v>98</v>
      </c>
      <c r="B6885" s="5" t="s">
        <v>99</v>
      </c>
      <c r="C6885" s="5" t="s">
        <v>1339</v>
      </c>
      <c r="D6885" s="5" t="s">
        <v>14</v>
      </c>
      <c r="E6885" s="5" t="s">
        <v>52</v>
      </c>
      <c r="F6885" s="5" t="s">
        <v>83</v>
      </c>
      <c r="G6885" s="5" t="s">
        <v>1316</v>
      </c>
      <c r="H6885" s="5" t="s">
        <v>1340</v>
      </c>
      <c r="I6885" s="5" t="s">
        <v>31</v>
      </c>
      <c r="J6885" s="5">
        <v>16.971848725221001</v>
      </c>
      <c r="K6885" s="5">
        <v>-97.087979251695998</v>
      </c>
      <c r="L6885" s="5" t="str">
        <f>HYPERLINK("https://maps.google.com/?q=16.9718487252211,-97.087979251695899", "🔗 Ver Mapa")</f>
        <v>🔗 Ver Mapa</v>
      </c>
    </row>
    <row r="6886" spans="1:12" ht="43.5" x14ac:dyDescent="0.35">
      <c r="A6886" s="6" t="s">
        <v>98</v>
      </c>
      <c r="B6886" s="6" t="s">
        <v>99</v>
      </c>
      <c r="C6886" s="6" t="s">
        <v>1339</v>
      </c>
      <c r="D6886" s="6" t="s">
        <v>14</v>
      </c>
      <c r="E6886" s="6" t="s">
        <v>52</v>
      </c>
      <c r="F6886" s="6" t="s">
        <v>83</v>
      </c>
      <c r="G6886" s="6" t="s">
        <v>1316</v>
      </c>
      <c r="H6886" s="6" t="s">
        <v>1340</v>
      </c>
      <c r="I6886" s="6" t="s">
        <v>31</v>
      </c>
      <c r="J6886" s="6">
        <v>16.972352671901</v>
      </c>
      <c r="K6886" s="6">
        <v>-97.084499530094007</v>
      </c>
      <c r="L6886" s="6" t="str">
        <f>HYPERLINK("https://maps.google.com/?q=16.9723526719006,-97.084499530094007", "🔗 Ver Mapa")</f>
        <v>🔗 Ver Mapa</v>
      </c>
    </row>
    <row r="6887" spans="1:12" ht="43.5" x14ac:dyDescent="0.35">
      <c r="A6887" s="5" t="s">
        <v>98</v>
      </c>
      <c r="B6887" s="5" t="s">
        <v>99</v>
      </c>
      <c r="C6887" s="5" t="s">
        <v>1339</v>
      </c>
      <c r="D6887" s="5" t="s">
        <v>14</v>
      </c>
      <c r="E6887" s="5" t="s">
        <v>52</v>
      </c>
      <c r="F6887" s="5" t="s">
        <v>83</v>
      </c>
      <c r="G6887" s="5" t="s">
        <v>1316</v>
      </c>
      <c r="H6887" s="5" t="s">
        <v>1340</v>
      </c>
      <c r="I6887" s="5" t="s">
        <v>31</v>
      </c>
      <c r="J6887" s="5">
        <v>16.972623601696</v>
      </c>
      <c r="K6887" s="5">
        <v>-97.085119139881002</v>
      </c>
      <c r="L6887" s="5" t="str">
        <f>HYPERLINK("https://maps.google.com/?q=16.9726236016957,-97.085119139881101", "🔗 Ver Mapa")</f>
        <v>🔗 Ver Mapa</v>
      </c>
    </row>
    <row r="6888" spans="1:12" ht="43.5" x14ac:dyDescent="0.35">
      <c r="A6888" s="6" t="s">
        <v>98</v>
      </c>
      <c r="B6888" s="6" t="s">
        <v>99</v>
      </c>
      <c r="C6888" s="6" t="s">
        <v>1339</v>
      </c>
      <c r="D6888" s="6" t="s">
        <v>14</v>
      </c>
      <c r="E6888" s="6" t="s">
        <v>52</v>
      </c>
      <c r="F6888" s="6" t="s">
        <v>83</v>
      </c>
      <c r="G6888" s="6" t="s">
        <v>1316</v>
      </c>
      <c r="H6888" s="6" t="s">
        <v>1340</v>
      </c>
      <c r="I6888" s="6" t="s">
        <v>31</v>
      </c>
      <c r="J6888" s="6">
        <v>16.972700599067998</v>
      </c>
      <c r="K6888" s="6">
        <v>-97.085118761179999</v>
      </c>
      <c r="L6888" s="6" t="str">
        <f>HYPERLINK("https://maps.google.com/?q=16.9727005990678,-97.085118761180297", "🔗 Ver Mapa")</f>
        <v>🔗 Ver Mapa</v>
      </c>
    </row>
    <row r="6889" spans="1:12" ht="43.5" x14ac:dyDescent="0.35">
      <c r="A6889" s="5" t="s">
        <v>98</v>
      </c>
      <c r="B6889" s="5" t="s">
        <v>99</v>
      </c>
      <c r="C6889" s="5" t="s">
        <v>1339</v>
      </c>
      <c r="D6889" s="5" t="s">
        <v>14</v>
      </c>
      <c r="E6889" s="5" t="s">
        <v>52</v>
      </c>
      <c r="F6889" s="5" t="s">
        <v>83</v>
      </c>
      <c r="G6889" s="5" t="s">
        <v>1316</v>
      </c>
      <c r="H6889" s="5" t="s">
        <v>1340</v>
      </c>
      <c r="I6889" s="5" t="s">
        <v>31</v>
      </c>
      <c r="J6889" s="5">
        <v>16.972842933005001</v>
      </c>
      <c r="K6889" s="5">
        <v>-97.087054268681996</v>
      </c>
      <c r="L6889" s="5" t="str">
        <f>HYPERLINK("https://maps.google.com/?q=16.9728429330048,-97.087054268682493", "🔗 Ver Mapa")</f>
        <v>🔗 Ver Mapa</v>
      </c>
    </row>
    <row r="6890" spans="1:12" ht="43.5" x14ac:dyDescent="0.35">
      <c r="A6890" s="6" t="s">
        <v>98</v>
      </c>
      <c r="B6890" s="6" t="s">
        <v>99</v>
      </c>
      <c r="C6890" s="6" t="s">
        <v>1339</v>
      </c>
      <c r="D6890" s="6" t="s">
        <v>14</v>
      </c>
      <c r="E6890" s="6" t="s">
        <v>52</v>
      </c>
      <c r="F6890" s="6" t="s">
        <v>83</v>
      </c>
      <c r="G6890" s="6" t="s">
        <v>1316</v>
      </c>
      <c r="H6890" s="6" t="s">
        <v>1340</v>
      </c>
      <c r="I6890" s="6" t="s">
        <v>31</v>
      </c>
      <c r="J6890" s="6">
        <v>16.973660076838001</v>
      </c>
      <c r="K6890" s="6">
        <v>-97.086371629465006</v>
      </c>
      <c r="L6890" s="6" t="str">
        <f>HYPERLINK("https://maps.google.com/?q=16.973660076838,-97.086371629465006", "🔗 Ver Mapa")</f>
        <v>🔗 Ver Mapa</v>
      </c>
    </row>
    <row r="6891" spans="1:12" ht="43.5" x14ac:dyDescent="0.35">
      <c r="A6891" s="5" t="s">
        <v>98</v>
      </c>
      <c r="B6891" s="5" t="s">
        <v>99</v>
      </c>
      <c r="C6891" s="5" t="s">
        <v>1339</v>
      </c>
      <c r="D6891" s="5" t="s">
        <v>14</v>
      </c>
      <c r="E6891" s="5" t="s">
        <v>52</v>
      </c>
      <c r="F6891" s="5" t="s">
        <v>83</v>
      </c>
      <c r="G6891" s="5" t="s">
        <v>1316</v>
      </c>
      <c r="H6891" s="5" t="s">
        <v>1340</v>
      </c>
      <c r="I6891" s="5" t="s">
        <v>31</v>
      </c>
      <c r="J6891" s="5">
        <v>16.973724799999999</v>
      </c>
      <c r="K6891" s="5">
        <v>-97.085654399999996</v>
      </c>
      <c r="L6891" s="5" t="str">
        <f>HYPERLINK("https://maps.google.com/?q=16.9737248,-97.085654399999996", "🔗 Ver Mapa")</f>
        <v>🔗 Ver Mapa</v>
      </c>
    </row>
    <row r="6892" spans="1:12" ht="43.5" x14ac:dyDescent="0.35">
      <c r="A6892" s="6" t="s">
        <v>98</v>
      </c>
      <c r="B6892" s="6" t="s">
        <v>99</v>
      </c>
      <c r="C6892" s="6" t="s">
        <v>1339</v>
      </c>
      <c r="D6892" s="6" t="s">
        <v>14</v>
      </c>
      <c r="E6892" s="6" t="s">
        <v>52</v>
      </c>
      <c r="F6892" s="6" t="s">
        <v>83</v>
      </c>
      <c r="G6892" s="6" t="s">
        <v>1316</v>
      </c>
      <c r="H6892" s="6" t="s">
        <v>1340</v>
      </c>
      <c r="I6892" s="6" t="s">
        <v>31</v>
      </c>
      <c r="J6892" s="6">
        <v>16.973733491946</v>
      </c>
      <c r="K6892" s="6">
        <v>-97.086434360371001</v>
      </c>
      <c r="L6892" s="6" t="str">
        <f>HYPERLINK("https://maps.google.com/?q=16.9737334919462,-97.0864343603712", "🔗 Ver Mapa")</f>
        <v>🔗 Ver Mapa</v>
      </c>
    </row>
    <row r="6893" spans="1:12" ht="43.5" x14ac:dyDescent="0.35">
      <c r="A6893" s="5" t="s">
        <v>98</v>
      </c>
      <c r="B6893" s="5" t="s">
        <v>99</v>
      </c>
      <c r="C6893" s="5" t="s">
        <v>1339</v>
      </c>
      <c r="D6893" s="5" t="s">
        <v>14</v>
      </c>
      <c r="E6893" s="5" t="s">
        <v>52</v>
      </c>
      <c r="F6893" s="5" t="s">
        <v>83</v>
      </c>
      <c r="G6893" s="5" t="s">
        <v>1316</v>
      </c>
      <c r="H6893" s="5" t="s">
        <v>1340</v>
      </c>
      <c r="I6893" s="5" t="s">
        <v>31</v>
      </c>
      <c r="J6893" s="5">
        <v>16.973758522013</v>
      </c>
      <c r="K6893" s="5">
        <v>-97.086971734952996</v>
      </c>
      <c r="L6893" s="5" t="str">
        <f>HYPERLINK("https://maps.google.com/?q=16.9737585220128,-97.086971734952897", "🔗 Ver Mapa")</f>
        <v>🔗 Ver Mapa</v>
      </c>
    </row>
    <row r="6894" spans="1:12" ht="43.5" x14ac:dyDescent="0.35">
      <c r="A6894" s="6" t="s">
        <v>98</v>
      </c>
      <c r="B6894" s="6" t="s">
        <v>99</v>
      </c>
      <c r="C6894" s="6" t="s">
        <v>1339</v>
      </c>
      <c r="D6894" s="6" t="s">
        <v>14</v>
      </c>
      <c r="E6894" s="6" t="s">
        <v>52</v>
      </c>
      <c r="F6894" s="6" t="s">
        <v>83</v>
      </c>
      <c r="G6894" s="6" t="s">
        <v>1316</v>
      </c>
      <c r="H6894" s="6" t="s">
        <v>1340</v>
      </c>
      <c r="I6894" s="6" t="s">
        <v>31</v>
      </c>
      <c r="J6894" s="6">
        <v>16.973783000000001</v>
      </c>
      <c r="K6894" s="6">
        <v>-97.087119999999999</v>
      </c>
      <c r="L6894" s="6" t="str">
        <f>HYPERLINK("https://maps.google.com/?q=16.973783,-97.087119999999999", "🔗 Ver Mapa")</f>
        <v>🔗 Ver Mapa</v>
      </c>
    </row>
    <row r="6895" spans="1:12" ht="43.5" x14ac:dyDescent="0.35">
      <c r="A6895" s="5" t="s">
        <v>98</v>
      </c>
      <c r="B6895" s="5" t="s">
        <v>99</v>
      </c>
      <c r="C6895" s="5" t="s">
        <v>1339</v>
      </c>
      <c r="D6895" s="5" t="s">
        <v>14</v>
      </c>
      <c r="E6895" s="5" t="s">
        <v>52</v>
      </c>
      <c r="F6895" s="5" t="s">
        <v>83</v>
      </c>
      <c r="G6895" s="5" t="s">
        <v>1316</v>
      </c>
      <c r="H6895" s="5" t="s">
        <v>1340</v>
      </c>
      <c r="I6895" s="5" t="s">
        <v>31</v>
      </c>
      <c r="J6895" s="5">
        <v>16.973811999999999</v>
      </c>
      <c r="K6895" s="5">
        <v>-97.087666999999996</v>
      </c>
      <c r="L6895" s="5" t="str">
        <f>HYPERLINK("https://maps.google.com/?q=16.973812,-97.087666999999996", "🔗 Ver Mapa")</f>
        <v>🔗 Ver Mapa</v>
      </c>
    </row>
    <row r="6896" spans="1:12" ht="43.5" x14ac:dyDescent="0.35">
      <c r="A6896" s="6" t="s">
        <v>98</v>
      </c>
      <c r="B6896" s="6" t="s">
        <v>99</v>
      </c>
      <c r="C6896" s="6" t="s">
        <v>1339</v>
      </c>
      <c r="D6896" s="6" t="s">
        <v>14</v>
      </c>
      <c r="E6896" s="6" t="s">
        <v>52</v>
      </c>
      <c r="F6896" s="6" t="s">
        <v>83</v>
      </c>
      <c r="G6896" s="6" t="s">
        <v>1316</v>
      </c>
      <c r="H6896" s="6" t="s">
        <v>1340</v>
      </c>
      <c r="I6896" s="6" t="s">
        <v>31</v>
      </c>
      <c r="J6896" s="6">
        <v>16.973979577474001</v>
      </c>
      <c r="K6896" s="6">
        <v>-97.087246560679006</v>
      </c>
      <c r="L6896" s="6" t="str">
        <f>HYPERLINK("https://maps.google.com/?q=16.9739795774738,-97.087246560678594", "🔗 Ver Mapa")</f>
        <v>🔗 Ver Mapa</v>
      </c>
    </row>
    <row r="6897" spans="1:12" ht="43.5" x14ac:dyDescent="0.35">
      <c r="A6897" s="5" t="s">
        <v>98</v>
      </c>
      <c r="B6897" s="5" t="s">
        <v>99</v>
      </c>
      <c r="C6897" s="5" t="s">
        <v>1339</v>
      </c>
      <c r="D6897" s="5" t="s">
        <v>14</v>
      </c>
      <c r="E6897" s="5" t="s">
        <v>52</v>
      </c>
      <c r="F6897" s="5" t="s">
        <v>83</v>
      </c>
      <c r="G6897" s="5" t="s">
        <v>1316</v>
      </c>
      <c r="H6897" s="5" t="s">
        <v>1340</v>
      </c>
      <c r="I6897" s="5" t="s">
        <v>31</v>
      </c>
      <c r="J6897" s="5">
        <v>16.974262737804999</v>
      </c>
      <c r="K6897" s="5">
        <v>-97.087962237754994</v>
      </c>
      <c r="L6897" s="5" t="str">
        <f>HYPERLINK("https://maps.google.com/?q=16.9742627378051,-97.087962237755306", "🔗 Ver Mapa")</f>
        <v>🔗 Ver Mapa</v>
      </c>
    </row>
    <row r="6898" spans="1:12" ht="43.5" x14ac:dyDescent="0.35">
      <c r="A6898" s="6" t="s">
        <v>98</v>
      </c>
      <c r="B6898" s="6" t="s">
        <v>99</v>
      </c>
      <c r="C6898" s="6" t="s">
        <v>1339</v>
      </c>
      <c r="D6898" s="6" t="s">
        <v>14</v>
      </c>
      <c r="E6898" s="6" t="s">
        <v>52</v>
      </c>
      <c r="F6898" s="6" t="s">
        <v>83</v>
      </c>
      <c r="G6898" s="6" t="s">
        <v>1316</v>
      </c>
      <c r="H6898" s="6" t="s">
        <v>1340</v>
      </c>
      <c r="I6898" s="6" t="s">
        <v>31</v>
      </c>
      <c r="J6898" s="6">
        <v>16.974308807679002</v>
      </c>
      <c r="K6898" s="6">
        <v>-97.087667364417996</v>
      </c>
      <c r="L6898" s="6" t="str">
        <f>HYPERLINK("https://maps.google.com/?q=16.9743088076791,-97.087667364418095", "🔗 Ver Mapa")</f>
        <v>🔗 Ver Mapa</v>
      </c>
    </row>
    <row r="6899" spans="1:12" ht="43.5" x14ac:dyDescent="0.35">
      <c r="A6899" s="5" t="s">
        <v>98</v>
      </c>
      <c r="B6899" s="5" t="s">
        <v>99</v>
      </c>
      <c r="C6899" s="5" t="s">
        <v>1339</v>
      </c>
      <c r="D6899" s="5" t="s">
        <v>14</v>
      </c>
      <c r="E6899" s="5" t="s">
        <v>52</v>
      </c>
      <c r="F6899" s="5" t="s">
        <v>83</v>
      </c>
      <c r="G6899" s="5" t="s">
        <v>1316</v>
      </c>
      <c r="H6899" s="5" t="s">
        <v>1340</v>
      </c>
      <c r="I6899" s="5" t="s">
        <v>31</v>
      </c>
      <c r="J6899" s="5">
        <v>16.974347999999999</v>
      </c>
      <c r="K6899" s="5">
        <v>-97.088263999999995</v>
      </c>
      <c r="L6899" s="5" t="str">
        <f>HYPERLINK("https://maps.google.com/?q=16.974348,-97.088263999999995", "🔗 Ver Mapa")</f>
        <v>🔗 Ver Mapa</v>
      </c>
    </row>
    <row r="6900" spans="1:12" ht="43.5" x14ac:dyDescent="0.35">
      <c r="A6900" s="6" t="s">
        <v>98</v>
      </c>
      <c r="B6900" s="6" t="s">
        <v>99</v>
      </c>
      <c r="C6900" s="6" t="s">
        <v>1339</v>
      </c>
      <c r="D6900" s="6" t="s">
        <v>14</v>
      </c>
      <c r="E6900" s="6" t="s">
        <v>52</v>
      </c>
      <c r="F6900" s="6" t="s">
        <v>83</v>
      </c>
      <c r="G6900" s="6" t="s">
        <v>1316</v>
      </c>
      <c r="H6900" s="6" t="s">
        <v>1340</v>
      </c>
      <c r="I6900" s="6" t="s">
        <v>31</v>
      </c>
      <c r="J6900" s="6">
        <v>16.974568376326999</v>
      </c>
      <c r="K6900" s="6">
        <v>-97.087451917178996</v>
      </c>
      <c r="L6900" s="6" t="str">
        <f>HYPERLINK("https://maps.google.com/?q=16.9745683763267,-97.087451917179294", "🔗 Ver Mapa")</f>
        <v>🔗 Ver Mapa</v>
      </c>
    </row>
    <row r="6901" spans="1:12" ht="43.5" x14ac:dyDescent="0.35">
      <c r="A6901" s="5" t="s">
        <v>98</v>
      </c>
      <c r="B6901" s="5" t="s">
        <v>99</v>
      </c>
      <c r="C6901" s="5" t="s">
        <v>1339</v>
      </c>
      <c r="D6901" s="5" t="s">
        <v>14</v>
      </c>
      <c r="E6901" s="5" t="s">
        <v>52</v>
      </c>
      <c r="F6901" s="5" t="s">
        <v>83</v>
      </c>
      <c r="G6901" s="5" t="s">
        <v>1316</v>
      </c>
      <c r="H6901" s="5" t="s">
        <v>1340</v>
      </c>
      <c r="I6901" s="5" t="s">
        <v>31</v>
      </c>
      <c r="J6901" s="5">
        <v>16.974722300288001</v>
      </c>
      <c r="K6901" s="5">
        <v>-97.088788920598006</v>
      </c>
      <c r="L6901" s="5" t="str">
        <f>HYPERLINK("https://maps.google.com/?q=16.9747223002879,-97.088788920597906", "🔗 Ver Mapa")</f>
        <v>🔗 Ver Mapa</v>
      </c>
    </row>
    <row r="6902" spans="1:12" ht="43.5" x14ac:dyDescent="0.35">
      <c r="A6902" s="6" t="s">
        <v>98</v>
      </c>
      <c r="B6902" s="6" t="s">
        <v>99</v>
      </c>
      <c r="C6902" s="6" t="s">
        <v>1339</v>
      </c>
      <c r="D6902" s="6" t="s">
        <v>14</v>
      </c>
      <c r="E6902" s="6" t="s">
        <v>52</v>
      </c>
      <c r="F6902" s="6" t="s">
        <v>83</v>
      </c>
      <c r="G6902" s="6" t="s">
        <v>1316</v>
      </c>
      <c r="H6902" s="6" t="s">
        <v>1340</v>
      </c>
      <c r="I6902" s="6" t="s">
        <v>31</v>
      </c>
      <c r="J6902" s="6">
        <v>16.974835744113999</v>
      </c>
      <c r="K6902" s="6">
        <v>-97.086879097639994</v>
      </c>
      <c r="L6902" s="6" t="str">
        <f>HYPERLINK("https://maps.google.com/?q=16.9748357441138,-97.086879097639795", "🔗 Ver Mapa")</f>
        <v>🔗 Ver Mapa</v>
      </c>
    </row>
    <row r="6903" spans="1:12" ht="43.5" x14ac:dyDescent="0.35">
      <c r="A6903" s="5" t="s">
        <v>98</v>
      </c>
      <c r="B6903" s="5" t="s">
        <v>99</v>
      </c>
      <c r="C6903" s="5" t="s">
        <v>1339</v>
      </c>
      <c r="D6903" s="5" t="s">
        <v>14</v>
      </c>
      <c r="E6903" s="5" t="s">
        <v>52</v>
      </c>
      <c r="F6903" s="5" t="s">
        <v>83</v>
      </c>
      <c r="G6903" s="5" t="s">
        <v>1316</v>
      </c>
      <c r="H6903" s="5" t="s">
        <v>1340</v>
      </c>
      <c r="I6903" s="5" t="s">
        <v>31</v>
      </c>
      <c r="J6903" s="5">
        <v>16.975043875731998</v>
      </c>
      <c r="K6903" s="5">
        <v>-97.089176253966997</v>
      </c>
      <c r="L6903" s="5" t="str">
        <f>HYPERLINK("https://maps.google.com/?q=16.9750438757318,-97.089176253967295", "🔗 Ver Mapa")</f>
        <v>🔗 Ver Mapa</v>
      </c>
    </row>
    <row r="6904" spans="1:12" ht="43.5" x14ac:dyDescent="0.35">
      <c r="A6904" s="6" t="s">
        <v>98</v>
      </c>
      <c r="B6904" s="6" t="s">
        <v>99</v>
      </c>
      <c r="C6904" s="6" t="s">
        <v>1339</v>
      </c>
      <c r="D6904" s="6" t="s">
        <v>14</v>
      </c>
      <c r="E6904" s="6" t="s">
        <v>52</v>
      </c>
      <c r="F6904" s="6" t="s">
        <v>83</v>
      </c>
      <c r="G6904" s="6" t="s">
        <v>1316</v>
      </c>
      <c r="H6904" s="6" t="s">
        <v>1340</v>
      </c>
      <c r="I6904" s="6" t="s">
        <v>31</v>
      </c>
      <c r="J6904" s="6">
        <v>16.975439000000001</v>
      </c>
      <c r="K6904" s="6">
        <v>-97.089031000000006</v>
      </c>
      <c r="L6904" s="6" t="str">
        <f>HYPERLINK("https://maps.google.com/?q=16.975439,-97.089031000000006", "🔗 Ver Mapa")</f>
        <v>🔗 Ver Mapa</v>
      </c>
    </row>
    <row r="6905" spans="1:12" ht="43.5" x14ac:dyDescent="0.35">
      <c r="A6905" s="5" t="s">
        <v>98</v>
      </c>
      <c r="B6905" s="5" t="s">
        <v>99</v>
      </c>
      <c r="C6905" s="5" t="s">
        <v>1339</v>
      </c>
      <c r="D6905" s="5" t="s">
        <v>14</v>
      </c>
      <c r="E6905" s="5" t="s">
        <v>52</v>
      </c>
      <c r="F6905" s="5" t="s">
        <v>83</v>
      </c>
      <c r="G6905" s="5" t="s">
        <v>1316</v>
      </c>
      <c r="H6905" s="5" t="s">
        <v>1340</v>
      </c>
      <c r="I6905" s="5" t="s">
        <v>31</v>
      </c>
      <c r="J6905" s="5">
        <v>16.975590887926</v>
      </c>
      <c r="K6905" s="5">
        <v>-97.089695769762002</v>
      </c>
      <c r="L6905" s="5" t="str">
        <f>HYPERLINK("https://maps.google.com/?q=16.9755908879257,-97.089695769761903", "🔗 Ver Mapa")</f>
        <v>🔗 Ver Mapa</v>
      </c>
    </row>
    <row r="6906" spans="1:12" ht="43.5" x14ac:dyDescent="0.35">
      <c r="A6906" s="6" t="s">
        <v>98</v>
      </c>
      <c r="B6906" s="6" t="s">
        <v>99</v>
      </c>
      <c r="C6906" s="6" t="s">
        <v>1339</v>
      </c>
      <c r="D6906" s="6" t="s">
        <v>14</v>
      </c>
      <c r="E6906" s="6" t="s">
        <v>52</v>
      </c>
      <c r="F6906" s="6" t="s">
        <v>83</v>
      </c>
      <c r="G6906" s="6" t="s">
        <v>1316</v>
      </c>
      <c r="H6906" s="6" t="s">
        <v>1340</v>
      </c>
      <c r="I6906" s="6" t="s">
        <v>31</v>
      </c>
      <c r="J6906" s="6">
        <v>16.976256823620002</v>
      </c>
      <c r="K6906" s="6">
        <v>-97.089405360117993</v>
      </c>
      <c r="L6906" s="6" t="str">
        <f>HYPERLINK("https://maps.google.com/?q=16.9762568236204,-97.089405360118207", "🔗 Ver Mapa")</f>
        <v>🔗 Ver Mapa</v>
      </c>
    </row>
    <row r="6907" spans="1:12" ht="43.5" x14ac:dyDescent="0.35">
      <c r="A6907" s="5" t="s">
        <v>98</v>
      </c>
      <c r="B6907" s="5" t="s">
        <v>99</v>
      </c>
      <c r="C6907" s="5" t="s">
        <v>1341</v>
      </c>
      <c r="D6907" s="5" t="s">
        <v>14</v>
      </c>
      <c r="E6907" s="5" t="s">
        <v>158</v>
      </c>
      <c r="F6907" s="5" t="s">
        <v>159</v>
      </c>
      <c r="G6907" s="5" t="s">
        <v>160</v>
      </c>
      <c r="H6907" s="5" t="s">
        <v>1342</v>
      </c>
      <c r="I6907" s="5" t="s">
        <v>31</v>
      </c>
      <c r="J6907" s="5">
        <v>17.162011550690998</v>
      </c>
      <c r="K6907" s="5">
        <v>-94.787408461526994</v>
      </c>
      <c r="L6907" s="5" t="str">
        <f>HYPERLINK("https://maps.google.com/?q=17.162011550691,-94.787408461527093", "🔗 Ver Mapa")</f>
        <v>🔗 Ver Mapa</v>
      </c>
    </row>
    <row r="6908" spans="1:12" ht="43.5" x14ac:dyDescent="0.35">
      <c r="A6908" s="6" t="s">
        <v>98</v>
      </c>
      <c r="B6908" s="6" t="s">
        <v>99</v>
      </c>
      <c r="C6908" s="6" t="s">
        <v>1341</v>
      </c>
      <c r="D6908" s="6" t="s">
        <v>14</v>
      </c>
      <c r="E6908" s="6" t="s">
        <v>158</v>
      </c>
      <c r="F6908" s="6" t="s">
        <v>159</v>
      </c>
      <c r="G6908" s="6" t="s">
        <v>160</v>
      </c>
      <c r="H6908" s="6" t="s">
        <v>1342</v>
      </c>
      <c r="I6908" s="6" t="s">
        <v>31</v>
      </c>
      <c r="J6908" s="6">
        <v>17.163996063540001</v>
      </c>
      <c r="K6908" s="6">
        <v>-94.785183954180994</v>
      </c>
      <c r="L6908" s="6" t="str">
        <f>HYPERLINK("https://maps.google.com/?q=17.1639960635401,-94.785183954180596", "🔗 Ver Mapa")</f>
        <v>🔗 Ver Mapa</v>
      </c>
    </row>
    <row r="6909" spans="1:12" ht="43.5" x14ac:dyDescent="0.35">
      <c r="A6909" s="5" t="s">
        <v>98</v>
      </c>
      <c r="B6909" s="5" t="s">
        <v>99</v>
      </c>
      <c r="C6909" s="5" t="s">
        <v>1341</v>
      </c>
      <c r="D6909" s="5" t="s">
        <v>14</v>
      </c>
      <c r="E6909" s="5" t="s">
        <v>158</v>
      </c>
      <c r="F6909" s="5" t="s">
        <v>159</v>
      </c>
      <c r="G6909" s="5" t="s">
        <v>160</v>
      </c>
      <c r="H6909" s="5" t="s">
        <v>1342</v>
      </c>
      <c r="I6909" s="5" t="s">
        <v>31</v>
      </c>
      <c r="J6909" s="5">
        <v>17.164178272032999</v>
      </c>
      <c r="K6909" s="5">
        <v>-94.789872565641005</v>
      </c>
      <c r="L6909" s="5" t="str">
        <f>HYPERLINK("https://maps.google.com/?q=17.1641782720335,-94.789872565641403", "🔗 Ver Mapa")</f>
        <v>🔗 Ver Mapa</v>
      </c>
    </row>
    <row r="6910" spans="1:12" ht="43.5" x14ac:dyDescent="0.35">
      <c r="A6910" s="6" t="s">
        <v>98</v>
      </c>
      <c r="B6910" s="6" t="s">
        <v>99</v>
      </c>
      <c r="C6910" s="6" t="s">
        <v>1341</v>
      </c>
      <c r="D6910" s="6" t="s">
        <v>14</v>
      </c>
      <c r="E6910" s="6" t="s">
        <v>158</v>
      </c>
      <c r="F6910" s="6" t="s">
        <v>159</v>
      </c>
      <c r="G6910" s="6" t="s">
        <v>160</v>
      </c>
      <c r="H6910" s="6" t="s">
        <v>1342</v>
      </c>
      <c r="I6910" s="6" t="s">
        <v>31</v>
      </c>
      <c r="J6910" s="6">
        <v>17.164814587340999</v>
      </c>
      <c r="K6910" s="6">
        <v>-94.787544315136003</v>
      </c>
      <c r="L6910" s="6" t="str">
        <f>HYPERLINK("https://maps.google.com/?q=17.1648145873405,-94.787544315136401", "🔗 Ver Mapa")</f>
        <v>🔗 Ver Mapa</v>
      </c>
    </row>
    <row r="6911" spans="1:12" ht="43.5" x14ac:dyDescent="0.35">
      <c r="A6911" s="5" t="s">
        <v>98</v>
      </c>
      <c r="B6911" s="5" t="s">
        <v>99</v>
      </c>
      <c r="C6911" s="5" t="s">
        <v>1341</v>
      </c>
      <c r="D6911" s="5" t="s">
        <v>14</v>
      </c>
      <c r="E6911" s="5" t="s">
        <v>158</v>
      </c>
      <c r="F6911" s="5" t="s">
        <v>159</v>
      </c>
      <c r="G6911" s="5" t="s">
        <v>160</v>
      </c>
      <c r="H6911" s="5" t="s">
        <v>1342</v>
      </c>
      <c r="I6911" s="5" t="s">
        <v>31</v>
      </c>
      <c r="J6911" s="5">
        <v>17.164941717405</v>
      </c>
      <c r="K6911" s="5">
        <v>-94.788158523977003</v>
      </c>
      <c r="L6911" s="5" t="str">
        <f>HYPERLINK("https://maps.google.com/?q=17.1649417174051,-94.788158523977202", "🔗 Ver Mapa")</f>
        <v>🔗 Ver Mapa</v>
      </c>
    </row>
    <row r="6912" spans="1:12" ht="43.5" x14ac:dyDescent="0.35">
      <c r="A6912" s="6" t="s">
        <v>98</v>
      </c>
      <c r="B6912" s="6" t="s">
        <v>99</v>
      </c>
      <c r="C6912" s="6" t="s">
        <v>1341</v>
      </c>
      <c r="D6912" s="6" t="s">
        <v>14</v>
      </c>
      <c r="E6912" s="6" t="s">
        <v>158</v>
      </c>
      <c r="F6912" s="6" t="s">
        <v>159</v>
      </c>
      <c r="G6912" s="6" t="s">
        <v>160</v>
      </c>
      <c r="H6912" s="6" t="s">
        <v>1342</v>
      </c>
      <c r="I6912" s="6" t="s">
        <v>31</v>
      </c>
      <c r="J6912" s="6">
        <v>17.165345348683999</v>
      </c>
      <c r="K6912" s="6">
        <v>-94.787746804893999</v>
      </c>
      <c r="L6912" s="6" t="str">
        <f>HYPERLINK("https://maps.google.com/?q=17.1653453486843,-94.787746804893501", "🔗 Ver Mapa")</f>
        <v>🔗 Ver Mapa</v>
      </c>
    </row>
    <row r="6913" spans="1:12" ht="43.5" x14ac:dyDescent="0.35">
      <c r="A6913" s="5" t="s">
        <v>98</v>
      </c>
      <c r="B6913" s="5" t="s">
        <v>99</v>
      </c>
      <c r="C6913" s="5" t="s">
        <v>1341</v>
      </c>
      <c r="D6913" s="5" t="s">
        <v>14</v>
      </c>
      <c r="E6913" s="5" t="s">
        <v>158</v>
      </c>
      <c r="F6913" s="5" t="s">
        <v>159</v>
      </c>
      <c r="G6913" s="5" t="s">
        <v>160</v>
      </c>
      <c r="H6913" s="5" t="s">
        <v>1342</v>
      </c>
      <c r="I6913" s="5" t="s">
        <v>31</v>
      </c>
      <c r="J6913" s="5">
        <v>17.165804077770002</v>
      </c>
      <c r="K6913" s="5">
        <v>-94.789818811356994</v>
      </c>
      <c r="L6913" s="5" t="str">
        <f>HYPERLINK("https://maps.google.com/?q=17.1658040777703,-94.789818811356895", "🔗 Ver Mapa")</f>
        <v>🔗 Ver Mapa</v>
      </c>
    </row>
    <row r="6914" spans="1:12" ht="43.5" x14ac:dyDescent="0.35">
      <c r="A6914" s="6" t="s">
        <v>98</v>
      </c>
      <c r="B6914" s="6" t="s">
        <v>99</v>
      </c>
      <c r="C6914" s="6" t="s">
        <v>1341</v>
      </c>
      <c r="D6914" s="6" t="s">
        <v>14</v>
      </c>
      <c r="E6914" s="6" t="s">
        <v>158</v>
      </c>
      <c r="F6914" s="6" t="s">
        <v>159</v>
      </c>
      <c r="G6914" s="6" t="s">
        <v>160</v>
      </c>
      <c r="H6914" s="6" t="s">
        <v>1342</v>
      </c>
      <c r="I6914" s="6" t="s">
        <v>31</v>
      </c>
      <c r="J6914" s="6">
        <v>17.166295846779001</v>
      </c>
      <c r="K6914" s="6">
        <v>-94.788748626984002</v>
      </c>
      <c r="L6914" s="6" t="str">
        <f>HYPERLINK("https://maps.google.com/?q=17.1662958467793,-94.788748626983704", "🔗 Ver Mapa")</f>
        <v>🔗 Ver Mapa</v>
      </c>
    </row>
    <row r="6915" spans="1:12" ht="43.5" x14ac:dyDescent="0.35">
      <c r="A6915" s="5" t="s">
        <v>98</v>
      </c>
      <c r="B6915" s="5" t="s">
        <v>99</v>
      </c>
      <c r="C6915" s="5" t="s">
        <v>1341</v>
      </c>
      <c r="D6915" s="5" t="s">
        <v>14</v>
      </c>
      <c r="E6915" s="5" t="s">
        <v>158</v>
      </c>
      <c r="F6915" s="5" t="s">
        <v>159</v>
      </c>
      <c r="G6915" s="5" t="s">
        <v>160</v>
      </c>
      <c r="H6915" s="5" t="s">
        <v>1342</v>
      </c>
      <c r="I6915" s="5" t="s">
        <v>31</v>
      </c>
      <c r="J6915" s="5">
        <v>17.166305324835999</v>
      </c>
      <c r="K6915" s="5">
        <v>-94.786522101114002</v>
      </c>
      <c r="L6915" s="5" t="str">
        <f>HYPERLINK("https://maps.google.com/?q=17.166305324836,-94.786522101114002", "🔗 Ver Mapa")</f>
        <v>🔗 Ver Mapa</v>
      </c>
    </row>
    <row r="6916" spans="1:12" ht="43.5" x14ac:dyDescent="0.35">
      <c r="A6916" s="6" t="s">
        <v>98</v>
      </c>
      <c r="B6916" s="6" t="s">
        <v>99</v>
      </c>
      <c r="C6916" s="6" t="s">
        <v>1341</v>
      </c>
      <c r="D6916" s="6" t="s">
        <v>14</v>
      </c>
      <c r="E6916" s="6" t="s">
        <v>158</v>
      </c>
      <c r="F6916" s="6" t="s">
        <v>159</v>
      </c>
      <c r="G6916" s="6" t="s">
        <v>160</v>
      </c>
      <c r="H6916" s="6" t="s">
        <v>1342</v>
      </c>
      <c r="I6916" s="6" t="s">
        <v>31</v>
      </c>
      <c r="J6916" s="6">
        <v>17.166466542074001</v>
      </c>
      <c r="K6916" s="6">
        <v>-94.788442838132994</v>
      </c>
      <c r="L6916" s="6" t="str">
        <f>HYPERLINK("https://maps.google.com/?q=17.1664665420738,-94.788442838132696", "🔗 Ver Mapa")</f>
        <v>🔗 Ver Mapa</v>
      </c>
    </row>
    <row r="6917" spans="1:12" ht="43.5" x14ac:dyDescent="0.35">
      <c r="A6917" s="5" t="s">
        <v>98</v>
      </c>
      <c r="B6917" s="5" t="s">
        <v>99</v>
      </c>
      <c r="C6917" s="5" t="s">
        <v>1343</v>
      </c>
      <c r="D6917" s="5" t="s">
        <v>14</v>
      </c>
      <c r="E6917" s="5" t="s">
        <v>158</v>
      </c>
      <c r="F6917" s="5" t="s">
        <v>166</v>
      </c>
      <c r="G6917" s="5" t="s">
        <v>167</v>
      </c>
      <c r="H6917" s="5" t="s">
        <v>168</v>
      </c>
      <c r="I6917" s="5" t="s">
        <v>31</v>
      </c>
      <c r="J6917" s="5">
        <v>16.30349</v>
      </c>
      <c r="K6917" s="5">
        <v>-95.243860999999995</v>
      </c>
      <c r="L6917" s="5" t="str">
        <f>HYPERLINK("https://maps.google.com/?q=16.30349,-95.243860999999995", "🔗 Ver Mapa")</f>
        <v>🔗 Ver Mapa</v>
      </c>
    </row>
    <row r="6918" spans="1:12" ht="43.5" x14ac:dyDescent="0.35">
      <c r="A6918" s="6" t="s">
        <v>98</v>
      </c>
      <c r="B6918" s="6" t="s">
        <v>99</v>
      </c>
      <c r="C6918" s="6" t="s">
        <v>1343</v>
      </c>
      <c r="D6918" s="6" t="s">
        <v>14</v>
      </c>
      <c r="E6918" s="6" t="s">
        <v>158</v>
      </c>
      <c r="F6918" s="6" t="s">
        <v>166</v>
      </c>
      <c r="G6918" s="6" t="s">
        <v>167</v>
      </c>
      <c r="H6918" s="6" t="s">
        <v>168</v>
      </c>
      <c r="I6918" s="6" t="s">
        <v>31</v>
      </c>
      <c r="J6918" s="6">
        <v>16.305069</v>
      </c>
      <c r="K6918" s="6">
        <v>-95.241939000000002</v>
      </c>
      <c r="L6918" s="6" t="str">
        <f>HYPERLINK("https://maps.google.com/?q=16.305069,-95.241939000000002", "🔗 Ver Mapa")</f>
        <v>🔗 Ver Mapa</v>
      </c>
    </row>
    <row r="6919" spans="1:12" ht="43.5" x14ac:dyDescent="0.35">
      <c r="A6919" s="5" t="s">
        <v>98</v>
      </c>
      <c r="B6919" s="5" t="s">
        <v>99</v>
      </c>
      <c r="C6919" s="5" t="s">
        <v>1343</v>
      </c>
      <c r="D6919" s="5" t="s">
        <v>14</v>
      </c>
      <c r="E6919" s="5" t="s">
        <v>158</v>
      </c>
      <c r="F6919" s="5" t="s">
        <v>166</v>
      </c>
      <c r="G6919" s="5" t="s">
        <v>167</v>
      </c>
      <c r="H6919" s="5" t="s">
        <v>168</v>
      </c>
      <c r="I6919" s="5" t="s">
        <v>31</v>
      </c>
      <c r="J6919" s="5">
        <v>16.306497610000001</v>
      </c>
      <c r="K6919" s="5">
        <v>-95.263471559999999</v>
      </c>
      <c r="L6919" s="5" t="str">
        <f>HYPERLINK("https://maps.google.com/?q=16.30649761,-95.263471559999999", "🔗 Ver Mapa")</f>
        <v>🔗 Ver Mapa</v>
      </c>
    </row>
    <row r="6920" spans="1:12" ht="43.5" x14ac:dyDescent="0.35">
      <c r="A6920" s="6" t="s">
        <v>98</v>
      </c>
      <c r="B6920" s="6" t="s">
        <v>99</v>
      </c>
      <c r="C6920" s="6" t="s">
        <v>1343</v>
      </c>
      <c r="D6920" s="6" t="s">
        <v>14</v>
      </c>
      <c r="E6920" s="6" t="s">
        <v>158</v>
      </c>
      <c r="F6920" s="6" t="s">
        <v>166</v>
      </c>
      <c r="G6920" s="6" t="s">
        <v>167</v>
      </c>
      <c r="H6920" s="6" t="s">
        <v>168</v>
      </c>
      <c r="I6920" s="6" t="s">
        <v>31</v>
      </c>
      <c r="J6920" s="6">
        <v>16.3066289</v>
      </c>
      <c r="K6920" s="6">
        <v>-95.263195300000007</v>
      </c>
      <c r="L6920" s="6" t="str">
        <f>HYPERLINK("https://maps.google.com/?q=16.3066289,-95.263195300000007", "🔗 Ver Mapa")</f>
        <v>🔗 Ver Mapa</v>
      </c>
    </row>
    <row r="6921" spans="1:12" ht="43.5" x14ac:dyDescent="0.35">
      <c r="A6921" s="5" t="s">
        <v>98</v>
      </c>
      <c r="B6921" s="5" t="s">
        <v>99</v>
      </c>
      <c r="C6921" s="5" t="s">
        <v>1343</v>
      </c>
      <c r="D6921" s="5" t="s">
        <v>14</v>
      </c>
      <c r="E6921" s="5" t="s">
        <v>158</v>
      </c>
      <c r="F6921" s="5" t="s">
        <v>166</v>
      </c>
      <c r="G6921" s="5" t="s">
        <v>167</v>
      </c>
      <c r="H6921" s="5" t="s">
        <v>168</v>
      </c>
      <c r="I6921" s="5" t="s">
        <v>31</v>
      </c>
      <c r="J6921" s="5">
        <v>16.308118</v>
      </c>
      <c r="K6921" s="5">
        <v>-95.261900199999999</v>
      </c>
      <c r="L6921" s="5" t="str">
        <f>HYPERLINK("https://maps.google.com/?q=16.308118,-95.261900199999999", "🔗 Ver Mapa")</f>
        <v>🔗 Ver Mapa</v>
      </c>
    </row>
    <row r="6922" spans="1:12" ht="43.5" x14ac:dyDescent="0.35">
      <c r="A6922" s="6" t="s">
        <v>98</v>
      </c>
      <c r="B6922" s="6" t="s">
        <v>99</v>
      </c>
      <c r="C6922" s="6" t="s">
        <v>1343</v>
      </c>
      <c r="D6922" s="6" t="s">
        <v>14</v>
      </c>
      <c r="E6922" s="6" t="s">
        <v>158</v>
      </c>
      <c r="F6922" s="6" t="s">
        <v>166</v>
      </c>
      <c r="G6922" s="6" t="s">
        <v>167</v>
      </c>
      <c r="H6922" s="6" t="s">
        <v>168</v>
      </c>
      <c r="I6922" s="6" t="s">
        <v>31</v>
      </c>
      <c r="J6922" s="6">
        <v>16.3085095</v>
      </c>
      <c r="K6922" s="6">
        <v>-95.260307879999999</v>
      </c>
      <c r="L6922" s="6" t="str">
        <f>HYPERLINK("https://maps.google.com/?q=16.3085095,-95.260307879999999", "🔗 Ver Mapa")</f>
        <v>🔗 Ver Mapa</v>
      </c>
    </row>
    <row r="6923" spans="1:12" ht="43.5" x14ac:dyDescent="0.35">
      <c r="A6923" s="5" t="s">
        <v>98</v>
      </c>
      <c r="B6923" s="5" t="s">
        <v>99</v>
      </c>
      <c r="C6923" s="5" t="s">
        <v>1343</v>
      </c>
      <c r="D6923" s="5" t="s">
        <v>14</v>
      </c>
      <c r="E6923" s="5" t="s">
        <v>158</v>
      </c>
      <c r="F6923" s="5" t="s">
        <v>166</v>
      </c>
      <c r="G6923" s="5" t="s">
        <v>167</v>
      </c>
      <c r="H6923" s="5" t="s">
        <v>168</v>
      </c>
      <c r="I6923" s="5" t="s">
        <v>31</v>
      </c>
      <c r="J6923" s="5">
        <v>16.309434</v>
      </c>
      <c r="K6923" s="5">
        <v>-95.261613299999993</v>
      </c>
      <c r="L6923" s="5" t="str">
        <f>HYPERLINK("https://maps.google.com/?q=16.309434,-95.261613299999993", "🔗 Ver Mapa")</f>
        <v>🔗 Ver Mapa</v>
      </c>
    </row>
    <row r="6924" spans="1:12" ht="43.5" x14ac:dyDescent="0.35">
      <c r="A6924" s="6" t="s">
        <v>98</v>
      </c>
      <c r="B6924" s="6" t="s">
        <v>99</v>
      </c>
      <c r="C6924" s="6" t="s">
        <v>1343</v>
      </c>
      <c r="D6924" s="6" t="s">
        <v>14</v>
      </c>
      <c r="E6924" s="6" t="s">
        <v>158</v>
      </c>
      <c r="F6924" s="6" t="s">
        <v>166</v>
      </c>
      <c r="G6924" s="6" t="s">
        <v>167</v>
      </c>
      <c r="H6924" s="6" t="s">
        <v>168</v>
      </c>
      <c r="I6924" s="6" t="s">
        <v>31</v>
      </c>
      <c r="J6924" s="6">
        <v>16.3101588</v>
      </c>
      <c r="K6924" s="6">
        <v>-95.257851500000001</v>
      </c>
      <c r="L6924" s="6" t="str">
        <f>HYPERLINK("https://maps.google.com/?q=16.3101588,-95.257851500000001", "🔗 Ver Mapa")</f>
        <v>🔗 Ver Mapa</v>
      </c>
    </row>
    <row r="6925" spans="1:12" ht="43.5" x14ac:dyDescent="0.35">
      <c r="A6925" s="5" t="s">
        <v>98</v>
      </c>
      <c r="B6925" s="5" t="s">
        <v>99</v>
      </c>
      <c r="C6925" s="5" t="s">
        <v>1343</v>
      </c>
      <c r="D6925" s="5" t="s">
        <v>14</v>
      </c>
      <c r="E6925" s="5" t="s">
        <v>158</v>
      </c>
      <c r="F6925" s="5" t="s">
        <v>166</v>
      </c>
      <c r="G6925" s="5" t="s">
        <v>167</v>
      </c>
      <c r="H6925" s="5" t="s">
        <v>168</v>
      </c>
      <c r="I6925" s="5" t="s">
        <v>31</v>
      </c>
      <c r="J6925" s="5">
        <v>16.310641</v>
      </c>
      <c r="K6925" s="5">
        <v>-95.245960999999994</v>
      </c>
      <c r="L6925" s="5" t="str">
        <f>HYPERLINK("https://maps.google.com/?q=16.310641,-95.245960999999994", "🔗 Ver Mapa")</f>
        <v>🔗 Ver Mapa</v>
      </c>
    </row>
    <row r="6926" spans="1:12" ht="43.5" x14ac:dyDescent="0.35">
      <c r="A6926" s="6" t="s">
        <v>98</v>
      </c>
      <c r="B6926" s="6" t="s">
        <v>99</v>
      </c>
      <c r="C6926" s="6" t="s">
        <v>1343</v>
      </c>
      <c r="D6926" s="6" t="s">
        <v>14</v>
      </c>
      <c r="E6926" s="6" t="s">
        <v>158</v>
      </c>
      <c r="F6926" s="6" t="s">
        <v>166</v>
      </c>
      <c r="G6926" s="6" t="s">
        <v>167</v>
      </c>
      <c r="H6926" s="6" t="s">
        <v>168</v>
      </c>
      <c r="I6926" s="6" t="s">
        <v>31</v>
      </c>
      <c r="J6926" s="6">
        <v>16.311343999999998</v>
      </c>
      <c r="K6926" s="6">
        <v>-95.237279000000001</v>
      </c>
      <c r="L6926" s="6" t="str">
        <f>HYPERLINK("https://maps.google.com/?q=16.311344,-95.237279000000001", "🔗 Ver Mapa")</f>
        <v>🔗 Ver Mapa</v>
      </c>
    </row>
    <row r="6927" spans="1:12" ht="43.5" x14ac:dyDescent="0.35">
      <c r="A6927" s="5" t="s">
        <v>98</v>
      </c>
      <c r="B6927" s="5" t="s">
        <v>99</v>
      </c>
      <c r="C6927" s="5" t="s">
        <v>1343</v>
      </c>
      <c r="D6927" s="5" t="s">
        <v>14</v>
      </c>
      <c r="E6927" s="5" t="s">
        <v>158</v>
      </c>
      <c r="F6927" s="5" t="s">
        <v>166</v>
      </c>
      <c r="G6927" s="5" t="s">
        <v>167</v>
      </c>
      <c r="H6927" s="5" t="s">
        <v>168</v>
      </c>
      <c r="I6927" s="5" t="s">
        <v>31</v>
      </c>
      <c r="J6927" s="5">
        <v>16.312442999999998</v>
      </c>
      <c r="K6927" s="5">
        <v>-95.254861000000005</v>
      </c>
      <c r="L6927" s="5" t="str">
        <f>HYPERLINK("https://maps.google.com/?q=16.312443,-95.254861000000005", "🔗 Ver Mapa")</f>
        <v>🔗 Ver Mapa</v>
      </c>
    </row>
    <row r="6928" spans="1:12" ht="43.5" x14ac:dyDescent="0.35">
      <c r="A6928" s="6" t="s">
        <v>98</v>
      </c>
      <c r="B6928" s="6" t="s">
        <v>99</v>
      </c>
      <c r="C6928" s="6" t="s">
        <v>1343</v>
      </c>
      <c r="D6928" s="6" t="s">
        <v>14</v>
      </c>
      <c r="E6928" s="6" t="s">
        <v>158</v>
      </c>
      <c r="F6928" s="6" t="s">
        <v>166</v>
      </c>
      <c r="G6928" s="6" t="s">
        <v>167</v>
      </c>
      <c r="H6928" s="6" t="s">
        <v>168</v>
      </c>
      <c r="I6928" s="6" t="s">
        <v>31</v>
      </c>
      <c r="J6928" s="6">
        <v>16.314953979999999</v>
      </c>
      <c r="K6928" s="6">
        <v>-95.262884999999997</v>
      </c>
      <c r="L6928" s="6" t="str">
        <f>HYPERLINK("https://maps.google.com/?q=16.31495398,-95.262884999999997", "🔗 Ver Mapa")</f>
        <v>🔗 Ver Mapa</v>
      </c>
    </row>
    <row r="6929" spans="1:12" ht="43.5" x14ac:dyDescent="0.35">
      <c r="A6929" s="5" t="s">
        <v>98</v>
      </c>
      <c r="B6929" s="5" t="s">
        <v>99</v>
      </c>
      <c r="C6929" s="5" t="s">
        <v>1343</v>
      </c>
      <c r="D6929" s="5" t="s">
        <v>14</v>
      </c>
      <c r="E6929" s="5" t="s">
        <v>158</v>
      </c>
      <c r="F6929" s="5" t="s">
        <v>166</v>
      </c>
      <c r="G6929" s="5" t="s">
        <v>167</v>
      </c>
      <c r="H6929" s="5" t="s">
        <v>168</v>
      </c>
      <c r="I6929" s="5" t="s">
        <v>31</v>
      </c>
      <c r="J6929" s="5">
        <v>16.315141000000001</v>
      </c>
      <c r="K6929" s="5">
        <v>-95.240565000000004</v>
      </c>
      <c r="L6929" s="5" t="str">
        <f>HYPERLINK("https://maps.google.com/?q=16.315141,-95.240565000000004", "🔗 Ver Mapa")</f>
        <v>🔗 Ver Mapa</v>
      </c>
    </row>
    <row r="6930" spans="1:12" ht="43.5" x14ac:dyDescent="0.35">
      <c r="A6930" s="6" t="s">
        <v>98</v>
      </c>
      <c r="B6930" s="6" t="s">
        <v>99</v>
      </c>
      <c r="C6930" s="6" t="s">
        <v>1343</v>
      </c>
      <c r="D6930" s="6" t="s">
        <v>14</v>
      </c>
      <c r="E6930" s="6" t="s">
        <v>158</v>
      </c>
      <c r="F6930" s="6" t="s">
        <v>166</v>
      </c>
      <c r="G6930" s="6" t="s">
        <v>167</v>
      </c>
      <c r="H6930" s="6" t="s">
        <v>168</v>
      </c>
      <c r="I6930" s="6" t="s">
        <v>31</v>
      </c>
      <c r="J6930" s="6">
        <v>16.315510280000002</v>
      </c>
      <c r="K6930" s="6">
        <v>-95.260472899999996</v>
      </c>
      <c r="L6930" s="6" t="str">
        <f>HYPERLINK("https://maps.google.com/?q=16.31551028,-95.260472899999996", "🔗 Ver Mapa")</f>
        <v>🔗 Ver Mapa</v>
      </c>
    </row>
    <row r="6931" spans="1:12" ht="43.5" x14ac:dyDescent="0.35">
      <c r="A6931" s="5" t="s">
        <v>98</v>
      </c>
      <c r="B6931" s="5" t="s">
        <v>99</v>
      </c>
      <c r="C6931" s="5" t="s">
        <v>1343</v>
      </c>
      <c r="D6931" s="5" t="s">
        <v>14</v>
      </c>
      <c r="E6931" s="5" t="s">
        <v>158</v>
      </c>
      <c r="F6931" s="5" t="s">
        <v>166</v>
      </c>
      <c r="G6931" s="5" t="s">
        <v>167</v>
      </c>
      <c r="H6931" s="5" t="s">
        <v>168</v>
      </c>
      <c r="I6931" s="5" t="s">
        <v>31</v>
      </c>
      <c r="J6931" s="5">
        <v>16.315788999999999</v>
      </c>
      <c r="K6931" s="5">
        <v>-95.232119999999995</v>
      </c>
      <c r="L6931" s="5" t="str">
        <f>HYPERLINK("https://maps.google.com/?q=16.315789,-95.232119999999995", "🔗 Ver Mapa")</f>
        <v>🔗 Ver Mapa</v>
      </c>
    </row>
    <row r="6932" spans="1:12" ht="43.5" x14ac:dyDescent="0.35">
      <c r="A6932" s="6" t="s">
        <v>98</v>
      </c>
      <c r="B6932" s="6" t="s">
        <v>99</v>
      </c>
      <c r="C6932" s="6" t="s">
        <v>1343</v>
      </c>
      <c r="D6932" s="6" t="s">
        <v>14</v>
      </c>
      <c r="E6932" s="6" t="s">
        <v>158</v>
      </c>
      <c r="F6932" s="6" t="s">
        <v>166</v>
      </c>
      <c r="G6932" s="6" t="s">
        <v>167</v>
      </c>
      <c r="H6932" s="6" t="s">
        <v>168</v>
      </c>
      <c r="I6932" s="6" t="s">
        <v>31</v>
      </c>
      <c r="J6932" s="6">
        <v>16.315869200000002</v>
      </c>
      <c r="K6932" s="6">
        <v>-95.256028000000001</v>
      </c>
      <c r="L6932" s="6" t="str">
        <f>HYPERLINK("https://maps.google.com/?q=16.3158692,-95.256028000000001", "🔗 Ver Mapa")</f>
        <v>🔗 Ver Mapa</v>
      </c>
    </row>
    <row r="6933" spans="1:12" ht="43.5" x14ac:dyDescent="0.35">
      <c r="A6933" s="5" t="s">
        <v>98</v>
      </c>
      <c r="B6933" s="5" t="s">
        <v>99</v>
      </c>
      <c r="C6933" s="5" t="s">
        <v>1343</v>
      </c>
      <c r="D6933" s="5" t="s">
        <v>14</v>
      </c>
      <c r="E6933" s="5" t="s">
        <v>158</v>
      </c>
      <c r="F6933" s="5" t="s">
        <v>166</v>
      </c>
      <c r="G6933" s="5" t="s">
        <v>167</v>
      </c>
      <c r="H6933" s="5" t="s">
        <v>168</v>
      </c>
      <c r="I6933" s="5" t="s">
        <v>31</v>
      </c>
      <c r="J6933" s="5">
        <v>16.317086499999998</v>
      </c>
      <c r="K6933" s="5">
        <v>-95.232925899999998</v>
      </c>
      <c r="L6933" s="5" t="str">
        <f>HYPERLINK("https://maps.google.com/?q=16.3170865,-95.232925899999998", "🔗 Ver Mapa")</f>
        <v>🔗 Ver Mapa</v>
      </c>
    </row>
    <row r="6934" spans="1:12" ht="43.5" x14ac:dyDescent="0.35">
      <c r="A6934" s="6" t="s">
        <v>98</v>
      </c>
      <c r="B6934" s="6" t="s">
        <v>99</v>
      </c>
      <c r="C6934" s="6" t="s">
        <v>1343</v>
      </c>
      <c r="D6934" s="6" t="s">
        <v>14</v>
      </c>
      <c r="E6934" s="6" t="s">
        <v>158</v>
      </c>
      <c r="F6934" s="6" t="s">
        <v>166</v>
      </c>
      <c r="G6934" s="6" t="s">
        <v>167</v>
      </c>
      <c r="H6934" s="6" t="s">
        <v>168</v>
      </c>
      <c r="I6934" s="6" t="s">
        <v>31</v>
      </c>
      <c r="J6934" s="6">
        <v>16.317116200000001</v>
      </c>
      <c r="K6934" s="6">
        <v>-95.232816</v>
      </c>
      <c r="L6934" s="6" t="str">
        <f>HYPERLINK("https://maps.google.com/?q=16.3171162,-95.232816", "🔗 Ver Mapa")</f>
        <v>🔗 Ver Mapa</v>
      </c>
    </row>
    <row r="6935" spans="1:12" ht="43.5" x14ac:dyDescent="0.35">
      <c r="A6935" s="5" t="s">
        <v>98</v>
      </c>
      <c r="B6935" s="5" t="s">
        <v>99</v>
      </c>
      <c r="C6935" s="5" t="s">
        <v>1343</v>
      </c>
      <c r="D6935" s="5" t="s">
        <v>14</v>
      </c>
      <c r="E6935" s="5" t="s">
        <v>158</v>
      </c>
      <c r="F6935" s="5" t="s">
        <v>166</v>
      </c>
      <c r="G6935" s="5" t="s">
        <v>167</v>
      </c>
      <c r="H6935" s="5" t="s">
        <v>168</v>
      </c>
      <c r="I6935" s="5" t="s">
        <v>31</v>
      </c>
      <c r="J6935" s="5">
        <v>16.317124400000001</v>
      </c>
      <c r="K6935" s="5">
        <v>-95.237034300000005</v>
      </c>
      <c r="L6935" s="5" t="str">
        <f>HYPERLINK("https://maps.google.com/?q=16.3171244,-95.237034300000005", "🔗 Ver Mapa")</f>
        <v>🔗 Ver Mapa</v>
      </c>
    </row>
    <row r="6936" spans="1:12" ht="43.5" x14ac:dyDescent="0.35">
      <c r="A6936" s="6" t="s">
        <v>98</v>
      </c>
      <c r="B6936" s="6" t="s">
        <v>99</v>
      </c>
      <c r="C6936" s="6" t="s">
        <v>1343</v>
      </c>
      <c r="D6936" s="6" t="s">
        <v>14</v>
      </c>
      <c r="E6936" s="6" t="s">
        <v>158</v>
      </c>
      <c r="F6936" s="6" t="s">
        <v>166</v>
      </c>
      <c r="G6936" s="6" t="s">
        <v>167</v>
      </c>
      <c r="H6936" s="6" t="s">
        <v>168</v>
      </c>
      <c r="I6936" s="6" t="s">
        <v>31</v>
      </c>
      <c r="J6936" s="6">
        <v>16.317357000000001</v>
      </c>
      <c r="K6936" s="6">
        <v>-95.232968999999997</v>
      </c>
      <c r="L6936" s="6" t="str">
        <f>HYPERLINK("https://maps.google.com/?q=16.317357,-95.232968999999997", "🔗 Ver Mapa")</f>
        <v>🔗 Ver Mapa</v>
      </c>
    </row>
    <row r="6937" spans="1:12" ht="43.5" x14ac:dyDescent="0.35">
      <c r="A6937" s="5" t="s">
        <v>98</v>
      </c>
      <c r="B6937" s="5" t="s">
        <v>99</v>
      </c>
      <c r="C6937" s="5" t="s">
        <v>1343</v>
      </c>
      <c r="D6937" s="5" t="s">
        <v>14</v>
      </c>
      <c r="E6937" s="5" t="s">
        <v>158</v>
      </c>
      <c r="F6937" s="5" t="s">
        <v>166</v>
      </c>
      <c r="G6937" s="5" t="s">
        <v>167</v>
      </c>
      <c r="H6937" s="5" t="s">
        <v>168</v>
      </c>
      <c r="I6937" s="5" t="s">
        <v>31</v>
      </c>
      <c r="J6937" s="5">
        <v>16.31740572</v>
      </c>
      <c r="K6937" s="5">
        <v>-95.233255999999997</v>
      </c>
      <c r="L6937" s="5" t="str">
        <f>HYPERLINK("https://maps.google.com/?q=16.31740572,-95.233255999999997", "🔗 Ver Mapa")</f>
        <v>🔗 Ver Mapa</v>
      </c>
    </row>
    <row r="6938" spans="1:12" ht="43.5" x14ac:dyDescent="0.35">
      <c r="A6938" s="6" t="s">
        <v>98</v>
      </c>
      <c r="B6938" s="6" t="s">
        <v>99</v>
      </c>
      <c r="C6938" s="6" t="s">
        <v>1343</v>
      </c>
      <c r="D6938" s="6" t="s">
        <v>14</v>
      </c>
      <c r="E6938" s="6" t="s">
        <v>158</v>
      </c>
      <c r="F6938" s="6" t="s">
        <v>166</v>
      </c>
      <c r="G6938" s="6" t="s">
        <v>167</v>
      </c>
      <c r="H6938" s="6" t="s">
        <v>168</v>
      </c>
      <c r="I6938" s="6" t="s">
        <v>31</v>
      </c>
      <c r="J6938" s="6">
        <v>16.317646</v>
      </c>
      <c r="K6938" s="6">
        <v>-95.247661800000003</v>
      </c>
      <c r="L6938" s="6" t="str">
        <f>HYPERLINK("https://maps.google.com/?q=16.317646,-95.247661800000003", "🔗 Ver Mapa")</f>
        <v>🔗 Ver Mapa</v>
      </c>
    </row>
    <row r="6939" spans="1:12" ht="43.5" x14ac:dyDescent="0.35">
      <c r="A6939" s="5" t="s">
        <v>98</v>
      </c>
      <c r="B6939" s="5" t="s">
        <v>99</v>
      </c>
      <c r="C6939" s="5" t="s">
        <v>1343</v>
      </c>
      <c r="D6939" s="5" t="s">
        <v>14</v>
      </c>
      <c r="E6939" s="5" t="s">
        <v>158</v>
      </c>
      <c r="F6939" s="5" t="s">
        <v>166</v>
      </c>
      <c r="G6939" s="5" t="s">
        <v>167</v>
      </c>
      <c r="H6939" s="5" t="s">
        <v>168</v>
      </c>
      <c r="I6939" s="5" t="s">
        <v>31</v>
      </c>
      <c r="J6939" s="5">
        <v>16.317820000000001</v>
      </c>
      <c r="K6939" s="5">
        <v>-95.253665999999996</v>
      </c>
      <c r="L6939" s="5" t="str">
        <f>HYPERLINK("https://maps.google.com/?q=16.31782,-95.253665999999996", "🔗 Ver Mapa")</f>
        <v>🔗 Ver Mapa</v>
      </c>
    </row>
    <row r="6940" spans="1:12" ht="43.5" x14ac:dyDescent="0.35">
      <c r="A6940" s="6" t="s">
        <v>98</v>
      </c>
      <c r="B6940" s="6" t="s">
        <v>99</v>
      </c>
      <c r="C6940" s="6" t="s">
        <v>1343</v>
      </c>
      <c r="D6940" s="6" t="s">
        <v>14</v>
      </c>
      <c r="E6940" s="6" t="s">
        <v>158</v>
      </c>
      <c r="F6940" s="6" t="s">
        <v>166</v>
      </c>
      <c r="G6940" s="6" t="s">
        <v>167</v>
      </c>
      <c r="H6940" s="6" t="s">
        <v>168</v>
      </c>
      <c r="I6940" s="6" t="s">
        <v>31</v>
      </c>
      <c r="J6940" s="6">
        <v>16.318193000000001</v>
      </c>
      <c r="K6940" s="6">
        <v>-95.250991999999997</v>
      </c>
      <c r="L6940" s="6" t="str">
        <f>HYPERLINK("https://maps.google.com/?q=16.318193,-95.250991999999997", "🔗 Ver Mapa")</f>
        <v>🔗 Ver Mapa</v>
      </c>
    </row>
    <row r="6941" spans="1:12" ht="43.5" x14ac:dyDescent="0.35">
      <c r="A6941" s="5" t="s">
        <v>98</v>
      </c>
      <c r="B6941" s="5" t="s">
        <v>99</v>
      </c>
      <c r="C6941" s="5" t="s">
        <v>1343</v>
      </c>
      <c r="D6941" s="5" t="s">
        <v>14</v>
      </c>
      <c r="E6941" s="5" t="s">
        <v>158</v>
      </c>
      <c r="F6941" s="5" t="s">
        <v>166</v>
      </c>
      <c r="G6941" s="5" t="s">
        <v>167</v>
      </c>
      <c r="H6941" s="5" t="s">
        <v>168</v>
      </c>
      <c r="I6941" s="5" t="s">
        <v>31</v>
      </c>
      <c r="J6941" s="5">
        <v>16.318506500000002</v>
      </c>
      <c r="K6941" s="5">
        <v>-95.246473899999998</v>
      </c>
      <c r="L6941" s="5" t="str">
        <f>HYPERLINK("https://maps.google.com/?q=16.3185065,-95.246473899999998", "🔗 Ver Mapa")</f>
        <v>🔗 Ver Mapa</v>
      </c>
    </row>
    <row r="6942" spans="1:12" ht="43.5" x14ac:dyDescent="0.35">
      <c r="A6942" s="6" t="s">
        <v>98</v>
      </c>
      <c r="B6942" s="6" t="s">
        <v>99</v>
      </c>
      <c r="C6942" s="6" t="s">
        <v>1343</v>
      </c>
      <c r="D6942" s="6" t="s">
        <v>14</v>
      </c>
      <c r="E6942" s="6" t="s">
        <v>158</v>
      </c>
      <c r="F6942" s="6" t="s">
        <v>166</v>
      </c>
      <c r="G6942" s="6" t="s">
        <v>167</v>
      </c>
      <c r="H6942" s="6" t="s">
        <v>168</v>
      </c>
      <c r="I6942" s="6" t="s">
        <v>31</v>
      </c>
      <c r="J6942" s="6">
        <v>16.3188566</v>
      </c>
      <c r="K6942" s="6">
        <v>-95.249973999999995</v>
      </c>
      <c r="L6942" s="6" t="str">
        <f>HYPERLINK("https://maps.google.com/?q=16.3188566,-95.249973999999995", "🔗 Ver Mapa")</f>
        <v>🔗 Ver Mapa</v>
      </c>
    </row>
    <row r="6943" spans="1:12" ht="43.5" x14ac:dyDescent="0.35">
      <c r="A6943" s="5" t="s">
        <v>98</v>
      </c>
      <c r="B6943" s="5" t="s">
        <v>99</v>
      </c>
      <c r="C6943" s="5" t="s">
        <v>1343</v>
      </c>
      <c r="D6943" s="5" t="s">
        <v>14</v>
      </c>
      <c r="E6943" s="5" t="s">
        <v>158</v>
      </c>
      <c r="F6943" s="5" t="s">
        <v>166</v>
      </c>
      <c r="G6943" s="5" t="s">
        <v>167</v>
      </c>
      <c r="H6943" s="5" t="s">
        <v>168</v>
      </c>
      <c r="I6943" s="5" t="s">
        <v>31</v>
      </c>
      <c r="J6943" s="5">
        <v>16.319295</v>
      </c>
      <c r="K6943" s="5">
        <v>-95.238089000000002</v>
      </c>
      <c r="L6943" s="5" t="str">
        <f>HYPERLINK("https://maps.google.com/?q=16.319295,-95.238089000000002", "🔗 Ver Mapa")</f>
        <v>🔗 Ver Mapa</v>
      </c>
    </row>
    <row r="6944" spans="1:12" ht="43.5" x14ac:dyDescent="0.35">
      <c r="A6944" s="6" t="s">
        <v>98</v>
      </c>
      <c r="B6944" s="6" t="s">
        <v>99</v>
      </c>
      <c r="C6944" s="6" t="s">
        <v>1343</v>
      </c>
      <c r="D6944" s="6" t="s">
        <v>14</v>
      </c>
      <c r="E6944" s="6" t="s">
        <v>158</v>
      </c>
      <c r="F6944" s="6" t="s">
        <v>166</v>
      </c>
      <c r="G6944" s="6" t="s">
        <v>167</v>
      </c>
      <c r="H6944" s="6" t="s">
        <v>168</v>
      </c>
      <c r="I6944" s="6" t="s">
        <v>31</v>
      </c>
      <c r="J6944" s="6">
        <v>16.319747</v>
      </c>
      <c r="K6944" s="6">
        <v>-95.246378000000007</v>
      </c>
      <c r="L6944" s="6" t="str">
        <f>HYPERLINK("https://maps.google.com/?q=16.319747,-95.246378000000007", "🔗 Ver Mapa")</f>
        <v>🔗 Ver Mapa</v>
      </c>
    </row>
    <row r="6945" spans="1:12" ht="43.5" x14ac:dyDescent="0.35">
      <c r="A6945" s="5" t="s">
        <v>98</v>
      </c>
      <c r="B6945" s="5" t="s">
        <v>99</v>
      </c>
      <c r="C6945" s="5" t="s">
        <v>1343</v>
      </c>
      <c r="D6945" s="5" t="s">
        <v>14</v>
      </c>
      <c r="E6945" s="5" t="s">
        <v>158</v>
      </c>
      <c r="F6945" s="5" t="s">
        <v>166</v>
      </c>
      <c r="G6945" s="5" t="s">
        <v>167</v>
      </c>
      <c r="H6945" s="5" t="s">
        <v>168</v>
      </c>
      <c r="I6945" s="5" t="s">
        <v>31</v>
      </c>
      <c r="J6945" s="5">
        <v>16.319808999999999</v>
      </c>
      <c r="K6945" s="5">
        <v>-95.247298000000001</v>
      </c>
      <c r="L6945" s="5" t="str">
        <f>HYPERLINK("https://maps.google.com/?q=16.319809,-95.247298000000001", "🔗 Ver Mapa")</f>
        <v>🔗 Ver Mapa</v>
      </c>
    </row>
    <row r="6946" spans="1:12" ht="43.5" x14ac:dyDescent="0.35">
      <c r="A6946" s="6" t="s">
        <v>98</v>
      </c>
      <c r="B6946" s="6" t="s">
        <v>99</v>
      </c>
      <c r="C6946" s="6" t="s">
        <v>1343</v>
      </c>
      <c r="D6946" s="6" t="s">
        <v>14</v>
      </c>
      <c r="E6946" s="6" t="s">
        <v>158</v>
      </c>
      <c r="F6946" s="6" t="s">
        <v>166</v>
      </c>
      <c r="G6946" s="6" t="s">
        <v>167</v>
      </c>
      <c r="H6946" s="6" t="s">
        <v>168</v>
      </c>
      <c r="I6946" s="6" t="s">
        <v>31</v>
      </c>
      <c r="J6946" s="6">
        <v>16.319869000000001</v>
      </c>
      <c r="K6946" s="6">
        <v>-95.233251999999993</v>
      </c>
      <c r="L6946" s="6" t="str">
        <f>HYPERLINK("https://maps.google.com/?q=16.319869,-95.233251999999993", "🔗 Ver Mapa")</f>
        <v>🔗 Ver Mapa</v>
      </c>
    </row>
    <row r="6947" spans="1:12" ht="43.5" x14ac:dyDescent="0.35">
      <c r="A6947" s="5" t="s">
        <v>98</v>
      </c>
      <c r="B6947" s="5" t="s">
        <v>99</v>
      </c>
      <c r="C6947" s="5" t="s">
        <v>1343</v>
      </c>
      <c r="D6947" s="5" t="s">
        <v>14</v>
      </c>
      <c r="E6947" s="5" t="s">
        <v>158</v>
      </c>
      <c r="F6947" s="5" t="s">
        <v>166</v>
      </c>
      <c r="G6947" s="5" t="s">
        <v>167</v>
      </c>
      <c r="H6947" s="5" t="s">
        <v>168</v>
      </c>
      <c r="I6947" s="5" t="s">
        <v>31</v>
      </c>
      <c r="J6947" s="5">
        <v>16.320022099999999</v>
      </c>
      <c r="K6947" s="5">
        <v>-95.250756300000006</v>
      </c>
      <c r="L6947" s="5" t="str">
        <f>HYPERLINK("https://maps.google.com/?q=16.3200221,-95.250756300000006", "🔗 Ver Mapa")</f>
        <v>🔗 Ver Mapa</v>
      </c>
    </row>
    <row r="6948" spans="1:12" ht="43.5" x14ac:dyDescent="0.35">
      <c r="A6948" s="6" t="s">
        <v>98</v>
      </c>
      <c r="B6948" s="6" t="s">
        <v>99</v>
      </c>
      <c r="C6948" s="6" t="s">
        <v>1343</v>
      </c>
      <c r="D6948" s="6" t="s">
        <v>14</v>
      </c>
      <c r="E6948" s="6" t="s">
        <v>158</v>
      </c>
      <c r="F6948" s="6" t="s">
        <v>166</v>
      </c>
      <c r="G6948" s="6" t="s">
        <v>167</v>
      </c>
      <c r="H6948" s="6" t="s">
        <v>168</v>
      </c>
      <c r="I6948" s="6" t="s">
        <v>31</v>
      </c>
      <c r="J6948" s="6">
        <v>16.320857</v>
      </c>
      <c r="K6948" s="6">
        <v>-95.256491199999999</v>
      </c>
      <c r="L6948" s="6" t="str">
        <f>HYPERLINK("https://maps.google.com/?q=16.320857,-95.256491199999999", "🔗 Ver Mapa")</f>
        <v>🔗 Ver Mapa</v>
      </c>
    </row>
    <row r="6949" spans="1:12" ht="43.5" x14ac:dyDescent="0.35">
      <c r="A6949" s="5" t="s">
        <v>98</v>
      </c>
      <c r="B6949" s="5" t="s">
        <v>99</v>
      </c>
      <c r="C6949" s="5" t="s">
        <v>1343</v>
      </c>
      <c r="D6949" s="5" t="s">
        <v>14</v>
      </c>
      <c r="E6949" s="5" t="s">
        <v>158</v>
      </c>
      <c r="F6949" s="5" t="s">
        <v>166</v>
      </c>
      <c r="G6949" s="5" t="s">
        <v>167</v>
      </c>
      <c r="H6949" s="5" t="s">
        <v>168</v>
      </c>
      <c r="I6949" s="5" t="s">
        <v>31</v>
      </c>
      <c r="J6949" s="5">
        <v>16.32292417</v>
      </c>
      <c r="K6949" s="5">
        <v>-95.262186</v>
      </c>
      <c r="L6949" s="5" t="str">
        <f>HYPERLINK("https://maps.google.com/?q=16.32292417,-95.262186", "🔗 Ver Mapa")</f>
        <v>🔗 Ver Mapa</v>
      </c>
    </row>
    <row r="6950" spans="1:12" ht="43.5" x14ac:dyDescent="0.35">
      <c r="A6950" s="6" t="s">
        <v>98</v>
      </c>
      <c r="B6950" s="6" t="s">
        <v>99</v>
      </c>
      <c r="C6950" s="6" t="s">
        <v>1343</v>
      </c>
      <c r="D6950" s="6" t="s">
        <v>14</v>
      </c>
      <c r="E6950" s="6" t="s">
        <v>158</v>
      </c>
      <c r="F6950" s="6" t="s">
        <v>166</v>
      </c>
      <c r="G6950" s="6" t="s">
        <v>167</v>
      </c>
      <c r="H6950" s="6" t="s">
        <v>168</v>
      </c>
      <c r="I6950" s="6" t="s">
        <v>31</v>
      </c>
      <c r="J6950" s="6">
        <v>16.323494</v>
      </c>
      <c r="K6950" s="6">
        <v>-95.262947400000002</v>
      </c>
      <c r="L6950" s="6" t="str">
        <f>HYPERLINK("https://maps.google.com/?q=16.323494,-95.262947400000002", "🔗 Ver Mapa")</f>
        <v>🔗 Ver Mapa</v>
      </c>
    </row>
    <row r="6951" spans="1:12" ht="43.5" x14ac:dyDescent="0.35">
      <c r="A6951" s="5" t="s">
        <v>98</v>
      </c>
      <c r="B6951" s="5" t="s">
        <v>99</v>
      </c>
      <c r="C6951" s="5" t="s">
        <v>1343</v>
      </c>
      <c r="D6951" s="5" t="s">
        <v>14</v>
      </c>
      <c r="E6951" s="5" t="s">
        <v>158</v>
      </c>
      <c r="F6951" s="5" t="s">
        <v>166</v>
      </c>
      <c r="G6951" s="5" t="s">
        <v>167</v>
      </c>
      <c r="H6951" s="5" t="s">
        <v>168</v>
      </c>
      <c r="I6951" s="5" t="s">
        <v>31</v>
      </c>
      <c r="J6951" s="5">
        <v>16.324565339999999</v>
      </c>
      <c r="K6951" s="5">
        <v>-95.261828199999997</v>
      </c>
      <c r="L6951" s="5" t="str">
        <f>HYPERLINK("https://maps.google.com/?q=16.32456534,-95.261828199999997", "🔗 Ver Mapa")</f>
        <v>🔗 Ver Mapa</v>
      </c>
    </row>
    <row r="6952" spans="1:12" ht="43.5" x14ac:dyDescent="0.35">
      <c r="A6952" s="6" t="s">
        <v>98</v>
      </c>
      <c r="B6952" s="6" t="s">
        <v>99</v>
      </c>
      <c r="C6952" s="6" t="s">
        <v>1343</v>
      </c>
      <c r="D6952" s="6" t="s">
        <v>14</v>
      </c>
      <c r="E6952" s="6" t="s">
        <v>158</v>
      </c>
      <c r="F6952" s="6" t="s">
        <v>166</v>
      </c>
      <c r="G6952" s="6" t="s">
        <v>167</v>
      </c>
      <c r="H6952" s="6" t="s">
        <v>168</v>
      </c>
      <c r="I6952" s="6" t="s">
        <v>31</v>
      </c>
      <c r="J6952" s="6">
        <v>16.326167000000002</v>
      </c>
      <c r="K6952" s="6">
        <v>-95.239307999999994</v>
      </c>
      <c r="L6952" s="6" t="str">
        <f>HYPERLINK("https://maps.google.com/?q=16.326167,-95.239307999999994", "🔗 Ver Mapa")</f>
        <v>🔗 Ver Mapa</v>
      </c>
    </row>
    <row r="6953" spans="1:12" ht="43.5" x14ac:dyDescent="0.35">
      <c r="A6953" s="5" t="s">
        <v>98</v>
      </c>
      <c r="B6953" s="5" t="s">
        <v>99</v>
      </c>
      <c r="C6953" s="5" t="s">
        <v>1343</v>
      </c>
      <c r="D6953" s="5" t="s">
        <v>14</v>
      </c>
      <c r="E6953" s="5" t="s">
        <v>158</v>
      </c>
      <c r="F6953" s="5" t="s">
        <v>166</v>
      </c>
      <c r="G6953" s="5" t="s">
        <v>167</v>
      </c>
      <c r="H6953" s="5" t="s">
        <v>168</v>
      </c>
      <c r="I6953" s="5" t="s">
        <v>31</v>
      </c>
      <c r="J6953" s="5">
        <v>16.32631258</v>
      </c>
      <c r="K6953" s="5">
        <v>-95.254857999999999</v>
      </c>
      <c r="L6953" s="5" t="str">
        <f>HYPERLINK("https://maps.google.com/?q=16.32631258,-95.254857999999999", "🔗 Ver Mapa")</f>
        <v>🔗 Ver Mapa</v>
      </c>
    </row>
    <row r="6954" spans="1:12" ht="43.5" x14ac:dyDescent="0.35">
      <c r="A6954" s="6" t="s">
        <v>98</v>
      </c>
      <c r="B6954" s="6" t="s">
        <v>99</v>
      </c>
      <c r="C6954" s="6" t="s">
        <v>1343</v>
      </c>
      <c r="D6954" s="6" t="s">
        <v>14</v>
      </c>
      <c r="E6954" s="6" t="s">
        <v>158</v>
      </c>
      <c r="F6954" s="6" t="s">
        <v>166</v>
      </c>
      <c r="G6954" s="6" t="s">
        <v>167</v>
      </c>
      <c r="H6954" s="6" t="s">
        <v>168</v>
      </c>
      <c r="I6954" s="6" t="s">
        <v>31</v>
      </c>
      <c r="J6954" s="6">
        <v>16.327204600000002</v>
      </c>
      <c r="K6954" s="6">
        <v>-95.253690000000006</v>
      </c>
      <c r="L6954" s="6" t="str">
        <f>HYPERLINK("https://maps.google.com/?q=16.3272046,-95.253690000000006", "🔗 Ver Mapa")</f>
        <v>🔗 Ver Mapa</v>
      </c>
    </row>
    <row r="6955" spans="1:12" ht="43.5" x14ac:dyDescent="0.35">
      <c r="A6955" s="5" t="s">
        <v>98</v>
      </c>
      <c r="B6955" s="5" t="s">
        <v>99</v>
      </c>
      <c r="C6955" s="5" t="s">
        <v>1343</v>
      </c>
      <c r="D6955" s="5" t="s">
        <v>14</v>
      </c>
      <c r="E6955" s="5" t="s">
        <v>158</v>
      </c>
      <c r="F6955" s="5" t="s">
        <v>166</v>
      </c>
      <c r="G6955" s="5" t="s">
        <v>167</v>
      </c>
      <c r="H6955" s="5" t="s">
        <v>168</v>
      </c>
      <c r="I6955" s="5" t="s">
        <v>31</v>
      </c>
      <c r="J6955" s="5">
        <v>16.327438000000001</v>
      </c>
      <c r="K6955" s="5">
        <v>-95.241681999999997</v>
      </c>
      <c r="L6955" s="5" t="str">
        <f>HYPERLINK("https://maps.google.com/?q=16.327438,-95.241681999999997", "🔗 Ver Mapa")</f>
        <v>🔗 Ver Mapa</v>
      </c>
    </row>
    <row r="6956" spans="1:12" ht="43.5" x14ac:dyDescent="0.35">
      <c r="A6956" s="6" t="s">
        <v>98</v>
      </c>
      <c r="B6956" s="6" t="s">
        <v>99</v>
      </c>
      <c r="C6956" s="6" t="s">
        <v>1343</v>
      </c>
      <c r="D6956" s="6" t="s">
        <v>14</v>
      </c>
      <c r="E6956" s="6" t="s">
        <v>158</v>
      </c>
      <c r="F6956" s="6" t="s">
        <v>166</v>
      </c>
      <c r="G6956" s="6" t="s">
        <v>167</v>
      </c>
      <c r="H6956" s="6" t="s">
        <v>168</v>
      </c>
      <c r="I6956" s="6" t="s">
        <v>31</v>
      </c>
      <c r="J6956" s="6">
        <v>16.329977</v>
      </c>
      <c r="K6956" s="6">
        <v>-95.241786000000005</v>
      </c>
      <c r="L6956" s="6" t="str">
        <f>HYPERLINK("https://maps.google.com/?q=16.329977,-95.241786000000005", "🔗 Ver Mapa")</f>
        <v>🔗 Ver Mapa</v>
      </c>
    </row>
    <row r="6957" spans="1:12" ht="43.5" x14ac:dyDescent="0.35">
      <c r="A6957" s="5" t="s">
        <v>98</v>
      </c>
      <c r="B6957" s="5" t="s">
        <v>99</v>
      </c>
      <c r="C6957" s="5" t="s">
        <v>1343</v>
      </c>
      <c r="D6957" s="5" t="s">
        <v>14</v>
      </c>
      <c r="E6957" s="5" t="s">
        <v>158</v>
      </c>
      <c r="F6957" s="5" t="s">
        <v>166</v>
      </c>
      <c r="G6957" s="5" t="s">
        <v>167</v>
      </c>
      <c r="H6957" s="5" t="s">
        <v>168</v>
      </c>
      <c r="I6957" s="5" t="s">
        <v>31</v>
      </c>
      <c r="J6957" s="5">
        <v>16.330114999999999</v>
      </c>
      <c r="K6957" s="5">
        <v>-95.242110999999994</v>
      </c>
      <c r="L6957" s="5" t="str">
        <f>HYPERLINK("https://maps.google.com/?q=16.330115,-95.242110999999994", "🔗 Ver Mapa")</f>
        <v>🔗 Ver Mapa</v>
      </c>
    </row>
    <row r="6958" spans="1:12" ht="43.5" x14ac:dyDescent="0.35">
      <c r="A6958" s="6" t="s">
        <v>98</v>
      </c>
      <c r="B6958" s="6" t="s">
        <v>99</v>
      </c>
      <c r="C6958" s="6" t="s">
        <v>1343</v>
      </c>
      <c r="D6958" s="6" t="s">
        <v>14</v>
      </c>
      <c r="E6958" s="6" t="s">
        <v>158</v>
      </c>
      <c r="F6958" s="6" t="s">
        <v>166</v>
      </c>
      <c r="G6958" s="6" t="s">
        <v>167</v>
      </c>
      <c r="H6958" s="6" t="s">
        <v>168</v>
      </c>
      <c r="I6958" s="6" t="s">
        <v>31</v>
      </c>
      <c r="J6958" s="6">
        <v>16.330572190925</v>
      </c>
      <c r="K6958" s="6">
        <v>-95.232606186588001</v>
      </c>
      <c r="L6958" s="6" t="str">
        <f>HYPERLINK("https://maps.google.com/?q=16.3305721909253,-95.232606186587503", "🔗 Ver Mapa")</f>
        <v>🔗 Ver Mapa</v>
      </c>
    </row>
    <row r="6959" spans="1:12" ht="43.5" x14ac:dyDescent="0.35">
      <c r="A6959" s="5" t="s">
        <v>98</v>
      </c>
      <c r="B6959" s="5" t="s">
        <v>99</v>
      </c>
      <c r="C6959" s="5" t="s">
        <v>1343</v>
      </c>
      <c r="D6959" s="5" t="s">
        <v>14</v>
      </c>
      <c r="E6959" s="5" t="s">
        <v>158</v>
      </c>
      <c r="F6959" s="5" t="s">
        <v>166</v>
      </c>
      <c r="G6959" s="5" t="s">
        <v>167</v>
      </c>
      <c r="H6959" s="5" t="s">
        <v>168</v>
      </c>
      <c r="I6959" s="5" t="s">
        <v>31</v>
      </c>
      <c r="J6959" s="5">
        <v>16.331102399999999</v>
      </c>
      <c r="K6959" s="5">
        <v>-95.241081399999999</v>
      </c>
      <c r="L6959" s="5" t="str">
        <f>HYPERLINK("https://maps.google.com/?q=16.3311024,-95.241081399999999", "🔗 Ver Mapa")</f>
        <v>🔗 Ver Mapa</v>
      </c>
    </row>
    <row r="6960" spans="1:12" ht="43.5" x14ac:dyDescent="0.35">
      <c r="A6960" s="6" t="s">
        <v>98</v>
      </c>
      <c r="B6960" s="6" t="s">
        <v>99</v>
      </c>
      <c r="C6960" s="6" t="s">
        <v>1343</v>
      </c>
      <c r="D6960" s="6" t="s">
        <v>14</v>
      </c>
      <c r="E6960" s="6" t="s">
        <v>158</v>
      </c>
      <c r="F6960" s="6" t="s">
        <v>166</v>
      </c>
      <c r="G6960" s="6" t="s">
        <v>167</v>
      </c>
      <c r="H6960" s="6" t="s">
        <v>168</v>
      </c>
      <c r="I6960" s="6" t="s">
        <v>31</v>
      </c>
      <c r="J6960" s="6">
        <v>16.331308</v>
      </c>
      <c r="K6960" s="6">
        <v>-95.242337000000006</v>
      </c>
      <c r="L6960" s="6" t="str">
        <f>HYPERLINK("https://maps.google.com/?q=16.331308,-95.242337000000006", "🔗 Ver Mapa")</f>
        <v>🔗 Ver Mapa</v>
      </c>
    </row>
    <row r="6961" spans="1:12" ht="43.5" x14ac:dyDescent="0.35">
      <c r="A6961" s="5" t="s">
        <v>98</v>
      </c>
      <c r="B6961" s="5" t="s">
        <v>99</v>
      </c>
      <c r="C6961" s="5" t="s">
        <v>1343</v>
      </c>
      <c r="D6961" s="5" t="s">
        <v>14</v>
      </c>
      <c r="E6961" s="5" t="s">
        <v>158</v>
      </c>
      <c r="F6961" s="5" t="s">
        <v>166</v>
      </c>
      <c r="G6961" s="5" t="s">
        <v>167</v>
      </c>
      <c r="H6961" s="5" t="s">
        <v>168</v>
      </c>
      <c r="I6961" s="5" t="s">
        <v>31</v>
      </c>
      <c r="J6961" s="5">
        <v>16.331678199999999</v>
      </c>
      <c r="K6961" s="5">
        <v>-95.241765099999995</v>
      </c>
      <c r="L6961" s="5" t="str">
        <f>HYPERLINK("https://maps.google.com/?q=16.3316782,-95.241765099999995", "🔗 Ver Mapa")</f>
        <v>🔗 Ver Mapa</v>
      </c>
    </row>
    <row r="6962" spans="1:12" ht="43.5" x14ac:dyDescent="0.35">
      <c r="A6962" s="6" t="s">
        <v>98</v>
      </c>
      <c r="B6962" s="6" t="s">
        <v>99</v>
      </c>
      <c r="C6962" s="6" t="s">
        <v>1343</v>
      </c>
      <c r="D6962" s="6" t="s">
        <v>14</v>
      </c>
      <c r="E6962" s="6" t="s">
        <v>158</v>
      </c>
      <c r="F6962" s="6" t="s">
        <v>166</v>
      </c>
      <c r="G6962" s="6" t="s">
        <v>167</v>
      </c>
      <c r="H6962" s="6" t="s">
        <v>168</v>
      </c>
      <c r="I6962" s="6" t="s">
        <v>31</v>
      </c>
      <c r="J6962" s="6">
        <v>16.335460000000001</v>
      </c>
      <c r="K6962" s="6">
        <v>-95.221186299999999</v>
      </c>
      <c r="L6962" s="6" t="str">
        <f>HYPERLINK("https://maps.google.com/?q=16.33546,-95.221186299999999", "🔗 Ver Mapa")</f>
        <v>🔗 Ver Mapa</v>
      </c>
    </row>
    <row r="6963" spans="1:12" ht="43.5" x14ac:dyDescent="0.35">
      <c r="A6963" s="5" t="s">
        <v>98</v>
      </c>
      <c r="B6963" s="5" t="s">
        <v>99</v>
      </c>
      <c r="C6963" s="5" t="s">
        <v>1343</v>
      </c>
      <c r="D6963" s="5" t="s">
        <v>14</v>
      </c>
      <c r="E6963" s="5" t="s">
        <v>158</v>
      </c>
      <c r="F6963" s="5" t="s">
        <v>166</v>
      </c>
      <c r="G6963" s="5" t="s">
        <v>167</v>
      </c>
      <c r="H6963" s="5" t="s">
        <v>168</v>
      </c>
      <c r="I6963" s="5" t="s">
        <v>31</v>
      </c>
      <c r="J6963" s="5">
        <v>16.3371785</v>
      </c>
      <c r="K6963" s="5">
        <v>-95.221772009999995</v>
      </c>
      <c r="L6963" s="5" t="str">
        <f>HYPERLINK("https://maps.google.com/?q=16.3371785,-95.221772009999995", "🔗 Ver Mapa")</f>
        <v>🔗 Ver Mapa</v>
      </c>
    </row>
    <row r="6964" spans="1:12" ht="43.5" x14ac:dyDescent="0.35">
      <c r="A6964" s="6" t="s">
        <v>98</v>
      </c>
      <c r="B6964" s="6" t="s">
        <v>99</v>
      </c>
      <c r="C6964" s="6" t="s">
        <v>1343</v>
      </c>
      <c r="D6964" s="6" t="s">
        <v>14</v>
      </c>
      <c r="E6964" s="6" t="s">
        <v>158</v>
      </c>
      <c r="F6964" s="6" t="s">
        <v>166</v>
      </c>
      <c r="G6964" s="6" t="s">
        <v>167</v>
      </c>
      <c r="H6964" s="6" t="s">
        <v>168</v>
      </c>
      <c r="I6964" s="6" t="s">
        <v>31</v>
      </c>
      <c r="J6964" s="6">
        <v>16.337221413000002</v>
      </c>
      <c r="K6964" s="6">
        <v>-95.218973349999999</v>
      </c>
      <c r="L6964" s="6" t="str">
        <f>HYPERLINK("https://maps.google.com/?q=16.337221413,-95.218973349999999", "🔗 Ver Mapa")</f>
        <v>🔗 Ver Mapa</v>
      </c>
    </row>
    <row r="6965" spans="1:12" ht="43.5" x14ac:dyDescent="0.35">
      <c r="A6965" s="5" t="s">
        <v>98</v>
      </c>
      <c r="B6965" s="5" t="s">
        <v>99</v>
      </c>
      <c r="C6965" s="5" t="s">
        <v>1343</v>
      </c>
      <c r="D6965" s="5" t="s">
        <v>14</v>
      </c>
      <c r="E6965" s="5" t="s">
        <v>158</v>
      </c>
      <c r="F6965" s="5" t="s">
        <v>166</v>
      </c>
      <c r="G6965" s="5" t="s">
        <v>167</v>
      </c>
      <c r="H6965" s="5" t="s">
        <v>168</v>
      </c>
      <c r="I6965" s="5" t="s">
        <v>31</v>
      </c>
      <c r="J6965" s="5">
        <v>16.337682999999998</v>
      </c>
      <c r="K6965" s="5">
        <v>-95.243272300000001</v>
      </c>
      <c r="L6965" s="5" t="str">
        <f>HYPERLINK("https://maps.google.com/?q=16.337683,-95.243272300000001", "🔗 Ver Mapa")</f>
        <v>🔗 Ver Mapa</v>
      </c>
    </row>
    <row r="6966" spans="1:12" ht="43.5" x14ac:dyDescent="0.35">
      <c r="A6966" s="6" t="s">
        <v>98</v>
      </c>
      <c r="B6966" s="6" t="s">
        <v>99</v>
      </c>
      <c r="C6966" s="6" t="s">
        <v>1343</v>
      </c>
      <c r="D6966" s="6" t="s">
        <v>14</v>
      </c>
      <c r="E6966" s="6" t="s">
        <v>158</v>
      </c>
      <c r="F6966" s="6" t="s">
        <v>166</v>
      </c>
      <c r="G6966" s="6" t="s">
        <v>167</v>
      </c>
      <c r="H6966" s="6" t="s">
        <v>168</v>
      </c>
      <c r="I6966" s="6" t="s">
        <v>31</v>
      </c>
      <c r="J6966" s="6">
        <v>16.3459155</v>
      </c>
      <c r="K6966" s="6">
        <v>-95.224000000000004</v>
      </c>
      <c r="L6966" s="6" t="str">
        <f>HYPERLINK("https://maps.google.com/?q=16.3459155,-95.224000000000004", "🔗 Ver Mapa")</f>
        <v>🔗 Ver Mapa</v>
      </c>
    </row>
    <row r="6967" spans="1:12" ht="43.5" x14ac:dyDescent="0.35">
      <c r="A6967" s="5" t="s">
        <v>98</v>
      </c>
      <c r="B6967" s="5" t="s">
        <v>99</v>
      </c>
      <c r="C6967" s="5" t="s">
        <v>706</v>
      </c>
      <c r="D6967" s="5" t="s">
        <v>14</v>
      </c>
      <c r="E6967" s="5" t="s">
        <v>52</v>
      </c>
      <c r="F6967" s="5" t="s">
        <v>421</v>
      </c>
      <c r="G6967" s="5" t="s">
        <v>707</v>
      </c>
      <c r="H6967" s="5" t="s">
        <v>708</v>
      </c>
      <c r="I6967" s="5" t="s">
        <v>31</v>
      </c>
      <c r="J6967" s="5">
        <v>16.38439692</v>
      </c>
      <c r="K6967" s="5">
        <v>-96.839003559999995</v>
      </c>
      <c r="L6967" s="5" t="str">
        <f>HYPERLINK("https://maps.google.com/?q=16.38439692,-96.839003559999995", "🔗 Ver Mapa")</f>
        <v>🔗 Ver Mapa</v>
      </c>
    </row>
    <row r="6968" spans="1:12" ht="43.5" x14ac:dyDescent="0.35">
      <c r="A6968" s="6" t="s">
        <v>98</v>
      </c>
      <c r="B6968" s="6" t="s">
        <v>99</v>
      </c>
      <c r="C6968" s="6" t="s">
        <v>706</v>
      </c>
      <c r="D6968" s="6" t="s">
        <v>14</v>
      </c>
      <c r="E6968" s="6" t="s">
        <v>52</v>
      </c>
      <c r="F6968" s="6" t="s">
        <v>421</v>
      </c>
      <c r="G6968" s="6" t="s">
        <v>707</v>
      </c>
      <c r="H6968" s="6" t="s">
        <v>708</v>
      </c>
      <c r="I6968" s="6" t="s">
        <v>31</v>
      </c>
      <c r="J6968" s="6">
        <v>16.387902990000001</v>
      </c>
      <c r="K6968" s="6">
        <v>-96.848157939999993</v>
      </c>
      <c r="L6968" s="6" t="str">
        <f>HYPERLINK("https://maps.google.com/?q=16.38790299,-96.848157939999993", "🔗 Ver Mapa")</f>
        <v>🔗 Ver Mapa</v>
      </c>
    </row>
    <row r="6969" spans="1:12" ht="43.5" x14ac:dyDescent="0.35">
      <c r="A6969" s="5" t="s">
        <v>98</v>
      </c>
      <c r="B6969" s="5" t="s">
        <v>99</v>
      </c>
      <c r="C6969" s="5" t="s">
        <v>1344</v>
      </c>
      <c r="D6969" s="5" t="s">
        <v>14</v>
      </c>
      <c r="E6969" s="5" t="s">
        <v>52</v>
      </c>
      <c r="F6969" s="5" t="s">
        <v>53</v>
      </c>
      <c r="G6969" s="5" t="s">
        <v>839</v>
      </c>
      <c r="H6969" s="5" t="s">
        <v>1345</v>
      </c>
      <c r="I6969" s="5" t="s">
        <v>31</v>
      </c>
      <c r="J6969" s="5">
        <v>17.012828970000001</v>
      </c>
      <c r="K6969" s="5">
        <v>-96.523997719999997</v>
      </c>
      <c r="L6969" s="5" t="str">
        <f>HYPERLINK("https://maps.google.com/?q=17.01282897,-96.523997719999997", "🔗 Ver Mapa")</f>
        <v>🔗 Ver Mapa</v>
      </c>
    </row>
    <row r="6970" spans="1:12" ht="43.5" x14ac:dyDescent="0.35">
      <c r="A6970" s="6" t="s">
        <v>98</v>
      </c>
      <c r="B6970" s="6" t="s">
        <v>99</v>
      </c>
      <c r="C6970" s="6" t="s">
        <v>1344</v>
      </c>
      <c r="D6970" s="6" t="s">
        <v>14</v>
      </c>
      <c r="E6970" s="6" t="s">
        <v>52</v>
      </c>
      <c r="F6970" s="6" t="s">
        <v>53</v>
      </c>
      <c r="G6970" s="6" t="s">
        <v>839</v>
      </c>
      <c r="H6970" s="6" t="s">
        <v>1345</v>
      </c>
      <c r="I6970" s="6" t="s">
        <v>31</v>
      </c>
      <c r="J6970" s="6">
        <v>17.01364367</v>
      </c>
      <c r="K6970" s="6">
        <v>-96.520518440000004</v>
      </c>
      <c r="L6970" s="6" t="str">
        <f>HYPERLINK("https://maps.google.com/?q=17.01364367,-96.520518440000004", "🔗 Ver Mapa")</f>
        <v>🔗 Ver Mapa</v>
      </c>
    </row>
    <row r="6971" spans="1:12" ht="43.5" x14ac:dyDescent="0.35">
      <c r="A6971" s="5" t="s">
        <v>98</v>
      </c>
      <c r="B6971" s="5" t="s">
        <v>99</v>
      </c>
      <c r="C6971" s="5" t="s">
        <v>1344</v>
      </c>
      <c r="D6971" s="5" t="s">
        <v>14</v>
      </c>
      <c r="E6971" s="5" t="s">
        <v>52</v>
      </c>
      <c r="F6971" s="5" t="s">
        <v>53</v>
      </c>
      <c r="G6971" s="5" t="s">
        <v>839</v>
      </c>
      <c r="H6971" s="5" t="s">
        <v>1345</v>
      </c>
      <c r="I6971" s="5" t="s">
        <v>31</v>
      </c>
      <c r="J6971" s="5">
        <v>17.01410791</v>
      </c>
      <c r="K6971" s="5">
        <v>-96.518166140000005</v>
      </c>
      <c r="L6971" s="5" t="str">
        <f>HYPERLINK("https://maps.google.com/?q=17.01410791,-96.518166140000005", "🔗 Ver Mapa")</f>
        <v>🔗 Ver Mapa</v>
      </c>
    </row>
    <row r="6972" spans="1:12" ht="43.5" x14ac:dyDescent="0.35">
      <c r="A6972" s="6" t="s">
        <v>98</v>
      </c>
      <c r="B6972" s="6" t="s">
        <v>99</v>
      </c>
      <c r="C6972" s="6" t="s">
        <v>1344</v>
      </c>
      <c r="D6972" s="6" t="s">
        <v>14</v>
      </c>
      <c r="E6972" s="6" t="s">
        <v>52</v>
      </c>
      <c r="F6972" s="6" t="s">
        <v>53</v>
      </c>
      <c r="G6972" s="6" t="s">
        <v>839</v>
      </c>
      <c r="H6972" s="6" t="s">
        <v>1345</v>
      </c>
      <c r="I6972" s="6" t="s">
        <v>31</v>
      </c>
      <c r="J6972" s="6">
        <v>17.01411847</v>
      </c>
      <c r="K6972" s="6">
        <v>-96.51962417</v>
      </c>
      <c r="L6972" s="6" t="str">
        <f>HYPERLINK("https://maps.google.com/?q=17.01411847,-96.51962417", "🔗 Ver Mapa")</f>
        <v>🔗 Ver Mapa</v>
      </c>
    </row>
    <row r="6973" spans="1:12" ht="43.5" x14ac:dyDescent="0.35">
      <c r="A6973" s="5" t="s">
        <v>98</v>
      </c>
      <c r="B6973" s="5" t="s">
        <v>99</v>
      </c>
      <c r="C6973" s="5" t="s">
        <v>1344</v>
      </c>
      <c r="D6973" s="5" t="s">
        <v>14</v>
      </c>
      <c r="E6973" s="5" t="s">
        <v>52</v>
      </c>
      <c r="F6973" s="5" t="s">
        <v>53</v>
      </c>
      <c r="G6973" s="5" t="s">
        <v>839</v>
      </c>
      <c r="H6973" s="5" t="s">
        <v>1345</v>
      </c>
      <c r="I6973" s="5" t="s">
        <v>31</v>
      </c>
      <c r="J6973" s="5">
        <v>17.01413135</v>
      </c>
      <c r="K6973" s="5">
        <v>-96.519052720000005</v>
      </c>
      <c r="L6973" s="5" t="str">
        <f>HYPERLINK("https://maps.google.com/?q=17.01413135,-96.519052720000005", "🔗 Ver Mapa")</f>
        <v>🔗 Ver Mapa</v>
      </c>
    </row>
    <row r="6974" spans="1:12" ht="43.5" x14ac:dyDescent="0.35">
      <c r="A6974" s="6" t="s">
        <v>98</v>
      </c>
      <c r="B6974" s="6" t="s">
        <v>99</v>
      </c>
      <c r="C6974" s="6" t="s">
        <v>1344</v>
      </c>
      <c r="D6974" s="6" t="s">
        <v>14</v>
      </c>
      <c r="E6974" s="6" t="s">
        <v>52</v>
      </c>
      <c r="F6974" s="6" t="s">
        <v>53</v>
      </c>
      <c r="G6974" s="6" t="s">
        <v>839</v>
      </c>
      <c r="H6974" s="6" t="s">
        <v>1345</v>
      </c>
      <c r="I6974" s="6" t="s">
        <v>31</v>
      </c>
      <c r="J6974" s="6">
        <v>17.01419254</v>
      </c>
      <c r="K6974" s="6">
        <v>-96.518772319999997</v>
      </c>
      <c r="L6974" s="6" t="str">
        <f>HYPERLINK("https://maps.google.com/?q=17.01419254,-96.518772319999997", "🔗 Ver Mapa")</f>
        <v>🔗 Ver Mapa</v>
      </c>
    </row>
    <row r="6975" spans="1:12" ht="43.5" x14ac:dyDescent="0.35">
      <c r="A6975" s="5" t="s">
        <v>98</v>
      </c>
      <c r="B6975" s="5" t="s">
        <v>99</v>
      </c>
      <c r="C6975" s="5" t="s">
        <v>1344</v>
      </c>
      <c r="D6975" s="5" t="s">
        <v>14</v>
      </c>
      <c r="E6975" s="5" t="s">
        <v>52</v>
      </c>
      <c r="F6975" s="5" t="s">
        <v>53</v>
      </c>
      <c r="G6975" s="5" t="s">
        <v>839</v>
      </c>
      <c r="H6975" s="5" t="s">
        <v>1345</v>
      </c>
      <c r="I6975" s="5" t="s">
        <v>31</v>
      </c>
      <c r="J6975" s="5">
        <v>17.014282720000001</v>
      </c>
      <c r="K6975" s="5">
        <v>-96.519243320000001</v>
      </c>
      <c r="L6975" s="5" t="str">
        <f>HYPERLINK("https://maps.google.com/?q=17.01428272,-96.519243320000001", "🔗 Ver Mapa")</f>
        <v>🔗 Ver Mapa</v>
      </c>
    </row>
    <row r="6976" spans="1:12" ht="43.5" x14ac:dyDescent="0.35">
      <c r="A6976" s="6" t="s">
        <v>98</v>
      </c>
      <c r="B6976" s="6" t="s">
        <v>99</v>
      </c>
      <c r="C6976" s="6" t="s">
        <v>1344</v>
      </c>
      <c r="D6976" s="6" t="s">
        <v>14</v>
      </c>
      <c r="E6976" s="6" t="s">
        <v>52</v>
      </c>
      <c r="F6976" s="6" t="s">
        <v>53</v>
      </c>
      <c r="G6976" s="6" t="s">
        <v>839</v>
      </c>
      <c r="H6976" s="6" t="s">
        <v>1345</v>
      </c>
      <c r="I6976" s="6" t="s">
        <v>31</v>
      </c>
      <c r="J6976" s="6">
        <v>17.016824700000001</v>
      </c>
      <c r="K6976" s="6">
        <v>-96.519726370000001</v>
      </c>
      <c r="L6976" s="6" t="str">
        <f>HYPERLINK("https://maps.google.com/?q=17.0168247,-96.519726370000001", "🔗 Ver Mapa")</f>
        <v>🔗 Ver Mapa</v>
      </c>
    </row>
    <row r="6977" spans="1:12" ht="43.5" x14ac:dyDescent="0.35">
      <c r="A6977" s="5" t="s">
        <v>98</v>
      </c>
      <c r="B6977" s="5" t="s">
        <v>99</v>
      </c>
      <c r="C6977" s="5" t="s">
        <v>1344</v>
      </c>
      <c r="D6977" s="5" t="s">
        <v>14</v>
      </c>
      <c r="E6977" s="5" t="s">
        <v>52</v>
      </c>
      <c r="F6977" s="5" t="s">
        <v>53</v>
      </c>
      <c r="G6977" s="5" t="s">
        <v>839</v>
      </c>
      <c r="H6977" s="5" t="s">
        <v>1345</v>
      </c>
      <c r="I6977" s="5" t="s">
        <v>31</v>
      </c>
      <c r="J6977" s="5">
        <v>17.01939716</v>
      </c>
      <c r="K6977" s="5">
        <v>-96.524382680000002</v>
      </c>
      <c r="L6977" s="5" t="str">
        <f>HYPERLINK("https://maps.google.com/?q=17.01939716,-96.524382680000002", "🔗 Ver Mapa")</f>
        <v>🔗 Ver Mapa</v>
      </c>
    </row>
    <row r="6978" spans="1:12" ht="43.5" x14ac:dyDescent="0.35">
      <c r="A6978" s="6" t="s">
        <v>98</v>
      </c>
      <c r="B6978" s="6" t="s">
        <v>99</v>
      </c>
      <c r="C6978" s="6" t="s">
        <v>1346</v>
      </c>
      <c r="D6978" s="6" t="s">
        <v>14</v>
      </c>
      <c r="E6978" s="6" t="s">
        <v>16</v>
      </c>
      <c r="F6978" s="6" t="s">
        <v>21</v>
      </c>
      <c r="G6978" s="6" t="s">
        <v>25</v>
      </c>
      <c r="H6978" s="6" t="s">
        <v>29</v>
      </c>
      <c r="I6978" s="6" t="s">
        <v>31</v>
      </c>
      <c r="J6978" s="6">
        <v>17.091750000000001</v>
      </c>
      <c r="K6978" s="6">
        <v>-97.494389999999996</v>
      </c>
      <c r="L6978" s="6" t="str">
        <f>HYPERLINK("https://maps.google.com/?q=17.09175,-97.494389999999996", "🔗 Ver Mapa")</f>
        <v>🔗 Ver Mapa</v>
      </c>
    </row>
    <row r="6979" spans="1:12" ht="43.5" x14ac:dyDescent="0.35">
      <c r="A6979" s="5" t="s">
        <v>98</v>
      </c>
      <c r="B6979" s="5" t="s">
        <v>99</v>
      </c>
      <c r="C6979" s="5" t="s">
        <v>1346</v>
      </c>
      <c r="D6979" s="5" t="s">
        <v>14</v>
      </c>
      <c r="E6979" s="5" t="s">
        <v>16</v>
      </c>
      <c r="F6979" s="5" t="s">
        <v>21</v>
      </c>
      <c r="G6979" s="5" t="s">
        <v>25</v>
      </c>
      <c r="H6979" s="5" t="s">
        <v>29</v>
      </c>
      <c r="I6979" s="5" t="s">
        <v>31</v>
      </c>
      <c r="J6979" s="5">
        <v>17.0919849</v>
      </c>
      <c r="K6979" s="5">
        <v>-97.495831699999997</v>
      </c>
      <c r="L6979" s="5" t="str">
        <f>HYPERLINK("https://maps.google.com/?q=17.0919849,-97.495831699999997", "🔗 Ver Mapa")</f>
        <v>🔗 Ver Mapa</v>
      </c>
    </row>
    <row r="6980" spans="1:12" ht="43.5" x14ac:dyDescent="0.35">
      <c r="A6980" s="6" t="s">
        <v>98</v>
      </c>
      <c r="B6980" s="6" t="s">
        <v>99</v>
      </c>
      <c r="C6980" s="6" t="s">
        <v>1346</v>
      </c>
      <c r="D6980" s="6" t="s">
        <v>14</v>
      </c>
      <c r="E6980" s="6" t="s">
        <v>16</v>
      </c>
      <c r="F6980" s="6" t="s">
        <v>21</v>
      </c>
      <c r="G6980" s="6" t="s">
        <v>25</v>
      </c>
      <c r="H6980" s="6" t="s">
        <v>29</v>
      </c>
      <c r="I6980" s="6" t="s">
        <v>31</v>
      </c>
      <c r="J6980" s="6">
        <v>17.095595100000001</v>
      </c>
      <c r="K6980" s="6">
        <v>-97.498536900000005</v>
      </c>
      <c r="L6980" s="6" t="str">
        <f>HYPERLINK("https://maps.google.com/?q=17.0955951,-97.498536900000005", "🔗 Ver Mapa")</f>
        <v>🔗 Ver Mapa</v>
      </c>
    </row>
    <row r="6981" spans="1:12" ht="43.5" x14ac:dyDescent="0.35">
      <c r="A6981" s="5" t="s">
        <v>98</v>
      </c>
      <c r="B6981" s="5" t="s">
        <v>99</v>
      </c>
      <c r="C6981" s="5" t="s">
        <v>1346</v>
      </c>
      <c r="D6981" s="5" t="s">
        <v>14</v>
      </c>
      <c r="E6981" s="5" t="s">
        <v>16</v>
      </c>
      <c r="F6981" s="5" t="s">
        <v>21</v>
      </c>
      <c r="G6981" s="5" t="s">
        <v>25</v>
      </c>
      <c r="H6981" s="5" t="s">
        <v>29</v>
      </c>
      <c r="I6981" s="5" t="s">
        <v>31</v>
      </c>
      <c r="J6981" s="5">
        <v>17.095670399999999</v>
      </c>
      <c r="K6981" s="5">
        <v>-97.495727500000001</v>
      </c>
      <c r="L6981" s="5" t="str">
        <f>HYPERLINK("https://maps.google.com/?q=17.0956704,-97.495727500000001", "🔗 Ver Mapa")</f>
        <v>🔗 Ver Mapa</v>
      </c>
    </row>
    <row r="6982" spans="1:12" ht="43.5" x14ac:dyDescent="0.35">
      <c r="A6982" s="6" t="s">
        <v>98</v>
      </c>
      <c r="B6982" s="6" t="s">
        <v>99</v>
      </c>
      <c r="C6982" s="6" t="s">
        <v>1346</v>
      </c>
      <c r="D6982" s="6" t="s">
        <v>14</v>
      </c>
      <c r="E6982" s="6" t="s">
        <v>16</v>
      </c>
      <c r="F6982" s="6" t="s">
        <v>21</v>
      </c>
      <c r="G6982" s="6" t="s">
        <v>25</v>
      </c>
      <c r="H6982" s="6" t="s">
        <v>29</v>
      </c>
      <c r="I6982" s="6" t="s">
        <v>31</v>
      </c>
      <c r="J6982" s="6">
        <v>17.095761</v>
      </c>
      <c r="K6982" s="6">
        <v>-97.498118000000005</v>
      </c>
      <c r="L6982" s="6" t="str">
        <f>HYPERLINK("https://maps.google.com/?q=17.095761,-97.498118000000005", "🔗 Ver Mapa")</f>
        <v>🔗 Ver Mapa</v>
      </c>
    </row>
    <row r="6983" spans="1:12" ht="43.5" x14ac:dyDescent="0.35">
      <c r="A6983" s="5" t="s">
        <v>98</v>
      </c>
      <c r="B6983" s="5" t="s">
        <v>99</v>
      </c>
      <c r="C6983" s="5" t="s">
        <v>1346</v>
      </c>
      <c r="D6983" s="5" t="s">
        <v>14</v>
      </c>
      <c r="E6983" s="5" t="s">
        <v>16</v>
      </c>
      <c r="F6983" s="5" t="s">
        <v>21</v>
      </c>
      <c r="G6983" s="5" t="s">
        <v>25</v>
      </c>
      <c r="H6983" s="5" t="s">
        <v>29</v>
      </c>
      <c r="I6983" s="5" t="s">
        <v>31</v>
      </c>
      <c r="J6983" s="5">
        <v>17.096498499999999</v>
      </c>
      <c r="K6983" s="5">
        <v>-97.496924500000006</v>
      </c>
      <c r="L6983" s="5" t="str">
        <f>HYPERLINK("https://maps.google.com/?q=17.0964985,-97.496924500000006", "🔗 Ver Mapa")</f>
        <v>🔗 Ver Mapa</v>
      </c>
    </row>
    <row r="6984" spans="1:12" ht="43.5" x14ac:dyDescent="0.35">
      <c r="A6984" s="6" t="s">
        <v>98</v>
      </c>
      <c r="B6984" s="6" t="s">
        <v>99</v>
      </c>
      <c r="C6984" s="6" t="s">
        <v>1346</v>
      </c>
      <c r="D6984" s="6" t="s">
        <v>14</v>
      </c>
      <c r="E6984" s="6" t="s">
        <v>16</v>
      </c>
      <c r="F6984" s="6" t="s">
        <v>21</v>
      </c>
      <c r="G6984" s="6" t="s">
        <v>25</v>
      </c>
      <c r="H6984" s="6" t="s">
        <v>29</v>
      </c>
      <c r="I6984" s="6" t="s">
        <v>31</v>
      </c>
      <c r="J6984" s="6">
        <v>17.097063800000001</v>
      </c>
      <c r="K6984" s="6">
        <v>-97.493368899999993</v>
      </c>
      <c r="L6984" s="6" t="str">
        <f>HYPERLINK("https://maps.google.com/?q=17.0970638,-97.493368899999993", "🔗 Ver Mapa")</f>
        <v>🔗 Ver Mapa</v>
      </c>
    </row>
    <row r="6985" spans="1:12" ht="43.5" x14ac:dyDescent="0.35">
      <c r="A6985" s="5" t="s">
        <v>98</v>
      </c>
      <c r="B6985" s="5" t="s">
        <v>99</v>
      </c>
      <c r="C6985" s="5" t="s">
        <v>1346</v>
      </c>
      <c r="D6985" s="5" t="s">
        <v>14</v>
      </c>
      <c r="E6985" s="5" t="s">
        <v>16</v>
      </c>
      <c r="F6985" s="5" t="s">
        <v>21</v>
      </c>
      <c r="G6985" s="5" t="s">
        <v>25</v>
      </c>
      <c r="H6985" s="5" t="s">
        <v>29</v>
      </c>
      <c r="I6985" s="5" t="s">
        <v>31</v>
      </c>
      <c r="J6985" s="5">
        <v>17.097155000000001</v>
      </c>
      <c r="K6985" s="5">
        <v>-97.495678999999996</v>
      </c>
      <c r="L6985" s="5" t="str">
        <f>HYPERLINK("https://maps.google.com/?q=17.097155,-97.495678999999996", "🔗 Ver Mapa")</f>
        <v>🔗 Ver Mapa</v>
      </c>
    </row>
    <row r="6986" spans="1:12" ht="43.5" x14ac:dyDescent="0.35">
      <c r="A6986" s="6" t="s">
        <v>98</v>
      </c>
      <c r="B6986" s="6" t="s">
        <v>99</v>
      </c>
      <c r="C6986" s="6" t="s">
        <v>1346</v>
      </c>
      <c r="D6986" s="6" t="s">
        <v>14</v>
      </c>
      <c r="E6986" s="6" t="s">
        <v>16</v>
      </c>
      <c r="F6986" s="6" t="s">
        <v>21</v>
      </c>
      <c r="G6986" s="6" t="s">
        <v>25</v>
      </c>
      <c r="H6986" s="6" t="s">
        <v>29</v>
      </c>
      <c r="I6986" s="6" t="s">
        <v>31</v>
      </c>
      <c r="J6986" s="6">
        <v>17.097357299999999</v>
      </c>
      <c r="K6986" s="6">
        <v>-97.492647399999996</v>
      </c>
      <c r="L6986" s="6" t="str">
        <f>HYPERLINK("https://maps.google.com/?q=17.0973573,-97.492647399999996", "🔗 Ver Mapa")</f>
        <v>🔗 Ver Mapa</v>
      </c>
    </row>
    <row r="6987" spans="1:12" ht="43.5" x14ac:dyDescent="0.35">
      <c r="A6987" s="5" t="s">
        <v>98</v>
      </c>
      <c r="B6987" s="5" t="s">
        <v>99</v>
      </c>
      <c r="C6987" s="5" t="s">
        <v>1346</v>
      </c>
      <c r="D6987" s="5" t="s">
        <v>14</v>
      </c>
      <c r="E6987" s="5" t="s">
        <v>16</v>
      </c>
      <c r="F6987" s="5" t="s">
        <v>21</v>
      </c>
      <c r="G6987" s="5" t="s">
        <v>25</v>
      </c>
      <c r="H6987" s="5" t="s">
        <v>29</v>
      </c>
      <c r="I6987" s="5" t="s">
        <v>31</v>
      </c>
      <c r="J6987" s="5">
        <v>17.097735700000001</v>
      </c>
      <c r="K6987" s="5">
        <v>-97.492063999999999</v>
      </c>
      <c r="L6987" s="5" t="str">
        <f>HYPERLINK("https://maps.google.com/?q=17.0977357,-97.492063999999999", "🔗 Ver Mapa")</f>
        <v>🔗 Ver Mapa</v>
      </c>
    </row>
    <row r="6988" spans="1:12" ht="43.5" x14ac:dyDescent="0.35">
      <c r="A6988" s="6" t="s">
        <v>98</v>
      </c>
      <c r="B6988" s="6" t="s">
        <v>99</v>
      </c>
      <c r="C6988" s="6" t="s">
        <v>1347</v>
      </c>
      <c r="D6988" s="6" t="s">
        <v>14</v>
      </c>
      <c r="E6988" s="6" t="s">
        <v>16</v>
      </c>
      <c r="F6988" s="6" t="s">
        <v>19</v>
      </c>
      <c r="G6988" s="6" t="s">
        <v>1348</v>
      </c>
      <c r="H6988" s="6" t="s">
        <v>1349</v>
      </c>
      <c r="I6988" s="6" t="s">
        <v>31</v>
      </c>
      <c r="J6988" s="6">
        <v>17.035242978677001</v>
      </c>
      <c r="K6988" s="6">
        <v>-97.291743294208999</v>
      </c>
      <c r="L6988" s="6" t="str">
        <f>HYPERLINK("https://maps.google.com/?q=17.0352429786772,-97.291743294208899", "🔗 Ver Mapa")</f>
        <v>🔗 Ver Mapa</v>
      </c>
    </row>
    <row r="6989" spans="1:12" ht="43.5" x14ac:dyDescent="0.35">
      <c r="A6989" s="5" t="s">
        <v>98</v>
      </c>
      <c r="B6989" s="5" t="s">
        <v>99</v>
      </c>
      <c r="C6989" s="5" t="s">
        <v>1347</v>
      </c>
      <c r="D6989" s="5" t="s">
        <v>14</v>
      </c>
      <c r="E6989" s="5" t="s">
        <v>16</v>
      </c>
      <c r="F6989" s="5" t="s">
        <v>19</v>
      </c>
      <c r="G6989" s="5" t="s">
        <v>1348</v>
      </c>
      <c r="H6989" s="5" t="s">
        <v>1349</v>
      </c>
      <c r="I6989" s="5" t="s">
        <v>31</v>
      </c>
      <c r="J6989" s="5">
        <v>17.035390968447999</v>
      </c>
      <c r="K6989" s="5">
        <v>-97.293813542391007</v>
      </c>
      <c r="L6989" s="5" t="str">
        <f>HYPERLINK("https://maps.google.com/?q=17.0353909684484,-97.293813542391305", "🔗 Ver Mapa")</f>
        <v>🔗 Ver Mapa</v>
      </c>
    </row>
    <row r="6990" spans="1:12" ht="43.5" x14ac:dyDescent="0.35">
      <c r="A6990" s="6" t="s">
        <v>98</v>
      </c>
      <c r="B6990" s="6" t="s">
        <v>99</v>
      </c>
      <c r="C6990" s="6" t="s">
        <v>1347</v>
      </c>
      <c r="D6990" s="6" t="s">
        <v>14</v>
      </c>
      <c r="E6990" s="6" t="s">
        <v>16</v>
      </c>
      <c r="F6990" s="6" t="s">
        <v>19</v>
      </c>
      <c r="G6990" s="6" t="s">
        <v>1348</v>
      </c>
      <c r="H6990" s="6" t="s">
        <v>1349</v>
      </c>
      <c r="I6990" s="6" t="s">
        <v>31</v>
      </c>
      <c r="J6990" s="6">
        <v>17.035402306203</v>
      </c>
      <c r="K6990" s="6">
        <v>-97.299352713266003</v>
      </c>
      <c r="L6990" s="6" t="str">
        <f>HYPERLINK("https://maps.google.com/?q=17.0354023062032,-97.299352713265804", "🔗 Ver Mapa")</f>
        <v>🔗 Ver Mapa</v>
      </c>
    </row>
    <row r="6991" spans="1:12" ht="43.5" x14ac:dyDescent="0.35">
      <c r="A6991" s="5" t="s">
        <v>98</v>
      </c>
      <c r="B6991" s="5" t="s">
        <v>99</v>
      </c>
      <c r="C6991" s="5" t="s">
        <v>1347</v>
      </c>
      <c r="D6991" s="5" t="s">
        <v>14</v>
      </c>
      <c r="E6991" s="5" t="s">
        <v>16</v>
      </c>
      <c r="F6991" s="5" t="s">
        <v>19</v>
      </c>
      <c r="G6991" s="5" t="s">
        <v>1348</v>
      </c>
      <c r="H6991" s="5" t="s">
        <v>1349</v>
      </c>
      <c r="I6991" s="5" t="s">
        <v>31</v>
      </c>
      <c r="J6991" s="5">
        <v>17.035527597432999</v>
      </c>
      <c r="K6991" s="5">
        <v>-97.297972613549007</v>
      </c>
      <c r="L6991" s="5" t="str">
        <f>HYPERLINK("https://maps.google.com/?q=17.0355275974329,-97.297972613549305", "🔗 Ver Mapa")</f>
        <v>🔗 Ver Mapa</v>
      </c>
    </row>
    <row r="6992" spans="1:12" ht="43.5" x14ac:dyDescent="0.35">
      <c r="A6992" s="6" t="s">
        <v>98</v>
      </c>
      <c r="B6992" s="6" t="s">
        <v>99</v>
      </c>
      <c r="C6992" s="6" t="s">
        <v>1347</v>
      </c>
      <c r="D6992" s="6" t="s">
        <v>14</v>
      </c>
      <c r="E6992" s="6" t="s">
        <v>16</v>
      </c>
      <c r="F6992" s="6" t="s">
        <v>19</v>
      </c>
      <c r="G6992" s="6" t="s">
        <v>1348</v>
      </c>
      <c r="H6992" s="6" t="s">
        <v>1349</v>
      </c>
      <c r="I6992" s="6" t="s">
        <v>31</v>
      </c>
      <c r="J6992" s="6">
        <v>17.036253630737001</v>
      </c>
      <c r="K6992" s="6">
        <v>-97.293298585322006</v>
      </c>
      <c r="L6992" s="6" t="str">
        <f>HYPERLINK("https://maps.google.com/?q=17.036253630737,-97.293298585322404", "🔗 Ver Mapa")</f>
        <v>🔗 Ver Mapa</v>
      </c>
    </row>
    <row r="6993" spans="1:12" ht="43.5" x14ac:dyDescent="0.35">
      <c r="A6993" s="5" t="s">
        <v>98</v>
      </c>
      <c r="B6993" s="5" t="s">
        <v>99</v>
      </c>
      <c r="C6993" s="5" t="s">
        <v>1347</v>
      </c>
      <c r="D6993" s="5" t="s">
        <v>14</v>
      </c>
      <c r="E6993" s="5" t="s">
        <v>16</v>
      </c>
      <c r="F6993" s="5" t="s">
        <v>19</v>
      </c>
      <c r="G6993" s="5" t="s">
        <v>1348</v>
      </c>
      <c r="H6993" s="5" t="s">
        <v>1349</v>
      </c>
      <c r="I6993" s="5" t="s">
        <v>31</v>
      </c>
      <c r="J6993" s="5">
        <v>17.036355988654002</v>
      </c>
      <c r="K6993" s="5">
        <v>-97.301356842036995</v>
      </c>
      <c r="L6993" s="5" t="str">
        <f>HYPERLINK("https://maps.google.com/?q=17.036355988654,-97.301356842037094", "🔗 Ver Mapa")</f>
        <v>🔗 Ver Mapa</v>
      </c>
    </row>
    <row r="6994" spans="1:12" ht="43.5" x14ac:dyDescent="0.35">
      <c r="A6994" s="6" t="s">
        <v>98</v>
      </c>
      <c r="B6994" s="6" t="s">
        <v>99</v>
      </c>
      <c r="C6994" s="6" t="s">
        <v>1347</v>
      </c>
      <c r="D6994" s="6" t="s">
        <v>14</v>
      </c>
      <c r="E6994" s="6" t="s">
        <v>16</v>
      </c>
      <c r="F6994" s="6" t="s">
        <v>19</v>
      </c>
      <c r="G6994" s="6" t="s">
        <v>1348</v>
      </c>
      <c r="H6994" s="6" t="s">
        <v>1349</v>
      </c>
      <c r="I6994" s="6" t="s">
        <v>31</v>
      </c>
      <c r="J6994" s="6">
        <v>17.036356068679002</v>
      </c>
      <c r="K6994" s="6">
        <v>-97.298782458711003</v>
      </c>
      <c r="L6994" s="6" t="str">
        <f>HYPERLINK("https://maps.google.com/?q=17.0363560686789,-97.298782458711202", "🔗 Ver Mapa")</f>
        <v>🔗 Ver Mapa</v>
      </c>
    </row>
    <row r="6995" spans="1:12" ht="43.5" x14ac:dyDescent="0.35">
      <c r="A6995" s="5" t="s">
        <v>98</v>
      </c>
      <c r="B6995" s="5" t="s">
        <v>99</v>
      </c>
      <c r="C6995" s="5" t="s">
        <v>1347</v>
      </c>
      <c r="D6995" s="5" t="s">
        <v>14</v>
      </c>
      <c r="E6995" s="5" t="s">
        <v>16</v>
      </c>
      <c r="F6995" s="5" t="s">
        <v>19</v>
      </c>
      <c r="G6995" s="5" t="s">
        <v>1348</v>
      </c>
      <c r="H6995" s="5" t="s">
        <v>1349</v>
      </c>
      <c r="I6995" s="5" t="s">
        <v>31</v>
      </c>
      <c r="J6995" s="5">
        <v>17.036638402781001</v>
      </c>
      <c r="K6995" s="5">
        <v>-97.299281299449007</v>
      </c>
      <c r="L6995" s="5" t="str">
        <f>HYPERLINK("https://maps.google.com/?q=17.0366384027812,-97.299281299449206", "🔗 Ver Mapa")</f>
        <v>🔗 Ver Mapa</v>
      </c>
    </row>
    <row r="6996" spans="1:12" ht="43.5" x14ac:dyDescent="0.35">
      <c r="A6996" s="6" t="s">
        <v>98</v>
      </c>
      <c r="B6996" s="6" t="s">
        <v>99</v>
      </c>
      <c r="C6996" s="6" t="s">
        <v>1347</v>
      </c>
      <c r="D6996" s="6" t="s">
        <v>14</v>
      </c>
      <c r="E6996" s="6" t="s">
        <v>16</v>
      </c>
      <c r="F6996" s="6" t="s">
        <v>19</v>
      </c>
      <c r="G6996" s="6" t="s">
        <v>1348</v>
      </c>
      <c r="H6996" s="6" t="s">
        <v>1349</v>
      </c>
      <c r="I6996" s="6" t="s">
        <v>31</v>
      </c>
      <c r="J6996" s="6">
        <v>17.036826625338001</v>
      </c>
      <c r="K6996" s="6">
        <v>-97.304612996939994</v>
      </c>
      <c r="L6996" s="6" t="str">
        <f>HYPERLINK("https://maps.google.com/?q=17.0368266253381,-97.304612996939795", "🔗 Ver Mapa")</f>
        <v>🔗 Ver Mapa</v>
      </c>
    </row>
    <row r="6997" spans="1:12" ht="43.5" x14ac:dyDescent="0.35">
      <c r="A6997" s="5" t="s">
        <v>98</v>
      </c>
      <c r="B6997" s="5" t="s">
        <v>99</v>
      </c>
      <c r="C6997" s="5" t="s">
        <v>1347</v>
      </c>
      <c r="D6997" s="5" t="s">
        <v>14</v>
      </c>
      <c r="E6997" s="5" t="s">
        <v>16</v>
      </c>
      <c r="F6997" s="5" t="s">
        <v>19</v>
      </c>
      <c r="G6997" s="5" t="s">
        <v>1348</v>
      </c>
      <c r="H6997" s="5" t="s">
        <v>1349</v>
      </c>
      <c r="I6997" s="5" t="s">
        <v>31</v>
      </c>
      <c r="J6997" s="5">
        <v>17.036846673317001</v>
      </c>
      <c r="K6997" s="5">
        <v>-97.292479170465995</v>
      </c>
      <c r="L6997" s="5" t="str">
        <f>HYPERLINK("https://maps.google.com/?q=17.0368466733171,-97.292479170465896", "🔗 Ver Mapa")</f>
        <v>🔗 Ver Mapa</v>
      </c>
    </row>
    <row r="6998" spans="1:12" ht="43.5" x14ac:dyDescent="0.35">
      <c r="A6998" s="6" t="s">
        <v>98</v>
      </c>
      <c r="B6998" s="6" t="s">
        <v>99</v>
      </c>
      <c r="C6998" s="6" t="s">
        <v>1347</v>
      </c>
      <c r="D6998" s="6" t="s">
        <v>14</v>
      </c>
      <c r="E6998" s="6" t="s">
        <v>16</v>
      </c>
      <c r="F6998" s="6" t="s">
        <v>19</v>
      </c>
      <c r="G6998" s="6" t="s">
        <v>1348</v>
      </c>
      <c r="H6998" s="6" t="s">
        <v>1349</v>
      </c>
      <c r="I6998" s="6" t="s">
        <v>31</v>
      </c>
      <c r="J6998" s="6">
        <v>17.037566429251001</v>
      </c>
      <c r="K6998" s="6">
        <v>-97.296652206703001</v>
      </c>
      <c r="L6998" s="6" t="str">
        <f>HYPERLINK("https://maps.google.com/?q=17.0375664292511,-97.296652206702703", "🔗 Ver Mapa")</f>
        <v>🔗 Ver Mapa</v>
      </c>
    </row>
    <row r="6999" spans="1:12" ht="43.5" x14ac:dyDescent="0.35">
      <c r="A6999" s="5" t="s">
        <v>98</v>
      </c>
      <c r="B6999" s="5" t="s">
        <v>99</v>
      </c>
      <c r="C6999" s="5" t="s">
        <v>1347</v>
      </c>
      <c r="D6999" s="5" t="s">
        <v>14</v>
      </c>
      <c r="E6999" s="5" t="s">
        <v>16</v>
      </c>
      <c r="F6999" s="5" t="s">
        <v>19</v>
      </c>
      <c r="G6999" s="5" t="s">
        <v>1348</v>
      </c>
      <c r="H6999" s="5" t="s">
        <v>1349</v>
      </c>
      <c r="I6999" s="5" t="s">
        <v>31</v>
      </c>
      <c r="J6999" s="5">
        <v>17.037668617681</v>
      </c>
      <c r="K6999" s="5">
        <v>-97.295377766710004</v>
      </c>
      <c r="L6999" s="5" t="str">
        <f>HYPERLINK("https://maps.google.com/?q=17.0376686176809,-97.295377766709905", "🔗 Ver Mapa")</f>
        <v>🔗 Ver Mapa</v>
      </c>
    </row>
    <row r="7000" spans="1:12" ht="43.5" x14ac:dyDescent="0.35">
      <c r="A7000" s="6" t="s">
        <v>98</v>
      </c>
      <c r="B7000" s="6" t="s">
        <v>99</v>
      </c>
      <c r="C7000" s="6" t="s">
        <v>1347</v>
      </c>
      <c r="D7000" s="6" t="s">
        <v>14</v>
      </c>
      <c r="E7000" s="6" t="s">
        <v>16</v>
      </c>
      <c r="F7000" s="6" t="s">
        <v>19</v>
      </c>
      <c r="G7000" s="6" t="s">
        <v>1348</v>
      </c>
      <c r="H7000" s="6" t="s">
        <v>1349</v>
      </c>
      <c r="I7000" s="6" t="s">
        <v>31</v>
      </c>
      <c r="J7000" s="6">
        <v>17.037736755912</v>
      </c>
      <c r="K7000" s="6">
        <v>-97.304414485245999</v>
      </c>
      <c r="L7000" s="6" t="str">
        <f>HYPERLINK("https://maps.google.com/?q=17.0377367559118,-97.304414485245601", "🔗 Ver Mapa")</f>
        <v>🔗 Ver Mapa</v>
      </c>
    </row>
    <row r="7001" spans="1:12" ht="43.5" x14ac:dyDescent="0.35">
      <c r="A7001" s="5" t="s">
        <v>98</v>
      </c>
      <c r="B7001" s="5" t="s">
        <v>99</v>
      </c>
      <c r="C7001" s="5" t="s">
        <v>1347</v>
      </c>
      <c r="D7001" s="5" t="s">
        <v>14</v>
      </c>
      <c r="E7001" s="5" t="s">
        <v>16</v>
      </c>
      <c r="F7001" s="5" t="s">
        <v>19</v>
      </c>
      <c r="G7001" s="5" t="s">
        <v>1348</v>
      </c>
      <c r="H7001" s="5" t="s">
        <v>1349</v>
      </c>
      <c r="I7001" s="5" t="s">
        <v>31</v>
      </c>
      <c r="J7001" s="5">
        <v>17.03782825731</v>
      </c>
      <c r="K7001" s="5">
        <v>-97.292823633175999</v>
      </c>
      <c r="L7001" s="5" t="str">
        <f>HYPERLINK("https://maps.google.com/?q=17.0378282573099,-97.2928236331759", "🔗 Ver Mapa")</f>
        <v>🔗 Ver Mapa</v>
      </c>
    </row>
    <row r="7002" spans="1:12" ht="43.5" x14ac:dyDescent="0.35">
      <c r="A7002" s="6" t="s">
        <v>98</v>
      </c>
      <c r="B7002" s="6" t="s">
        <v>99</v>
      </c>
      <c r="C7002" s="6" t="s">
        <v>1347</v>
      </c>
      <c r="D7002" s="6" t="s">
        <v>14</v>
      </c>
      <c r="E7002" s="6" t="s">
        <v>16</v>
      </c>
      <c r="F7002" s="6" t="s">
        <v>19</v>
      </c>
      <c r="G7002" s="6" t="s">
        <v>1348</v>
      </c>
      <c r="H7002" s="6" t="s">
        <v>1349</v>
      </c>
      <c r="I7002" s="6" t="s">
        <v>31</v>
      </c>
      <c r="J7002" s="6">
        <v>17.037883139950999</v>
      </c>
      <c r="K7002" s="6">
        <v>-97.292640493125006</v>
      </c>
      <c r="L7002" s="6" t="str">
        <f>HYPERLINK("https://maps.google.com/?q=17.0378831399511,-97.292640493125305", "🔗 Ver Mapa")</f>
        <v>🔗 Ver Mapa</v>
      </c>
    </row>
    <row r="7003" spans="1:12" ht="43.5" x14ac:dyDescent="0.35">
      <c r="A7003" s="5" t="s">
        <v>98</v>
      </c>
      <c r="B7003" s="5" t="s">
        <v>99</v>
      </c>
      <c r="C7003" s="5" t="s">
        <v>1347</v>
      </c>
      <c r="D7003" s="5" t="s">
        <v>14</v>
      </c>
      <c r="E7003" s="5" t="s">
        <v>16</v>
      </c>
      <c r="F7003" s="5" t="s">
        <v>19</v>
      </c>
      <c r="G7003" s="5" t="s">
        <v>1348</v>
      </c>
      <c r="H7003" s="5" t="s">
        <v>1349</v>
      </c>
      <c r="I7003" s="5" t="s">
        <v>31</v>
      </c>
      <c r="J7003" s="5">
        <v>17.038013919606001</v>
      </c>
      <c r="K7003" s="5">
        <v>-97.296273580355006</v>
      </c>
      <c r="L7003" s="5" t="str">
        <f>HYPERLINK("https://maps.google.com/?q=17.0380139196057,-97.296273580354907", "🔗 Ver Mapa")</f>
        <v>🔗 Ver Mapa</v>
      </c>
    </row>
    <row r="7004" spans="1:12" ht="43.5" x14ac:dyDescent="0.35">
      <c r="A7004" s="6" t="s">
        <v>98</v>
      </c>
      <c r="B7004" s="6" t="s">
        <v>99</v>
      </c>
      <c r="C7004" s="6" t="s">
        <v>1347</v>
      </c>
      <c r="D7004" s="6" t="s">
        <v>14</v>
      </c>
      <c r="E7004" s="6" t="s">
        <v>16</v>
      </c>
      <c r="F7004" s="6" t="s">
        <v>19</v>
      </c>
      <c r="G7004" s="6" t="s">
        <v>1348</v>
      </c>
      <c r="H7004" s="6" t="s">
        <v>1349</v>
      </c>
      <c r="I7004" s="6" t="s">
        <v>31</v>
      </c>
      <c r="J7004" s="6">
        <v>17.038067734550001</v>
      </c>
      <c r="K7004" s="6">
        <v>-97.297291046625006</v>
      </c>
      <c r="L7004" s="6" t="str">
        <f>HYPERLINK("https://maps.google.com/?q=17.0380677345498,-97.297291046625304", "🔗 Ver Mapa")</f>
        <v>🔗 Ver Mapa</v>
      </c>
    </row>
    <row r="7005" spans="1:12" ht="43.5" x14ac:dyDescent="0.35">
      <c r="A7005" s="5" t="s">
        <v>98</v>
      </c>
      <c r="B7005" s="5" t="s">
        <v>99</v>
      </c>
      <c r="C7005" s="5" t="s">
        <v>1347</v>
      </c>
      <c r="D7005" s="5" t="s">
        <v>14</v>
      </c>
      <c r="E7005" s="5" t="s">
        <v>16</v>
      </c>
      <c r="F7005" s="5" t="s">
        <v>19</v>
      </c>
      <c r="G7005" s="5" t="s">
        <v>1348</v>
      </c>
      <c r="H7005" s="5" t="s">
        <v>1349</v>
      </c>
      <c r="I7005" s="5" t="s">
        <v>31</v>
      </c>
      <c r="J7005" s="5">
        <v>17.038384557676999</v>
      </c>
      <c r="K7005" s="5">
        <v>-97.304416322052006</v>
      </c>
      <c r="L7005" s="5" t="str">
        <f>HYPERLINK("https://maps.google.com/?q=17.0383845576769,-97.304416322052106", "🔗 Ver Mapa")</f>
        <v>🔗 Ver Mapa</v>
      </c>
    </row>
    <row r="7006" spans="1:12" ht="43.5" x14ac:dyDescent="0.35">
      <c r="A7006" s="6" t="s">
        <v>98</v>
      </c>
      <c r="B7006" s="6" t="s">
        <v>99</v>
      </c>
      <c r="C7006" s="6" t="s">
        <v>1347</v>
      </c>
      <c r="D7006" s="6" t="s">
        <v>14</v>
      </c>
      <c r="E7006" s="6" t="s">
        <v>16</v>
      </c>
      <c r="F7006" s="6" t="s">
        <v>19</v>
      </c>
      <c r="G7006" s="6" t="s">
        <v>1348</v>
      </c>
      <c r="H7006" s="6" t="s">
        <v>1349</v>
      </c>
      <c r="I7006" s="6" t="s">
        <v>31</v>
      </c>
      <c r="J7006" s="6">
        <v>17.038558742224001</v>
      </c>
      <c r="K7006" s="6">
        <v>-97.304166012620996</v>
      </c>
      <c r="L7006" s="6" t="str">
        <f>HYPERLINK("https://maps.google.com/?q=17.0385587422241,-97.304166012620797", "🔗 Ver Mapa")</f>
        <v>🔗 Ver Mapa</v>
      </c>
    </row>
    <row r="7007" spans="1:12" ht="43.5" x14ac:dyDescent="0.35">
      <c r="A7007" s="5" t="s">
        <v>98</v>
      </c>
      <c r="B7007" s="5" t="s">
        <v>99</v>
      </c>
      <c r="C7007" s="5" t="s">
        <v>1347</v>
      </c>
      <c r="D7007" s="5" t="s">
        <v>14</v>
      </c>
      <c r="E7007" s="5" t="s">
        <v>16</v>
      </c>
      <c r="F7007" s="5" t="s">
        <v>19</v>
      </c>
      <c r="G7007" s="5" t="s">
        <v>1348</v>
      </c>
      <c r="H7007" s="5" t="s">
        <v>1349</v>
      </c>
      <c r="I7007" s="5" t="s">
        <v>31</v>
      </c>
      <c r="J7007" s="5">
        <v>17.038845961989999</v>
      </c>
      <c r="K7007" s="5">
        <v>-97.294753586105003</v>
      </c>
      <c r="L7007" s="5" t="str">
        <f>HYPERLINK("https://maps.google.com/?q=17.0388459619904,-97.294753586104804", "🔗 Ver Mapa")</f>
        <v>🔗 Ver Mapa</v>
      </c>
    </row>
    <row r="7008" spans="1:12" ht="43.5" x14ac:dyDescent="0.35">
      <c r="A7008" s="6" t="s">
        <v>98</v>
      </c>
      <c r="B7008" s="6" t="s">
        <v>99</v>
      </c>
      <c r="C7008" s="6" t="s">
        <v>1347</v>
      </c>
      <c r="D7008" s="6" t="s">
        <v>14</v>
      </c>
      <c r="E7008" s="6" t="s">
        <v>16</v>
      </c>
      <c r="F7008" s="6" t="s">
        <v>19</v>
      </c>
      <c r="G7008" s="6" t="s">
        <v>1348</v>
      </c>
      <c r="H7008" s="6" t="s">
        <v>1349</v>
      </c>
      <c r="I7008" s="6" t="s">
        <v>31</v>
      </c>
      <c r="J7008" s="6">
        <v>17.039154402449</v>
      </c>
      <c r="K7008" s="6">
        <v>-97.293136312483</v>
      </c>
      <c r="L7008" s="6" t="str">
        <f>HYPERLINK("https://maps.google.com/?q=17.0391544024486,-97.293136312483298", "🔗 Ver Mapa")</f>
        <v>🔗 Ver Mapa</v>
      </c>
    </row>
    <row r="7009" spans="1:12" ht="43.5" x14ac:dyDescent="0.35">
      <c r="A7009" s="5" t="s">
        <v>98</v>
      </c>
      <c r="B7009" s="5" t="s">
        <v>99</v>
      </c>
      <c r="C7009" s="5" t="s">
        <v>1347</v>
      </c>
      <c r="D7009" s="5" t="s">
        <v>14</v>
      </c>
      <c r="E7009" s="5" t="s">
        <v>16</v>
      </c>
      <c r="F7009" s="5" t="s">
        <v>19</v>
      </c>
      <c r="G7009" s="5" t="s">
        <v>1348</v>
      </c>
      <c r="H7009" s="5" t="s">
        <v>1349</v>
      </c>
      <c r="I7009" s="5" t="s">
        <v>31</v>
      </c>
      <c r="J7009" s="5">
        <v>17.039156412234</v>
      </c>
      <c r="K7009" s="5">
        <v>-97.299379583697998</v>
      </c>
      <c r="L7009" s="5" t="str">
        <f>HYPERLINK("https://maps.google.com/?q=17.0391564122339,-97.299379583697998", "🔗 Ver Mapa")</f>
        <v>🔗 Ver Mapa</v>
      </c>
    </row>
    <row r="7010" spans="1:12" ht="43.5" x14ac:dyDescent="0.35">
      <c r="A7010" s="6" t="s">
        <v>98</v>
      </c>
      <c r="B7010" s="6" t="s">
        <v>99</v>
      </c>
      <c r="C7010" s="6" t="s">
        <v>1347</v>
      </c>
      <c r="D7010" s="6" t="s">
        <v>14</v>
      </c>
      <c r="E7010" s="6" t="s">
        <v>16</v>
      </c>
      <c r="F7010" s="6" t="s">
        <v>19</v>
      </c>
      <c r="G7010" s="6" t="s">
        <v>1348</v>
      </c>
      <c r="H7010" s="6" t="s">
        <v>1349</v>
      </c>
      <c r="I7010" s="6" t="s">
        <v>31</v>
      </c>
      <c r="J7010" s="6">
        <v>17.039226997853</v>
      </c>
      <c r="K7010" s="6">
        <v>-97.304481104825001</v>
      </c>
      <c r="L7010" s="6" t="str">
        <f>HYPERLINK("https://maps.google.com/?q=17.0392269978532,-97.3044811048253", "🔗 Ver Mapa")</f>
        <v>🔗 Ver Mapa</v>
      </c>
    </row>
    <row r="7011" spans="1:12" ht="43.5" x14ac:dyDescent="0.35">
      <c r="A7011" s="5" t="s">
        <v>98</v>
      </c>
      <c r="B7011" s="5" t="s">
        <v>99</v>
      </c>
      <c r="C7011" s="5" t="s">
        <v>1347</v>
      </c>
      <c r="D7011" s="5" t="s">
        <v>14</v>
      </c>
      <c r="E7011" s="5" t="s">
        <v>16</v>
      </c>
      <c r="F7011" s="5" t="s">
        <v>19</v>
      </c>
      <c r="G7011" s="5" t="s">
        <v>1348</v>
      </c>
      <c r="H7011" s="5" t="s">
        <v>1349</v>
      </c>
      <c r="I7011" s="5" t="s">
        <v>31</v>
      </c>
      <c r="J7011" s="5">
        <v>17.039348346579999</v>
      </c>
      <c r="K7011" s="5">
        <v>-97.298977473853995</v>
      </c>
      <c r="L7011" s="5" t="str">
        <f>HYPERLINK("https://maps.google.com/?q=17.0393483465803,-97.298977473854407", "🔗 Ver Mapa")</f>
        <v>🔗 Ver Mapa</v>
      </c>
    </row>
    <row r="7012" spans="1:12" ht="43.5" x14ac:dyDescent="0.35">
      <c r="A7012" s="6" t="s">
        <v>98</v>
      </c>
      <c r="B7012" s="6" t="s">
        <v>99</v>
      </c>
      <c r="C7012" s="6" t="s">
        <v>1347</v>
      </c>
      <c r="D7012" s="6" t="s">
        <v>14</v>
      </c>
      <c r="E7012" s="6" t="s">
        <v>16</v>
      </c>
      <c r="F7012" s="6" t="s">
        <v>19</v>
      </c>
      <c r="G7012" s="6" t="s">
        <v>1348</v>
      </c>
      <c r="H7012" s="6" t="s">
        <v>1349</v>
      </c>
      <c r="I7012" s="6" t="s">
        <v>31</v>
      </c>
      <c r="J7012" s="6">
        <v>17.039726794168999</v>
      </c>
      <c r="K7012" s="6">
        <v>-97.306248522212002</v>
      </c>
      <c r="L7012" s="6" t="str">
        <f>HYPERLINK("https://maps.google.com/?q=17.0397267941689,-97.306248522211803", "🔗 Ver Mapa")</f>
        <v>🔗 Ver Mapa</v>
      </c>
    </row>
    <row r="7013" spans="1:12" ht="43.5" x14ac:dyDescent="0.35">
      <c r="A7013" s="5" t="s">
        <v>98</v>
      </c>
      <c r="B7013" s="5" t="s">
        <v>99</v>
      </c>
      <c r="C7013" s="5" t="s">
        <v>1347</v>
      </c>
      <c r="D7013" s="5" t="s">
        <v>14</v>
      </c>
      <c r="E7013" s="5" t="s">
        <v>16</v>
      </c>
      <c r="F7013" s="5" t="s">
        <v>19</v>
      </c>
      <c r="G7013" s="5" t="s">
        <v>1348</v>
      </c>
      <c r="H7013" s="5" t="s">
        <v>1349</v>
      </c>
      <c r="I7013" s="5" t="s">
        <v>31</v>
      </c>
      <c r="J7013" s="5">
        <v>17.039917156999</v>
      </c>
      <c r="K7013" s="5">
        <v>-97.304017267511995</v>
      </c>
      <c r="L7013" s="5" t="str">
        <f>HYPERLINK("https://maps.google.com/?q=17.0399171569986,-97.304017267512293", "🔗 Ver Mapa")</f>
        <v>🔗 Ver Mapa</v>
      </c>
    </row>
    <row r="7014" spans="1:12" ht="43.5" x14ac:dyDescent="0.35">
      <c r="A7014" s="6" t="s">
        <v>98</v>
      </c>
      <c r="B7014" s="6" t="s">
        <v>99</v>
      </c>
      <c r="C7014" s="6" t="s">
        <v>1347</v>
      </c>
      <c r="D7014" s="6" t="s">
        <v>14</v>
      </c>
      <c r="E7014" s="6" t="s">
        <v>16</v>
      </c>
      <c r="F7014" s="6" t="s">
        <v>19</v>
      </c>
      <c r="G7014" s="6" t="s">
        <v>1348</v>
      </c>
      <c r="H7014" s="6" t="s">
        <v>1349</v>
      </c>
      <c r="I7014" s="6" t="s">
        <v>31</v>
      </c>
      <c r="J7014" s="6">
        <v>17.040124630287998</v>
      </c>
      <c r="K7014" s="6">
        <v>-97.306215977443998</v>
      </c>
      <c r="L7014" s="6" t="str">
        <f>HYPERLINK("https://maps.google.com/?q=17.0401246302878,-97.306215977443799", "🔗 Ver Mapa")</f>
        <v>🔗 Ver Mapa</v>
      </c>
    </row>
    <row r="7015" spans="1:12" ht="43.5" x14ac:dyDescent="0.35">
      <c r="A7015" s="5" t="s">
        <v>98</v>
      </c>
      <c r="B7015" s="5" t="s">
        <v>99</v>
      </c>
      <c r="C7015" s="5" t="s">
        <v>1347</v>
      </c>
      <c r="D7015" s="5" t="s">
        <v>14</v>
      </c>
      <c r="E7015" s="5" t="s">
        <v>16</v>
      </c>
      <c r="F7015" s="5" t="s">
        <v>19</v>
      </c>
      <c r="G7015" s="5" t="s">
        <v>1348</v>
      </c>
      <c r="H7015" s="5" t="s">
        <v>1349</v>
      </c>
      <c r="I7015" s="5" t="s">
        <v>31</v>
      </c>
      <c r="J7015" s="5">
        <v>17.040147640941001</v>
      </c>
      <c r="K7015" s="5">
        <v>-97.306739524815001</v>
      </c>
      <c r="L7015" s="5" t="str">
        <f>HYPERLINK("https://maps.google.com/?q=17.0401476409409,-97.306739524814802", "🔗 Ver Mapa")</f>
        <v>🔗 Ver Mapa</v>
      </c>
    </row>
    <row r="7016" spans="1:12" ht="43.5" x14ac:dyDescent="0.35">
      <c r="A7016" s="6" t="s">
        <v>98</v>
      </c>
      <c r="B7016" s="6" t="s">
        <v>99</v>
      </c>
      <c r="C7016" s="6" t="s">
        <v>1347</v>
      </c>
      <c r="D7016" s="6" t="s">
        <v>14</v>
      </c>
      <c r="E7016" s="6" t="s">
        <v>16</v>
      </c>
      <c r="F7016" s="6" t="s">
        <v>19</v>
      </c>
      <c r="G7016" s="6" t="s">
        <v>1348</v>
      </c>
      <c r="H7016" s="6" t="s">
        <v>1349</v>
      </c>
      <c r="I7016" s="6" t="s">
        <v>31</v>
      </c>
      <c r="J7016" s="6">
        <v>17.040194717769999</v>
      </c>
      <c r="K7016" s="6">
        <v>-97.295242279760004</v>
      </c>
      <c r="L7016" s="6" t="str">
        <f>HYPERLINK("https://maps.google.com/?q=17.0401947177702,-97.295242279760302", "🔗 Ver Mapa")</f>
        <v>🔗 Ver Mapa</v>
      </c>
    </row>
    <row r="7017" spans="1:12" ht="43.5" x14ac:dyDescent="0.35">
      <c r="A7017" s="5" t="s">
        <v>98</v>
      </c>
      <c r="B7017" s="5" t="s">
        <v>99</v>
      </c>
      <c r="C7017" s="5" t="s">
        <v>1347</v>
      </c>
      <c r="D7017" s="5" t="s">
        <v>14</v>
      </c>
      <c r="E7017" s="5" t="s">
        <v>16</v>
      </c>
      <c r="F7017" s="5" t="s">
        <v>19</v>
      </c>
      <c r="G7017" s="5" t="s">
        <v>1348</v>
      </c>
      <c r="H7017" s="5" t="s">
        <v>1349</v>
      </c>
      <c r="I7017" s="5" t="s">
        <v>31</v>
      </c>
      <c r="J7017" s="5">
        <v>17.040748296023999</v>
      </c>
      <c r="K7017" s="5">
        <v>-97.306097471032999</v>
      </c>
      <c r="L7017" s="5" t="str">
        <f>HYPERLINK("https://maps.google.com/?q=17.0407482960242,-97.306097471033297", "🔗 Ver Mapa")</f>
        <v>🔗 Ver Mapa</v>
      </c>
    </row>
    <row r="7018" spans="1:12" ht="43.5" x14ac:dyDescent="0.35">
      <c r="A7018" s="6" t="s">
        <v>98</v>
      </c>
      <c r="B7018" s="6" t="s">
        <v>99</v>
      </c>
      <c r="C7018" s="6" t="s">
        <v>1347</v>
      </c>
      <c r="D7018" s="6" t="s">
        <v>14</v>
      </c>
      <c r="E7018" s="6" t="s">
        <v>16</v>
      </c>
      <c r="F7018" s="6" t="s">
        <v>19</v>
      </c>
      <c r="G7018" s="6" t="s">
        <v>1348</v>
      </c>
      <c r="H7018" s="6" t="s">
        <v>1349</v>
      </c>
      <c r="I7018" s="6" t="s">
        <v>31</v>
      </c>
      <c r="J7018" s="6">
        <v>17.041126101941</v>
      </c>
      <c r="K7018" s="6">
        <v>-97.305700241064002</v>
      </c>
      <c r="L7018" s="6" t="str">
        <f>HYPERLINK("https://maps.google.com/?q=17.0411261019414,-97.305700241063803", "🔗 Ver Mapa")</f>
        <v>🔗 Ver Mapa</v>
      </c>
    </row>
    <row r="7019" spans="1:12" ht="43.5" x14ac:dyDescent="0.35">
      <c r="A7019" s="5" t="s">
        <v>98</v>
      </c>
      <c r="B7019" s="5" t="s">
        <v>99</v>
      </c>
      <c r="C7019" s="5" t="s">
        <v>1347</v>
      </c>
      <c r="D7019" s="5" t="s">
        <v>14</v>
      </c>
      <c r="E7019" s="5" t="s">
        <v>16</v>
      </c>
      <c r="F7019" s="5" t="s">
        <v>19</v>
      </c>
      <c r="G7019" s="5" t="s">
        <v>1348</v>
      </c>
      <c r="H7019" s="5" t="s">
        <v>1349</v>
      </c>
      <c r="I7019" s="5" t="s">
        <v>31</v>
      </c>
      <c r="J7019" s="5">
        <v>17.041348218738001</v>
      </c>
      <c r="K7019" s="5">
        <v>-97.302228441043994</v>
      </c>
      <c r="L7019" s="5" t="str">
        <f>HYPERLINK("https://maps.google.com/?q=17.0413482187385,-97.302228441043894", "🔗 Ver Mapa")</f>
        <v>🔗 Ver Mapa</v>
      </c>
    </row>
    <row r="7020" spans="1:12" ht="43.5" x14ac:dyDescent="0.35">
      <c r="A7020" s="6" t="s">
        <v>98</v>
      </c>
      <c r="B7020" s="6" t="s">
        <v>99</v>
      </c>
      <c r="C7020" s="6" t="s">
        <v>1347</v>
      </c>
      <c r="D7020" s="6" t="s">
        <v>14</v>
      </c>
      <c r="E7020" s="6" t="s">
        <v>16</v>
      </c>
      <c r="F7020" s="6" t="s">
        <v>19</v>
      </c>
      <c r="G7020" s="6" t="s">
        <v>1348</v>
      </c>
      <c r="H7020" s="6" t="s">
        <v>1349</v>
      </c>
      <c r="I7020" s="6" t="s">
        <v>31</v>
      </c>
      <c r="J7020" s="6">
        <v>17.041369138040999</v>
      </c>
      <c r="K7020" s="6">
        <v>-97.298489255844999</v>
      </c>
      <c r="L7020" s="6" t="str">
        <f>HYPERLINK("https://maps.google.com/?q=17.0413691380412,-97.298489255845098", "🔗 Ver Mapa")</f>
        <v>🔗 Ver Mapa</v>
      </c>
    </row>
    <row r="7021" spans="1:12" ht="43.5" x14ac:dyDescent="0.35">
      <c r="A7021" s="5" t="s">
        <v>98</v>
      </c>
      <c r="B7021" s="5" t="s">
        <v>99</v>
      </c>
      <c r="C7021" s="5" t="s">
        <v>1347</v>
      </c>
      <c r="D7021" s="5" t="s">
        <v>14</v>
      </c>
      <c r="E7021" s="5" t="s">
        <v>16</v>
      </c>
      <c r="F7021" s="5" t="s">
        <v>19</v>
      </c>
      <c r="G7021" s="5" t="s">
        <v>1348</v>
      </c>
      <c r="H7021" s="5" t="s">
        <v>1349</v>
      </c>
      <c r="I7021" s="5" t="s">
        <v>31</v>
      </c>
      <c r="J7021" s="5">
        <v>17.041435785348</v>
      </c>
      <c r="K7021" s="5">
        <v>-97.296775984622002</v>
      </c>
      <c r="L7021" s="5" t="str">
        <f>HYPERLINK("https://maps.google.com/?q=17.0414357853483,-97.296775984622499", "🔗 Ver Mapa")</f>
        <v>🔗 Ver Mapa</v>
      </c>
    </row>
    <row r="7022" spans="1:12" ht="43.5" x14ac:dyDescent="0.35">
      <c r="A7022" s="6" t="s">
        <v>98</v>
      </c>
      <c r="B7022" s="6" t="s">
        <v>99</v>
      </c>
      <c r="C7022" s="6" t="s">
        <v>1347</v>
      </c>
      <c r="D7022" s="6" t="s">
        <v>14</v>
      </c>
      <c r="E7022" s="6" t="s">
        <v>16</v>
      </c>
      <c r="F7022" s="6" t="s">
        <v>19</v>
      </c>
      <c r="G7022" s="6" t="s">
        <v>1348</v>
      </c>
      <c r="H7022" s="6" t="s">
        <v>1349</v>
      </c>
      <c r="I7022" s="6" t="s">
        <v>31</v>
      </c>
      <c r="J7022" s="6">
        <v>17.041483009755002</v>
      </c>
      <c r="K7022" s="6">
        <v>-97.302731969272003</v>
      </c>
      <c r="L7022" s="6" t="str">
        <f>HYPERLINK("https://maps.google.com/?q=17.0414830097547,-97.302731969271804", "🔗 Ver Mapa")</f>
        <v>🔗 Ver Mapa</v>
      </c>
    </row>
    <row r="7023" spans="1:12" ht="43.5" x14ac:dyDescent="0.35">
      <c r="A7023" s="5" t="s">
        <v>98</v>
      </c>
      <c r="B7023" s="5" t="s">
        <v>99</v>
      </c>
      <c r="C7023" s="5" t="s">
        <v>1347</v>
      </c>
      <c r="D7023" s="5" t="s">
        <v>14</v>
      </c>
      <c r="E7023" s="5" t="s">
        <v>16</v>
      </c>
      <c r="F7023" s="5" t="s">
        <v>19</v>
      </c>
      <c r="G7023" s="5" t="s">
        <v>1348</v>
      </c>
      <c r="H7023" s="5" t="s">
        <v>1349</v>
      </c>
      <c r="I7023" s="5" t="s">
        <v>31</v>
      </c>
      <c r="J7023" s="5">
        <v>17.041669672125</v>
      </c>
      <c r="K7023" s="5">
        <v>-97.29630813128</v>
      </c>
      <c r="L7023" s="5" t="str">
        <f>HYPERLINK("https://maps.google.com/?q=17.0416696721253,-97.296308131279503", "🔗 Ver Mapa")</f>
        <v>🔗 Ver Mapa</v>
      </c>
    </row>
    <row r="7024" spans="1:12" ht="43.5" x14ac:dyDescent="0.35">
      <c r="A7024" s="6" t="s">
        <v>98</v>
      </c>
      <c r="B7024" s="6" t="s">
        <v>99</v>
      </c>
      <c r="C7024" s="6" t="s">
        <v>1347</v>
      </c>
      <c r="D7024" s="6" t="s">
        <v>14</v>
      </c>
      <c r="E7024" s="6" t="s">
        <v>16</v>
      </c>
      <c r="F7024" s="6" t="s">
        <v>19</v>
      </c>
      <c r="G7024" s="6" t="s">
        <v>1348</v>
      </c>
      <c r="H7024" s="6" t="s">
        <v>1349</v>
      </c>
      <c r="I7024" s="6" t="s">
        <v>31</v>
      </c>
      <c r="J7024" s="6">
        <v>17.042402256385</v>
      </c>
      <c r="K7024" s="6">
        <v>-97.293970839137003</v>
      </c>
      <c r="L7024" s="6" t="str">
        <f>HYPERLINK("https://maps.google.com/?q=17.0424022563853,-97.293970839137401", "🔗 Ver Mapa")</f>
        <v>🔗 Ver Mapa</v>
      </c>
    </row>
    <row r="7025" spans="1:12" ht="43.5" x14ac:dyDescent="0.35">
      <c r="A7025" s="5" t="s">
        <v>98</v>
      </c>
      <c r="B7025" s="5" t="s">
        <v>99</v>
      </c>
      <c r="C7025" s="5" t="s">
        <v>1347</v>
      </c>
      <c r="D7025" s="5" t="s">
        <v>14</v>
      </c>
      <c r="E7025" s="5" t="s">
        <v>16</v>
      </c>
      <c r="F7025" s="5" t="s">
        <v>19</v>
      </c>
      <c r="G7025" s="5" t="s">
        <v>1348</v>
      </c>
      <c r="H7025" s="5" t="s">
        <v>1349</v>
      </c>
      <c r="I7025" s="5" t="s">
        <v>31</v>
      </c>
      <c r="J7025" s="5">
        <v>17.042795259881999</v>
      </c>
      <c r="K7025" s="5">
        <v>-97.297679889061001</v>
      </c>
      <c r="L7025" s="5" t="str">
        <f>HYPERLINK("https://maps.google.com/?q=17.0427952598815,-97.297679889060504", "🔗 Ver Mapa")</f>
        <v>🔗 Ver Mapa</v>
      </c>
    </row>
    <row r="7026" spans="1:12" ht="43.5" x14ac:dyDescent="0.35">
      <c r="A7026" s="6" t="s">
        <v>98</v>
      </c>
      <c r="B7026" s="6" t="s">
        <v>99</v>
      </c>
      <c r="C7026" s="6" t="s">
        <v>1347</v>
      </c>
      <c r="D7026" s="6" t="s">
        <v>14</v>
      </c>
      <c r="E7026" s="6" t="s">
        <v>16</v>
      </c>
      <c r="F7026" s="6" t="s">
        <v>19</v>
      </c>
      <c r="G7026" s="6" t="s">
        <v>1348</v>
      </c>
      <c r="H7026" s="6" t="s">
        <v>1349</v>
      </c>
      <c r="I7026" s="6" t="s">
        <v>31</v>
      </c>
      <c r="J7026" s="6">
        <v>17.042828340075001</v>
      </c>
      <c r="K7026" s="6">
        <v>-97.297189928037</v>
      </c>
      <c r="L7026" s="6" t="str">
        <f>HYPERLINK("https://maps.google.com/?q=17.0428283400752,-97.297189928036801", "🔗 Ver Mapa")</f>
        <v>🔗 Ver Mapa</v>
      </c>
    </row>
    <row r="7027" spans="1:12" ht="43.5" x14ac:dyDescent="0.35">
      <c r="A7027" s="5" t="s">
        <v>98</v>
      </c>
      <c r="B7027" s="5" t="s">
        <v>99</v>
      </c>
      <c r="C7027" s="5" t="s">
        <v>1347</v>
      </c>
      <c r="D7027" s="5" t="s">
        <v>14</v>
      </c>
      <c r="E7027" s="5" t="s">
        <v>16</v>
      </c>
      <c r="F7027" s="5" t="s">
        <v>19</v>
      </c>
      <c r="G7027" s="5" t="s">
        <v>1348</v>
      </c>
      <c r="H7027" s="5" t="s">
        <v>1349</v>
      </c>
      <c r="I7027" s="5" t="s">
        <v>31</v>
      </c>
      <c r="J7027" s="5">
        <v>17.043085687093999</v>
      </c>
      <c r="K7027" s="5">
        <v>-97.298117953371005</v>
      </c>
      <c r="L7027" s="5" t="str">
        <f>HYPERLINK("https://maps.google.com/?q=17.0430856870941,-97.298117953371403", "🔗 Ver Mapa")</f>
        <v>🔗 Ver Mapa</v>
      </c>
    </row>
    <row r="7028" spans="1:12" ht="43.5" x14ac:dyDescent="0.35">
      <c r="A7028" s="6" t="s">
        <v>98</v>
      </c>
      <c r="B7028" s="6" t="s">
        <v>99</v>
      </c>
      <c r="C7028" s="6" t="s">
        <v>1347</v>
      </c>
      <c r="D7028" s="6" t="s">
        <v>14</v>
      </c>
      <c r="E7028" s="6" t="s">
        <v>16</v>
      </c>
      <c r="F7028" s="6" t="s">
        <v>19</v>
      </c>
      <c r="G7028" s="6" t="s">
        <v>1348</v>
      </c>
      <c r="H7028" s="6" t="s">
        <v>1349</v>
      </c>
      <c r="I7028" s="6" t="s">
        <v>31</v>
      </c>
      <c r="J7028" s="6">
        <v>17.043482337648999</v>
      </c>
      <c r="K7028" s="6">
        <v>-97.297753191929999</v>
      </c>
      <c r="L7028" s="6" t="str">
        <f>HYPERLINK("https://maps.google.com/?q=17.0434823376491,-97.297753191930298", "🔗 Ver Mapa")</f>
        <v>🔗 Ver Mapa</v>
      </c>
    </row>
    <row r="7029" spans="1:12" ht="43.5" x14ac:dyDescent="0.35">
      <c r="A7029" s="5" t="s">
        <v>98</v>
      </c>
      <c r="B7029" s="5" t="s">
        <v>99</v>
      </c>
      <c r="C7029" s="5" t="s">
        <v>1347</v>
      </c>
      <c r="D7029" s="5" t="s">
        <v>14</v>
      </c>
      <c r="E7029" s="5" t="s">
        <v>16</v>
      </c>
      <c r="F7029" s="5" t="s">
        <v>19</v>
      </c>
      <c r="G7029" s="5" t="s">
        <v>1348</v>
      </c>
      <c r="H7029" s="5" t="s">
        <v>1349</v>
      </c>
      <c r="I7029" s="5" t="s">
        <v>31</v>
      </c>
      <c r="J7029" s="5">
        <v>17.043785962792999</v>
      </c>
      <c r="K7029" s="5">
        <v>-97.296868712964994</v>
      </c>
      <c r="L7029" s="5" t="str">
        <f>HYPERLINK("https://maps.google.com/?q=17.0437859627935,-97.296868712965306", "🔗 Ver Mapa")</f>
        <v>🔗 Ver Mapa</v>
      </c>
    </row>
    <row r="7030" spans="1:12" ht="43.5" x14ac:dyDescent="0.35">
      <c r="A7030" s="6" t="s">
        <v>98</v>
      </c>
      <c r="B7030" s="6" t="s">
        <v>99</v>
      </c>
      <c r="C7030" s="6" t="s">
        <v>1347</v>
      </c>
      <c r="D7030" s="6" t="s">
        <v>14</v>
      </c>
      <c r="E7030" s="6" t="s">
        <v>16</v>
      </c>
      <c r="F7030" s="6" t="s">
        <v>19</v>
      </c>
      <c r="G7030" s="6" t="s">
        <v>1348</v>
      </c>
      <c r="H7030" s="6" t="s">
        <v>1349</v>
      </c>
      <c r="I7030" s="6" t="s">
        <v>31</v>
      </c>
      <c r="J7030" s="6">
        <v>17.043839128329001</v>
      </c>
      <c r="K7030" s="6">
        <v>-97.301341160348997</v>
      </c>
      <c r="L7030" s="6" t="str">
        <f>HYPERLINK("https://maps.google.com/?q=17.0438391283295,-97.301341160348798", "🔗 Ver Mapa")</f>
        <v>🔗 Ver Mapa</v>
      </c>
    </row>
    <row r="7031" spans="1:12" ht="43.5" x14ac:dyDescent="0.35">
      <c r="A7031" s="5" t="s">
        <v>98</v>
      </c>
      <c r="B7031" s="5" t="s">
        <v>99</v>
      </c>
      <c r="C7031" s="5" t="s">
        <v>1347</v>
      </c>
      <c r="D7031" s="5" t="s">
        <v>14</v>
      </c>
      <c r="E7031" s="5" t="s">
        <v>16</v>
      </c>
      <c r="F7031" s="5" t="s">
        <v>19</v>
      </c>
      <c r="G7031" s="5" t="s">
        <v>1348</v>
      </c>
      <c r="H7031" s="5" t="s">
        <v>1349</v>
      </c>
      <c r="I7031" s="5" t="s">
        <v>31</v>
      </c>
      <c r="J7031" s="5">
        <v>17.043872410809001</v>
      </c>
      <c r="K7031" s="5">
        <v>-97.300223098011003</v>
      </c>
      <c r="L7031" s="5" t="str">
        <f>HYPERLINK("https://maps.google.com/?q=17.0438724108088,-97.300223098010804", "🔗 Ver Mapa")</f>
        <v>🔗 Ver Mapa</v>
      </c>
    </row>
    <row r="7032" spans="1:12" ht="43.5" x14ac:dyDescent="0.35">
      <c r="A7032" s="6" t="s">
        <v>98</v>
      </c>
      <c r="B7032" s="6" t="s">
        <v>99</v>
      </c>
      <c r="C7032" s="6" t="s">
        <v>1347</v>
      </c>
      <c r="D7032" s="6" t="s">
        <v>14</v>
      </c>
      <c r="E7032" s="6" t="s">
        <v>16</v>
      </c>
      <c r="F7032" s="6" t="s">
        <v>19</v>
      </c>
      <c r="G7032" s="6" t="s">
        <v>1348</v>
      </c>
      <c r="H7032" s="6" t="s">
        <v>1349</v>
      </c>
      <c r="I7032" s="6" t="s">
        <v>31</v>
      </c>
      <c r="J7032" s="6">
        <v>17.043960189052999</v>
      </c>
      <c r="K7032" s="6">
        <v>-97.295239403807003</v>
      </c>
      <c r="L7032" s="6" t="str">
        <f>HYPERLINK("https://maps.google.com/?q=17.0439601890529,-97.295239403806804", "🔗 Ver Mapa")</f>
        <v>🔗 Ver Mapa</v>
      </c>
    </row>
    <row r="7033" spans="1:12" ht="43.5" x14ac:dyDescent="0.35">
      <c r="A7033" s="5" t="s">
        <v>98</v>
      </c>
      <c r="B7033" s="5" t="s">
        <v>99</v>
      </c>
      <c r="C7033" s="5" t="s">
        <v>1347</v>
      </c>
      <c r="D7033" s="5" t="s">
        <v>14</v>
      </c>
      <c r="E7033" s="5" t="s">
        <v>16</v>
      </c>
      <c r="F7033" s="5" t="s">
        <v>19</v>
      </c>
      <c r="G7033" s="5" t="s">
        <v>1348</v>
      </c>
      <c r="H7033" s="5" t="s">
        <v>1349</v>
      </c>
      <c r="I7033" s="5" t="s">
        <v>31</v>
      </c>
      <c r="J7033" s="5">
        <v>17.044249068304001</v>
      </c>
      <c r="K7033" s="5">
        <v>-97.301722117441997</v>
      </c>
      <c r="L7033" s="5" t="str">
        <f>HYPERLINK("https://maps.google.com/?q=17.0442490683038,-97.301722117442395", "🔗 Ver Mapa")</f>
        <v>🔗 Ver Mapa</v>
      </c>
    </row>
    <row r="7034" spans="1:12" ht="43.5" x14ac:dyDescent="0.35">
      <c r="A7034" s="6" t="s">
        <v>98</v>
      </c>
      <c r="B7034" s="6" t="s">
        <v>99</v>
      </c>
      <c r="C7034" s="6" t="s">
        <v>1347</v>
      </c>
      <c r="D7034" s="6" t="s">
        <v>14</v>
      </c>
      <c r="E7034" s="6" t="s">
        <v>16</v>
      </c>
      <c r="F7034" s="6" t="s">
        <v>19</v>
      </c>
      <c r="G7034" s="6" t="s">
        <v>1348</v>
      </c>
      <c r="H7034" s="6" t="s">
        <v>1349</v>
      </c>
      <c r="I7034" s="6" t="s">
        <v>31</v>
      </c>
      <c r="J7034" s="6">
        <v>17.044251402482999</v>
      </c>
      <c r="K7034" s="6">
        <v>-97.295425684514996</v>
      </c>
      <c r="L7034" s="6" t="str">
        <f>HYPERLINK("https://maps.google.com/?q=17.0442514024826,-97.295425684515294", "🔗 Ver Mapa")</f>
        <v>🔗 Ver Mapa</v>
      </c>
    </row>
    <row r="7035" spans="1:12" ht="43.5" x14ac:dyDescent="0.35">
      <c r="A7035" s="5" t="s">
        <v>98</v>
      </c>
      <c r="B7035" s="5" t="s">
        <v>99</v>
      </c>
      <c r="C7035" s="5" t="s">
        <v>1347</v>
      </c>
      <c r="D7035" s="5" t="s">
        <v>14</v>
      </c>
      <c r="E7035" s="5" t="s">
        <v>16</v>
      </c>
      <c r="F7035" s="5" t="s">
        <v>19</v>
      </c>
      <c r="G7035" s="5" t="s">
        <v>1348</v>
      </c>
      <c r="H7035" s="5" t="s">
        <v>1349</v>
      </c>
      <c r="I7035" s="5" t="s">
        <v>31</v>
      </c>
      <c r="J7035" s="5">
        <v>17.044795687412002</v>
      </c>
      <c r="K7035" s="5">
        <v>-97.295416031537997</v>
      </c>
      <c r="L7035" s="5" t="str">
        <f>HYPERLINK("https://maps.google.com/?q=17.044795687412,-97.295416031538096", "🔗 Ver Mapa")</f>
        <v>🔗 Ver Mapa</v>
      </c>
    </row>
    <row r="7036" spans="1:12" ht="43.5" x14ac:dyDescent="0.35">
      <c r="A7036" s="6" t="s">
        <v>98</v>
      </c>
      <c r="B7036" s="6" t="s">
        <v>99</v>
      </c>
      <c r="C7036" s="6" t="s">
        <v>1347</v>
      </c>
      <c r="D7036" s="6" t="s">
        <v>14</v>
      </c>
      <c r="E7036" s="6" t="s">
        <v>16</v>
      </c>
      <c r="F7036" s="6" t="s">
        <v>19</v>
      </c>
      <c r="G7036" s="6" t="s">
        <v>1348</v>
      </c>
      <c r="H7036" s="6" t="s">
        <v>1349</v>
      </c>
      <c r="I7036" s="6" t="s">
        <v>31</v>
      </c>
      <c r="J7036" s="6">
        <v>17.044905031767001</v>
      </c>
      <c r="K7036" s="6">
        <v>-97.301373399797001</v>
      </c>
      <c r="L7036" s="6" t="str">
        <f>HYPERLINK("https://maps.google.com/?q=17.0449050317668,-97.301373399796802", "🔗 Ver Mapa")</f>
        <v>🔗 Ver Mapa</v>
      </c>
    </row>
    <row r="7037" spans="1:12" ht="43.5" x14ac:dyDescent="0.35">
      <c r="A7037" s="5" t="s">
        <v>98</v>
      </c>
      <c r="B7037" s="5" t="s">
        <v>99</v>
      </c>
      <c r="C7037" s="5" t="s">
        <v>1347</v>
      </c>
      <c r="D7037" s="5" t="s">
        <v>14</v>
      </c>
      <c r="E7037" s="5" t="s">
        <v>16</v>
      </c>
      <c r="F7037" s="5" t="s">
        <v>19</v>
      </c>
      <c r="G7037" s="5" t="s">
        <v>1348</v>
      </c>
      <c r="H7037" s="5" t="s">
        <v>1349</v>
      </c>
      <c r="I7037" s="5" t="s">
        <v>31</v>
      </c>
      <c r="J7037" s="5">
        <v>17.044957028593</v>
      </c>
      <c r="K7037" s="5">
        <v>-97.300873387267998</v>
      </c>
      <c r="L7037" s="5" t="str">
        <f>HYPERLINK("https://maps.google.com/?q=17.0449570285928,-97.300873387267998", "🔗 Ver Mapa")</f>
        <v>🔗 Ver Mapa</v>
      </c>
    </row>
    <row r="7038" spans="1:12" ht="43.5" x14ac:dyDescent="0.35">
      <c r="A7038" s="6" t="s">
        <v>98</v>
      </c>
      <c r="B7038" s="6" t="s">
        <v>99</v>
      </c>
      <c r="C7038" s="6" t="s">
        <v>1347</v>
      </c>
      <c r="D7038" s="6" t="s">
        <v>14</v>
      </c>
      <c r="E7038" s="6" t="s">
        <v>16</v>
      </c>
      <c r="F7038" s="6" t="s">
        <v>19</v>
      </c>
      <c r="G7038" s="6" t="s">
        <v>1348</v>
      </c>
      <c r="H7038" s="6" t="s">
        <v>1349</v>
      </c>
      <c r="I7038" s="6" t="s">
        <v>31</v>
      </c>
      <c r="J7038" s="6">
        <v>17.045086111991001</v>
      </c>
      <c r="K7038" s="6">
        <v>-97.298760600668999</v>
      </c>
      <c r="L7038" s="6" t="str">
        <f>HYPERLINK("https://maps.google.com/?q=17.0450861119907,-97.298760600669496", "🔗 Ver Mapa")</f>
        <v>🔗 Ver Mapa</v>
      </c>
    </row>
    <row r="7039" spans="1:12" ht="43.5" x14ac:dyDescent="0.35">
      <c r="A7039" s="5" t="s">
        <v>98</v>
      </c>
      <c r="B7039" s="5" t="s">
        <v>99</v>
      </c>
      <c r="C7039" s="5" t="s">
        <v>1347</v>
      </c>
      <c r="D7039" s="5" t="s">
        <v>14</v>
      </c>
      <c r="E7039" s="5" t="s">
        <v>16</v>
      </c>
      <c r="F7039" s="5" t="s">
        <v>19</v>
      </c>
      <c r="G7039" s="5" t="s">
        <v>1348</v>
      </c>
      <c r="H7039" s="5" t="s">
        <v>1349</v>
      </c>
      <c r="I7039" s="5" t="s">
        <v>31</v>
      </c>
      <c r="J7039" s="5">
        <v>17.045090610841001</v>
      </c>
      <c r="K7039" s="5">
        <v>-97.303072480984</v>
      </c>
      <c r="L7039" s="5" t="str">
        <f>HYPERLINK("https://maps.google.com/?q=17.0450906108413,-97.303072480984198", "🔗 Ver Mapa")</f>
        <v>🔗 Ver Mapa</v>
      </c>
    </row>
    <row r="7040" spans="1:12" ht="43.5" x14ac:dyDescent="0.35">
      <c r="A7040" s="6" t="s">
        <v>98</v>
      </c>
      <c r="B7040" s="6" t="s">
        <v>99</v>
      </c>
      <c r="C7040" s="6" t="s">
        <v>1347</v>
      </c>
      <c r="D7040" s="6" t="s">
        <v>14</v>
      </c>
      <c r="E7040" s="6" t="s">
        <v>16</v>
      </c>
      <c r="F7040" s="6" t="s">
        <v>19</v>
      </c>
      <c r="G7040" s="6" t="s">
        <v>1348</v>
      </c>
      <c r="H7040" s="6" t="s">
        <v>1349</v>
      </c>
      <c r="I7040" s="6" t="s">
        <v>31</v>
      </c>
      <c r="J7040" s="6">
        <v>17.045109430633001</v>
      </c>
      <c r="K7040" s="6">
        <v>-97.298576708295997</v>
      </c>
      <c r="L7040" s="6" t="str">
        <f>HYPERLINK("https://maps.google.com/?q=17.045109430633,-97.298576708296494", "🔗 Ver Mapa")</f>
        <v>🔗 Ver Mapa</v>
      </c>
    </row>
    <row r="7041" spans="1:12" ht="43.5" x14ac:dyDescent="0.35">
      <c r="A7041" s="5" t="s">
        <v>98</v>
      </c>
      <c r="B7041" s="5" t="s">
        <v>99</v>
      </c>
      <c r="C7041" s="5" t="s">
        <v>1347</v>
      </c>
      <c r="D7041" s="5" t="s">
        <v>14</v>
      </c>
      <c r="E7041" s="5" t="s">
        <v>16</v>
      </c>
      <c r="F7041" s="5" t="s">
        <v>19</v>
      </c>
      <c r="G7041" s="5" t="s">
        <v>1348</v>
      </c>
      <c r="H7041" s="5" t="s">
        <v>1349</v>
      </c>
      <c r="I7041" s="5" t="s">
        <v>31</v>
      </c>
      <c r="J7041" s="5">
        <v>17.045162821028001</v>
      </c>
      <c r="K7041" s="5">
        <v>-97.298004094177003</v>
      </c>
      <c r="L7041" s="5" t="str">
        <f>HYPERLINK("https://maps.google.com/?q=17.0451628210281,-97.298004094176903", "🔗 Ver Mapa")</f>
        <v>🔗 Ver Mapa</v>
      </c>
    </row>
    <row r="7042" spans="1:12" ht="43.5" x14ac:dyDescent="0.35">
      <c r="A7042" s="6" t="s">
        <v>98</v>
      </c>
      <c r="B7042" s="6" t="s">
        <v>99</v>
      </c>
      <c r="C7042" s="6" t="s">
        <v>1347</v>
      </c>
      <c r="D7042" s="6" t="s">
        <v>14</v>
      </c>
      <c r="E7042" s="6" t="s">
        <v>16</v>
      </c>
      <c r="F7042" s="6" t="s">
        <v>19</v>
      </c>
      <c r="G7042" s="6" t="s">
        <v>1348</v>
      </c>
      <c r="H7042" s="6" t="s">
        <v>1349</v>
      </c>
      <c r="I7042" s="6" t="s">
        <v>31</v>
      </c>
      <c r="J7042" s="6">
        <v>17.045280240307001</v>
      </c>
      <c r="K7042" s="6">
        <v>-97.304346789104002</v>
      </c>
      <c r="L7042" s="6" t="str">
        <f>HYPERLINK("https://maps.google.com/?q=17.0452802403068,-97.304346789104102", "🔗 Ver Mapa")</f>
        <v>🔗 Ver Mapa</v>
      </c>
    </row>
    <row r="7043" spans="1:12" ht="43.5" x14ac:dyDescent="0.35">
      <c r="A7043" s="5" t="s">
        <v>98</v>
      </c>
      <c r="B7043" s="5" t="s">
        <v>99</v>
      </c>
      <c r="C7043" s="5" t="s">
        <v>1347</v>
      </c>
      <c r="D7043" s="5" t="s">
        <v>14</v>
      </c>
      <c r="E7043" s="5" t="s">
        <v>16</v>
      </c>
      <c r="F7043" s="5" t="s">
        <v>19</v>
      </c>
      <c r="G7043" s="5" t="s">
        <v>1348</v>
      </c>
      <c r="H7043" s="5" t="s">
        <v>1349</v>
      </c>
      <c r="I7043" s="5" t="s">
        <v>31</v>
      </c>
      <c r="J7043" s="5">
        <v>17.045317030620001</v>
      </c>
      <c r="K7043" s="5">
        <v>-97.297734694905998</v>
      </c>
      <c r="L7043" s="5" t="str">
        <f>HYPERLINK("https://maps.google.com/?q=17.0453170306203,-97.297734694906495", "🔗 Ver Mapa")</f>
        <v>🔗 Ver Mapa</v>
      </c>
    </row>
    <row r="7044" spans="1:12" ht="43.5" x14ac:dyDescent="0.35">
      <c r="A7044" s="6" t="s">
        <v>98</v>
      </c>
      <c r="B7044" s="6" t="s">
        <v>99</v>
      </c>
      <c r="C7044" s="6" t="s">
        <v>1347</v>
      </c>
      <c r="D7044" s="6" t="s">
        <v>14</v>
      </c>
      <c r="E7044" s="6" t="s">
        <v>16</v>
      </c>
      <c r="F7044" s="6" t="s">
        <v>19</v>
      </c>
      <c r="G7044" s="6" t="s">
        <v>1348</v>
      </c>
      <c r="H7044" s="6" t="s">
        <v>1349</v>
      </c>
      <c r="I7044" s="6" t="s">
        <v>31</v>
      </c>
      <c r="J7044" s="6">
        <v>17.045590769242001</v>
      </c>
      <c r="K7044" s="6">
        <v>-97.297875249002999</v>
      </c>
      <c r="L7044" s="6" t="str">
        <f>HYPERLINK("https://maps.google.com/?q=17.0455907692418,-97.2978752490029", "🔗 Ver Mapa")</f>
        <v>🔗 Ver Mapa</v>
      </c>
    </row>
    <row r="7045" spans="1:12" ht="43.5" x14ac:dyDescent="0.35">
      <c r="A7045" s="5" t="s">
        <v>98</v>
      </c>
      <c r="B7045" s="5" t="s">
        <v>99</v>
      </c>
      <c r="C7045" s="5" t="s">
        <v>1350</v>
      </c>
      <c r="D7045" s="5" t="s">
        <v>14</v>
      </c>
      <c r="E7045" s="5" t="s">
        <v>16</v>
      </c>
      <c r="F7045" s="5" t="s">
        <v>19</v>
      </c>
      <c r="G7045" s="5" t="s">
        <v>1348</v>
      </c>
      <c r="H7045" s="5" t="s">
        <v>1351</v>
      </c>
      <c r="I7045" s="5" t="s">
        <v>31</v>
      </c>
      <c r="J7045" s="5">
        <v>17.033288211016</v>
      </c>
      <c r="K7045" s="5">
        <v>-97.294140371829997</v>
      </c>
      <c r="L7045" s="5" t="str">
        <f>HYPERLINK("https://maps.google.com/?q=17.0332882110159,-97.294140371830096", "🔗 Ver Mapa")</f>
        <v>🔗 Ver Mapa</v>
      </c>
    </row>
    <row r="7046" spans="1:12" ht="43.5" x14ac:dyDescent="0.35">
      <c r="A7046" s="6" t="s">
        <v>98</v>
      </c>
      <c r="B7046" s="6" t="s">
        <v>99</v>
      </c>
      <c r="C7046" s="6" t="s">
        <v>1350</v>
      </c>
      <c r="D7046" s="6" t="s">
        <v>14</v>
      </c>
      <c r="E7046" s="6" t="s">
        <v>16</v>
      </c>
      <c r="F7046" s="6" t="s">
        <v>19</v>
      </c>
      <c r="G7046" s="6" t="s">
        <v>1348</v>
      </c>
      <c r="H7046" s="6" t="s">
        <v>1351</v>
      </c>
      <c r="I7046" s="6" t="s">
        <v>31</v>
      </c>
      <c r="J7046" s="6">
        <v>17.033516186052999</v>
      </c>
      <c r="K7046" s="6">
        <v>-97.291899616112005</v>
      </c>
      <c r="L7046" s="6" t="str">
        <f>HYPERLINK("https://maps.google.com/?q=17.0335161860527,-97.291899616112005", "🔗 Ver Mapa")</f>
        <v>🔗 Ver Mapa</v>
      </c>
    </row>
    <row r="7047" spans="1:12" ht="43.5" x14ac:dyDescent="0.35">
      <c r="A7047" s="5" t="s">
        <v>98</v>
      </c>
      <c r="B7047" s="5" t="s">
        <v>99</v>
      </c>
      <c r="C7047" s="5" t="s">
        <v>1350</v>
      </c>
      <c r="D7047" s="5" t="s">
        <v>14</v>
      </c>
      <c r="E7047" s="5" t="s">
        <v>16</v>
      </c>
      <c r="F7047" s="5" t="s">
        <v>19</v>
      </c>
      <c r="G7047" s="5" t="s">
        <v>1348</v>
      </c>
      <c r="H7047" s="5" t="s">
        <v>1351</v>
      </c>
      <c r="I7047" s="5" t="s">
        <v>31</v>
      </c>
      <c r="J7047" s="5">
        <v>17.034163330565001</v>
      </c>
      <c r="K7047" s="5">
        <v>-97.294911093096005</v>
      </c>
      <c r="L7047" s="5" t="str">
        <f>HYPERLINK("https://maps.google.com/?q=17.0341633305654,-97.294911093096303", "🔗 Ver Mapa")</f>
        <v>🔗 Ver Mapa</v>
      </c>
    </row>
    <row r="7048" spans="1:12" ht="43.5" x14ac:dyDescent="0.35">
      <c r="A7048" s="6" t="s">
        <v>98</v>
      </c>
      <c r="B7048" s="6" t="s">
        <v>99</v>
      </c>
      <c r="C7048" s="6" t="s">
        <v>1350</v>
      </c>
      <c r="D7048" s="6" t="s">
        <v>14</v>
      </c>
      <c r="E7048" s="6" t="s">
        <v>16</v>
      </c>
      <c r="F7048" s="6" t="s">
        <v>19</v>
      </c>
      <c r="G7048" s="6" t="s">
        <v>1348</v>
      </c>
      <c r="H7048" s="6" t="s">
        <v>1351</v>
      </c>
      <c r="I7048" s="6" t="s">
        <v>31</v>
      </c>
      <c r="J7048" s="6">
        <v>17.035134246553</v>
      </c>
      <c r="K7048" s="6">
        <v>-97.294428425795005</v>
      </c>
      <c r="L7048" s="6" t="str">
        <f>HYPERLINK("https://maps.google.com/?q=17.0351342465527,-97.294428425795303", "🔗 Ver Mapa")</f>
        <v>🔗 Ver Mapa</v>
      </c>
    </row>
    <row r="7049" spans="1:12" ht="43.5" x14ac:dyDescent="0.35">
      <c r="A7049" s="5" t="s">
        <v>98</v>
      </c>
      <c r="B7049" s="5" t="s">
        <v>99</v>
      </c>
      <c r="C7049" s="5" t="s">
        <v>1352</v>
      </c>
      <c r="D7049" s="5" t="s">
        <v>14</v>
      </c>
      <c r="E7049" s="5" t="s">
        <v>39</v>
      </c>
      <c r="F7049" s="5" t="s">
        <v>353</v>
      </c>
      <c r="G7049" s="5" t="s">
        <v>1353</v>
      </c>
      <c r="H7049" s="5" t="s">
        <v>1354</v>
      </c>
      <c r="I7049" s="5" t="s">
        <v>31</v>
      </c>
      <c r="J7049" s="5">
        <v>16.146033304214001</v>
      </c>
      <c r="K7049" s="5">
        <v>-96.351095231171996</v>
      </c>
      <c r="L7049" s="5" t="str">
        <f>HYPERLINK("https://maps.google.com/?q=16.146033304214,-96.351095231171797", "🔗 Ver Mapa")</f>
        <v>🔗 Ver Mapa</v>
      </c>
    </row>
    <row r="7050" spans="1:12" ht="43.5" x14ac:dyDescent="0.35">
      <c r="A7050" s="6" t="s">
        <v>98</v>
      </c>
      <c r="B7050" s="6" t="s">
        <v>99</v>
      </c>
      <c r="C7050" s="6" t="s">
        <v>1352</v>
      </c>
      <c r="D7050" s="6" t="s">
        <v>14</v>
      </c>
      <c r="E7050" s="6" t="s">
        <v>39</v>
      </c>
      <c r="F7050" s="6" t="s">
        <v>353</v>
      </c>
      <c r="G7050" s="6" t="s">
        <v>1353</v>
      </c>
      <c r="H7050" s="6" t="s">
        <v>1354</v>
      </c>
      <c r="I7050" s="6" t="s">
        <v>31</v>
      </c>
      <c r="J7050" s="6">
        <v>16.146231598391999</v>
      </c>
      <c r="K7050" s="6">
        <v>-96.351179820010998</v>
      </c>
      <c r="L7050" s="6" t="str">
        <f>HYPERLINK("https://maps.google.com/?q=16.146231598391562,-96.35117982001086", "🔗 Ver Mapa")</f>
        <v>🔗 Ver Mapa</v>
      </c>
    </row>
    <row r="7051" spans="1:12" ht="43.5" x14ac:dyDescent="0.35">
      <c r="A7051" s="5" t="s">
        <v>98</v>
      </c>
      <c r="B7051" s="5" t="s">
        <v>99</v>
      </c>
      <c r="C7051" s="5" t="s">
        <v>1352</v>
      </c>
      <c r="D7051" s="5" t="s">
        <v>14</v>
      </c>
      <c r="E7051" s="5" t="s">
        <v>39</v>
      </c>
      <c r="F7051" s="5" t="s">
        <v>353</v>
      </c>
      <c r="G7051" s="5" t="s">
        <v>1353</v>
      </c>
      <c r="H7051" s="5" t="s">
        <v>1354</v>
      </c>
      <c r="I7051" s="5" t="s">
        <v>31</v>
      </c>
      <c r="J7051" s="5">
        <v>16.146360694590001</v>
      </c>
      <c r="K7051" s="5">
        <v>-96.346747258725998</v>
      </c>
      <c r="L7051" s="5" t="str">
        <f>HYPERLINK("https://maps.google.com/?q=16.1463606945903,-96.3467472587256", "🔗 Ver Mapa")</f>
        <v>🔗 Ver Mapa</v>
      </c>
    </row>
    <row r="7052" spans="1:12" ht="43.5" x14ac:dyDescent="0.35">
      <c r="A7052" s="6" t="s">
        <v>98</v>
      </c>
      <c r="B7052" s="6" t="s">
        <v>99</v>
      </c>
      <c r="C7052" s="6" t="s">
        <v>1352</v>
      </c>
      <c r="D7052" s="6" t="s">
        <v>14</v>
      </c>
      <c r="E7052" s="6" t="s">
        <v>39</v>
      </c>
      <c r="F7052" s="6" t="s">
        <v>353</v>
      </c>
      <c r="G7052" s="6" t="s">
        <v>1353</v>
      </c>
      <c r="H7052" s="6" t="s">
        <v>1354</v>
      </c>
      <c r="I7052" s="6" t="s">
        <v>31</v>
      </c>
      <c r="J7052" s="6">
        <v>16.146469916126001</v>
      </c>
      <c r="K7052" s="6">
        <v>-96.348830204915004</v>
      </c>
      <c r="L7052" s="6" t="str">
        <f>HYPERLINK("https://maps.google.com/?q=16.1464699161258,-96.348830204914506", "🔗 Ver Mapa")</f>
        <v>🔗 Ver Mapa</v>
      </c>
    </row>
    <row r="7053" spans="1:12" ht="43.5" x14ac:dyDescent="0.35">
      <c r="A7053" s="5" t="s">
        <v>98</v>
      </c>
      <c r="B7053" s="5" t="s">
        <v>99</v>
      </c>
      <c r="C7053" s="5" t="s">
        <v>1352</v>
      </c>
      <c r="D7053" s="5" t="s">
        <v>14</v>
      </c>
      <c r="E7053" s="5" t="s">
        <v>39</v>
      </c>
      <c r="F7053" s="5" t="s">
        <v>353</v>
      </c>
      <c r="G7053" s="5" t="s">
        <v>1353</v>
      </c>
      <c r="H7053" s="5" t="s">
        <v>1354</v>
      </c>
      <c r="I7053" s="5" t="s">
        <v>31</v>
      </c>
      <c r="J7053" s="5">
        <v>16.146509160034999</v>
      </c>
      <c r="K7053" s="5">
        <v>-96.347440274479993</v>
      </c>
      <c r="L7053" s="5" t="str">
        <f>HYPERLINK("https://maps.google.com/?q=16.1465091600345,-96.347440274479595", "🔗 Ver Mapa")</f>
        <v>🔗 Ver Mapa</v>
      </c>
    </row>
    <row r="7054" spans="1:12" ht="43.5" x14ac:dyDescent="0.35">
      <c r="A7054" s="6" t="s">
        <v>98</v>
      </c>
      <c r="B7054" s="6" t="s">
        <v>99</v>
      </c>
      <c r="C7054" s="6" t="s">
        <v>1352</v>
      </c>
      <c r="D7054" s="6" t="s">
        <v>14</v>
      </c>
      <c r="E7054" s="6" t="s">
        <v>39</v>
      </c>
      <c r="F7054" s="6" t="s">
        <v>353</v>
      </c>
      <c r="G7054" s="6" t="s">
        <v>1353</v>
      </c>
      <c r="H7054" s="6" t="s">
        <v>1354</v>
      </c>
      <c r="I7054" s="6" t="s">
        <v>31</v>
      </c>
      <c r="J7054" s="6">
        <v>16.146509206318999</v>
      </c>
      <c r="K7054" s="6">
        <v>-96.347792190025999</v>
      </c>
      <c r="L7054" s="6" t="str">
        <f>HYPERLINK("https://maps.google.com/?q=16.1465092063193,-96.347792190026098", "🔗 Ver Mapa")</f>
        <v>🔗 Ver Mapa</v>
      </c>
    </row>
    <row r="7055" spans="1:12" ht="43.5" x14ac:dyDescent="0.35">
      <c r="A7055" s="5" t="s">
        <v>98</v>
      </c>
      <c r="B7055" s="5" t="s">
        <v>99</v>
      </c>
      <c r="C7055" s="5" t="s">
        <v>1352</v>
      </c>
      <c r="D7055" s="5" t="s">
        <v>14</v>
      </c>
      <c r="E7055" s="5" t="s">
        <v>39</v>
      </c>
      <c r="F7055" s="5" t="s">
        <v>353</v>
      </c>
      <c r="G7055" s="5" t="s">
        <v>1353</v>
      </c>
      <c r="H7055" s="5" t="s">
        <v>1354</v>
      </c>
      <c r="I7055" s="5" t="s">
        <v>31</v>
      </c>
      <c r="J7055" s="5">
        <v>16.146546517916001</v>
      </c>
      <c r="K7055" s="5">
        <v>-96.347607912542998</v>
      </c>
      <c r="L7055" s="5" t="str">
        <f>HYPERLINK("https://maps.google.com/?q=16.1465465179162,-96.347607912542998", "🔗 Ver Mapa")</f>
        <v>🔗 Ver Mapa</v>
      </c>
    </row>
    <row r="7056" spans="1:12" ht="43.5" x14ac:dyDescent="0.35">
      <c r="A7056" s="6" t="s">
        <v>98</v>
      </c>
      <c r="B7056" s="6" t="s">
        <v>99</v>
      </c>
      <c r="C7056" s="6" t="s">
        <v>1352</v>
      </c>
      <c r="D7056" s="6" t="s">
        <v>14</v>
      </c>
      <c r="E7056" s="6" t="s">
        <v>39</v>
      </c>
      <c r="F7056" s="6" t="s">
        <v>353</v>
      </c>
      <c r="G7056" s="6" t="s">
        <v>1353</v>
      </c>
      <c r="H7056" s="6" t="s">
        <v>1354</v>
      </c>
      <c r="I7056" s="6" t="s">
        <v>31</v>
      </c>
      <c r="J7056" s="6">
        <v>16.146696729209999</v>
      </c>
      <c r="K7056" s="6">
        <v>-96.348048241732002</v>
      </c>
      <c r="L7056" s="6" t="str">
        <f>HYPERLINK("https://maps.google.com/?q=16.1466967292101,-96.348048241731803", "🔗 Ver Mapa")</f>
        <v>🔗 Ver Mapa</v>
      </c>
    </row>
    <row r="7057" spans="1:12" ht="43.5" x14ac:dyDescent="0.35">
      <c r="A7057" s="5" t="s">
        <v>98</v>
      </c>
      <c r="B7057" s="5" t="s">
        <v>99</v>
      </c>
      <c r="C7057" s="5" t="s">
        <v>1352</v>
      </c>
      <c r="D7057" s="5" t="s">
        <v>14</v>
      </c>
      <c r="E7057" s="5" t="s">
        <v>39</v>
      </c>
      <c r="F7057" s="5" t="s">
        <v>353</v>
      </c>
      <c r="G7057" s="5" t="s">
        <v>1353</v>
      </c>
      <c r="H7057" s="5" t="s">
        <v>1354</v>
      </c>
      <c r="I7057" s="5" t="s">
        <v>31</v>
      </c>
      <c r="J7057" s="5">
        <v>16.146865394111</v>
      </c>
      <c r="K7057" s="5">
        <v>-96.348187815855994</v>
      </c>
      <c r="L7057" s="5" t="str">
        <f>HYPERLINK("https://maps.google.com/?q=16.1468653941109,-96.348187815855695", "🔗 Ver Mapa")</f>
        <v>🔗 Ver Mapa</v>
      </c>
    </row>
    <row r="7058" spans="1:12" ht="43.5" x14ac:dyDescent="0.35">
      <c r="A7058" s="6" t="s">
        <v>98</v>
      </c>
      <c r="B7058" s="6" t="s">
        <v>99</v>
      </c>
      <c r="C7058" s="6" t="s">
        <v>1352</v>
      </c>
      <c r="D7058" s="6" t="s">
        <v>14</v>
      </c>
      <c r="E7058" s="6" t="s">
        <v>39</v>
      </c>
      <c r="F7058" s="6" t="s">
        <v>353</v>
      </c>
      <c r="G7058" s="6" t="s">
        <v>1353</v>
      </c>
      <c r="H7058" s="6" t="s">
        <v>1354</v>
      </c>
      <c r="I7058" s="6" t="s">
        <v>31</v>
      </c>
      <c r="J7058" s="6">
        <v>16.147040678770001</v>
      </c>
      <c r="K7058" s="6">
        <v>-96.353923620577007</v>
      </c>
      <c r="L7058" s="6" t="str">
        <f>HYPERLINK("https://maps.google.com/?q=16.147040678769518,-96.35392362057713", "🔗 Ver Mapa")</f>
        <v>🔗 Ver Mapa</v>
      </c>
    </row>
    <row r="7059" spans="1:12" ht="43.5" x14ac:dyDescent="0.35">
      <c r="A7059" s="5" t="s">
        <v>98</v>
      </c>
      <c r="B7059" s="5" t="s">
        <v>99</v>
      </c>
      <c r="C7059" s="5" t="s">
        <v>1352</v>
      </c>
      <c r="D7059" s="5" t="s">
        <v>14</v>
      </c>
      <c r="E7059" s="5" t="s">
        <v>39</v>
      </c>
      <c r="F7059" s="5" t="s">
        <v>353</v>
      </c>
      <c r="G7059" s="5" t="s">
        <v>1353</v>
      </c>
      <c r="H7059" s="5" t="s">
        <v>1354</v>
      </c>
      <c r="I7059" s="5" t="s">
        <v>31</v>
      </c>
      <c r="J7059" s="5">
        <v>16.147097491303001</v>
      </c>
      <c r="K7059" s="5">
        <v>-96.352652352760003</v>
      </c>
      <c r="L7059" s="5" t="str">
        <f>HYPERLINK("https://maps.google.com/?q=16.1470974913029,-96.352652352759605", "🔗 Ver Mapa")</f>
        <v>🔗 Ver Mapa</v>
      </c>
    </row>
    <row r="7060" spans="1:12" ht="43.5" x14ac:dyDescent="0.35">
      <c r="A7060" s="6" t="s">
        <v>98</v>
      </c>
      <c r="B7060" s="6" t="s">
        <v>99</v>
      </c>
      <c r="C7060" s="6" t="s">
        <v>1352</v>
      </c>
      <c r="D7060" s="6" t="s">
        <v>14</v>
      </c>
      <c r="E7060" s="6" t="s">
        <v>39</v>
      </c>
      <c r="F7060" s="6" t="s">
        <v>353</v>
      </c>
      <c r="G7060" s="6" t="s">
        <v>1353</v>
      </c>
      <c r="H7060" s="6" t="s">
        <v>1354</v>
      </c>
      <c r="I7060" s="6" t="s">
        <v>31</v>
      </c>
      <c r="J7060" s="6">
        <v>16.147115948972999</v>
      </c>
      <c r="K7060" s="6">
        <v>-96.349857490966997</v>
      </c>
      <c r="L7060" s="6" t="str">
        <f>HYPERLINK("https://maps.google.com/?q=16.147115948972818,-96.34985749096697", "🔗 Ver Mapa")</f>
        <v>🔗 Ver Mapa</v>
      </c>
    </row>
    <row r="7061" spans="1:12" ht="43.5" x14ac:dyDescent="0.35">
      <c r="A7061" s="5" t="s">
        <v>98</v>
      </c>
      <c r="B7061" s="5" t="s">
        <v>99</v>
      </c>
      <c r="C7061" s="5" t="s">
        <v>1352</v>
      </c>
      <c r="D7061" s="5" t="s">
        <v>14</v>
      </c>
      <c r="E7061" s="5" t="s">
        <v>39</v>
      </c>
      <c r="F7061" s="5" t="s">
        <v>353</v>
      </c>
      <c r="G7061" s="5" t="s">
        <v>1353</v>
      </c>
      <c r="H7061" s="5" t="s">
        <v>1354</v>
      </c>
      <c r="I7061" s="5" t="s">
        <v>31</v>
      </c>
      <c r="J7061" s="5">
        <v>16.147218488482999</v>
      </c>
      <c r="K7061" s="5">
        <v>-96.351752365934004</v>
      </c>
      <c r="L7061" s="5" t="str">
        <f>HYPERLINK("https://maps.google.com/?q=16.1472184884826,-96.351752365934104", "🔗 Ver Mapa")</f>
        <v>🔗 Ver Mapa</v>
      </c>
    </row>
    <row r="7062" spans="1:12" ht="43.5" x14ac:dyDescent="0.35">
      <c r="A7062" s="6" t="s">
        <v>98</v>
      </c>
      <c r="B7062" s="6" t="s">
        <v>99</v>
      </c>
      <c r="C7062" s="6" t="s">
        <v>1355</v>
      </c>
      <c r="D7062" s="6" t="s">
        <v>14</v>
      </c>
      <c r="E7062" s="6" t="s">
        <v>39</v>
      </c>
      <c r="F7062" s="6" t="s">
        <v>494</v>
      </c>
      <c r="G7062" s="6" t="s">
        <v>571</v>
      </c>
      <c r="H7062" s="6" t="s">
        <v>1356</v>
      </c>
      <c r="I7062" s="6" t="s">
        <v>31</v>
      </c>
      <c r="J7062" s="6">
        <v>16.569220671751999</v>
      </c>
      <c r="K7062" s="6">
        <v>-97.033580744429003</v>
      </c>
      <c r="L7062" s="6" t="str">
        <f>HYPERLINK("https://maps.google.com/?q=16.5692206717521,-97.033580744428605", "🔗 Ver Mapa")</f>
        <v>🔗 Ver Mapa</v>
      </c>
    </row>
    <row r="7063" spans="1:12" ht="43.5" x14ac:dyDescent="0.35">
      <c r="A7063" s="5" t="s">
        <v>98</v>
      </c>
      <c r="B7063" s="5" t="s">
        <v>99</v>
      </c>
      <c r="C7063" s="5" t="s">
        <v>1355</v>
      </c>
      <c r="D7063" s="5" t="s">
        <v>14</v>
      </c>
      <c r="E7063" s="5" t="s">
        <v>39</v>
      </c>
      <c r="F7063" s="5" t="s">
        <v>494</v>
      </c>
      <c r="G7063" s="5" t="s">
        <v>571</v>
      </c>
      <c r="H7063" s="5" t="s">
        <v>1356</v>
      </c>
      <c r="I7063" s="5" t="s">
        <v>31</v>
      </c>
      <c r="J7063" s="5">
        <v>16.569237095689999</v>
      </c>
      <c r="K7063" s="5">
        <v>-97.034756763564999</v>
      </c>
      <c r="L7063" s="5" t="str">
        <f>HYPERLINK("https://maps.google.com/?q=16.5692370956899,-97.034756763564502", "🔗 Ver Mapa")</f>
        <v>🔗 Ver Mapa</v>
      </c>
    </row>
    <row r="7064" spans="1:12" ht="43.5" x14ac:dyDescent="0.35">
      <c r="A7064" s="6" t="s">
        <v>98</v>
      </c>
      <c r="B7064" s="6" t="s">
        <v>99</v>
      </c>
      <c r="C7064" s="6" t="s">
        <v>1355</v>
      </c>
      <c r="D7064" s="6" t="s">
        <v>14</v>
      </c>
      <c r="E7064" s="6" t="s">
        <v>39</v>
      </c>
      <c r="F7064" s="6" t="s">
        <v>494</v>
      </c>
      <c r="G7064" s="6" t="s">
        <v>571</v>
      </c>
      <c r="H7064" s="6" t="s">
        <v>1356</v>
      </c>
      <c r="I7064" s="6" t="s">
        <v>31</v>
      </c>
      <c r="J7064" s="6">
        <v>16.569471602770001</v>
      </c>
      <c r="K7064" s="6">
        <v>-97.037345548895999</v>
      </c>
      <c r="L7064" s="6" t="str">
        <f>HYPERLINK("https://maps.google.com/?q=16.5694716027696,-97.037345548895502", "🔗 Ver Mapa")</f>
        <v>🔗 Ver Mapa</v>
      </c>
    </row>
    <row r="7065" spans="1:12" ht="43.5" x14ac:dyDescent="0.35">
      <c r="A7065" s="5" t="s">
        <v>98</v>
      </c>
      <c r="B7065" s="5" t="s">
        <v>99</v>
      </c>
      <c r="C7065" s="5" t="s">
        <v>1355</v>
      </c>
      <c r="D7065" s="5" t="s">
        <v>14</v>
      </c>
      <c r="E7065" s="5" t="s">
        <v>39</v>
      </c>
      <c r="F7065" s="5" t="s">
        <v>494</v>
      </c>
      <c r="G7065" s="5" t="s">
        <v>571</v>
      </c>
      <c r="H7065" s="5" t="s">
        <v>1356</v>
      </c>
      <c r="I7065" s="5" t="s">
        <v>31</v>
      </c>
      <c r="J7065" s="5">
        <v>16.570199560921001</v>
      </c>
      <c r="K7065" s="5">
        <v>-97.032051264204</v>
      </c>
      <c r="L7065" s="5" t="str">
        <f>HYPERLINK("https://maps.google.com/?q=16.570199560921,-97.032051264203801", "🔗 Ver Mapa")</f>
        <v>🔗 Ver Mapa</v>
      </c>
    </row>
    <row r="7066" spans="1:12" ht="43.5" x14ac:dyDescent="0.35">
      <c r="A7066" s="6" t="s">
        <v>98</v>
      </c>
      <c r="B7066" s="6" t="s">
        <v>99</v>
      </c>
      <c r="C7066" s="6" t="s">
        <v>1355</v>
      </c>
      <c r="D7066" s="6" t="s">
        <v>14</v>
      </c>
      <c r="E7066" s="6" t="s">
        <v>39</v>
      </c>
      <c r="F7066" s="6" t="s">
        <v>494</v>
      </c>
      <c r="G7066" s="6" t="s">
        <v>571</v>
      </c>
      <c r="H7066" s="6" t="s">
        <v>1356</v>
      </c>
      <c r="I7066" s="6" t="s">
        <v>31</v>
      </c>
      <c r="J7066" s="6">
        <v>16.570317924302</v>
      </c>
      <c r="K7066" s="6">
        <v>-97.034983530670999</v>
      </c>
      <c r="L7066" s="6" t="str">
        <f>HYPERLINK("https://maps.google.com/?q=16.5703179243021,-97.034983530671397", "🔗 Ver Mapa")</f>
        <v>🔗 Ver Mapa</v>
      </c>
    </row>
    <row r="7067" spans="1:12" ht="43.5" x14ac:dyDescent="0.35">
      <c r="A7067" s="5" t="s">
        <v>98</v>
      </c>
      <c r="B7067" s="5" t="s">
        <v>99</v>
      </c>
      <c r="C7067" s="5" t="s">
        <v>1355</v>
      </c>
      <c r="D7067" s="5" t="s">
        <v>14</v>
      </c>
      <c r="E7067" s="5" t="s">
        <v>39</v>
      </c>
      <c r="F7067" s="5" t="s">
        <v>494</v>
      </c>
      <c r="G7067" s="5" t="s">
        <v>571</v>
      </c>
      <c r="H7067" s="5" t="s">
        <v>1356</v>
      </c>
      <c r="I7067" s="5" t="s">
        <v>31</v>
      </c>
      <c r="J7067" s="5">
        <v>16.570688302358999</v>
      </c>
      <c r="K7067" s="5">
        <v>-97.034727376825003</v>
      </c>
      <c r="L7067" s="5" t="str">
        <f>HYPERLINK("https://maps.google.com/?q=16.5706883023592,-97.034727376825103", "🔗 Ver Mapa")</f>
        <v>🔗 Ver Mapa</v>
      </c>
    </row>
    <row r="7068" spans="1:12" ht="43.5" x14ac:dyDescent="0.35">
      <c r="A7068" s="6" t="s">
        <v>98</v>
      </c>
      <c r="B7068" s="6" t="s">
        <v>99</v>
      </c>
      <c r="C7068" s="6" t="s">
        <v>1355</v>
      </c>
      <c r="D7068" s="6" t="s">
        <v>14</v>
      </c>
      <c r="E7068" s="6" t="s">
        <v>39</v>
      </c>
      <c r="F7068" s="6" t="s">
        <v>494</v>
      </c>
      <c r="G7068" s="6" t="s">
        <v>571</v>
      </c>
      <c r="H7068" s="6" t="s">
        <v>1356</v>
      </c>
      <c r="I7068" s="6" t="s">
        <v>31</v>
      </c>
      <c r="J7068" s="6">
        <v>16.571459475682001</v>
      </c>
      <c r="K7068" s="6">
        <v>-97.037499206185998</v>
      </c>
      <c r="L7068" s="6" t="str">
        <f>HYPERLINK("https://maps.google.com/?q=16.5714594756823,-97.037499206186197", "🔗 Ver Mapa")</f>
        <v>🔗 Ver Mapa</v>
      </c>
    </row>
    <row r="7069" spans="1:12" ht="43.5" x14ac:dyDescent="0.35">
      <c r="A7069" s="5" t="s">
        <v>98</v>
      </c>
      <c r="B7069" s="5" t="s">
        <v>99</v>
      </c>
      <c r="C7069" s="5" t="s">
        <v>1355</v>
      </c>
      <c r="D7069" s="5" t="s">
        <v>14</v>
      </c>
      <c r="E7069" s="5" t="s">
        <v>39</v>
      </c>
      <c r="F7069" s="5" t="s">
        <v>494</v>
      </c>
      <c r="G7069" s="5" t="s">
        <v>571</v>
      </c>
      <c r="H7069" s="5" t="s">
        <v>1356</v>
      </c>
      <c r="I7069" s="5" t="s">
        <v>31</v>
      </c>
      <c r="J7069" s="5">
        <v>16.571791178032001</v>
      </c>
      <c r="K7069" s="5">
        <v>-97.033870411045001</v>
      </c>
      <c r="L7069" s="5" t="str">
        <f>HYPERLINK("https://maps.google.com/?q=16.5717911780322,-97.0338704110451", "🔗 Ver Mapa")</f>
        <v>🔗 Ver Mapa</v>
      </c>
    </row>
    <row r="7070" spans="1:12" ht="43.5" x14ac:dyDescent="0.35">
      <c r="A7070" s="6" t="s">
        <v>98</v>
      </c>
      <c r="B7070" s="6" t="s">
        <v>99</v>
      </c>
      <c r="C7070" s="6" t="s">
        <v>1355</v>
      </c>
      <c r="D7070" s="6" t="s">
        <v>14</v>
      </c>
      <c r="E7070" s="6" t="s">
        <v>39</v>
      </c>
      <c r="F7070" s="6" t="s">
        <v>494</v>
      </c>
      <c r="G7070" s="6" t="s">
        <v>571</v>
      </c>
      <c r="H7070" s="6" t="s">
        <v>1356</v>
      </c>
      <c r="I7070" s="6" t="s">
        <v>31</v>
      </c>
      <c r="J7070" s="6">
        <v>16.571921692625999</v>
      </c>
      <c r="K7070" s="6">
        <v>-97.033789081267997</v>
      </c>
      <c r="L7070" s="6" t="str">
        <f>HYPERLINK("https://maps.google.com/?q=16.571921692626,-97.033789081267699", "🔗 Ver Mapa")</f>
        <v>🔗 Ver Mapa</v>
      </c>
    </row>
    <row r="7071" spans="1:12" ht="43.5" x14ac:dyDescent="0.35">
      <c r="A7071" s="5" t="s">
        <v>98</v>
      </c>
      <c r="B7071" s="5" t="s">
        <v>99</v>
      </c>
      <c r="C7071" s="5" t="s">
        <v>1355</v>
      </c>
      <c r="D7071" s="5" t="s">
        <v>14</v>
      </c>
      <c r="E7071" s="5" t="s">
        <v>39</v>
      </c>
      <c r="F7071" s="5" t="s">
        <v>494</v>
      </c>
      <c r="G7071" s="5" t="s">
        <v>571</v>
      </c>
      <c r="H7071" s="5" t="s">
        <v>1356</v>
      </c>
      <c r="I7071" s="5" t="s">
        <v>31</v>
      </c>
      <c r="J7071" s="5">
        <v>16.57255380945</v>
      </c>
      <c r="K7071" s="5">
        <v>-97.036465217612999</v>
      </c>
      <c r="L7071" s="5" t="str">
        <f>HYPERLINK("https://maps.google.com/?q=16.5725538094496,-97.036465217612502", "🔗 Ver Mapa")</f>
        <v>🔗 Ver Mapa</v>
      </c>
    </row>
    <row r="7072" spans="1:12" ht="43.5" x14ac:dyDescent="0.35">
      <c r="A7072" s="6" t="s">
        <v>98</v>
      </c>
      <c r="B7072" s="6" t="s">
        <v>99</v>
      </c>
      <c r="C7072" s="6" t="s">
        <v>1355</v>
      </c>
      <c r="D7072" s="6" t="s">
        <v>14</v>
      </c>
      <c r="E7072" s="6" t="s">
        <v>39</v>
      </c>
      <c r="F7072" s="6" t="s">
        <v>494</v>
      </c>
      <c r="G7072" s="6" t="s">
        <v>571</v>
      </c>
      <c r="H7072" s="6" t="s">
        <v>1356</v>
      </c>
      <c r="I7072" s="6" t="s">
        <v>31</v>
      </c>
      <c r="J7072" s="6">
        <v>16.572909863288999</v>
      </c>
      <c r="K7072" s="6">
        <v>-97.033713271164004</v>
      </c>
      <c r="L7072" s="6" t="str">
        <f>HYPERLINK("https://maps.google.com/?q=16.5729098632885,-97.033713271163904", "🔗 Ver Mapa")</f>
        <v>🔗 Ver Mapa</v>
      </c>
    </row>
    <row r="7073" spans="1:12" ht="43.5" x14ac:dyDescent="0.35">
      <c r="A7073" s="5" t="s">
        <v>98</v>
      </c>
      <c r="B7073" s="5" t="s">
        <v>99</v>
      </c>
      <c r="C7073" s="5" t="s">
        <v>1355</v>
      </c>
      <c r="D7073" s="5" t="s">
        <v>14</v>
      </c>
      <c r="E7073" s="5" t="s">
        <v>39</v>
      </c>
      <c r="F7073" s="5" t="s">
        <v>494</v>
      </c>
      <c r="G7073" s="5" t="s">
        <v>571</v>
      </c>
      <c r="H7073" s="5" t="s">
        <v>1356</v>
      </c>
      <c r="I7073" s="5" t="s">
        <v>31</v>
      </c>
      <c r="J7073" s="5">
        <v>16.573199907229998</v>
      </c>
      <c r="K7073" s="5">
        <v>-97.034180537910004</v>
      </c>
      <c r="L7073" s="5" t="str">
        <f>HYPERLINK("https://maps.google.com/?q=16.5731999072296,-97.034180537910103", "🔗 Ver Mapa")</f>
        <v>🔗 Ver Mapa</v>
      </c>
    </row>
    <row r="7074" spans="1:12" ht="43.5" x14ac:dyDescent="0.35">
      <c r="A7074" s="6" t="s">
        <v>98</v>
      </c>
      <c r="B7074" s="6" t="s">
        <v>99</v>
      </c>
      <c r="C7074" s="6" t="s">
        <v>1357</v>
      </c>
      <c r="D7074" s="6" t="s">
        <v>14</v>
      </c>
      <c r="E7074" s="6" t="s">
        <v>17</v>
      </c>
      <c r="F7074" s="6" t="s">
        <v>59</v>
      </c>
      <c r="G7074" s="6" t="s">
        <v>60</v>
      </c>
      <c r="H7074" s="6" t="s">
        <v>1358</v>
      </c>
      <c r="I7074" s="6" t="s">
        <v>31</v>
      </c>
      <c r="J7074" s="6">
        <v>16.376263999999999</v>
      </c>
      <c r="K7074" s="6">
        <v>-98.141261</v>
      </c>
      <c r="L7074" s="6" t="str">
        <f>HYPERLINK("https://maps.google.com/?q=16.376264,-98.141261", "🔗 Ver Mapa")</f>
        <v>🔗 Ver Mapa</v>
      </c>
    </row>
    <row r="7075" spans="1:12" ht="43.5" x14ac:dyDescent="0.35">
      <c r="A7075" s="5" t="s">
        <v>98</v>
      </c>
      <c r="B7075" s="5" t="s">
        <v>99</v>
      </c>
      <c r="C7075" s="5" t="s">
        <v>1357</v>
      </c>
      <c r="D7075" s="5" t="s">
        <v>14</v>
      </c>
      <c r="E7075" s="5" t="s">
        <v>17</v>
      </c>
      <c r="F7075" s="5" t="s">
        <v>59</v>
      </c>
      <c r="G7075" s="5" t="s">
        <v>60</v>
      </c>
      <c r="H7075" s="5" t="s">
        <v>1358</v>
      </c>
      <c r="I7075" s="5" t="s">
        <v>31</v>
      </c>
      <c r="J7075" s="5">
        <v>16.376472</v>
      </c>
      <c r="K7075" s="5">
        <v>-98.141304000000005</v>
      </c>
      <c r="L7075" s="5" t="str">
        <f>HYPERLINK("https://maps.google.com/?q=16.376472,-98.141304000000005", "🔗 Ver Mapa")</f>
        <v>🔗 Ver Mapa</v>
      </c>
    </row>
    <row r="7076" spans="1:12" ht="43.5" x14ac:dyDescent="0.35">
      <c r="A7076" s="6" t="s">
        <v>98</v>
      </c>
      <c r="B7076" s="6" t="s">
        <v>99</v>
      </c>
      <c r="C7076" s="6" t="s">
        <v>1357</v>
      </c>
      <c r="D7076" s="6" t="s">
        <v>14</v>
      </c>
      <c r="E7076" s="6" t="s">
        <v>17</v>
      </c>
      <c r="F7076" s="6" t="s">
        <v>59</v>
      </c>
      <c r="G7076" s="6" t="s">
        <v>60</v>
      </c>
      <c r="H7076" s="6" t="s">
        <v>1358</v>
      </c>
      <c r="I7076" s="6" t="s">
        <v>31</v>
      </c>
      <c r="J7076" s="6">
        <v>16.376532000000001</v>
      </c>
      <c r="K7076" s="6">
        <v>-98.140310999999997</v>
      </c>
      <c r="L7076" s="6" t="str">
        <f>HYPERLINK("https://maps.google.com/?q=16.376532,-98.140310999999997", "🔗 Ver Mapa")</f>
        <v>🔗 Ver Mapa</v>
      </c>
    </row>
    <row r="7077" spans="1:12" ht="43.5" x14ac:dyDescent="0.35">
      <c r="A7077" s="5" t="s">
        <v>98</v>
      </c>
      <c r="B7077" s="5" t="s">
        <v>99</v>
      </c>
      <c r="C7077" s="5" t="s">
        <v>1357</v>
      </c>
      <c r="D7077" s="5" t="s">
        <v>14</v>
      </c>
      <c r="E7077" s="5" t="s">
        <v>17</v>
      </c>
      <c r="F7077" s="5" t="s">
        <v>59</v>
      </c>
      <c r="G7077" s="5" t="s">
        <v>60</v>
      </c>
      <c r="H7077" s="5" t="s">
        <v>1358</v>
      </c>
      <c r="I7077" s="5" t="s">
        <v>31</v>
      </c>
      <c r="J7077" s="5">
        <v>16.377117999999999</v>
      </c>
      <c r="K7077" s="5">
        <v>-98.141544999999994</v>
      </c>
      <c r="L7077" s="5" t="str">
        <f>HYPERLINK("https://maps.google.com/?q=16.377118,-98.141544999999994", "🔗 Ver Mapa")</f>
        <v>🔗 Ver Mapa</v>
      </c>
    </row>
    <row r="7078" spans="1:12" ht="43.5" x14ac:dyDescent="0.35">
      <c r="A7078" s="6" t="s">
        <v>98</v>
      </c>
      <c r="B7078" s="6" t="s">
        <v>99</v>
      </c>
      <c r="C7078" s="6" t="s">
        <v>1357</v>
      </c>
      <c r="D7078" s="6" t="s">
        <v>14</v>
      </c>
      <c r="E7078" s="6" t="s">
        <v>17</v>
      </c>
      <c r="F7078" s="6" t="s">
        <v>59</v>
      </c>
      <c r="G7078" s="6" t="s">
        <v>60</v>
      </c>
      <c r="H7078" s="6" t="s">
        <v>1358</v>
      </c>
      <c r="I7078" s="6" t="s">
        <v>31</v>
      </c>
      <c r="J7078" s="6">
        <v>16.377355000000001</v>
      </c>
      <c r="K7078" s="6">
        <v>-98.143675000000002</v>
      </c>
      <c r="L7078" s="6" t="str">
        <f>HYPERLINK("https://maps.google.com/?q=16.377355,-98.143675000000002", "🔗 Ver Mapa")</f>
        <v>🔗 Ver Mapa</v>
      </c>
    </row>
    <row r="7079" spans="1:12" ht="43.5" x14ac:dyDescent="0.35">
      <c r="A7079" s="5" t="s">
        <v>98</v>
      </c>
      <c r="B7079" s="5" t="s">
        <v>99</v>
      </c>
      <c r="C7079" s="5" t="s">
        <v>1357</v>
      </c>
      <c r="D7079" s="5" t="s">
        <v>14</v>
      </c>
      <c r="E7079" s="5" t="s">
        <v>17</v>
      </c>
      <c r="F7079" s="5" t="s">
        <v>59</v>
      </c>
      <c r="G7079" s="5" t="s">
        <v>60</v>
      </c>
      <c r="H7079" s="5" t="s">
        <v>1358</v>
      </c>
      <c r="I7079" s="5" t="s">
        <v>31</v>
      </c>
      <c r="J7079" s="5">
        <v>16.377427000000001</v>
      </c>
      <c r="K7079" s="5">
        <v>-98.143157000000002</v>
      </c>
      <c r="L7079" s="5" t="str">
        <f>HYPERLINK("https://maps.google.com/?q=16.377427,-98.143157000000002", "🔗 Ver Mapa")</f>
        <v>🔗 Ver Mapa</v>
      </c>
    </row>
    <row r="7080" spans="1:12" ht="43.5" x14ac:dyDescent="0.35">
      <c r="A7080" s="6" t="s">
        <v>98</v>
      </c>
      <c r="B7080" s="6" t="s">
        <v>99</v>
      </c>
      <c r="C7080" s="6" t="s">
        <v>1357</v>
      </c>
      <c r="D7080" s="6" t="s">
        <v>14</v>
      </c>
      <c r="E7080" s="6" t="s">
        <v>17</v>
      </c>
      <c r="F7080" s="6" t="s">
        <v>59</v>
      </c>
      <c r="G7080" s="6" t="s">
        <v>60</v>
      </c>
      <c r="H7080" s="6" t="s">
        <v>1358</v>
      </c>
      <c r="I7080" s="6" t="s">
        <v>31</v>
      </c>
      <c r="J7080" s="6">
        <v>16.377569000000001</v>
      </c>
      <c r="K7080" s="6">
        <v>-98.142601999999997</v>
      </c>
      <c r="L7080" s="6" t="str">
        <f>HYPERLINK("https://maps.google.com/?q=16.377569,-98.142601999999997", "🔗 Ver Mapa")</f>
        <v>🔗 Ver Mapa</v>
      </c>
    </row>
    <row r="7081" spans="1:12" ht="43.5" x14ac:dyDescent="0.35">
      <c r="A7081" s="5" t="s">
        <v>98</v>
      </c>
      <c r="B7081" s="5" t="s">
        <v>99</v>
      </c>
      <c r="C7081" s="5" t="s">
        <v>1357</v>
      </c>
      <c r="D7081" s="5" t="s">
        <v>14</v>
      </c>
      <c r="E7081" s="5" t="s">
        <v>17</v>
      </c>
      <c r="F7081" s="5" t="s">
        <v>59</v>
      </c>
      <c r="G7081" s="5" t="s">
        <v>60</v>
      </c>
      <c r="H7081" s="5" t="s">
        <v>1358</v>
      </c>
      <c r="I7081" s="5" t="s">
        <v>31</v>
      </c>
      <c r="J7081" s="5">
        <v>16.377610000000001</v>
      </c>
      <c r="K7081" s="5">
        <v>-98.142995999999997</v>
      </c>
      <c r="L7081" s="5" t="str">
        <f>HYPERLINK("https://maps.google.com/?q=16.37761,-98.142995999999997", "🔗 Ver Mapa")</f>
        <v>🔗 Ver Mapa</v>
      </c>
    </row>
    <row r="7082" spans="1:12" ht="43.5" x14ac:dyDescent="0.35">
      <c r="A7082" s="6" t="s">
        <v>98</v>
      </c>
      <c r="B7082" s="6" t="s">
        <v>99</v>
      </c>
      <c r="C7082" s="6" t="s">
        <v>1357</v>
      </c>
      <c r="D7082" s="6" t="s">
        <v>14</v>
      </c>
      <c r="E7082" s="6" t="s">
        <v>17</v>
      </c>
      <c r="F7082" s="6" t="s">
        <v>59</v>
      </c>
      <c r="G7082" s="6" t="s">
        <v>60</v>
      </c>
      <c r="H7082" s="6" t="s">
        <v>1358</v>
      </c>
      <c r="I7082" s="6" t="s">
        <v>31</v>
      </c>
      <c r="J7082" s="6">
        <v>16.377623</v>
      </c>
      <c r="K7082" s="6">
        <v>-98.140668000000005</v>
      </c>
      <c r="L7082" s="6" t="str">
        <f>HYPERLINK("https://maps.google.com/?q=16.377623,-98.140668000000005", "🔗 Ver Mapa")</f>
        <v>🔗 Ver Mapa</v>
      </c>
    </row>
    <row r="7083" spans="1:12" ht="43.5" x14ac:dyDescent="0.35">
      <c r="A7083" s="5" t="s">
        <v>98</v>
      </c>
      <c r="B7083" s="5" t="s">
        <v>99</v>
      </c>
      <c r="C7083" s="5" t="s">
        <v>1357</v>
      </c>
      <c r="D7083" s="5" t="s">
        <v>14</v>
      </c>
      <c r="E7083" s="5" t="s">
        <v>17</v>
      </c>
      <c r="F7083" s="5" t="s">
        <v>59</v>
      </c>
      <c r="G7083" s="5" t="s">
        <v>60</v>
      </c>
      <c r="H7083" s="5" t="s">
        <v>1358</v>
      </c>
      <c r="I7083" s="5" t="s">
        <v>31</v>
      </c>
      <c r="J7083" s="5">
        <v>16.378036999999999</v>
      </c>
      <c r="K7083" s="5">
        <v>-98.142916999999997</v>
      </c>
      <c r="L7083" s="5" t="str">
        <f>HYPERLINK("https://maps.google.com/?q=16.378037,-98.142916999999997", "🔗 Ver Mapa")</f>
        <v>🔗 Ver Mapa</v>
      </c>
    </row>
    <row r="7084" spans="1:12" ht="43.5" x14ac:dyDescent="0.35">
      <c r="A7084" s="6" t="s">
        <v>98</v>
      </c>
      <c r="B7084" s="6" t="s">
        <v>99</v>
      </c>
      <c r="C7084" s="6" t="s">
        <v>1359</v>
      </c>
      <c r="D7084" s="6" t="s">
        <v>14</v>
      </c>
      <c r="E7084" s="6" t="s">
        <v>17</v>
      </c>
      <c r="F7084" s="6" t="s">
        <v>59</v>
      </c>
      <c r="G7084" s="6" t="s">
        <v>60</v>
      </c>
      <c r="H7084" s="6" t="s">
        <v>61</v>
      </c>
      <c r="I7084" s="6" t="s">
        <v>31</v>
      </c>
      <c r="J7084" s="6">
        <v>0</v>
      </c>
      <c r="K7084" s="6" t="s">
        <v>1360</v>
      </c>
      <c r="L7084" s="6" t="str">
        <f>HYPERLINK("https://maps.google.com/?q=0, -98.075525", "🔗 Ver Mapa")</f>
        <v>🔗 Ver Mapa</v>
      </c>
    </row>
    <row r="7085" spans="1:12" ht="43.5" x14ac:dyDescent="0.35">
      <c r="A7085" s="5" t="s">
        <v>98</v>
      </c>
      <c r="B7085" s="5" t="s">
        <v>99</v>
      </c>
      <c r="C7085" s="5" t="s">
        <v>1359</v>
      </c>
      <c r="D7085" s="5" t="s">
        <v>14</v>
      </c>
      <c r="E7085" s="5" t="s">
        <v>17</v>
      </c>
      <c r="F7085" s="5" t="s">
        <v>59</v>
      </c>
      <c r="G7085" s="5" t="s">
        <v>60</v>
      </c>
      <c r="H7085" s="5" t="s">
        <v>61</v>
      </c>
      <c r="I7085" s="5" t="s">
        <v>31</v>
      </c>
      <c r="J7085" s="5">
        <v>16.326805</v>
      </c>
      <c r="K7085" s="5">
        <v>-98.055601999999993</v>
      </c>
      <c r="L7085" s="5" t="str">
        <f>HYPERLINK("https://maps.google.com/?q=16.326805,-98.055601999999993", "🔗 Ver Mapa")</f>
        <v>🔗 Ver Mapa</v>
      </c>
    </row>
    <row r="7086" spans="1:12" ht="43.5" x14ac:dyDescent="0.35">
      <c r="A7086" s="6" t="s">
        <v>98</v>
      </c>
      <c r="B7086" s="6" t="s">
        <v>99</v>
      </c>
      <c r="C7086" s="6" t="s">
        <v>1359</v>
      </c>
      <c r="D7086" s="6" t="s">
        <v>14</v>
      </c>
      <c r="E7086" s="6" t="s">
        <v>17</v>
      </c>
      <c r="F7086" s="6" t="s">
        <v>59</v>
      </c>
      <c r="G7086" s="6" t="s">
        <v>60</v>
      </c>
      <c r="H7086" s="6" t="s">
        <v>61</v>
      </c>
      <c r="I7086" s="6" t="s">
        <v>31</v>
      </c>
      <c r="J7086" s="6">
        <v>16.326868999999999</v>
      </c>
      <c r="K7086" s="6">
        <v>-98.053826999999998</v>
      </c>
      <c r="L7086" s="6" t="str">
        <f>HYPERLINK("https://maps.google.com/?q=16.326869,-98.053826999999998", "🔗 Ver Mapa")</f>
        <v>🔗 Ver Mapa</v>
      </c>
    </row>
    <row r="7087" spans="1:12" ht="43.5" x14ac:dyDescent="0.35">
      <c r="A7087" s="5" t="s">
        <v>98</v>
      </c>
      <c r="B7087" s="5" t="s">
        <v>99</v>
      </c>
      <c r="C7087" s="5" t="s">
        <v>1359</v>
      </c>
      <c r="D7087" s="5" t="s">
        <v>14</v>
      </c>
      <c r="E7087" s="5" t="s">
        <v>17</v>
      </c>
      <c r="F7087" s="5" t="s">
        <v>59</v>
      </c>
      <c r="G7087" s="5" t="s">
        <v>60</v>
      </c>
      <c r="H7087" s="5" t="s">
        <v>61</v>
      </c>
      <c r="I7087" s="5" t="s">
        <v>31</v>
      </c>
      <c r="J7087" s="5">
        <v>16.326885000000001</v>
      </c>
      <c r="K7087" s="5">
        <v>-98.053673000000003</v>
      </c>
      <c r="L7087" s="5" t="str">
        <f>HYPERLINK("https://maps.google.com/?q=16.326885,-98.053673000000003", "🔗 Ver Mapa")</f>
        <v>🔗 Ver Mapa</v>
      </c>
    </row>
    <row r="7088" spans="1:12" ht="43.5" x14ac:dyDescent="0.35">
      <c r="A7088" s="6" t="s">
        <v>98</v>
      </c>
      <c r="B7088" s="6" t="s">
        <v>99</v>
      </c>
      <c r="C7088" s="6" t="s">
        <v>1359</v>
      </c>
      <c r="D7088" s="6" t="s">
        <v>14</v>
      </c>
      <c r="E7088" s="6" t="s">
        <v>17</v>
      </c>
      <c r="F7088" s="6" t="s">
        <v>59</v>
      </c>
      <c r="G7088" s="6" t="s">
        <v>60</v>
      </c>
      <c r="H7088" s="6" t="s">
        <v>61</v>
      </c>
      <c r="I7088" s="6" t="s">
        <v>31</v>
      </c>
      <c r="J7088" s="6">
        <v>16.326958999999999</v>
      </c>
      <c r="K7088" s="6">
        <v>-98.056683000000007</v>
      </c>
      <c r="L7088" s="6" t="str">
        <f>HYPERLINK("https://maps.google.com/?q=16.326959,-98.056683000000007", "🔗 Ver Mapa")</f>
        <v>🔗 Ver Mapa</v>
      </c>
    </row>
    <row r="7089" spans="1:12" ht="43.5" x14ac:dyDescent="0.35">
      <c r="A7089" s="5" t="s">
        <v>98</v>
      </c>
      <c r="B7089" s="5" t="s">
        <v>99</v>
      </c>
      <c r="C7089" s="5" t="s">
        <v>1359</v>
      </c>
      <c r="D7089" s="5" t="s">
        <v>14</v>
      </c>
      <c r="E7089" s="5" t="s">
        <v>17</v>
      </c>
      <c r="F7089" s="5" t="s">
        <v>59</v>
      </c>
      <c r="G7089" s="5" t="s">
        <v>60</v>
      </c>
      <c r="H7089" s="5" t="s">
        <v>61</v>
      </c>
      <c r="I7089" s="5" t="s">
        <v>31</v>
      </c>
      <c r="J7089" s="5">
        <v>16.326989999999999</v>
      </c>
      <c r="K7089" s="5">
        <v>-98.053674000000001</v>
      </c>
      <c r="L7089" s="5" t="str">
        <f>HYPERLINK("https://maps.google.com/?q=16.32699,-98.053674000000001", "🔗 Ver Mapa")</f>
        <v>🔗 Ver Mapa</v>
      </c>
    </row>
    <row r="7090" spans="1:12" ht="43.5" x14ac:dyDescent="0.35">
      <c r="A7090" s="6" t="s">
        <v>98</v>
      </c>
      <c r="B7090" s="6" t="s">
        <v>99</v>
      </c>
      <c r="C7090" s="6" t="s">
        <v>1359</v>
      </c>
      <c r="D7090" s="6" t="s">
        <v>14</v>
      </c>
      <c r="E7090" s="6" t="s">
        <v>17</v>
      </c>
      <c r="F7090" s="6" t="s">
        <v>59</v>
      </c>
      <c r="G7090" s="6" t="s">
        <v>60</v>
      </c>
      <c r="H7090" s="6" t="s">
        <v>61</v>
      </c>
      <c r="I7090" s="6" t="s">
        <v>31</v>
      </c>
      <c r="J7090" s="6">
        <v>16.327576059142999</v>
      </c>
      <c r="K7090" s="6">
        <v>-98.055833150788004</v>
      </c>
      <c r="L7090" s="6" t="str">
        <f>HYPERLINK("https://maps.google.com/?q=16.3275760591427,-98.0558331507875", "🔗 Ver Mapa")</f>
        <v>🔗 Ver Mapa</v>
      </c>
    </row>
    <row r="7091" spans="1:12" ht="43.5" x14ac:dyDescent="0.35">
      <c r="A7091" s="5" t="s">
        <v>98</v>
      </c>
      <c r="B7091" s="5" t="s">
        <v>99</v>
      </c>
      <c r="C7091" s="5" t="s">
        <v>1359</v>
      </c>
      <c r="D7091" s="5" t="s">
        <v>14</v>
      </c>
      <c r="E7091" s="5" t="s">
        <v>17</v>
      </c>
      <c r="F7091" s="5" t="s">
        <v>59</v>
      </c>
      <c r="G7091" s="5" t="s">
        <v>60</v>
      </c>
      <c r="H7091" s="5" t="s">
        <v>61</v>
      </c>
      <c r="I7091" s="5" t="s">
        <v>31</v>
      </c>
      <c r="J7091" s="5">
        <v>16.328897000000001</v>
      </c>
      <c r="K7091" s="5">
        <v>-98.055421999999993</v>
      </c>
      <c r="L7091" s="5" t="str">
        <f>HYPERLINK("https://maps.google.com/?q=16.328897,-98.055421999999993", "🔗 Ver Mapa")</f>
        <v>🔗 Ver Mapa</v>
      </c>
    </row>
    <row r="7092" spans="1:12" ht="43.5" x14ac:dyDescent="0.35">
      <c r="A7092" s="6" t="s">
        <v>98</v>
      </c>
      <c r="B7092" s="6" t="s">
        <v>99</v>
      </c>
      <c r="C7092" s="6" t="s">
        <v>1359</v>
      </c>
      <c r="D7092" s="6" t="s">
        <v>14</v>
      </c>
      <c r="E7092" s="6" t="s">
        <v>17</v>
      </c>
      <c r="F7092" s="6" t="s">
        <v>59</v>
      </c>
      <c r="G7092" s="6" t="s">
        <v>60</v>
      </c>
      <c r="H7092" s="6" t="s">
        <v>61</v>
      </c>
      <c r="I7092" s="6" t="s">
        <v>31</v>
      </c>
      <c r="J7092" s="6">
        <v>16.328928000000001</v>
      </c>
      <c r="K7092" s="6" t="s">
        <v>1361</v>
      </c>
      <c r="L7092" s="6" t="str">
        <f>HYPERLINK("https://maps.google.com/?q=16.328928, -98.054566", "🔗 Ver Mapa")</f>
        <v>🔗 Ver Mapa</v>
      </c>
    </row>
    <row r="7093" spans="1:12" ht="43.5" x14ac:dyDescent="0.35">
      <c r="A7093" s="5" t="s">
        <v>98</v>
      </c>
      <c r="B7093" s="5" t="s">
        <v>99</v>
      </c>
      <c r="C7093" s="5" t="s">
        <v>1359</v>
      </c>
      <c r="D7093" s="5" t="s">
        <v>14</v>
      </c>
      <c r="E7093" s="5" t="s">
        <v>17</v>
      </c>
      <c r="F7093" s="5" t="s">
        <v>59</v>
      </c>
      <c r="G7093" s="5" t="s">
        <v>60</v>
      </c>
      <c r="H7093" s="5" t="s">
        <v>61</v>
      </c>
      <c r="I7093" s="5" t="s">
        <v>31</v>
      </c>
      <c r="J7093" s="5">
        <v>16.329156999999999</v>
      </c>
      <c r="K7093" s="5" t="s">
        <v>1362</v>
      </c>
      <c r="L7093" s="5" t="str">
        <f>HYPERLINK("https://maps.google.com/?q=16.329157, -98.055247", "🔗 Ver Mapa")</f>
        <v>🔗 Ver Mapa</v>
      </c>
    </row>
    <row r="7094" spans="1:12" ht="43.5" x14ac:dyDescent="0.35">
      <c r="A7094" s="6" t="s">
        <v>98</v>
      </c>
      <c r="B7094" s="6" t="s">
        <v>99</v>
      </c>
      <c r="C7094" s="6" t="s">
        <v>1359</v>
      </c>
      <c r="D7094" s="6" t="s">
        <v>14</v>
      </c>
      <c r="E7094" s="6" t="s">
        <v>17</v>
      </c>
      <c r="F7094" s="6" t="s">
        <v>59</v>
      </c>
      <c r="G7094" s="6" t="s">
        <v>60</v>
      </c>
      <c r="H7094" s="6" t="s">
        <v>61</v>
      </c>
      <c r="I7094" s="6" t="s">
        <v>31</v>
      </c>
      <c r="J7094" s="6">
        <v>16.329276</v>
      </c>
      <c r="K7094" s="6">
        <v>-98.055715000000006</v>
      </c>
      <c r="L7094" s="6" t="str">
        <f>HYPERLINK("https://maps.google.com/?q=16.329276,-98.055715000000006", "🔗 Ver Mapa")</f>
        <v>🔗 Ver Mapa</v>
      </c>
    </row>
    <row r="7095" spans="1:12" ht="43.5" x14ac:dyDescent="0.35">
      <c r="A7095" s="5" t="s">
        <v>98</v>
      </c>
      <c r="B7095" s="5" t="s">
        <v>99</v>
      </c>
      <c r="C7095" s="5" t="s">
        <v>1359</v>
      </c>
      <c r="D7095" s="5" t="s">
        <v>14</v>
      </c>
      <c r="E7095" s="5" t="s">
        <v>17</v>
      </c>
      <c r="F7095" s="5" t="s">
        <v>59</v>
      </c>
      <c r="G7095" s="5" t="s">
        <v>60</v>
      </c>
      <c r="H7095" s="5" t="s">
        <v>61</v>
      </c>
      <c r="I7095" s="5" t="s">
        <v>31</v>
      </c>
      <c r="J7095" s="5">
        <v>16.344943000000001</v>
      </c>
      <c r="K7095" s="5">
        <v>-98.075323999999995</v>
      </c>
      <c r="L7095" s="5" t="str">
        <f>HYPERLINK("https://maps.google.com/?q=16.344943,-98.075323999999995", "🔗 Ver Mapa")</f>
        <v>🔗 Ver Mapa</v>
      </c>
    </row>
    <row r="7096" spans="1:12" ht="43.5" x14ac:dyDescent="0.35">
      <c r="A7096" s="6" t="s">
        <v>98</v>
      </c>
      <c r="B7096" s="6" t="s">
        <v>99</v>
      </c>
      <c r="C7096" s="6" t="s">
        <v>1359</v>
      </c>
      <c r="D7096" s="6" t="s">
        <v>14</v>
      </c>
      <c r="E7096" s="6" t="s">
        <v>17</v>
      </c>
      <c r="F7096" s="6" t="s">
        <v>59</v>
      </c>
      <c r="G7096" s="6" t="s">
        <v>60</v>
      </c>
      <c r="H7096" s="6" t="s">
        <v>61</v>
      </c>
      <c r="I7096" s="6" t="s">
        <v>31</v>
      </c>
      <c r="J7096" s="6">
        <v>16.345396000000001</v>
      </c>
      <c r="K7096" s="6" t="s">
        <v>1363</v>
      </c>
      <c r="L7096" s="6" t="str">
        <f>HYPERLINK("https://maps.google.com/?q=16.345396, -98.062647", "🔗 Ver Mapa")</f>
        <v>🔗 Ver Mapa</v>
      </c>
    </row>
    <row r="7097" spans="1:12" ht="43.5" x14ac:dyDescent="0.35">
      <c r="A7097" s="5" t="s">
        <v>98</v>
      </c>
      <c r="B7097" s="5" t="s">
        <v>99</v>
      </c>
      <c r="C7097" s="5" t="s">
        <v>1359</v>
      </c>
      <c r="D7097" s="5" t="s">
        <v>14</v>
      </c>
      <c r="E7097" s="5" t="s">
        <v>17</v>
      </c>
      <c r="F7097" s="5" t="s">
        <v>59</v>
      </c>
      <c r="G7097" s="5" t="s">
        <v>60</v>
      </c>
      <c r="H7097" s="5" t="s">
        <v>61</v>
      </c>
      <c r="I7097" s="5" t="s">
        <v>31</v>
      </c>
      <c r="J7097" s="5">
        <v>16.346143000000001</v>
      </c>
      <c r="K7097" s="5" t="s">
        <v>1364</v>
      </c>
      <c r="L7097" s="5" t="str">
        <f>HYPERLINK("https://maps.google.com/?q=16.346143, -98.066724", "🔗 Ver Mapa")</f>
        <v>🔗 Ver Mapa</v>
      </c>
    </row>
    <row r="7098" spans="1:12" ht="43.5" x14ac:dyDescent="0.35">
      <c r="A7098" s="6" t="s">
        <v>98</v>
      </c>
      <c r="B7098" s="6" t="s">
        <v>99</v>
      </c>
      <c r="C7098" s="6" t="s">
        <v>1359</v>
      </c>
      <c r="D7098" s="6" t="s">
        <v>14</v>
      </c>
      <c r="E7098" s="6" t="s">
        <v>17</v>
      </c>
      <c r="F7098" s="6" t="s">
        <v>59</v>
      </c>
      <c r="G7098" s="6" t="s">
        <v>60</v>
      </c>
      <c r="H7098" s="6" t="s">
        <v>61</v>
      </c>
      <c r="I7098" s="6" t="s">
        <v>31</v>
      </c>
      <c r="J7098" s="6">
        <v>16.347635</v>
      </c>
      <c r="K7098" s="6">
        <v>-98.072725000000005</v>
      </c>
      <c r="L7098" s="6" t="str">
        <f>HYPERLINK("https://maps.google.com/?q=16.347635,-98.072725000000005", "🔗 Ver Mapa")</f>
        <v>🔗 Ver Mapa</v>
      </c>
    </row>
    <row r="7099" spans="1:12" ht="43.5" x14ac:dyDescent="0.35">
      <c r="A7099" s="5" t="s">
        <v>98</v>
      </c>
      <c r="B7099" s="5" t="s">
        <v>99</v>
      </c>
      <c r="C7099" s="5" t="s">
        <v>1359</v>
      </c>
      <c r="D7099" s="5" t="s">
        <v>14</v>
      </c>
      <c r="E7099" s="5" t="s">
        <v>17</v>
      </c>
      <c r="F7099" s="5" t="s">
        <v>59</v>
      </c>
      <c r="G7099" s="5" t="s">
        <v>60</v>
      </c>
      <c r="H7099" s="5" t="s">
        <v>61</v>
      </c>
      <c r="I7099" s="5" t="s">
        <v>31</v>
      </c>
      <c r="J7099" s="5">
        <v>16.348261000000001</v>
      </c>
      <c r="K7099" s="5">
        <v>-98.072781000000006</v>
      </c>
      <c r="L7099" s="5" t="str">
        <f>HYPERLINK("https://maps.google.com/?q=16.348261,-98.072781000000006", "🔗 Ver Mapa")</f>
        <v>🔗 Ver Mapa</v>
      </c>
    </row>
    <row r="7100" spans="1:12" ht="43.5" x14ac:dyDescent="0.35">
      <c r="A7100" s="6" t="s">
        <v>98</v>
      </c>
      <c r="B7100" s="6" t="s">
        <v>99</v>
      </c>
      <c r="C7100" s="6" t="s">
        <v>1359</v>
      </c>
      <c r="D7100" s="6" t="s">
        <v>14</v>
      </c>
      <c r="E7100" s="6" t="s">
        <v>17</v>
      </c>
      <c r="F7100" s="6" t="s">
        <v>59</v>
      </c>
      <c r="G7100" s="6" t="s">
        <v>60</v>
      </c>
      <c r="H7100" s="6" t="s">
        <v>61</v>
      </c>
      <c r="I7100" s="6" t="s">
        <v>31</v>
      </c>
      <c r="J7100" s="6">
        <v>16.348361000000001</v>
      </c>
      <c r="K7100" s="6">
        <v>-98.071370999999999</v>
      </c>
      <c r="L7100" s="6" t="str">
        <f>HYPERLINK("https://maps.google.com/?q=16.348361,-98.071370999999999", "🔗 Ver Mapa")</f>
        <v>🔗 Ver Mapa</v>
      </c>
    </row>
    <row r="7101" spans="1:12" ht="43.5" x14ac:dyDescent="0.35">
      <c r="A7101" s="5" t="s">
        <v>98</v>
      </c>
      <c r="B7101" s="5" t="s">
        <v>99</v>
      </c>
      <c r="C7101" s="5" t="s">
        <v>1359</v>
      </c>
      <c r="D7101" s="5" t="s">
        <v>14</v>
      </c>
      <c r="E7101" s="5" t="s">
        <v>17</v>
      </c>
      <c r="F7101" s="5" t="s">
        <v>59</v>
      </c>
      <c r="G7101" s="5" t="s">
        <v>60</v>
      </c>
      <c r="H7101" s="5" t="s">
        <v>61</v>
      </c>
      <c r="I7101" s="5" t="s">
        <v>31</v>
      </c>
      <c r="J7101" s="5">
        <v>16.348703</v>
      </c>
      <c r="K7101" s="5">
        <v>-98.072387000000006</v>
      </c>
      <c r="L7101" s="5" t="str">
        <f>HYPERLINK("https://maps.google.com/?q=16.348703,-98.072387000000006", "🔗 Ver Mapa")</f>
        <v>🔗 Ver Mapa</v>
      </c>
    </row>
    <row r="7102" spans="1:12" ht="43.5" x14ac:dyDescent="0.35">
      <c r="A7102" s="6" t="s">
        <v>98</v>
      </c>
      <c r="B7102" s="6" t="s">
        <v>99</v>
      </c>
      <c r="C7102" s="6" t="s">
        <v>1359</v>
      </c>
      <c r="D7102" s="6" t="s">
        <v>14</v>
      </c>
      <c r="E7102" s="6" t="s">
        <v>17</v>
      </c>
      <c r="F7102" s="6" t="s">
        <v>59</v>
      </c>
      <c r="G7102" s="6" t="s">
        <v>60</v>
      </c>
      <c r="H7102" s="6" t="s">
        <v>61</v>
      </c>
      <c r="I7102" s="6" t="s">
        <v>31</v>
      </c>
      <c r="J7102" s="6">
        <v>16.351593999999999</v>
      </c>
      <c r="K7102" s="6">
        <v>-98.058621000000002</v>
      </c>
      <c r="L7102" s="6" t="str">
        <f>HYPERLINK("https://maps.google.com/?q=16.351594,-98.058621000000002", "🔗 Ver Mapa")</f>
        <v>🔗 Ver Mapa</v>
      </c>
    </row>
    <row r="7103" spans="1:12" ht="43.5" x14ac:dyDescent="0.35">
      <c r="A7103" s="5" t="s">
        <v>98</v>
      </c>
      <c r="B7103" s="5" t="s">
        <v>99</v>
      </c>
      <c r="C7103" s="5" t="s">
        <v>1359</v>
      </c>
      <c r="D7103" s="5" t="s">
        <v>14</v>
      </c>
      <c r="E7103" s="5" t="s">
        <v>17</v>
      </c>
      <c r="F7103" s="5" t="s">
        <v>59</v>
      </c>
      <c r="G7103" s="5" t="s">
        <v>60</v>
      </c>
      <c r="H7103" s="5" t="s">
        <v>61</v>
      </c>
      <c r="I7103" s="5" t="s">
        <v>31</v>
      </c>
      <c r="J7103" s="5">
        <v>16.351997999999998</v>
      </c>
      <c r="K7103" s="5" t="s">
        <v>1365</v>
      </c>
      <c r="L7103" s="5" t="str">
        <f>HYPERLINK("https://maps.google.com/?q=16.351998, -98.057870", "🔗 Ver Mapa")</f>
        <v>🔗 Ver Mapa</v>
      </c>
    </row>
    <row r="7104" spans="1:12" ht="43.5" x14ac:dyDescent="0.35">
      <c r="A7104" s="6" t="s">
        <v>98</v>
      </c>
      <c r="B7104" s="6" t="s">
        <v>99</v>
      </c>
      <c r="C7104" s="6" t="s">
        <v>1366</v>
      </c>
      <c r="D7104" s="6" t="s">
        <v>14</v>
      </c>
      <c r="E7104" s="6" t="s">
        <v>16</v>
      </c>
      <c r="F7104" s="6" t="s">
        <v>21</v>
      </c>
      <c r="G7104" s="6" t="s">
        <v>1367</v>
      </c>
      <c r="H7104" s="6" t="s">
        <v>1368</v>
      </c>
      <c r="I7104" s="6" t="s">
        <v>31</v>
      </c>
      <c r="J7104" s="6">
        <v>17.355382093351</v>
      </c>
      <c r="K7104" s="6">
        <v>-97.657937838596993</v>
      </c>
      <c r="L7104" s="6" t="str">
        <f>HYPERLINK("https://maps.google.com/?q=17.3553820933511,-97.657937838596894", "🔗 Ver Mapa")</f>
        <v>🔗 Ver Mapa</v>
      </c>
    </row>
    <row r="7105" spans="1:12" ht="43.5" x14ac:dyDescent="0.35">
      <c r="A7105" s="5" t="s">
        <v>98</v>
      </c>
      <c r="B7105" s="5" t="s">
        <v>99</v>
      </c>
      <c r="C7105" s="5" t="s">
        <v>1366</v>
      </c>
      <c r="D7105" s="5" t="s">
        <v>14</v>
      </c>
      <c r="E7105" s="5" t="s">
        <v>16</v>
      </c>
      <c r="F7105" s="5" t="s">
        <v>21</v>
      </c>
      <c r="G7105" s="5" t="s">
        <v>1367</v>
      </c>
      <c r="H7105" s="5" t="s">
        <v>1368</v>
      </c>
      <c r="I7105" s="5" t="s">
        <v>31</v>
      </c>
      <c r="J7105" s="5">
        <v>17.355428142546</v>
      </c>
      <c r="K7105" s="5">
        <v>-97.658096988192995</v>
      </c>
      <c r="L7105" s="5" t="str">
        <f>HYPERLINK("https://maps.google.com/?q=17.3554281425463,-97.658096988193293", "🔗 Ver Mapa")</f>
        <v>🔗 Ver Mapa</v>
      </c>
    </row>
    <row r="7106" spans="1:12" ht="43.5" x14ac:dyDescent="0.35">
      <c r="A7106" s="6" t="s">
        <v>98</v>
      </c>
      <c r="B7106" s="6" t="s">
        <v>99</v>
      </c>
      <c r="C7106" s="6" t="s">
        <v>1366</v>
      </c>
      <c r="D7106" s="6" t="s">
        <v>14</v>
      </c>
      <c r="E7106" s="6" t="s">
        <v>16</v>
      </c>
      <c r="F7106" s="6" t="s">
        <v>21</v>
      </c>
      <c r="G7106" s="6" t="s">
        <v>1367</v>
      </c>
      <c r="H7106" s="6" t="s">
        <v>1368</v>
      </c>
      <c r="I7106" s="6" t="s">
        <v>31</v>
      </c>
      <c r="J7106" s="6">
        <v>17.356898982726999</v>
      </c>
      <c r="K7106" s="6">
        <v>-97.657973792209006</v>
      </c>
      <c r="L7106" s="6" t="str">
        <f>HYPERLINK("https://maps.google.com/?q=17.3568989827274,-97.657973792208793", "🔗 Ver Mapa")</f>
        <v>🔗 Ver Mapa</v>
      </c>
    </row>
    <row r="7107" spans="1:12" ht="43.5" x14ac:dyDescent="0.35">
      <c r="A7107" s="5" t="s">
        <v>98</v>
      </c>
      <c r="B7107" s="5" t="s">
        <v>99</v>
      </c>
      <c r="C7107" s="5" t="s">
        <v>1366</v>
      </c>
      <c r="D7107" s="5" t="s">
        <v>14</v>
      </c>
      <c r="E7107" s="5" t="s">
        <v>16</v>
      </c>
      <c r="F7107" s="5" t="s">
        <v>21</v>
      </c>
      <c r="G7107" s="5" t="s">
        <v>1367</v>
      </c>
      <c r="H7107" s="5" t="s">
        <v>1368</v>
      </c>
      <c r="I7107" s="5" t="s">
        <v>31</v>
      </c>
      <c r="J7107" s="5">
        <v>17.357221732833001</v>
      </c>
      <c r="K7107" s="5">
        <v>-97.659753080564002</v>
      </c>
      <c r="L7107" s="5" t="str">
        <f>HYPERLINK("https://maps.google.com/?q=17.3572217328329,-97.6597530805644", "🔗 Ver Mapa")</f>
        <v>🔗 Ver Mapa</v>
      </c>
    </row>
    <row r="7108" spans="1:12" ht="43.5" x14ac:dyDescent="0.35">
      <c r="A7108" s="6" t="s">
        <v>98</v>
      </c>
      <c r="B7108" s="6" t="s">
        <v>99</v>
      </c>
      <c r="C7108" s="6" t="s">
        <v>1366</v>
      </c>
      <c r="D7108" s="6" t="s">
        <v>14</v>
      </c>
      <c r="E7108" s="6" t="s">
        <v>16</v>
      </c>
      <c r="F7108" s="6" t="s">
        <v>21</v>
      </c>
      <c r="G7108" s="6" t="s">
        <v>1367</v>
      </c>
      <c r="H7108" s="6" t="s">
        <v>1368</v>
      </c>
      <c r="I7108" s="6" t="s">
        <v>31</v>
      </c>
      <c r="J7108" s="6">
        <v>17.357529481476998</v>
      </c>
      <c r="K7108" s="6">
        <v>-97.656980964751</v>
      </c>
      <c r="L7108" s="6" t="str">
        <f>HYPERLINK("https://maps.google.com/?q=17.3575294814773,-97.656980964750602", "🔗 Ver Mapa")</f>
        <v>🔗 Ver Mapa</v>
      </c>
    </row>
    <row r="7109" spans="1:12" ht="43.5" x14ac:dyDescent="0.35">
      <c r="A7109" s="5" t="s">
        <v>98</v>
      </c>
      <c r="B7109" s="5" t="s">
        <v>99</v>
      </c>
      <c r="C7109" s="5" t="s">
        <v>1366</v>
      </c>
      <c r="D7109" s="5" t="s">
        <v>14</v>
      </c>
      <c r="E7109" s="5" t="s">
        <v>16</v>
      </c>
      <c r="F7109" s="5" t="s">
        <v>21</v>
      </c>
      <c r="G7109" s="5" t="s">
        <v>1367</v>
      </c>
      <c r="H7109" s="5" t="s">
        <v>1368</v>
      </c>
      <c r="I7109" s="5" t="s">
        <v>31</v>
      </c>
      <c r="J7109" s="5">
        <v>17.358968232841999</v>
      </c>
      <c r="K7109" s="5">
        <v>-97.656822714417999</v>
      </c>
      <c r="L7109" s="5" t="str">
        <f>HYPERLINK("https://maps.google.com/?q=17.3589682328425,-97.656822714418297", "🔗 Ver Mapa")</f>
        <v>🔗 Ver Mapa</v>
      </c>
    </row>
    <row r="7110" spans="1:12" ht="43.5" x14ac:dyDescent="0.35">
      <c r="A7110" s="6" t="s">
        <v>98</v>
      </c>
      <c r="B7110" s="6" t="s">
        <v>99</v>
      </c>
      <c r="C7110" s="6" t="s">
        <v>1366</v>
      </c>
      <c r="D7110" s="6" t="s">
        <v>14</v>
      </c>
      <c r="E7110" s="6" t="s">
        <v>16</v>
      </c>
      <c r="F7110" s="6" t="s">
        <v>21</v>
      </c>
      <c r="G7110" s="6" t="s">
        <v>1367</v>
      </c>
      <c r="H7110" s="6" t="s">
        <v>1368</v>
      </c>
      <c r="I7110" s="6" t="s">
        <v>31</v>
      </c>
      <c r="J7110" s="6">
        <v>17.359272878035</v>
      </c>
      <c r="K7110" s="6">
        <v>-97.658705625146993</v>
      </c>
      <c r="L7110" s="6" t="str">
        <f>HYPERLINK("https://maps.google.com/?q=17.3592728780351,-97.658705625147107", "🔗 Ver Mapa")</f>
        <v>🔗 Ver Mapa</v>
      </c>
    </row>
    <row r="7111" spans="1:12" ht="43.5" x14ac:dyDescent="0.35">
      <c r="A7111" s="5" t="s">
        <v>98</v>
      </c>
      <c r="B7111" s="5" t="s">
        <v>99</v>
      </c>
      <c r="C7111" s="5" t="s">
        <v>1369</v>
      </c>
      <c r="D7111" s="5" t="s">
        <v>14</v>
      </c>
      <c r="E7111" s="5" t="s">
        <v>16</v>
      </c>
      <c r="F7111" s="5" t="s">
        <v>21</v>
      </c>
      <c r="G7111" s="5" t="s">
        <v>1367</v>
      </c>
      <c r="H7111" s="5" t="s">
        <v>1370</v>
      </c>
      <c r="I7111" s="5" t="s">
        <v>31</v>
      </c>
      <c r="J7111" s="5">
        <v>17.349743843332998</v>
      </c>
      <c r="K7111" s="5">
        <v>-97.636457374052</v>
      </c>
      <c r="L7111" s="5" t="str">
        <f>HYPERLINK("https://maps.google.com/?q=17.3497438433331,-97.636457374051602", "🔗 Ver Mapa")</f>
        <v>🔗 Ver Mapa</v>
      </c>
    </row>
    <row r="7112" spans="1:12" ht="43.5" x14ac:dyDescent="0.35">
      <c r="A7112" s="6" t="s">
        <v>98</v>
      </c>
      <c r="B7112" s="6" t="s">
        <v>99</v>
      </c>
      <c r="C7112" s="6" t="s">
        <v>1369</v>
      </c>
      <c r="D7112" s="6" t="s">
        <v>14</v>
      </c>
      <c r="E7112" s="6" t="s">
        <v>16</v>
      </c>
      <c r="F7112" s="6" t="s">
        <v>21</v>
      </c>
      <c r="G7112" s="6" t="s">
        <v>1367</v>
      </c>
      <c r="H7112" s="6" t="s">
        <v>1370</v>
      </c>
      <c r="I7112" s="6" t="s">
        <v>31</v>
      </c>
      <c r="J7112" s="6">
        <v>17.350125535558998</v>
      </c>
      <c r="K7112" s="6">
        <v>-97.634305190348996</v>
      </c>
      <c r="L7112" s="6" t="str">
        <f>HYPERLINK("https://maps.google.com/?q=17.3501255355585,-97.634305190349494", "🔗 Ver Mapa")</f>
        <v>🔗 Ver Mapa</v>
      </c>
    </row>
    <row r="7113" spans="1:12" ht="43.5" x14ac:dyDescent="0.35">
      <c r="A7113" s="5" t="s">
        <v>98</v>
      </c>
      <c r="B7113" s="5" t="s">
        <v>99</v>
      </c>
      <c r="C7113" s="5" t="s">
        <v>1369</v>
      </c>
      <c r="D7113" s="5" t="s">
        <v>14</v>
      </c>
      <c r="E7113" s="5" t="s">
        <v>16</v>
      </c>
      <c r="F7113" s="5" t="s">
        <v>21</v>
      </c>
      <c r="G7113" s="5" t="s">
        <v>1367</v>
      </c>
      <c r="H7113" s="5" t="s">
        <v>1370</v>
      </c>
      <c r="I7113" s="5" t="s">
        <v>31</v>
      </c>
      <c r="J7113" s="5">
        <v>17.350365776755002</v>
      </c>
      <c r="K7113" s="5">
        <v>-97.636155022081994</v>
      </c>
      <c r="L7113" s="5" t="str">
        <f>HYPERLINK("https://maps.google.com/?q=17.3503657767545,-97.636155022081695", "🔗 Ver Mapa")</f>
        <v>🔗 Ver Mapa</v>
      </c>
    </row>
    <row r="7114" spans="1:12" ht="43.5" x14ac:dyDescent="0.35">
      <c r="A7114" s="6" t="s">
        <v>98</v>
      </c>
      <c r="B7114" s="6" t="s">
        <v>99</v>
      </c>
      <c r="C7114" s="6" t="s">
        <v>1369</v>
      </c>
      <c r="D7114" s="6" t="s">
        <v>14</v>
      </c>
      <c r="E7114" s="6" t="s">
        <v>16</v>
      </c>
      <c r="F7114" s="6" t="s">
        <v>21</v>
      </c>
      <c r="G7114" s="6" t="s">
        <v>1367</v>
      </c>
      <c r="H7114" s="6" t="s">
        <v>1370</v>
      </c>
      <c r="I7114" s="6" t="s">
        <v>31</v>
      </c>
      <c r="J7114" s="6">
        <v>17.350921850917</v>
      </c>
      <c r="K7114" s="6">
        <v>-97.634750426953005</v>
      </c>
      <c r="L7114" s="6" t="str">
        <f>HYPERLINK("https://maps.google.com/?q=17.3509218509172,-97.634750426952706", "🔗 Ver Mapa")</f>
        <v>🔗 Ver Mapa</v>
      </c>
    </row>
    <row r="7115" spans="1:12" ht="43.5" x14ac:dyDescent="0.35">
      <c r="A7115" s="5" t="s">
        <v>98</v>
      </c>
      <c r="B7115" s="5" t="s">
        <v>99</v>
      </c>
      <c r="C7115" s="5" t="s">
        <v>1369</v>
      </c>
      <c r="D7115" s="5" t="s">
        <v>14</v>
      </c>
      <c r="E7115" s="5" t="s">
        <v>16</v>
      </c>
      <c r="F7115" s="5" t="s">
        <v>21</v>
      </c>
      <c r="G7115" s="5" t="s">
        <v>1367</v>
      </c>
      <c r="H7115" s="5" t="s">
        <v>1370</v>
      </c>
      <c r="I7115" s="5" t="s">
        <v>31</v>
      </c>
      <c r="J7115" s="5">
        <v>17.351530753936</v>
      </c>
      <c r="K7115" s="5">
        <v>-97.637902415927996</v>
      </c>
      <c r="L7115" s="5" t="str">
        <f>HYPERLINK("https://maps.google.com/?q=17.3515307539361,-97.637902415928096", "🔗 Ver Mapa")</f>
        <v>🔗 Ver Mapa</v>
      </c>
    </row>
    <row r="7116" spans="1:12" ht="43.5" x14ac:dyDescent="0.35">
      <c r="A7116" s="6" t="s">
        <v>98</v>
      </c>
      <c r="B7116" s="6" t="s">
        <v>99</v>
      </c>
      <c r="C7116" s="6" t="s">
        <v>1369</v>
      </c>
      <c r="D7116" s="6" t="s">
        <v>14</v>
      </c>
      <c r="E7116" s="6" t="s">
        <v>16</v>
      </c>
      <c r="F7116" s="6" t="s">
        <v>21</v>
      </c>
      <c r="G7116" s="6" t="s">
        <v>1367</v>
      </c>
      <c r="H7116" s="6" t="s">
        <v>1370</v>
      </c>
      <c r="I7116" s="6" t="s">
        <v>31</v>
      </c>
      <c r="J7116" s="6">
        <v>17.352531846333999</v>
      </c>
      <c r="K7116" s="6">
        <v>-97.632626154595997</v>
      </c>
      <c r="L7116" s="6" t="str">
        <f>HYPERLINK("https://maps.google.com/?q=17.352531846334,-97.632626154596295", "🔗 Ver Mapa")</f>
        <v>🔗 Ver Mapa</v>
      </c>
    </row>
    <row r="7117" spans="1:12" ht="43.5" x14ac:dyDescent="0.35">
      <c r="A7117" s="5" t="s">
        <v>98</v>
      </c>
      <c r="B7117" s="5" t="s">
        <v>99</v>
      </c>
      <c r="C7117" s="5" t="s">
        <v>1369</v>
      </c>
      <c r="D7117" s="5" t="s">
        <v>14</v>
      </c>
      <c r="E7117" s="5" t="s">
        <v>16</v>
      </c>
      <c r="F7117" s="5" t="s">
        <v>21</v>
      </c>
      <c r="G7117" s="5" t="s">
        <v>1367</v>
      </c>
      <c r="H7117" s="5" t="s">
        <v>1370</v>
      </c>
      <c r="I7117" s="5" t="s">
        <v>31</v>
      </c>
      <c r="J7117" s="5">
        <v>17.352548523336999</v>
      </c>
      <c r="K7117" s="5">
        <v>-97.632169691960996</v>
      </c>
      <c r="L7117" s="5" t="str">
        <f>HYPERLINK("https://maps.google.com/?q=17.3525485233365,-97.632169691961394", "🔗 Ver Mapa")</f>
        <v>🔗 Ver Mapa</v>
      </c>
    </row>
    <row r="7118" spans="1:12" ht="43.5" x14ac:dyDescent="0.35">
      <c r="A7118" s="6" t="s">
        <v>98</v>
      </c>
      <c r="B7118" s="6" t="s">
        <v>99</v>
      </c>
      <c r="C7118" s="6" t="s">
        <v>1369</v>
      </c>
      <c r="D7118" s="6" t="s">
        <v>14</v>
      </c>
      <c r="E7118" s="6" t="s">
        <v>16</v>
      </c>
      <c r="F7118" s="6" t="s">
        <v>21</v>
      </c>
      <c r="G7118" s="6" t="s">
        <v>1367</v>
      </c>
      <c r="H7118" s="6" t="s">
        <v>1370</v>
      </c>
      <c r="I7118" s="6" t="s">
        <v>31</v>
      </c>
      <c r="J7118" s="6">
        <v>17.352788643328999</v>
      </c>
      <c r="K7118" s="6">
        <v>-97.635319644386001</v>
      </c>
      <c r="L7118" s="6" t="str">
        <f>HYPERLINK("https://maps.google.com/?q=17.3527886433286,-97.635319644385802", "🔗 Ver Mapa")</f>
        <v>🔗 Ver Mapa</v>
      </c>
    </row>
    <row r="7119" spans="1:12" ht="43.5" x14ac:dyDescent="0.35">
      <c r="A7119" s="5" t="s">
        <v>98</v>
      </c>
      <c r="B7119" s="5" t="s">
        <v>99</v>
      </c>
      <c r="C7119" s="5" t="s">
        <v>1369</v>
      </c>
      <c r="D7119" s="5" t="s">
        <v>14</v>
      </c>
      <c r="E7119" s="5" t="s">
        <v>16</v>
      </c>
      <c r="F7119" s="5" t="s">
        <v>21</v>
      </c>
      <c r="G7119" s="5" t="s">
        <v>1367</v>
      </c>
      <c r="H7119" s="5" t="s">
        <v>1370</v>
      </c>
      <c r="I7119" s="5" t="s">
        <v>31</v>
      </c>
      <c r="J7119" s="5">
        <v>17.353606436568001</v>
      </c>
      <c r="K7119" s="5">
        <v>-97.633863908381002</v>
      </c>
      <c r="L7119" s="5" t="str">
        <f>HYPERLINK("https://maps.google.com/?q=17.353606436568,-97.6338639083815", "🔗 Ver Mapa")</f>
        <v>🔗 Ver Mapa</v>
      </c>
    </row>
    <row r="7120" spans="1:12" ht="43.5" x14ac:dyDescent="0.35">
      <c r="A7120" s="6" t="s">
        <v>98</v>
      </c>
      <c r="B7120" s="6" t="s">
        <v>99</v>
      </c>
      <c r="C7120" s="6" t="s">
        <v>1369</v>
      </c>
      <c r="D7120" s="6" t="s">
        <v>14</v>
      </c>
      <c r="E7120" s="6" t="s">
        <v>16</v>
      </c>
      <c r="F7120" s="6" t="s">
        <v>21</v>
      </c>
      <c r="G7120" s="6" t="s">
        <v>1367</v>
      </c>
      <c r="H7120" s="6" t="s">
        <v>1370</v>
      </c>
      <c r="I7120" s="6" t="s">
        <v>31</v>
      </c>
      <c r="J7120" s="6">
        <v>17.354825355252</v>
      </c>
      <c r="K7120" s="6">
        <v>-97.635949165948006</v>
      </c>
      <c r="L7120" s="6" t="str">
        <f>HYPERLINK("https://maps.google.com/?q=17.3548253552517,-97.635949165948404", "🔗 Ver Mapa")</f>
        <v>🔗 Ver Mapa</v>
      </c>
    </row>
    <row r="7121" spans="1:12" ht="43.5" x14ac:dyDescent="0.35">
      <c r="A7121" s="5" t="s">
        <v>98</v>
      </c>
      <c r="B7121" s="5" t="s">
        <v>99</v>
      </c>
      <c r="C7121" s="5" t="s">
        <v>1371</v>
      </c>
      <c r="D7121" s="5" t="s">
        <v>14</v>
      </c>
      <c r="E7121" s="5" t="s">
        <v>16</v>
      </c>
      <c r="F7121" s="5" t="s">
        <v>21</v>
      </c>
      <c r="G7121" s="5" t="s">
        <v>1367</v>
      </c>
      <c r="H7121" s="5" t="s">
        <v>1372</v>
      </c>
      <c r="I7121" s="5" t="s">
        <v>31</v>
      </c>
      <c r="J7121" s="5">
        <v>17.317787377757998</v>
      </c>
      <c r="K7121" s="5">
        <v>-97.690687375009006</v>
      </c>
      <c r="L7121" s="5" t="str">
        <f>HYPERLINK("https://maps.google.com/?q=17.3177873777576,-97.690687375009205", "🔗 Ver Mapa")</f>
        <v>🔗 Ver Mapa</v>
      </c>
    </row>
    <row r="7122" spans="1:12" ht="43.5" x14ac:dyDescent="0.35">
      <c r="A7122" s="6" t="s">
        <v>98</v>
      </c>
      <c r="B7122" s="6" t="s">
        <v>99</v>
      </c>
      <c r="C7122" s="6" t="s">
        <v>1371</v>
      </c>
      <c r="D7122" s="6" t="s">
        <v>14</v>
      </c>
      <c r="E7122" s="6" t="s">
        <v>16</v>
      </c>
      <c r="F7122" s="6" t="s">
        <v>21</v>
      </c>
      <c r="G7122" s="6" t="s">
        <v>1367</v>
      </c>
      <c r="H7122" s="6" t="s">
        <v>1372</v>
      </c>
      <c r="I7122" s="6" t="s">
        <v>31</v>
      </c>
      <c r="J7122" s="6">
        <v>17.318143081688</v>
      </c>
      <c r="K7122" s="6">
        <v>-97.691505282793997</v>
      </c>
      <c r="L7122" s="6" t="str">
        <f>HYPERLINK("https://maps.google.com/?q=17.3181430816877,-97.691505282794196", "🔗 Ver Mapa")</f>
        <v>🔗 Ver Mapa</v>
      </c>
    </row>
    <row r="7123" spans="1:12" ht="43.5" x14ac:dyDescent="0.35">
      <c r="A7123" s="5" t="s">
        <v>98</v>
      </c>
      <c r="B7123" s="5" t="s">
        <v>99</v>
      </c>
      <c r="C7123" s="5" t="s">
        <v>1371</v>
      </c>
      <c r="D7123" s="5" t="s">
        <v>14</v>
      </c>
      <c r="E7123" s="5" t="s">
        <v>16</v>
      </c>
      <c r="F7123" s="5" t="s">
        <v>21</v>
      </c>
      <c r="G7123" s="5" t="s">
        <v>1367</v>
      </c>
      <c r="H7123" s="5" t="s">
        <v>1372</v>
      </c>
      <c r="I7123" s="5" t="s">
        <v>31</v>
      </c>
      <c r="J7123" s="5">
        <v>17.318694453797001</v>
      </c>
      <c r="K7123" s="5">
        <v>-97.688020403736004</v>
      </c>
      <c r="L7123" s="5" t="str">
        <f>HYPERLINK("https://maps.google.com/?q=17.3186944537973,-97.688020403735607", "🔗 Ver Mapa")</f>
        <v>🔗 Ver Mapa</v>
      </c>
    </row>
    <row r="7124" spans="1:12" ht="43.5" x14ac:dyDescent="0.35">
      <c r="A7124" s="6" t="s">
        <v>98</v>
      </c>
      <c r="B7124" s="6" t="s">
        <v>99</v>
      </c>
      <c r="C7124" s="6" t="s">
        <v>1371</v>
      </c>
      <c r="D7124" s="6" t="s">
        <v>14</v>
      </c>
      <c r="E7124" s="6" t="s">
        <v>16</v>
      </c>
      <c r="F7124" s="6" t="s">
        <v>21</v>
      </c>
      <c r="G7124" s="6" t="s">
        <v>1367</v>
      </c>
      <c r="H7124" s="6" t="s">
        <v>1372</v>
      </c>
      <c r="I7124" s="6" t="s">
        <v>31</v>
      </c>
      <c r="J7124" s="6">
        <v>17.319288071913999</v>
      </c>
      <c r="K7124" s="6">
        <v>-97.688103275320003</v>
      </c>
      <c r="L7124" s="6" t="str">
        <f>HYPERLINK("https://maps.google.com/?q=17.3192880719145,-97.688103275320302", "🔗 Ver Mapa")</f>
        <v>🔗 Ver Mapa</v>
      </c>
    </row>
    <row r="7125" spans="1:12" ht="43.5" x14ac:dyDescent="0.35">
      <c r="A7125" s="5" t="s">
        <v>98</v>
      </c>
      <c r="B7125" s="5" t="s">
        <v>99</v>
      </c>
      <c r="C7125" s="5" t="s">
        <v>1371</v>
      </c>
      <c r="D7125" s="5" t="s">
        <v>14</v>
      </c>
      <c r="E7125" s="5" t="s">
        <v>16</v>
      </c>
      <c r="F7125" s="5" t="s">
        <v>21</v>
      </c>
      <c r="G7125" s="5" t="s">
        <v>1367</v>
      </c>
      <c r="H7125" s="5" t="s">
        <v>1372</v>
      </c>
      <c r="I7125" s="5" t="s">
        <v>31</v>
      </c>
      <c r="J7125" s="5">
        <v>17.319533700649</v>
      </c>
      <c r="K7125" s="5">
        <v>-97.691338692106001</v>
      </c>
      <c r="L7125" s="5" t="str">
        <f>HYPERLINK("https://maps.google.com/?q=17.3195337006494,-97.691338692105603", "🔗 Ver Mapa")</f>
        <v>🔗 Ver Mapa</v>
      </c>
    </row>
    <row r="7126" spans="1:12" ht="43.5" x14ac:dyDescent="0.35">
      <c r="A7126" s="6" t="s">
        <v>98</v>
      </c>
      <c r="B7126" s="6" t="s">
        <v>99</v>
      </c>
      <c r="C7126" s="6" t="s">
        <v>1373</v>
      </c>
      <c r="D7126" s="6" t="s">
        <v>14</v>
      </c>
      <c r="E7126" s="6" t="s">
        <v>16</v>
      </c>
      <c r="F7126" s="6" t="s">
        <v>21</v>
      </c>
      <c r="G7126" s="6" t="s">
        <v>1367</v>
      </c>
      <c r="H7126" s="6" t="s">
        <v>1368</v>
      </c>
      <c r="I7126" s="6" t="s">
        <v>31</v>
      </c>
      <c r="J7126" s="6">
        <v>17.356866822981999</v>
      </c>
      <c r="K7126" s="6">
        <v>-97.658048755723001</v>
      </c>
      <c r="L7126" s="6" t="str">
        <f>HYPERLINK("https://maps.google.com/?q=17.3568668229818,-97.658048755722703", "🔗 Ver Mapa")</f>
        <v>🔗 Ver Mapa</v>
      </c>
    </row>
    <row r="7127" spans="1:12" ht="43.5" x14ac:dyDescent="0.35">
      <c r="A7127" s="5" t="s">
        <v>98</v>
      </c>
      <c r="B7127" s="5" t="s">
        <v>99</v>
      </c>
      <c r="C7127" s="5" t="s">
        <v>1373</v>
      </c>
      <c r="D7127" s="5" t="s">
        <v>14</v>
      </c>
      <c r="E7127" s="5" t="s">
        <v>16</v>
      </c>
      <c r="F7127" s="5" t="s">
        <v>21</v>
      </c>
      <c r="G7127" s="5" t="s">
        <v>1367</v>
      </c>
      <c r="H7127" s="5" t="s">
        <v>1368</v>
      </c>
      <c r="I7127" s="5" t="s">
        <v>31</v>
      </c>
      <c r="J7127" s="5">
        <v>17.357011962984</v>
      </c>
      <c r="K7127" s="5">
        <v>-97.657558807374997</v>
      </c>
      <c r="L7127" s="5" t="str">
        <f>HYPERLINK("https://maps.google.com/?q=17.3570119629836,-97.657558807374897", "🔗 Ver Mapa")</f>
        <v>🔗 Ver Mapa</v>
      </c>
    </row>
    <row r="7128" spans="1:12" ht="43.5" x14ac:dyDescent="0.35">
      <c r="A7128" s="6" t="s">
        <v>98</v>
      </c>
      <c r="B7128" s="6" t="s">
        <v>99</v>
      </c>
      <c r="C7128" s="6" t="s">
        <v>1373</v>
      </c>
      <c r="D7128" s="6" t="s">
        <v>14</v>
      </c>
      <c r="E7128" s="6" t="s">
        <v>16</v>
      </c>
      <c r="F7128" s="6" t="s">
        <v>21</v>
      </c>
      <c r="G7128" s="6" t="s">
        <v>1367</v>
      </c>
      <c r="H7128" s="6" t="s">
        <v>1368</v>
      </c>
      <c r="I7128" s="6" t="s">
        <v>31</v>
      </c>
      <c r="J7128" s="6">
        <v>17.357158671312</v>
      </c>
      <c r="K7128" s="6">
        <v>-97.658794409829</v>
      </c>
      <c r="L7128" s="6" t="str">
        <f>HYPERLINK("https://maps.google.com/?q=17.3571586713122,-97.658794409828602", "🔗 Ver Mapa")</f>
        <v>🔗 Ver Mapa</v>
      </c>
    </row>
    <row r="7129" spans="1:12" ht="43.5" x14ac:dyDescent="0.35">
      <c r="A7129" s="5" t="s">
        <v>98</v>
      </c>
      <c r="B7129" s="5" t="s">
        <v>99</v>
      </c>
      <c r="C7129" s="5" t="s">
        <v>1373</v>
      </c>
      <c r="D7129" s="5" t="s">
        <v>14</v>
      </c>
      <c r="E7129" s="5" t="s">
        <v>16</v>
      </c>
      <c r="F7129" s="5" t="s">
        <v>21</v>
      </c>
      <c r="G7129" s="5" t="s">
        <v>1367</v>
      </c>
      <c r="H7129" s="5" t="s">
        <v>1368</v>
      </c>
      <c r="I7129" s="5" t="s">
        <v>31</v>
      </c>
      <c r="J7129" s="5">
        <v>17.357366355246</v>
      </c>
      <c r="K7129" s="5">
        <v>-97.657627376055999</v>
      </c>
      <c r="L7129" s="5" t="str">
        <f>HYPERLINK("https://maps.google.com/?q=17.3573663552459,-97.657627376056098", "🔗 Ver Mapa")</f>
        <v>🔗 Ver Mapa</v>
      </c>
    </row>
    <row r="7130" spans="1:12" ht="43.5" x14ac:dyDescent="0.35">
      <c r="A7130" s="6" t="s">
        <v>98</v>
      </c>
      <c r="B7130" s="6" t="s">
        <v>99</v>
      </c>
      <c r="C7130" s="6" t="s">
        <v>1373</v>
      </c>
      <c r="D7130" s="6" t="s">
        <v>14</v>
      </c>
      <c r="E7130" s="6" t="s">
        <v>16</v>
      </c>
      <c r="F7130" s="6" t="s">
        <v>21</v>
      </c>
      <c r="G7130" s="6" t="s">
        <v>1367</v>
      </c>
      <c r="H7130" s="6" t="s">
        <v>1368</v>
      </c>
      <c r="I7130" s="6" t="s">
        <v>31</v>
      </c>
      <c r="J7130" s="6">
        <v>17.358186662449999</v>
      </c>
      <c r="K7130" s="6">
        <v>-97.656981485887997</v>
      </c>
      <c r="L7130" s="6" t="str">
        <f>HYPERLINK("https://maps.google.com/?q=17.3581866624502,-97.656981485888394", "🔗 Ver Mapa")</f>
        <v>🔗 Ver Mapa</v>
      </c>
    </row>
    <row r="7131" spans="1:12" ht="43.5" x14ac:dyDescent="0.35">
      <c r="A7131" s="5" t="s">
        <v>98</v>
      </c>
      <c r="B7131" s="5" t="s">
        <v>99</v>
      </c>
      <c r="C7131" s="5" t="s">
        <v>1374</v>
      </c>
      <c r="D7131" s="5" t="s">
        <v>14</v>
      </c>
      <c r="E7131" s="5" t="s">
        <v>16</v>
      </c>
      <c r="F7131" s="5" t="s">
        <v>21</v>
      </c>
      <c r="G7131" s="5" t="s">
        <v>1367</v>
      </c>
      <c r="H7131" s="5" t="s">
        <v>1375</v>
      </c>
      <c r="I7131" s="5" t="s">
        <v>31</v>
      </c>
      <c r="J7131" s="5">
        <v>17.340949129986001</v>
      </c>
      <c r="K7131" s="5">
        <v>-97.666350978009007</v>
      </c>
      <c r="L7131" s="5" t="str">
        <f>HYPERLINK("https://maps.google.com/?q=17.340949129986,-97.666350978009106", "🔗 Ver Mapa")</f>
        <v>🔗 Ver Mapa</v>
      </c>
    </row>
    <row r="7132" spans="1:12" ht="43.5" x14ac:dyDescent="0.35">
      <c r="A7132" s="6" t="s">
        <v>98</v>
      </c>
      <c r="B7132" s="6" t="s">
        <v>99</v>
      </c>
      <c r="C7132" s="6" t="s">
        <v>1374</v>
      </c>
      <c r="D7132" s="6" t="s">
        <v>14</v>
      </c>
      <c r="E7132" s="6" t="s">
        <v>16</v>
      </c>
      <c r="F7132" s="6" t="s">
        <v>21</v>
      </c>
      <c r="G7132" s="6" t="s">
        <v>1367</v>
      </c>
      <c r="H7132" s="6" t="s">
        <v>1375</v>
      </c>
      <c r="I7132" s="6" t="s">
        <v>31</v>
      </c>
      <c r="J7132" s="6">
        <v>17.341738583298</v>
      </c>
      <c r="K7132" s="6">
        <v>-97.666616875583003</v>
      </c>
      <c r="L7132" s="6" t="str">
        <f>HYPERLINK("https://maps.google.com/?q=17.3417385832977,-97.666616875582605", "🔗 Ver Mapa")</f>
        <v>🔗 Ver Mapa</v>
      </c>
    </row>
    <row r="7133" spans="1:12" ht="43.5" x14ac:dyDescent="0.35">
      <c r="A7133" s="5" t="s">
        <v>98</v>
      </c>
      <c r="B7133" s="5" t="s">
        <v>99</v>
      </c>
      <c r="C7133" s="5" t="s">
        <v>1374</v>
      </c>
      <c r="D7133" s="5" t="s">
        <v>14</v>
      </c>
      <c r="E7133" s="5" t="s">
        <v>16</v>
      </c>
      <c r="F7133" s="5" t="s">
        <v>21</v>
      </c>
      <c r="G7133" s="5" t="s">
        <v>1367</v>
      </c>
      <c r="H7133" s="5" t="s">
        <v>1375</v>
      </c>
      <c r="I7133" s="5" t="s">
        <v>31</v>
      </c>
      <c r="J7133" s="5">
        <v>17.341760742439</v>
      </c>
      <c r="K7133" s="5">
        <v>-97.667300480001003</v>
      </c>
      <c r="L7133" s="5" t="str">
        <f>HYPERLINK("https://maps.google.com/?q=17.341760742439,-97.667300480000506", "🔗 Ver Mapa")</f>
        <v>🔗 Ver Mapa</v>
      </c>
    </row>
    <row r="7134" spans="1:12" ht="43.5" x14ac:dyDescent="0.35">
      <c r="A7134" s="6" t="s">
        <v>98</v>
      </c>
      <c r="B7134" s="6" t="s">
        <v>99</v>
      </c>
      <c r="C7134" s="6" t="s">
        <v>1374</v>
      </c>
      <c r="D7134" s="6" t="s">
        <v>14</v>
      </c>
      <c r="E7134" s="6" t="s">
        <v>16</v>
      </c>
      <c r="F7134" s="6" t="s">
        <v>21</v>
      </c>
      <c r="G7134" s="6" t="s">
        <v>1367</v>
      </c>
      <c r="H7134" s="6" t="s">
        <v>1375</v>
      </c>
      <c r="I7134" s="6" t="s">
        <v>31</v>
      </c>
      <c r="J7134" s="6">
        <v>17.342530606404001</v>
      </c>
      <c r="K7134" s="6">
        <v>-97.667385331663993</v>
      </c>
      <c r="L7134" s="6" t="str">
        <f>HYPERLINK("https://maps.google.com/?q=17.342530606404,-97.667385331664207", "🔗 Ver Mapa")</f>
        <v>🔗 Ver Mapa</v>
      </c>
    </row>
    <row r="7135" spans="1:12" ht="43.5" x14ac:dyDescent="0.35">
      <c r="A7135" s="5" t="s">
        <v>98</v>
      </c>
      <c r="B7135" s="5" t="s">
        <v>99</v>
      </c>
      <c r="C7135" s="5" t="s">
        <v>1374</v>
      </c>
      <c r="D7135" s="5" t="s">
        <v>14</v>
      </c>
      <c r="E7135" s="5" t="s">
        <v>16</v>
      </c>
      <c r="F7135" s="5" t="s">
        <v>21</v>
      </c>
      <c r="G7135" s="5" t="s">
        <v>1367</v>
      </c>
      <c r="H7135" s="5" t="s">
        <v>1375</v>
      </c>
      <c r="I7135" s="5" t="s">
        <v>31</v>
      </c>
      <c r="J7135" s="5">
        <v>17.342560187303</v>
      </c>
      <c r="K7135" s="5">
        <v>-97.666600426418995</v>
      </c>
      <c r="L7135" s="5" t="str">
        <f>HYPERLINK("https://maps.google.com/?q=17.342560187303,-97.666600426418995", "🔗 Ver Mapa")</f>
        <v>🔗 Ver Mapa</v>
      </c>
    </row>
    <row r="7136" spans="1:12" ht="43.5" x14ac:dyDescent="0.35">
      <c r="A7136" s="6" t="s">
        <v>98</v>
      </c>
      <c r="B7136" s="6" t="s">
        <v>99</v>
      </c>
      <c r="C7136" s="6" t="s">
        <v>1374</v>
      </c>
      <c r="D7136" s="6" t="s">
        <v>14</v>
      </c>
      <c r="E7136" s="6" t="s">
        <v>16</v>
      </c>
      <c r="F7136" s="6" t="s">
        <v>21</v>
      </c>
      <c r="G7136" s="6" t="s">
        <v>1367</v>
      </c>
      <c r="H7136" s="6" t="s">
        <v>1375</v>
      </c>
      <c r="I7136" s="6" t="s">
        <v>31</v>
      </c>
      <c r="J7136" s="6">
        <v>17.342801995378998</v>
      </c>
      <c r="K7136" s="6">
        <v>-97.667294136557999</v>
      </c>
      <c r="L7136" s="6" t="str">
        <f>HYPERLINK("https://maps.google.com/?q=17.342801995379,-97.667294136558098", "🔗 Ver Mapa")</f>
        <v>🔗 Ver Mapa</v>
      </c>
    </row>
    <row r="7137" spans="1:12" ht="43.5" x14ac:dyDescent="0.35">
      <c r="A7137" s="5" t="s">
        <v>98</v>
      </c>
      <c r="B7137" s="5" t="s">
        <v>99</v>
      </c>
      <c r="C7137" s="5" t="s">
        <v>1376</v>
      </c>
      <c r="D7137" s="5" t="s">
        <v>14</v>
      </c>
      <c r="E7137" s="5" t="s">
        <v>16</v>
      </c>
      <c r="F7137" s="5" t="s">
        <v>21</v>
      </c>
      <c r="G7137" s="5" t="s">
        <v>1367</v>
      </c>
      <c r="H7137" s="5" t="s">
        <v>1377</v>
      </c>
      <c r="I7137" s="5" t="s">
        <v>31</v>
      </c>
      <c r="J7137" s="5">
        <v>17.339570277288001</v>
      </c>
      <c r="K7137" s="5">
        <v>-97.700265759420006</v>
      </c>
      <c r="L7137" s="5" t="str">
        <f>HYPERLINK("https://maps.google.com/?q=17.339570277288,-97.700265759420404", "🔗 Ver Mapa")</f>
        <v>🔗 Ver Mapa</v>
      </c>
    </row>
    <row r="7138" spans="1:12" ht="43.5" x14ac:dyDescent="0.35">
      <c r="A7138" s="6" t="s">
        <v>98</v>
      </c>
      <c r="B7138" s="6" t="s">
        <v>99</v>
      </c>
      <c r="C7138" s="6" t="s">
        <v>1376</v>
      </c>
      <c r="D7138" s="6" t="s">
        <v>14</v>
      </c>
      <c r="E7138" s="6" t="s">
        <v>16</v>
      </c>
      <c r="F7138" s="6" t="s">
        <v>21</v>
      </c>
      <c r="G7138" s="6" t="s">
        <v>1367</v>
      </c>
      <c r="H7138" s="6" t="s">
        <v>1377</v>
      </c>
      <c r="I7138" s="6" t="s">
        <v>31</v>
      </c>
      <c r="J7138" s="6">
        <v>17.339616464685999</v>
      </c>
      <c r="K7138" s="6">
        <v>-97.702054710099006</v>
      </c>
      <c r="L7138" s="6" t="str">
        <f>HYPERLINK("https://maps.google.com/?q=17.3396164646859,-97.702054710098807", "🔗 Ver Mapa")</f>
        <v>🔗 Ver Mapa</v>
      </c>
    </row>
    <row r="7139" spans="1:12" ht="43.5" x14ac:dyDescent="0.35">
      <c r="A7139" s="5" t="s">
        <v>98</v>
      </c>
      <c r="B7139" s="5" t="s">
        <v>99</v>
      </c>
      <c r="C7139" s="5" t="s">
        <v>1376</v>
      </c>
      <c r="D7139" s="5" t="s">
        <v>14</v>
      </c>
      <c r="E7139" s="5" t="s">
        <v>16</v>
      </c>
      <c r="F7139" s="5" t="s">
        <v>21</v>
      </c>
      <c r="G7139" s="5" t="s">
        <v>1367</v>
      </c>
      <c r="H7139" s="5" t="s">
        <v>1377</v>
      </c>
      <c r="I7139" s="5" t="s">
        <v>31</v>
      </c>
      <c r="J7139" s="5">
        <v>17.340349562322999</v>
      </c>
      <c r="K7139" s="5">
        <v>-97.706162340470996</v>
      </c>
      <c r="L7139" s="5" t="str">
        <f>HYPERLINK("https://maps.google.com/?q=17.3403495623231,-97.706162340471096", "🔗 Ver Mapa")</f>
        <v>🔗 Ver Mapa</v>
      </c>
    </row>
    <row r="7140" spans="1:12" ht="43.5" x14ac:dyDescent="0.35">
      <c r="A7140" s="6" t="s">
        <v>98</v>
      </c>
      <c r="B7140" s="6" t="s">
        <v>99</v>
      </c>
      <c r="C7140" s="6" t="s">
        <v>1376</v>
      </c>
      <c r="D7140" s="6" t="s">
        <v>14</v>
      </c>
      <c r="E7140" s="6" t="s">
        <v>16</v>
      </c>
      <c r="F7140" s="6" t="s">
        <v>21</v>
      </c>
      <c r="G7140" s="6" t="s">
        <v>1367</v>
      </c>
      <c r="H7140" s="6" t="s">
        <v>1377</v>
      </c>
      <c r="I7140" s="6" t="s">
        <v>31</v>
      </c>
      <c r="J7140" s="6">
        <v>17.341488932015999</v>
      </c>
      <c r="K7140" s="6">
        <v>-97.700102504298997</v>
      </c>
      <c r="L7140" s="6" t="str">
        <f>HYPERLINK("https://maps.google.com/?q=17.3414889320162,-97.700102504299196", "🔗 Ver Mapa")</f>
        <v>🔗 Ver Mapa</v>
      </c>
    </row>
    <row r="7141" spans="1:12" ht="43.5" x14ac:dyDescent="0.35">
      <c r="A7141" s="5" t="s">
        <v>98</v>
      </c>
      <c r="B7141" s="5" t="s">
        <v>99</v>
      </c>
      <c r="C7141" s="5" t="s">
        <v>1376</v>
      </c>
      <c r="D7141" s="5" t="s">
        <v>14</v>
      </c>
      <c r="E7141" s="5" t="s">
        <v>16</v>
      </c>
      <c r="F7141" s="5" t="s">
        <v>21</v>
      </c>
      <c r="G7141" s="5" t="s">
        <v>1367</v>
      </c>
      <c r="H7141" s="5" t="s">
        <v>1377</v>
      </c>
      <c r="I7141" s="5" t="s">
        <v>31</v>
      </c>
      <c r="J7141" s="5">
        <v>17.34349673549</v>
      </c>
      <c r="K7141" s="5">
        <v>-97.703377184651004</v>
      </c>
      <c r="L7141" s="5" t="str">
        <f>HYPERLINK("https://maps.google.com/?q=17.3434967354896,-97.703377184651004", "🔗 Ver Mapa")</f>
        <v>🔗 Ver Mapa</v>
      </c>
    </row>
    <row r="7142" spans="1:12" ht="43.5" x14ac:dyDescent="0.35">
      <c r="A7142" s="6" t="s">
        <v>98</v>
      </c>
      <c r="B7142" s="6" t="s">
        <v>99</v>
      </c>
      <c r="C7142" s="6" t="s">
        <v>1376</v>
      </c>
      <c r="D7142" s="6" t="s">
        <v>14</v>
      </c>
      <c r="E7142" s="6" t="s">
        <v>16</v>
      </c>
      <c r="F7142" s="6" t="s">
        <v>21</v>
      </c>
      <c r="G7142" s="6" t="s">
        <v>1367</v>
      </c>
      <c r="H7142" s="6" t="s">
        <v>1377</v>
      </c>
      <c r="I7142" s="6" t="s">
        <v>31</v>
      </c>
      <c r="J7142" s="6">
        <v>17.344397919995998</v>
      </c>
      <c r="K7142" s="6">
        <v>-97.700638683535999</v>
      </c>
      <c r="L7142" s="6" t="str">
        <f>HYPERLINK("https://maps.google.com/?q=17.344397919996,-97.700638683536098", "🔗 Ver Mapa")</f>
        <v>🔗 Ver Mapa</v>
      </c>
    </row>
    <row r="7143" spans="1:12" ht="43.5" x14ac:dyDescent="0.35">
      <c r="A7143" s="5" t="s">
        <v>98</v>
      </c>
      <c r="B7143" s="5" t="s">
        <v>99</v>
      </c>
      <c r="C7143" s="5" t="s">
        <v>1376</v>
      </c>
      <c r="D7143" s="5" t="s">
        <v>14</v>
      </c>
      <c r="E7143" s="5" t="s">
        <v>16</v>
      </c>
      <c r="F7143" s="5" t="s">
        <v>21</v>
      </c>
      <c r="G7143" s="5" t="s">
        <v>1367</v>
      </c>
      <c r="H7143" s="5" t="s">
        <v>1377</v>
      </c>
      <c r="I7143" s="5" t="s">
        <v>31</v>
      </c>
      <c r="J7143" s="5">
        <v>17.344654966659999</v>
      </c>
      <c r="K7143" s="5">
        <v>-97.699694326388993</v>
      </c>
      <c r="L7143" s="5" t="str">
        <f>HYPERLINK("https://maps.google.com/?q=17.3446549666597,-97.699694326389206", "🔗 Ver Mapa")</f>
        <v>🔗 Ver Mapa</v>
      </c>
    </row>
    <row r="7144" spans="1:12" ht="43.5" x14ac:dyDescent="0.35">
      <c r="A7144" s="6" t="s">
        <v>98</v>
      </c>
      <c r="B7144" s="6" t="s">
        <v>99</v>
      </c>
      <c r="C7144" s="6" t="s">
        <v>1378</v>
      </c>
      <c r="D7144" s="6" t="s">
        <v>14</v>
      </c>
      <c r="E7144" s="6" t="s">
        <v>16</v>
      </c>
      <c r="F7144" s="6" t="s">
        <v>21</v>
      </c>
      <c r="G7144" s="6" t="s">
        <v>1367</v>
      </c>
      <c r="H7144" s="6" t="s">
        <v>1379</v>
      </c>
      <c r="I7144" s="6" t="s">
        <v>31</v>
      </c>
      <c r="J7144" s="6">
        <v>17.361752775168998</v>
      </c>
      <c r="K7144" s="6">
        <v>-97.667552931366998</v>
      </c>
      <c r="L7144" s="6" t="str">
        <f>HYPERLINK("https://maps.google.com/?q=17.3617527751685,-97.667552931367496", "🔗 Ver Mapa")</f>
        <v>🔗 Ver Mapa</v>
      </c>
    </row>
    <row r="7145" spans="1:12" ht="43.5" x14ac:dyDescent="0.35">
      <c r="A7145" s="5" t="s">
        <v>98</v>
      </c>
      <c r="B7145" s="5" t="s">
        <v>99</v>
      </c>
      <c r="C7145" s="5" t="s">
        <v>1378</v>
      </c>
      <c r="D7145" s="5" t="s">
        <v>14</v>
      </c>
      <c r="E7145" s="5" t="s">
        <v>16</v>
      </c>
      <c r="F7145" s="5" t="s">
        <v>21</v>
      </c>
      <c r="G7145" s="5" t="s">
        <v>1367</v>
      </c>
      <c r="H7145" s="5" t="s">
        <v>1379</v>
      </c>
      <c r="I7145" s="5" t="s">
        <v>31</v>
      </c>
      <c r="J7145" s="5">
        <v>17.362848295645001</v>
      </c>
      <c r="K7145" s="5">
        <v>-97.665982866381995</v>
      </c>
      <c r="L7145" s="5" t="str">
        <f>HYPERLINK("https://maps.google.com/?q=17.3628482956453,-97.665982866381597", "🔗 Ver Mapa")</f>
        <v>🔗 Ver Mapa</v>
      </c>
    </row>
    <row r="7146" spans="1:12" ht="43.5" x14ac:dyDescent="0.35">
      <c r="A7146" s="6" t="s">
        <v>98</v>
      </c>
      <c r="B7146" s="6" t="s">
        <v>99</v>
      </c>
      <c r="C7146" s="6" t="s">
        <v>1378</v>
      </c>
      <c r="D7146" s="6" t="s">
        <v>14</v>
      </c>
      <c r="E7146" s="6" t="s">
        <v>16</v>
      </c>
      <c r="F7146" s="6" t="s">
        <v>21</v>
      </c>
      <c r="G7146" s="6" t="s">
        <v>1367</v>
      </c>
      <c r="H7146" s="6" t="s">
        <v>1379</v>
      </c>
      <c r="I7146" s="6" t="s">
        <v>31</v>
      </c>
      <c r="J7146" s="6">
        <v>17.363601299231</v>
      </c>
      <c r="K7146" s="6">
        <v>-97.667199923056003</v>
      </c>
      <c r="L7146" s="6" t="str">
        <f>HYPERLINK("https://maps.google.com/?q=17.3636012992312,-97.667199923055605", "🔗 Ver Mapa")</f>
        <v>🔗 Ver Mapa</v>
      </c>
    </row>
    <row r="7147" spans="1:12" ht="43.5" x14ac:dyDescent="0.35">
      <c r="A7147" s="5" t="s">
        <v>98</v>
      </c>
      <c r="B7147" s="5" t="s">
        <v>99</v>
      </c>
      <c r="C7147" s="5" t="s">
        <v>1378</v>
      </c>
      <c r="D7147" s="5" t="s">
        <v>14</v>
      </c>
      <c r="E7147" s="5" t="s">
        <v>16</v>
      </c>
      <c r="F7147" s="5" t="s">
        <v>21</v>
      </c>
      <c r="G7147" s="5" t="s">
        <v>1367</v>
      </c>
      <c r="H7147" s="5" t="s">
        <v>1379</v>
      </c>
      <c r="I7147" s="5" t="s">
        <v>31</v>
      </c>
      <c r="J7147" s="5">
        <v>17.364107342764999</v>
      </c>
      <c r="K7147" s="5">
        <v>-97.666324871539999</v>
      </c>
      <c r="L7147" s="5" t="str">
        <f>HYPERLINK("https://maps.google.com/?q=17.3641073427649,-97.666324871539999", "🔗 Ver Mapa")</f>
        <v>🔗 Ver Mapa</v>
      </c>
    </row>
    <row r="7148" spans="1:12" ht="43.5" x14ac:dyDescent="0.35">
      <c r="A7148" s="6" t="s">
        <v>98</v>
      </c>
      <c r="B7148" s="6" t="s">
        <v>99</v>
      </c>
      <c r="C7148" s="6" t="s">
        <v>1378</v>
      </c>
      <c r="D7148" s="6" t="s">
        <v>14</v>
      </c>
      <c r="E7148" s="6" t="s">
        <v>16</v>
      </c>
      <c r="F7148" s="6" t="s">
        <v>21</v>
      </c>
      <c r="G7148" s="6" t="s">
        <v>1367</v>
      </c>
      <c r="H7148" s="6" t="s">
        <v>1379</v>
      </c>
      <c r="I7148" s="6" t="s">
        <v>31</v>
      </c>
      <c r="J7148" s="6">
        <v>17.36438082806</v>
      </c>
      <c r="K7148" s="6">
        <v>-97.66593780785</v>
      </c>
      <c r="L7148" s="6" t="str">
        <f>HYPERLINK("https://maps.google.com/?q=17.3643808280597,-97.665937807849602", "🔗 Ver Mapa")</f>
        <v>🔗 Ver Mapa</v>
      </c>
    </row>
    <row r="7149" spans="1:12" ht="43.5" x14ac:dyDescent="0.35">
      <c r="A7149" s="5" t="s">
        <v>98</v>
      </c>
      <c r="B7149" s="5" t="s">
        <v>99</v>
      </c>
      <c r="C7149" s="5" t="s">
        <v>1378</v>
      </c>
      <c r="D7149" s="5" t="s">
        <v>14</v>
      </c>
      <c r="E7149" s="5" t="s">
        <v>16</v>
      </c>
      <c r="F7149" s="5" t="s">
        <v>21</v>
      </c>
      <c r="G7149" s="5" t="s">
        <v>1367</v>
      </c>
      <c r="H7149" s="5" t="s">
        <v>1379</v>
      </c>
      <c r="I7149" s="5" t="s">
        <v>31</v>
      </c>
      <c r="J7149" s="5">
        <v>17.365042069255999</v>
      </c>
      <c r="K7149" s="5">
        <v>-97.666375648713995</v>
      </c>
      <c r="L7149" s="5" t="str">
        <f>HYPERLINK("https://maps.google.com/?q=17.3650420692564,-97.666375648714094", "🔗 Ver Mapa")</f>
        <v>🔗 Ver Mapa</v>
      </c>
    </row>
    <row r="7150" spans="1:12" ht="43.5" x14ac:dyDescent="0.35">
      <c r="A7150" s="6" t="s">
        <v>98</v>
      </c>
      <c r="B7150" s="6" t="s">
        <v>99</v>
      </c>
      <c r="C7150" s="6" t="s">
        <v>1378</v>
      </c>
      <c r="D7150" s="6" t="s">
        <v>14</v>
      </c>
      <c r="E7150" s="6" t="s">
        <v>16</v>
      </c>
      <c r="F7150" s="6" t="s">
        <v>21</v>
      </c>
      <c r="G7150" s="6" t="s">
        <v>1367</v>
      </c>
      <c r="H7150" s="6" t="s">
        <v>1379</v>
      </c>
      <c r="I7150" s="6" t="s">
        <v>31</v>
      </c>
      <c r="J7150" s="6">
        <v>17.365091876802001</v>
      </c>
      <c r="K7150" s="6">
        <v>-97.663833823041998</v>
      </c>
      <c r="L7150" s="6" t="str">
        <f>HYPERLINK("https://maps.google.com/?q=17.3650918768025,-97.6638338230416", "🔗 Ver Mapa")</f>
        <v>🔗 Ver Mapa</v>
      </c>
    </row>
    <row r="7151" spans="1:12" ht="43.5" x14ac:dyDescent="0.35">
      <c r="A7151" s="5" t="s">
        <v>98</v>
      </c>
      <c r="B7151" s="5" t="s">
        <v>99</v>
      </c>
      <c r="C7151" s="5" t="s">
        <v>1378</v>
      </c>
      <c r="D7151" s="5" t="s">
        <v>14</v>
      </c>
      <c r="E7151" s="5" t="s">
        <v>16</v>
      </c>
      <c r="F7151" s="5" t="s">
        <v>21</v>
      </c>
      <c r="G7151" s="5" t="s">
        <v>1367</v>
      </c>
      <c r="H7151" s="5" t="s">
        <v>1379</v>
      </c>
      <c r="I7151" s="5" t="s">
        <v>31</v>
      </c>
      <c r="J7151" s="5">
        <v>17.365991193494999</v>
      </c>
      <c r="K7151" s="5">
        <v>-97.665125639737994</v>
      </c>
      <c r="L7151" s="5" t="str">
        <f>HYPERLINK("https://maps.google.com/?q=17.3659911934955,-97.665125639738307", "🔗 Ver Mapa")</f>
        <v>🔗 Ver Mapa</v>
      </c>
    </row>
    <row r="7152" spans="1:12" ht="43.5" x14ac:dyDescent="0.35">
      <c r="A7152" s="6" t="s">
        <v>98</v>
      </c>
      <c r="B7152" s="6" t="s">
        <v>99</v>
      </c>
      <c r="C7152" s="6" t="s">
        <v>1378</v>
      </c>
      <c r="D7152" s="6" t="s">
        <v>14</v>
      </c>
      <c r="E7152" s="6" t="s">
        <v>16</v>
      </c>
      <c r="F7152" s="6" t="s">
        <v>21</v>
      </c>
      <c r="G7152" s="6" t="s">
        <v>1367</v>
      </c>
      <c r="H7152" s="6" t="s">
        <v>1379</v>
      </c>
      <c r="I7152" s="6" t="s">
        <v>31</v>
      </c>
      <c r="J7152" s="6">
        <v>17.366455621861999</v>
      </c>
      <c r="K7152" s="6">
        <v>-97.665327406656004</v>
      </c>
      <c r="L7152" s="6" t="str">
        <f>HYPERLINK("https://maps.google.com/?q=17.3664556218618,-97.665327406655507", "🔗 Ver Mapa")</f>
        <v>🔗 Ver Mapa</v>
      </c>
    </row>
    <row r="7153" spans="1:12" ht="43.5" x14ac:dyDescent="0.35">
      <c r="A7153" s="5" t="s">
        <v>98</v>
      </c>
      <c r="B7153" s="5" t="s">
        <v>99</v>
      </c>
      <c r="C7153" s="5" t="s">
        <v>1378</v>
      </c>
      <c r="D7153" s="5" t="s">
        <v>14</v>
      </c>
      <c r="E7153" s="5" t="s">
        <v>16</v>
      </c>
      <c r="F7153" s="5" t="s">
        <v>21</v>
      </c>
      <c r="G7153" s="5" t="s">
        <v>1367</v>
      </c>
      <c r="H7153" s="5" t="s">
        <v>1379</v>
      </c>
      <c r="I7153" s="5" t="s">
        <v>31</v>
      </c>
      <c r="J7153" s="5">
        <v>17.366595172602</v>
      </c>
      <c r="K7153" s="5">
        <v>-97.664743019599001</v>
      </c>
      <c r="L7153" s="5" t="str">
        <f>HYPERLINK("https://maps.google.com/?q=17.3665951726022,-97.664743019598703", "🔗 Ver Mapa")</f>
        <v>🔗 Ver Mapa</v>
      </c>
    </row>
    <row r="7154" spans="1:12" ht="43.5" x14ac:dyDescent="0.35">
      <c r="A7154" s="6" t="s">
        <v>98</v>
      </c>
      <c r="B7154" s="6" t="s">
        <v>99</v>
      </c>
      <c r="C7154" s="6" t="s">
        <v>1380</v>
      </c>
      <c r="D7154" s="6" t="s">
        <v>14</v>
      </c>
      <c r="E7154" s="6" t="s">
        <v>17</v>
      </c>
      <c r="F7154" s="6" t="s">
        <v>59</v>
      </c>
      <c r="G7154" s="6" t="s">
        <v>275</v>
      </c>
      <c r="H7154" s="6" t="s">
        <v>1381</v>
      </c>
      <c r="I7154" s="6" t="s">
        <v>31</v>
      </c>
      <c r="J7154" s="6">
        <v>16.204088303397</v>
      </c>
      <c r="K7154" s="6">
        <v>-97.922202491351996</v>
      </c>
      <c r="L7154" s="6" t="str">
        <f>HYPERLINK("https://maps.google.com/?q=16.2040883033967,-97.922202491352493", "🔗 Ver Mapa")</f>
        <v>🔗 Ver Mapa</v>
      </c>
    </row>
    <row r="7155" spans="1:12" ht="43.5" x14ac:dyDescent="0.35">
      <c r="A7155" s="5" t="s">
        <v>98</v>
      </c>
      <c r="B7155" s="5" t="s">
        <v>99</v>
      </c>
      <c r="C7155" s="5" t="s">
        <v>1380</v>
      </c>
      <c r="D7155" s="5" t="s">
        <v>14</v>
      </c>
      <c r="E7155" s="5" t="s">
        <v>17</v>
      </c>
      <c r="F7155" s="5" t="s">
        <v>59</v>
      </c>
      <c r="G7155" s="5" t="s">
        <v>275</v>
      </c>
      <c r="H7155" s="5" t="s">
        <v>1381</v>
      </c>
      <c r="I7155" s="5" t="s">
        <v>31</v>
      </c>
      <c r="J7155" s="5">
        <v>16.204378591840001</v>
      </c>
      <c r="K7155" s="5">
        <v>-97.921175079386003</v>
      </c>
      <c r="L7155" s="5" t="str">
        <f>HYPERLINK("https://maps.google.com/?q=16.2043785918398,-97.921175079386202", "🔗 Ver Mapa")</f>
        <v>🔗 Ver Mapa</v>
      </c>
    </row>
    <row r="7156" spans="1:12" ht="43.5" x14ac:dyDescent="0.35">
      <c r="A7156" s="6" t="s">
        <v>98</v>
      </c>
      <c r="B7156" s="6" t="s">
        <v>99</v>
      </c>
      <c r="C7156" s="6" t="s">
        <v>1380</v>
      </c>
      <c r="D7156" s="6" t="s">
        <v>14</v>
      </c>
      <c r="E7156" s="6" t="s">
        <v>17</v>
      </c>
      <c r="F7156" s="6" t="s">
        <v>59</v>
      </c>
      <c r="G7156" s="6" t="s">
        <v>275</v>
      </c>
      <c r="H7156" s="6" t="s">
        <v>1381</v>
      </c>
      <c r="I7156" s="6" t="s">
        <v>31</v>
      </c>
      <c r="J7156" s="6">
        <v>16.205231872824999</v>
      </c>
      <c r="K7156" s="6">
        <v>-97.922022893228998</v>
      </c>
      <c r="L7156" s="6" t="str">
        <f>HYPERLINK("https://maps.google.com/?q=16.2052318728246,-97.922022893229396", "🔗 Ver Mapa")</f>
        <v>🔗 Ver Mapa</v>
      </c>
    </row>
    <row r="7157" spans="1:12" ht="43.5" x14ac:dyDescent="0.35">
      <c r="A7157" s="5" t="s">
        <v>98</v>
      </c>
      <c r="B7157" s="5" t="s">
        <v>99</v>
      </c>
      <c r="C7157" s="5" t="s">
        <v>1380</v>
      </c>
      <c r="D7157" s="5" t="s">
        <v>14</v>
      </c>
      <c r="E7157" s="5" t="s">
        <v>17</v>
      </c>
      <c r="F7157" s="5" t="s">
        <v>59</v>
      </c>
      <c r="G7157" s="5" t="s">
        <v>275</v>
      </c>
      <c r="H7157" s="5" t="s">
        <v>1381</v>
      </c>
      <c r="I7157" s="5" t="s">
        <v>31</v>
      </c>
      <c r="J7157" s="5">
        <v>16.205312379077998</v>
      </c>
      <c r="K7157" s="5">
        <v>-97.922300586687001</v>
      </c>
      <c r="L7157" s="5" t="str">
        <f>HYPERLINK("https://maps.google.com/?q=16.2053123790778,-97.922300586686504", "🔗 Ver Mapa")</f>
        <v>🔗 Ver Mapa</v>
      </c>
    </row>
    <row r="7158" spans="1:12" ht="43.5" x14ac:dyDescent="0.35">
      <c r="A7158" s="6" t="s">
        <v>98</v>
      </c>
      <c r="B7158" s="6" t="s">
        <v>99</v>
      </c>
      <c r="C7158" s="6" t="s">
        <v>1380</v>
      </c>
      <c r="D7158" s="6" t="s">
        <v>14</v>
      </c>
      <c r="E7158" s="6" t="s">
        <v>17</v>
      </c>
      <c r="F7158" s="6" t="s">
        <v>59</v>
      </c>
      <c r="G7158" s="6" t="s">
        <v>275</v>
      </c>
      <c r="H7158" s="6" t="s">
        <v>1381</v>
      </c>
      <c r="I7158" s="6" t="s">
        <v>31</v>
      </c>
      <c r="J7158" s="6">
        <v>16.206197735473001</v>
      </c>
      <c r="K7158" s="6">
        <v>-97.921821727552995</v>
      </c>
      <c r="L7158" s="6" t="str">
        <f>HYPERLINK("https://maps.google.com/?q=16.2061977354733,-97.921821727553294", "🔗 Ver Mapa")</f>
        <v>🔗 Ver Mapa</v>
      </c>
    </row>
    <row r="7159" spans="1:12" ht="43.5" x14ac:dyDescent="0.35">
      <c r="A7159" s="5" t="s">
        <v>98</v>
      </c>
      <c r="B7159" s="5" t="s">
        <v>99</v>
      </c>
      <c r="C7159" s="5" t="s">
        <v>1380</v>
      </c>
      <c r="D7159" s="5" t="s">
        <v>14</v>
      </c>
      <c r="E7159" s="5" t="s">
        <v>17</v>
      </c>
      <c r="F7159" s="5" t="s">
        <v>59</v>
      </c>
      <c r="G7159" s="5" t="s">
        <v>275</v>
      </c>
      <c r="H7159" s="5" t="s">
        <v>1381</v>
      </c>
      <c r="I7159" s="5" t="s">
        <v>31</v>
      </c>
      <c r="J7159" s="5">
        <v>16.206343803900001</v>
      </c>
      <c r="K7159" s="5">
        <v>-97.923452274838994</v>
      </c>
      <c r="L7159" s="5" t="str">
        <f>HYPERLINK("https://maps.google.com/?q=16.2063438038996,-97.923452274839207", "🔗 Ver Mapa")</f>
        <v>🔗 Ver Mapa</v>
      </c>
    </row>
    <row r="7160" spans="1:12" ht="43.5" x14ac:dyDescent="0.35">
      <c r="A7160" s="6" t="s">
        <v>98</v>
      </c>
      <c r="B7160" s="6" t="s">
        <v>99</v>
      </c>
      <c r="C7160" s="6" t="s">
        <v>1382</v>
      </c>
      <c r="D7160" s="6" t="s">
        <v>14</v>
      </c>
      <c r="E7160" s="6" t="s">
        <v>17</v>
      </c>
      <c r="F7160" s="6" t="s">
        <v>59</v>
      </c>
      <c r="G7160" s="6" t="s">
        <v>275</v>
      </c>
      <c r="H7160" s="6" t="s">
        <v>1383</v>
      </c>
      <c r="I7160" s="6" t="s">
        <v>31</v>
      </c>
      <c r="J7160" s="6">
        <v>16.194027052534</v>
      </c>
      <c r="K7160" s="6">
        <v>-97.924021431046</v>
      </c>
      <c r="L7160" s="6" t="str">
        <f>HYPERLINK("https://maps.google.com/?q=16.1940270525343,-97.924021431045702", "🔗 Ver Mapa")</f>
        <v>🔗 Ver Mapa</v>
      </c>
    </row>
    <row r="7161" spans="1:12" ht="43.5" x14ac:dyDescent="0.35">
      <c r="A7161" s="5" t="s">
        <v>98</v>
      </c>
      <c r="B7161" s="5" t="s">
        <v>99</v>
      </c>
      <c r="C7161" s="5" t="s">
        <v>1382</v>
      </c>
      <c r="D7161" s="5" t="s">
        <v>14</v>
      </c>
      <c r="E7161" s="5" t="s">
        <v>17</v>
      </c>
      <c r="F7161" s="5" t="s">
        <v>59</v>
      </c>
      <c r="G7161" s="5" t="s">
        <v>275</v>
      </c>
      <c r="H7161" s="5" t="s">
        <v>1383</v>
      </c>
      <c r="I7161" s="5" t="s">
        <v>31</v>
      </c>
      <c r="J7161" s="5">
        <v>16.200812486838</v>
      </c>
      <c r="K7161" s="5">
        <v>-97.928449330001001</v>
      </c>
      <c r="L7161" s="5" t="str">
        <f>HYPERLINK("https://maps.google.com/?q=16.2008124868378,-97.928449330000603", "🔗 Ver Mapa")</f>
        <v>🔗 Ver Mapa</v>
      </c>
    </row>
    <row r="7162" spans="1:12" ht="43.5" x14ac:dyDescent="0.35">
      <c r="A7162" s="6" t="s">
        <v>98</v>
      </c>
      <c r="B7162" s="6" t="s">
        <v>99</v>
      </c>
      <c r="C7162" s="6" t="s">
        <v>1382</v>
      </c>
      <c r="D7162" s="6" t="s">
        <v>14</v>
      </c>
      <c r="E7162" s="6" t="s">
        <v>17</v>
      </c>
      <c r="F7162" s="6" t="s">
        <v>59</v>
      </c>
      <c r="G7162" s="6" t="s">
        <v>275</v>
      </c>
      <c r="H7162" s="6" t="s">
        <v>1383</v>
      </c>
      <c r="I7162" s="6" t="s">
        <v>31</v>
      </c>
      <c r="J7162" s="6">
        <v>16.201430989776998</v>
      </c>
      <c r="K7162" s="6">
        <v>-97.928485353314002</v>
      </c>
      <c r="L7162" s="6" t="str">
        <f>HYPERLINK("https://maps.google.com/?q=16.2014309897771,-97.928485353313803", "🔗 Ver Mapa")</f>
        <v>🔗 Ver Mapa</v>
      </c>
    </row>
    <row r="7163" spans="1:12" ht="43.5" x14ac:dyDescent="0.35">
      <c r="A7163" s="5" t="s">
        <v>98</v>
      </c>
      <c r="B7163" s="5" t="s">
        <v>99</v>
      </c>
      <c r="C7163" s="5" t="s">
        <v>1382</v>
      </c>
      <c r="D7163" s="5" t="s">
        <v>14</v>
      </c>
      <c r="E7163" s="5" t="s">
        <v>17</v>
      </c>
      <c r="F7163" s="5" t="s">
        <v>59</v>
      </c>
      <c r="G7163" s="5" t="s">
        <v>275</v>
      </c>
      <c r="H7163" s="5" t="s">
        <v>1383</v>
      </c>
      <c r="I7163" s="5" t="s">
        <v>31</v>
      </c>
      <c r="J7163" s="5">
        <v>16.202397708473999</v>
      </c>
      <c r="K7163" s="5">
        <v>-97.929758429074994</v>
      </c>
      <c r="L7163" s="5" t="str">
        <f>HYPERLINK("https://maps.google.com/?q=16.2023977084742,-97.929758429074695", "🔗 Ver Mapa")</f>
        <v>🔗 Ver Mapa</v>
      </c>
    </row>
    <row r="7164" spans="1:12" ht="43.5" x14ac:dyDescent="0.35">
      <c r="A7164" s="6" t="s">
        <v>98</v>
      </c>
      <c r="B7164" s="6" t="s">
        <v>99</v>
      </c>
      <c r="C7164" s="6" t="s">
        <v>1382</v>
      </c>
      <c r="D7164" s="6" t="s">
        <v>14</v>
      </c>
      <c r="E7164" s="6" t="s">
        <v>17</v>
      </c>
      <c r="F7164" s="6" t="s">
        <v>59</v>
      </c>
      <c r="G7164" s="6" t="s">
        <v>275</v>
      </c>
      <c r="H7164" s="6" t="s">
        <v>1383</v>
      </c>
      <c r="I7164" s="6" t="s">
        <v>31</v>
      </c>
      <c r="J7164" s="6">
        <v>16.203228143867999</v>
      </c>
      <c r="K7164" s="6">
        <v>-97.932036335581998</v>
      </c>
      <c r="L7164" s="6" t="str">
        <f>HYPERLINK("https://maps.google.com/?q=16.2032281438683,-97.932036335581998", "🔗 Ver Mapa")</f>
        <v>🔗 Ver Mapa</v>
      </c>
    </row>
    <row r="7165" spans="1:12" ht="43.5" x14ac:dyDescent="0.35">
      <c r="A7165" s="5" t="s">
        <v>98</v>
      </c>
      <c r="B7165" s="5" t="s">
        <v>99</v>
      </c>
      <c r="C7165" s="5" t="s">
        <v>1382</v>
      </c>
      <c r="D7165" s="5" t="s">
        <v>14</v>
      </c>
      <c r="E7165" s="5" t="s">
        <v>17</v>
      </c>
      <c r="F7165" s="5" t="s">
        <v>59</v>
      </c>
      <c r="G7165" s="5" t="s">
        <v>275</v>
      </c>
      <c r="H7165" s="5" t="s">
        <v>1383</v>
      </c>
      <c r="I7165" s="5" t="s">
        <v>31</v>
      </c>
      <c r="J7165" s="5">
        <v>16.204184811143001</v>
      </c>
      <c r="K7165" s="5">
        <v>-97.930381415453994</v>
      </c>
      <c r="L7165" s="5" t="str">
        <f>HYPERLINK("https://maps.google.com/?q=16.2041848111427,-97.930381415453894", "🔗 Ver Mapa")</f>
        <v>🔗 Ver Mapa</v>
      </c>
    </row>
    <row r="7166" spans="1:12" ht="43.5" x14ac:dyDescent="0.35">
      <c r="A7166" s="6" t="s">
        <v>98</v>
      </c>
      <c r="B7166" s="6" t="s">
        <v>99</v>
      </c>
      <c r="C7166" s="6" t="s">
        <v>1384</v>
      </c>
      <c r="D7166" s="6" t="s">
        <v>14</v>
      </c>
      <c r="E7166" s="6" t="s">
        <v>17</v>
      </c>
      <c r="F7166" s="6" t="s">
        <v>59</v>
      </c>
      <c r="G7166" s="6" t="s">
        <v>275</v>
      </c>
      <c r="H7166" s="6" t="s">
        <v>1385</v>
      </c>
      <c r="I7166" s="6" t="s">
        <v>31</v>
      </c>
      <c r="J7166" s="6">
        <v>16.21459401693</v>
      </c>
      <c r="K7166" s="6">
        <v>-97.959051135132</v>
      </c>
      <c r="L7166" s="6" t="str">
        <f>HYPERLINK("https://maps.google.com/?q=16.2145940169301,-97.959051135131801", "🔗 Ver Mapa")</f>
        <v>🔗 Ver Mapa</v>
      </c>
    </row>
    <row r="7167" spans="1:12" ht="43.5" x14ac:dyDescent="0.35">
      <c r="A7167" s="5" t="s">
        <v>98</v>
      </c>
      <c r="B7167" s="5" t="s">
        <v>99</v>
      </c>
      <c r="C7167" s="5" t="s">
        <v>1384</v>
      </c>
      <c r="D7167" s="5" t="s">
        <v>14</v>
      </c>
      <c r="E7167" s="5" t="s">
        <v>17</v>
      </c>
      <c r="F7167" s="5" t="s">
        <v>59</v>
      </c>
      <c r="G7167" s="5" t="s">
        <v>275</v>
      </c>
      <c r="H7167" s="5" t="s">
        <v>1385</v>
      </c>
      <c r="I7167" s="5" t="s">
        <v>31</v>
      </c>
      <c r="J7167" s="5">
        <v>16.214962493552001</v>
      </c>
      <c r="K7167" s="5">
        <v>-97.959197396795005</v>
      </c>
      <c r="L7167" s="5" t="str">
        <f>HYPERLINK("https://maps.google.com/?q=16.2149624935523,-97.959197396794707", "🔗 Ver Mapa")</f>
        <v>🔗 Ver Mapa</v>
      </c>
    </row>
    <row r="7168" spans="1:12" ht="43.5" x14ac:dyDescent="0.35">
      <c r="A7168" s="6" t="s">
        <v>98</v>
      </c>
      <c r="B7168" s="6" t="s">
        <v>99</v>
      </c>
      <c r="C7168" s="6" t="s">
        <v>1384</v>
      </c>
      <c r="D7168" s="6" t="s">
        <v>14</v>
      </c>
      <c r="E7168" s="6" t="s">
        <v>17</v>
      </c>
      <c r="F7168" s="6" t="s">
        <v>59</v>
      </c>
      <c r="G7168" s="6" t="s">
        <v>275</v>
      </c>
      <c r="H7168" s="6" t="s">
        <v>1385</v>
      </c>
      <c r="I7168" s="6" t="s">
        <v>31</v>
      </c>
      <c r="J7168" s="6">
        <v>16.215890492657</v>
      </c>
      <c r="K7168" s="6">
        <v>-97.958255451659994</v>
      </c>
      <c r="L7168" s="6" t="str">
        <f>HYPERLINK("https://maps.google.com/?q=16.2158904926569,-97.958255451660406", "🔗 Ver Mapa")</f>
        <v>🔗 Ver Mapa</v>
      </c>
    </row>
    <row r="7169" spans="1:12" ht="43.5" x14ac:dyDescent="0.35">
      <c r="A7169" s="5" t="s">
        <v>98</v>
      </c>
      <c r="B7169" s="5" t="s">
        <v>99</v>
      </c>
      <c r="C7169" s="5" t="s">
        <v>1384</v>
      </c>
      <c r="D7169" s="5" t="s">
        <v>14</v>
      </c>
      <c r="E7169" s="5" t="s">
        <v>17</v>
      </c>
      <c r="F7169" s="5" t="s">
        <v>59</v>
      </c>
      <c r="G7169" s="5" t="s">
        <v>275</v>
      </c>
      <c r="H7169" s="5" t="s">
        <v>1385</v>
      </c>
      <c r="I7169" s="5" t="s">
        <v>31</v>
      </c>
      <c r="J7169" s="5">
        <v>16.217242812538</v>
      </c>
      <c r="K7169" s="5">
        <v>-97.958190437672997</v>
      </c>
      <c r="L7169" s="5" t="str">
        <f>HYPERLINK("https://maps.google.com/?q=16.2172428125381,-97.958190437672599", "🔗 Ver Mapa")</f>
        <v>🔗 Ver Mapa</v>
      </c>
    </row>
    <row r="7170" spans="1:12" ht="43.5" x14ac:dyDescent="0.35">
      <c r="A7170" s="6" t="s">
        <v>98</v>
      </c>
      <c r="B7170" s="6" t="s">
        <v>99</v>
      </c>
      <c r="C7170" s="6" t="s">
        <v>1384</v>
      </c>
      <c r="D7170" s="6" t="s">
        <v>14</v>
      </c>
      <c r="E7170" s="6" t="s">
        <v>17</v>
      </c>
      <c r="F7170" s="6" t="s">
        <v>59</v>
      </c>
      <c r="G7170" s="6" t="s">
        <v>275</v>
      </c>
      <c r="H7170" s="6" t="s">
        <v>1385</v>
      </c>
      <c r="I7170" s="6" t="s">
        <v>31</v>
      </c>
      <c r="J7170" s="6">
        <v>16.217346442537998</v>
      </c>
      <c r="K7170" s="6">
        <v>-97.958481399999997</v>
      </c>
      <c r="L7170" s="6" t="str">
        <f>HYPERLINK("https://maps.google.com/?q=16.2173464425382,-97.958481400000295", "🔗 Ver Mapa")</f>
        <v>🔗 Ver Mapa</v>
      </c>
    </row>
    <row r="7171" spans="1:12" ht="43.5" x14ac:dyDescent="0.35">
      <c r="A7171" s="5" t="s">
        <v>98</v>
      </c>
      <c r="B7171" s="5" t="s">
        <v>99</v>
      </c>
      <c r="C7171" s="5" t="s">
        <v>1384</v>
      </c>
      <c r="D7171" s="5" t="s">
        <v>14</v>
      </c>
      <c r="E7171" s="5" t="s">
        <v>17</v>
      </c>
      <c r="F7171" s="5" t="s">
        <v>59</v>
      </c>
      <c r="G7171" s="5" t="s">
        <v>275</v>
      </c>
      <c r="H7171" s="5" t="s">
        <v>1385</v>
      </c>
      <c r="I7171" s="5" t="s">
        <v>31</v>
      </c>
      <c r="J7171" s="5">
        <v>16.217663226532999</v>
      </c>
      <c r="K7171" s="5">
        <v>-97.958266823279004</v>
      </c>
      <c r="L7171" s="5" t="str">
        <f>HYPERLINK("https://maps.google.com/?q=16.2176632265335,-97.958266823279104", "🔗 Ver Mapa")</f>
        <v>🔗 Ver Mapa</v>
      </c>
    </row>
    <row r="7172" spans="1:12" ht="43.5" x14ac:dyDescent="0.35">
      <c r="A7172" s="6" t="s">
        <v>98</v>
      </c>
      <c r="B7172" s="6" t="s">
        <v>99</v>
      </c>
      <c r="C7172" s="6" t="s">
        <v>1384</v>
      </c>
      <c r="D7172" s="6" t="s">
        <v>14</v>
      </c>
      <c r="E7172" s="6" t="s">
        <v>17</v>
      </c>
      <c r="F7172" s="6" t="s">
        <v>59</v>
      </c>
      <c r="G7172" s="6" t="s">
        <v>275</v>
      </c>
      <c r="H7172" s="6" t="s">
        <v>1385</v>
      </c>
      <c r="I7172" s="6" t="s">
        <v>31</v>
      </c>
      <c r="J7172" s="6">
        <v>16.218165780073999</v>
      </c>
      <c r="K7172" s="6">
        <v>-97.958908474810002</v>
      </c>
      <c r="L7172" s="6" t="str">
        <f>HYPERLINK("https://maps.google.com/?q=16.2181657800739,-97.958908474809604", "🔗 Ver Mapa")</f>
        <v>🔗 Ver Mapa</v>
      </c>
    </row>
    <row r="7173" spans="1:12" ht="43.5" x14ac:dyDescent="0.35">
      <c r="A7173" s="5" t="s">
        <v>98</v>
      </c>
      <c r="B7173" s="5" t="s">
        <v>99</v>
      </c>
      <c r="C7173" s="5" t="s">
        <v>1384</v>
      </c>
      <c r="D7173" s="5" t="s">
        <v>14</v>
      </c>
      <c r="E7173" s="5" t="s">
        <v>17</v>
      </c>
      <c r="F7173" s="5" t="s">
        <v>59</v>
      </c>
      <c r="G7173" s="5" t="s">
        <v>275</v>
      </c>
      <c r="H7173" s="5" t="s">
        <v>1385</v>
      </c>
      <c r="I7173" s="5" t="s">
        <v>31</v>
      </c>
      <c r="J7173" s="5">
        <v>16.218821000624999</v>
      </c>
      <c r="K7173" s="5">
        <v>-97.958895715344994</v>
      </c>
      <c r="L7173" s="5" t="str">
        <f>HYPERLINK("https://maps.google.com/?q=16.2188210006246,-97.958895715344894", "🔗 Ver Mapa")</f>
        <v>🔗 Ver Mapa</v>
      </c>
    </row>
    <row r="7174" spans="1:12" ht="43.5" x14ac:dyDescent="0.35">
      <c r="A7174" s="6" t="s">
        <v>98</v>
      </c>
      <c r="B7174" s="6" t="s">
        <v>99</v>
      </c>
      <c r="C7174" s="6" t="s">
        <v>1384</v>
      </c>
      <c r="D7174" s="6" t="s">
        <v>14</v>
      </c>
      <c r="E7174" s="6" t="s">
        <v>17</v>
      </c>
      <c r="F7174" s="6" t="s">
        <v>59</v>
      </c>
      <c r="G7174" s="6" t="s">
        <v>275</v>
      </c>
      <c r="H7174" s="6" t="s">
        <v>1385</v>
      </c>
      <c r="I7174" s="6" t="s">
        <v>31</v>
      </c>
      <c r="J7174" s="6">
        <v>16.219099461538999</v>
      </c>
      <c r="K7174" s="6">
        <v>-97.958971820450998</v>
      </c>
      <c r="L7174" s="6" t="str">
        <f>HYPERLINK("https://maps.google.com/?q=16.2190994615393,-97.958971820451097", "🔗 Ver Mapa")</f>
        <v>🔗 Ver Mapa</v>
      </c>
    </row>
    <row r="7175" spans="1:12" ht="43.5" x14ac:dyDescent="0.35">
      <c r="A7175" s="5" t="s">
        <v>98</v>
      </c>
      <c r="B7175" s="5" t="s">
        <v>99</v>
      </c>
      <c r="C7175" s="5" t="s">
        <v>1384</v>
      </c>
      <c r="D7175" s="5" t="s">
        <v>14</v>
      </c>
      <c r="E7175" s="5" t="s">
        <v>17</v>
      </c>
      <c r="F7175" s="5" t="s">
        <v>59</v>
      </c>
      <c r="G7175" s="5" t="s">
        <v>275</v>
      </c>
      <c r="H7175" s="5" t="s">
        <v>1385</v>
      </c>
      <c r="I7175" s="5" t="s">
        <v>31</v>
      </c>
      <c r="J7175" s="5">
        <v>16.219446447896999</v>
      </c>
      <c r="K7175" s="5">
        <v>-97.959396138193</v>
      </c>
      <c r="L7175" s="5" t="str">
        <f>HYPERLINK("https://maps.google.com/?q=16.2194464478974,-97.959396138192801", "🔗 Ver Mapa")</f>
        <v>🔗 Ver Mapa</v>
      </c>
    </row>
    <row r="7176" spans="1:12" ht="43.5" x14ac:dyDescent="0.35">
      <c r="A7176" s="6" t="s">
        <v>98</v>
      </c>
      <c r="B7176" s="6" t="s">
        <v>99</v>
      </c>
      <c r="C7176" s="6" t="s">
        <v>1384</v>
      </c>
      <c r="D7176" s="6" t="s">
        <v>14</v>
      </c>
      <c r="E7176" s="6" t="s">
        <v>17</v>
      </c>
      <c r="F7176" s="6" t="s">
        <v>59</v>
      </c>
      <c r="G7176" s="6" t="s">
        <v>275</v>
      </c>
      <c r="H7176" s="6" t="s">
        <v>1385</v>
      </c>
      <c r="I7176" s="6" t="s">
        <v>31</v>
      </c>
      <c r="J7176" s="6">
        <v>16.219645698029002</v>
      </c>
      <c r="K7176" s="6">
        <v>-97.959221353017</v>
      </c>
      <c r="L7176" s="6" t="str">
        <f>HYPERLINK("https://maps.google.com/?q=16.2196456980294,-97.959221353016702", "🔗 Ver Mapa")</f>
        <v>🔗 Ver Mapa</v>
      </c>
    </row>
    <row r="7177" spans="1:12" ht="43.5" x14ac:dyDescent="0.35">
      <c r="A7177" s="5" t="s">
        <v>98</v>
      </c>
      <c r="B7177" s="5" t="s">
        <v>99</v>
      </c>
      <c r="C7177" s="5" t="s">
        <v>1386</v>
      </c>
      <c r="D7177" s="5" t="s">
        <v>14</v>
      </c>
      <c r="E7177" s="5" t="s">
        <v>17</v>
      </c>
      <c r="F7177" s="5" t="s">
        <v>59</v>
      </c>
      <c r="G7177" s="5" t="s">
        <v>275</v>
      </c>
      <c r="H7177" s="5" t="s">
        <v>1387</v>
      </c>
      <c r="I7177" s="5" t="s">
        <v>31</v>
      </c>
      <c r="J7177" s="5">
        <v>16.220664231661999</v>
      </c>
      <c r="K7177" s="5">
        <v>-97.921153150001004</v>
      </c>
      <c r="L7177" s="5" t="str">
        <f>HYPERLINK("https://maps.google.com/?q=16.220664231662,-97.9211531500007", "🔗 Ver Mapa")</f>
        <v>🔗 Ver Mapa</v>
      </c>
    </row>
    <row r="7178" spans="1:12" ht="43.5" x14ac:dyDescent="0.35">
      <c r="A7178" s="6" t="s">
        <v>98</v>
      </c>
      <c r="B7178" s="6" t="s">
        <v>99</v>
      </c>
      <c r="C7178" s="6" t="s">
        <v>1386</v>
      </c>
      <c r="D7178" s="6" t="s">
        <v>14</v>
      </c>
      <c r="E7178" s="6" t="s">
        <v>17</v>
      </c>
      <c r="F7178" s="6" t="s">
        <v>59</v>
      </c>
      <c r="G7178" s="6" t="s">
        <v>275</v>
      </c>
      <c r="H7178" s="6" t="s">
        <v>1387</v>
      </c>
      <c r="I7178" s="6" t="s">
        <v>31</v>
      </c>
      <c r="J7178" s="6">
        <v>16.220714207975998</v>
      </c>
      <c r="K7178" s="6">
        <v>-97.919477397791994</v>
      </c>
      <c r="L7178" s="6" t="str">
        <f>HYPERLINK("https://maps.google.com/?q=16.2207142079762,-97.919477397791795", "🔗 Ver Mapa")</f>
        <v>🔗 Ver Mapa</v>
      </c>
    </row>
    <row r="7179" spans="1:12" ht="43.5" x14ac:dyDescent="0.35">
      <c r="A7179" s="5" t="s">
        <v>98</v>
      </c>
      <c r="B7179" s="5" t="s">
        <v>99</v>
      </c>
      <c r="C7179" s="5" t="s">
        <v>1386</v>
      </c>
      <c r="D7179" s="5" t="s">
        <v>14</v>
      </c>
      <c r="E7179" s="5" t="s">
        <v>17</v>
      </c>
      <c r="F7179" s="5" t="s">
        <v>59</v>
      </c>
      <c r="G7179" s="5" t="s">
        <v>275</v>
      </c>
      <c r="H7179" s="5" t="s">
        <v>1387</v>
      </c>
      <c r="I7179" s="5" t="s">
        <v>31</v>
      </c>
      <c r="J7179" s="5">
        <v>16.220782327836002</v>
      </c>
      <c r="K7179" s="5">
        <v>-97.919570825403994</v>
      </c>
      <c r="L7179" s="5" t="str">
        <f>HYPERLINK("https://maps.google.com/?q=16.2207823278363,-97.919570825404307", "🔗 Ver Mapa")</f>
        <v>🔗 Ver Mapa</v>
      </c>
    </row>
    <row r="7180" spans="1:12" ht="43.5" x14ac:dyDescent="0.35">
      <c r="A7180" s="6" t="s">
        <v>98</v>
      </c>
      <c r="B7180" s="6" t="s">
        <v>99</v>
      </c>
      <c r="C7180" s="6" t="s">
        <v>1386</v>
      </c>
      <c r="D7180" s="6" t="s">
        <v>14</v>
      </c>
      <c r="E7180" s="6" t="s">
        <v>17</v>
      </c>
      <c r="F7180" s="6" t="s">
        <v>59</v>
      </c>
      <c r="G7180" s="6" t="s">
        <v>275</v>
      </c>
      <c r="H7180" s="6" t="s">
        <v>1387</v>
      </c>
      <c r="I7180" s="6" t="s">
        <v>31</v>
      </c>
      <c r="J7180" s="6">
        <v>16.220824454085999</v>
      </c>
      <c r="K7180" s="6">
        <v>-97.920345818504998</v>
      </c>
      <c r="L7180" s="6" t="str">
        <f>HYPERLINK("https://maps.google.com/?q=16.2208244540858,-97.9203458185046", "🔗 Ver Mapa")</f>
        <v>🔗 Ver Mapa</v>
      </c>
    </row>
    <row r="7181" spans="1:12" ht="43.5" x14ac:dyDescent="0.35">
      <c r="A7181" s="5" t="s">
        <v>98</v>
      </c>
      <c r="B7181" s="5" t="s">
        <v>99</v>
      </c>
      <c r="C7181" s="5" t="s">
        <v>1386</v>
      </c>
      <c r="D7181" s="5" t="s">
        <v>14</v>
      </c>
      <c r="E7181" s="5" t="s">
        <v>17</v>
      </c>
      <c r="F7181" s="5" t="s">
        <v>59</v>
      </c>
      <c r="G7181" s="5" t="s">
        <v>275</v>
      </c>
      <c r="H7181" s="5" t="s">
        <v>1387</v>
      </c>
      <c r="I7181" s="5" t="s">
        <v>31</v>
      </c>
      <c r="J7181" s="5">
        <v>16.220826206325999</v>
      </c>
      <c r="K7181" s="5">
        <v>-97.919877543561995</v>
      </c>
      <c r="L7181" s="5" t="str">
        <f>HYPERLINK("https://maps.google.com/?q=16.2208262063265,-97.919877543561697", "🔗 Ver Mapa")</f>
        <v>🔗 Ver Mapa</v>
      </c>
    </row>
    <row r="7182" spans="1:12" ht="43.5" x14ac:dyDescent="0.35">
      <c r="A7182" s="6" t="s">
        <v>98</v>
      </c>
      <c r="B7182" s="6" t="s">
        <v>99</v>
      </c>
      <c r="C7182" s="6" t="s">
        <v>1386</v>
      </c>
      <c r="D7182" s="6" t="s">
        <v>14</v>
      </c>
      <c r="E7182" s="6" t="s">
        <v>17</v>
      </c>
      <c r="F7182" s="6" t="s">
        <v>59</v>
      </c>
      <c r="G7182" s="6" t="s">
        <v>275</v>
      </c>
      <c r="H7182" s="6" t="s">
        <v>1387</v>
      </c>
      <c r="I7182" s="6" t="s">
        <v>31</v>
      </c>
      <c r="J7182" s="6">
        <v>16.221180265668</v>
      </c>
      <c r="K7182" s="6">
        <v>-97.920665892447005</v>
      </c>
      <c r="L7182" s="6" t="str">
        <f>HYPERLINK("https://maps.google.com/?q=16.2211802656677,-97.920665892446806", "🔗 Ver Mapa")</f>
        <v>🔗 Ver Mapa</v>
      </c>
    </row>
    <row r="7183" spans="1:12" ht="43.5" x14ac:dyDescent="0.35">
      <c r="A7183" s="5" t="s">
        <v>98</v>
      </c>
      <c r="B7183" s="5" t="s">
        <v>99</v>
      </c>
      <c r="C7183" s="5" t="s">
        <v>1386</v>
      </c>
      <c r="D7183" s="5" t="s">
        <v>14</v>
      </c>
      <c r="E7183" s="5" t="s">
        <v>17</v>
      </c>
      <c r="F7183" s="5" t="s">
        <v>59</v>
      </c>
      <c r="G7183" s="5" t="s">
        <v>275</v>
      </c>
      <c r="H7183" s="5" t="s">
        <v>1387</v>
      </c>
      <c r="I7183" s="5" t="s">
        <v>31</v>
      </c>
      <c r="J7183" s="5">
        <v>16.221315467659</v>
      </c>
      <c r="K7183" s="5">
        <v>-97.921084316305993</v>
      </c>
      <c r="L7183" s="5" t="str">
        <f>HYPERLINK("https://maps.google.com/?q=16.2213154676591,-97.921084316305695", "🔗 Ver Mapa")</f>
        <v>🔗 Ver Mapa</v>
      </c>
    </row>
    <row r="7184" spans="1:12" ht="43.5" x14ac:dyDescent="0.35">
      <c r="A7184" s="6" t="s">
        <v>98</v>
      </c>
      <c r="B7184" s="6" t="s">
        <v>99</v>
      </c>
      <c r="C7184" s="6" t="s">
        <v>1386</v>
      </c>
      <c r="D7184" s="6" t="s">
        <v>14</v>
      </c>
      <c r="E7184" s="6" t="s">
        <v>17</v>
      </c>
      <c r="F7184" s="6" t="s">
        <v>59</v>
      </c>
      <c r="G7184" s="6" t="s">
        <v>275</v>
      </c>
      <c r="H7184" s="6" t="s">
        <v>1387</v>
      </c>
      <c r="I7184" s="6" t="s">
        <v>31</v>
      </c>
      <c r="J7184" s="6">
        <v>16.221445857111</v>
      </c>
      <c r="K7184" s="6">
        <v>-97.920082817790998</v>
      </c>
      <c r="L7184" s="6" t="str">
        <f>HYPERLINK("https://maps.google.com/?q=16.2214458571106,-97.920082817791396", "🔗 Ver Mapa")</f>
        <v>🔗 Ver Mapa</v>
      </c>
    </row>
    <row r="7185" spans="1:12" ht="43.5" x14ac:dyDescent="0.35">
      <c r="A7185" s="5" t="s">
        <v>98</v>
      </c>
      <c r="B7185" s="5" t="s">
        <v>99</v>
      </c>
      <c r="C7185" s="5" t="s">
        <v>1386</v>
      </c>
      <c r="D7185" s="5" t="s">
        <v>14</v>
      </c>
      <c r="E7185" s="5" t="s">
        <v>17</v>
      </c>
      <c r="F7185" s="5" t="s">
        <v>59</v>
      </c>
      <c r="G7185" s="5" t="s">
        <v>275</v>
      </c>
      <c r="H7185" s="5" t="s">
        <v>1387</v>
      </c>
      <c r="I7185" s="5" t="s">
        <v>31</v>
      </c>
      <c r="J7185" s="5">
        <v>16.221632863122998</v>
      </c>
      <c r="K7185" s="5">
        <v>-97.920394583255003</v>
      </c>
      <c r="L7185" s="5" t="str">
        <f>HYPERLINK("https://maps.google.com/?q=16.2216328631235,-97.920394583255003", "🔗 Ver Mapa")</f>
        <v>🔗 Ver Mapa</v>
      </c>
    </row>
    <row r="7186" spans="1:12" ht="43.5" x14ac:dyDescent="0.35">
      <c r="A7186" s="6" t="s">
        <v>98</v>
      </c>
      <c r="B7186" s="6" t="s">
        <v>99</v>
      </c>
      <c r="C7186" s="6" t="s">
        <v>1386</v>
      </c>
      <c r="D7186" s="6" t="s">
        <v>14</v>
      </c>
      <c r="E7186" s="6" t="s">
        <v>17</v>
      </c>
      <c r="F7186" s="6" t="s">
        <v>59</v>
      </c>
      <c r="G7186" s="6" t="s">
        <v>275</v>
      </c>
      <c r="H7186" s="6" t="s">
        <v>1387</v>
      </c>
      <c r="I7186" s="6" t="s">
        <v>31</v>
      </c>
      <c r="J7186" s="6">
        <v>16.221652617964001</v>
      </c>
      <c r="K7186" s="6">
        <v>-97.921191610001003</v>
      </c>
      <c r="L7186" s="6" t="str">
        <f>HYPERLINK("https://maps.google.com/?q=16.2216526179642,-97.921191610000804", "🔗 Ver Mapa")</f>
        <v>🔗 Ver Mapa</v>
      </c>
    </row>
    <row r="7187" spans="1:12" ht="43.5" x14ac:dyDescent="0.35">
      <c r="A7187" s="5" t="s">
        <v>98</v>
      </c>
      <c r="B7187" s="5" t="s">
        <v>99</v>
      </c>
      <c r="C7187" s="5" t="s">
        <v>1386</v>
      </c>
      <c r="D7187" s="5" t="s">
        <v>14</v>
      </c>
      <c r="E7187" s="5" t="s">
        <v>17</v>
      </c>
      <c r="F7187" s="5" t="s">
        <v>59</v>
      </c>
      <c r="G7187" s="5" t="s">
        <v>275</v>
      </c>
      <c r="H7187" s="5" t="s">
        <v>1387</v>
      </c>
      <c r="I7187" s="5" t="s">
        <v>31</v>
      </c>
      <c r="J7187" s="5">
        <v>16.221744491370998</v>
      </c>
      <c r="K7187" s="5">
        <v>-97.921250843468002</v>
      </c>
      <c r="L7187" s="5" t="str">
        <f>HYPERLINK("https://maps.google.com/?q=16.2217444913708,-97.921250843467703", "🔗 Ver Mapa")</f>
        <v>🔗 Ver Mapa</v>
      </c>
    </row>
    <row r="7188" spans="1:12" ht="43.5" x14ac:dyDescent="0.35">
      <c r="A7188" s="6" t="s">
        <v>98</v>
      </c>
      <c r="B7188" s="6" t="s">
        <v>99</v>
      </c>
      <c r="C7188" s="6" t="s">
        <v>1386</v>
      </c>
      <c r="D7188" s="6" t="s">
        <v>14</v>
      </c>
      <c r="E7188" s="6" t="s">
        <v>17</v>
      </c>
      <c r="F7188" s="6" t="s">
        <v>59</v>
      </c>
      <c r="G7188" s="6" t="s">
        <v>275</v>
      </c>
      <c r="H7188" s="6" t="s">
        <v>1387</v>
      </c>
      <c r="I7188" s="6" t="s">
        <v>31</v>
      </c>
      <c r="J7188" s="6">
        <v>16.221867496687999</v>
      </c>
      <c r="K7188" s="6">
        <v>-97.921051241685007</v>
      </c>
      <c r="L7188" s="6" t="str">
        <f>HYPERLINK("https://maps.google.com/?q=16.221867496688,-97.921051241684594", "🔗 Ver Mapa")</f>
        <v>🔗 Ver Mapa</v>
      </c>
    </row>
    <row r="7189" spans="1:12" ht="43.5" x14ac:dyDescent="0.35">
      <c r="A7189" s="5" t="s">
        <v>98</v>
      </c>
      <c r="B7189" s="5" t="s">
        <v>99</v>
      </c>
      <c r="C7189" s="5" t="s">
        <v>1386</v>
      </c>
      <c r="D7189" s="5" t="s">
        <v>14</v>
      </c>
      <c r="E7189" s="5" t="s">
        <v>17</v>
      </c>
      <c r="F7189" s="5" t="s">
        <v>59</v>
      </c>
      <c r="G7189" s="5" t="s">
        <v>275</v>
      </c>
      <c r="H7189" s="5" t="s">
        <v>1387</v>
      </c>
      <c r="I7189" s="5" t="s">
        <v>31</v>
      </c>
      <c r="J7189" s="5">
        <v>16.222247100248001</v>
      </c>
      <c r="K7189" s="5">
        <v>-97.920863970937006</v>
      </c>
      <c r="L7189" s="5" t="str">
        <f>HYPERLINK("https://maps.google.com/?q=16.2222471002479,-97.920863970936693", "🔗 Ver Mapa")</f>
        <v>🔗 Ver Mapa</v>
      </c>
    </row>
    <row r="7190" spans="1:12" ht="43.5" x14ac:dyDescent="0.35">
      <c r="A7190" s="6" t="s">
        <v>98</v>
      </c>
      <c r="B7190" s="6" t="s">
        <v>99</v>
      </c>
      <c r="C7190" s="6" t="s">
        <v>1388</v>
      </c>
      <c r="D7190" s="6" t="s">
        <v>14</v>
      </c>
      <c r="E7190" s="6" t="s">
        <v>17</v>
      </c>
      <c r="F7190" s="6" t="s">
        <v>59</v>
      </c>
      <c r="G7190" s="6" t="s">
        <v>275</v>
      </c>
      <c r="H7190" s="6" t="s">
        <v>1389</v>
      </c>
      <c r="I7190" s="6" t="s">
        <v>31</v>
      </c>
      <c r="J7190" s="6">
        <v>16.171224552078002</v>
      </c>
      <c r="K7190" s="6">
        <v>-97.963460546804001</v>
      </c>
      <c r="L7190" s="6" t="str">
        <f>HYPERLINK("https://maps.google.com/?q=16.1712245520777,-97.963460546804498", "🔗 Ver Mapa")</f>
        <v>🔗 Ver Mapa</v>
      </c>
    </row>
    <row r="7191" spans="1:12" ht="43.5" x14ac:dyDescent="0.35">
      <c r="A7191" s="5" t="s">
        <v>98</v>
      </c>
      <c r="B7191" s="5" t="s">
        <v>99</v>
      </c>
      <c r="C7191" s="5" t="s">
        <v>1388</v>
      </c>
      <c r="D7191" s="5" t="s">
        <v>14</v>
      </c>
      <c r="E7191" s="5" t="s">
        <v>17</v>
      </c>
      <c r="F7191" s="5" t="s">
        <v>59</v>
      </c>
      <c r="G7191" s="5" t="s">
        <v>275</v>
      </c>
      <c r="H7191" s="5" t="s">
        <v>1389</v>
      </c>
      <c r="I7191" s="5" t="s">
        <v>31</v>
      </c>
      <c r="J7191" s="5">
        <v>16.172023136465999</v>
      </c>
      <c r="K7191" s="5">
        <v>-97.967006427122996</v>
      </c>
      <c r="L7191" s="5" t="str">
        <f>HYPERLINK("https://maps.google.com/?q=16.1720231364661,-97.967006427122598", "🔗 Ver Mapa")</f>
        <v>🔗 Ver Mapa</v>
      </c>
    </row>
    <row r="7192" spans="1:12" ht="43.5" x14ac:dyDescent="0.35">
      <c r="A7192" s="6" t="s">
        <v>98</v>
      </c>
      <c r="B7192" s="6" t="s">
        <v>99</v>
      </c>
      <c r="C7192" s="6" t="s">
        <v>1388</v>
      </c>
      <c r="D7192" s="6" t="s">
        <v>14</v>
      </c>
      <c r="E7192" s="6" t="s">
        <v>17</v>
      </c>
      <c r="F7192" s="6" t="s">
        <v>59</v>
      </c>
      <c r="G7192" s="6" t="s">
        <v>275</v>
      </c>
      <c r="H7192" s="6" t="s">
        <v>1389</v>
      </c>
      <c r="I7192" s="6" t="s">
        <v>31</v>
      </c>
      <c r="J7192" s="6">
        <v>16.172182852955999</v>
      </c>
      <c r="K7192" s="6">
        <v>-97.965960365607003</v>
      </c>
      <c r="L7192" s="6" t="str">
        <f>HYPERLINK("https://maps.google.com/?q=16.1721828529565,-97.965960365606705", "🔗 Ver Mapa")</f>
        <v>🔗 Ver Mapa</v>
      </c>
    </row>
    <row r="7193" spans="1:12" ht="43.5" x14ac:dyDescent="0.35">
      <c r="A7193" s="5" t="s">
        <v>98</v>
      </c>
      <c r="B7193" s="5" t="s">
        <v>99</v>
      </c>
      <c r="C7193" s="5" t="s">
        <v>1388</v>
      </c>
      <c r="D7193" s="5" t="s">
        <v>14</v>
      </c>
      <c r="E7193" s="5" t="s">
        <v>17</v>
      </c>
      <c r="F7193" s="5" t="s">
        <v>59</v>
      </c>
      <c r="G7193" s="5" t="s">
        <v>275</v>
      </c>
      <c r="H7193" s="5" t="s">
        <v>1389</v>
      </c>
      <c r="I7193" s="5" t="s">
        <v>31</v>
      </c>
      <c r="J7193" s="5">
        <v>16.172651697391998</v>
      </c>
      <c r="K7193" s="5">
        <v>-97.963074308705998</v>
      </c>
      <c r="L7193" s="5" t="str">
        <f>HYPERLINK("https://maps.google.com/?q=16.172651697392,-97.963074308706297", "🔗 Ver Mapa")</f>
        <v>🔗 Ver Mapa</v>
      </c>
    </row>
    <row r="7194" spans="1:12" ht="43.5" x14ac:dyDescent="0.35">
      <c r="A7194" s="6" t="s">
        <v>98</v>
      </c>
      <c r="B7194" s="6" t="s">
        <v>99</v>
      </c>
      <c r="C7194" s="6" t="s">
        <v>1388</v>
      </c>
      <c r="D7194" s="6" t="s">
        <v>14</v>
      </c>
      <c r="E7194" s="6" t="s">
        <v>17</v>
      </c>
      <c r="F7194" s="6" t="s">
        <v>59</v>
      </c>
      <c r="G7194" s="6" t="s">
        <v>275</v>
      </c>
      <c r="H7194" s="6" t="s">
        <v>1389</v>
      </c>
      <c r="I7194" s="6" t="s">
        <v>31</v>
      </c>
      <c r="J7194" s="6">
        <v>16.172924760122001</v>
      </c>
      <c r="K7194" s="6">
        <v>-97.962902647329003</v>
      </c>
      <c r="L7194" s="6" t="str">
        <f>HYPERLINK("https://maps.google.com/?q=16.172924760122,-97.962902647329301", "🔗 Ver Mapa")</f>
        <v>🔗 Ver Mapa</v>
      </c>
    </row>
    <row r="7195" spans="1:12" ht="43.5" x14ac:dyDescent="0.35">
      <c r="A7195" s="5" t="s">
        <v>98</v>
      </c>
      <c r="B7195" s="5" t="s">
        <v>99</v>
      </c>
      <c r="C7195" s="5" t="s">
        <v>1388</v>
      </c>
      <c r="D7195" s="5" t="s">
        <v>14</v>
      </c>
      <c r="E7195" s="5" t="s">
        <v>17</v>
      </c>
      <c r="F7195" s="5" t="s">
        <v>59</v>
      </c>
      <c r="G7195" s="5" t="s">
        <v>275</v>
      </c>
      <c r="H7195" s="5" t="s">
        <v>1389</v>
      </c>
      <c r="I7195" s="5" t="s">
        <v>31</v>
      </c>
      <c r="J7195" s="5">
        <v>16.172965977105001</v>
      </c>
      <c r="K7195" s="5">
        <v>-97.961169940304998</v>
      </c>
      <c r="L7195" s="5" t="str">
        <f>HYPERLINK("https://maps.google.com/?q=16.172965977105,-97.961169940305396", "🔗 Ver Mapa")</f>
        <v>🔗 Ver Mapa</v>
      </c>
    </row>
    <row r="7196" spans="1:12" ht="43.5" x14ac:dyDescent="0.35">
      <c r="A7196" s="6" t="s">
        <v>98</v>
      </c>
      <c r="B7196" s="6" t="s">
        <v>99</v>
      </c>
      <c r="C7196" s="6" t="s">
        <v>1388</v>
      </c>
      <c r="D7196" s="6" t="s">
        <v>14</v>
      </c>
      <c r="E7196" s="6" t="s">
        <v>17</v>
      </c>
      <c r="F7196" s="6" t="s">
        <v>59</v>
      </c>
      <c r="G7196" s="6" t="s">
        <v>275</v>
      </c>
      <c r="H7196" s="6" t="s">
        <v>1389</v>
      </c>
      <c r="I7196" s="6" t="s">
        <v>31</v>
      </c>
      <c r="J7196" s="6">
        <v>16.173038106804999</v>
      </c>
      <c r="K7196" s="6">
        <v>-97.965010863615007</v>
      </c>
      <c r="L7196" s="6" t="str">
        <f>HYPERLINK("https://maps.google.com/?q=16.1730381068047,-97.965010863615305", "🔗 Ver Mapa")</f>
        <v>🔗 Ver Mapa</v>
      </c>
    </row>
    <row r="7197" spans="1:12" ht="43.5" x14ac:dyDescent="0.35">
      <c r="A7197" s="5" t="s">
        <v>98</v>
      </c>
      <c r="B7197" s="5" t="s">
        <v>99</v>
      </c>
      <c r="C7197" s="5" t="s">
        <v>1388</v>
      </c>
      <c r="D7197" s="5" t="s">
        <v>14</v>
      </c>
      <c r="E7197" s="5" t="s">
        <v>17</v>
      </c>
      <c r="F7197" s="5" t="s">
        <v>59</v>
      </c>
      <c r="G7197" s="5" t="s">
        <v>275</v>
      </c>
      <c r="H7197" s="5" t="s">
        <v>1389</v>
      </c>
      <c r="I7197" s="5" t="s">
        <v>31</v>
      </c>
      <c r="J7197" s="5">
        <v>16.173063867404998</v>
      </c>
      <c r="K7197" s="5">
        <v>-97.965225440335999</v>
      </c>
      <c r="L7197" s="5" t="str">
        <f>HYPERLINK("https://maps.google.com/?q=16.1730638674054,-97.965225440336496", "🔗 Ver Mapa")</f>
        <v>🔗 Ver Mapa</v>
      </c>
    </row>
    <row r="7198" spans="1:12" ht="43.5" x14ac:dyDescent="0.35">
      <c r="A7198" s="6" t="s">
        <v>98</v>
      </c>
      <c r="B7198" s="6" t="s">
        <v>99</v>
      </c>
      <c r="C7198" s="6" t="s">
        <v>1388</v>
      </c>
      <c r="D7198" s="6" t="s">
        <v>14</v>
      </c>
      <c r="E7198" s="6" t="s">
        <v>17</v>
      </c>
      <c r="F7198" s="6" t="s">
        <v>59</v>
      </c>
      <c r="G7198" s="6" t="s">
        <v>275</v>
      </c>
      <c r="H7198" s="6" t="s">
        <v>1389</v>
      </c>
      <c r="I7198" s="6" t="s">
        <v>31</v>
      </c>
      <c r="J7198" s="6">
        <v>16.173151453422001</v>
      </c>
      <c r="K7198" s="6">
        <v>-97.961202126814001</v>
      </c>
      <c r="L7198" s="6" t="str">
        <f>HYPERLINK("https://maps.google.com/?q=16.1731514534224,-97.961202126813603", "🔗 Ver Mapa")</f>
        <v>🔗 Ver Mapa</v>
      </c>
    </row>
    <row r="7199" spans="1:12" ht="43.5" x14ac:dyDescent="0.35">
      <c r="A7199" s="5" t="s">
        <v>98</v>
      </c>
      <c r="B7199" s="5" t="s">
        <v>99</v>
      </c>
      <c r="C7199" s="5" t="s">
        <v>1388</v>
      </c>
      <c r="D7199" s="5" t="s">
        <v>14</v>
      </c>
      <c r="E7199" s="5" t="s">
        <v>17</v>
      </c>
      <c r="F7199" s="5" t="s">
        <v>59</v>
      </c>
      <c r="G7199" s="5" t="s">
        <v>275</v>
      </c>
      <c r="H7199" s="5" t="s">
        <v>1389</v>
      </c>
      <c r="I7199" s="5" t="s">
        <v>31</v>
      </c>
      <c r="J7199" s="5">
        <v>16.173264799975001</v>
      </c>
      <c r="K7199" s="5">
        <v>-97.961513263059004</v>
      </c>
      <c r="L7199" s="5" t="str">
        <f>HYPERLINK("https://maps.google.com/?q=16.1732647999751,-97.961513263059402", "🔗 Ver Mapa")</f>
        <v>🔗 Ver Mapa</v>
      </c>
    </row>
    <row r="7200" spans="1:12" ht="43.5" x14ac:dyDescent="0.35">
      <c r="A7200" s="6" t="s">
        <v>98</v>
      </c>
      <c r="B7200" s="6" t="s">
        <v>99</v>
      </c>
      <c r="C7200" s="6" t="s">
        <v>1388</v>
      </c>
      <c r="D7200" s="6" t="s">
        <v>14</v>
      </c>
      <c r="E7200" s="6" t="s">
        <v>17</v>
      </c>
      <c r="F7200" s="6" t="s">
        <v>59</v>
      </c>
      <c r="G7200" s="6" t="s">
        <v>275</v>
      </c>
      <c r="H7200" s="6" t="s">
        <v>1389</v>
      </c>
      <c r="I7200" s="6" t="s">
        <v>31</v>
      </c>
      <c r="J7200" s="6">
        <v>16.173496644994</v>
      </c>
      <c r="K7200" s="6">
        <v>-97.962661248518003</v>
      </c>
      <c r="L7200" s="6" t="str">
        <f>HYPERLINK("https://maps.google.com/?q=16.1734966449939,-97.962661248517904", "🔗 Ver Mapa")</f>
        <v>🔗 Ver Mapa</v>
      </c>
    </row>
    <row r="7201" spans="1:12" ht="43.5" x14ac:dyDescent="0.35">
      <c r="A7201" s="5" t="s">
        <v>98</v>
      </c>
      <c r="B7201" s="5" t="s">
        <v>99</v>
      </c>
      <c r="C7201" s="5" t="s">
        <v>1388</v>
      </c>
      <c r="D7201" s="5" t="s">
        <v>14</v>
      </c>
      <c r="E7201" s="5" t="s">
        <v>17</v>
      </c>
      <c r="F7201" s="5" t="s">
        <v>59</v>
      </c>
      <c r="G7201" s="5" t="s">
        <v>275</v>
      </c>
      <c r="H7201" s="5" t="s">
        <v>1389</v>
      </c>
      <c r="I7201" s="5" t="s">
        <v>31</v>
      </c>
      <c r="J7201" s="5">
        <v>16.173512101319002</v>
      </c>
      <c r="K7201" s="5">
        <v>-97.963610750509005</v>
      </c>
      <c r="L7201" s="5" t="str">
        <f>HYPERLINK("https://maps.google.com/?q=16.1735121013188,-97.963610750509304", "🔗 Ver Mapa")</f>
        <v>🔗 Ver Mapa</v>
      </c>
    </row>
    <row r="7202" spans="1:12" ht="43.5" x14ac:dyDescent="0.35">
      <c r="A7202" s="6" t="s">
        <v>98</v>
      </c>
      <c r="B7202" s="6" t="s">
        <v>99</v>
      </c>
      <c r="C7202" s="6" t="s">
        <v>1388</v>
      </c>
      <c r="D7202" s="6" t="s">
        <v>14</v>
      </c>
      <c r="E7202" s="6" t="s">
        <v>17</v>
      </c>
      <c r="F7202" s="6" t="s">
        <v>59</v>
      </c>
      <c r="G7202" s="6" t="s">
        <v>275</v>
      </c>
      <c r="H7202" s="6" t="s">
        <v>1389</v>
      </c>
      <c r="I7202" s="6" t="s">
        <v>31</v>
      </c>
      <c r="J7202" s="6">
        <v>16.173944877924999</v>
      </c>
      <c r="K7202" s="6">
        <v>-97.959313851667005</v>
      </c>
      <c r="L7202" s="6" t="str">
        <f>HYPERLINK("https://maps.google.com/?q=16.1739448779254,-97.959313851666806", "🔗 Ver Mapa")</f>
        <v>🔗 Ver Mapa</v>
      </c>
    </row>
    <row r="7203" spans="1:12" ht="43.5" x14ac:dyDescent="0.35">
      <c r="A7203" s="5" t="s">
        <v>98</v>
      </c>
      <c r="B7203" s="5" t="s">
        <v>99</v>
      </c>
      <c r="C7203" s="5" t="s">
        <v>1388</v>
      </c>
      <c r="D7203" s="5" t="s">
        <v>14</v>
      </c>
      <c r="E7203" s="5" t="s">
        <v>17</v>
      </c>
      <c r="F7203" s="5" t="s">
        <v>59</v>
      </c>
      <c r="G7203" s="5" t="s">
        <v>275</v>
      </c>
      <c r="H7203" s="5" t="s">
        <v>1389</v>
      </c>
      <c r="I7203" s="5" t="s">
        <v>31</v>
      </c>
      <c r="J7203" s="5">
        <v>16.174310676461001</v>
      </c>
      <c r="K7203" s="5">
        <v>-97.966266137434005</v>
      </c>
      <c r="L7203" s="5" t="str">
        <f>HYPERLINK("https://maps.google.com/?q=16.1743106764607,-97.966266137434403", "🔗 Ver Mapa")</f>
        <v>🔗 Ver Mapa</v>
      </c>
    </row>
    <row r="7204" spans="1:12" ht="43.5" x14ac:dyDescent="0.35">
      <c r="A7204" s="6" t="s">
        <v>98</v>
      </c>
      <c r="B7204" s="6" t="s">
        <v>99</v>
      </c>
      <c r="C7204" s="6" t="s">
        <v>1388</v>
      </c>
      <c r="D7204" s="6" t="s">
        <v>14</v>
      </c>
      <c r="E7204" s="6" t="s">
        <v>17</v>
      </c>
      <c r="F7204" s="6" t="s">
        <v>59</v>
      </c>
      <c r="G7204" s="6" t="s">
        <v>275</v>
      </c>
      <c r="H7204" s="6" t="s">
        <v>1389</v>
      </c>
      <c r="I7204" s="6" t="s">
        <v>31</v>
      </c>
      <c r="J7204" s="6">
        <v>16.174367349413</v>
      </c>
      <c r="K7204" s="6">
        <v>-97.965343457532995</v>
      </c>
      <c r="L7204" s="6" t="str">
        <f>HYPERLINK("https://maps.google.com/?q=16.1743673494126,-97.965343457533194", "🔗 Ver Mapa")</f>
        <v>🔗 Ver Mapa</v>
      </c>
    </row>
    <row r="7205" spans="1:12" ht="43.5" x14ac:dyDescent="0.35">
      <c r="A7205" s="5" t="s">
        <v>98</v>
      </c>
      <c r="B7205" s="5" t="s">
        <v>99</v>
      </c>
      <c r="C7205" s="5" t="s">
        <v>1388</v>
      </c>
      <c r="D7205" s="5" t="s">
        <v>14</v>
      </c>
      <c r="E7205" s="5" t="s">
        <v>17</v>
      </c>
      <c r="F7205" s="5" t="s">
        <v>59</v>
      </c>
      <c r="G7205" s="5" t="s">
        <v>275</v>
      </c>
      <c r="H7205" s="5" t="s">
        <v>1389</v>
      </c>
      <c r="I7205" s="5" t="s">
        <v>31</v>
      </c>
      <c r="J7205" s="5">
        <v>16.174624953535002</v>
      </c>
      <c r="K7205" s="5">
        <v>-97.961819034887</v>
      </c>
      <c r="L7205" s="5" t="str">
        <f>HYPERLINK("https://maps.google.com/?q=16.1746249535345,-97.9618190348871", "🔗 Ver Mapa")</f>
        <v>🔗 Ver Mapa</v>
      </c>
    </row>
    <row r="7206" spans="1:12" ht="43.5" x14ac:dyDescent="0.35">
      <c r="A7206" s="6" t="s">
        <v>98</v>
      </c>
      <c r="B7206" s="6" t="s">
        <v>99</v>
      </c>
      <c r="C7206" s="6" t="s">
        <v>1388</v>
      </c>
      <c r="D7206" s="6" t="s">
        <v>14</v>
      </c>
      <c r="E7206" s="6" t="s">
        <v>17</v>
      </c>
      <c r="F7206" s="6" t="s">
        <v>59</v>
      </c>
      <c r="G7206" s="6" t="s">
        <v>275</v>
      </c>
      <c r="H7206" s="6" t="s">
        <v>1389</v>
      </c>
      <c r="I7206" s="6" t="s">
        <v>31</v>
      </c>
      <c r="J7206" s="6">
        <v>16.174970142530999</v>
      </c>
      <c r="K7206" s="6">
        <v>-97.966191035582</v>
      </c>
      <c r="L7206" s="6" t="str">
        <f>HYPERLINK("https://maps.google.com/?q=16.1749701425312,-97.966191035582", "🔗 Ver Mapa")</f>
        <v>🔗 Ver Mapa</v>
      </c>
    </row>
    <row r="7207" spans="1:12" ht="43.5" x14ac:dyDescent="0.35">
      <c r="A7207" s="5" t="s">
        <v>98</v>
      </c>
      <c r="B7207" s="5" t="s">
        <v>99</v>
      </c>
      <c r="C7207" s="5" t="s">
        <v>1388</v>
      </c>
      <c r="D7207" s="5" t="s">
        <v>14</v>
      </c>
      <c r="E7207" s="5" t="s">
        <v>17</v>
      </c>
      <c r="F7207" s="5" t="s">
        <v>59</v>
      </c>
      <c r="G7207" s="5" t="s">
        <v>275</v>
      </c>
      <c r="H7207" s="5" t="s">
        <v>1389</v>
      </c>
      <c r="I7207" s="5" t="s">
        <v>31</v>
      </c>
      <c r="J7207" s="5">
        <v>16.175438980351998</v>
      </c>
      <c r="K7207" s="5">
        <v>-97.965112787557999</v>
      </c>
      <c r="L7207" s="5" t="str">
        <f>HYPERLINK("https://maps.google.com/?q=16.1754389803517,-97.9651127875578", "🔗 Ver Mapa")</f>
        <v>🔗 Ver Mapa</v>
      </c>
    </row>
    <row r="7208" spans="1:12" ht="43.5" x14ac:dyDescent="0.35">
      <c r="A7208" s="6" t="s">
        <v>98</v>
      </c>
      <c r="B7208" s="6" t="s">
        <v>99</v>
      </c>
      <c r="C7208" s="6" t="s">
        <v>1390</v>
      </c>
      <c r="D7208" s="6" t="s">
        <v>14</v>
      </c>
      <c r="E7208" s="6" t="s">
        <v>17</v>
      </c>
      <c r="F7208" s="6" t="s">
        <v>59</v>
      </c>
      <c r="G7208" s="6" t="s">
        <v>275</v>
      </c>
      <c r="H7208" s="6" t="s">
        <v>1391</v>
      </c>
      <c r="I7208" s="6" t="s">
        <v>31</v>
      </c>
      <c r="J7208" s="6">
        <v>16.227099936171001</v>
      </c>
      <c r="K7208" s="6">
        <v>-97.943159957172</v>
      </c>
      <c r="L7208" s="6" t="str">
        <f>HYPERLINK("https://maps.google.com/?q=16.2270999361715,-97.9431599571719", "🔗 Ver Mapa")</f>
        <v>🔗 Ver Mapa</v>
      </c>
    </row>
    <row r="7209" spans="1:12" ht="43.5" x14ac:dyDescent="0.35">
      <c r="A7209" s="5" t="s">
        <v>98</v>
      </c>
      <c r="B7209" s="5" t="s">
        <v>99</v>
      </c>
      <c r="C7209" s="5" t="s">
        <v>1390</v>
      </c>
      <c r="D7209" s="5" t="s">
        <v>14</v>
      </c>
      <c r="E7209" s="5" t="s">
        <v>17</v>
      </c>
      <c r="F7209" s="5" t="s">
        <v>59</v>
      </c>
      <c r="G7209" s="5" t="s">
        <v>275</v>
      </c>
      <c r="H7209" s="5" t="s">
        <v>1391</v>
      </c>
      <c r="I7209" s="5" t="s">
        <v>31</v>
      </c>
      <c r="J7209" s="5">
        <v>16.227100538845001</v>
      </c>
      <c r="K7209" s="5">
        <v>-97.943408467652006</v>
      </c>
      <c r="L7209" s="5" t="str">
        <f>HYPERLINK("https://maps.google.com/?q=16.2271005388451,-97.943408467652105", "🔗 Ver Mapa")</f>
        <v>🔗 Ver Mapa</v>
      </c>
    </row>
    <row r="7210" spans="1:12" ht="43.5" x14ac:dyDescent="0.35">
      <c r="A7210" s="6" t="s">
        <v>98</v>
      </c>
      <c r="B7210" s="6" t="s">
        <v>99</v>
      </c>
      <c r="C7210" s="6" t="s">
        <v>1390</v>
      </c>
      <c r="D7210" s="6" t="s">
        <v>14</v>
      </c>
      <c r="E7210" s="6" t="s">
        <v>17</v>
      </c>
      <c r="F7210" s="6" t="s">
        <v>59</v>
      </c>
      <c r="G7210" s="6" t="s">
        <v>275</v>
      </c>
      <c r="H7210" s="6" t="s">
        <v>1391</v>
      </c>
      <c r="I7210" s="6" t="s">
        <v>31</v>
      </c>
      <c r="J7210" s="6">
        <v>16.227311356162001</v>
      </c>
      <c r="K7210" s="6">
        <v>-97.945377550925002</v>
      </c>
      <c r="L7210" s="6" t="str">
        <f>HYPERLINK("https://maps.google.com/?q=16.2273113561618,-97.945377550924505", "🔗 Ver Mapa")</f>
        <v>🔗 Ver Mapa</v>
      </c>
    </row>
    <row r="7211" spans="1:12" ht="43.5" x14ac:dyDescent="0.35">
      <c r="A7211" s="5" t="s">
        <v>98</v>
      </c>
      <c r="B7211" s="5" t="s">
        <v>99</v>
      </c>
      <c r="C7211" s="5" t="s">
        <v>1390</v>
      </c>
      <c r="D7211" s="5" t="s">
        <v>14</v>
      </c>
      <c r="E7211" s="5" t="s">
        <v>17</v>
      </c>
      <c r="F7211" s="5" t="s">
        <v>59</v>
      </c>
      <c r="G7211" s="5" t="s">
        <v>275</v>
      </c>
      <c r="H7211" s="5" t="s">
        <v>1391</v>
      </c>
      <c r="I7211" s="5" t="s">
        <v>31</v>
      </c>
      <c r="J7211" s="5">
        <v>16.227412160145001</v>
      </c>
      <c r="K7211" s="5">
        <v>-97.941793780173001</v>
      </c>
      <c r="L7211" s="5" t="str">
        <f>HYPERLINK("https://maps.google.com/?q=16.2274121601448,-97.941793780172802", "🔗 Ver Mapa")</f>
        <v>🔗 Ver Mapa</v>
      </c>
    </row>
    <row r="7212" spans="1:12" ht="43.5" x14ac:dyDescent="0.35">
      <c r="A7212" s="6" t="s">
        <v>98</v>
      </c>
      <c r="B7212" s="6" t="s">
        <v>99</v>
      </c>
      <c r="C7212" s="6" t="s">
        <v>1390</v>
      </c>
      <c r="D7212" s="6" t="s">
        <v>14</v>
      </c>
      <c r="E7212" s="6" t="s">
        <v>17</v>
      </c>
      <c r="F7212" s="6" t="s">
        <v>59</v>
      </c>
      <c r="G7212" s="6" t="s">
        <v>275</v>
      </c>
      <c r="H7212" s="6" t="s">
        <v>1391</v>
      </c>
      <c r="I7212" s="6" t="s">
        <v>31</v>
      </c>
      <c r="J7212" s="6">
        <v>16.227523530397001</v>
      </c>
      <c r="K7212" s="6">
        <v>-97.941686428631996</v>
      </c>
      <c r="L7212" s="6" t="str">
        <f>HYPERLINK("https://maps.google.com/?q=16.2275235303968,-97.941686428631996", "🔗 Ver Mapa")</f>
        <v>🔗 Ver Mapa</v>
      </c>
    </row>
    <row r="7213" spans="1:12" ht="43.5" x14ac:dyDescent="0.35">
      <c r="A7213" s="5" t="s">
        <v>98</v>
      </c>
      <c r="B7213" s="5" t="s">
        <v>99</v>
      </c>
      <c r="C7213" s="5" t="s">
        <v>1390</v>
      </c>
      <c r="D7213" s="5" t="s">
        <v>14</v>
      </c>
      <c r="E7213" s="5" t="s">
        <v>17</v>
      </c>
      <c r="F7213" s="5" t="s">
        <v>59</v>
      </c>
      <c r="G7213" s="5" t="s">
        <v>275</v>
      </c>
      <c r="H7213" s="5" t="s">
        <v>1391</v>
      </c>
      <c r="I7213" s="5" t="s">
        <v>31</v>
      </c>
      <c r="J7213" s="5">
        <v>16.227525082458001</v>
      </c>
      <c r="K7213" s="5">
        <v>-97.942173472386003</v>
      </c>
      <c r="L7213" s="5" t="str">
        <f>HYPERLINK("https://maps.google.com/?q=16.2275250824578,-97.942173472385605", "🔗 Ver Mapa")</f>
        <v>🔗 Ver Mapa</v>
      </c>
    </row>
    <row r="7214" spans="1:12" ht="43.5" x14ac:dyDescent="0.35">
      <c r="A7214" s="6" t="s">
        <v>98</v>
      </c>
      <c r="B7214" s="6" t="s">
        <v>99</v>
      </c>
      <c r="C7214" s="6" t="s">
        <v>1390</v>
      </c>
      <c r="D7214" s="6" t="s">
        <v>14</v>
      </c>
      <c r="E7214" s="6" t="s">
        <v>17</v>
      </c>
      <c r="F7214" s="6" t="s">
        <v>59</v>
      </c>
      <c r="G7214" s="6" t="s">
        <v>275</v>
      </c>
      <c r="H7214" s="6" t="s">
        <v>1391</v>
      </c>
      <c r="I7214" s="6" t="s">
        <v>31</v>
      </c>
      <c r="J7214" s="6">
        <v>16.227528053259</v>
      </c>
      <c r="K7214" s="6">
        <v>-97.942056636483002</v>
      </c>
      <c r="L7214" s="6" t="str">
        <f>HYPERLINK("https://maps.google.com/?q=16.2275280532588,-97.9420566364835", "🔗 Ver Mapa")</f>
        <v>🔗 Ver Mapa</v>
      </c>
    </row>
    <row r="7215" spans="1:12" ht="43.5" x14ac:dyDescent="0.35">
      <c r="A7215" s="5" t="s">
        <v>98</v>
      </c>
      <c r="B7215" s="5" t="s">
        <v>99</v>
      </c>
      <c r="C7215" s="5" t="s">
        <v>1390</v>
      </c>
      <c r="D7215" s="5" t="s">
        <v>14</v>
      </c>
      <c r="E7215" s="5" t="s">
        <v>17</v>
      </c>
      <c r="F7215" s="5" t="s">
        <v>59</v>
      </c>
      <c r="G7215" s="5" t="s">
        <v>275</v>
      </c>
      <c r="H7215" s="5" t="s">
        <v>1391</v>
      </c>
      <c r="I7215" s="5" t="s">
        <v>31</v>
      </c>
      <c r="J7215" s="5">
        <v>16.227577246435001</v>
      </c>
      <c r="K7215" s="5">
        <v>-97.945092008597001</v>
      </c>
      <c r="L7215" s="5" t="str">
        <f>HYPERLINK("https://maps.google.com/?q=16.2275772464347,-97.945092008596603", "🔗 Ver Mapa")</f>
        <v>🔗 Ver Mapa</v>
      </c>
    </row>
    <row r="7216" spans="1:12" ht="43.5" x14ac:dyDescent="0.35">
      <c r="A7216" s="6" t="s">
        <v>98</v>
      </c>
      <c r="B7216" s="6" t="s">
        <v>99</v>
      </c>
      <c r="C7216" s="6" t="s">
        <v>1390</v>
      </c>
      <c r="D7216" s="6" t="s">
        <v>14</v>
      </c>
      <c r="E7216" s="6" t="s">
        <v>17</v>
      </c>
      <c r="F7216" s="6" t="s">
        <v>59</v>
      </c>
      <c r="G7216" s="6" t="s">
        <v>275</v>
      </c>
      <c r="H7216" s="6" t="s">
        <v>1391</v>
      </c>
      <c r="I7216" s="6" t="s">
        <v>31</v>
      </c>
      <c r="J7216" s="6">
        <v>16.227669082203001</v>
      </c>
      <c r="K7216" s="6">
        <v>-97.941510402445005</v>
      </c>
      <c r="L7216" s="6" t="str">
        <f>HYPERLINK("https://maps.google.com/?q=16.2276690822032,-97.941510402445104", "🔗 Ver Mapa")</f>
        <v>🔗 Ver Mapa</v>
      </c>
    </row>
    <row r="7217" spans="1:12" ht="43.5" x14ac:dyDescent="0.35">
      <c r="A7217" s="5" t="s">
        <v>98</v>
      </c>
      <c r="B7217" s="5" t="s">
        <v>99</v>
      </c>
      <c r="C7217" s="5" t="s">
        <v>1390</v>
      </c>
      <c r="D7217" s="5" t="s">
        <v>14</v>
      </c>
      <c r="E7217" s="5" t="s">
        <v>17</v>
      </c>
      <c r="F7217" s="5" t="s">
        <v>59</v>
      </c>
      <c r="G7217" s="5" t="s">
        <v>275</v>
      </c>
      <c r="H7217" s="5" t="s">
        <v>1391</v>
      </c>
      <c r="I7217" s="5" t="s">
        <v>31</v>
      </c>
      <c r="J7217" s="5">
        <v>16.227826410992002</v>
      </c>
      <c r="K7217" s="5">
        <v>-97.941901968086</v>
      </c>
      <c r="L7217" s="5" t="str">
        <f>HYPERLINK("https://maps.google.com/?q=16.2278264109918,-97.941901968086498", "🔗 Ver Mapa")</f>
        <v>🔗 Ver Mapa</v>
      </c>
    </row>
    <row r="7218" spans="1:12" ht="43.5" x14ac:dyDescent="0.35">
      <c r="A7218" s="6" t="s">
        <v>98</v>
      </c>
      <c r="B7218" s="6" t="s">
        <v>99</v>
      </c>
      <c r="C7218" s="6" t="s">
        <v>1390</v>
      </c>
      <c r="D7218" s="6" t="s">
        <v>14</v>
      </c>
      <c r="E7218" s="6" t="s">
        <v>17</v>
      </c>
      <c r="F7218" s="6" t="s">
        <v>59</v>
      </c>
      <c r="G7218" s="6" t="s">
        <v>275</v>
      </c>
      <c r="H7218" s="6" t="s">
        <v>1391</v>
      </c>
      <c r="I7218" s="6" t="s">
        <v>31</v>
      </c>
      <c r="J7218" s="6">
        <v>16.227952382920002</v>
      </c>
      <c r="K7218" s="6">
        <v>-97.944248936861001</v>
      </c>
      <c r="L7218" s="6" t="str">
        <f>HYPERLINK("https://maps.google.com/?q=16.2279523829196,-97.944248936860802", "🔗 Ver Mapa")</f>
        <v>🔗 Ver Mapa</v>
      </c>
    </row>
    <row r="7219" spans="1:12" ht="43.5" x14ac:dyDescent="0.35">
      <c r="A7219" s="5" t="s">
        <v>98</v>
      </c>
      <c r="B7219" s="5" t="s">
        <v>99</v>
      </c>
      <c r="C7219" s="5" t="s">
        <v>1390</v>
      </c>
      <c r="D7219" s="5" t="s">
        <v>14</v>
      </c>
      <c r="E7219" s="5" t="s">
        <v>17</v>
      </c>
      <c r="F7219" s="5" t="s">
        <v>59</v>
      </c>
      <c r="G7219" s="5" t="s">
        <v>275</v>
      </c>
      <c r="H7219" s="5" t="s">
        <v>1391</v>
      </c>
      <c r="I7219" s="5" t="s">
        <v>31</v>
      </c>
      <c r="J7219" s="5">
        <v>16.228323602785999</v>
      </c>
      <c r="K7219" s="5">
        <v>-97.943128720236004</v>
      </c>
      <c r="L7219" s="5" t="str">
        <f>HYPERLINK("https://maps.google.com/?q=16.2283236027855,-97.943128720236103", "🔗 Ver Mapa")</f>
        <v>🔗 Ver Mapa</v>
      </c>
    </row>
    <row r="7220" spans="1:12" ht="43.5" x14ac:dyDescent="0.35">
      <c r="A7220" s="6" t="s">
        <v>98</v>
      </c>
      <c r="B7220" s="6" t="s">
        <v>99</v>
      </c>
      <c r="C7220" s="6" t="s">
        <v>1390</v>
      </c>
      <c r="D7220" s="6" t="s">
        <v>14</v>
      </c>
      <c r="E7220" s="6" t="s">
        <v>17</v>
      </c>
      <c r="F7220" s="6" t="s">
        <v>59</v>
      </c>
      <c r="G7220" s="6" t="s">
        <v>275</v>
      </c>
      <c r="H7220" s="6" t="s">
        <v>1391</v>
      </c>
      <c r="I7220" s="6" t="s">
        <v>31</v>
      </c>
      <c r="J7220" s="6">
        <v>16.228521383515002</v>
      </c>
      <c r="K7220" s="6">
        <v>-97.943081921458997</v>
      </c>
      <c r="L7220" s="6" t="str">
        <f>HYPERLINK("https://maps.google.com/?q=16.2285213835154,-97.943081921459395", "🔗 Ver Mapa")</f>
        <v>🔗 Ver Mapa</v>
      </c>
    </row>
    <row r="7221" spans="1:12" ht="43.5" x14ac:dyDescent="0.35">
      <c r="A7221" s="5" t="s">
        <v>98</v>
      </c>
      <c r="B7221" s="5" t="s">
        <v>99</v>
      </c>
      <c r="C7221" s="5" t="s">
        <v>1390</v>
      </c>
      <c r="D7221" s="5" t="s">
        <v>14</v>
      </c>
      <c r="E7221" s="5" t="s">
        <v>17</v>
      </c>
      <c r="F7221" s="5" t="s">
        <v>59</v>
      </c>
      <c r="G7221" s="5" t="s">
        <v>275</v>
      </c>
      <c r="H7221" s="5" t="s">
        <v>1391</v>
      </c>
      <c r="I7221" s="5" t="s">
        <v>31</v>
      </c>
      <c r="J7221" s="5">
        <v>16.228562041153999</v>
      </c>
      <c r="K7221" s="5">
        <v>-97.943543711638</v>
      </c>
      <c r="L7221" s="5" t="str">
        <f>HYPERLINK("https://maps.google.com/?q=16.2285620411542,-97.943543711637702", "🔗 Ver Mapa")</f>
        <v>🔗 Ver Mapa</v>
      </c>
    </row>
    <row r="7222" spans="1:12" ht="43.5" x14ac:dyDescent="0.35">
      <c r="A7222" s="6" t="s">
        <v>98</v>
      </c>
      <c r="B7222" s="6" t="s">
        <v>99</v>
      </c>
      <c r="C7222" s="6" t="s">
        <v>1390</v>
      </c>
      <c r="D7222" s="6" t="s">
        <v>14</v>
      </c>
      <c r="E7222" s="6" t="s">
        <v>17</v>
      </c>
      <c r="F7222" s="6" t="s">
        <v>59</v>
      </c>
      <c r="G7222" s="6" t="s">
        <v>275</v>
      </c>
      <c r="H7222" s="6" t="s">
        <v>1391</v>
      </c>
      <c r="I7222" s="6" t="s">
        <v>31</v>
      </c>
      <c r="J7222" s="6">
        <v>16.228571958846</v>
      </c>
      <c r="K7222" s="6">
        <v>-97.942803898145996</v>
      </c>
      <c r="L7222" s="6" t="str">
        <f>HYPERLINK("https://maps.google.com/?q=16.2285719588461,-97.942803898145897", "🔗 Ver Mapa")</f>
        <v>🔗 Ver Mapa</v>
      </c>
    </row>
    <row r="7223" spans="1:12" ht="43.5" x14ac:dyDescent="0.35">
      <c r="A7223" s="5" t="s">
        <v>98</v>
      </c>
      <c r="B7223" s="5" t="s">
        <v>99</v>
      </c>
      <c r="C7223" s="5" t="s">
        <v>1390</v>
      </c>
      <c r="D7223" s="5" t="s">
        <v>14</v>
      </c>
      <c r="E7223" s="5" t="s">
        <v>17</v>
      </c>
      <c r="F7223" s="5" t="s">
        <v>59</v>
      </c>
      <c r="G7223" s="5" t="s">
        <v>275</v>
      </c>
      <c r="H7223" s="5" t="s">
        <v>1391</v>
      </c>
      <c r="I7223" s="5" t="s">
        <v>31</v>
      </c>
      <c r="J7223" s="5">
        <v>16.228719219165999</v>
      </c>
      <c r="K7223" s="5">
        <v>-97.942638720236005</v>
      </c>
      <c r="L7223" s="5" t="str">
        <f>HYPERLINK("https://maps.google.com/?q=16.2287192191659,-97.942638720236104", "🔗 Ver Mapa")</f>
        <v>🔗 Ver Mapa</v>
      </c>
    </row>
    <row r="7224" spans="1:12" ht="43.5" x14ac:dyDescent="0.35">
      <c r="A7224" s="6" t="s">
        <v>98</v>
      </c>
      <c r="B7224" s="6" t="s">
        <v>99</v>
      </c>
      <c r="C7224" s="6" t="s">
        <v>1390</v>
      </c>
      <c r="D7224" s="6" t="s">
        <v>14</v>
      </c>
      <c r="E7224" s="6" t="s">
        <v>17</v>
      </c>
      <c r="F7224" s="6" t="s">
        <v>59</v>
      </c>
      <c r="G7224" s="6" t="s">
        <v>275</v>
      </c>
      <c r="H7224" s="6" t="s">
        <v>1391</v>
      </c>
      <c r="I7224" s="6" t="s">
        <v>31</v>
      </c>
      <c r="J7224" s="6">
        <v>16.228820886215999</v>
      </c>
      <c r="K7224" s="6">
        <v>-97.944199845894005</v>
      </c>
      <c r="L7224" s="6" t="str">
        <f>HYPERLINK("https://maps.google.com/?q=16.2288208862161,-97.944199845893806", "🔗 Ver Mapa")</f>
        <v>🔗 Ver Mapa</v>
      </c>
    </row>
    <row r="7225" spans="1:12" ht="43.5" x14ac:dyDescent="0.35">
      <c r="A7225" s="5" t="s">
        <v>98</v>
      </c>
      <c r="B7225" s="5" t="s">
        <v>99</v>
      </c>
      <c r="C7225" s="5" t="s">
        <v>1390</v>
      </c>
      <c r="D7225" s="5" t="s">
        <v>14</v>
      </c>
      <c r="E7225" s="5" t="s">
        <v>17</v>
      </c>
      <c r="F7225" s="5" t="s">
        <v>59</v>
      </c>
      <c r="G7225" s="5" t="s">
        <v>275</v>
      </c>
      <c r="H7225" s="5" t="s">
        <v>1391</v>
      </c>
      <c r="I7225" s="5" t="s">
        <v>31</v>
      </c>
      <c r="J7225" s="5">
        <v>16.228900068089999</v>
      </c>
      <c r="K7225" s="5">
        <v>-97.943063938655996</v>
      </c>
      <c r="L7225" s="5" t="str">
        <f>HYPERLINK("https://maps.google.com/?q=16.2289000680902,-97.943063938655996", "🔗 Ver Mapa")</f>
        <v>🔗 Ver Mapa</v>
      </c>
    </row>
    <row r="7226" spans="1:12" ht="43.5" x14ac:dyDescent="0.35">
      <c r="A7226" s="6" t="s">
        <v>98</v>
      </c>
      <c r="B7226" s="6" t="s">
        <v>99</v>
      </c>
      <c r="C7226" s="6" t="s">
        <v>1390</v>
      </c>
      <c r="D7226" s="6" t="s">
        <v>14</v>
      </c>
      <c r="E7226" s="6" t="s">
        <v>17</v>
      </c>
      <c r="F7226" s="6" t="s">
        <v>59</v>
      </c>
      <c r="G7226" s="6" t="s">
        <v>275</v>
      </c>
      <c r="H7226" s="6" t="s">
        <v>1391</v>
      </c>
      <c r="I7226" s="6" t="s">
        <v>31</v>
      </c>
      <c r="J7226" s="6">
        <v>16.229063397118001</v>
      </c>
      <c r="K7226" s="6">
        <v>-97.942856069938998</v>
      </c>
      <c r="L7226" s="6" t="str">
        <f>HYPERLINK("https://maps.google.com/?q=16.2290633971182,-97.942856069938898", "🔗 Ver Mapa")</f>
        <v>🔗 Ver Mapa</v>
      </c>
    </row>
    <row r="7227" spans="1:12" ht="43.5" x14ac:dyDescent="0.35">
      <c r="A7227" s="5" t="s">
        <v>98</v>
      </c>
      <c r="B7227" s="5" t="s">
        <v>99</v>
      </c>
      <c r="C7227" s="5" t="s">
        <v>1390</v>
      </c>
      <c r="D7227" s="5" t="s">
        <v>14</v>
      </c>
      <c r="E7227" s="5" t="s">
        <v>17</v>
      </c>
      <c r="F7227" s="5" t="s">
        <v>59</v>
      </c>
      <c r="G7227" s="5" t="s">
        <v>275</v>
      </c>
      <c r="H7227" s="5" t="s">
        <v>1391</v>
      </c>
      <c r="I7227" s="5" t="s">
        <v>31</v>
      </c>
      <c r="J7227" s="5">
        <v>16.229117572793999</v>
      </c>
      <c r="K7227" s="5">
        <v>-97.943410492064004</v>
      </c>
      <c r="L7227" s="5" t="str">
        <f>HYPERLINK("https://maps.google.com/?q=16.229117572794,-97.943410492063606", "🔗 Ver Mapa")</f>
        <v>🔗 Ver Mapa</v>
      </c>
    </row>
    <row r="7228" spans="1:12" ht="43.5" x14ac:dyDescent="0.35">
      <c r="A7228" s="6" t="s">
        <v>98</v>
      </c>
      <c r="B7228" s="6" t="s">
        <v>99</v>
      </c>
      <c r="C7228" s="6" t="s">
        <v>1390</v>
      </c>
      <c r="D7228" s="6" t="s">
        <v>14</v>
      </c>
      <c r="E7228" s="6" t="s">
        <v>17</v>
      </c>
      <c r="F7228" s="6" t="s">
        <v>59</v>
      </c>
      <c r="G7228" s="6" t="s">
        <v>275</v>
      </c>
      <c r="H7228" s="6" t="s">
        <v>1391</v>
      </c>
      <c r="I7228" s="6" t="s">
        <v>31</v>
      </c>
      <c r="J7228" s="6">
        <v>16.229337851101999</v>
      </c>
      <c r="K7228" s="6">
        <v>-97.942925609612004</v>
      </c>
      <c r="L7228" s="6" t="str">
        <f>HYPERLINK("https://maps.google.com/?q=16.2293378511016,-97.942925609612104", "🔗 Ver Mapa")</f>
        <v>🔗 Ver Mapa</v>
      </c>
    </row>
    <row r="7229" spans="1:12" ht="43.5" x14ac:dyDescent="0.35">
      <c r="A7229" s="5" t="s">
        <v>98</v>
      </c>
      <c r="B7229" s="5" t="s">
        <v>99</v>
      </c>
      <c r="C7229" s="5" t="s">
        <v>1390</v>
      </c>
      <c r="D7229" s="5" t="s">
        <v>14</v>
      </c>
      <c r="E7229" s="5" t="s">
        <v>17</v>
      </c>
      <c r="F7229" s="5" t="s">
        <v>59</v>
      </c>
      <c r="G7229" s="5" t="s">
        <v>275</v>
      </c>
      <c r="H7229" s="5" t="s">
        <v>1391</v>
      </c>
      <c r="I7229" s="5" t="s">
        <v>31</v>
      </c>
      <c r="J7229" s="5">
        <v>16.229390022547001</v>
      </c>
      <c r="K7229" s="5">
        <v>-97.944613812336002</v>
      </c>
      <c r="L7229" s="5" t="str">
        <f>HYPERLINK("https://maps.google.com/?q=16.229390022547,-97.944613812336002", "🔗 Ver Mapa")</f>
        <v>🔗 Ver Mapa</v>
      </c>
    </row>
    <row r="7230" spans="1:12" ht="43.5" x14ac:dyDescent="0.35">
      <c r="A7230" s="6" t="s">
        <v>98</v>
      </c>
      <c r="B7230" s="6" t="s">
        <v>99</v>
      </c>
      <c r="C7230" s="6" t="s">
        <v>1390</v>
      </c>
      <c r="D7230" s="6" t="s">
        <v>14</v>
      </c>
      <c r="E7230" s="6" t="s">
        <v>17</v>
      </c>
      <c r="F7230" s="6" t="s">
        <v>59</v>
      </c>
      <c r="G7230" s="6" t="s">
        <v>275</v>
      </c>
      <c r="H7230" s="6" t="s">
        <v>1391</v>
      </c>
      <c r="I7230" s="6" t="s">
        <v>31</v>
      </c>
      <c r="J7230" s="6">
        <v>16.229576068507999</v>
      </c>
      <c r="K7230" s="6">
        <v>-97.944116510414005</v>
      </c>
      <c r="L7230" s="6" t="str">
        <f>HYPERLINK("https://maps.google.com/?q=16.2295760685084,-97.944116510414403", "🔗 Ver Mapa")</f>
        <v>🔗 Ver Mapa</v>
      </c>
    </row>
    <row r="7231" spans="1:12" ht="43.5" x14ac:dyDescent="0.35">
      <c r="A7231" s="5" t="s">
        <v>98</v>
      </c>
      <c r="B7231" s="5" t="s">
        <v>99</v>
      </c>
      <c r="C7231" s="5" t="s">
        <v>1390</v>
      </c>
      <c r="D7231" s="5" t="s">
        <v>14</v>
      </c>
      <c r="E7231" s="5" t="s">
        <v>17</v>
      </c>
      <c r="F7231" s="5" t="s">
        <v>59</v>
      </c>
      <c r="G7231" s="5" t="s">
        <v>275</v>
      </c>
      <c r="H7231" s="5" t="s">
        <v>1391</v>
      </c>
      <c r="I7231" s="5" t="s">
        <v>31</v>
      </c>
      <c r="J7231" s="5">
        <v>16.229601288049999</v>
      </c>
      <c r="K7231" s="5">
        <v>-97.944860218418</v>
      </c>
      <c r="L7231" s="5" t="str">
        <f>HYPERLINK("https://maps.google.com/?q=16.2296012880496,-97.944860218418299", "🔗 Ver Mapa")</f>
        <v>🔗 Ver Mapa</v>
      </c>
    </row>
    <row r="7232" spans="1:12" ht="43.5" x14ac:dyDescent="0.35">
      <c r="A7232" s="6" t="s">
        <v>98</v>
      </c>
      <c r="B7232" s="6" t="s">
        <v>99</v>
      </c>
      <c r="C7232" s="6" t="s">
        <v>1390</v>
      </c>
      <c r="D7232" s="6" t="s">
        <v>14</v>
      </c>
      <c r="E7232" s="6" t="s">
        <v>17</v>
      </c>
      <c r="F7232" s="6" t="s">
        <v>59</v>
      </c>
      <c r="G7232" s="6" t="s">
        <v>275</v>
      </c>
      <c r="H7232" s="6" t="s">
        <v>1391</v>
      </c>
      <c r="I7232" s="6" t="s">
        <v>31</v>
      </c>
      <c r="J7232" s="6">
        <v>16.229638082131999</v>
      </c>
      <c r="K7232" s="6">
        <v>-97.944312253966004</v>
      </c>
      <c r="L7232" s="6" t="str">
        <f>HYPERLINK("https://maps.google.com/?q=16.2296380821324,-97.944312253965606", "🔗 Ver Mapa")</f>
        <v>🔗 Ver Mapa</v>
      </c>
    </row>
    <row r="7233" spans="1:12" ht="43.5" x14ac:dyDescent="0.35">
      <c r="A7233" s="5" t="s">
        <v>98</v>
      </c>
      <c r="B7233" s="5" t="s">
        <v>99</v>
      </c>
      <c r="C7233" s="5" t="s">
        <v>1390</v>
      </c>
      <c r="D7233" s="5" t="s">
        <v>14</v>
      </c>
      <c r="E7233" s="5" t="s">
        <v>17</v>
      </c>
      <c r="F7233" s="5" t="s">
        <v>59</v>
      </c>
      <c r="G7233" s="5" t="s">
        <v>275</v>
      </c>
      <c r="H7233" s="5" t="s">
        <v>1391</v>
      </c>
      <c r="I7233" s="5" t="s">
        <v>31</v>
      </c>
      <c r="J7233" s="5">
        <v>16.229660437909999</v>
      </c>
      <c r="K7233" s="5">
        <v>-97.944945495699002</v>
      </c>
      <c r="L7233" s="5" t="str">
        <f>HYPERLINK("https://maps.google.com/?q=16.2296604379105,-97.944945495699102", "🔗 Ver Mapa")</f>
        <v>🔗 Ver Mapa</v>
      </c>
    </row>
    <row r="7234" spans="1:12" ht="43.5" x14ac:dyDescent="0.35">
      <c r="A7234" s="6" t="s">
        <v>98</v>
      </c>
      <c r="B7234" s="6" t="s">
        <v>99</v>
      </c>
      <c r="C7234" s="6" t="s">
        <v>1392</v>
      </c>
      <c r="D7234" s="6" t="s">
        <v>14</v>
      </c>
      <c r="E7234" s="6" t="s">
        <v>17</v>
      </c>
      <c r="F7234" s="6" t="s">
        <v>59</v>
      </c>
      <c r="G7234" s="6" t="s">
        <v>275</v>
      </c>
      <c r="H7234" s="6" t="s">
        <v>1393</v>
      </c>
      <c r="I7234" s="6" t="s">
        <v>31</v>
      </c>
      <c r="J7234" s="6">
        <v>16.094864672680998</v>
      </c>
      <c r="K7234" s="6">
        <v>-97.923096883447002</v>
      </c>
      <c r="L7234" s="6" t="str">
        <f>HYPERLINK("https://maps.google.com/?q=16.0948646726814,-97.923096883447499", "🔗 Ver Mapa")</f>
        <v>🔗 Ver Mapa</v>
      </c>
    </row>
    <row r="7235" spans="1:12" ht="43.5" x14ac:dyDescent="0.35">
      <c r="A7235" s="5" t="s">
        <v>98</v>
      </c>
      <c r="B7235" s="5" t="s">
        <v>99</v>
      </c>
      <c r="C7235" s="5" t="s">
        <v>1392</v>
      </c>
      <c r="D7235" s="5" t="s">
        <v>14</v>
      </c>
      <c r="E7235" s="5" t="s">
        <v>17</v>
      </c>
      <c r="F7235" s="5" t="s">
        <v>59</v>
      </c>
      <c r="G7235" s="5" t="s">
        <v>275</v>
      </c>
      <c r="H7235" s="5" t="s">
        <v>1393</v>
      </c>
      <c r="I7235" s="5" t="s">
        <v>31</v>
      </c>
      <c r="J7235" s="5">
        <v>16.095166427152002</v>
      </c>
      <c r="K7235" s="5">
        <v>-97.922019637792005</v>
      </c>
      <c r="L7235" s="5" t="str">
        <f>HYPERLINK("https://maps.google.com/?q=16.095166427152,-97.922019637791607", "🔗 Ver Mapa")</f>
        <v>🔗 Ver Mapa</v>
      </c>
    </row>
    <row r="7236" spans="1:12" ht="43.5" x14ac:dyDescent="0.35">
      <c r="A7236" s="6" t="s">
        <v>98</v>
      </c>
      <c r="B7236" s="6" t="s">
        <v>99</v>
      </c>
      <c r="C7236" s="6" t="s">
        <v>1392</v>
      </c>
      <c r="D7236" s="6" t="s">
        <v>14</v>
      </c>
      <c r="E7236" s="6" t="s">
        <v>17</v>
      </c>
      <c r="F7236" s="6" t="s">
        <v>59</v>
      </c>
      <c r="G7236" s="6" t="s">
        <v>275</v>
      </c>
      <c r="H7236" s="6" t="s">
        <v>1393</v>
      </c>
      <c r="I7236" s="6" t="s">
        <v>31</v>
      </c>
      <c r="J7236" s="6">
        <v>16.09527280791</v>
      </c>
      <c r="K7236" s="6">
        <v>-97.922285122665002</v>
      </c>
      <c r="L7236" s="6" t="str">
        <f>HYPERLINK("https://maps.google.com/?q=16.0952728079102,-97.922285122665301", "🔗 Ver Mapa")</f>
        <v>🔗 Ver Mapa</v>
      </c>
    </row>
    <row r="7237" spans="1:12" ht="43.5" x14ac:dyDescent="0.35">
      <c r="A7237" s="5" t="s">
        <v>98</v>
      </c>
      <c r="B7237" s="5" t="s">
        <v>99</v>
      </c>
      <c r="C7237" s="5" t="s">
        <v>1392</v>
      </c>
      <c r="D7237" s="5" t="s">
        <v>14</v>
      </c>
      <c r="E7237" s="5" t="s">
        <v>17</v>
      </c>
      <c r="F7237" s="5" t="s">
        <v>59</v>
      </c>
      <c r="G7237" s="5" t="s">
        <v>275</v>
      </c>
      <c r="H7237" s="5" t="s">
        <v>1393</v>
      </c>
      <c r="I7237" s="5" t="s">
        <v>31</v>
      </c>
      <c r="J7237" s="5">
        <v>16.095814435453001</v>
      </c>
      <c r="K7237" s="5">
        <v>-97.923664212209005</v>
      </c>
      <c r="L7237" s="5" t="str">
        <f>HYPERLINK("https://maps.google.com/?q=16.0958144354532,-97.923664212209403", "🔗 Ver Mapa")</f>
        <v>🔗 Ver Mapa</v>
      </c>
    </row>
    <row r="7238" spans="1:12" ht="43.5" x14ac:dyDescent="0.35">
      <c r="A7238" s="6" t="s">
        <v>98</v>
      </c>
      <c r="B7238" s="6" t="s">
        <v>99</v>
      </c>
      <c r="C7238" s="6" t="s">
        <v>1392</v>
      </c>
      <c r="D7238" s="6" t="s">
        <v>14</v>
      </c>
      <c r="E7238" s="6" t="s">
        <v>17</v>
      </c>
      <c r="F7238" s="6" t="s">
        <v>59</v>
      </c>
      <c r="G7238" s="6" t="s">
        <v>275</v>
      </c>
      <c r="H7238" s="6" t="s">
        <v>1393</v>
      </c>
      <c r="I7238" s="6" t="s">
        <v>31</v>
      </c>
      <c r="J7238" s="6">
        <v>16.096202139578001</v>
      </c>
      <c r="K7238" s="6">
        <v>-97.924550012208996</v>
      </c>
      <c r="L7238" s="6" t="str">
        <f>HYPERLINK("https://maps.google.com/?q=16.0962021395779,-97.924550012209394", "🔗 Ver Mapa")</f>
        <v>🔗 Ver Mapa</v>
      </c>
    </row>
    <row r="7239" spans="1:12" ht="43.5" x14ac:dyDescent="0.35">
      <c r="A7239" s="5" t="s">
        <v>98</v>
      </c>
      <c r="B7239" s="5" t="s">
        <v>99</v>
      </c>
      <c r="C7239" s="5" t="s">
        <v>1392</v>
      </c>
      <c r="D7239" s="5" t="s">
        <v>14</v>
      </c>
      <c r="E7239" s="5" t="s">
        <v>17</v>
      </c>
      <c r="F7239" s="5" t="s">
        <v>59</v>
      </c>
      <c r="G7239" s="5" t="s">
        <v>275</v>
      </c>
      <c r="H7239" s="5" t="s">
        <v>1393</v>
      </c>
      <c r="I7239" s="5" t="s">
        <v>31</v>
      </c>
      <c r="J7239" s="5">
        <v>16.096454602518001</v>
      </c>
      <c r="K7239" s="5">
        <v>-97.924377397792</v>
      </c>
      <c r="L7239" s="5" t="str">
        <f>HYPERLINK("https://maps.google.com/?q=16.096454602518,-97.924377397791503", "🔗 Ver Mapa")</f>
        <v>🔗 Ver Mapa</v>
      </c>
    </row>
    <row r="7240" spans="1:12" ht="43.5" x14ac:dyDescent="0.35">
      <c r="A7240" s="6" t="s">
        <v>98</v>
      </c>
      <c r="B7240" s="6" t="s">
        <v>99</v>
      </c>
      <c r="C7240" s="6" t="s">
        <v>1392</v>
      </c>
      <c r="D7240" s="6" t="s">
        <v>14</v>
      </c>
      <c r="E7240" s="6" t="s">
        <v>17</v>
      </c>
      <c r="F7240" s="6" t="s">
        <v>59</v>
      </c>
      <c r="G7240" s="6" t="s">
        <v>275</v>
      </c>
      <c r="H7240" s="6" t="s">
        <v>1393</v>
      </c>
      <c r="I7240" s="6" t="s">
        <v>31</v>
      </c>
      <c r="J7240" s="6">
        <v>16.096484493125999</v>
      </c>
      <c r="K7240" s="6">
        <v>-97.922990441164004</v>
      </c>
      <c r="L7240" s="6" t="str">
        <f>HYPERLINK("https://maps.google.com/?q=16.0964844931259,-97.922990441164401", "🔗 Ver Mapa")</f>
        <v>🔗 Ver Mapa</v>
      </c>
    </row>
    <row r="7241" spans="1:12" ht="43.5" x14ac:dyDescent="0.35">
      <c r="A7241" s="5" t="s">
        <v>98</v>
      </c>
      <c r="B7241" s="5" t="s">
        <v>99</v>
      </c>
      <c r="C7241" s="5" t="s">
        <v>1392</v>
      </c>
      <c r="D7241" s="5" t="s">
        <v>14</v>
      </c>
      <c r="E7241" s="5" t="s">
        <v>17</v>
      </c>
      <c r="F7241" s="5" t="s">
        <v>59</v>
      </c>
      <c r="G7241" s="5" t="s">
        <v>275</v>
      </c>
      <c r="H7241" s="5" t="s">
        <v>1393</v>
      </c>
      <c r="I7241" s="5" t="s">
        <v>31</v>
      </c>
      <c r="J7241" s="5">
        <v>16.096498212004001</v>
      </c>
      <c r="K7241" s="5">
        <v>-97.924554653512004</v>
      </c>
      <c r="L7241" s="5" t="str">
        <f>HYPERLINK("https://maps.google.com/?q=16.0964982120043,-97.924554653512004", "🔗 Ver Mapa")</f>
        <v>🔗 Ver Mapa</v>
      </c>
    </row>
    <row r="7242" spans="1:12" ht="43.5" x14ac:dyDescent="0.35">
      <c r="A7242" s="6" t="s">
        <v>98</v>
      </c>
      <c r="B7242" s="6" t="s">
        <v>99</v>
      </c>
      <c r="C7242" s="6" t="s">
        <v>1392</v>
      </c>
      <c r="D7242" s="6" t="s">
        <v>14</v>
      </c>
      <c r="E7242" s="6" t="s">
        <v>17</v>
      </c>
      <c r="F7242" s="6" t="s">
        <v>59</v>
      </c>
      <c r="G7242" s="6" t="s">
        <v>275</v>
      </c>
      <c r="H7242" s="6" t="s">
        <v>1393</v>
      </c>
      <c r="I7242" s="6" t="s">
        <v>31</v>
      </c>
      <c r="J7242" s="6">
        <v>16.096613405464002</v>
      </c>
      <c r="K7242" s="6">
        <v>-97.924794920001005</v>
      </c>
      <c r="L7242" s="6" t="str">
        <f>HYPERLINK("https://maps.google.com/?q=16.0966134054639,-97.924794920000593", "🔗 Ver Mapa")</f>
        <v>🔗 Ver Mapa</v>
      </c>
    </row>
    <row r="7243" spans="1:12" ht="43.5" x14ac:dyDescent="0.35">
      <c r="A7243" s="5" t="s">
        <v>98</v>
      </c>
      <c r="B7243" s="5" t="s">
        <v>99</v>
      </c>
      <c r="C7243" s="5" t="s">
        <v>1392</v>
      </c>
      <c r="D7243" s="5" t="s">
        <v>14</v>
      </c>
      <c r="E7243" s="5" t="s">
        <v>17</v>
      </c>
      <c r="F7243" s="5" t="s">
        <v>59</v>
      </c>
      <c r="G7243" s="5" t="s">
        <v>275</v>
      </c>
      <c r="H7243" s="5" t="s">
        <v>1393</v>
      </c>
      <c r="I7243" s="5" t="s">
        <v>31</v>
      </c>
      <c r="J7243" s="5">
        <v>16.096645468409999</v>
      </c>
      <c r="K7243" s="5">
        <v>-97.924312072209005</v>
      </c>
      <c r="L7243" s="5" t="str">
        <f>HYPERLINK("https://maps.google.com/?q=16.09664546841,-97.924312072209403", "🔗 Ver Mapa")</f>
        <v>🔗 Ver Mapa</v>
      </c>
    </row>
    <row r="7244" spans="1:12" ht="43.5" x14ac:dyDescent="0.35">
      <c r="A7244" s="6" t="s">
        <v>98</v>
      </c>
      <c r="B7244" s="6" t="s">
        <v>99</v>
      </c>
      <c r="C7244" s="6" t="s">
        <v>1392</v>
      </c>
      <c r="D7244" s="6" t="s">
        <v>14</v>
      </c>
      <c r="E7244" s="6" t="s">
        <v>17</v>
      </c>
      <c r="F7244" s="6" t="s">
        <v>59</v>
      </c>
      <c r="G7244" s="6" t="s">
        <v>275</v>
      </c>
      <c r="H7244" s="6" t="s">
        <v>1393</v>
      </c>
      <c r="I7244" s="6" t="s">
        <v>31</v>
      </c>
      <c r="J7244" s="6">
        <v>16.096686657879001</v>
      </c>
      <c r="K7244" s="6">
        <v>-97.924038338811002</v>
      </c>
      <c r="L7244" s="6" t="str">
        <f>HYPERLINK("https://maps.google.com/?q=16.0966866578785,-97.9240383388114", "🔗 Ver Mapa")</f>
        <v>🔗 Ver Mapa</v>
      </c>
    </row>
    <row r="7245" spans="1:12" ht="43.5" x14ac:dyDescent="0.35">
      <c r="A7245" s="5" t="s">
        <v>98</v>
      </c>
      <c r="B7245" s="5" t="s">
        <v>99</v>
      </c>
      <c r="C7245" s="5" t="s">
        <v>1392</v>
      </c>
      <c r="D7245" s="5" t="s">
        <v>14</v>
      </c>
      <c r="E7245" s="5" t="s">
        <v>17</v>
      </c>
      <c r="F7245" s="5" t="s">
        <v>59</v>
      </c>
      <c r="G7245" s="5" t="s">
        <v>275</v>
      </c>
      <c r="H7245" s="5" t="s">
        <v>1393</v>
      </c>
      <c r="I7245" s="5" t="s">
        <v>31</v>
      </c>
      <c r="J7245" s="5">
        <v>16.096712428412001</v>
      </c>
      <c r="K7245" s="5">
        <v>-97.923796940000003</v>
      </c>
      <c r="L7245" s="5" t="str">
        <f>HYPERLINK("https://maps.google.com/?q=16.096712428412,-97.923796940000003", "🔗 Ver Mapa")</f>
        <v>🔗 Ver Mapa</v>
      </c>
    </row>
    <row r="7246" spans="1:12" ht="43.5" x14ac:dyDescent="0.35">
      <c r="A7246" s="6" t="s">
        <v>98</v>
      </c>
      <c r="B7246" s="6" t="s">
        <v>99</v>
      </c>
      <c r="C7246" s="6" t="s">
        <v>1392</v>
      </c>
      <c r="D7246" s="6" t="s">
        <v>14</v>
      </c>
      <c r="E7246" s="6" t="s">
        <v>17</v>
      </c>
      <c r="F7246" s="6" t="s">
        <v>59</v>
      </c>
      <c r="G7246" s="6" t="s">
        <v>275</v>
      </c>
      <c r="H7246" s="6" t="s">
        <v>1393</v>
      </c>
      <c r="I7246" s="6" t="s">
        <v>31</v>
      </c>
      <c r="J7246" s="6">
        <v>16.096767653398999</v>
      </c>
      <c r="K7246" s="6">
        <v>-97.924664364532006</v>
      </c>
      <c r="L7246" s="6" t="str">
        <f>HYPERLINK("https://maps.google.com/?q=16.0967676533992,-97.924664364532305", "🔗 Ver Mapa")</f>
        <v>🔗 Ver Mapa</v>
      </c>
    </row>
    <row r="7247" spans="1:12" ht="43.5" x14ac:dyDescent="0.35">
      <c r="A7247" s="5" t="s">
        <v>98</v>
      </c>
      <c r="B7247" s="5" t="s">
        <v>99</v>
      </c>
      <c r="C7247" s="5" t="s">
        <v>1392</v>
      </c>
      <c r="D7247" s="5" t="s">
        <v>14</v>
      </c>
      <c r="E7247" s="5" t="s">
        <v>17</v>
      </c>
      <c r="F7247" s="5" t="s">
        <v>59</v>
      </c>
      <c r="G7247" s="5" t="s">
        <v>275</v>
      </c>
      <c r="H7247" s="5" t="s">
        <v>1393</v>
      </c>
      <c r="I7247" s="5" t="s">
        <v>31</v>
      </c>
      <c r="J7247" s="5">
        <v>16.096850656621001</v>
      </c>
      <c r="K7247" s="5">
        <v>-97.921769900000996</v>
      </c>
      <c r="L7247" s="5" t="str">
        <f>HYPERLINK("https://maps.google.com/?q=16.0968506566211,-97.921769900000797", "🔗 Ver Mapa")</f>
        <v>🔗 Ver Mapa</v>
      </c>
    </row>
    <row r="7248" spans="1:12" ht="43.5" x14ac:dyDescent="0.35">
      <c r="A7248" s="6" t="s">
        <v>98</v>
      </c>
      <c r="B7248" s="6" t="s">
        <v>99</v>
      </c>
      <c r="C7248" s="6" t="s">
        <v>1392</v>
      </c>
      <c r="D7248" s="6" t="s">
        <v>14</v>
      </c>
      <c r="E7248" s="6" t="s">
        <v>17</v>
      </c>
      <c r="F7248" s="6" t="s">
        <v>59</v>
      </c>
      <c r="G7248" s="6" t="s">
        <v>275</v>
      </c>
      <c r="H7248" s="6" t="s">
        <v>1393</v>
      </c>
      <c r="I7248" s="6" t="s">
        <v>31</v>
      </c>
      <c r="J7248" s="6">
        <v>16.096950619567998</v>
      </c>
      <c r="K7248" s="6">
        <v>-97.924032703373001</v>
      </c>
      <c r="L7248" s="6" t="str">
        <f>HYPERLINK("https://maps.google.com/?q=16.0969506195684,-97.924032703373001", "🔗 Ver Mapa")</f>
        <v>🔗 Ver Mapa</v>
      </c>
    </row>
    <row r="7249" spans="1:12" ht="43.5" x14ac:dyDescent="0.35">
      <c r="A7249" s="5" t="s">
        <v>98</v>
      </c>
      <c r="B7249" s="5" t="s">
        <v>99</v>
      </c>
      <c r="C7249" s="5" t="s">
        <v>1392</v>
      </c>
      <c r="D7249" s="5" t="s">
        <v>14</v>
      </c>
      <c r="E7249" s="5" t="s">
        <v>17</v>
      </c>
      <c r="F7249" s="5" t="s">
        <v>59</v>
      </c>
      <c r="G7249" s="5" t="s">
        <v>275</v>
      </c>
      <c r="H7249" s="5" t="s">
        <v>1393</v>
      </c>
      <c r="I7249" s="5" t="s">
        <v>31</v>
      </c>
      <c r="J7249" s="5">
        <v>16.09703373864</v>
      </c>
      <c r="K7249" s="5">
        <v>-97.923623481996998</v>
      </c>
      <c r="L7249" s="5" t="str">
        <f>HYPERLINK("https://maps.google.com/?q=16.0970337386404,-97.923623481996501", "🔗 Ver Mapa")</f>
        <v>🔗 Ver Mapa</v>
      </c>
    </row>
    <row r="7250" spans="1:12" ht="43.5" x14ac:dyDescent="0.35">
      <c r="A7250" s="6" t="s">
        <v>98</v>
      </c>
      <c r="B7250" s="6" t="s">
        <v>99</v>
      </c>
      <c r="C7250" s="6" t="s">
        <v>1392</v>
      </c>
      <c r="D7250" s="6" t="s">
        <v>14</v>
      </c>
      <c r="E7250" s="6" t="s">
        <v>17</v>
      </c>
      <c r="F7250" s="6" t="s">
        <v>59</v>
      </c>
      <c r="G7250" s="6" t="s">
        <v>275</v>
      </c>
      <c r="H7250" s="6" t="s">
        <v>1393</v>
      </c>
      <c r="I7250" s="6" t="s">
        <v>31</v>
      </c>
      <c r="J7250" s="6">
        <v>16.097122954319001</v>
      </c>
      <c r="K7250" s="6">
        <v>-97.923531263442996</v>
      </c>
      <c r="L7250" s="6" t="str">
        <f>HYPERLINK("https://maps.google.com/?q=16.0971229543193,-97.923531263442896", "🔗 Ver Mapa")</f>
        <v>🔗 Ver Mapa</v>
      </c>
    </row>
    <row r="7251" spans="1:12" ht="43.5" x14ac:dyDescent="0.35">
      <c r="A7251" s="5" t="s">
        <v>98</v>
      </c>
      <c r="B7251" s="5" t="s">
        <v>99</v>
      </c>
      <c r="C7251" s="5" t="s">
        <v>1392</v>
      </c>
      <c r="D7251" s="5" t="s">
        <v>14</v>
      </c>
      <c r="E7251" s="5" t="s">
        <v>17</v>
      </c>
      <c r="F7251" s="5" t="s">
        <v>59</v>
      </c>
      <c r="G7251" s="5" t="s">
        <v>275</v>
      </c>
      <c r="H7251" s="5" t="s">
        <v>1393</v>
      </c>
      <c r="I7251" s="5" t="s">
        <v>31</v>
      </c>
      <c r="J7251" s="5">
        <v>16.097176297442999</v>
      </c>
      <c r="K7251" s="5">
        <v>-97.921484875828995</v>
      </c>
      <c r="L7251" s="5" t="str">
        <f>HYPERLINK("https://maps.google.com/?q=16.0971762974432,-97.921484875828895", "🔗 Ver Mapa")</f>
        <v>🔗 Ver Mapa</v>
      </c>
    </row>
    <row r="7252" spans="1:12" ht="43.5" x14ac:dyDescent="0.35">
      <c r="A7252" s="6" t="s">
        <v>98</v>
      </c>
      <c r="B7252" s="6" t="s">
        <v>99</v>
      </c>
      <c r="C7252" s="6" t="s">
        <v>1392</v>
      </c>
      <c r="D7252" s="6" t="s">
        <v>14</v>
      </c>
      <c r="E7252" s="6" t="s">
        <v>17</v>
      </c>
      <c r="F7252" s="6" t="s">
        <v>59</v>
      </c>
      <c r="G7252" s="6" t="s">
        <v>275</v>
      </c>
      <c r="H7252" s="6" t="s">
        <v>1393</v>
      </c>
      <c r="I7252" s="6" t="s">
        <v>31</v>
      </c>
      <c r="J7252" s="6">
        <v>16.097355243070002</v>
      </c>
      <c r="K7252" s="6">
        <v>-97.924385700545002</v>
      </c>
      <c r="L7252" s="6" t="str">
        <f>HYPERLINK("https://maps.google.com/?q=16.0973552430705,-97.924385700545102", "🔗 Ver Mapa")</f>
        <v>🔗 Ver Mapa</v>
      </c>
    </row>
    <row r="7253" spans="1:12" ht="43.5" x14ac:dyDescent="0.35">
      <c r="A7253" s="5" t="s">
        <v>98</v>
      </c>
      <c r="B7253" s="5" t="s">
        <v>99</v>
      </c>
      <c r="C7253" s="5" t="s">
        <v>1392</v>
      </c>
      <c r="D7253" s="5" t="s">
        <v>14</v>
      </c>
      <c r="E7253" s="5" t="s">
        <v>17</v>
      </c>
      <c r="F7253" s="5" t="s">
        <v>59</v>
      </c>
      <c r="G7253" s="5" t="s">
        <v>275</v>
      </c>
      <c r="H7253" s="5" t="s">
        <v>1393</v>
      </c>
      <c r="I7253" s="5" t="s">
        <v>31</v>
      </c>
      <c r="J7253" s="5">
        <v>16.097382461109</v>
      </c>
      <c r="K7253" s="5">
        <v>-97.922954726368999</v>
      </c>
      <c r="L7253" s="5" t="str">
        <f>HYPERLINK("https://maps.google.com/?q=16.0973824611092,-97.922954726369198", "🔗 Ver Mapa")</f>
        <v>🔗 Ver Mapa</v>
      </c>
    </row>
    <row r="7254" spans="1:12" ht="43.5" x14ac:dyDescent="0.35">
      <c r="A7254" s="6" t="s">
        <v>98</v>
      </c>
      <c r="B7254" s="6" t="s">
        <v>99</v>
      </c>
      <c r="C7254" s="6" t="s">
        <v>1392</v>
      </c>
      <c r="D7254" s="6" t="s">
        <v>14</v>
      </c>
      <c r="E7254" s="6" t="s">
        <v>17</v>
      </c>
      <c r="F7254" s="6" t="s">
        <v>59</v>
      </c>
      <c r="G7254" s="6" t="s">
        <v>275</v>
      </c>
      <c r="H7254" s="6" t="s">
        <v>1393</v>
      </c>
      <c r="I7254" s="6" t="s">
        <v>31</v>
      </c>
      <c r="J7254" s="6">
        <v>16.097502482517999</v>
      </c>
      <c r="K7254" s="6">
        <v>-97.924217670000004</v>
      </c>
      <c r="L7254" s="6" t="str">
        <f>HYPERLINK("https://maps.google.com/?q=16.0975024825181,-97.924217670000402", "🔗 Ver Mapa")</f>
        <v>🔗 Ver Mapa</v>
      </c>
    </row>
    <row r="7255" spans="1:12" ht="43.5" x14ac:dyDescent="0.35">
      <c r="A7255" s="5" t="s">
        <v>98</v>
      </c>
      <c r="B7255" s="5" t="s">
        <v>99</v>
      </c>
      <c r="C7255" s="5" t="s">
        <v>1392</v>
      </c>
      <c r="D7255" s="5" t="s">
        <v>14</v>
      </c>
      <c r="E7255" s="5" t="s">
        <v>17</v>
      </c>
      <c r="F7255" s="5" t="s">
        <v>59</v>
      </c>
      <c r="G7255" s="5" t="s">
        <v>275</v>
      </c>
      <c r="H7255" s="5" t="s">
        <v>1393</v>
      </c>
      <c r="I7255" s="5" t="s">
        <v>31</v>
      </c>
      <c r="J7255" s="5">
        <v>16.097574419560001</v>
      </c>
      <c r="K7255" s="5">
        <v>-97.923098190000999</v>
      </c>
      <c r="L7255" s="5" t="str">
        <f>HYPERLINK("https://maps.google.com/?q=16.0975744195603,-97.923098190000502", "🔗 Ver Mapa")</f>
        <v>🔗 Ver Mapa</v>
      </c>
    </row>
    <row r="7256" spans="1:12" ht="43.5" x14ac:dyDescent="0.35">
      <c r="A7256" s="6" t="s">
        <v>98</v>
      </c>
      <c r="B7256" s="6" t="s">
        <v>99</v>
      </c>
      <c r="C7256" s="6" t="s">
        <v>1392</v>
      </c>
      <c r="D7256" s="6" t="s">
        <v>14</v>
      </c>
      <c r="E7256" s="6" t="s">
        <v>17</v>
      </c>
      <c r="F7256" s="6" t="s">
        <v>59</v>
      </c>
      <c r="G7256" s="6" t="s">
        <v>275</v>
      </c>
      <c r="H7256" s="6" t="s">
        <v>1393</v>
      </c>
      <c r="I7256" s="6" t="s">
        <v>31</v>
      </c>
      <c r="J7256" s="6">
        <v>16.09760458956</v>
      </c>
      <c r="K7256" s="6">
        <v>-97.922815280001004</v>
      </c>
      <c r="L7256" s="6" t="str">
        <f>HYPERLINK("https://maps.google.com/?q=16.0976045895598,-97.922815280000606", "🔗 Ver Mapa")</f>
        <v>🔗 Ver Mapa</v>
      </c>
    </row>
    <row r="7257" spans="1:12" ht="43.5" x14ac:dyDescent="0.35">
      <c r="A7257" s="5" t="s">
        <v>98</v>
      </c>
      <c r="B7257" s="5" t="s">
        <v>99</v>
      </c>
      <c r="C7257" s="5" t="s">
        <v>1392</v>
      </c>
      <c r="D7257" s="5" t="s">
        <v>14</v>
      </c>
      <c r="E7257" s="5" t="s">
        <v>17</v>
      </c>
      <c r="F7257" s="5" t="s">
        <v>59</v>
      </c>
      <c r="G7257" s="5" t="s">
        <v>275</v>
      </c>
      <c r="H7257" s="5" t="s">
        <v>1393</v>
      </c>
      <c r="I7257" s="5" t="s">
        <v>31</v>
      </c>
      <c r="J7257" s="5">
        <v>16.097756234359998</v>
      </c>
      <c r="K7257" s="5">
        <v>-97.923048513373999</v>
      </c>
      <c r="L7257" s="5" t="str">
        <f>HYPERLINK("https://maps.google.com/?q=16.0977562343599,-97.923048513373601", "🔗 Ver Mapa")</f>
        <v>🔗 Ver Mapa</v>
      </c>
    </row>
    <row r="7258" spans="1:12" ht="43.5" x14ac:dyDescent="0.35">
      <c r="A7258" s="6" t="s">
        <v>98</v>
      </c>
      <c r="B7258" s="6" t="s">
        <v>99</v>
      </c>
      <c r="C7258" s="6" t="s">
        <v>1392</v>
      </c>
      <c r="D7258" s="6" t="s">
        <v>14</v>
      </c>
      <c r="E7258" s="6" t="s">
        <v>17</v>
      </c>
      <c r="F7258" s="6" t="s">
        <v>59</v>
      </c>
      <c r="G7258" s="6" t="s">
        <v>275</v>
      </c>
      <c r="H7258" s="6" t="s">
        <v>1393</v>
      </c>
      <c r="I7258" s="6" t="s">
        <v>31</v>
      </c>
      <c r="J7258" s="6">
        <v>16.097814626596001</v>
      </c>
      <c r="K7258" s="6">
        <v>-97.922788810000995</v>
      </c>
      <c r="L7258" s="6" t="str">
        <f>HYPERLINK("https://maps.google.com/?q=16.0978146265961,-97.922788810000696", "🔗 Ver Mapa")</f>
        <v>🔗 Ver Mapa</v>
      </c>
    </row>
    <row r="7259" spans="1:12" ht="43.5" x14ac:dyDescent="0.35">
      <c r="A7259" s="5" t="s">
        <v>98</v>
      </c>
      <c r="B7259" s="5" t="s">
        <v>99</v>
      </c>
      <c r="C7259" s="5" t="s">
        <v>1392</v>
      </c>
      <c r="D7259" s="5" t="s">
        <v>14</v>
      </c>
      <c r="E7259" s="5" t="s">
        <v>17</v>
      </c>
      <c r="F7259" s="5" t="s">
        <v>59</v>
      </c>
      <c r="G7259" s="5" t="s">
        <v>275</v>
      </c>
      <c r="H7259" s="5" t="s">
        <v>1393</v>
      </c>
      <c r="I7259" s="5" t="s">
        <v>31</v>
      </c>
      <c r="J7259" s="5">
        <v>16.098294512517999</v>
      </c>
      <c r="K7259" s="5">
        <v>-97.924920412209005</v>
      </c>
      <c r="L7259" s="5" t="str">
        <f>HYPERLINK("https://maps.google.com/?q=16.0982945125184,-97.924920412209104", "🔗 Ver Mapa")</f>
        <v>🔗 Ver Mapa</v>
      </c>
    </row>
    <row r="7260" spans="1:12" ht="43.5" x14ac:dyDescent="0.35">
      <c r="A7260" s="6" t="s">
        <v>98</v>
      </c>
      <c r="B7260" s="6" t="s">
        <v>99</v>
      </c>
      <c r="C7260" s="6" t="s">
        <v>1394</v>
      </c>
      <c r="D7260" s="6" t="s">
        <v>14</v>
      </c>
      <c r="E7260" s="6" t="s">
        <v>17</v>
      </c>
      <c r="F7260" s="6" t="s">
        <v>59</v>
      </c>
      <c r="G7260" s="6" t="s">
        <v>275</v>
      </c>
      <c r="H7260" s="6" t="s">
        <v>276</v>
      </c>
      <c r="I7260" s="6" t="s">
        <v>31</v>
      </c>
      <c r="J7260" s="6">
        <v>16.297317512551</v>
      </c>
      <c r="K7260" s="6">
        <v>-97.914402311163997</v>
      </c>
      <c r="L7260" s="6" t="str">
        <f>HYPERLINK("https://maps.google.com/?q=16.2973175125514,-97.914402311163897", "🔗 Ver Mapa")</f>
        <v>🔗 Ver Mapa</v>
      </c>
    </row>
    <row r="7261" spans="1:12" ht="43.5" x14ac:dyDescent="0.35">
      <c r="A7261" s="5" t="s">
        <v>98</v>
      </c>
      <c r="B7261" s="5" t="s">
        <v>99</v>
      </c>
      <c r="C7261" s="5" t="s">
        <v>1394</v>
      </c>
      <c r="D7261" s="5" t="s">
        <v>14</v>
      </c>
      <c r="E7261" s="5" t="s">
        <v>17</v>
      </c>
      <c r="F7261" s="5" t="s">
        <v>59</v>
      </c>
      <c r="G7261" s="5" t="s">
        <v>275</v>
      </c>
      <c r="H7261" s="5" t="s">
        <v>276</v>
      </c>
      <c r="I7261" s="5" t="s">
        <v>31</v>
      </c>
      <c r="J7261" s="5">
        <v>16.297743883694999</v>
      </c>
      <c r="K7261" s="5">
        <v>-97.909040277792002</v>
      </c>
      <c r="L7261" s="5" t="str">
        <f>HYPERLINK("https://maps.google.com/?q=16.2977438836955,-97.909040277791803", "🔗 Ver Mapa")</f>
        <v>🔗 Ver Mapa</v>
      </c>
    </row>
    <row r="7262" spans="1:12" ht="43.5" x14ac:dyDescent="0.35">
      <c r="A7262" s="6" t="s">
        <v>98</v>
      </c>
      <c r="B7262" s="6" t="s">
        <v>99</v>
      </c>
      <c r="C7262" s="6" t="s">
        <v>1394</v>
      </c>
      <c r="D7262" s="6" t="s">
        <v>14</v>
      </c>
      <c r="E7262" s="6" t="s">
        <v>17</v>
      </c>
      <c r="F7262" s="6" t="s">
        <v>59</v>
      </c>
      <c r="G7262" s="6" t="s">
        <v>275</v>
      </c>
      <c r="H7262" s="6" t="s">
        <v>276</v>
      </c>
      <c r="I7262" s="6" t="s">
        <v>31</v>
      </c>
      <c r="J7262" s="6">
        <v>16.298593886050998</v>
      </c>
      <c r="K7262" s="6">
        <v>-97.912361242328004</v>
      </c>
      <c r="L7262" s="6" t="str">
        <f>HYPERLINK("https://maps.google.com/?q=16.2985938860509,-97.912361242328203", "🔗 Ver Mapa")</f>
        <v>🔗 Ver Mapa</v>
      </c>
    </row>
    <row r="7263" spans="1:12" ht="43.5" x14ac:dyDescent="0.35">
      <c r="A7263" s="5" t="s">
        <v>98</v>
      </c>
      <c r="B7263" s="5" t="s">
        <v>99</v>
      </c>
      <c r="C7263" s="5" t="s">
        <v>1394</v>
      </c>
      <c r="D7263" s="5" t="s">
        <v>14</v>
      </c>
      <c r="E7263" s="5" t="s">
        <v>17</v>
      </c>
      <c r="F7263" s="5" t="s">
        <v>59</v>
      </c>
      <c r="G7263" s="5" t="s">
        <v>275</v>
      </c>
      <c r="H7263" s="5" t="s">
        <v>276</v>
      </c>
      <c r="I7263" s="5" t="s">
        <v>31</v>
      </c>
      <c r="J7263" s="5">
        <v>16.298666009304</v>
      </c>
      <c r="K7263" s="5">
        <v>-97.912274995581996</v>
      </c>
      <c r="L7263" s="5" t="str">
        <f>HYPERLINK("https://maps.google.com/?q=16.2986660093039,-97.912274995582393", "🔗 Ver Mapa")</f>
        <v>🔗 Ver Mapa</v>
      </c>
    </row>
    <row r="7264" spans="1:12" ht="43.5" x14ac:dyDescent="0.35">
      <c r="A7264" s="6" t="s">
        <v>98</v>
      </c>
      <c r="B7264" s="6" t="s">
        <v>99</v>
      </c>
      <c r="C7264" s="6" t="s">
        <v>1394</v>
      </c>
      <c r="D7264" s="6" t="s">
        <v>14</v>
      </c>
      <c r="E7264" s="6" t="s">
        <v>17</v>
      </c>
      <c r="F7264" s="6" t="s">
        <v>59</v>
      </c>
      <c r="G7264" s="6" t="s">
        <v>275</v>
      </c>
      <c r="H7264" s="6" t="s">
        <v>276</v>
      </c>
      <c r="I7264" s="6" t="s">
        <v>31</v>
      </c>
      <c r="J7264" s="6">
        <v>16.298774216965999</v>
      </c>
      <c r="K7264" s="6">
        <v>-97.912562857791997</v>
      </c>
      <c r="L7264" s="6" t="str">
        <f>HYPERLINK("https://maps.google.com/?q=16.298774216966,-97.912562857791599", "🔗 Ver Mapa")</f>
        <v>🔗 Ver Mapa</v>
      </c>
    </row>
    <row r="7265" spans="1:12" ht="43.5" x14ac:dyDescent="0.35">
      <c r="A7265" s="5" t="s">
        <v>98</v>
      </c>
      <c r="B7265" s="5" t="s">
        <v>99</v>
      </c>
      <c r="C7265" s="5" t="s">
        <v>1394</v>
      </c>
      <c r="D7265" s="5" t="s">
        <v>14</v>
      </c>
      <c r="E7265" s="5" t="s">
        <v>17</v>
      </c>
      <c r="F7265" s="5" t="s">
        <v>59</v>
      </c>
      <c r="G7265" s="5" t="s">
        <v>275</v>
      </c>
      <c r="H7265" s="5" t="s">
        <v>276</v>
      </c>
      <c r="I7265" s="5" t="s">
        <v>31</v>
      </c>
      <c r="J7265" s="5">
        <v>16.298826146964998</v>
      </c>
      <c r="K7265" s="5">
        <v>-97.912381720000994</v>
      </c>
      <c r="L7265" s="5" t="str">
        <f>HYPERLINK("https://maps.google.com/?q=16.2988261469654,-97.912381720000596", "🔗 Ver Mapa")</f>
        <v>🔗 Ver Mapa</v>
      </c>
    </row>
    <row r="7266" spans="1:12" ht="43.5" x14ac:dyDescent="0.35">
      <c r="A7266" s="6" t="s">
        <v>98</v>
      </c>
      <c r="B7266" s="6" t="s">
        <v>99</v>
      </c>
      <c r="C7266" s="6" t="s">
        <v>1394</v>
      </c>
      <c r="D7266" s="6" t="s">
        <v>14</v>
      </c>
      <c r="E7266" s="6" t="s">
        <v>17</v>
      </c>
      <c r="F7266" s="6" t="s">
        <v>59</v>
      </c>
      <c r="G7266" s="6" t="s">
        <v>275</v>
      </c>
      <c r="H7266" s="6" t="s">
        <v>276</v>
      </c>
      <c r="I7266" s="6" t="s">
        <v>31</v>
      </c>
      <c r="J7266" s="6">
        <v>16.298836483723999</v>
      </c>
      <c r="K7266" s="6">
        <v>-97.913556135581999</v>
      </c>
      <c r="L7266" s="6" t="str">
        <f>HYPERLINK("https://maps.google.com/?q=16.2988364837243,-97.913556135581999", "🔗 Ver Mapa")</f>
        <v>🔗 Ver Mapa</v>
      </c>
    </row>
    <row r="7267" spans="1:12" ht="43.5" x14ac:dyDescent="0.35">
      <c r="A7267" s="5" t="s">
        <v>98</v>
      </c>
      <c r="B7267" s="5" t="s">
        <v>99</v>
      </c>
      <c r="C7267" s="5" t="s">
        <v>1394</v>
      </c>
      <c r="D7267" s="5" t="s">
        <v>14</v>
      </c>
      <c r="E7267" s="5" t="s">
        <v>17</v>
      </c>
      <c r="F7267" s="5" t="s">
        <v>59</v>
      </c>
      <c r="G7267" s="5" t="s">
        <v>275</v>
      </c>
      <c r="H7267" s="5" t="s">
        <v>276</v>
      </c>
      <c r="I7267" s="5" t="s">
        <v>31</v>
      </c>
      <c r="J7267" s="5">
        <v>16.299200028143002</v>
      </c>
      <c r="K7267" s="5">
        <v>-97.912692615582998</v>
      </c>
      <c r="L7267" s="5" t="str">
        <f>HYPERLINK("https://maps.google.com/?q=16.2992000281426,-97.9126926155825", "🔗 Ver Mapa")</f>
        <v>🔗 Ver Mapa</v>
      </c>
    </row>
    <row r="7268" spans="1:12" ht="43.5" x14ac:dyDescent="0.35">
      <c r="A7268" s="6" t="s">
        <v>98</v>
      </c>
      <c r="B7268" s="6" t="s">
        <v>99</v>
      </c>
      <c r="C7268" s="6" t="s">
        <v>1394</v>
      </c>
      <c r="D7268" s="6" t="s">
        <v>14</v>
      </c>
      <c r="E7268" s="6" t="s">
        <v>17</v>
      </c>
      <c r="F7268" s="6" t="s">
        <v>59</v>
      </c>
      <c r="G7268" s="6" t="s">
        <v>275</v>
      </c>
      <c r="H7268" s="6" t="s">
        <v>276</v>
      </c>
      <c r="I7268" s="6" t="s">
        <v>31</v>
      </c>
      <c r="J7268" s="6">
        <v>16.299626765928</v>
      </c>
      <c r="K7268" s="6">
        <v>-97.913160448390002</v>
      </c>
      <c r="L7268" s="6" t="str">
        <f>HYPERLINK("https://maps.google.com/?q=16.2996267659283,-97.913160448390002", "🔗 Ver Mapa")</f>
        <v>🔗 Ver Mapa</v>
      </c>
    </row>
    <row r="7269" spans="1:12" ht="43.5" x14ac:dyDescent="0.35">
      <c r="A7269" s="5" t="s">
        <v>98</v>
      </c>
      <c r="B7269" s="5" t="s">
        <v>99</v>
      </c>
      <c r="C7269" s="5" t="s">
        <v>1394</v>
      </c>
      <c r="D7269" s="5" t="s">
        <v>14</v>
      </c>
      <c r="E7269" s="5" t="s">
        <v>17</v>
      </c>
      <c r="F7269" s="5" t="s">
        <v>59</v>
      </c>
      <c r="G7269" s="5" t="s">
        <v>275</v>
      </c>
      <c r="H7269" s="5" t="s">
        <v>276</v>
      </c>
      <c r="I7269" s="5" t="s">
        <v>31</v>
      </c>
      <c r="J7269" s="5">
        <v>16.300883070716001</v>
      </c>
      <c r="K7269" s="5">
        <v>-97.915453737099</v>
      </c>
      <c r="L7269" s="5" t="str">
        <f>HYPERLINK("https://maps.google.com/?q=16.3008830707163,-97.915453737098602", "🔗 Ver Mapa")</f>
        <v>🔗 Ver Mapa</v>
      </c>
    </row>
    <row r="7270" spans="1:12" ht="43.5" x14ac:dyDescent="0.35">
      <c r="A7270" s="6" t="s">
        <v>98</v>
      </c>
      <c r="B7270" s="6" t="s">
        <v>99</v>
      </c>
      <c r="C7270" s="6" t="s">
        <v>1394</v>
      </c>
      <c r="D7270" s="6" t="s">
        <v>14</v>
      </c>
      <c r="E7270" s="6" t="s">
        <v>17</v>
      </c>
      <c r="F7270" s="6" t="s">
        <v>59</v>
      </c>
      <c r="G7270" s="6" t="s">
        <v>275</v>
      </c>
      <c r="H7270" s="6" t="s">
        <v>276</v>
      </c>
      <c r="I7270" s="6" t="s">
        <v>31</v>
      </c>
      <c r="J7270" s="6">
        <v>16.301118162552001</v>
      </c>
      <c r="K7270" s="6">
        <v>-97.909640486628007</v>
      </c>
      <c r="L7270" s="6" t="str">
        <f>HYPERLINK("https://maps.google.com/?q=16.3011181625521,-97.909640486627595", "🔗 Ver Mapa")</f>
        <v>🔗 Ver Mapa</v>
      </c>
    </row>
    <row r="7271" spans="1:12" ht="43.5" x14ac:dyDescent="0.35">
      <c r="A7271" s="5" t="s">
        <v>98</v>
      </c>
      <c r="B7271" s="5" t="s">
        <v>99</v>
      </c>
      <c r="C7271" s="5" t="s">
        <v>1394</v>
      </c>
      <c r="D7271" s="5" t="s">
        <v>14</v>
      </c>
      <c r="E7271" s="5" t="s">
        <v>17</v>
      </c>
      <c r="F7271" s="5" t="s">
        <v>59</v>
      </c>
      <c r="G7271" s="5" t="s">
        <v>275</v>
      </c>
      <c r="H7271" s="5" t="s">
        <v>276</v>
      </c>
      <c r="I7271" s="5" t="s">
        <v>31</v>
      </c>
      <c r="J7271" s="5">
        <v>16.301132786077002</v>
      </c>
      <c r="K7271" s="5">
        <v>-97.915386681873002</v>
      </c>
      <c r="L7271" s="5" t="str">
        <f>HYPERLINK("https://maps.google.com/?q=16.3011327860774,-97.915386681872704", "🔗 Ver Mapa")</f>
        <v>🔗 Ver Mapa</v>
      </c>
    </row>
    <row r="7272" spans="1:12" ht="43.5" x14ac:dyDescent="0.35">
      <c r="A7272" s="6" t="s">
        <v>98</v>
      </c>
      <c r="B7272" s="6" t="s">
        <v>99</v>
      </c>
      <c r="C7272" s="6" t="s">
        <v>1394</v>
      </c>
      <c r="D7272" s="6" t="s">
        <v>14</v>
      </c>
      <c r="E7272" s="6" t="s">
        <v>17</v>
      </c>
      <c r="F7272" s="6" t="s">
        <v>59</v>
      </c>
      <c r="G7272" s="6" t="s">
        <v>275</v>
      </c>
      <c r="H7272" s="6" t="s">
        <v>276</v>
      </c>
      <c r="I7272" s="6" t="s">
        <v>31</v>
      </c>
      <c r="J7272" s="6">
        <v>16.301317161314</v>
      </c>
      <c r="K7272" s="6">
        <v>-97.908141737791993</v>
      </c>
      <c r="L7272" s="6" t="str">
        <f>HYPERLINK("https://maps.google.com/?q=16.3013171613142,-97.908141737791695", "🔗 Ver Mapa")</f>
        <v>🔗 Ver Mapa</v>
      </c>
    </row>
    <row r="7273" spans="1:12" ht="43.5" x14ac:dyDescent="0.35">
      <c r="A7273" s="5" t="s">
        <v>98</v>
      </c>
      <c r="B7273" s="5" t="s">
        <v>99</v>
      </c>
      <c r="C7273" s="5" t="s">
        <v>1394</v>
      </c>
      <c r="D7273" s="5" t="s">
        <v>14</v>
      </c>
      <c r="E7273" s="5" t="s">
        <v>17</v>
      </c>
      <c r="F7273" s="5" t="s">
        <v>59</v>
      </c>
      <c r="G7273" s="5" t="s">
        <v>275</v>
      </c>
      <c r="H7273" s="5" t="s">
        <v>276</v>
      </c>
      <c r="I7273" s="5" t="s">
        <v>31</v>
      </c>
      <c r="J7273" s="5">
        <v>16.301347496933001</v>
      </c>
      <c r="K7273" s="5">
        <v>-97.912219487792001</v>
      </c>
      <c r="L7273" s="5" t="str">
        <f>HYPERLINK("https://maps.google.com/?q=16.3013474969327,-97.912219487791603", "🔗 Ver Mapa")</f>
        <v>🔗 Ver Mapa</v>
      </c>
    </row>
    <row r="7274" spans="1:12" ht="43.5" x14ac:dyDescent="0.35">
      <c r="A7274" s="6" t="s">
        <v>98</v>
      </c>
      <c r="B7274" s="6" t="s">
        <v>99</v>
      </c>
      <c r="C7274" s="6" t="s">
        <v>1394</v>
      </c>
      <c r="D7274" s="6" t="s">
        <v>14</v>
      </c>
      <c r="E7274" s="6" t="s">
        <v>17</v>
      </c>
      <c r="F7274" s="6" t="s">
        <v>59</v>
      </c>
      <c r="G7274" s="6" t="s">
        <v>275</v>
      </c>
      <c r="H7274" s="6" t="s">
        <v>276</v>
      </c>
      <c r="I7274" s="6" t="s">
        <v>31</v>
      </c>
      <c r="J7274" s="6">
        <v>16.301598545684001</v>
      </c>
      <c r="K7274" s="6">
        <v>-97.910890287792</v>
      </c>
      <c r="L7274" s="6" t="str">
        <f>HYPERLINK("https://maps.google.com/?q=16.3015985456845,-97.910890287791503", "🔗 Ver Mapa")</f>
        <v>🔗 Ver Mapa</v>
      </c>
    </row>
    <row r="7275" spans="1:12" ht="43.5" x14ac:dyDescent="0.35">
      <c r="A7275" s="5" t="s">
        <v>98</v>
      </c>
      <c r="B7275" s="5" t="s">
        <v>99</v>
      </c>
      <c r="C7275" s="5" t="s">
        <v>1394</v>
      </c>
      <c r="D7275" s="5" t="s">
        <v>14</v>
      </c>
      <c r="E7275" s="5" t="s">
        <v>17</v>
      </c>
      <c r="F7275" s="5" t="s">
        <v>59</v>
      </c>
      <c r="G7275" s="5" t="s">
        <v>275</v>
      </c>
      <c r="H7275" s="5" t="s">
        <v>276</v>
      </c>
      <c r="I7275" s="5" t="s">
        <v>31</v>
      </c>
      <c r="J7275" s="5">
        <v>16.302007246332</v>
      </c>
      <c r="K7275" s="5">
        <v>-97.910878797305003</v>
      </c>
      <c r="L7275" s="5" t="str">
        <f>HYPERLINK("https://maps.google.com/?q=16.3020072463319,-97.910878797305003", "🔗 Ver Mapa")</f>
        <v>🔗 Ver Mapa</v>
      </c>
    </row>
    <row r="7276" spans="1:12" ht="43.5" x14ac:dyDescent="0.35">
      <c r="A7276" s="6" t="s">
        <v>98</v>
      </c>
      <c r="B7276" s="6" t="s">
        <v>99</v>
      </c>
      <c r="C7276" s="6" t="s">
        <v>1394</v>
      </c>
      <c r="D7276" s="6" t="s">
        <v>14</v>
      </c>
      <c r="E7276" s="6" t="s">
        <v>17</v>
      </c>
      <c r="F7276" s="6" t="s">
        <v>59</v>
      </c>
      <c r="G7276" s="6" t="s">
        <v>275</v>
      </c>
      <c r="H7276" s="6" t="s">
        <v>276</v>
      </c>
      <c r="I7276" s="6" t="s">
        <v>31</v>
      </c>
      <c r="J7276" s="6">
        <v>16.302168676922001</v>
      </c>
      <c r="K7276" s="6">
        <v>-97.911084277791005</v>
      </c>
      <c r="L7276" s="6" t="str">
        <f>HYPERLINK("https://maps.google.com/?q=16.3021686769219,-97.911084277791304", "🔗 Ver Mapa")</f>
        <v>🔗 Ver Mapa</v>
      </c>
    </row>
    <row r="7277" spans="1:12" ht="43.5" x14ac:dyDescent="0.35">
      <c r="A7277" s="5" t="s">
        <v>98</v>
      </c>
      <c r="B7277" s="5" t="s">
        <v>99</v>
      </c>
      <c r="C7277" s="5" t="s">
        <v>1394</v>
      </c>
      <c r="D7277" s="5" t="s">
        <v>14</v>
      </c>
      <c r="E7277" s="5" t="s">
        <v>17</v>
      </c>
      <c r="F7277" s="5" t="s">
        <v>59</v>
      </c>
      <c r="G7277" s="5" t="s">
        <v>275</v>
      </c>
      <c r="H7277" s="5" t="s">
        <v>276</v>
      </c>
      <c r="I7277" s="5" t="s">
        <v>31</v>
      </c>
      <c r="J7277" s="5">
        <v>16.302221808485999</v>
      </c>
      <c r="K7277" s="5">
        <v>-97.908435798572</v>
      </c>
      <c r="L7277" s="5" t="str">
        <f>HYPERLINK("https://maps.google.com/?q=16.3022218084863,-97.908435798572299", "🔗 Ver Mapa")</f>
        <v>🔗 Ver Mapa</v>
      </c>
    </row>
    <row r="7278" spans="1:12" ht="43.5" x14ac:dyDescent="0.35">
      <c r="A7278" s="6" t="s">
        <v>98</v>
      </c>
      <c r="B7278" s="6" t="s">
        <v>99</v>
      </c>
      <c r="C7278" s="6" t="s">
        <v>1394</v>
      </c>
      <c r="D7278" s="6" t="s">
        <v>14</v>
      </c>
      <c r="E7278" s="6" t="s">
        <v>17</v>
      </c>
      <c r="F7278" s="6" t="s">
        <v>59</v>
      </c>
      <c r="G7278" s="6" t="s">
        <v>275</v>
      </c>
      <c r="H7278" s="6" t="s">
        <v>276</v>
      </c>
      <c r="I7278" s="6" t="s">
        <v>31</v>
      </c>
      <c r="J7278" s="6">
        <v>16.303502916905</v>
      </c>
      <c r="K7278" s="6">
        <v>-97.908903332210002</v>
      </c>
      <c r="L7278" s="6" t="str">
        <f>HYPERLINK("https://maps.google.com/?q=16.3035029169048,-97.908903332209903", "🔗 Ver Mapa")</f>
        <v>🔗 Ver Mapa</v>
      </c>
    </row>
    <row r="7279" spans="1:12" ht="43.5" x14ac:dyDescent="0.35">
      <c r="A7279" s="5" t="s">
        <v>98</v>
      </c>
      <c r="B7279" s="5" t="s">
        <v>99</v>
      </c>
      <c r="C7279" s="5" t="s">
        <v>1394</v>
      </c>
      <c r="D7279" s="5" t="s">
        <v>14</v>
      </c>
      <c r="E7279" s="5" t="s">
        <v>17</v>
      </c>
      <c r="F7279" s="5" t="s">
        <v>59</v>
      </c>
      <c r="G7279" s="5" t="s">
        <v>275</v>
      </c>
      <c r="H7279" s="5" t="s">
        <v>276</v>
      </c>
      <c r="I7279" s="5" t="s">
        <v>31</v>
      </c>
      <c r="J7279" s="5">
        <v>16.303677436432999</v>
      </c>
      <c r="K7279" s="5">
        <v>-97.917756414327997</v>
      </c>
      <c r="L7279" s="5" t="str">
        <f>HYPERLINK("https://maps.google.com/?q=16.3036774364332,-97.917756414327698", "🔗 Ver Mapa")</f>
        <v>🔗 Ver Mapa</v>
      </c>
    </row>
    <row r="7280" spans="1:12" ht="43.5" x14ac:dyDescent="0.35">
      <c r="A7280" s="6" t="s">
        <v>98</v>
      </c>
      <c r="B7280" s="6" t="s">
        <v>99</v>
      </c>
      <c r="C7280" s="6" t="s">
        <v>1394</v>
      </c>
      <c r="D7280" s="6" t="s">
        <v>14</v>
      </c>
      <c r="E7280" s="6" t="s">
        <v>17</v>
      </c>
      <c r="F7280" s="6" t="s">
        <v>59</v>
      </c>
      <c r="G7280" s="6" t="s">
        <v>275</v>
      </c>
      <c r="H7280" s="6" t="s">
        <v>276</v>
      </c>
      <c r="I7280" s="6" t="s">
        <v>31</v>
      </c>
      <c r="J7280" s="6">
        <v>16.303834286899999</v>
      </c>
      <c r="K7280" s="6">
        <v>-97.909051167792001</v>
      </c>
      <c r="L7280" s="6" t="str">
        <f>HYPERLINK("https://maps.google.com/?q=16.3038342869005,-97.909051167791503", "🔗 Ver Mapa")</f>
        <v>🔗 Ver Mapa</v>
      </c>
    </row>
    <row r="7281" spans="1:12" ht="43.5" x14ac:dyDescent="0.35">
      <c r="A7281" s="5" t="s">
        <v>98</v>
      </c>
      <c r="B7281" s="5" t="s">
        <v>99</v>
      </c>
      <c r="C7281" s="5" t="s">
        <v>1394</v>
      </c>
      <c r="D7281" s="5" t="s">
        <v>14</v>
      </c>
      <c r="E7281" s="5" t="s">
        <v>17</v>
      </c>
      <c r="F7281" s="5" t="s">
        <v>59</v>
      </c>
      <c r="G7281" s="5" t="s">
        <v>275</v>
      </c>
      <c r="H7281" s="5" t="s">
        <v>276</v>
      </c>
      <c r="I7281" s="5" t="s">
        <v>31</v>
      </c>
      <c r="J7281" s="5">
        <v>16.304130472552</v>
      </c>
      <c r="K7281" s="5">
        <v>-97.909818500000995</v>
      </c>
      <c r="L7281" s="5" t="str">
        <f>HYPERLINK("https://maps.google.com/?q=16.3041304725522,-97.909818500000696", "🔗 Ver Mapa")</f>
        <v>🔗 Ver Mapa</v>
      </c>
    </row>
    <row r="7282" spans="1:12" ht="43.5" x14ac:dyDescent="0.35">
      <c r="A7282" s="6" t="s">
        <v>98</v>
      </c>
      <c r="B7282" s="6" t="s">
        <v>99</v>
      </c>
      <c r="C7282" s="6" t="s">
        <v>1394</v>
      </c>
      <c r="D7282" s="6" t="s">
        <v>14</v>
      </c>
      <c r="E7282" s="6" t="s">
        <v>17</v>
      </c>
      <c r="F7282" s="6" t="s">
        <v>59</v>
      </c>
      <c r="G7282" s="6" t="s">
        <v>275</v>
      </c>
      <c r="H7282" s="6" t="s">
        <v>276</v>
      </c>
      <c r="I7282" s="6" t="s">
        <v>31</v>
      </c>
      <c r="J7282" s="6">
        <v>16.304149893864999</v>
      </c>
      <c r="K7282" s="6">
        <v>-97.918576700000997</v>
      </c>
      <c r="L7282" s="6" t="str">
        <f>HYPERLINK("https://maps.google.com/?q=16.3041498938648,-97.918576700000699", "🔗 Ver Mapa")</f>
        <v>🔗 Ver Mapa</v>
      </c>
    </row>
    <row r="7283" spans="1:12" ht="43.5" x14ac:dyDescent="0.35">
      <c r="A7283" s="5" t="s">
        <v>98</v>
      </c>
      <c r="B7283" s="5" t="s">
        <v>99</v>
      </c>
      <c r="C7283" s="5" t="s">
        <v>1394</v>
      </c>
      <c r="D7283" s="5" t="s">
        <v>14</v>
      </c>
      <c r="E7283" s="5" t="s">
        <v>17</v>
      </c>
      <c r="F7283" s="5" t="s">
        <v>59</v>
      </c>
      <c r="G7283" s="5" t="s">
        <v>275</v>
      </c>
      <c r="H7283" s="5" t="s">
        <v>276</v>
      </c>
      <c r="I7283" s="5" t="s">
        <v>31</v>
      </c>
      <c r="J7283" s="5">
        <v>16.304254799980999</v>
      </c>
      <c r="K7283" s="5">
        <v>-97.908932698003994</v>
      </c>
      <c r="L7283" s="5" t="str">
        <f>HYPERLINK("https://maps.google.com/?q=16.3042547999807,-97.908932698004193", "🔗 Ver Mapa")</f>
        <v>🔗 Ver Mapa</v>
      </c>
    </row>
    <row r="7284" spans="1:12" ht="43.5" x14ac:dyDescent="0.35">
      <c r="A7284" s="6" t="s">
        <v>98</v>
      </c>
      <c r="B7284" s="6" t="s">
        <v>99</v>
      </c>
      <c r="C7284" s="6" t="s">
        <v>1394</v>
      </c>
      <c r="D7284" s="6" t="s">
        <v>14</v>
      </c>
      <c r="E7284" s="6" t="s">
        <v>17</v>
      </c>
      <c r="F7284" s="6" t="s">
        <v>59</v>
      </c>
      <c r="G7284" s="6" t="s">
        <v>275</v>
      </c>
      <c r="H7284" s="6" t="s">
        <v>276</v>
      </c>
      <c r="I7284" s="6" t="s">
        <v>31</v>
      </c>
      <c r="J7284" s="6">
        <v>16.304450449912999</v>
      </c>
      <c r="K7284" s="6">
        <v>-97.908747625581995</v>
      </c>
      <c r="L7284" s="6" t="str">
        <f>HYPERLINK("https://maps.google.com/?q=16.3044504499126,-97.908747625581995", "🔗 Ver Mapa")</f>
        <v>🔗 Ver Mapa</v>
      </c>
    </row>
    <row r="7285" spans="1:12" ht="43.5" x14ac:dyDescent="0.35">
      <c r="A7285" s="5" t="s">
        <v>98</v>
      </c>
      <c r="B7285" s="5" t="s">
        <v>99</v>
      </c>
      <c r="C7285" s="5" t="s">
        <v>1394</v>
      </c>
      <c r="D7285" s="5" t="s">
        <v>14</v>
      </c>
      <c r="E7285" s="5" t="s">
        <v>17</v>
      </c>
      <c r="F7285" s="5" t="s">
        <v>59</v>
      </c>
      <c r="G7285" s="5" t="s">
        <v>275</v>
      </c>
      <c r="H7285" s="5" t="s">
        <v>276</v>
      </c>
      <c r="I7285" s="5" t="s">
        <v>31</v>
      </c>
      <c r="J7285" s="5">
        <v>16.304573308214</v>
      </c>
      <c r="K7285" s="5">
        <v>-97.919086789999994</v>
      </c>
      <c r="L7285" s="5" t="str">
        <f>HYPERLINK("https://maps.google.com/?q=16.3045733082141,-97.919086790000094", "🔗 Ver Mapa")</f>
        <v>🔗 Ver Mapa</v>
      </c>
    </row>
    <row r="7286" spans="1:12" ht="43.5" x14ac:dyDescent="0.35">
      <c r="A7286" s="6" t="s">
        <v>98</v>
      </c>
      <c r="B7286" s="6" t="s">
        <v>99</v>
      </c>
      <c r="C7286" s="6" t="s">
        <v>1394</v>
      </c>
      <c r="D7286" s="6" t="s">
        <v>14</v>
      </c>
      <c r="E7286" s="6" t="s">
        <v>17</v>
      </c>
      <c r="F7286" s="6" t="s">
        <v>59</v>
      </c>
      <c r="G7286" s="6" t="s">
        <v>275</v>
      </c>
      <c r="H7286" s="6" t="s">
        <v>276</v>
      </c>
      <c r="I7286" s="6" t="s">
        <v>31</v>
      </c>
      <c r="J7286" s="6">
        <v>16.304671843021001</v>
      </c>
      <c r="K7286" s="6">
        <v>-97.909434271090007</v>
      </c>
      <c r="L7286" s="6" t="str">
        <f>HYPERLINK("https://maps.google.com/?q=16.304671843021,-97.909434271090007", "🔗 Ver Mapa")</f>
        <v>🔗 Ver Mapa</v>
      </c>
    </row>
    <row r="7287" spans="1:12" ht="43.5" x14ac:dyDescent="0.35">
      <c r="A7287" s="5" t="s">
        <v>98</v>
      </c>
      <c r="B7287" s="5" t="s">
        <v>99</v>
      </c>
      <c r="C7287" s="5" t="s">
        <v>1394</v>
      </c>
      <c r="D7287" s="5" t="s">
        <v>14</v>
      </c>
      <c r="E7287" s="5" t="s">
        <v>17</v>
      </c>
      <c r="F7287" s="5" t="s">
        <v>59</v>
      </c>
      <c r="G7287" s="5" t="s">
        <v>275</v>
      </c>
      <c r="H7287" s="5" t="s">
        <v>276</v>
      </c>
      <c r="I7287" s="5" t="s">
        <v>31</v>
      </c>
      <c r="J7287" s="5">
        <v>16.304761234821001</v>
      </c>
      <c r="K7287" s="5">
        <v>-97.918823933515995</v>
      </c>
      <c r="L7287" s="5" t="str">
        <f>HYPERLINK("https://maps.google.com/?q=16.3047612348206,-97.918823933515995", "🔗 Ver Mapa")</f>
        <v>🔗 Ver Mapa</v>
      </c>
    </row>
    <row r="7288" spans="1:12" ht="43.5" x14ac:dyDescent="0.35">
      <c r="A7288" s="6" t="s">
        <v>98</v>
      </c>
      <c r="B7288" s="6" t="s">
        <v>99</v>
      </c>
      <c r="C7288" s="6" t="s">
        <v>1394</v>
      </c>
      <c r="D7288" s="6" t="s">
        <v>14</v>
      </c>
      <c r="E7288" s="6" t="s">
        <v>17</v>
      </c>
      <c r="F7288" s="6" t="s">
        <v>59</v>
      </c>
      <c r="G7288" s="6" t="s">
        <v>275</v>
      </c>
      <c r="H7288" s="6" t="s">
        <v>276</v>
      </c>
      <c r="I7288" s="6" t="s">
        <v>31</v>
      </c>
      <c r="J7288" s="6">
        <v>16.305141002551998</v>
      </c>
      <c r="K7288" s="6">
        <v>-97.919138483373999</v>
      </c>
      <c r="L7288" s="6" t="str">
        <f>HYPERLINK("https://maps.google.com/?q=16.3051410025524,-97.919138483373601", "🔗 Ver Mapa")</f>
        <v>🔗 Ver Mapa</v>
      </c>
    </row>
    <row r="7289" spans="1:12" ht="43.5" x14ac:dyDescent="0.35">
      <c r="A7289" s="5" t="s">
        <v>98</v>
      </c>
      <c r="B7289" s="5" t="s">
        <v>99</v>
      </c>
      <c r="C7289" s="5" t="s">
        <v>1394</v>
      </c>
      <c r="D7289" s="5" t="s">
        <v>14</v>
      </c>
      <c r="E7289" s="5" t="s">
        <v>17</v>
      </c>
      <c r="F7289" s="5" t="s">
        <v>59</v>
      </c>
      <c r="G7289" s="5" t="s">
        <v>275</v>
      </c>
      <c r="H7289" s="5" t="s">
        <v>276</v>
      </c>
      <c r="I7289" s="5" t="s">
        <v>31</v>
      </c>
      <c r="J7289" s="5">
        <v>16.305304102552999</v>
      </c>
      <c r="K7289" s="5">
        <v>-97.909341927791999</v>
      </c>
      <c r="L7289" s="5" t="str">
        <f>HYPERLINK("https://maps.google.com/?q=16.3053041025527,-97.909341927791502", "🔗 Ver Mapa")</f>
        <v>🔗 Ver Mapa</v>
      </c>
    </row>
    <row r="7290" spans="1:12" ht="43.5" x14ac:dyDescent="0.35">
      <c r="A7290" s="6" t="s">
        <v>98</v>
      </c>
      <c r="B7290" s="6" t="s">
        <v>99</v>
      </c>
      <c r="C7290" s="6" t="s">
        <v>1394</v>
      </c>
      <c r="D7290" s="6" t="s">
        <v>14</v>
      </c>
      <c r="E7290" s="6" t="s">
        <v>17</v>
      </c>
      <c r="F7290" s="6" t="s">
        <v>59</v>
      </c>
      <c r="G7290" s="6" t="s">
        <v>275</v>
      </c>
      <c r="H7290" s="6" t="s">
        <v>276</v>
      </c>
      <c r="I7290" s="6" t="s">
        <v>31</v>
      </c>
      <c r="J7290" s="6">
        <v>16.305695538228999</v>
      </c>
      <c r="K7290" s="6">
        <v>-97.910829507792002</v>
      </c>
      <c r="L7290" s="6" t="str">
        <f>HYPERLINK("https://maps.google.com/?q=16.305695538229,-97.910829507791505", "🔗 Ver Mapa")</f>
        <v>🔗 Ver Mapa</v>
      </c>
    </row>
    <row r="7291" spans="1:12" ht="43.5" x14ac:dyDescent="0.35">
      <c r="A7291" s="5" t="s">
        <v>98</v>
      </c>
      <c r="B7291" s="5" t="s">
        <v>99</v>
      </c>
      <c r="C7291" s="5" t="s">
        <v>1394</v>
      </c>
      <c r="D7291" s="5" t="s">
        <v>14</v>
      </c>
      <c r="E7291" s="5" t="s">
        <v>17</v>
      </c>
      <c r="F7291" s="5" t="s">
        <v>59</v>
      </c>
      <c r="G7291" s="5" t="s">
        <v>275</v>
      </c>
      <c r="H7291" s="5" t="s">
        <v>276</v>
      </c>
      <c r="I7291" s="5" t="s">
        <v>31</v>
      </c>
      <c r="J7291" s="5">
        <v>16.305776008230001</v>
      </c>
      <c r="K7291" s="5">
        <v>-97.909342877791005</v>
      </c>
      <c r="L7291" s="5" t="str">
        <f>HYPERLINK("https://maps.google.com/?q=16.3057760082303,-97.909342877791303", "🔗 Ver Mapa")</f>
        <v>🔗 Ver Mapa</v>
      </c>
    </row>
    <row r="7292" spans="1:12" ht="43.5" x14ac:dyDescent="0.35">
      <c r="A7292" s="6" t="s">
        <v>98</v>
      </c>
      <c r="B7292" s="6" t="s">
        <v>99</v>
      </c>
      <c r="C7292" s="6" t="s">
        <v>1394</v>
      </c>
      <c r="D7292" s="6" t="s">
        <v>14</v>
      </c>
      <c r="E7292" s="6" t="s">
        <v>17</v>
      </c>
      <c r="F7292" s="6" t="s">
        <v>59</v>
      </c>
      <c r="G7292" s="6" t="s">
        <v>275</v>
      </c>
      <c r="H7292" s="6" t="s">
        <v>276</v>
      </c>
      <c r="I7292" s="6" t="s">
        <v>31</v>
      </c>
      <c r="J7292" s="6">
        <v>16.305837874462998</v>
      </c>
      <c r="K7292" s="6">
        <v>-97.910001714957005</v>
      </c>
      <c r="L7292" s="6" t="str">
        <f>HYPERLINK("https://maps.google.com/?q=16.3058378744625,-97.910001714957403", "🔗 Ver Mapa")</f>
        <v>🔗 Ver Mapa</v>
      </c>
    </row>
    <row r="7293" spans="1:12" ht="43.5" x14ac:dyDescent="0.35">
      <c r="A7293" s="5" t="s">
        <v>98</v>
      </c>
      <c r="B7293" s="5" t="s">
        <v>99</v>
      </c>
      <c r="C7293" s="5" t="s">
        <v>1394</v>
      </c>
      <c r="D7293" s="5" t="s">
        <v>14</v>
      </c>
      <c r="E7293" s="5" t="s">
        <v>17</v>
      </c>
      <c r="F7293" s="5" t="s">
        <v>59</v>
      </c>
      <c r="G7293" s="5" t="s">
        <v>275</v>
      </c>
      <c r="H7293" s="5" t="s">
        <v>276</v>
      </c>
      <c r="I7293" s="5" t="s">
        <v>31</v>
      </c>
      <c r="J7293" s="5">
        <v>16.306029155392999</v>
      </c>
      <c r="K7293" s="5">
        <v>-97.910086404477994</v>
      </c>
      <c r="L7293" s="5" t="str">
        <f>HYPERLINK("https://maps.google.com/?q=16.3060291553932,-97.910086404477894", "🔗 Ver Mapa")</f>
        <v>🔗 Ver Mapa</v>
      </c>
    </row>
    <row r="7294" spans="1:12" ht="43.5" x14ac:dyDescent="0.35">
      <c r="A7294" s="6" t="s">
        <v>98</v>
      </c>
      <c r="B7294" s="6" t="s">
        <v>99</v>
      </c>
      <c r="C7294" s="6" t="s">
        <v>1394</v>
      </c>
      <c r="D7294" s="6" t="s">
        <v>14</v>
      </c>
      <c r="E7294" s="6" t="s">
        <v>17</v>
      </c>
      <c r="F7294" s="6" t="s">
        <v>59</v>
      </c>
      <c r="G7294" s="6" t="s">
        <v>275</v>
      </c>
      <c r="H7294" s="6" t="s">
        <v>276</v>
      </c>
      <c r="I7294" s="6" t="s">
        <v>31</v>
      </c>
      <c r="J7294" s="6">
        <v>16.306042303915</v>
      </c>
      <c r="K7294" s="6">
        <v>-97.909896565582002</v>
      </c>
      <c r="L7294" s="6" t="str">
        <f>HYPERLINK("https://maps.google.com/?q=16.3060423039149,-97.909896565582301", "🔗 Ver Mapa")</f>
        <v>🔗 Ver Mapa</v>
      </c>
    </row>
    <row r="7295" spans="1:12" ht="43.5" x14ac:dyDescent="0.35">
      <c r="A7295" s="5" t="s">
        <v>98</v>
      </c>
      <c r="B7295" s="5" t="s">
        <v>99</v>
      </c>
      <c r="C7295" s="5" t="s">
        <v>1394</v>
      </c>
      <c r="D7295" s="5" t="s">
        <v>14</v>
      </c>
      <c r="E7295" s="5" t="s">
        <v>17</v>
      </c>
      <c r="F7295" s="5" t="s">
        <v>59</v>
      </c>
      <c r="G7295" s="5" t="s">
        <v>275</v>
      </c>
      <c r="H7295" s="5" t="s">
        <v>276</v>
      </c>
      <c r="I7295" s="5" t="s">
        <v>31</v>
      </c>
      <c r="J7295" s="5">
        <v>16.306384162553002</v>
      </c>
      <c r="K7295" s="5">
        <v>-97.913816150000002</v>
      </c>
      <c r="L7295" s="5" t="str">
        <f>HYPERLINK("https://maps.google.com/?q=16.3063841625527,-97.9138161500005", "🔗 Ver Mapa")</f>
        <v>🔗 Ver Mapa</v>
      </c>
    </row>
    <row r="7296" spans="1:12" ht="43.5" x14ac:dyDescent="0.35">
      <c r="A7296" s="6" t="s">
        <v>98</v>
      </c>
      <c r="B7296" s="6" t="s">
        <v>99</v>
      </c>
      <c r="C7296" s="6" t="s">
        <v>1394</v>
      </c>
      <c r="D7296" s="6" t="s">
        <v>14</v>
      </c>
      <c r="E7296" s="6" t="s">
        <v>17</v>
      </c>
      <c r="F7296" s="6" t="s">
        <v>59</v>
      </c>
      <c r="G7296" s="6" t="s">
        <v>275</v>
      </c>
      <c r="H7296" s="6" t="s">
        <v>276</v>
      </c>
      <c r="I7296" s="6" t="s">
        <v>31</v>
      </c>
      <c r="J7296" s="6">
        <v>16.306780073934</v>
      </c>
      <c r="K7296" s="6">
        <v>-97.913936515581995</v>
      </c>
      <c r="L7296" s="6" t="str">
        <f>HYPERLINK("https://maps.google.com/?q=16.3067800739344,-97.913936515582407", "🔗 Ver Mapa")</f>
        <v>🔗 Ver Mapa</v>
      </c>
    </row>
    <row r="7297" spans="1:12" ht="43.5" x14ac:dyDescent="0.35">
      <c r="A7297" s="5" t="s">
        <v>98</v>
      </c>
      <c r="B7297" s="5" t="s">
        <v>99</v>
      </c>
      <c r="C7297" s="5" t="s">
        <v>1394</v>
      </c>
      <c r="D7297" s="5" t="s">
        <v>14</v>
      </c>
      <c r="E7297" s="5" t="s">
        <v>17</v>
      </c>
      <c r="F7297" s="5" t="s">
        <v>59</v>
      </c>
      <c r="G7297" s="5" t="s">
        <v>275</v>
      </c>
      <c r="H7297" s="5" t="s">
        <v>276</v>
      </c>
      <c r="I7297" s="5" t="s">
        <v>31</v>
      </c>
      <c r="J7297" s="5">
        <v>16.307976553892999</v>
      </c>
      <c r="K7297" s="5">
        <v>-97.914779162320997</v>
      </c>
      <c r="L7297" s="5" t="str">
        <f>HYPERLINK("https://maps.google.com/?q=16.3079765538935,-97.914779162321096", "🔗 Ver Mapa")</f>
        <v>🔗 Ver Mapa</v>
      </c>
    </row>
    <row r="7298" spans="1:12" ht="43.5" x14ac:dyDescent="0.35">
      <c r="A7298" s="6" t="s">
        <v>98</v>
      </c>
      <c r="B7298" s="6" t="s">
        <v>99</v>
      </c>
      <c r="C7298" s="6" t="s">
        <v>1395</v>
      </c>
      <c r="D7298" s="6" t="s">
        <v>14</v>
      </c>
      <c r="E7298" s="6" t="s">
        <v>90</v>
      </c>
      <c r="F7298" s="6" t="s">
        <v>678</v>
      </c>
      <c r="G7298" s="6" t="s">
        <v>1104</v>
      </c>
      <c r="H7298" s="6" t="s">
        <v>1396</v>
      </c>
      <c r="I7298" s="6" t="s">
        <v>31</v>
      </c>
      <c r="J7298" s="6">
        <v>17.607307026607</v>
      </c>
      <c r="K7298" s="6">
        <v>-96.140254948955999</v>
      </c>
      <c r="L7298" s="6" t="str">
        <f>HYPERLINK("https://maps.google.com/?q=17.6073070266072,-96.140254948956297", "🔗 Ver Mapa")</f>
        <v>🔗 Ver Mapa</v>
      </c>
    </row>
    <row r="7299" spans="1:12" ht="43.5" x14ac:dyDescent="0.35">
      <c r="A7299" s="5" t="s">
        <v>98</v>
      </c>
      <c r="B7299" s="5" t="s">
        <v>99</v>
      </c>
      <c r="C7299" s="5" t="s">
        <v>1395</v>
      </c>
      <c r="D7299" s="5" t="s">
        <v>14</v>
      </c>
      <c r="E7299" s="5" t="s">
        <v>90</v>
      </c>
      <c r="F7299" s="5" t="s">
        <v>678</v>
      </c>
      <c r="G7299" s="5" t="s">
        <v>1104</v>
      </c>
      <c r="H7299" s="5" t="s">
        <v>1396</v>
      </c>
      <c r="I7299" s="5" t="s">
        <v>31</v>
      </c>
      <c r="J7299" s="5">
        <v>17.607382218335001</v>
      </c>
      <c r="K7299" s="5">
        <v>-96.139927167983998</v>
      </c>
      <c r="L7299" s="5" t="str">
        <f>HYPERLINK("https://maps.google.com/?q=17.6073822183349,-96.139927167984197", "🔗 Ver Mapa")</f>
        <v>🔗 Ver Mapa</v>
      </c>
    </row>
    <row r="7300" spans="1:12" ht="43.5" x14ac:dyDescent="0.35">
      <c r="A7300" s="6" t="s">
        <v>98</v>
      </c>
      <c r="B7300" s="6" t="s">
        <v>99</v>
      </c>
      <c r="C7300" s="6" t="s">
        <v>1395</v>
      </c>
      <c r="D7300" s="6" t="s">
        <v>14</v>
      </c>
      <c r="E7300" s="6" t="s">
        <v>90</v>
      </c>
      <c r="F7300" s="6" t="s">
        <v>678</v>
      </c>
      <c r="G7300" s="6" t="s">
        <v>1104</v>
      </c>
      <c r="H7300" s="6" t="s">
        <v>1396</v>
      </c>
      <c r="I7300" s="6" t="s">
        <v>31</v>
      </c>
      <c r="J7300" s="6">
        <v>17.607410344840002</v>
      </c>
      <c r="K7300" s="6">
        <v>-96.140082738122999</v>
      </c>
      <c r="L7300" s="6" t="str">
        <f>HYPERLINK("https://maps.google.com/?q=17.6074103448403,-96.140082738122999", "🔗 Ver Mapa")</f>
        <v>🔗 Ver Mapa</v>
      </c>
    </row>
    <row r="7301" spans="1:12" ht="43.5" x14ac:dyDescent="0.35">
      <c r="A7301" s="5" t="s">
        <v>98</v>
      </c>
      <c r="B7301" s="5" t="s">
        <v>99</v>
      </c>
      <c r="C7301" s="5" t="s">
        <v>1395</v>
      </c>
      <c r="D7301" s="5" t="s">
        <v>14</v>
      </c>
      <c r="E7301" s="5" t="s">
        <v>90</v>
      </c>
      <c r="F7301" s="5" t="s">
        <v>678</v>
      </c>
      <c r="G7301" s="5" t="s">
        <v>1104</v>
      </c>
      <c r="H7301" s="5" t="s">
        <v>1396</v>
      </c>
      <c r="I7301" s="5" t="s">
        <v>31</v>
      </c>
      <c r="J7301" s="5">
        <v>17.607547852435001</v>
      </c>
      <c r="K7301" s="5">
        <v>-96.141251550926</v>
      </c>
      <c r="L7301" s="5" t="str">
        <f>HYPERLINK("https://maps.google.com/?q=17.6075478524345,-96.141251550926199", "🔗 Ver Mapa")</f>
        <v>🔗 Ver Mapa</v>
      </c>
    </row>
    <row r="7302" spans="1:12" ht="43.5" x14ac:dyDescent="0.35">
      <c r="A7302" s="6" t="s">
        <v>98</v>
      </c>
      <c r="B7302" s="6" t="s">
        <v>99</v>
      </c>
      <c r="C7302" s="6" t="s">
        <v>1395</v>
      </c>
      <c r="D7302" s="6" t="s">
        <v>14</v>
      </c>
      <c r="E7302" s="6" t="s">
        <v>90</v>
      </c>
      <c r="F7302" s="6" t="s">
        <v>678</v>
      </c>
      <c r="G7302" s="6" t="s">
        <v>1104</v>
      </c>
      <c r="H7302" s="6" t="s">
        <v>1396</v>
      </c>
      <c r="I7302" s="6" t="s">
        <v>31</v>
      </c>
      <c r="J7302" s="6">
        <v>17.607669207872998</v>
      </c>
      <c r="K7302" s="6">
        <v>-96.139747343362998</v>
      </c>
      <c r="L7302" s="6" t="str">
        <f>HYPERLINK("https://maps.google.com/?q=17.6076692078726,-96.139747343362899", "🔗 Ver Mapa")</f>
        <v>🔗 Ver Mapa</v>
      </c>
    </row>
    <row r="7303" spans="1:12" ht="43.5" x14ac:dyDescent="0.35">
      <c r="A7303" s="5" t="s">
        <v>98</v>
      </c>
      <c r="B7303" s="5" t="s">
        <v>99</v>
      </c>
      <c r="C7303" s="5" t="s">
        <v>1395</v>
      </c>
      <c r="D7303" s="5" t="s">
        <v>14</v>
      </c>
      <c r="E7303" s="5" t="s">
        <v>90</v>
      </c>
      <c r="F7303" s="5" t="s">
        <v>678</v>
      </c>
      <c r="G7303" s="5" t="s">
        <v>1104</v>
      </c>
      <c r="H7303" s="5" t="s">
        <v>1396</v>
      </c>
      <c r="I7303" s="5" t="s">
        <v>31</v>
      </c>
      <c r="J7303" s="5">
        <v>17.607829245417999</v>
      </c>
      <c r="K7303" s="5">
        <v>-96.139777105487994</v>
      </c>
      <c r="L7303" s="5" t="str">
        <f>HYPERLINK("https://maps.google.com/?q=17.607829245418,-96.139777105487994", "🔗 Ver Mapa")</f>
        <v>🔗 Ver Mapa</v>
      </c>
    </row>
    <row r="7304" spans="1:12" ht="43.5" x14ac:dyDescent="0.35">
      <c r="A7304" s="6" t="s">
        <v>98</v>
      </c>
      <c r="B7304" s="6" t="s">
        <v>99</v>
      </c>
      <c r="C7304" s="6" t="s">
        <v>1395</v>
      </c>
      <c r="D7304" s="6" t="s">
        <v>14</v>
      </c>
      <c r="E7304" s="6" t="s">
        <v>90</v>
      </c>
      <c r="F7304" s="6" t="s">
        <v>678</v>
      </c>
      <c r="G7304" s="6" t="s">
        <v>1104</v>
      </c>
      <c r="H7304" s="6" t="s">
        <v>1396</v>
      </c>
      <c r="I7304" s="6" t="s">
        <v>31</v>
      </c>
      <c r="J7304" s="6">
        <v>17.608083965584999</v>
      </c>
      <c r="K7304" s="6">
        <v>-96.140144058423004</v>
      </c>
      <c r="L7304" s="6" t="str">
        <f>HYPERLINK("https://maps.google.com/?q=17.6080839655848,-96.140144058423104", "🔗 Ver Mapa")</f>
        <v>🔗 Ver Mapa</v>
      </c>
    </row>
    <row r="7305" spans="1:12" ht="43.5" x14ac:dyDescent="0.35">
      <c r="A7305" s="5" t="s">
        <v>98</v>
      </c>
      <c r="B7305" s="5" t="s">
        <v>99</v>
      </c>
      <c r="C7305" s="5" t="s">
        <v>1395</v>
      </c>
      <c r="D7305" s="5" t="s">
        <v>14</v>
      </c>
      <c r="E7305" s="5" t="s">
        <v>90</v>
      </c>
      <c r="F7305" s="5" t="s">
        <v>678</v>
      </c>
      <c r="G7305" s="5" t="s">
        <v>1104</v>
      </c>
      <c r="H7305" s="5" t="s">
        <v>1396</v>
      </c>
      <c r="I7305" s="5" t="s">
        <v>31</v>
      </c>
      <c r="J7305" s="5">
        <v>17.608245334246</v>
      </c>
      <c r="K7305" s="5">
        <v>-96.139895408564001</v>
      </c>
      <c r="L7305" s="5" t="str">
        <f>HYPERLINK("https://maps.google.com/?q=17.6082453342459,-96.139895408563703", "🔗 Ver Mapa")</f>
        <v>🔗 Ver Mapa</v>
      </c>
    </row>
    <row r="7306" spans="1:12" ht="43.5" x14ac:dyDescent="0.35">
      <c r="A7306" s="6" t="s">
        <v>98</v>
      </c>
      <c r="B7306" s="6" t="s">
        <v>99</v>
      </c>
      <c r="C7306" s="6" t="s">
        <v>1395</v>
      </c>
      <c r="D7306" s="6" t="s">
        <v>14</v>
      </c>
      <c r="E7306" s="6" t="s">
        <v>90</v>
      </c>
      <c r="F7306" s="6" t="s">
        <v>678</v>
      </c>
      <c r="G7306" s="6" t="s">
        <v>1104</v>
      </c>
      <c r="H7306" s="6" t="s">
        <v>1396</v>
      </c>
      <c r="I7306" s="6" t="s">
        <v>31</v>
      </c>
      <c r="J7306" s="6">
        <v>17.608427223273001</v>
      </c>
      <c r="K7306" s="6">
        <v>-96.140204663858</v>
      </c>
      <c r="L7306" s="6" t="str">
        <f>HYPERLINK("https://maps.google.com/?q=17.6084272232729,-96.140204663858299", "🔗 Ver Mapa")</f>
        <v>🔗 Ver Mapa</v>
      </c>
    </row>
    <row r="7307" spans="1:12" ht="43.5" x14ac:dyDescent="0.35">
      <c r="A7307" s="5" t="s">
        <v>98</v>
      </c>
      <c r="B7307" s="5" t="s">
        <v>99</v>
      </c>
      <c r="C7307" s="5" t="s">
        <v>1395</v>
      </c>
      <c r="D7307" s="5" t="s">
        <v>14</v>
      </c>
      <c r="E7307" s="5" t="s">
        <v>90</v>
      </c>
      <c r="F7307" s="5" t="s">
        <v>678</v>
      </c>
      <c r="G7307" s="5" t="s">
        <v>1104</v>
      </c>
      <c r="H7307" s="5" t="s">
        <v>1396</v>
      </c>
      <c r="I7307" s="5" t="s">
        <v>31</v>
      </c>
      <c r="J7307" s="5">
        <v>17.608476596749</v>
      </c>
      <c r="K7307" s="5">
        <v>-96.140003239251996</v>
      </c>
      <c r="L7307" s="5" t="str">
        <f>HYPERLINK("https://maps.google.com/?q=17.6084765967489,-96.140003239251996", "🔗 Ver Mapa")</f>
        <v>🔗 Ver Mapa</v>
      </c>
    </row>
    <row r="7308" spans="1:12" ht="29" x14ac:dyDescent="0.35">
      <c r="A7308" s="6" t="s">
        <v>98</v>
      </c>
      <c r="B7308" s="6" t="s">
        <v>99</v>
      </c>
      <c r="C7308" s="6" t="s">
        <v>1397</v>
      </c>
      <c r="D7308" s="6" t="s">
        <v>14</v>
      </c>
      <c r="E7308" s="6" t="s">
        <v>52</v>
      </c>
      <c r="F7308" s="6" t="s">
        <v>228</v>
      </c>
      <c r="G7308" s="6" t="s">
        <v>1398</v>
      </c>
      <c r="H7308" s="6" t="s">
        <v>1399</v>
      </c>
      <c r="I7308" s="6" t="s">
        <v>31</v>
      </c>
      <c r="J7308" s="6">
        <v>16.719866419999999</v>
      </c>
      <c r="K7308" s="6">
        <v>-96.467828609999998</v>
      </c>
      <c r="L7308" s="6" t="str">
        <f>HYPERLINK("https://maps.google.com/?q=16.71986642,-96.467828609999998", "🔗 Ver Mapa")</f>
        <v>🔗 Ver Mapa</v>
      </c>
    </row>
    <row r="7309" spans="1:12" ht="29" x14ac:dyDescent="0.35">
      <c r="A7309" s="5" t="s">
        <v>98</v>
      </c>
      <c r="B7309" s="5" t="s">
        <v>99</v>
      </c>
      <c r="C7309" s="5" t="s">
        <v>1397</v>
      </c>
      <c r="D7309" s="5" t="s">
        <v>14</v>
      </c>
      <c r="E7309" s="5" t="s">
        <v>52</v>
      </c>
      <c r="F7309" s="5" t="s">
        <v>228</v>
      </c>
      <c r="G7309" s="5" t="s">
        <v>1398</v>
      </c>
      <c r="H7309" s="5" t="s">
        <v>1399</v>
      </c>
      <c r="I7309" s="5" t="s">
        <v>31</v>
      </c>
      <c r="J7309" s="5">
        <v>16.72023119</v>
      </c>
      <c r="K7309" s="5">
        <v>-96.467310940000004</v>
      </c>
      <c r="L7309" s="5" t="str">
        <f>HYPERLINK("https://maps.google.com/?q=16.72023119,-96.467310940000004", "🔗 Ver Mapa")</f>
        <v>🔗 Ver Mapa</v>
      </c>
    </row>
    <row r="7310" spans="1:12" ht="29" x14ac:dyDescent="0.35">
      <c r="A7310" s="6" t="s">
        <v>98</v>
      </c>
      <c r="B7310" s="6" t="s">
        <v>99</v>
      </c>
      <c r="C7310" s="6" t="s">
        <v>1397</v>
      </c>
      <c r="D7310" s="6" t="s">
        <v>14</v>
      </c>
      <c r="E7310" s="6" t="s">
        <v>52</v>
      </c>
      <c r="F7310" s="6" t="s">
        <v>228</v>
      </c>
      <c r="G7310" s="6" t="s">
        <v>1398</v>
      </c>
      <c r="H7310" s="6" t="s">
        <v>1399</v>
      </c>
      <c r="I7310" s="6" t="s">
        <v>31</v>
      </c>
      <c r="J7310" s="6">
        <v>16.723938950000001</v>
      </c>
      <c r="K7310" s="6">
        <v>-96.467257219999993</v>
      </c>
      <c r="L7310" s="6" t="str">
        <f>HYPERLINK("https://maps.google.com/?q=16.72393895,-96.467257219999993", "🔗 Ver Mapa")</f>
        <v>🔗 Ver Mapa</v>
      </c>
    </row>
    <row r="7311" spans="1:12" ht="29" x14ac:dyDescent="0.35">
      <c r="A7311" s="5" t="s">
        <v>98</v>
      </c>
      <c r="B7311" s="5" t="s">
        <v>99</v>
      </c>
      <c r="C7311" s="5" t="s">
        <v>1397</v>
      </c>
      <c r="D7311" s="5" t="s">
        <v>14</v>
      </c>
      <c r="E7311" s="5" t="s">
        <v>52</v>
      </c>
      <c r="F7311" s="5" t="s">
        <v>228</v>
      </c>
      <c r="G7311" s="5" t="s">
        <v>1398</v>
      </c>
      <c r="H7311" s="5" t="s">
        <v>1399</v>
      </c>
      <c r="I7311" s="5" t="s">
        <v>31</v>
      </c>
      <c r="J7311" s="5">
        <v>16.72440207</v>
      </c>
      <c r="K7311" s="5">
        <v>-96.476955419999996</v>
      </c>
      <c r="L7311" s="5" t="str">
        <f>HYPERLINK("https://maps.google.com/?q=16.72440207,-96.476955419999996", "🔗 Ver Mapa")</f>
        <v>🔗 Ver Mapa</v>
      </c>
    </row>
    <row r="7312" spans="1:12" ht="29" x14ac:dyDescent="0.35">
      <c r="A7312" s="6" t="s">
        <v>98</v>
      </c>
      <c r="B7312" s="6" t="s">
        <v>99</v>
      </c>
      <c r="C7312" s="6" t="s">
        <v>1397</v>
      </c>
      <c r="D7312" s="6" t="s">
        <v>14</v>
      </c>
      <c r="E7312" s="6" t="s">
        <v>52</v>
      </c>
      <c r="F7312" s="6" t="s">
        <v>228</v>
      </c>
      <c r="G7312" s="6" t="s">
        <v>1398</v>
      </c>
      <c r="H7312" s="6" t="s">
        <v>1399</v>
      </c>
      <c r="I7312" s="6" t="s">
        <v>31</v>
      </c>
      <c r="J7312" s="6">
        <v>16.726328030000001</v>
      </c>
      <c r="K7312" s="6">
        <v>-96.473766600000005</v>
      </c>
      <c r="L7312" s="6" t="str">
        <f>HYPERLINK("https://maps.google.com/?q=16.72632803,-96.473766600000005", "🔗 Ver Mapa")</f>
        <v>🔗 Ver Mapa</v>
      </c>
    </row>
    <row r="7313" spans="1:12" ht="29" x14ac:dyDescent="0.35">
      <c r="A7313" s="5" t="s">
        <v>98</v>
      </c>
      <c r="B7313" s="5" t="s">
        <v>99</v>
      </c>
      <c r="C7313" s="5" t="s">
        <v>1397</v>
      </c>
      <c r="D7313" s="5" t="s">
        <v>14</v>
      </c>
      <c r="E7313" s="5" t="s">
        <v>52</v>
      </c>
      <c r="F7313" s="5" t="s">
        <v>228</v>
      </c>
      <c r="G7313" s="5" t="s">
        <v>1398</v>
      </c>
      <c r="H7313" s="5" t="s">
        <v>1399</v>
      </c>
      <c r="I7313" s="5" t="s">
        <v>31</v>
      </c>
      <c r="J7313" s="5">
        <v>16.72643227</v>
      </c>
      <c r="K7313" s="5">
        <v>-96.473470289999995</v>
      </c>
      <c r="L7313" s="5" t="str">
        <f>HYPERLINK("https://maps.google.com/?q=16.72643227,-96.473470289999995", "🔗 Ver Mapa")</f>
        <v>🔗 Ver Mapa</v>
      </c>
    </row>
    <row r="7314" spans="1:12" ht="29" x14ac:dyDescent="0.35">
      <c r="A7314" s="6" t="s">
        <v>98</v>
      </c>
      <c r="B7314" s="6" t="s">
        <v>99</v>
      </c>
      <c r="C7314" s="6" t="s">
        <v>1397</v>
      </c>
      <c r="D7314" s="6" t="s">
        <v>14</v>
      </c>
      <c r="E7314" s="6" t="s">
        <v>52</v>
      </c>
      <c r="F7314" s="6" t="s">
        <v>228</v>
      </c>
      <c r="G7314" s="6" t="s">
        <v>1398</v>
      </c>
      <c r="H7314" s="6" t="s">
        <v>1399</v>
      </c>
      <c r="I7314" s="6" t="s">
        <v>31</v>
      </c>
      <c r="J7314" s="6">
        <v>16.726433350000001</v>
      </c>
      <c r="K7314" s="6">
        <v>-96.473192609999998</v>
      </c>
      <c r="L7314" s="6" t="str">
        <f>HYPERLINK("https://maps.google.com/?q=16.72643335,-96.473192609999998", "🔗 Ver Mapa")</f>
        <v>🔗 Ver Mapa</v>
      </c>
    </row>
    <row r="7315" spans="1:12" ht="29" x14ac:dyDescent="0.35">
      <c r="A7315" s="5" t="s">
        <v>98</v>
      </c>
      <c r="B7315" s="5" t="s">
        <v>99</v>
      </c>
      <c r="C7315" s="5" t="s">
        <v>1397</v>
      </c>
      <c r="D7315" s="5" t="s">
        <v>14</v>
      </c>
      <c r="E7315" s="5" t="s">
        <v>52</v>
      </c>
      <c r="F7315" s="5" t="s">
        <v>228</v>
      </c>
      <c r="G7315" s="5" t="s">
        <v>1398</v>
      </c>
      <c r="H7315" s="5" t="s">
        <v>1399</v>
      </c>
      <c r="I7315" s="5" t="s">
        <v>31</v>
      </c>
      <c r="J7315" s="5">
        <v>16.727042130000001</v>
      </c>
      <c r="K7315" s="5">
        <v>-96.473273070000005</v>
      </c>
      <c r="L7315" s="5" t="str">
        <f>HYPERLINK("https://maps.google.com/?q=16.72704213,-96.473273070000005", "🔗 Ver Mapa")</f>
        <v>🔗 Ver Mapa</v>
      </c>
    </row>
    <row r="7316" spans="1:12" ht="29" x14ac:dyDescent="0.35">
      <c r="A7316" s="6" t="s">
        <v>98</v>
      </c>
      <c r="B7316" s="6" t="s">
        <v>99</v>
      </c>
      <c r="C7316" s="6" t="s">
        <v>1397</v>
      </c>
      <c r="D7316" s="6" t="s">
        <v>14</v>
      </c>
      <c r="E7316" s="6" t="s">
        <v>52</v>
      </c>
      <c r="F7316" s="6" t="s">
        <v>228</v>
      </c>
      <c r="G7316" s="6" t="s">
        <v>1398</v>
      </c>
      <c r="H7316" s="6" t="s">
        <v>1399</v>
      </c>
      <c r="I7316" s="6" t="s">
        <v>31</v>
      </c>
      <c r="J7316" s="6">
        <v>16.727109519999999</v>
      </c>
      <c r="K7316" s="6">
        <v>-96.469997770000006</v>
      </c>
      <c r="L7316" s="6" t="str">
        <f>HYPERLINK("https://maps.google.com/?q=16.72710952,-96.469997770000006", "🔗 Ver Mapa")</f>
        <v>🔗 Ver Mapa</v>
      </c>
    </row>
    <row r="7317" spans="1:12" ht="29" x14ac:dyDescent="0.35">
      <c r="A7317" s="5" t="s">
        <v>98</v>
      </c>
      <c r="B7317" s="5" t="s">
        <v>99</v>
      </c>
      <c r="C7317" s="5" t="s">
        <v>1397</v>
      </c>
      <c r="D7317" s="5" t="s">
        <v>14</v>
      </c>
      <c r="E7317" s="5" t="s">
        <v>52</v>
      </c>
      <c r="F7317" s="5" t="s">
        <v>228</v>
      </c>
      <c r="G7317" s="5" t="s">
        <v>1398</v>
      </c>
      <c r="H7317" s="5" t="s">
        <v>1399</v>
      </c>
      <c r="I7317" s="5" t="s">
        <v>31</v>
      </c>
      <c r="J7317" s="5">
        <v>16.727422300000001</v>
      </c>
      <c r="K7317" s="5">
        <v>-96.472967299999993</v>
      </c>
      <c r="L7317" s="5" t="str">
        <f>HYPERLINK("https://maps.google.com/?q=16.7274223,-96.472967299999993", "🔗 Ver Mapa")</f>
        <v>🔗 Ver Mapa</v>
      </c>
    </row>
    <row r="7318" spans="1:12" ht="29" x14ac:dyDescent="0.35">
      <c r="A7318" s="6" t="s">
        <v>98</v>
      </c>
      <c r="B7318" s="6" t="s">
        <v>99</v>
      </c>
      <c r="C7318" s="6" t="s">
        <v>1397</v>
      </c>
      <c r="D7318" s="6" t="s">
        <v>14</v>
      </c>
      <c r="E7318" s="6" t="s">
        <v>52</v>
      </c>
      <c r="F7318" s="6" t="s">
        <v>228</v>
      </c>
      <c r="G7318" s="6" t="s">
        <v>1398</v>
      </c>
      <c r="H7318" s="6" t="s">
        <v>1399</v>
      </c>
      <c r="I7318" s="6" t="s">
        <v>31</v>
      </c>
      <c r="J7318" s="6">
        <v>16.727568720000001</v>
      </c>
      <c r="K7318" s="6">
        <v>-96.472471089999999</v>
      </c>
      <c r="L7318" s="6" t="str">
        <f>HYPERLINK("https://maps.google.com/?q=16.72756872,-96.472471089999999", "🔗 Ver Mapa")</f>
        <v>🔗 Ver Mapa</v>
      </c>
    </row>
    <row r="7319" spans="1:12" ht="29" x14ac:dyDescent="0.35">
      <c r="A7319" s="5" t="s">
        <v>98</v>
      </c>
      <c r="B7319" s="5" t="s">
        <v>99</v>
      </c>
      <c r="C7319" s="5" t="s">
        <v>1397</v>
      </c>
      <c r="D7319" s="5" t="s">
        <v>14</v>
      </c>
      <c r="E7319" s="5" t="s">
        <v>52</v>
      </c>
      <c r="F7319" s="5" t="s">
        <v>228</v>
      </c>
      <c r="G7319" s="5" t="s">
        <v>1398</v>
      </c>
      <c r="H7319" s="5" t="s">
        <v>1399</v>
      </c>
      <c r="I7319" s="5" t="s">
        <v>31</v>
      </c>
      <c r="J7319" s="5">
        <v>16.727648349999999</v>
      </c>
      <c r="K7319" s="5">
        <v>-96.472712490000006</v>
      </c>
      <c r="L7319" s="5" t="str">
        <f>HYPERLINK("https://maps.google.com/?q=16.72764835,-96.472712490000006", "🔗 Ver Mapa")</f>
        <v>🔗 Ver Mapa</v>
      </c>
    </row>
    <row r="7320" spans="1:12" ht="29" x14ac:dyDescent="0.35">
      <c r="A7320" s="6" t="s">
        <v>98</v>
      </c>
      <c r="B7320" s="6" t="s">
        <v>99</v>
      </c>
      <c r="C7320" s="6" t="s">
        <v>1397</v>
      </c>
      <c r="D7320" s="6" t="s">
        <v>14</v>
      </c>
      <c r="E7320" s="6" t="s">
        <v>52</v>
      </c>
      <c r="F7320" s="6" t="s">
        <v>228</v>
      </c>
      <c r="G7320" s="6" t="s">
        <v>1398</v>
      </c>
      <c r="H7320" s="6" t="s">
        <v>1399</v>
      </c>
      <c r="I7320" s="6" t="s">
        <v>31</v>
      </c>
      <c r="J7320" s="6">
        <v>16.72789495</v>
      </c>
      <c r="K7320" s="6">
        <v>-96.471953429999999</v>
      </c>
      <c r="L7320" s="6" t="str">
        <f>HYPERLINK("https://maps.google.com/?q=16.72789495,-96.471953429999999", "🔗 Ver Mapa")</f>
        <v>🔗 Ver Mapa</v>
      </c>
    </row>
    <row r="7321" spans="1:12" ht="29" x14ac:dyDescent="0.35">
      <c r="A7321" s="5" t="s">
        <v>98</v>
      </c>
      <c r="B7321" s="5" t="s">
        <v>99</v>
      </c>
      <c r="C7321" s="5" t="s">
        <v>1397</v>
      </c>
      <c r="D7321" s="5" t="s">
        <v>14</v>
      </c>
      <c r="E7321" s="5" t="s">
        <v>52</v>
      </c>
      <c r="F7321" s="5" t="s">
        <v>228</v>
      </c>
      <c r="G7321" s="5" t="s">
        <v>1398</v>
      </c>
      <c r="H7321" s="5" t="s">
        <v>1399</v>
      </c>
      <c r="I7321" s="5" t="s">
        <v>31</v>
      </c>
      <c r="J7321" s="5">
        <v>16.72799148</v>
      </c>
      <c r="K7321" s="5">
        <v>-96.472951280000004</v>
      </c>
      <c r="L7321" s="5" t="str">
        <f>HYPERLINK("https://maps.google.com/?q=16.72799148,-96.472951280000004", "🔗 Ver Mapa")</f>
        <v>🔗 Ver Mapa</v>
      </c>
    </row>
    <row r="7322" spans="1:12" ht="29" x14ac:dyDescent="0.35">
      <c r="A7322" s="6" t="s">
        <v>98</v>
      </c>
      <c r="B7322" s="6" t="s">
        <v>99</v>
      </c>
      <c r="C7322" s="6" t="s">
        <v>1397</v>
      </c>
      <c r="D7322" s="6" t="s">
        <v>14</v>
      </c>
      <c r="E7322" s="6" t="s">
        <v>52</v>
      </c>
      <c r="F7322" s="6" t="s">
        <v>228</v>
      </c>
      <c r="G7322" s="6" t="s">
        <v>1398</v>
      </c>
      <c r="H7322" s="6" t="s">
        <v>1399</v>
      </c>
      <c r="I7322" s="6" t="s">
        <v>31</v>
      </c>
      <c r="J7322" s="6">
        <v>16.728142460000001</v>
      </c>
      <c r="K7322" s="6">
        <v>-96.46827175</v>
      </c>
      <c r="L7322" s="6" t="str">
        <f>HYPERLINK("https://maps.google.com/?q=16.72814246,-96.46827175", "🔗 Ver Mapa")</f>
        <v>🔗 Ver Mapa</v>
      </c>
    </row>
    <row r="7323" spans="1:12" ht="29" x14ac:dyDescent="0.35">
      <c r="A7323" s="5" t="s">
        <v>98</v>
      </c>
      <c r="B7323" s="5" t="s">
        <v>99</v>
      </c>
      <c r="C7323" s="5" t="s">
        <v>1397</v>
      </c>
      <c r="D7323" s="5" t="s">
        <v>14</v>
      </c>
      <c r="E7323" s="5" t="s">
        <v>52</v>
      </c>
      <c r="F7323" s="5" t="s">
        <v>228</v>
      </c>
      <c r="G7323" s="5" t="s">
        <v>1398</v>
      </c>
      <c r="H7323" s="5" t="s">
        <v>1399</v>
      </c>
      <c r="I7323" s="5" t="s">
        <v>31</v>
      </c>
      <c r="J7323" s="5">
        <v>16.728162090000001</v>
      </c>
      <c r="K7323" s="5">
        <v>-96.472929750000006</v>
      </c>
      <c r="L7323" s="5" t="str">
        <f>HYPERLINK("https://maps.google.com/?q=16.72816209,-96.472929750000006", "🔗 Ver Mapa")</f>
        <v>🔗 Ver Mapa</v>
      </c>
    </row>
    <row r="7324" spans="1:12" ht="29" x14ac:dyDescent="0.35">
      <c r="A7324" s="6" t="s">
        <v>98</v>
      </c>
      <c r="B7324" s="6" t="s">
        <v>99</v>
      </c>
      <c r="C7324" s="6" t="s">
        <v>1397</v>
      </c>
      <c r="D7324" s="6" t="s">
        <v>14</v>
      </c>
      <c r="E7324" s="6" t="s">
        <v>52</v>
      </c>
      <c r="F7324" s="6" t="s">
        <v>228</v>
      </c>
      <c r="G7324" s="6" t="s">
        <v>1398</v>
      </c>
      <c r="H7324" s="6" t="s">
        <v>1399</v>
      </c>
      <c r="I7324" s="6" t="s">
        <v>31</v>
      </c>
      <c r="J7324" s="6">
        <v>16.728480609999998</v>
      </c>
      <c r="K7324" s="6">
        <v>-96.473857789999997</v>
      </c>
      <c r="L7324" s="6" t="str">
        <f>HYPERLINK("https://maps.google.com/?q=16.72848061,-96.473857789999997", "🔗 Ver Mapa")</f>
        <v>🔗 Ver Mapa</v>
      </c>
    </row>
    <row r="7325" spans="1:12" ht="29" x14ac:dyDescent="0.35">
      <c r="A7325" s="5" t="s">
        <v>98</v>
      </c>
      <c r="B7325" s="5" t="s">
        <v>99</v>
      </c>
      <c r="C7325" s="5" t="s">
        <v>1397</v>
      </c>
      <c r="D7325" s="5" t="s">
        <v>14</v>
      </c>
      <c r="E7325" s="5" t="s">
        <v>52</v>
      </c>
      <c r="F7325" s="5" t="s">
        <v>228</v>
      </c>
      <c r="G7325" s="5" t="s">
        <v>1398</v>
      </c>
      <c r="H7325" s="5" t="s">
        <v>1399</v>
      </c>
      <c r="I7325" s="5" t="s">
        <v>31</v>
      </c>
      <c r="J7325" s="5">
        <v>16.728542260000001</v>
      </c>
      <c r="K7325" s="5">
        <v>-96.471897100000007</v>
      </c>
      <c r="L7325" s="5" t="str">
        <f>HYPERLINK("https://maps.google.com/?q=16.72854226,-96.471897100000007", "🔗 Ver Mapa")</f>
        <v>🔗 Ver Mapa</v>
      </c>
    </row>
    <row r="7326" spans="1:12" ht="29" x14ac:dyDescent="0.35">
      <c r="A7326" s="6" t="s">
        <v>98</v>
      </c>
      <c r="B7326" s="6" t="s">
        <v>99</v>
      </c>
      <c r="C7326" s="6" t="s">
        <v>1397</v>
      </c>
      <c r="D7326" s="6" t="s">
        <v>14</v>
      </c>
      <c r="E7326" s="6" t="s">
        <v>52</v>
      </c>
      <c r="F7326" s="6" t="s">
        <v>228</v>
      </c>
      <c r="G7326" s="6" t="s">
        <v>1398</v>
      </c>
      <c r="H7326" s="6" t="s">
        <v>1399</v>
      </c>
      <c r="I7326" s="6" t="s">
        <v>31</v>
      </c>
      <c r="J7326" s="6">
        <v>16.728641209999999</v>
      </c>
      <c r="K7326" s="6">
        <v>-96.466626730000002</v>
      </c>
      <c r="L7326" s="6" t="str">
        <f>HYPERLINK("https://maps.google.com/?q=16.72864121,-96.466626730000002", "🔗 Ver Mapa")</f>
        <v>🔗 Ver Mapa</v>
      </c>
    </row>
    <row r="7327" spans="1:12" ht="29" x14ac:dyDescent="0.35">
      <c r="A7327" s="5" t="s">
        <v>98</v>
      </c>
      <c r="B7327" s="5" t="s">
        <v>99</v>
      </c>
      <c r="C7327" s="5" t="s">
        <v>1397</v>
      </c>
      <c r="D7327" s="5" t="s">
        <v>14</v>
      </c>
      <c r="E7327" s="5" t="s">
        <v>52</v>
      </c>
      <c r="F7327" s="5" t="s">
        <v>228</v>
      </c>
      <c r="G7327" s="5" t="s">
        <v>1398</v>
      </c>
      <c r="H7327" s="5" t="s">
        <v>1399</v>
      </c>
      <c r="I7327" s="5" t="s">
        <v>31</v>
      </c>
      <c r="J7327" s="5">
        <v>16.729124120000002</v>
      </c>
      <c r="K7327" s="5">
        <v>-96.466801070000002</v>
      </c>
      <c r="L7327" s="5" t="str">
        <f>HYPERLINK("https://maps.google.com/?q=16.72912412,-96.466801070000002", "🔗 Ver Mapa")</f>
        <v>🔗 Ver Mapa</v>
      </c>
    </row>
    <row r="7328" spans="1:12" ht="29" x14ac:dyDescent="0.35">
      <c r="A7328" s="6" t="s">
        <v>98</v>
      </c>
      <c r="B7328" s="6" t="s">
        <v>99</v>
      </c>
      <c r="C7328" s="6" t="s">
        <v>1397</v>
      </c>
      <c r="D7328" s="6" t="s">
        <v>14</v>
      </c>
      <c r="E7328" s="6" t="s">
        <v>52</v>
      </c>
      <c r="F7328" s="6" t="s">
        <v>228</v>
      </c>
      <c r="G7328" s="6" t="s">
        <v>1398</v>
      </c>
      <c r="H7328" s="6" t="s">
        <v>1399</v>
      </c>
      <c r="I7328" s="6" t="s">
        <v>31</v>
      </c>
      <c r="J7328" s="6">
        <v>16.729139539999998</v>
      </c>
      <c r="K7328" s="6">
        <v>-96.467088070000003</v>
      </c>
      <c r="L7328" s="6" t="str">
        <f>HYPERLINK("https://maps.google.com/?q=16.72913954,-96.467088070000003", "🔗 Ver Mapa")</f>
        <v>🔗 Ver Mapa</v>
      </c>
    </row>
    <row r="7329" spans="1:12" ht="29" x14ac:dyDescent="0.35">
      <c r="A7329" s="5" t="s">
        <v>98</v>
      </c>
      <c r="B7329" s="5" t="s">
        <v>99</v>
      </c>
      <c r="C7329" s="5" t="s">
        <v>1397</v>
      </c>
      <c r="D7329" s="5" t="s">
        <v>14</v>
      </c>
      <c r="E7329" s="5" t="s">
        <v>52</v>
      </c>
      <c r="F7329" s="5" t="s">
        <v>228</v>
      </c>
      <c r="G7329" s="5" t="s">
        <v>1398</v>
      </c>
      <c r="H7329" s="5" t="s">
        <v>1399</v>
      </c>
      <c r="I7329" s="5" t="s">
        <v>31</v>
      </c>
      <c r="J7329" s="5">
        <v>16.729777800000001</v>
      </c>
      <c r="K7329" s="5">
        <v>-96.473061180000002</v>
      </c>
      <c r="L7329" s="5" t="str">
        <f>HYPERLINK("https://maps.google.com/?q=16.7297778,-96.473061180000002", "🔗 Ver Mapa")</f>
        <v>🔗 Ver Mapa</v>
      </c>
    </row>
    <row r="7330" spans="1:12" ht="29" x14ac:dyDescent="0.35">
      <c r="A7330" s="6" t="s">
        <v>98</v>
      </c>
      <c r="B7330" s="6" t="s">
        <v>99</v>
      </c>
      <c r="C7330" s="6" t="s">
        <v>1397</v>
      </c>
      <c r="D7330" s="6" t="s">
        <v>14</v>
      </c>
      <c r="E7330" s="6" t="s">
        <v>52</v>
      </c>
      <c r="F7330" s="6" t="s">
        <v>228</v>
      </c>
      <c r="G7330" s="6" t="s">
        <v>1398</v>
      </c>
      <c r="H7330" s="6" t="s">
        <v>1399</v>
      </c>
      <c r="I7330" s="6" t="s">
        <v>31</v>
      </c>
      <c r="J7330" s="6">
        <v>16.730255570000001</v>
      </c>
      <c r="K7330" s="6">
        <v>-96.47293243</v>
      </c>
      <c r="L7330" s="6" t="str">
        <f>HYPERLINK("https://maps.google.com/?q=16.73025557,-96.47293243", "🔗 Ver Mapa")</f>
        <v>🔗 Ver Mapa</v>
      </c>
    </row>
    <row r="7331" spans="1:12" ht="43.5" x14ac:dyDescent="0.35">
      <c r="A7331" s="5" t="s">
        <v>98</v>
      </c>
      <c r="B7331" s="5" t="s">
        <v>99</v>
      </c>
      <c r="C7331" s="5" t="s">
        <v>1400</v>
      </c>
      <c r="D7331" s="5" t="s">
        <v>14</v>
      </c>
      <c r="E7331" s="5" t="s">
        <v>17</v>
      </c>
      <c r="F7331" s="5" t="s">
        <v>59</v>
      </c>
      <c r="G7331" s="5" t="s">
        <v>415</v>
      </c>
      <c r="H7331" s="5" t="s">
        <v>1401</v>
      </c>
      <c r="I7331" s="5" t="s">
        <v>31</v>
      </c>
      <c r="J7331" s="5">
        <v>16.584266143863001</v>
      </c>
      <c r="K7331" s="5">
        <v>-97.655735682208999</v>
      </c>
      <c r="L7331" s="5" t="str">
        <f>HYPERLINK("https://maps.google.com/?q=16.5842661438626,-97.6557356822088", "🔗 Ver Mapa")</f>
        <v>🔗 Ver Mapa</v>
      </c>
    </row>
    <row r="7332" spans="1:12" ht="43.5" x14ac:dyDescent="0.35">
      <c r="A7332" s="6" t="s">
        <v>98</v>
      </c>
      <c r="B7332" s="6" t="s">
        <v>99</v>
      </c>
      <c r="C7332" s="6" t="s">
        <v>1400</v>
      </c>
      <c r="D7332" s="6" t="s">
        <v>14</v>
      </c>
      <c r="E7332" s="6" t="s">
        <v>17</v>
      </c>
      <c r="F7332" s="6" t="s">
        <v>59</v>
      </c>
      <c r="G7332" s="6" t="s">
        <v>415</v>
      </c>
      <c r="H7332" s="6" t="s">
        <v>1401</v>
      </c>
      <c r="I7332" s="6" t="s">
        <v>31</v>
      </c>
      <c r="J7332" s="6">
        <v>16.584586462364001</v>
      </c>
      <c r="K7332" s="6">
        <v>-97.655727960430994</v>
      </c>
      <c r="L7332" s="6" t="str">
        <f>HYPERLINK("https://maps.google.com/?q=16.5845864623639,-97.655727960430795", "🔗 Ver Mapa")</f>
        <v>🔗 Ver Mapa</v>
      </c>
    </row>
    <row r="7333" spans="1:12" ht="43.5" x14ac:dyDescent="0.35">
      <c r="A7333" s="5" t="s">
        <v>98</v>
      </c>
      <c r="B7333" s="5" t="s">
        <v>99</v>
      </c>
      <c r="C7333" s="5" t="s">
        <v>1400</v>
      </c>
      <c r="D7333" s="5" t="s">
        <v>14</v>
      </c>
      <c r="E7333" s="5" t="s">
        <v>17</v>
      </c>
      <c r="F7333" s="5" t="s">
        <v>59</v>
      </c>
      <c r="G7333" s="5" t="s">
        <v>415</v>
      </c>
      <c r="H7333" s="5" t="s">
        <v>1401</v>
      </c>
      <c r="I7333" s="5" t="s">
        <v>31</v>
      </c>
      <c r="J7333" s="5">
        <v>16.584699858537999</v>
      </c>
      <c r="K7333" s="5">
        <v>-97.655619247849998</v>
      </c>
      <c r="L7333" s="5" t="str">
        <f>HYPERLINK("https://maps.google.com/?q=16.584699858538,-97.655619247850396", "🔗 Ver Mapa")</f>
        <v>🔗 Ver Mapa</v>
      </c>
    </row>
    <row r="7334" spans="1:12" ht="43.5" x14ac:dyDescent="0.35">
      <c r="A7334" s="6" t="s">
        <v>98</v>
      </c>
      <c r="B7334" s="6" t="s">
        <v>99</v>
      </c>
      <c r="C7334" s="6" t="s">
        <v>1400</v>
      </c>
      <c r="D7334" s="6" t="s">
        <v>14</v>
      </c>
      <c r="E7334" s="6" t="s">
        <v>17</v>
      </c>
      <c r="F7334" s="6" t="s">
        <v>59</v>
      </c>
      <c r="G7334" s="6" t="s">
        <v>415</v>
      </c>
      <c r="H7334" s="6" t="s">
        <v>1401</v>
      </c>
      <c r="I7334" s="6" t="s">
        <v>31</v>
      </c>
      <c r="J7334" s="6">
        <v>16.584915205963</v>
      </c>
      <c r="K7334" s="6">
        <v>-97.658790114086003</v>
      </c>
      <c r="L7334" s="6" t="str">
        <f>HYPERLINK("https://maps.google.com/?q=16.5849152059628,-97.658790114086102", "🔗 Ver Mapa")</f>
        <v>🔗 Ver Mapa</v>
      </c>
    </row>
    <row r="7335" spans="1:12" ht="43.5" x14ac:dyDescent="0.35">
      <c r="A7335" s="5" t="s">
        <v>98</v>
      </c>
      <c r="B7335" s="5" t="s">
        <v>99</v>
      </c>
      <c r="C7335" s="5" t="s">
        <v>1400</v>
      </c>
      <c r="D7335" s="5" t="s">
        <v>14</v>
      </c>
      <c r="E7335" s="5" t="s">
        <v>17</v>
      </c>
      <c r="F7335" s="5" t="s">
        <v>59</v>
      </c>
      <c r="G7335" s="5" t="s">
        <v>415</v>
      </c>
      <c r="H7335" s="5" t="s">
        <v>1401</v>
      </c>
      <c r="I7335" s="5" t="s">
        <v>31</v>
      </c>
      <c r="J7335" s="5">
        <v>16.584935002599</v>
      </c>
      <c r="K7335" s="5">
        <v>-97.655597317789997</v>
      </c>
      <c r="L7335" s="5" t="str">
        <f>HYPERLINK("https://maps.google.com/?q=16.5849350025992,-97.655597317790495", "🔗 Ver Mapa")</f>
        <v>🔗 Ver Mapa</v>
      </c>
    </row>
    <row r="7336" spans="1:12" ht="43.5" x14ac:dyDescent="0.35">
      <c r="A7336" s="6" t="s">
        <v>98</v>
      </c>
      <c r="B7336" s="6" t="s">
        <v>99</v>
      </c>
      <c r="C7336" s="6" t="s">
        <v>1400</v>
      </c>
      <c r="D7336" s="6" t="s">
        <v>14</v>
      </c>
      <c r="E7336" s="6" t="s">
        <v>17</v>
      </c>
      <c r="F7336" s="6" t="s">
        <v>59</v>
      </c>
      <c r="G7336" s="6" t="s">
        <v>415</v>
      </c>
      <c r="H7336" s="6" t="s">
        <v>1401</v>
      </c>
      <c r="I7336" s="6" t="s">
        <v>31</v>
      </c>
      <c r="J7336" s="6">
        <v>16.584982002598998</v>
      </c>
      <c r="K7336" s="6">
        <v>-97.655737682208994</v>
      </c>
      <c r="L7336" s="6" t="str">
        <f>HYPERLINK("https://maps.google.com/?q=16.584982002599,-97.655737682208795", "🔗 Ver Mapa")</f>
        <v>🔗 Ver Mapa</v>
      </c>
    </row>
    <row r="7337" spans="1:12" ht="43.5" x14ac:dyDescent="0.35">
      <c r="A7337" s="5" t="s">
        <v>98</v>
      </c>
      <c r="B7337" s="5" t="s">
        <v>99</v>
      </c>
      <c r="C7337" s="5" t="s">
        <v>1400</v>
      </c>
      <c r="D7337" s="5" t="s">
        <v>14</v>
      </c>
      <c r="E7337" s="5" t="s">
        <v>17</v>
      </c>
      <c r="F7337" s="5" t="s">
        <v>59</v>
      </c>
      <c r="G7337" s="5" t="s">
        <v>415</v>
      </c>
      <c r="H7337" s="5" t="s">
        <v>1401</v>
      </c>
      <c r="I7337" s="5" t="s">
        <v>31</v>
      </c>
      <c r="J7337" s="5">
        <v>16.585105431978999</v>
      </c>
      <c r="K7337" s="5">
        <v>-97.658951046626996</v>
      </c>
      <c r="L7337" s="5" t="str">
        <f>HYPERLINK("https://maps.google.com/?q=16.5851054319785,-97.658951046626996", "🔗 Ver Mapa")</f>
        <v>🔗 Ver Mapa</v>
      </c>
    </row>
    <row r="7338" spans="1:12" ht="43.5" x14ac:dyDescent="0.35">
      <c r="A7338" s="6" t="s">
        <v>98</v>
      </c>
      <c r="B7338" s="6" t="s">
        <v>99</v>
      </c>
      <c r="C7338" s="6" t="s">
        <v>1400</v>
      </c>
      <c r="D7338" s="6" t="s">
        <v>14</v>
      </c>
      <c r="E7338" s="6" t="s">
        <v>17</v>
      </c>
      <c r="F7338" s="6" t="s">
        <v>59</v>
      </c>
      <c r="G7338" s="6" t="s">
        <v>415</v>
      </c>
      <c r="H7338" s="6" t="s">
        <v>1401</v>
      </c>
      <c r="I7338" s="6" t="s">
        <v>31</v>
      </c>
      <c r="J7338" s="6">
        <v>16.585470420199002</v>
      </c>
      <c r="K7338" s="6">
        <v>-97.654884739742002</v>
      </c>
      <c r="L7338" s="6" t="str">
        <f>HYPERLINK("https://maps.google.com/?q=16.5854704201992,-97.654884739741902", "🔗 Ver Mapa")</f>
        <v>🔗 Ver Mapa</v>
      </c>
    </row>
    <row r="7339" spans="1:12" ht="43.5" x14ac:dyDescent="0.35">
      <c r="A7339" s="5" t="s">
        <v>98</v>
      </c>
      <c r="B7339" s="5" t="s">
        <v>99</v>
      </c>
      <c r="C7339" s="5" t="s">
        <v>1400</v>
      </c>
      <c r="D7339" s="5" t="s">
        <v>14</v>
      </c>
      <c r="E7339" s="5" t="s">
        <v>17</v>
      </c>
      <c r="F7339" s="5" t="s">
        <v>59</v>
      </c>
      <c r="G7339" s="5" t="s">
        <v>415</v>
      </c>
      <c r="H7339" s="5" t="s">
        <v>1401</v>
      </c>
      <c r="I7339" s="5" t="s">
        <v>31</v>
      </c>
      <c r="J7339" s="5">
        <v>16.585537970042999</v>
      </c>
      <c r="K7339" s="5">
        <v>-97.650366890930997</v>
      </c>
      <c r="L7339" s="5" t="str">
        <f>HYPERLINK("https://maps.google.com/?q=16.5855379700431,-97.650366890930997", "🔗 Ver Mapa")</f>
        <v>🔗 Ver Mapa</v>
      </c>
    </row>
    <row r="7340" spans="1:12" ht="43.5" x14ac:dyDescent="0.35">
      <c r="A7340" s="6" t="s">
        <v>98</v>
      </c>
      <c r="B7340" s="6" t="s">
        <v>99</v>
      </c>
      <c r="C7340" s="6" t="s">
        <v>1400</v>
      </c>
      <c r="D7340" s="6" t="s">
        <v>14</v>
      </c>
      <c r="E7340" s="6" t="s">
        <v>17</v>
      </c>
      <c r="F7340" s="6" t="s">
        <v>59</v>
      </c>
      <c r="G7340" s="6" t="s">
        <v>415</v>
      </c>
      <c r="H7340" s="6" t="s">
        <v>1401</v>
      </c>
      <c r="I7340" s="6" t="s">
        <v>31</v>
      </c>
      <c r="J7340" s="6">
        <v>16.585794431987999</v>
      </c>
      <c r="K7340" s="6">
        <v>-97.651401635582005</v>
      </c>
      <c r="L7340" s="6" t="str">
        <f>HYPERLINK("https://maps.google.com/?q=16.5857944319878,-97.651401635582204", "🔗 Ver Mapa")</f>
        <v>🔗 Ver Mapa</v>
      </c>
    </row>
    <row r="7341" spans="1:12" ht="43.5" x14ac:dyDescent="0.35">
      <c r="A7341" s="5" t="s">
        <v>98</v>
      </c>
      <c r="B7341" s="5" t="s">
        <v>99</v>
      </c>
      <c r="C7341" s="5" t="s">
        <v>1402</v>
      </c>
      <c r="D7341" s="5" t="s">
        <v>14</v>
      </c>
      <c r="E7341" s="5" t="s">
        <v>17</v>
      </c>
      <c r="F7341" s="5" t="s">
        <v>59</v>
      </c>
      <c r="G7341" s="5" t="s">
        <v>415</v>
      </c>
      <c r="H7341" s="5" t="s">
        <v>1403</v>
      </c>
      <c r="I7341" s="5" t="s">
        <v>31</v>
      </c>
      <c r="J7341" s="5">
        <v>16.547571000000001</v>
      </c>
      <c r="K7341" s="5">
        <v>-97.678696000000002</v>
      </c>
      <c r="L7341" s="5" t="str">
        <f>HYPERLINK("https://maps.google.com/?q=16.547571,-97.678696000000002", "🔗 Ver Mapa")</f>
        <v>🔗 Ver Mapa</v>
      </c>
    </row>
    <row r="7342" spans="1:12" ht="43.5" x14ac:dyDescent="0.35">
      <c r="A7342" s="6" t="s">
        <v>98</v>
      </c>
      <c r="B7342" s="6" t="s">
        <v>99</v>
      </c>
      <c r="C7342" s="6" t="s">
        <v>1402</v>
      </c>
      <c r="D7342" s="6" t="s">
        <v>14</v>
      </c>
      <c r="E7342" s="6" t="s">
        <v>17</v>
      </c>
      <c r="F7342" s="6" t="s">
        <v>59</v>
      </c>
      <c r="G7342" s="6" t="s">
        <v>415</v>
      </c>
      <c r="H7342" s="6" t="s">
        <v>1403</v>
      </c>
      <c r="I7342" s="6" t="s">
        <v>31</v>
      </c>
      <c r="J7342" s="6">
        <v>16.547708</v>
      </c>
      <c r="K7342" s="6">
        <v>-97.678507999999994</v>
      </c>
      <c r="L7342" s="6" t="str">
        <f>HYPERLINK("https://maps.google.com/?q=16.547708,-97.678507999999994", "🔗 Ver Mapa")</f>
        <v>🔗 Ver Mapa</v>
      </c>
    </row>
    <row r="7343" spans="1:12" ht="43.5" x14ac:dyDescent="0.35">
      <c r="A7343" s="5" t="s">
        <v>98</v>
      </c>
      <c r="B7343" s="5" t="s">
        <v>99</v>
      </c>
      <c r="C7343" s="5" t="s">
        <v>1402</v>
      </c>
      <c r="D7343" s="5" t="s">
        <v>14</v>
      </c>
      <c r="E7343" s="5" t="s">
        <v>17</v>
      </c>
      <c r="F7343" s="5" t="s">
        <v>59</v>
      </c>
      <c r="G7343" s="5" t="s">
        <v>415</v>
      </c>
      <c r="H7343" s="5" t="s">
        <v>1403</v>
      </c>
      <c r="I7343" s="5" t="s">
        <v>31</v>
      </c>
      <c r="J7343" s="5">
        <v>16.549285999999999</v>
      </c>
      <c r="K7343" s="5">
        <v>-97.682064999999994</v>
      </c>
      <c r="L7343" s="5" t="str">
        <f>HYPERLINK("https://maps.google.com/?q=16.549286,-97.682064999999994", "🔗 Ver Mapa")</f>
        <v>🔗 Ver Mapa</v>
      </c>
    </row>
    <row r="7344" spans="1:12" ht="43.5" x14ac:dyDescent="0.35">
      <c r="A7344" s="6" t="s">
        <v>98</v>
      </c>
      <c r="B7344" s="6" t="s">
        <v>99</v>
      </c>
      <c r="C7344" s="6" t="s">
        <v>1402</v>
      </c>
      <c r="D7344" s="6" t="s">
        <v>14</v>
      </c>
      <c r="E7344" s="6" t="s">
        <v>17</v>
      </c>
      <c r="F7344" s="6" t="s">
        <v>59</v>
      </c>
      <c r="G7344" s="6" t="s">
        <v>415</v>
      </c>
      <c r="H7344" s="6" t="s">
        <v>1403</v>
      </c>
      <c r="I7344" s="6" t="s">
        <v>31</v>
      </c>
      <c r="J7344" s="6">
        <v>16.549446</v>
      </c>
      <c r="K7344" s="6">
        <v>-97.680835999999999</v>
      </c>
      <c r="L7344" s="6" t="str">
        <f>HYPERLINK("https://maps.google.com/?q=16.549446,-97.680835999999999", "🔗 Ver Mapa")</f>
        <v>🔗 Ver Mapa</v>
      </c>
    </row>
    <row r="7345" spans="1:12" ht="43.5" x14ac:dyDescent="0.35">
      <c r="A7345" s="5" t="s">
        <v>98</v>
      </c>
      <c r="B7345" s="5" t="s">
        <v>99</v>
      </c>
      <c r="C7345" s="5" t="s">
        <v>1402</v>
      </c>
      <c r="D7345" s="5" t="s">
        <v>14</v>
      </c>
      <c r="E7345" s="5" t="s">
        <v>17</v>
      </c>
      <c r="F7345" s="5" t="s">
        <v>59</v>
      </c>
      <c r="G7345" s="5" t="s">
        <v>415</v>
      </c>
      <c r="H7345" s="5" t="s">
        <v>1403</v>
      </c>
      <c r="I7345" s="5" t="s">
        <v>31</v>
      </c>
      <c r="J7345" s="5">
        <v>16.549455999999999</v>
      </c>
      <c r="K7345" s="5">
        <v>-97.682069999999996</v>
      </c>
      <c r="L7345" s="5" t="str">
        <f>HYPERLINK("https://maps.google.com/?q=16.549456,-97.682069999999996", "🔗 Ver Mapa")</f>
        <v>🔗 Ver Mapa</v>
      </c>
    </row>
    <row r="7346" spans="1:12" ht="43.5" x14ac:dyDescent="0.35">
      <c r="A7346" s="6" t="s">
        <v>98</v>
      </c>
      <c r="B7346" s="6" t="s">
        <v>99</v>
      </c>
      <c r="C7346" s="6" t="s">
        <v>1402</v>
      </c>
      <c r="D7346" s="6" t="s">
        <v>14</v>
      </c>
      <c r="E7346" s="6" t="s">
        <v>17</v>
      </c>
      <c r="F7346" s="6" t="s">
        <v>59</v>
      </c>
      <c r="G7346" s="6" t="s">
        <v>415</v>
      </c>
      <c r="H7346" s="6" t="s">
        <v>1403</v>
      </c>
      <c r="I7346" s="6" t="s">
        <v>31</v>
      </c>
      <c r="J7346" s="6">
        <v>16.549852000000001</v>
      </c>
      <c r="K7346" s="6">
        <v>-97.680763999999996</v>
      </c>
      <c r="L7346" s="6" t="str">
        <f>HYPERLINK("https://maps.google.com/?q=16.549852,-97.680763999999996", "🔗 Ver Mapa")</f>
        <v>🔗 Ver Mapa</v>
      </c>
    </row>
    <row r="7347" spans="1:12" ht="43.5" x14ac:dyDescent="0.35">
      <c r="A7347" s="5" t="s">
        <v>98</v>
      </c>
      <c r="B7347" s="5" t="s">
        <v>99</v>
      </c>
      <c r="C7347" s="5" t="s">
        <v>1402</v>
      </c>
      <c r="D7347" s="5" t="s">
        <v>14</v>
      </c>
      <c r="E7347" s="5" t="s">
        <v>17</v>
      </c>
      <c r="F7347" s="5" t="s">
        <v>59</v>
      </c>
      <c r="G7347" s="5" t="s">
        <v>415</v>
      </c>
      <c r="H7347" s="5" t="s">
        <v>1403</v>
      </c>
      <c r="I7347" s="5" t="s">
        <v>31</v>
      </c>
      <c r="J7347" s="5">
        <v>16.549934</v>
      </c>
      <c r="K7347" s="5">
        <v>-97.678641999999996</v>
      </c>
      <c r="L7347" s="5" t="str">
        <f>HYPERLINK("https://maps.google.com/?q=16.549934,-97.678641999999996", "🔗 Ver Mapa")</f>
        <v>🔗 Ver Mapa</v>
      </c>
    </row>
    <row r="7348" spans="1:12" ht="43.5" x14ac:dyDescent="0.35">
      <c r="A7348" s="6" t="s">
        <v>98</v>
      </c>
      <c r="B7348" s="6" t="s">
        <v>99</v>
      </c>
      <c r="C7348" s="6" t="s">
        <v>1402</v>
      </c>
      <c r="D7348" s="6" t="s">
        <v>14</v>
      </c>
      <c r="E7348" s="6" t="s">
        <v>17</v>
      </c>
      <c r="F7348" s="6" t="s">
        <v>59</v>
      </c>
      <c r="G7348" s="6" t="s">
        <v>415</v>
      </c>
      <c r="H7348" s="6" t="s">
        <v>1403</v>
      </c>
      <c r="I7348" s="6" t="s">
        <v>31</v>
      </c>
      <c r="J7348" s="6">
        <v>16.549977999999999</v>
      </c>
      <c r="K7348" s="6">
        <v>-97.679828000000001</v>
      </c>
      <c r="L7348" s="6" t="str">
        <f>HYPERLINK("https://maps.google.com/?q=16.549978,-97.679828000000001", "🔗 Ver Mapa")</f>
        <v>🔗 Ver Mapa</v>
      </c>
    </row>
    <row r="7349" spans="1:12" ht="43.5" x14ac:dyDescent="0.35">
      <c r="A7349" s="5" t="s">
        <v>98</v>
      </c>
      <c r="B7349" s="5" t="s">
        <v>99</v>
      </c>
      <c r="C7349" s="5" t="s">
        <v>1402</v>
      </c>
      <c r="D7349" s="5" t="s">
        <v>14</v>
      </c>
      <c r="E7349" s="5" t="s">
        <v>17</v>
      </c>
      <c r="F7349" s="5" t="s">
        <v>59</v>
      </c>
      <c r="G7349" s="5" t="s">
        <v>415</v>
      </c>
      <c r="H7349" s="5" t="s">
        <v>1403</v>
      </c>
      <c r="I7349" s="5" t="s">
        <v>31</v>
      </c>
      <c r="J7349" s="5">
        <v>16.550028999999999</v>
      </c>
      <c r="K7349" s="5">
        <v>-97.679687999999999</v>
      </c>
      <c r="L7349" s="5" t="str">
        <f>HYPERLINK("https://maps.google.com/?q=16.550029,-97.679687999999999", "🔗 Ver Mapa")</f>
        <v>🔗 Ver Mapa</v>
      </c>
    </row>
    <row r="7350" spans="1:12" ht="43.5" x14ac:dyDescent="0.35">
      <c r="A7350" s="6" t="s">
        <v>98</v>
      </c>
      <c r="B7350" s="6" t="s">
        <v>99</v>
      </c>
      <c r="C7350" s="6" t="s">
        <v>1402</v>
      </c>
      <c r="D7350" s="6" t="s">
        <v>14</v>
      </c>
      <c r="E7350" s="6" t="s">
        <v>17</v>
      </c>
      <c r="F7350" s="6" t="s">
        <v>59</v>
      </c>
      <c r="G7350" s="6" t="s">
        <v>415</v>
      </c>
      <c r="H7350" s="6" t="s">
        <v>1403</v>
      </c>
      <c r="I7350" s="6" t="s">
        <v>31</v>
      </c>
      <c r="J7350" s="6">
        <v>16.550163000000001</v>
      </c>
      <c r="K7350" s="6">
        <v>-97.681711000000007</v>
      </c>
      <c r="L7350" s="6" t="str">
        <f>HYPERLINK("https://maps.google.com/?q=16.550163,-97.681711000000007", "🔗 Ver Mapa")</f>
        <v>🔗 Ver Mapa</v>
      </c>
    </row>
    <row r="7351" spans="1:12" ht="43.5" x14ac:dyDescent="0.35">
      <c r="A7351" s="5" t="s">
        <v>98</v>
      </c>
      <c r="B7351" s="5" t="s">
        <v>99</v>
      </c>
      <c r="C7351" s="5" t="s">
        <v>1404</v>
      </c>
      <c r="D7351" s="5" t="s">
        <v>14</v>
      </c>
      <c r="E7351" s="5" t="s">
        <v>17</v>
      </c>
      <c r="F7351" s="5" t="s">
        <v>59</v>
      </c>
      <c r="G7351" s="5" t="s">
        <v>415</v>
      </c>
      <c r="H7351" s="5" t="s">
        <v>1405</v>
      </c>
      <c r="I7351" s="5" t="s">
        <v>31</v>
      </c>
      <c r="J7351" s="5">
        <v>0</v>
      </c>
      <c r="K7351" s="5">
        <v>-97.655097999999995</v>
      </c>
      <c r="L7351" s="5" t="str">
        <f>HYPERLINK("https://maps.google.com/?q=0,-97.655097999999995", "🔗 Ver Mapa")</f>
        <v>🔗 Ver Mapa</v>
      </c>
    </row>
    <row r="7352" spans="1:12" ht="43.5" x14ac:dyDescent="0.35">
      <c r="A7352" s="6" t="s">
        <v>98</v>
      </c>
      <c r="B7352" s="6" t="s">
        <v>99</v>
      </c>
      <c r="C7352" s="6" t="s">
        <v>1404</v>
      </c>
      <c r="D7352" s="6" t="s">
        <v>14</v>
      </c>
      <c r="E7352" s="6" t="s">
        <v>17</v>
      </c>
      <c r="F7352" s="6" t="s">
        <v>59</v>
      </c>
      <c r="G7352" s="6" t="s">
        <v>415</v>
      </c>
      <c r="H7352" s="6" t="s">
        <v>1405</v>
      </c>
      <c r="I7352" s="6" t="s">
        <v>31</v>
      </c>
      <c r="J7352" s="6">
        <v>16.562774000000001</v>
      </c>
      <c r="K7352" s="6">
        <v>-97.654818000000006</v>
      </c>
      <c r="L7352" s="6" t="str">
        <f>HYPERLINK("https://maps.google.com/?q=16.562774,-97.654818000000006", "🔗 Ver Mapa")</f>
        <v>🔗 Ver Mapa</v>
      </c>
    </row>
    <row r="7353" spans="1:12" ht="43.5" x14ac:dyDescent="0.35">
      <c r="A7353" s="5" t="s">
        <v>98</v>
      </c>
      <c r="B7353" s="5" t="s">
        <v>99</v>
      </c>
      <c r="C7353" s="5" t="s">
        <v>1404</v>
      </c>
      <c r="D7353" s="5" t="s">
        <v>14</v>
      </c>
      <c r="E7353" s="5" t="s">
        <v>17</v>
      </c>
      <c r="F7353" s="5" t="s">
        <v>59</v>
      </c>
      <c r="G7353" s="5" t="s">
        <v>415</v>
      </c>
      <c r="H7353" s="5" t="s">
        <v>1405</v>
      </c>
      <c r="I7353" s="5" t="s">
        <v>31</v>
      </c>
      <c r="J7353" s="5">
        <v>16.564309999999999</v>
      </c>
      <c r="K7353" s="5">
        <v>-97.656721000000005</v>
      </c>
      <c r="L7353" s="5" t="str">
        <f>HYPERLINK("https://maps.google.com/?q=16.56431,-97.656721000000005", "🔗 Ver Mapa")</f>
        <v>🔗 Ver Mapa</v>
      </c>
    </row>
    <row r="7354" spans="1:12" ht="43.5" x14ac:dyDescent="0.35">
      <c r="A7354" s="6" t="s">
        <v>98</v>
      </c>
      <c r="B7354" s="6" t="s">
        <v>99</v>
      </c>
      <c r="C7354" s="6" t="s">
        <v>1404</v>
      </c>
      <c r="D7354" s="6" t="s">
        <v>14</v>
      </c>
      <c r="E7354" s="6" t="s">
        <v>17</v>
      </c>
      <c r="F7354" s="6" t="s">
        <v>59</v>
      </c>
      <c r="G7354" s="6" t="s">
        <v>415</v>
      </c>
      <c r="H7354" s="6" t="s">
        <v>1405</v>
      </c>
      <c r="I7354" s="6" t="s">
        <v>31</v>
      </c>
      <c r="J7354" s="6">
        <v>16.564957</v>
      </c>
      <c r="K7354" s="6">
        <v>-97.653229999999994</v>
      </c>
      <c r="L7354" s="6" t="str">
        <f>HYPERLINK("https://maps.google.com/?q=16.564957,-97.653229999999994", "🔗 Ver Mapa")</f>
        <v>🔗 Ver Mapa</v>
      </c>
    </row>
    <row r="7355" spans="1:12" ht="43.5" x14ac:dyDescent="0.35">
      <c r="A7355" s="5" t="s">
        <v>98</v>
      </c>
      <c r="B7355" s="5" t="s">
        <v>99</v>
      </c>
      <c r="C7355" s="5" t="s">
        <v>1404</v>
      </c>
      <c r="D7355" s="5" t="s">
        <v>14</v>
      </c>
      <c r="E7355" s="5" t="s">
        <v>17</v>
      </c>
      <c r="F7355" s="5" t="s">
        <v>59</v>
      </c>
      <c r="G7355" s="5" t="s">
        <v>415</v>
      </c>
      <c r="H7355" s="5" t="s">
        <v>1405</v>
      </c>
      <c r="I7355" s="5" t="s">
        <v>31</v>
      </c>
      <c r="J7355" s="5">
        <v>16.565213</v>
      </c>
      <c r="K7355" s="5">
        <v>-97.655709999999999</v>
      </c>
      <c r="L7355" s="5" t="str">
        <f>HYPERLINK("https://maps.google.com/?q=16.565213,-97.655709999999999", "🔗 Ver Mapa")</f>
        <v>🔗 Ver Mapa</v>
      </c>
    </row>
    <row r="7356" spans="1:12" ht="43.5" x14ac:dyDescent="0.35">
      <c r="A7356" s="6" t="s">
        <v>98</v>
      </c>
      <c r="B7356" s="6" t="s">
        <v>99</v>
      </c>
      <c r="C7356" s="6" t="s">
        <v>1404</v>
      </c>
      <c r="D7356" s="6" t="s">
        <v>14</v>
      </c>
      <c r="E7356" s="6" t="s">
        <v>17</v>
      </c>
      <c r="F7356" s="6" t="s">
        <v>59</v>
      </c>
      <c r="G7356" s="6" t="s">
        <v>415</v>
      </c>
      <c r="H7356" s="6" t="s">
        <v>1405</v>
      </c>
      <c r="I7356" s="6" t="s">
        <v>31</v>
      </c>
      <c r="J7356" s="6">
        <v>16.565252960100999</v>
      </c>
      <c r="K7356" s="6">
        <v>-97.653121860119001</v>
      </c>
      <c r="L7356" s="6" t="str">
        <f>HYPERLINK("https://maps.google.com/?q=16.5652529601012,-97.653121860118702", "🔗 Ver Mapa")</f>
        <v>🔗 Ver Mapa</v>
      </c>
    </row>
    <row r="7357" spans="1:12" ht="43.5" x14ac:dyDescent="0.35">
      <c r="A7357" s="5" t="s">
        <v>98</v>
      </c>
      <c r="B7357" s="5" t="s">
        <v>99</v>
      </c>
      <c r="C7357" s="5" t="s">
        <v>1404</v>
      </c>
      <c r="D7357" s="5" t="s">
        <v>14</v>
      </c>
      <c r="E7357" s="5" t="s">
        <v>17</v>
      </c>
      <c r="F7357" s="5" t="s">
        <v>59</v>
      </c>
      <c r="G7357" s="5" t="s">
        <v>415</v>
      </c>
      <c r="H7357" s="5" t="s">
        <v>1405</v>
      </c>
      <c r="I7357" s="5" t="s">
        <v>31</v>
      </c>
      <c r="J7357" s="5">
        <v>16.565304999999999</v>
      </c>
      <c r="K7357" s="5">
        <v>-97.656548999999998</v>
      </c>
      <c r="L7357" s="5" t="str">
        <f>HYPERLINK("https://maps.google.com/?q=16.565305,-97.656548999999998", "🔗 Ver Mapa")</f>
        <v>🔗 Ver Mapa</v>
      </c>
    </row>
    <row r="7358" spans="1:12" ht="43.5" x14ac:dyDescent="0.35">
      <c r="A7358" s="6" t="s">
        <v>98</v>
      </c>
      <c r="B7358" s="6" t="s">
        <v>99</v>
      </c>
      <c r="C7358" s="6" t="s">
        <v>1404</v>
      </c>
      <c r="D7358" s="6" t="s">
        <v>14</v>
      </c>
      <c r="E7358" s="6" t="s">
        <v>17</v>
      </c>
      <c r="F7358" s="6" t="s">
        <v>59</v>
      </c>
      <c r="G7358" s="6" t="s">
        <v>415</v>
      </c>
      <c r="H7358" s="6" t="s">
        <v>1405</v>
      </c>
      <c r="I7358" s="6" t="s">
        <v>31</v>
      </c>
      <c r="J7358" s="6">
        <v>16.565325000000001</v>
      </c>
      <c r="K7358" s="6">
        <v>-97.653347999999994</v>
      </c>
      <c r="L7358" s="6" t="str">
        <f>HYPERLINK("https://maps.google.com/?q=16.565325,-97.653347999999994", "🔗 Ver Mapa")</f>
        <v>🔗 Ver Mapa</v>
      </c>
    </row>
    <row r="7359" spans="1:12" ht="43.5" x14ac:dyDescent="0.35">
      <c r="A7359" s="5" t="s">
        <v>98</v>
      </c>
      <c r="B7359" s="5" t="s">
        <v>99</v>
      </c>
      <c r="C7359" s="5" t="s">
        <v>1404</v>
      </c>
      <c r="D7359" s="5" t="s">
        <v>14</v>
      </c>
      <c r="E7359" s="5" t="s">
        <v>17</v>
      </c>
      <c r="F7359" s="5" t="s">
        <v>59</v>
      </c>
      <c r="G7359" s="5" t="s">
        <v>415</v>
      </c>
      <c r="H7359" s="5" t="s">
        <v>1405</v>
      </c>
      <c r="I7359" s="5" t="s">
        <v>31</v>
      </c>
      <c r="J7359" s="5">
        <v>16.566344000000001</v>
      </c>
      <c r="K7359" s="5">
        <v>-97.651115000000004</v>
      </c>
      <c r="L7359" s="5" t="str">
        <f>HYPERLINK("https://maps.google.com/?q=16.566344,-97.651115000000004", "🔗 Ver Mapa")</f>
        <v>🔗 Ver Mapa</v>
      </c>
    </row>
    <row r="7360" spans="1:12" ht="43.5" x14ac:dyDescent="0.35">
      <c r="A7360" s="6" t="s">
        <v>98</v>
      </c>
      <c r="B7360" s="6" t="s">
        <v>99</v>
      </c>
      <c r="C7360" s="6" t="s">
        <v>1404</v>
      </c>
      <c r="D7360" s="6" t="s">
        <v>14</v>
      </c>
      <c r="E7360" s="6" t="s">
        <v>17</v>
      </c>
      <c r="F7360" s="6" t="s">
        <v>59</v>
      </c>
      <c r="G7360" s="6" t="s">
        <v>415</v>
      </c>
      <c r="H7360" s="6" t="s">
        <v>1405</v>
      </c>
      <c r="I7360" s="6" t="s">
        <v>31</v>
      </c>
      <c r="J7360" s="6">
        <v>16.566420999999998</v>
      </c>
      <c r="K7360" s="6">
        <v>-97.654336000000001</v>
      </c>
      <c r="L7360" s="6" t="str">
        <f>HYPERLINK("https://maps.google.com/?q=16.566421,-97.654336000000001", "🔗 Ver Mapa")</f>
        <v>🔗 Ver Mapa</v>
      </c>
    </row>
    <row r="7361" spans="1:12" ht="43.5" x14ac:dyDescent="0.35">
      <c r="A7361" s="5" t="s">
        <v>98</v>
      </c>
      <c r="B7361" s="5" t="s">
        <v>99</v>
      </c>
      <c r="C7361" s="5" t="s">
        <v>1404</v>
      </c>
      <c r="D7361" s="5" t="s">
        <v>14</v>
      </c>
      <c r="E7361" s="5" t="s">
        <v>17</v>
      </c>
      <c r="F7361" s="5" t="s">
        <v>59</v>
      </c>
      <c r="G7361" s="5" t="s">
        <v>415</v>
      </c>
      <c r="H7361" s="5" t="s">
        <v>1405</v>
      </c>
      <c r="I7361" s="5" t="s">
        <v>31</v>
      </c>
      <c r="J7361" s="5">
        <v>16.566566000000002</v>
      </c>
      <c r="K7361" s="5">
        <v>-97.652057999999997</v>
      </c>
      <c r="L7361" s="5" t="str">
        <f>HYPERLINK("https://maps.google.com/?q=16.566566,-97.652057999999997", "🔗 Ver Mapa")</f>
        <v>🔗 Ver Mapa</v>
      </c>
    </row>
    <row r="7362" spans="1:12" ht="43.5" x14ac:dyDescent="0.35">
      <c r="A7362" s="6" t="s">
        <v>98</v>
      </c>
      <c r="B7362" s="6" t="s">
        <v>99</v>
      </c>
      <c r="C7362" s="6" t="s">
        <v>1404</v>
      </c>
      <c r="D7362" s="6" t="s">
        <v>14</v>
      </c>
      <c r="E7362" s="6" t="s">
        <v>17</v>
      </c>
      <c r="F7362" s="6" t="s">
        <v>59</v>
      </c>
      <c r="G7362" s="6" t="s">
        <v>415</v>
      </c>
      <c r="H7362" s="6" t="s">
        <v>1405</v>
      </c>
      <c r="I7362" s="6" t="s">
        <v>31</v>
      </c>
      <c r="J7362" s="6">
        <v>16.566875</v>
      </c>
      <c r="K7362" s="6">
        <v>-97.653892999999997</v>
      </c>
      <c r="L7362" s="6" t="str">
        <f>HYPERLINK("https://maps.google.com/?q=16.566875,-97.653892999999997", "🔗 Ver Mapa")</f>
        <v>🔗 Ver Mapa</v>
      </c>
    </row>
    <row r="7363" spans="1:12" ht="43.5" x14ac:dyDescent="0.35">
      <c r="A7363" s="5" t="s">
        <v>98</v>
      </c>
      <c r="B7363" s="5" t="s">
        <v>99</v>
      </c>
      <c r="C7363" s="5" t="s">
        <v>1404</v>
      </c>
      <c r="D7363" s="5" t="s">
        <v>14</v>
      </c>
      <c r="E7363" s="5" t="s">
        <v>17</v>
      </c>
      <c r="F7363" s="5" t="s">
        <v>59</v>
      </c>
      <c r="G7363" s="5" t="s">
        <v>415</v>
      </c>
      <c r="H7363" s="5" t="s">
        <v>1405</v>
      </c>
      <c r="I7363" s="5" t="s">
        <v>31</v>
      </c>
      <c r="J7363" s="5">
        <v>16.566925999999999</v>
      </c>
      <c r="K7363" s="5">
        <v>-97.654853000000003</v>
      </c>
      <c r="L7363" s="5" t="str">
        <f>HYPERLINK("https://maps.google.com/?q=16.566926,-97.654853000000003", "🔗 Ver Mapa")</f>
        <v>🔗 Ver Mapa</v>
      </c>
    </row>
    <row r="7364" spans="1:12" ht="43.5" x14ac:dyDescent="0.35">
      <c r="A7364" s="6" t="s">
        <v>98</v>
      </c>
      <c r="B7364" s="6" t="s">
        <v>99</v>
      </c>
      <c r="C7364" s="6" t="s">
        <v>1404</v>
      </c>
      <c r="D7364" s="6" t="s">
        <v>14</v>
      </c>
      <c r="E7364" s="6" t="s">
        <v>17</v>
      </c>
      <c r="F7364" s="6" t="s">
        <v>59</v>
      </c>
      <c r="G7364" s="6" t="s">
        <v>415</v>
      </c>
      <c r="H7364" s="6" t="s">
        <v>1405</v>
      </c>
      <c r="I7364" s="6" t="s">
        <v>31</v>
      </c>
      <c r="J7364" s="6">
        <v>16.567629</v>
      </c>
      <c r="K7364" s="6">
        <v>-97.652428999999998</v>
      </c>
      <c r="L7364" s="6" t="str">
        <f>HYPERLINK("https://maps.google.com/?q=16.567629,-97.652428999999998", "🔗 Ver Mapa")</f>
        <v>🔗 Ver Mapa</v>
      </c>
    </row>
    <row r="7365" spans="1:12" ht="43.5" x14ac:dyDescent="0.35">
      <c r="A7365" s="5" t="s">
        <v>98</v>
      </c>
      <c r="B7365" s="5" t="s">
        <v>99</v>
      </c>
      <c r="C7365" s="5" t="s">
        <v>1404</v>
      </c>
      <c r="D7365" s="5" t="s">
        <v>14</v>
      </c>
      <c r="E7365" s="5" t="s">
        <v>17</v>
      </c>
      <c r="F7365" s="5" t="s">
        <v>59</v>
      </c>
      <c r="G7365" s="5" t="s">
        <v>415</v>
      </c>
      <c r="H7365" s="5" t="s">
        <v>1405</v>
      </c>
      <c r="I7365" s="5" t="s">
        <v>31</v>
      </c>
      <c r="J7365" s="5">
        <v>16.567771</v>
      </c>
      <c r="K7365" s="5">
        <v>-97.652270999999999</v>
      </c>
      <c r="L7365" s="5" t="str">
        <f>HYPERLINK("https://maps.google.com/?q=16.567771,-97.652270999999999", "🔗 Ver Mapa")</f>
        <v>🔗 Ver Mapa</v>
      </c>
    </row>
    <row r="7366" spans="1:12" ht="43.5" x14ac:dyDescent="0.35">
      <c r="A7366" s="6" t="s">
        <v>98</v>
      </c>
      <c r="B7366" s="6" t="s">
        <v>99</v>
      </c>
      <c r="C7366" s="6" t="s">
        <v>1404</v>
      </c>
      <c r="D7366" s="6" t="s">
        <v>14</v>
      </c>
      <c r="E7366" s="6" t="s">
        <v>17</v>
      </c>
      <c r="F7366" s="6" t="s">
        <v>59</v>
      </c>
      <c r="G7366" s="6" t="s">
        <v>415</v>
      </c>
      <c r="H7366" s="6" t="s">
        <v>1405</v>
      </c>
      <c r="I7366" s="6" t="s">
        <v>31</v>
      </c>
      <c r="J7366" s="6">
        <v>16.567782000000001</v>
      </c>
      <c r="K7366" s="6">
        <v>-97.651000999999994</v>
      </c>
      <c r="L7366" s="6" t="str">
        <f>HYPERLINK("https://maps.google.com/?q=16.567782,-97.651000999999994", "🔗 Ver Mapa")</f>
        <v>🔗 Ver Mapa</v>
      </c>
    </row>
    <row r="7367" spans="1:12" ht="43.5" x14ac:dyDescent="0.35">
      <c r="A7367" s="5" t="s">
        <v>98</v>
      </c>
      <c r="B7367" s="5" t="s">
        <v>99</v>
      </c>
      <c r="C7367" s="5" t="s">
        <v>1404</v>
      </c>
      <c r="D7367" s="5" t="s">
        <v>14</v>
      </c>
      <c r="E7367" s="5" t="s">
        <v>17</v>
      </c>
      <c r="F7367" s="5" t="s">
        <v>59</v>
      </c>
      <c r="G7367" s="5" t="s">
        <v>415</v>
      </c>
      <c r="H7367" s="5" t="s">
        <v>1405</v>
      </c>
      <c r="I7367" s="5" t="s">
        <v>31</v>
      </c>
      <c r="J7367" s="5">
        <v>16.567861000000001</v>
      </c>
      <c r="K7367" s="5">
        <v>-97.651099000000002</v>
      </c>
      <c r="L7367" s="5" t="str">
        <f>HYPERLINK("https://maps.google.com/?q=16.567861,-97.651099000000002", "🔗 Ver Mapa")</f>
        <v>🔗 Ver Mapa</v>
      </c>
    </row>
    <row r="7368" spans="1:12" ht="43.5" x14ac:dyDescent="0.35">
      <c r="A7368" s="6" t="s">
        <v>98</v>
      </c>
      <c r="B7368" s="6" t="s">
        <v>99</v>
      </c>
      <c r="C7368" s="6" t="s">
        <v>1404</v>
      </c>
      <c r="D7368" s="6" t="s">
        <v>14</v>
      </c>
      <c r="E7368" s="6" t="s">
        <v>17</v>
      </c>
      <c r="F7368" s="6" t="s">
        <v>59</v>
      </c>
      <c r="G7368" s="6" t="s">
        <v>415</v>
      </c>
      <c r="H7368" s="6" t="s">
        <v>1405</v>
      </c>
      <c r="I7368" s="6" t="s">
        <v>31</v>
      </c>
      <c r="J7368" s="6">
        <v>16.568034000000001</v>
      </c>
      <c r="K7368" s="6">
        <v>-97.656076999999996</v>
      </c>
      <c r="L7368" s="6" t="str">
        <f>HYPERLINK("https://maps.google.com/?q=16.568034,-97.656076999999996", "🔗 Ver Mapa")</f>
        <v>🔗 Ver Mapa</v>
      </c>
    </row>
    <row r="7369" spans="1:12" ht="43.5" x14ac:dyDescent="0.35">
      <c r="A7369" s="5" t="s">
        <v>98</v>
      </c>
      <c r="B7369" s="5" t="s">
        <v>99</v>
      </c>
      <c r="C7369" s="5" t="s">
        <v>1404</v>
      </c>
      <c r="D7369" s="5" t="s">
        <v>14</v>
      </c>
      <c r="E7369" s="5" t="s">
        <v>17</v>
      </c>
      <c r="F7369" s="5" t="s">
        <v>59</v>
      </c>
      <c r="G7369" s="5" t="s">
        <v>415</v>
      </c>
      <c r="H7369" s="5" t="s">
        <v>1405</v>
      </c>
      <c r="I7369" s="5" t="s">
        <v>31</v>
      </c>
      <c r="J7369" s="5">
        <v>16.568207999999998</v>
      </c>
      <c r="K7369" s="5">
        <v>-97.655573000000004</v>
      </c>
      <c r="L7369" s="5" t="str">
        <f>HYPERLINK("https://maps.google.com/?q=16.568208,-97.655573000000004", "🔗 Ver Mapa")</f>
        <v>🔗 Ver Mapa</v>
      </c>
    </row>
    <row r="7370" spans="1:12" ht="43.5" x14ac:dyDescent="0.35">
      <c r="A7370" s="6" t="s">
        <v>98</v>
      </c>
      <c r="B7370" s="6" t="s">
        <v>99</v>
      </c>
      <c r="C7370" s="6" t="s">
        <v>1404</v>
      </c>
      <c r="D7370" s="6" t="s">
        <v>14</v>
      </c>
      <c r="E7370" s="6" t="s">
        <v>17</v>
      </c>
      <c r="F7370" s="6" t="s">
        <v>59</v>
      </c>
      <c r="G7370" s="6" t="s">
        <v>415</v>
      </c>
      <c r="H7370" s="6" t="s">
        <v>1405</v>
      </c>
      <c r="I7370" s="6" t="s">
        <v>31</v>
      </c>
      <c r="J7370" s="6">
        <v>16.568287999999999</v>
      </c>
      <c r="K7370" s="6">
        <v>-97.655551000000003</v>
      </c>
      <c r="L7370" s="6" t="str">
        <f>HYPERLINK("https://maps.google.com/?q=16.568288,-97.655551000000003", "🔗 Ver Mapa")</f>
        <v>🔗 Ver Mapa</v>
      </c>
    </row>
    <row r="7371" spans="1:12" ht="58" x14ac:dyDescent="0.35">
      <c r="A7371" s="5" t="s">
        <v>98</v>
      </c>
      <c r="B7371" s="5" t="s">
        <v>99</v>
      </c>
      <c r="C7371" s="5" t="s">
        <v>1406</v>
      </c>
      <c r="D7371" s="5" t="s">
        <v>14</v>
      </c>
      <c r="E7371" s="5" t="s">
        <v>16</v>
      </c>
      <c r="F7371" s="5" t="s">
        <v>19</v>
      </c>
      <c r="G7371" s="5" t="s">
        <v>1348</v>
      </c>
      <c r="H7371" s="5" t="s">
        <v>1349</v>
      </c>
      <c r="I7371" s="5" t="s">
        <v>31</v>
      </c>
      <c r="J7371" s="5">
        <v>17.036558609745999</v>
      </c>
      <c r="K7371" s="5">
        <v>-97.292524493968997</v>
      </c>
      <c r="L7371" s="5" t="str">
        <f>HYPERLINK("https://maps.google.com/?q=17.0365586097456,-97.292524493969395", "🔗 Ver Mapa")</f>
        <v>🔗 Ver Mapa</v>
      </c>
    </row>
    <row r="7372" spans="1:12" ht="58" x14ac:dyDescent="0.35">
      <c r="A7372" s="6" t="s">
        <v>98</v>
      </c>
      <c r="B7372" s="6" t="s">
        <v>99</v>
      </c>
      <c r="C7372" s="6" t="s">
        <v>1406</v>
      </c>
      <c r="D7372" s="6" t="s">
        <v>14</v>
      </c>
      <c r="E7372" s="6" t="s">
        <v>16</v>
      </c>
      <c r="F7372" s="6" t="s">
        <v>19</v>
      </c>
      <c r="G7372" s="6" t="s">
        <v>1348</v>
      </c>
      <c r="H7372" s="6" t="s">
        <v>1349</v>
      </c>
      <c r="I7372" s="6" t="s">
        <v>31</v>
      </c>
      <c r="J7372" s="6">
        <v>17.036658625544</v>
      </c>
      <c r="K7372" s="6">
        <v>-97.292759187258</v>
      </c>
      <c r="L7372" s="6" t="str">
        <f>HYPERLINK("https://maps.google.com/?q=17.0366586255441,-97.292759187258099", "🔗 Ver Mapa")</f>
        <v>🔗 Ver Mapa</v>
      </c>
    </row>
    <row r="7373" spans="1:12" ht="58" x14ac:dyDescent="0.35">
      <c r="A7373" s="5" t="s">
        <v>98</v>
      </c>
      <c r="B7373" s="5" t="s">
        <v>99</v>
      </c>
      <c r="C7373" s="5" t="s">
        <v>1406</v>
      </c>
      <c r="D7373" s="5" t="s">
        <v>14</v>
      </c>
      <c r="E7373" s="5" t="s">
        <v>16</v>
      </c>
      <c r="F7373" s="5" t="s">
        <v>19</v>
      </c>
      <c r="G7373" s="5" t="s">
        <v>1348</v>
      </c>
      <c r="H7373" s="5" t="s">
        <v>1349</v>
      </c>
      <c r="I7373" s="5" t="s">
        <v>31</v>
      </c>
      <c r="J7373" s="5">
        <v>17.036808985309001</v>
      </c>
      <c r="K7373" s="5">
        <v>-97.299421872523993</v>
      </c>
      <c r="L7373" s="5" t="str">
        <f>HYPERLINK("https://maps.google.com/?q=17.036808985309,-97.299421872523595", "🔗 Ver Mapa")</f>
        <v>🔗 Ver Mapa</v>
      </c>
    </row>
    <row r="7374" spans="1:12" ht="58" x14ac:dyDescent="0.35">
      <c r="A7374" s="6" t="s">
        <v>98</v>
      </c>
      <c r="B7374" s="6" t="s">
        <v>99</v>
      </c>
      <c r="C7374" s="6" t="s">
        <v>1406</v>
      </c>
      <c r="D7374" s="6" t="s">
        <v>14</v>
      </c>
      <c r="E7374" s="6" t="s">
        <v>16</v>
      </c>
      <c r="F7374" s="6" t="s">
        <v>19</v>
      </c>
      <c r="G7374" s="6" t="s">
        <v>1348</v>
      </c>
      <c r="H7374" s="6" t="s">
        <v>1349</v>
      </c>
      <c r="I7374" s="6" t="s">
        <v>31</v>
      </c>
      <c r="J7374" s="6">
        <v>17.037002122360001</v>
      </c>
      <c r="K7374" s="6">
        <v>-97.297662147362999</v>
      </c>
      <c r="L7374" s="6" t="str">
        <f>HYPERLINK("https://maps.google.com/?q=17.0370021223598,-97.297662147362701", "🔗 Ver Mapa")</f>
        <v>🔗 Ver Mapa</v>
      </c>
    </row>
    <row r="7375" spans="1:12" ht="58" x14ac:dyDescent="0.35">
      <c r="A7375" s="5" t="s">
        <v>98</v>
      </c>
      <c r="B7375" s="5" t="s">
        <v>99</v>
      </c>
      <c r="C7375" s="5" t="s">
        <v>1406</v>
      </c>
      <c r="D7375" s="5" t="s">
        <v>14</v>
      </c>
      <c r="E7375" s="5" t="s">
        <v>16</v>
      </c>
      <c r="F7375" s="5" t="s">
        <v>19</v>
      </c>
      <c r="G7375" s="5" t="s">
        <v>1348</v>
      </c>
      <c r="H7375" s="5" t="s">
        <v>1349</v>
      </c>
      <c r="I7375" s="5" t="s">
        <v>31</v>
      </c>
      <c r="J7375" s="5">
        <v>17.037231922726999</v>
      </c>
      <c r="K7375" s="5">
        <v>-97.296015271027002</v>
      </c>
      <c r="L7375" s="5" t="str">
        <f>HYPERLINK("https://maps.google.com/?q=17.0372319227272,-97.2960152710275", "🔗 Ver Mapa")</f>
        <v>🔗 Ver Mapa</v>
      </c>
    </row>
    <row r="7376" spans="1:12" ht="58" x14ac:dyDescent="0.35">
      <c r="A7376" s="6" t="s">
        <v>98</v>
      </c>
      <c r="B7376" s="6" t="s">
        <v>99</v>
      </c>
      <c r="C7376" s="6" t="s">
        <v>1406</v>
      </c>
      <c r="D7376" s="6" t="s">
        <v>14</v>
      </c>
      <c r="E7376" s="6" t="s">
        <v>16</v>
      </c>
      <c r="F7376" s="6" t="s">
        <v>19</v>
      </c>
      <c r="G7376" s="6" t="s">
        <v>1348</v>
      </c>
      <c r="H7376" s="6" t="s">
        <v>1349</v>
      </c>
      <c r="I7376" s="6" t="s">
        <v>31</v>
      </c>
      <c r="J7376" s="6">
        <v>17.037666800756998</v>
      </c>
      <c r="K7376" s="6">
        <v>-97.293911304988001</v>
      </c>
      <c r="L7376" s="6" t="str">
        <f>HYPERLINK("https://maps.google.com/?q=17.0376668007571,-97.293911304988498", "🔗 Ver Mapa")</f>
        <v>🔗 Ver Mapa</v>
      </c>
    </row>
    <row r="7377" spans="1:12" ht="58" x14ac:dyDescent="0.35">
      <c r="A7377" s="5" t="s">
        <v>98</v>
      </c>
      <c r="B7377" s="5" t="s">
        <v>99</v>
      </c>
      <c r="C7377" s="5" t="s">
        <v>1406</v>
      </c>
      <c r="D7377" s="5" t="s">
        <v>14</v>
      </c>
      <c r="E7377" s="5" t="s">
        <v>16</v>
      </c>
      <c r="F7377" s="5" t="s">
        <v>19</v>
      </c>
      <c r="G7377" s="5" t="s">
        <v>1348</v>
      </c>
      <c r="H7377" s="5" t="s">
        <v>1349</v>
      </c>
      <c r="I7377" s="5" t="s">
        <v>31</v>
      </c>
      <c r="J7377" s="5">
        <v>17.038908179524</v>
      </c>
      <c r="K7377" s="5">
        <v>-97.301917969529001</v>
      </c>
      <c r="L7377" s="5" t="str">
        <f>HYPERLINK("https://maps.google.com/?q=17.0389081795239,-97.301917969528901", "🔗 Ver Mapa")</f>
        <v>🔗 Ver Mapa</v>
      </c>
    </row>
    <row r="7378" spans="1:12" ht="58" x14ac:dyDescent="0.35">
      <c r="A7378" s="6" t="s">
        <v>98</v>
      </c>
      <c r="B7378" s="6" t="s">
        <v>99</v>
      </c>
      <c r="C7378" s="6" t="s">
        <v>1406</v>
      </c>
      <c r="D7378" s="6" t="s">
        <v>14</v>
      </c>
      <c r="E7378" s="6" t="s">
        <v>16</v>
      </c>
      <c r="F7378" s="6" t="s">
        <v>19</v>
      </c>
      <c r="G7378" s="6" t="s">
        <v>1348</v>
      </c>
      <c r="H7378" s="6" t="s">
        <v>1349</v>
      </c>
      <c r="I7378" s="6" t="s">
        <v>31</v>
      </c>
      <c r="J7378" s="6">
        <v>17.03950565517</v>
      </c>
      <c r="K7378" s="6">
        <v>-97.303472929514001</v>
      </c>
      <c r="L7378" s="6" t="str">
        <f>HYPERLINK("https://maps.google.com/?q=17.0395056551698,-97.303472929514101", "🔗 Ver Mapa")</f>
        <v>🔗 Ver Mapa</v>
      </c>
    </row>
    <row r="7379" spans="1:12" ht="58" x14ac:dyDescent="0.35">
      <c r="A7379" s="5" t="s">
        <v>98</v>
      </c>
      <c r="B7379" s="5" t="s">
        <v>99</v>
      </c>
      <c r="C7379" s="5" t="s">
        <v>1406</v>
      </c>
      <c r="D7379" s="5" t="s">
        <v>14</v>
      </c>
      <c r="E7379" s="5" t="s">
        <v>16</v>
      </c>
      <c r="F7379" s="5" t="s">
        <v>19</v>
      </c>
      <c r="G7379" s="5" t="s">
        <v>1348</v>
      </c>
      <c r="H7379" s="5" t="s">
        <v>1349</v>
      </c>
      <c r="I7379" s="5" t="s">
        <v>31</v>
      </c>
      <c r="J7379" s="5">
        <v>17.040381222943001</v>
      </c>
      <c r="K7379" s="5">
        <v>-97.295226451839994</v>
      </c>
      <c r="L7379" s="5" t="str">
        <f>HYPERLINK("https://maps.google.com/?q=17.0403812229426,-97.295226451840406", "🔗 Ver Mapa")</f>
        <v>🔗 Ver Mapa</v>
      </c>
    </row>
    <row r="7380" spans="1:12" ht="58" x14ac:dyDescent="0.35">
      <c r="A7380" s="6" t="s">
        <v>98</v>
      </c>
      <c r="B7380" s="6" t="s">
        <v>99</v>
      </c>
      <c r="C7380" s="6" t="s">
        <v>1406</v>
      </c>
      <c r="D7380" s="6" t="s">
        <v>14</v>
      </c>
      <c r="E7380" s="6" t="s">
        <v>16</v>
      </c>
      <c r="F7380" s="6" t="s">
        <v>19</v>
      </c>
      <c r="G7380" s="6" t="s">
        <v>1348</v>
      </c>
      <c r="H7380" s="6" t="s">
        <v>1349</v>
      </c>
      <c r="I7380" s="6" t="s">
        <v>31</v>
      </c>
      <c r="J7380" s="6">
        <v>17.040700762393001</v>
      </c>
      <c r="K7380" s="6">
        <v>-97.294802743030004</v>
      </c>
      <c r="L7380" s="6" t="str">
        <f>HYPERLINK("https://maps.google.com/?q=17.0407007623933,-97.294802743030004", "🔗 Ver Mapa")</f>
        <v>🔗 Ver Mapa</v>
      </c>
    </row>
    <row r="7381" spans="1:12" ht="58" x14ac:dyDescent="0.35">
      <c r="A7381" s="5" t="s">
        <v>98</v>
      </c>
      <c r="B7381" s="5" t="s">
        <v>99</v>
      </c>
      <c r="C7381" s="5" t="s">
        <v>1406</v>
      </c>
      <c r="D7381" s="5" t="s">
        <v>14</v>
      </c>
      <c r="E7381" s="5" t="s">
        <v>16</v>
      </c>
      <c r="F7381" s="5" t="s">
        <v>19</v>
      </c>
      <c r="G7381" s="5" t="s">
        <v>1348</v>
      </c>
      <c r="H7381" s="5" t="s">
        <v>1349</v>
      </c>
      <c r="I7381" s="5" t="s">
        <v>31</v>
      </c>
      <c r="J7381" s="5">
        <v>17.040822592209</v>
      </c>
      <c r="K7381" s="5">
        <v>-97.298414473977999</v>
      </c>
      <c r="L7381" s="5" t="str">
        <f>HYPERLINK("https://maps.google.com/?q=17.0408225922086,-97.298414473978397", "🔗 Ver Mapa")</f>
        <v>🔗 Ver Mapa</v>
      </c>
    </row>
    <row r="7382" spans="1:12" ht="58" x14ac:dyDescent="0.35">
      <c r="A7382" s="6" t="s">
        <v>98</v>
      </c>
      <c r="B7382" s="6" t="s">
        <v>99</v>
      </c>
      <c r="C7382" s="6" t="s">
        <v>1406</v>
      </c>
      <c r="D7382" s="6" t="s">
        <v>14</v>
      </c>
      <c r="E7382" s="6" t="s">
        <v>16</v>
      </c>
      <c r="F7382" s="6" t="s">
        <v>19</v>
      </c>
      <c r="G7382" s="6" t="s">
        <v>1348</v>
      </c>
      <c r="H7382" s="6" t="s">
        <v>1349</v>
      </c>
      <c r="I7382" s="6" t="s">
        <v>31</v>
      </c>
      <c r="J7382" s="6">
        <v>17.041029452410999</v>
      </c>
      <c r="K7382" s="6">
        <v>-97.306059188556006</v>
      </c>
      <c r="L7382" s="6" t="str">
        <f>HYPERLINK("https://maps.google.com/?q=17.0410294524113,-97.306059188556304", "🔗 Ver Mapa")</f>
        <v>🔗 Ver Mapa</v>
      </c>
    </row>
    <row r="7383" spans="1:12" ht="58" x14ac:dyDescent="0.35">
      <c r="A7383" s="5" t="s">
        <v>98</v>
      </c>
      <c r="B7383" s="5" t="s">
        <v>99</v>
      </c>
      <c r="C7383" s="5" t="s">
        <v>1406</v>
      </c>
      <c r="D7383" s="5" t="s">
        <v>14</v>
      </c>
      <c r="E7383" s="5" t="s">
        <v>16</v>
      </c>
      <c r="F7383" s="5" t="s">
        <v>19</v>
      </c>
      <c r="G7383" s="5" t="s">
        <v>1348</v>
      </c>
      <c r="H7383" s="5" t="s">
        <v>1349</v>
      </c>
      <c r="I7383" s="5" t="s">
        <v>31</v>
      </c>
      <c r="J7383" s="5">
        <v>17.041387164696999</v>
      </c>
      <c r="K7383" s="5">
        <v>-97.296314574077996</v>
      </c>
      <c r="L7383" s="5" t="str">
        <f>HYPERLINK("https://maps.google.com/?q=17.0413871646971,-97.296314574077996", "🔗 Ver Mapa")</f>
        <v>🔗 Ver Mapa</v>
      </c>
    </row>
    <row r="7384" spans="1:12" ht="58" x14ac:dyDescent="0.35">
      <c r="A7384" s="6" t="s">
        <v>98</v>
      </c>
      <c r="B7384" s="6" t="s">
        <v>99</v>
      </c>
      <c r="C7384" s="6" t="s">
        <v>1406</v>
      </c>
      <c r="D7384" s="6" t="s">
        <v>14</v>
      </c>
      <c r="E7384" s="6" t="s">
        <v>16</v>
      </c>
      <c r="F7384" s="6" t="s">
        <v>19</v>
      </c>
      <c r="G7384" s="6" t="s">
        <v>1348</v>
      </c>
      <c r="H7384" s="6" t="s">
        <v>1349</v>
      </c>
      <c r="I7384" s="6" t="s">
        <v>31</v>
      </c>
      <c r="J7384" s="6">
        <v>17.04265287115</v>
      </c>
      <c r="K7384" s="6">
        <v>-97.301454093252005</v>
      </c>
      <c r="L7384" s="6" t="str">
        <f>HYPERLINK("https://maps.google.com/?q=17.0426528711503,-97.301454093252403", "🔗 Ver Mapa")</f>
        <v>🔗 Ver Mapa</v>
      </c>
    </row>
    <row r="7385" spans="1:12" ht="58" x14ac:dyDescent="0.35">
      <c r="A7385" s="5" t="s">
        <v>98</v>
      </c>
      <c r="B7385" s="5" t="s">
        <v>99</v>
      </c>
      <c r="C7385" s="5" t="s">
        <v>1406</v>
      </c>
      <c r="D7385" s="5" t="s">
        <v>14</v>
      </c>
      <c r="E7385" s="5" t="s">
        <v>16</v>
      </c>
      <c r="F7385" s="5" t="s">
        <v>19</v>
      </c>
      <c r="G7385" s="5" t="s">
        <v>1348</v>
      </c>
      <c r="H7385" s="5" t="s">
        <v>1349</v>
      </c>
      <c r="I7385" s="5" t="s">
        <v>31</v>
      </c>
      <c r="J7385" s="5">
        <v>17.042757044043</v>
      </c>
      <c r="K7385" s="5">
        <v>-97.297610811981002</v>
      </c>
      <c r="L7385" s="5" t="str">
        <f>HYPERLINK("https://maps.google.com/?q=17.0427570440428,-97.297610811981201", "🔗 Ver Mapa")</f>
        <v>🔗 Ver Mapa</v>
      </c>
    </row>
    <row r="7386" spans="1:12" ht="58" x14ac:dyDescent="0.35">
      <c r="A7386" s="6" t="s">
        <v>98</v>
      </c>
      <c r="B7386" s="6" t="s">
        <v>99</v>
      </c>
      <c r="C7386" s="6" t="s">
        <v>1406</v>
      </c>
      <c r="D7386" s="6" t="s">
        <v>14</v>
      </c>
      <c r="E7386" s="6" t="s">
        <v>16</v>
      </c>
      <c r="F7386" s="6" t="s">
        <v>19</v>
      </c>
      <c r="G7386" s="6" t="s">
        <v>1348</v>
      </c>
      <c r="H7386" s="6" t="s">
        <v>1349</v>
      </c>
      <c r="I7386" s="6" t="s">
        <v>31</v>
      </c>
      <c r="J7386" s="6">
        <v>17.043279887884999</v>
      </c>
      <c r="K7386" s="6">
        <v>-97.297982700039</v>
      </c>
      <c r="L7386" s="6" t="str">
        <f>HYPERLINK("https://maps.google.com/?q=17.0432798878849,-97.297982700038602", "🔗 Ver Mapa")</f>
        <v>🔗 Ver Mapa</v>
      </c>
    </row>
    <row r="7387" spans="1:12" ht="58" x14ac:dyDescent="0.35">
      <c r="A7387" s="5" t="s">
        <v>98</v>
      </c>
      <c r="B7387" s="5" t="s">
        <v>99</v>
      </c>
      <c r="C7387" s="5" t="s">
        <v>1406</v>
      </c>
      <c r="D7387" s="5" t="s">
        <v>14</v>
      </c>
      <c r="E7387" s="5" t="s">
        <v>16</v>
      </c>
      <c r="F7387" s="5" t="s">
        <v>19</v>
      </c>
      <c r="G7387" s="5" t="s">
        <v>1348</v>
      </c>
      <c r="H7387" s="5" t="s">
        <v>1349</v>
      </c>
      <c r="I7387" s="5" t="s">
        <v>31</v>
      </c>
      <c r="J7387" s="5">
        <v>17.043577401903999</v>
      </c>
      <c r="K7387" s="5">
        <v>-97.297597856278003</v>
      </c>
      <c r="L7387" s="5" t="str">
        <f>HYPERLINK("https://maps.google.com/?q=17.0435774019042,-97.297597856278401", "🔗 Ver Mapa")</f>
        <v>🔗 Ver Mapa</v>
      </c>
    </row>
    <row r="7388" spans="1:12" ht="58" x14ac:dyDescent="0.35">
      <c r="A7388" s="6" t="s">
        <v>98</v>
      </c>
      <c r="B7388" s="6" t="s">
        <v>99</v>
      </c>
      <c r="C7388" s="6" t="s">
        <v>1406</v>
      </c>
      <c r="D7388" s="6" t="s">
        <v>14</v>
      </c>
      <c r="E7388" s="6" t="s">
        <v>16</v>
      </c>
      <c r="F7388" s="6" t="s">
        <v>19</v>
      </c>
      <c r="G7388" s="6" t="s">
        <v>1348</v>
      </c>
      <c r="H7388" s="6" t="s">
        <v>1349</v>
      </c>
      <c r="I7388" s="6" t="s">
        <v>31</v>
      </c>
      <c r="J7388" s="6">
        <v>17.044560125225001</v>
      </c>
      <c r="K7388" s="6">
        <v>-97.298814113828996</v>
      </c>
      <c r="L7388" s="6" t="str">
        <f>HYPERLINK("https://maps.google.com/?q=17.0445601252254,-97.298814113828598", "🔗 Ver Mapa")</f>
        <v>🔗 Ver Mapa</v>
      </c>
    </row>
    <row r="7389" spans="1:12" ht="58" x14ac:dyDescent="0.35">
      <c r="A7389" s="5" t="s">
        <v>98</v>
      </c>
      <c r="B7389" s="5" t="s">
        <v>99</v>
      </c>
      <c r="C7389" s="5" t="s">
        <v>1406</v>
      </c>
      <c r="D7389" s="5" t="s">
        <v>14</v>
      </c>
      <c r="E7389" s="5" t="s">
        <v>16</v>
      </c>
      <c r="F7389" s="5" t="s">
        <v>19</v>
      </c>
      <c r="G7389" s="5" t="s">
        <v>1348</v>
      </c>
      <c r="H7389" s="5" t="s">
        <v>1349</v>
      </c>
      <c r="I7389" s="5" t="s">
        <v>31</v>
      </c>
      <c r="J7389" s="5">
        <v>17.045464584483</v>
      </c>
      <c r="K7389" s="5">
        <v>-97.304039857177003</v>
      </c>
      <c r="L7389" s="5" t="str">
        <f>HYPERLINK("https://maps.google.com/?q=17.0454645844832,-97.304039857176605", "🔗 Ver Mapa")</f>
        <v>🔗 Ver Mapa</v>
      </c>
    </row>
    <row r="7390" spans="1:12" ht="58" x14ac:dyDescent="0.35">
      <c r="A7390" s="6" t="s">
        <v>98</v>
      </c>
      <c r="B7390" s="6" t="s">
        <v>99</v>
      </c>
      <c r="C7390" s="6" t="s">
        <v>1406</v>
      </c>
      <c r="D7390" s="6" t="s">
        <v>14</v>
      </c>
      <c r="E7390" s="6" t="s">
        <v>16</v>
      </c>
      <c r="F7390" s="6" t="s">
        <v>19</v>
      </c>
      <c r="G7390" s="6" t="s">
        <v>1348</v>
      </c>
      <c r="H7390" s="6" t="s">
        <v>1349</v>
      </c>
      <c r="I7390" s="6" t="s">
        <v>31</v>
      </c>
      <c r="J7390" s="6">
        <v>17.045633716251999</v>
      </c>
      <c r="K7390" s="6">
        <v>-97.298148151958998</v>
      </c>
      <c r="L7390" s="6" t="str">
        <f>HYPERLINK("https://maps.google.com/?q=17.0456337162518,-97.298148151958699", "🔗 Ver Mapa")</f>
        <v>🔗 Ver Mapa</v>
      </c>
    </row>
    <row r="7391" spans="1:12" ht="43.5" x14ac:dyDescent="0.35">
      <c r="A7391" s="5" t="s">
        <v>98</v>
      </c>
      <c r="B7391" s="5" t="s">
        <v>99</v>
      </c>
      <c r="C7391" s="5" t="s">
        <v>1407</v>
      </c>
      <c r="D7391" s="5" t="s">
        <v>14</v>
      </c>
      <c r="E7391" s="5" t="s">
        <v>52</v>
      </c>
      <c r="F7391" s="5" t="s">
        <v>83</v>
      </c>
      <c r="G7391" s="5" t="s">
        <v>669</v>
      </c>
      <c r="H7391" s="5" t="s">
        <v>1408</v>
      </c>
      <c r="I7391" s="5" t="s">
        <v>31</v>
      </c>
      <c r="J7391" s="5">
        <v>17.09966</v>
      </c>
      <c r="K7391" s="5">
        <v>-97.002105</v>
      </c>
      <c r="L7391" s="5" t="str">
        <f>HYPERLINK("https://maps.google.com/?q=17.09966,-97.002105", "🔗 Ver Mapa")</f>
        <v>🔗 Ver Mapa</v>
      </c>
    </row>
    <row r="7392" spans="1:12" ht="43.5" x14ac:dyDescent="0.35">
      <c r="A7392" s="6" t="s">
        <v>98</v>
      </c>
      <c r="B7392" s="6" t="s">
        <v>99</v>
      </c>
      <c r="C7392" s="6" t="s">
        <v>1407</v>
      </c>
      <c r="D7392" s="6" t="s">
        <v>14</v>
      </c>
      <c r="E7392" s="6" t="s">
        <v>52</v>
      </c>
      <c r="F7392" s="6" t="s">
        <v>83</v>
      </c>
      <c r="G7392" s="6" t="s">
        <v>669</v>
      </c>
      <c r="H7392" s="6" t="s">
        <v>1408</v>
      </c>
      <c r="I7392" s="6" t="s">
        <v>31</v>
      </c>
      <c r="J7392" s="6">
        <v>17.101483000000002</v>
      </c>
      <c r="K7392" s="6">
        <v>-97.002503000000004</v>
      </c>
      <c r="L7392" s="6" t="str">
        <f>HYPERLINK("https://maps.google.com/?q=17.101483,-97.002503000000004", "🔗 Ver Mapa")</f>
        <v>🔗 Ver Mapa</v>
      </c>
    </row>
    <row r="7393" spans="1:12" ht="43.5" x14ac:dyDescent="0.35">
      <c r="A7393" s="5" t="s">
        <v>98</v>
      </c>
      <c r="B7393" s="5" t="s">
        <v>99</v>
      </c>
      <c r="C7393" s="5" t="s">
        <v>1407</v>
      </c>
      <c r="D7393" s="5" t="s">
        <v>14</v>
      </c>
      <c r="E7393" s="5" t="s">
        <v>52</v>
      </c>
      <c r="F7393" s="5" t="s">
        <v>83</v>
      </c>
      <c r="G7393" s="5" t="s">
        <v>669</v>
      </c>
      <c r="H7393" s="5" t="s">
        <v>1408</v>
      </c>
      <c r="I7393" s="5" t="s">
        <v>31</v>
      </c>
      <c r="J7393" s="5">
        <v>17.101987000000001</v>
      </c>
      <c r="K7393" s="5">
        <v>-97.001631000000003</v>
      </c>
      <c r="L7393" s="5" t="str">
        <f>HYPERLINK("https://maps.google.com/?q=17.101987,-97.001631000000003", "🔗 Ver Mapa")</f>
        <v>🔗 Ver Mapa</v>
      </c>
    </row>
    <row r="7394" spans="1:12" ht="43.5" x14ac:dyDescent="0.35">
      <c r="A7394" s="6" t="s">
        <v>98</v>
      </c>
      <c r="B7394" s="6" t="s">
        <v>99</v>
      </c>
      <c r="C7394" s="6" t="s">
        <v>1407</v>
      </c>
      <c r="D7394" s="6" t="s">
        <v>14</v>
      </c>
      <c r="E7394" s="6" t="s">
        <v>52</v>
      </c>
      <c r="F7394" s="6" t="s">
        <v>83</v>
      </c>
      <c r="G7394" s="6" t="s">
        <v>669</v>
      </c>
      <c r="H7394" s="6" t="s">
        <v>1408</v>
      </c>
      <c r="I7394" s="6" t="s">
        <v>31</v>
      </c>
      <c r="J7394" s="6">
        <v>17.103552000000001</v>
      </c>
      <c r="K7394" s="6">
        <v>-97.001615000000001</v>
      </c>
      <c r="L7394" s="6" t="str">
        <f>HYPERLINK("https://maps.google.com/?q=17.103552,-97.001615000000001", "🔗 Ver Mapa")</f>
        <v>🔗 Ver Mapa</v>
      </c>
    </row>
    <row r="7395" spans="1:12" ht="43.5" x14ac:dyDescent="0.35">
      <c r="A7395" s="5" t="s">
        <v>98</v>
      </c>
      <c r="B7395" s="5" t="s">
        <v>99</v>
      </c>
      <c r="C7395" s="5" t="s">
        <v>1407</v>
      </c>
      <c r="D7395" s="5" t="s">
        <v>14</v>
      </c>
      <c r="E7395" s="5" t="s">
        <v>52</v>
      </c>
      <c r="F7395" s="5" t="s">
        <v>83</v>
      </c>
      <c r="G7395" s="5" t="s">
        <v>669</v>
      </c>
      <c r="H7395" s="5" t="s">
        <v>1408</v>
      </c>
      <c r="I7395" s="5" t="s">
        <v>31</v>
      </c>
      <c r="J7395" s="5">
        <v>17.103912999999999</v>
      </c>
      <c r="K7395" s="5">
        <v>-97.002426</v>
      </c>
      <c r="L7395" s="5" t="str">
        <f>HYPERLINK("https://maps.google.com/?q=17.103913,-97.002426", "🔗 Ver Mapa")</f>
        <v>🔗 Ver Mapa</v>
      </c>
    </row>
    <row r="7396" spans="1:12" ht="43.5" x14ac:dyDescent="0.35">
      <c r="A7396" s="6" t="s">
        <v>98</v>
      </c>
      <c r="B7396" s="6" t="s">
        <v>99</v>
      </c>
      <c r="C7396" s="6" t="s">
        <v>1407</v>
      </c>
      <c r="D7396" s="6" t="s">
        <v>14</v>
      </c>
      <c r="E7396" s="6" t="s">
        <v>52</v>
      </c>
      <c r="F7396" s="6" t="s">
        <v>83</v>
      </c>
      <c r="G7396" s="6" t="s">
        <v>669</v>
      </c>
      <c r="H7396" s="6" t="s">
        <v>1408</v>
      </c>
      <c r="I7396" s="6" t="s">
        <v>31</v>
      </c>
      <c r="J7396" s="6">
        <v>17.104441000000001</v>
      </c>
      <c r="K7396" s="6">
        <v>-97.000682999999995</v>
      </c>
      <c r="L7396" s="6" t="str">
        <f>HYPERLINK("https://maps.google.com/?q=17.104441,-97.000682999999995", "🔗 Ver Mapa")</f>
        <v>🔗 Ver Mapa</v>
      </c>
    </row>
    <row r="7397" spans="1:12" ht="43.5" x14ac:dyDescent="0.35">
      <c r="A7397" s="5" t="s">
        <v>98</v>
      </c>
      <c r="B7397" s="5" t="s">
        <v>99</v>
      </c>
      <c r="C7397" s="5" t="s">
        <v>1407</v>
      </c>
      <c r="D7397" s="5" t="s">
        <v>14</v>
      </c>
      <c r="E7397" s="5" t="s">
        <v>52</v>
      </c>
      <c r="F7397" s="5" t="s">
        <v>83</v>
      </c>
      <c r="G7397" s="5" t="s">
        <v>669</v>
      </c>
      <c r="H7397" s="5" t="s">
        <v>1408</v>
      </c>
      <c r="I7397" s="5" t="s">
        <v>31</v>
      </c>
      <c r="J7397" s="5">
        <v>17.104845999999998</v>
      </c>
      <c r="K7397" s="5">
        <v>-97.001283000000001</v>
      </c>
      <c r="L7397" s="5" t="str">
        <f>HYPERLINK("https://maps.google.com/?q=17.104846,-97.001283000000001", "🔗 Ver Mapa")</f>
        <v>🔗 Ver Mapa</v>
      </c>
    </row>
    <row r="7398" spans="1:12" ht="43.5" x14ac:dyDescent="0.35">
      <c r="A7398" s="6" t="s">
        <v>98</v>
      </c>
      <c r="B7398" s="6" t="s">
        <v>99</v>
      </c>
      <c r="C7398" s="6" t="s">
        <v>1407</v>
      </c>
      <c r="D7398" s="6" t="s">
        <v>14</v>
      </c>
      <c r="E7398" s="6" t="s">
        <v>52</v>
      </c>
      <c r="F7398" s="6" t="s">
        <v>83</v>
      </c>
      <c r="G7398" s="6" t="s">
        <v>669</v>
      </c>
      <c r="H7398" s="6" t="s">
        <v>1408</v>
      </c>
      <c r="I7398" s="6" t="s">
        <v>31</v>
      </c>
      <c r="J7398" s="6">
        <v>17.106805000000001</v>
      </c>
      <c r="K7398" s="6">
        <v>-97.000806999999995</v>
      </c>
      <c r="L7398" s="6" t="str">
        <f>HYPERLINK("https://maps.google.com/?q=17.106805,-97.000806999999995", "🔗 Ver Mapa")</f>
        <v>🔗 Ver Mapa</v>
      </c>
    </row>
    <row r="7399" spans="1:12" ht="43.5" x14ac:dyDescent="0.35">
      <c r="A7399" s="5" t="s">
        <v>98</v>
      </c>
      <c r="B7399" s="5" t="s">
        <v>99</v>
      </c>
      <c r="C7399" s="5" t="s">
        <v>1407</v>
      </c>
      <c r="D7399" s="5" t="s">
        <v>14</v>
      </c>
      <c r="E7399" s="5" t="s">
        <v>52</v>
      </c>
      <c r="F7399" s="5" t="s">
        <v>83</v>
      </c>
      <c r="G7399" s="5" t="s">
        <v>669</v>
      </c>
      <c r="H7399" s="5" t="s">
        <v>1408</v>
      </c>
      <c r="I7399" s="5" t="s">
        <v>31</v>
      </c>
      <c r="J7399" s="5">
        <v>17.106850999999999</v>
      </c>
      <c r="K7399" s="5">
        <v>-97.002511999999996</v>
      </c>
      <c r="L7399" s="5" t="str">
        <f>HYPERLINK("https://maps.google.com/?q=17.106851,-97.002511999999996", "🔗 Ver Mapa")</f>
        <v>🔗 Ver Mapa</v>
      </c>
    </row>
    <row r="7400" spans="1:12" ht="43.5" x14ac:dyDescent="0.35">
      <c r="A7400" s="6" t="s">
        <v>98</v>
      </c>
      <c r="B7400" s="6" t="s">
        <v>99</v>
      </c>
      <c r="C7400" s="6" t="s">
        <v>1407</v>
      </c>
      <c r="D7400" s="6" t="s">
        <v>14</v>
      </c>
      <c r="E7400" s="6" t="s">
        <v>52</v>
      </c>
      <c r="F7400" s="6" t="s">
        <v>83</v>
      </c>
      <c r="G7400" s="6" t="s">
        <v>669</v>
      </c>
      <c r="H7400" s="6" t="s">
        <v>1408</v>
      </c>
      <c r="I7400" s="6" t="s">
        <v>31</v>
      </c>
      <c r="J7400" s="6">
        <v>17.107324999999999</v>
      </c>
      <c r="K7400" s="6">
        <v>-97.004086000000001</v>
      </c>
      <c r="L7400" s="6" t="str">
        <f>HYPERLINK("https://maps.google.com/?q=17.107325,-97.004086000000001", "🔗 Ver Mapa")</f>
        <v>🔗 Ver Mapa</v>
      </c>
    </row>
    <row r="7401" spans="1:12" ht="43.5" x14ac:dyDescent="0.35">
      <c r="A7401" s="5" t="s">
        <v>98</v>
      </c>
      <c r="B7401" s="5" t="s">
        <v>99</v>
      </c>
      <c r="C7401" s="5" t="s">
        <v>1409</v>
      </c>
      <c r="D7401" s="5" t="s">
        <v>14</v>
      </c>
      <c r="E7401" s="5" t="s">
        <v>52</v>
      </c>
      <c r="F7401" s="5" t="s">
        <v>83</v>
      </c>
      <c r="G7401" s="5" t="s">
        <v>669</v>
      </c>
      <c r="H7401" s="5" t="s">
        <v>1410</v>
      </c>
      <c r="I7401" s="5" t="s">
        <v>31</v>
      </c>
      <c r="J7401" s="5">
        <v>17.077385</v>
      </c>
      <c r="K7401" s="5">
        <v>-97.001174000000006</v>
      </c>
      <c r="L7401" s="5" t="str">
        <f>HYPERLINK("https://maps.google.com/?q=17.077385,-97.001174000000006", "🔗 Ver Mapa")</f>
        <v>🔗 Ver Mapa</v>
      </c>
    </row>
    <row r="7402" spans="1:12" ht="43.5" x14ac:dyDescent="0.35">
      <c r="A7402" s="6" t="s">
        <v>98</v>
      </c>
      <c r="B7402" s="6" t="s">
        <v>99</v>
      </c>
      <c r="C7402" s="6" t="s">
        <v>1409</v>
      </c>
      <c r="D7402" s="6" t="s">
        <v>14</v>
      </c>
      <c r="E7402" s="6" t="s">
        <v>52</v>
      </c>
      <c r="F7402" s="6" t="s">
        <v>83</v>
      </c>
      <c r="G7402" s="6" t="s">
        <v>669</v>
      </c>
      <c r="H7402" s="6" t="s">
        <v>1410</v>
      </c>
      <c r="I7402" s="6" t="s">
        <v>31</v>
      </c>
      <c r="J7402" s="6">
        <v>17.077862</v>
      </c>
      <c r="K7402" s="6">
        <v>-96.999178999999998</v>
      </c>
      <c r="L7402" s="6" t="str">
        <f>HYPERLINK("https://maps.google.com/?q=17.077862,-96.999178999999998", "🔗 Ver Mapa")</f>
        <v>🔗 Ver Mapa</v>
      </c>
    </row>
    <row r="7403" spans="1:12" ht="43.5" x14ac:dyDescent="0.35">
      <c r="A7403" s="5" t="s">
        <v>98</v>
      </c>
      <c r="B7403" s="5" t="s">
        <v>99</v>
      </c>
      <c r="C7403" s="5" t="s">
        <v>1409</v>
      </c>
      <c r="D7403" s="5" t="s">
        <v>14</v>
      </c>
      <c r="E7403" s="5" t="s">
        <v>52</v>
      </c>
      <c r="F7403" s="5" t="s">
        <v>83</v>
      </c>
      <c r="G7403" s="5" t="s">
        <v>669</v>
      </c>
      <c r="H7403" s="5" t="s">
        <v>1410</v>
      </c>
      <c r="I7403" s="5" t="s">
        <v>31</v>
      </c>
      <c r="J7403" s="5">
        <v>17.078150999999998</v>
      </c>
      <c r="K7403" s="5" t="s">
        <v>1411</v>
      </c>
      <c r="L7403" s="5" t="str">
        <f>HYPERLINK("https://maps.google.com/?q=17.078151, -97.001193", "🔗 Ver Mapa")</f>
        <v>🔗 Ver Mapa</v>
      </c>
    </row>
    <row r="7404" spans="1:12" ht="43.5" x14ac:dyDescent="0.35">
      <c r="A7404" s="6" t="s">
        <v>98</v>
      </c>
      <c r="B7404" s="6" t="s">
        <v>99</v>
      </c>
      <c r="C7404" s="6" t="s">
        <v>1409</v>
      </c>
      <c r="D7404" s="6" t="s">
        <v>14</v>
      </c>
      <c r="E7404" s="6" t="s">
        <v>52</v>
      </c>
      <c r="F7404" s="6" t="s">
        <v>83</v>
      </c>
      <c r="G7404" s="6" t="s">
        <v>669</v>
      </c>
      <c r="H7404" s="6" t="s">
        <v>1410</v>
      </c>
      <c r="I7404" s="6" t="s">
        <v>31</v>
      </c>
      <c r="J7404" s="6">
        <v>17.078215</v>
      </c>
      <c r="K7404" s="6">
        <v>-97.001170999999999</v>
      </c>
      <c r="L7404" s="6" t="str">
        <f>HYPERLINK("https://maps.google.com/?q=17.078215,-97.001170999999999", "🔗 Ver Mapa")</f>
        <v>🔗 Ver Mapa</v>
      </c>
    </row>
    <row r="7405" spans="1:12" ht="43.5" x14ac:dyDescent="0.35">
      <c r="A7405" s="5" t="s">
        <v>98</v>
      </c>
      <c r="B7405" s="5" t="s">
        <v>99</v>
      </c>
      <c r="C7405" s="5" t="s">
        <v>1409</v>
      </c>
      <c r="D7405" s="5" t="s">
        <v>14</v>
      </c>
      <c r="E7405" s="5" t="s">
        <v>52</v>
      </c>
      <c r="F7405" s="5" t="s">
        <v>83</v>
      </c>
      <c r="G7405" s="5" t="s">
        <v>669</v>
      </c>
      <c r="H7405" s="5" t="s">
        <v>1410</v>
      </c>
      <c r="I7405" s="5" t="s">
        <v>31</v>
      </c>
      <c r="J7405" s="5">
        <v>17.0785734</v>
      </c>
      <c r="K7405" s="5">
        <v>-97.001400000000004</v>
      </c>
      <c r="L7405" s="5" t="str">
        <f>HYPERLINK("https://maps.google.com/?q=17.0785734,-97.001400000000004", "🔗 Ver Mapa")</f>
        <v>🔗 Ver Mapa</v>
      </c>
    </row>
    <row r="7406" spans="1:12" ht="43.5" x14ac:dyDescent="0.35">
      <c r="A7406" s="6" t="s">
        <v>98</v>
      </c>
      <c r="B7406" s="6" t="s">
        <v>99</v>
      </c>
      <c r="C7406" s="6" t="s">
        <v>1409</v>
      </c>
      <c r="D7406" s="6" t="s">
        <v>14</v>
      </c>
      <c r="E7406" s="6" t="s">
        <v>52</v>
      </c>
      <c r="F7406" s="6" t="s">
        <v>83</v>
      </c>
      <c r="G7406" s="6" t="s">
        <v>669</v>
      </c>
      <c r="H7406" s="6" t="s">
        <v>1410</v>
      </c>
      <c r="I7406" s="6" t="s">
        <v>31</v>
      </c>
      <c r="J7406" s="6">
        <v>17.078773000000002</v>
      </c>
      <c r="K7406" s="6">
        <v>-96.997338999999997</v>
      </c>
      <c r="L7406" s="6" t="str">
        <f>HYPERLINK("https://maps.google.com/?q=17.078773,-96.997338999999997", "🔗 Ver Mapa")</f>
        <v>🔗 Ver Mapa</v>
      </c>
    </row>
    <row r="7407" spans="1:12" ht="43.5" x14ac:dyDescent="0.35">
      <c r="A7407" s="5" t="s">
        <v>98</v>
      </c>
      <c r="B7407" s="5" t="s">
        <v>99</v>
      </c>
      <c r="C7407" s="5" t="s">
        <v>1409</v>
      </c>
      <c r="D7407" s="5" t="s">
        <v>14</v>
      </c>
      <c r="E7407" s="5" t="s">
        <v>52</v>
      </c>
      <c r="F7407" s="5" t="s">
        <v>83</v>
      </c>
      <c r="G7407" s="5" t="s">
        <v>669</v>
      </c>
      <c r="H7407" s="5" t="s">
        <v>1410</v>
      </c>
      <c r="I7407" s="5" t="s">
        <v>31</v>
      </c>
      <c r="J7407" s="5">
        <v>17.079114000000001</v>
      </c>
      <c r="K7407" s="5">
        <v>-96.997596000000001</v>
      </c>
      <c r="L7407" s="5" t="str">
        <f>HYPERLINK("https://maps.google.com/?q=17.079114,-96.997596000000001", "🔗 Ver Mapa")</f>
        <v>🔗 Ver Mapa</v>
      </c>
    </row>
    <row r="7408" spans="1:12" ht="43.5" x14ac:dyDescent="0.35">
      <c r="A7408" s="6" t="s">
        <v>98</v>
      </c>
      <c r="B7408" s="6" t="s">
        <v>99</v>
      </c>
      <c r="C7408" s="6" t="s">
        <v>1409</v>
      </c>
      <c r="D7408" s="6" t="s">
        <v>14</v>
      </c>
      <c r="E7408" s="6" t="s">
        <v>52</v>
      </c>
      <c r="F7408" s="6" t="s">
        <v>83</v>
      </c>
      <c r="G7408" s="6" t="s">
        <v>669</v>
      </c>
      <c r="H7408" s="6" t="s">
        <v>1410</v>
      </c>
      <c r="I7408" s="6" t="s">
        <v>31</v>
      </c>
      <c r="J7408" s="6">
        <v>17.079775000000001</v>
      </c>
      <c r="K7408" s="6">
        <v>-96.999202999999994</v>
      </c>
      <c r="L7408" s="6" t="str">
        <f>HYPERLINK("https://maps.google.com/?q=17.079775,-96.999202999999994", "🔗 Ver Mapa")</f>
        <v>🔗 Ver Mapa</v>
      </c>
    </row>
    <row r="7409" spans="1:12" ht="43.5" x14ac:dyDescent="0.35">
      <c r="A7409" s="5" t="s">
        <v>98</v>
      </c>
      <c r="B7409" s="5" t="s">
        <v>99</v>
      </c>
      <c r="C7409" s="5" t="s">
        <v>1409</v>
      </c>
      <c r="D7409" s="5" t="s">
        <v>14</v>
      </c>
      <c r="E7409" s="5" t="s">
        <v>52</v>
      </c>
      <c r="F7409" s="5" t="s">
        <v>83</v>
      </c>
      <c r="G7409" s="5" t="s">
        <v>669</v>
      </c>
      <c r="H7409" s="5" t="s">
        <v>1410</v>
      </c>
      <c r="I7409" s="5" t="s">
        <v>31</v>
      </c>
      <c r="J7409" s="5">
        <v>17.079929</v>
      </c>
      <c r="K7409" s="5">
        <v>-96.998255999999998</v>
      </c>
      <c r="L7409" s="5" t="str">
        <f>HYPERLINK("https://maps.google.com/?q=17.079929,-96.998255999999998", "🔗 Ver Mapa")</f>
        <v>🔗 Ver Mapa</v>
      </c>
    </row>
    <row r="7410" spans="1:12" ht="43.5" x14ac:dyDescent="0.35">
      <c r="A7410" s="6" t="s">
        <v>98</v>
      </c>
      <c r="B7410" s="6" t="s">
        <v>99</v>
      </c>
      <c r="C7410" s="6" t="s">
        <v>1409</v>
      </c>
      <c r="D7410" s="6" t="s">
        <v>14</v>
      </c>
      <c r="E7410" s="6" t="s">
        <v>52</v>
      </c>
      <c r="F7410" s="6" t="s">
        <v>83</v>
      </c>
      <c r="G7410" s="6" t="s">
        <v>669</v>
      </c>
      <c r="H7410" s="6" t="s">
        <v>1410</v>
      </c>
      <c r="I7410" s="6" t="s">
        <v>31</v>
      </c>
      <c r="J7410" s="6">
        <v>17.080593</v>
      </c>
      <c r="K7410" s="6">
        <v>-96.996493999999998</v>
      </c>
      <c r="L7410" s="6" t="str">
        <f>HYPERLINK("https://maps.google.com/?q=17.080593,-96.996493999999998", "🔗 Ver Mapa")</f>
        <v>🔗 Ver Mapa</v>
      </c>
    </row>
    <row r="7411" spans="1:12" ht="43.5" x14ac:dyDescent="0.35">
      <c r="A7411" s="5" t="s">
        <v>98</v>
      </c>
      <c r="B7411" s="5" t="s">
        <v>99</v>
      </c>
      <c r="C7411" s="5" t="s">
        <v>1412</v>
      </c>
      <c r="D7411" s="5" t="s">
        <v>14</v>
      </c>
      <c r="E7411" s="5" t="s">
        <v>52</v>
      </c>
      <c r="F7411" s="5" t="s">
        <v>83</v>
      </c>
      <c r="G7411" s="5" t="s">
        <v>669</v>
      </c>
      <c r="H7411" s="5" t="s">
        <v>670</v>
      </c>
      <c r="I7411" s="5" t="s">
        <v>31</v>
      </c>
      <c r="J7411" s="5">
        <v>0</v>
      </c>
      <c r="K7411" s="5">
        <v>-97.051525999999996</v>
      </c>
      <c r="L7411" s="5" t="str">
        <f>HYPERLINK("https://maps.google.com/?q=0,-97.051525999999996", "🔗 Ver Mapa")</f>
        <v>🔗 Ver Mapa</v>
      </c>
    </row>
    <row r="7412" spans="1:12" ht="43.5" x14ac:dyDescent="0.35">
      <c r="A7412" s="6" t="s">
        <v>98</v>
      </c>
      <c r="B7412" s="6" t="s">
        <v>99</v>
      </c>
      <c r="C7412" s="6" t="s">
        <v>1412</v>
      </c>
      <c r="D7412" s="6" t="s">
        <v>14</v>
      </c>
      <c r="E7412" s="6" t="s">
        <v>52</v>
      </c>
      <c r="F7412" s="6" t="s">
        <v>83</v>
      </c>
      <c r="G7412" s="6" t="s">
        <v>669</v>
      </c>
      <c r="H7412" s="6" t="s">
        <v>670</v>
      </c>
      <c r="I7412" s="6" t="s">
        <v>31</v>
      </c>
      <c r="J7412" s="6">
        <v>0</v>
      </c>
      <c r="K7412" s="6">
        <v>-97.053534999999997</v>
      </c>
      <c r="L7412" s="6" t="str">
        <f>HYPERLINK("https://maps.google.com/?q=0,-97.053534999999997", "🔗 Ver Mapa")</f>
        <v>🔗 Ver Mapa</v>
      </c>
    </row>
    <row r="7413" spans="1:12" ht="43.5" x14ac:dyDescent="0.35">
      <c r="A7413" s="5" t="s">
        <v>98</v>
      </c>
      <c r="B7413" s="5" t="s">
        <v>99</v>
      </c>
      <c r="C7413" s="5" t="s">
        <v>1412</v>
      </c>
      <c r="D7413" s="5" t="s">
        <v>14</v>
      </c>
      <c r="E7413" s="5" t="s">
        <v>52</v>
      </c>
      <c r="F7413" s="5" t="s">
        <v>83</v>
      </c>
      <c r="G7413" s="5" t="s">
        <v>669</v>
      </c>
      <c r="H7413" s="5" t="s">
        <v>670</v>
      </c>
      <c r="I7413" s="5" t="s">
        <v>31</v>
      </c>
      <c r="J7413" s="5">
        <v>17.032467</v>
      </c>
      <c r="K7413" s="5">
        <v>-97.051267999999993</v>
      </c>
      <c r="L7413" s="5" t="str">
        <f>HYPERLINK("https://maps.google.com/?q=17.032467,-97.051267999999993", "🔗 Ver Mapa")</f>
        <v>🔗 Ver Mapa</v>
      </c>
    </row>
    <row r="7414" spans="1:12" ht="43.5" x14ac:dyDescent="0.35">
      <c r="A7414" s="6" t="s">
        <v>98</v>
      </c>
      <c r="B7414" s="6" t="s">
        <v>99</v>
      </c>
      <c r="C7414" s="6" t="s">
        <v>1412</v>
      </c>
      <c r="D7414" s="6" t="s">
        <v>14</v>
      </c>
      <c r="E7414" s="6" t="s">
        <v>52</v>
      </c>
      <c r="F7414" s="6" t="s">
        <v>83</v>
      </c>
      <c r="G7414" s="6" t="s">
        <v>669</v>
      </c>
      <c r="H7414" s="6" t="s">
        <v>670</v>
      </c>
      <c r="I7414" s="6" t="s">
        <v>31</v>
      </c>
      <c r="J7414" s="6">
        <v>17.032706999999998</v>
      </c>
      <c r="K7414" s="6">
        <v>-97.051439999999999</v>
      </c>
      <c r="L7414" s="6" t="str">
        <f>HYPERLINK("https://maps.google.com/?q=17.032707,-97.051439999999999", "🔗 Ver Mapa")</f>
        <v>🔗 Ver Mapa</v>
      </c>
    </row>
    <row r="7415" spans="1:12" ht="43.5" x14ac:dyDescent="0.35">
      <c r="A7415" s="5" t="s">
        <v>98</v>
      </c>
      <c r="B7415" s="5" t="s">
        <v>99</v>
      </c>
      <c r="C7415" s="5" t="s">
        <v>1412</v>
      </c>
      <c r="D7415" s="5" t="s">
        <v>14</v>
      </c>
      <c r="E7415" s="5" t="s">
        <v>52</v>
      </c>
      <c r="F7415" s="5" t="s">
        <v>83</v>
      </c>
      <c r="G7415" s="5" t="s">
        <v>669</v>
      </c>
      <c r="H7415" s="5" t="s">
        <v>670</v>
      </c>
      <c r="I7415" s="5" t="s">
        <v>31</v>
      </c>
      <c r="J7415" s="5">
        <v>17.035229999999999</v>
      </c>
      <c r="K7415" s="5">
        <v>-97.054181999999997</v>
      </c>
      <c r="L7415" s="5" t="str">
        <f>HYPERLINK("https://maps.google.com/?q=17.03523,-97.054181999999997", "🔗 Ver Mapa")</f>
        <v>🔗 Ver Mapa</v>
      </c>
    </row>
    <row r="7416" spans="1:12" ht="43.5" x14ac:dyDescent="0.35">
      <c r="A7416" s="6" t="s">
        <v>98</v>
      </c>
      <c r="B7416" s="6" t="s">
        <v>99</v>
      </c>
      <c r="C7416" s="6" t="s">
        <v>1412</v>
      </c>
      <c r="D7416" s="6" t="s">
        <v>14</v>
      </c>
      <c r="E7416" s="6" t="s">
        <v>52</v>
      </c>
      <c r="F7416" s="6" t="s">
        <v>83</v>
      </c>
      <c r="G7416" s="6" t="s">
        <v>669</v>
      </c>
      <c r="H7416" s="6" t="s">
        <v>670</v>
      </c>
      <c r="I7416" s="6" t="s">
        <v>31</v>
      </c>
      <c r="J7416" s="6">
        <v>17.035851000000001</v>
      </c>
      <c r="K7416" s="6" t="s">
        <v>1413</v>
      </c>
      <c r="L7416" s="6" t="str">
        <f>HYPERLINK("https://maps.google.com/?q=17.035851, -97.051977", "🔗 Ver Mapa")</f>
        <v>🔗 Ver Mapa</v>
      </c>
    </row>
    <row r="7417" spans="1:12" ht="43.5" x14ac:dyDescent="0.35">
      <c r="A7417" s="5" t="s">
        <v>98</v>
      </c>
      <c r="B7417" s="5" t="s">
        <v>99</v>
      </c>
      <c r="C7417" s="5" t="s">
        <v>1412</v>
      </c>
      <c r="D7417" s="5" t="s">
        <v>14</v>
      </c>
      <c r="E7417" s="5" t="s">
        <v>52</v>
      </c>
      <c r="F7417" s="5" t="s">
        <v>83</v>
      </c>
      <c r="G7417" s="5" t="s">
        <v>669</v>
      </c>
      <c r="H7417" s="5" t="s">
        <v>670</v>
      </c>
      <c r="I7417" s="5" t="s">
        <v>31</v>
      </c>
      <c r="J7417" s="5">
        <v>17.035954</v>
      </c>
      <c r="K7417" s="5">
        <v>-97.051407999999995</v>
      </c>
      <c r="L7417" s="5" t="str">
        <f>HYPERLINK("https://maps.google.com/?q=17.035954,-97.051407999999995", "🔗 Ver Mapa")</f>
        <v>🔗 Ver Mapa</v>
      </c>
    </row>
    <row r="7418" spans="1:12" ht="43.5" x14ac:dyDescent="0.35">
      <c r="A7418" s="6" t="s">
        <v>98</v>
      </c>
      <c r="B7418" s="6" t="s">
        <v>99</v>
      </c>
      <c r="C7418" s="6" t="s">
        <v>1412</v>
      </c>
      <c r="D7418" s="6" t="s">
        <v>14</v>
      </c>
      <c r="E7418" s="6" t="s">
        <v>52</v>
      </c>
      <c r="F7418" s="6" t="s">
        <v>83</v>
      </c>
      <c r="G7418" s="6" t="s">
        <v>669</v>
      </c>
      <c r="H7418" s="6" t="s">
        <v>670</v>
      </c>
      <c r="I7418" s="6" t="s">
        <v>31</v>
      </c>
      <c r="J7418" s="6">
        <v>17.036072000000001</v>
      </c>
      <c r="K7418" s="6" t="s">
        <v>1414</v>
      </c>
      <c r="L7418" s="6" t="str">
        <f>HYPERLINK("https://maps.google.com/?q=17.036072, -97.051623", "🔗 Ver Mapa")</f>
        <v>🔗 Ver Mapa</v>
      </c>
    </row>
    <row r="7419" spans="1:12" ht="43.5" x14ac:dyDescent="0.35">
      <c r="A7419" s="5" t="s">
        <v>98</v>
      </c>
      <c r="B7419" s="5" t="s">
        <v>99</v>
      </c>
      <c r="C7419" s="5" t="s">
        <v>1412</v>
      </c>
      <c r="D7419" s="5" t="s">
        <v>14</v>
      </c>
      <c r="E7419" s="5" t="s">
        <v>52</v>
      </c>
      <c r="F7419" s="5" t="s">
        <v>83</v>
      </c>
      <c r="G7419" s="5" t="s">
        <v>669</v>
      </c>
      <c r="H7419" s="5" t="s">
        <v>670</v>
      </c>
      <c r="I7419" s="5" t="s">
        <v>31</v>
      </c>
      <c r="J7419" s="5">
        <v>17.036072000000001</v>
      </c>
      <c r="K7419" s="5">
        <v>-97.053629000000001</v>
      </c>
      <c r="L7419" s="5" t="str">
        <f>HYPERLINK("https://maps.google.com/?q=17.036072,-97.053629000000001", "🔗 Ver Mapa")</f>
        <v>🔗 Ver Mapa</v>
      </c>
    </row>
    <row r="7420" spans="1:12" ht="43.5" x14ac:dyDescent="0.35">
      <c r="A7420" s="6" t="s">
        <v>98</v>
      </c>
      <c r="B7420" s="6" t="s">
        <v>99</v>
      </c>
      <c r="C7420" s="6" t="s">
        <v>1412</v>
      </c>
      <c r="D7420" s="6" t="s">
        <v>14</v>
      </c>
      <c r="E7420" s="6" t="s">
        <v>52</v>
      </c>
      <c r="F7420" s="6" t="s">
        <v>83</v>
      </c>
      <c r="G7420" s="6" t="s">
        <v>669</v>
      </c>
      <c r="H7420" s="6" t="s">
        <v>670</v>
      </c>
      <c r="I7420" s="6" t="s">
        <v>31</v>
      </c>
      <c r="J7420" s="6">
        <v>17.036142999999999</v>
      </c>
      <c r="K7420" s="6">
        <v>-97.054670000000002</v>
      </c>
      <c r="L7420" s="6" t="str">
        <f>HYPERLINK("https://maps.google.com/?q=17.036143,-97.054670000000002", "🔗 Ver Mapa")</f>
        <v>🔗 Ver Mapa</v>
      </c>
    </row>
    <row r="7421" spans="1:12" ht="43.5" x14ac:dyDescent="0.35">
      <c r="A7421" s="5" t="s">
        <v>98</v>
      </c>
      <c r="B7421" s="5" t="s">
        <v>99</v>
      </c>
      <c r="C7421" s="5" t="s">
        <v>1412</v>
      </c>
      <c r="D7421" s="5" t="s">
        <v>14</v>
      </c>
      <c r="E7421" s="5" t="s">
        <v>52</v>
      </c>
      <c r="F7421" s="5" t="s">
        <v>83</v>
      </c>
      <c r="G7421" s="5" t="s">
        <v>669</v>
      </c>
      <c r="H7421" s="5" t="s">
        <v>670</v>
      </c>
      <c r="I7421" s="5" t="s">
        <v>31</v>
      </c>
      <c r="J7421" s="5">
        <v>17.036301999999999</v>
      </c>
      <c r="K7421" s="5">
        <v>-97.051304999999999</v>
      </c>
      <c r="L7421" s="5" t="str">
        <f>HYPERLINK("https://maps.google.com/?q=17.036302,-97.051304999999999", "🔗 Ver Mapa")</f>
        <v>🔗 Ver Mapa</v>
      </c>
    </row>
    <row r="7422" spans="1:12" ht="43.5" x14ac:dyDescent="0.35">
      <c r="A7422" s="6" t="s">
        <v>98</v>
      </c>
      <c r="B7422" s="6" t="s">
        <v>99</v>
      </c>
      <c r="C7422" s="6" t="s">
        <v>1412</v>
      </c>
      <c r="D7422" s="6" t="s">
        <v>14</v>
      </c>
      <c r="E7422" s="6" t="s">
        <v>52</v>
      </c>
      <c r="F7422" s="6" t="s">
        <v>83</v>
      </c>
      <c r="G7422" s="6" t="s">
        <v>669</v>
      </c>
      <c r="H7422" s="6" t="s">
        <v>670</v>
      </c>
      <c r="I7422" s="6" t="s">
        <v>31</v>
      </c>
      <c r="J7422" s="6">
        <v>17.036342999999999</v>
      </c>
      <c r="K7422" s="6">
        <v>-97.055007000000003</v>
      </c>
      <c r="L7422" s="6" t="str">
        <f>HYPERLINK("https://maps.google.com/?q=17.036343,-97.055007000000003", "🔗 Ver Mapa")</f>
        <v>🔗 Ver Mapa</v>
      </c>
    </row>
    <row r="7423" spans="1:12" ht="43.5" x14ac:dyDescent="0.35">
      <c r="A7423" s="5" t="s">
        <v>98</v>
      </c>
      <c r="B7423" s="5" t="s">
        <v>99</v>
      </c>
      <c r="C7423" s="5" t="s">
        <v>1412</v>
      </c>
      <c r="D7423" s="5" t="s">
        <v>14</v>
      </c>
      <c r="E7423" s="5" t="s">
        <v>52</v>
      </c>
      <c r="F7423" s="5" t="s">
        <v>83</v>
      </c>
      <c r="G7423" s="5" t="s">
        <v>669</v>
      </c>
      <c r="H7423" s="5" t="s">
        <v>670</v>
      </c>
      <c r="I7423" s="5" t="s">
        <v>31</v>
      </c>
      <c r="J7423" s="5">
        <v>17.03661</v>
      </c>
      <c r="K7423" s="5">
        <v>-97.051209999999998</v>
      </c>
      <c r="L7423" s="5" t="str">
        <f>HYPERLINK("https://maps.google.com/?q=17.03661,-97.051209999999998", "🔗 Ver Mapa")</f>
        <v>🔗 Ver Mapa</v>
      </c>
    </row>
    <row r="7424" spans="1:12" ht="43.5" x14ac:dyDescent="0.35">
      <c r="A7424" s="6" t="s">
        <v>98</v>
      </c>
      <c r="B7424" s="6" t="s">
        <v>99</v>
      </c>
      <c r="C7424" s="6" t="s">
        <v>1412</v>
      </c>
      <c r="D7424" s="6" t="s">
        <v>14</v>
      </c>
      <c r="E7424" s="6" t="s">
        <v>52</v>
      </c>
      <c r="F7424" s="6" t="s">
        <v>83</v>
      </c>
      <c r="G7424" s="6" t="s">
        <v>669</v>
      </c>
      <c r="H7424" s="6" t="s">
        <v>670</v>
      </c>
      <c r="I7424" s="6" t="s">
        <v>31</v>
      </c>
      <c r="J7424" s="6">
        <v>17.03736</v>
      </c>
      <c r="K7424" s="6">
        <v>-97.051306999999994</v>
      </c>
      <c r="L7424" s="6" t="str">
        <f>HYPERLINK("https://maps.google.com/?q=17.03736,-97.051306999999994", "🔗 Ver Mapa")</f>
        <v>🔗 Ver Mapa</v>
      </c>
    </row>
    <row r="7425" spans="1:12" ht="43.5" x14ac:dyDescent="0.35">
      <c r="A7425" s="5" t="s">
        <v>98</v>
      </c>
      <c r="B7425" s="5" t="s">
        <v>99</v>
      </c>
      <c r="C7425" s="5" t="s">
        <v>1412</v>
      </c>
      <c r="D7425" s="5" t="s">
        <v>14</v>
      </c>
      <c r="E7425" s="5" t="s">
        <v>52</v>
      </c>
      <c r="F7425" s="5" t="s">
        <v>83</v>
      </c>
      <c r="G7425" s="5" t="s">
        <v>669</v>
      </c>
      <c r="H7425" s="5" t="s">
        <v>670</v>
      </c>
      <c r="I7425" s="5" t="s">
        <v>31</v>
      </c>
      <c r="J7425" s="5">
        <v>17.037445999999999</v>
      </c>
      <c r="K7425" s="5">
        <v>-97.051337000000004</v>
      </c>
      <c r="L7425" s="5" t="str">
        <f>HYPERLINK("https://maps.google.com/?q=17.037446,-97.051337000000004", "🔗 Ver Mapa")</f>
        <v>🔗 Ver Mapa</v>
      </c>
    </row>
    <row r="7426" spans="1:12" ht="43.5" x14ac:dyDescent="0.35">
      <c r="A7426" s="6" t="s">
        <v>98</v>
      </c>
      <c r="B7426" s="6" t="s">
        <v>99</v>
      </c>
      <c r="C7426" s="6" t="s">
        <v>1412</v>
      </c>
      <c r="D7426" s="6" t="s">
        <v>14</v>
      </c>
      <c r="E7426" s="6" t="s">
        <v>52</v>
      </c>
      <c r="F7426" s="6" t="s">
        <v>83</v>
      </c>
      <c r="G7426" s="6" t="s">
        <v>669</v>
      </c>
      <c r="H7426" s="6" t="s">
        <v>670</v>
      </c>
      <c r="I7426" s="6" t="s">
        <v>31</v>
      </c>
      <c r="J7426" s="6">
        <v>17.038309999999999</v>
      </c>
      <c r="K7426" s="6">
        <v>-97.052276000000006</v>
      </c>
      <c r="L7426" s="6" t="str">
        <f>HYPERLINK("https://maps.google.com/?q=17.03831,-97.052276000000006", "🔗 Ver Mapa")</f>
        <v>🔗 Ver Mapa</v>
      </c>
    </row>
    <row r="7427" spans="1:12" ht="43.5" x14ac:dyDescent="0.35">
      <c r="A7427" s="5" t="s">
        <v>98</v>
      </c>
      <c r="B7427" s="5" t="s">
        <v>99</v>
      </c>
      <c r="C7427" s="5" t="s">
        <v>1412</v>
      </c>
      <c r="D7427" s="5" t="s">
        <v>14</v>
      </c>
      <c r="E7427" s="5" t="s">
        <v>52</v>
      </c>
      <c r="F7427" s="5" t="s">
        <v>83</v>
      </c>
      <c r="G7427" s="5" t="s">
        <v>669</v>
      </c>
      <c r="H7427" s="5" t="s">
        <v>670</v>
      </c>
      <c r="I7427" s="5" t="s">
        <v>31</v>
      </c>
      <c r="J7427" s="5">
        <v>17.038381000000001</v>
      </c>
      <c r="K7427" s="5">
        <v>-97.051755</v>
      </c>
      <c r="L7427" s="5" t="str">
        <f>HYPERLINK("https://maps.google.com/?q=17.038381,-97.051755", "🔗 Ver Mapa")</f>
        <v>🔗 Ver Mapa</v>
      </c>
    </row>
    <row r="7428" spans="1:12" ht="43.5" x14ac:dyDescent="0.35">
      <c r="A7428" s="6" t="s">
        <v>98</v>
      </c>
      <c r="B7428" s="6" t="s">
        <v>99</v>
      </c>
      <c r="C7428" s="6" t="s">
        <v>1415</v>
      </c>
      <c r="D7428" s="6" t="s">
        <v>14</v>
      </c>
      <c r="E7428" s="6" t="s">
        <v>16</v>
      </c>
      <c r="F7428" s="6" t="s">
        <v>21</v>
      </c>
      <c r="G7428" s="6" t="s">
        <v>922</v>
      </c>
      <c r="H7428" s="6" t="s">
        <v>1229</v>
      </c>
      <c r="I7428" s="6" t="s">
        <v>31</v>
      </c>
      <c r="J7428" s="6">
        <v>17.208793439729</v>
      </c>
      <c r="K7428" s="6">
        <v>-97.585920449762</v>
      </c>
      <c r="L7428" s="6" t="str">
        <f>HYPERLINK("https://maps.google.com/?q=17.2087934397291,-97.585920449762099", "🔗 Ver Mapa")</f>
        <v>🔗 Ver Mapa</v>
      </c>
    </row>
    <row r="7429" spans="1:12" ht="43.5" x14ac:dyDescent="0.35">
      <c r="A7429" s="5" t="s">
        <v>98</v>
      </c>
      <c r="B7429" s="5" t="s">
        <v>99</v>
      </c>
      <c r="C7429" s="5" t="s">
        <v>1415</v>
      </c>
      <c r="D7429" s="5" t="s">
        <v>14</v>
      </c>
      <c r="E7429" s="5" t="s">
        <v>16</v>
      </c>
      <c r="F7429" s="5" t="s">
        <v>21</v>
      </c>
      <c r="G7429" s="5" t="s">
        <v>922</v>
      </c>
      <c r="H7429" s="5" t="s">
        <v>1229</v>
      </c>
      <c r="I7429" s="5" t="s">
        <v>31</v>
      </c>
      <c r="J7429" s="5">
        <v>17.208885507346999</v>
      </c>
      <c r="K7429" s="5">
        <v>-97.579976420885998</v>
      </c>
      <c r="L7429" s="5" t="str">
        <f>HYPERLINK("https://maps.google.com/?q=17.2088855073467,-97.579976420886297", "🔗 Ver Mapa")</f>
        <v>🔗 Ver Mapa</v>
      </c>
    </row>
    <row r="7430" spans="1:12" ht="43.5" x14ac:dyDescent="0.35">
      <c r="A7430" s="6" t="s">
        <v>98</v>
      </c>
      <c r="B7430" s="6" t="s">
        <v>99</v>
      </c>
      <c r="C7430" s="6" t="s">
        <v>1415</v>
      </c>
      <c r="D7430" s="6" t="s">
        <v>14</v>
      </c>
      <c r="E7430" s="6" t="s">
        <v>16</v>
      </c>
      <c r="F7430" s="6" t="s">
        <v>21</v>
      </c>
      <c r="G7430" s="6" t="s">
        <v>922</v>
      </c>
      <c r="H7430" s="6" t="s">
        <v>1229</v>
      </c>
      <c r="I7430" s="6" t="s">
        <v>31</v>
      </c>
      <c r="J7430" s="6">
        <v>17.209231328455999</v>
      </c>
      <c r="K7430" s="6">
        <v>-97.585511616126993</v>
      </c>
      <c r="L7430" s="6" t="str">
        <f>HYPERLINK("https://maps.google.com/?q=17.209231328456,-97.585511616126794", "🔗 Ver Mapa")</f>
        <v>🔗 Ver Mapa</v>
      </c>
    </row>
    <row r="7431" spans="1:12" ht="43.5" x14ac:dyDescent="0.35">
      <c r="A7431" s="5" t="s">
        <v>98</v>
      </c>
      <c r="B7431" s="5" t="s">
        <v>99</v>
      </c>
      <c r="C7431" s="5" t="s">
        <v>1415</v>
      </c>
      <c r="D7431" s="5" t="s">
        <v>14</v>
      </c>
      <c r="E7431" s="5" t="s">
        <v>16</v>
      </c>
      <c r="F7431" s="5" t="s">
        <v>21</v>
      </c>
      <c r="G7431" s="5" t="s">
        <v>922</v>
      </c>
      <c r="H7431" s="5" t="s">
        <v>1229</v>
      </c>
      <c r="I7431" s="5" t="s">
        <v>31</v>
      </c>
      <c r="J7431" s="5">
        <v>17.209630393295001</v>
      </c>
      <c r="K7431" s="5">
        <v>-97.585554854867993</v>
      </c>
      <c r="L7431" s="5" t="str">
        <f>HYPERLINK("https://maps.google.com/?q=17.2096303932946,-97.585554854868107", "🔗 Ver Mapa")</f>
        <v>🔗 Ver Mapa</v>
      </c>
    </row>
    <row r="7432" spans="1:12" ht="43.5" x14ac:dyDescent="0.35">
      <c r="A7432" s="6" t="s">
        <v>98</v>
      </c>
      <c r="B7432" s="6" t="s">
        <v>99</v>
      </c>
      <c r="C7432" s="6" t="s">
        <v>1415</v>
      </c>
      <c r="D7432" s="6" t="s">
        <v>14</v>
      </c>
      <c r="E7432" s="6" t="s">
        <v>16</v>
      </c>
      <c r="F7432" s="6" t="s">
        <v>21</v>
      </c>
      <c r="G7432" s="6" t="s">
        <v>922</v>
      </c>
      <c r="H7432" s="6" t="s">
        <v>1229</v>
      </c>
      <c r="I7432" s="6" t="s">
        <v>31</v>
      </c>
      <c r="J7432" s="6">
        <v>17.210118551151002</v>
      </c>
      <c r="K7432" s="6">
        <v>-97.582675606530003</v>
      </c>
      <c r="L7432" s="6" t="str">
        <f>HYPERLINK("https://maps.google.com/?q=17.2101185511507,-97.582675606529705", "🔗 Ver Mapa")</f>
        <v>🔗 Ver Mapa</v>
      </c>
    </row>
    <row r="7433" spans="1:12" ht="43.5" x14ac:dyDescent="0.35">
      <c r="A7433" s="5" t="s">
        <v>98</v>
      </c>
      <c r="B7433" s="5" t="s">
        <v>99</v>
      </c>
      <c r="C7433" s="5" t="s">
        <v>1415</v>
      </c>
      <c r="D7433" s="5" t="s">
        <v>14</v>
      </c>
      <c r="E7433" s="5" t="s">
        <v>16</v>
      </c>
      <c r="F7433" s="5" t="s">
        <v>21</v>
      </c>
      <c r="G7433" s="5" t="s">
        <v>922</v>
      </c>
      <c r="H7433" s="5" t="s">
        <v>1229</v>
      </c>
      <c r="I7433" s="5" t="s">
        <v>31</v>
      </c>
      <c r="J7433" s="5">
        <v>17.210774488412</v>
      </c>
      <c r="K7433" s="5">
        <v>-97.584245639198002</v>
      </c>
      <c r="L7433" s="5" t="str">
        <f>HYPERLINK("https://maps.google.com/?q=17.2107744884119,-97.5842456391985", "🔗 Ver Mapa")</f>
        <v>🔗 Ver Mapa</v>
      </c>
    </row>
    <row r="7434" spans="1:12" ht="43.5" x14ac:dyDescent="0.35">
      <c r="A7434" s="6" t="s">
        <v>98</v>
      </c>
      <c r="B7434" s="6" t="s">
        <v>99</v>
      </c>
      <c r="C7434" s="6" t="s">
        <v>1415</v>
      </c>
      <c r="D7434" s="6" t="s">
        <v>14</v>
      </c>
      <c r="E7434" s="6" t="s">
        <v>16</v>
      </c>
      <c r="F7434" s="6" t="s">
        <v>21</v>
      </c>
      <c r="G7434" s="6" t="s">
        <v>922</v>
      </c>
      <c r="H7434" s="6" t="s">
        <v>1229</v>
      </c>
      <c r="I7434" s="6" t="s">
        <v>31</v>
      </c>
      <c r="J7434" s="6">
        <v>17.210862992275</v>
      </c>
      <c r="K7434" s="6">
        <v>-97.582172733215998</v>
      </c>
      <c r="L7434" s="6" t="str">
        <f>HYPERLINK("https://maps.google.com/?q=17.2108629922751,-97.582172733215998", "🔗 Ver Mapa")</f>
        <v>🔗 Ver Mapa</v>
      </c>
    </row>
    <row r="7435" spans="1:12" ht="43.5" x14ac:dyDescent="0.35">
      <c r="A7435" s="5" t="s">
        <v>98</v>
      </c>
      <c r="B7435" s="5" t="s">
        <v>99</v>
      </c>
      <c r="C7435" s="5" t="s">
        <v>1415</v>
      </c>
      <c r="D7435" s="5" t="s">
        <v>14</v>
      </c>
      <c r="E7435" s="5" t="s">
        <v>16</v>
      </c>
      <c r="F7435" s="5" t="s">
        <v>21</v>
      </c>
      <c r="G7435" s="5" t="s">
        <v>922</v>
      </c>
      <c r="H7435" s="5" t="s">
        <v>1229</v>
      </c>
      <c r="I7435" s="5" t="s">
        <v>31</v>
      </c>
      <c r="J7435" s="5">
        <v>17.211425435075999</v>
      </c>
      <c r="K7435" s="5">
        <v>-97.583363300184004</v>
      </c>
      <c r="L7435" s="5" t="str">
        <f>HYPERLINK("https://maps.google.com/?q=17.2114254350761,-97.583363300183706", "🔗 Ver Mapa")</f>
        <v>🔗 Ver Mapa</v>
      </c>
    </row>
    <row r="7436" spans="1:12" ht="43.5" x14ac:dyDescent="0.35">
      <c r="A7436" s="6" t="s">
        <v>98</v>
      </c>
      <c r="B7436" s="6" t="s">
        <v>99</v>
      </c>
      <c r="C7436" s="6" t="s">
        <v>1415</v>
      </c>
      <c r="D7436" s="6" t="s">
        <v>14</v>
      </c>
      <c r="E7436" s="6" t="s">
        <v>16</v>
      </c>
      <c r="F7436" s="6" t="s">
        <v>21</v>
      </c>
      <c r="G7436" s="6" t="s">
        <v>922</v>
      </c>
      <c r="H7436" s="6" t="s">
        <v>1229</v>
      </c>
      <c r="I7436" s="6" t="s">
        <v>31</v>
      </c>
      <c r="J7436" s="6">
        <v>17.211599363508</v>
      </c>
      <c r="K7436" s="6">
        <v>-97.582163718022002</v>
      </c>
      <c r="L7436" s="6" t="str">
        <f>HYPERLINK("https://maps.google.com/?q=17.2115993635079,-97.582163718022", "🔗 Ver Mapa")</f>
        <v>🔗 Ver Mapa</v>
      </c>
    </row>
    <row r="7437" spans="1:12" ht="43.5" x14ac:dyDescent="0.35">
      <c r="A7437" s="5" t="s">
        <v>98</v>
      </c>
      <c r="B7437" s="5" t="s">
        <v>99</v>
      </c>
      <c r="C7437" s="5" t="s">
        <v>1415</v>
      </c>
      <c r="D7437" s="5" t="s">
        <v>14</v>
      </c>
      <c r="E7437" s="5" t="s">
        <v>16</v>
      </c>
      <c r="F7437" s="5" t="s">
        <v>21</v>
      </c>
      <c r="G7437" s="5" t="s">
        <v>922</v>
      </c>
      <c r="H7437" s="5" t="s">
        <v>1229</v>
      </c>
      <c r="I7437" s="5" t="s">
        <v>31</v>
      </c>
      <c r="J7437" s="5">
        <v>17.211878631718999</v>
      </c>
      <c r="K7437" s="5">
        <v>-97.582828905856999</v>
      </c>
      <c r="L7437" s="5" t="str">
        <f>HYPERLINK("https://maps.google.com/?q=17.2118786317186,-97.5828289058575", "🔗 Ver Mapa")</f>
        <v>🔗 Ver Mapa</v>
      </c>
    </row>
    <row r="7438" spans="1:12" ht="43.5" x14ac:dyDescent="0.35">
      <c r="A7438" s="6" t="s">
        <v>98</v>
      </c>
      <c r="B7438" s="6" t="s">
        <v>99</v>
      </c>
      <c r="C7438" s="6" t="s">
        <v>1416</v>
      </c>
      <c r="D7438" s="6" t="s">
        <v>14</v>
      </c>
      <c r="E7438" s="6" t="s">
        <v>39</v>
      </c>
      <c r="F7438" s="6" t="s">
        <v>353</v>
      </c>
      <c r="G7438" s="6" t="s">
        <v>1417</v>
      </c>
      <c r="H7438" s="6" t="s">
        <v>1418</v>
      </c>
      <c r="I7438" s="6" t="s">
        <v>31</v>
      </c>
      <c r="J7438" s="6">
        <v>16.314672577962</v>
      </c>
      <c r="K7438" s="6">
        <v>-96.668918208719006</v>
      </c>
      <c r="L7438" s="6" t="str">
        <f>HYPERLINK("https://maps.google.com/?q=16.3146725779618,-96.668918208719305", "🔗 Ver Mapa")</f>
        <v>🔗 Ver Mapa</v>
      </c>
    </row>
    <row r="7439" spans="1:12" ht="43.5" x14ac:dyDescent="0.35">
      <c r="A7439" s="5" t="s">
        <v>98</v>
      </c>
      <c r="B7439" s="5" t="s">
        <v>99</v>
      </c>
      <c r="C7439" s="5" t="s">
        <v>1416</v>
      </c>
      <c r="D7439" s="5" t="s">
        <v>14</v>
      </c>
      <c r="E7439" s="5" t="s">
        <v>39</v>
      </c>
      <c r="F7439" s="5" t="s">
        <v>353</v>
      </c>
      <c r="G7439" s="5" t="s">
        <v>1417</v>
      </c>
      <c r="H7439" s="5" t="s">
        <v>1418</v>
      </c>
      <c r="I7439" s="5" t="s">
        <v>31</v>
      </c>
      <c r="J7439" s="5">
        <v>16.315291109930001</v>
      </c>
      <c r="K7439" s="5">
        <v>-96.673041275597996</v>
      </c>
      <c r="L7439" s="5" t="str">
        <f>HYPERLINK("https://maps.google.com/?q=16.3152911099301,-96.673041275597697", "🔗 Ver Mapa")</f>
        <v>🔗 Ver Mapa</v>
      </c>
    </row>
    <row r="7440" spans="1:12" ht="43.5" x14ac:dyDescent="0.35">
      <c r="A7440" s="6" t="s">
        <v>98</v>
      </c>
      <c r="B7440" s="6" t="s">
        <v>99</v>
      </c>
      <c r="C7440" s="6" t="s">
        <v>1416</v>
      </c>
      <c r="D7440" s="6" t="s">
        <v>14</v>
      </c>
      <c r="E7440" s="6" t="s">
        <v>39</v>
      </c>
      <c r="F7440" s="6" t="s">
        <v>353</v>
      </c>
      <c r="G7440" s="6" t="s">
        <v>1417</v>
      </c>
      <c r="H7440" s="6" t="s">
        <v>1418</v>
      </c>
      <c r="I7440" s="6" t="s">
        <v>31</v>
      </c>
      <c r="J7440" s="6">
        <v>16.315680562545001</v>
      </c>
      <c r="K7440" s="6">
        <v>-96.672545735897998</v>
      </c>
      <c r="L7440" s="6" t="str">
        <f>HYPERLINK("https://maps.google.com/?q=16.3156805625449,-96.672545735897899", "🔗 Ver Mapa")</f>
        <v>🔗 Ver Mapa</v>
      </c>
    </row>
    <row r="7441" spans="1:12" ht="43.5" x14ac:dyDescent="0.35">
      <c r="A7441" s="5" t="s">
        <v>98</v>
      </c>
      <c r="B7441" s="5" t="s">
        <v>99</v>
      </c>
      <c r="C7441" s="5" t="s">
        <v>1416</v>
      </c>
      <c r="D7441" s="5" t="s">
        <v>14</v>
      </c>
      <c r="E7441" s="5" t="s">
        <v>39</v>
      </c>
      <c r="F7441" s="5" t="s">
        <v>353</v>
      </c>
      <c r="G7441" s="5" t="s">
        <v>1417</v>
      </c>
      <c r="H7441" s="5" t="s">
        <v>1418</v>
      </c>
      <c r="I7441" s="5" t="s">
        <v>31</v>
      </c>
      <c r="J7441" s="5">
        <v>16.316155398686</v>
      </c>
      <c r="K7441" s="5">
        <v>-96.668807408971006</v>
      </c>
      <c r="L7441" s="5" t="str">
        <f>HYPERLINK("https://maps.google.com/?q=16.3161553986856,-96.668807408970594", "🔗 Ver Mapa")</f>
        <v>🔗 Ver Mapa</v>
      </c>
    </row>
    <row r="7442" spans="1:12" ht="43.5" x14ac:dyDescent="0.35">
      <c r="A7442" s="6" t="s">
        <v>98</v>
      </c>
      <c r="B7442" s="6" t="s">
        <v>99</v>
      </c>
      <c r="C7442" s="6" t="s">
        <v>1416</v>
      </c>
      <c r="D7442" s="6" t="s">
        <v>14</v>
      </c>
      <c r="E7442" s="6" t="s">
        <v>39</v>
      </c>
      <c r="F7442" s="6" t="s">
        <v>353</v>
      </c>
      <c r="G7442" s="6" t="s">
        <v>1417</v>
      </c>
      <c r="H7442" s="6" t="s">
        <v>1418</v>
      </c>
      <c r="I7442" s="6" t="s">
        <v>31</v>
      </c>
      <c r="J7442" s="6">
        <v>16.316918472188998</v>
      </c>
      <c r="K7442" s="6">
        <v>-96.673628620865003</v>
      </c>
      <c r="L7442" s="6" t="str">
        <f>HYPERLINK("https://maps.google.com/?q=16.3169184721887,-96.673628620865102", "🔗 Ver Mapa")</f>
        <v>🔗 Ver Mapa</v>
      </c>
    </row>
    <row r="7443" spans="1:12" ht="43.5" x14ac:dyDescent="0.35">
      <c r="A7443" s="5" t="s">
        <v>98</v>
      </c>
      <c r="B7443" s="5" t="s">
        <v>99</v>
      </c>
      <c r="C7443" s="5" t="s">
        <v>1416</v>
      </c>
      <c r="D7443" s="5" t="s">
        <v>14</v>
      </c>
      <c r="E7443" s="5" t="s">
        <v>39</v>
      </c>
      <c r="F7443" s="5" t="s">
        <v>353</v>
      </c>
      <c r="G7443" s="5" t="s">
        <v>1417</v>
      </c>
      <c r="H7443" s="5" t="s">
        <v>1418</v>
      </c>
      <c r="I7443" s="5" t="s">
        <v>31</v>
      </c>
      <c r="J7443" s="5">
        <v>16.319313198379</v>
      </c>
      <c r="K7443" s="5">
        <v>-96.675588690807004</v>
      </c>
      <c r="L7443" s="5" t="str">
        <f>HYPERLINK("https://maps.google.com/?q=16.3193131983793,-96.675588690807302", "🔗 Ver Mapa")</f>
        <v>🔗 Ver Mapa</v>
      </c>
    </row>
    <row r="7444" spans="1:12" ht="43.5" x14ac:dyDescent="0.35">
      <c r="A7444" s="6" t="s">
        <v>98</v>
      </c>
      <c r="B7444" s="6" t="s">
        <v>99</v>
      </c>
      <c r="C7444" s="6" t="s">
        <v>1416</v>
      </c>
      <c r="D7444" s="6" t="s">
        <v>14</v>
      </c>
      <c r="E7444" s="6" t="s">
        <v>39</v>
      </c>
      <c r="F7444" s="6" t="s">
        <v>353</v>
      </c>
      <c r="G7444" s="6" t="s">
        <v>1417</v>
      </c>
      <c r="H7444" s="6" t="s">
        <v>1418</v>
      </c>
      <c r="I7444" s="6" t="s">
        <v>31</v>
      </c>
      <c r="J7444" s="6">
        <v>16.319760397408</v>
      </c>
      <c r="K7444" s="6">
        <v>-96.675434364416006</v>
      </c>
      <c r="L7444" s="6" t="str">
        <f>HYPERLINK("https://maps.google.com/?q=16.3197603974077,-96.675434364416304", "🔗 Ver Mapa")</f>
        <v>🔗 Ver Mapa</v>
      </c>
    </row>
    <row r="7445" spans="1:12" ht="43.5" x14ac:dyDescent="0.35">
      <c r="A7445" s="5" t="s">
        <v>98</v>
      </c>
      <c r="B7445" s="5" t="s">
        <v>99</v>
      </c>
      <c r="C7445" s="5" t="s">
        <v>1416</v>
      </c>
      <c r="D7445" s="5" t="s">
        <v>14</v>
      </c>
      <c r="E7445" s="5" t="s">
        <v>39</v>
      </c>
      <c r="F7445" s="5" t="s">
        <v>353</v>
      </c>
      <c r="G7445" s="5" t="s">
        <v>1417</v>
      </c>
      <c r="H7445" s="5" t="s">
        <v>1418</v>
      </c>
      <c r="I7445" s="5" t="s">
        <v>31</v>
      </c>
      <c r="J7445" s="5">
        <v>16.319766126436001</v>
      </c>
      <c r="K7445" s="5">
        <v>-96.673822878560998</v>
      </c>
      <c r="L7445" s="5" t="str">
        <f>HYPERLINK("https://maps.google.com/?q=16.3197661264356,-96.673822878560699", "🔗 Ver Mapa")</f>
        <v>🔗 Ver Mapa</v>
      </c>
    </row>
    <row r="7446" spans="1:12" ht="43.5" x14ac:dyDescent="0.35">
      <c r="A7446" s="6" t="s">
        <v>98</v>
      </c>
      <c r="B7446" s="6" t="s">
        <v>99</v>
      </c>
      <c r="C7446" s="6" t="s">
        <v>1416</v>
      </c>
      <c r="D7446" s="6" t="s">
        <v>14</v>
      </c>
      <c r="E7446" s="6" t="s">
        <v>39</v>
      </c>
      <c r="F7446" s="6" t="s">
        <v>353</v>
      </c>
      <c r="G7446" s="6" t="s">
        <v>1417</v>
      </c>
      <c r="H7446" s="6" t="s">
        <v>1418</v>
      </c>
      <c r="I7446" s="6" t="s">
        <v>31</v>
      </c>
      <c r="J7446" s="6">
        <v>16.319961760866999</v>
      </c>
      <c r="K7446" s="6">
        <v>-96.673691450318998</v>
      </c>
      <c r="L7446" s="6" t="str">
        <f>HYPERLINK("https://maps.google.com/?q=16.3199617608673,-96.673691450319097", "🔗 Ver Mapa")</f>
        <v>🔗 Ver Mapa</v>
      </c>
    </row>
    <row r="7447" spans="1:12" ht="43.5" x14ac:dyDescent="0.35">
      <c r="A7447" s="5" t="s">
        <v>98</v>
      </c>
      <c r="B7447" s="5" t="s">
        <v>99</v>
      </c>
      <c r="C7447" s="5" t="s">
        <v>1416</v>
      </c>
      <c r="D7447" s="5" t="s">
        <v>14</v>
      </c>
      <c r="E7447" s="5" t="s">
        <v>39</v>
      </c>
      <c r="F7447" s="5" t="s">
        <v>353</v>
      </c>
      <c r="G7447" s="5" t="s">
        <v>1417</v>
      </c>
      <c r="H7447" s="5" t="s">
        <v>1418</v>
      </c>
      <c r="I7447" s="5" t="s">
        <v>31</v>
      </c>
      <c r="J7447" s="5">
        <v>16.320934573452</v>
      </c>
      <c r="K7447" s="5">
        <v>-96.671214294685001</v>
      </c>
      <c r="L7447" s="5" t="str">
        <f>HYPERLINK("https://maps.google.com/?q=16.3209345734524,-96.671214294685001", "🔗 Ver Mapa")</f>
        <v>🔗 Ver Mapa</v>
      </c>
    </row>
    <row r="7448" spans="1:12" ht="43.5" x14ac:dyDescent="0.35">
      <c r="A7448" s="6" t="s">
        <v>98</v>
      </c>
      <c r="B7448" s="6" t="s">
        <v>99</v>
      </c>
      <c r="C7448" s="6" t="s">
        <v>1416</v>
      </c>
      <c r="D7448" s="6" t="s">
        <v>14</v>
      </c>
      <c r="E7448" s="6" t="s">
        <v>39</v>
      </c>
      <c r="F7448" s="6" t="s">
        <v>353</v>
      </c>
      <c r="G7448" s="6" t="s">
        <v>1417</v>
      </c>
      <c r="H7448" s="6" t="s">
        <v>1418</v>
      </c>
      <c r="I7448" s="6" t="s">
        <v>31</v>
      </c>
      <c r="J7448" s="6">
        <v>16.321038181883001</v>
      </c>
      <c r="K7448" s="6">
        <v>-96.672484320652998</v>
      </c>
      <c r="L7448" s="6" t="str">
        <f>HYPERLINK("https://maps.google.com/?q=16.3210381818828,-96.672484320653197", "🔗 Ver Mapa")</f>
        <v>🔗 Ver Mapa</v>
      </c>
    </row>
    <row r="7449" spans="1:12" ht="43.5" x14ac:dyDescent="0.35">
      <c r="A7449" s="5" t="s">
        <v>98</v>
      </c>
      <c r="B7449" s="5" t="s">
        <v>99</v>
      </c>
      <c r="C7449" s="5" t="s">
        <v>1416</v>
      </c>
      <c r="D7449" s="5" t="s">
        <v>14</v>
      </c>
      <c r="E7449" s="5" t="s">
        <v>39</v>
      </c>
      <c r="F7449" s="5" t="s">
        <v>353</v>
      </c>
      <c r="G7449" s="5" t="s">
        <v>1417</v>
      </c>
      <c r="H7449" s="5" t="s">
        <v>1418</v>
      </c>
      <c r="I7449" s="5" t="s">
        <v>31</v>
      </c>
      <c r="J7449" s="5">
        <v>16.321650311808</v>
      </c>
      <c r="K7449" s="5">
        <v>-96.672715013041</v>
      </c>
      <c r="L7449" s="5" t="str">
        <f>HYPERLINK("https://maps.google.com/?q=16.3216503118083,-96.672715013041397", "🔗 Ver Mapa")</f>
        <v>🔗 Ver Mapa</v>
      </c>
    </row>
    <row r="7450" spans="1:12" ht="43.5" x14ac:dyDescent="0.35">
      <c r="A7450" s="6" t="s">
        <v>98</v>
      </c>
      <c r="B7450" s="6" t="s">
        <v>99</v>
      </c>
      <c r="C7450" s="6" t="s">
        <v>1416</v>
      </c>
      <c r="D7450" s="6" t="s">
        <v>14</v>
      </c>
      <c r="E7450" s="6" t="s">
        <v>39</v>
      </c>
      <c r="F7450" s="6" t="s">
        <v>353</v>
      </c>
      <c r="G7450" s="6" t="s">
        <v>1417</v>
      </c>
      <c r="H7450" s="6" t="s">
        <v>1418</v>
      </c>
      <c r="I7450" s="6" t="s">
        <v>31</v>
      </c>
      <c r="J7450" s="6">
        <v>16.321850566614</v>
      </c>
      <c r="K7450" s="6">
        <v>-96.673964222679004</v>
      </c>
      <c r="L7450" s="6" t="str">
        <f>HYPERLINK("https://maps.google.com/?q=16.3218505666138,-96.673964222678805", "🔗 Ver Mapa")</f>
        <v>🔗 Ver Mapa</v>
      </c>
    </row>
    <row r="7451" spans="1:12" ht="43.5" x14ac:dyDescent="0.35">
      <c r="A7451" s="5" t="s">
        <v>98</v>
      </c>
      <c r="B7451" s="5" t="s">
        <v>99</v>
      </c>
      <c r="C7451" s="5" t="s">
        <v>1416</v>
      </c>
      <c r="D7451" s="5" t="s">
        <v>14</v>
      </c>
      <c r="E7451" s="5" t="s">
        <v>39</v>
      </c>
      <c r="F7451" s="5" t="s">
        <v>353</v>
      </c>
      <c r="G7451" s="5" t="s">
        <v>1417</v>
      </c>
      <c r="H7451" s="5" t="s">
        <v>1418</v>
      </c>
      <c r="I7451" s="5" t="s">
        <v>31</v>
      </c>
      <c r="J7451" s="5">
        <v>16.322214877315002</v>
      </c>
      <c r="K7451" s="5">
        <v>-96.673594358542999</v>
      </c>
      <c r="L7451" s="5" t="str">
        <f>HYPERLINK("https://maps.google.com/?q=16.3222148773147,-96.673594358542701", "🔗 Ver Mapa")</f>
        <v>🔗 Ver Mapa</v>
      </c>
    </row>
    <row r="7452" spans="1:12" ht="43.5" x14ac:dyDescent="0.35">
      <c r="A7452" s="6" t="s">
        <v>98</v>
      </c>
      <c r="B7452" s="6" t="s">
        <v>99</v>
      </c>
      <c r="C7452" s="6" t="s">
        <v>1416</v>
      </c>
      <c r="D7452" s="6" t="s">
        <v>14</v>
      </c>
      <c r="E7452" s="6" t="s">
        <v>39</v>
      </c>
      <c r="F7452" s="6" t="s">
        <v>353</v>
      </c>
      <c r="G7452" s="6" t="s">
        <v>1417</v>
      </c>
      <c r="H7452" s="6" t="s">
        <v>1418</v>
      </c>
      <c r="I7452" s="6" t="s">
        <v>31</v>
      </c>
      <c r="J7452" s="6">
        <v>16.322226624047001</v>
      </c>
      <c r="K7452" s="6">
        <v>-96.673978035511993</v>
      </c>
      <c r="L7452" s="6" t="str">
        <f>HYPERLINK("https://maps.google.com/?q=16.3222266240473,-96.673978035511695", "🔗 Ver Mapa")</f>
        <v>🔗 Ver Mapa</v>
      </c>
    </row>
    <row r="7453" spans="1:12" ht="43.5" x14ac:dyDescent="0.35">
      <c r="A7453" s="5" t="s">
        <v>98</v>
      </c>
      <c r="B7453" s="5" t="s">
        <v>99</v>
      </c>
      <c r="C7453" s="5" t="s">
        <v>1416</v>
      </c>
      <c r="D7453" s="5" t="s">
        <v>14</v>
      </c>
      <c r="E7453" s="5" t="s">
        <v>39</v>
      </c>
      <c r="F7453" s="5" t="s">
        <v>353</v>
      </c>
      <c r="G7453" s="5" t="s">
        <v>1417</v>
      </c>
      <c r="H7453" s="5" t="s">
        <v>1418</v>
      </c>
      <c r="I7453" s="5" t="s">
        <v>31</v>
      </c>
      <c r="J7453" s="5">
        <v>16.322745228304999</v>
      </c>
      <c r="K7453" s="5">
        <v>-96.673987387729994</v>
      </c>
      <c r="L7453" s="5" t="str">
        <f>HYPERLINK("https://maps.google.com/?q=16.3227452283053,-96.673987387729895", "🔗 Ver Mapa")</f>
        <v>🔗 Ver Mapa</v>
      </c>
    </row>
    <row r="7454" spans="1:12" ht="43.5" x14ac:dyDescent="0.35">
      <c r="A7454" s="6" t="s">
        <v>98</v>
      </c>
      <c r="B7454" s="6" t="s">
        <v>99</v>
      </c>
      <c r="C7454" s="6" t="s">
        <v>1416</v>
      </c>
      <c r="D7454" s="6" t="s">
        <v>14</v>
      </c>
      <c r="E7454" s="6" t="s">
        <v>39</v>
      </c>
      <c r="F7454" s="6" t="s">
        <v>353</v>
      </c>
      <c r="G7454" s="6" t="s">
        <v>1417</v>
      </c>
      <c r="H7454" s="6" t="s">
        <v>1418</v>
      </c>
      <c r="I7454" s="6" t="s">
        <v>31</v>
      </c>
      <c r="J7454" s="6">
        <v>16.324170503798001</v>
      </c>
      <c r="K7454" s="6">
        <v>-96.675061078495006</v>
      </c>
      <c r="L7454" s="6" t="str">
        <f>HYPERLINK("https://maps.google.com/?q=16.3241705037982,-96.675061078494906", "🔗 Ver Mapa")</f>
        <v>🔗 Ver Mapa</v>
      </c>
    </row>
    <row r="7455" spans="1:12" ht="43.5" x14ac:dyDescent="0.35">
      <c r="A7455" s="5" t="s">
        <v>98</v>
      </c>
      <c r="B7455" s="5" t="s">
        <v>99</v>
      </c>
      <c r="C7455" s="5" t="s">
        <v>1416</v>
      </c>
      <c r="D7455" s="5" t="s">
        <v>14</v>
      </c>
      <c r="E7455" s="5" t="s">
        <v>39</v>
      </c>
      <c r="F7455" s="5" t="s">
        <v>353</v>
      </c>
      <c r="G7455" s="5" t="s">
        <v>1417</v>
      </c>
      <c r="H7455" s="5" t="s">
        <v>1418</v>
      </c>
      <c r="I7455" s="5" t="s">
        <v>31</v>
      </c>
      <c r="J7455" s="5">
        <v>16.324261925843</v>
      </c>
      <c r="K7455" s="5">
        <v>-96.669853348681997</v>
      </c>
      <c r="L7455" s="5" t="str">
        <f>HYPERLINK("https://maps.google.com/?q=16.3242619258426,-96.669853348682494", "🔗 Ver Mapa")</f>
        <v>🔗 Ver Mapa</v>
      </c>
    </row>
    <row r="7456" spans="1:12" ht="43.5" x14ac:dyDescent="0.35">
      <c r="A7456" s="6" t="s">
        <v>98</v>
      </c>
      <c r="B7456" s="6" t="s">
        <v>99</v>
      </c>
      <c r="C7456" s="6" t="s">
        <v>1416</v>
      </c>
      <c r="D7456" s="6" t="s">
        <v>14</v>
      </c>
      <c r="E7456" s="6" t="s">
        <v>39</v>
      </c>
      <c r="F7456" s="6" t="s">
        <v>353</v>
      </c>
      <c r="G7456" s="6" t="s">
        <v>1417</v>
      </c>
      <c r="H7456" s="6" t="s">
        <v>1418</v>
      </c>
      <c r="I7456" s="6" t="s">
        <v>31</v>
      </c>
      <c r="J7456" s="6">
        <v>16.324791724773</v>
      </c>
      <c r="K7456" s="6">
        <v>-96.679009107968994</v>
      </c>
      <c r="L7456" s="6" t="str">
        <f>HYPERLINK("https://maps.google.com/?q=16.3247917247733,-96.679009107969193", "🔗 Ver Mapa")</f>
        <v>🔗 Ver Mapa</v>
      </c>
    </row>
    <row r="7457" spans="1:12" ht="43.5" x14ac:dyDescent="0.35">
      <c r="A7457" s="5" t="s">
        <v>98</v>
      </c>
      <c r="B7457" s="5" t="s">
        <v>99</v>
      </c>
      <c r="C7457" s="5" t="s">
        <v>1416</v>
      </c>
      <c r="D7457" s="5" t="s">
        <v>14</v>
      </c>
      <c r="E7457" s="5" t="s">
        <v>39</v>
      </c>
      <c r="F7457" s="5" t="s">
        <v>353</v>
      </c>
      <c r="G7457" s="5" t="s">
        <v>1417</v>
      </c>
      <c r="H7457" s="5" t="s">
        <v>1418</v>
      </c>
      <c r="I7457" s="5" t="s">
        <v>31</v>
      </c>
      <c r="J7457" s="5">
        <v>16.325465784696998</v>
      </c>
      <c r="K7457" s="5">
        <v>-96.675832416196997</v>
      </c>
      <c r="L7457" s="5" t="str">
        <f>HYPERLINK("https://maps.google.com/?q=16.3254657846972,-96.675832416196698", "🔗 Ver Mapa")</f>
        <v>🔗 Ver Mapa</v>
      </c>
    </row>
    <row r="7458" spans="1:12" ht="43.5" x14ac:dyDescent="0.35">
      <c r="A7458" s="6" t="s">
        <v>98</v>
      </c>
      <c r="B7458" s="6" t="s">
        <v>99</v>
      </c>
      <c r="C7458" s="6" t="s">
        <v>1416</v>
      </c>
      <c r="D7458" s="6" t="s">
        <v>14</v>
      </c>
      <c r="E7458" s="6" t="s">
        <v>39</v>
      </c>
      <c r="F7458" s="6" t="s">
        <v>353</v>
      </c>
      <c r="G7458" s="6" t="s">
        <v>1417</v>
      </c>
      <c r="H7458" s="6" t="s">
        <v>1418</v>
      </c>
      <c r="I7458" s="6" t="s">
        <v>31</v>
      </c>
      <c r="J7458" s="6">
        <v>16.325623237818998</v>
      </c>
      <c r="K7458" s="6">
        <v>-96.675667731771</v>
      </c>
      <c r="L7458" s="6" t="str">
        <f>HYPERLINK("https://maps.google.com/?q=16.3256232378188,-96.675667731771298", "🔗 Ver Mapa")</f>
        <v>🔗 Ver Mapa</v>
      </c>
    </row>
    <row r="7459" spans="1:12" ht="43.5" x14ac:dyDescent="0.35">
      <c r="A7459" s="5" t="s">
        <v>98</v>
      </c>
      <c r="B7459" s="5" t="s">
        <v>99</v>
      </c>
      <c r="C7459" s="5" t="s">
        <v>1416</v>
      </c>
      <c r="D7459" s="5" t="s">
        <v>14</v>
      </c>
      <c r="E7459" s="5" t="s">
        <v>39</v>
      </c>
      <c r="F7459" s="5" t="s">
        <v>353</v>
      </c>
      <c r="G7459" s="5" t="s">
        <v>1417</v>
      </c>
      <c r="H7459" s="5" t="s">
        <v>1418</v>
      </c>
      <c r="I7459" s="5" t="s">
        <v>31</v>
      </c>
      <c r="J7459" s="5">
        <v>16.329454643057002</v>
      </c>
      <c r="K7459" s="5">
        <v>-96.678748977398001</v>
      </c>
      <c r="L7459" s="5" t="str">
        <f>HYPERLINK("https://maps.google.com/?q=16.3294546430572,-96.678748977397703", "🔗 Ver Mapa")</f>
        <v>🔗 Ver Mapa</v>
      </c>
    </row>
    <row r="7460" spans="1:12" ht="43.5" x14ac:dyDescent="0.35">
      <c r="A7460" s="6" t="s">
        <v>98</v>
      </c>
      <c r="B7460" s="6" t="s">
        <v>99</v>
      </c>
      <c r="C7460" s="6" t="s">
        <v>1416</v>
      </c>
      <c r="D7460" s="6" t="s">
        <v>14</v>
      </c>
      <c r="E7460" s="6" t="s">
        <v>39</v>
      </c>
      <c r="F7460" s="6" t="s">
        <v>353</v>
      </c>
      <c r="G7460" s="6" t="s">
        <v>1417</v>
      </c>
      <c r="H7460" s="6" t="s">
        <v>1418</v>
      </c>
      <c r="I7460" s="6" t="s">
        <v>31</v>
      </c>
      <c r="J7460" s="6">
        <v>16.330015730705998</v>
      </c>
      <c r="K7460" s="6">
        <v>-96.679389332797996</v>
      </c>
      <c r="L7460" s="6" t="str">
        <f>HYPERLINK("https://maps.google.com/?q=16.3300157307063,-96.679389332798394", "🔗 Ver Mapa")</f>
        <v>🔗 Ver Mapa</v>
      </c>
    </row>
    <row r="7461" spans="1:12" ht="43.5" x14ac:dyDescent="0.35">
      <c r="A7461" s="5" t="s">
        <v>98</v>
      </c>
      <c r="B7461" s="5" t="s">
        <v>99</v>
      </c>
      <c r="C7461" s="5" t="s">
        <v>1416</v>
      </c>
      <c r="D7461" s="5" t="s">
        <v>14</v>
      </c>
      <c r="E7461" s="5" t="s">
        <v>39</v>
      </c>
      <c r="F7461" s="5" t="s">
        <v>353</v>
      </c>
      <c r="G7461" s="5" t="s">
        <v>1417</v>
      </c>
      <c r="H7461" s="5" t="s">
        <v>1418</v>
      </c>
      <c r="I7461" s="5" t="s">
        <v>31</v>
      </c>
      <c r="J7461" s="5">
        <v>16.330152065686999</v>
      </c>
      <c r="K7461" s="5">
        <v>-96.677671605227999</v>
      </c>
      <c r="L7461" s="5" t="str">
        <f>HYPERLINK("https://maps.google.com/?q=16.3301520656873,-96.677671605227701", "🔗 Ver Mapa")</f>
        <v>🔗 Ver Mapa</v>
      </c>
    </row>
    <row r="7462" spans="1:12" ht="43.5" x14ac:dyDescent="0.35">
      <c r="A7462" s="6" t="s">
        <v>98</v>
      </c>
      <c r="B7462" s="6" t="s">
        <v>99</v>
      </c>
      <c r="C7462" s="6" t="s">
        <v>1416</v>
      </c>
      <c r="D7462" s="6" t="s">
        <v>14</v>
      </c>
      <c r="E7462" s="6" t="s">
        <v>39</v>
      </c>
      <c r="F7462" s="6" t="s">
        <v>353</v>
      </c>
      <c r="G7462" s="6" t="s">
        <v>1417</v>
      </c>
      <c r="H7462" s="6" t="s">
        <v>1418</v>
      </c>
      <c r="I7462" s="6" t="s">
        <v>31</v>
      </c>
      <c r="J7462" s="6">
        <v>16.330201313046999</v>
      </c>
      <c r="K7462" s="6">
        <v>-96.663800207338994</v>
      </c>
      <c r="L7462" s="6" t="str">
        <f>HYPERLINK("https://maps.google.com/?q=16.3302013130469,-96.663800207338795", "🔗 Ver Mapa")</f>
        <v>🔗 Ver Mapa</v>
      </c>
    </row>
    <row r="7463" spans="1:12" ht="43.5" x14ac:dyDescent="0.35">
      <c r="A7463" s="5" t="s">
        <v>98</v>
      </c>
      <c r="B7463" s="5" t="s">
        <v>99</v>
      </c>
      <c r="C7463" s="5" t="s">
        <v>1416</v>
      </c>
      <c r="D7463" s="5" t="s">
        <v>14</v>
      </c>
      <c r="E7463" s="5" t="s">
        <v>39</v>
      </c>
      <c r="F7463" s="5" t="s">
        <v>353</v>
      </c>
      <c r="G7463" s="5" t="s">
        <v>1417</v>
      </c>
      <c r="H7463" s="5" t="s">
        <v>1418</v>
      </c>
      <c r="I7463" s="5" t="s">
        <v>31</v>
      </c>
      <c r="J7463" s="5">
        <v>16.330775205575002</v>
      </c>
      <c r="K7463" s="5">
        <v>-96.677370422132</v>
      </c>
      <c r="L7463" s="5" t="str">
        <f>HYPERLINK("https://maps.google.com/?q=16.3307752055752,-96.677370422131503", "🔗 Ver Mapa")</f>
        <v>🔗 Ver Mapa</v>
      </c>
    </row>
    <row r="7464" spans="1:12" ht="43.5" x14ac:dyDescent="0.35">
      <c r="A7464" s="6" t="s">
        <v>98</v>
      </c>
      <c r="B7464" s="6" t="s">
        <v>99</v>
      </c>
      <c r="C7464" s="6" t="s">
        <v>1416</v>
      </c>
      <c r="D7464" s="6" t="s">
        <v>14</v>
      </c>
      <c r="E7464" s="6" t="s">
        <v>39</v>
      </c>
      <c r="F7464" s="6" t="s">
        <v>353</v>
      </c>
      <c r="G7464" s="6" t="s">
        <v>1417</v>
      </c>
      <c r="H7464" s="6" t="s">
        <v>1418</v>
      </c>
      <c r="I7464" s="6" t="s">
        <v>31</v>
      </c>
      <c r="J7464" s="6">
        <v>16.331544604432999</v>
      </c>
      <c r="K7464" s="6">
        <v>-96.668649705780993</v>
      </c>
      <c r="L7464" s="6" t="str">
        <f>HYPERLINK("https://maps.google.com/?q=16.3315446044325,-96.668649705781405", "🔗 Ver Mapa")</f>
        <v>🔗 Ver Mapa</v>
      </c>
    </row>
    <row r="7465" spans="1:12" ht="43.5" x14ac:dyDescent="0.35">
      <c r="A7465" s="5" t="s">
        <v>98</v>
      </c>
      <c r="B7465" s="5" t="s">
        <v>99</v>
      </c>
      <c r="C7465" s="5" t="s">
        <v>1416</v>
      </c>
      <c r="D7465" s="5" t="s">
        <v>14</v>
      </c>
      <c r="E7465" s="5" t="s">
        <v>39</v>
      </c>
      <c r="F7465" s="5" t="s">
        <v>353</v>
      </c>
      <c r="G7465" s="5" t="s">
        <v>1417</v>
      </c>
      <c r="H7465" s="5" t="s">
        <v>1418</v>
      </c>
      <c r="I7465" s="5" t="s">
        <v>31</v>
      </c>
      <c r="J7465" s="5">
        <v>16.331583662391001</v>
      </c>
      <c r="K7465" s="5">
        <v>-96.669229052741997</v>
      </c>
      <c r="L7465" s="5" t="str">
        <f>HYPERLINK("https://maps.google.com/?q=16.3315836623908,-96.669229052742295", "🔗 Ver Mapa")</f>
        <v>🔗 Ver Mapa</v>
      </c>
    </row>
    <row r="7466" spans="1:12" ht="43.5" x14ac:dyDescent="0.35">
      <c r="A7466" s="6" t="s">
        <v>98</v>
      </c>
      <c r="B7466" s="6" t="s">
        <v>99</v>
      </c>
      <c r="C7466" s="6" t="s">
        <v>1419</v>
      </c>
      <c r="D7466" s="6" t="s">
        <v>14</v>
      </c>
      <c r="E7466" s="6" t="s">
        <v>52</v>
      </c>
      <c r="F7466" s="6" t="s">
        <v>70</v>
      </c>
      <c r="G7466" s="6" t="s">
        <v>71</v>
      </c>
      <c r="H7466" s="6" t="s">
        <v>72</v>
      </c>
      <c r="I7466" s="6" t="s">
        <v>31</v>
      </c>
      <c r="J7466" s="6">
        <v>17.070793724699001</v>
      </c>
      <c r="K7466" s="6">
        <v>-96.750347854476999</v>
      </c>
      <c r="L7466" s="6" t="str">
        <f>HYPERLINK("https://maps.google.com/?q=17.070793724699,-96.750347854477496", "🔗 Ver Mapa")</f>
        <v>🔗 Ver Mapa</v>
      </c>
    </row>
    <row r="7467" spans="1:12" ht="43.5" x14ac:dyDescent="0.35">
      <c r="A7467" s="5" t="s">
        <v>98</v>
      </c>
      <c r="B7467" s="5" t="s">
        <v>99</v>
      </c>
      <c r="C7467" s="5" t="s">
        <v>1419</v>
      </c>
      <c r="D7467" s="5" t="s">
        <v>14</v>
      </c>
      <c r="E7467" s="5" t="s">
        <v>52</v>
      </c>
      <c r="F7467" s="5" t="s">
        <v>70</v>
      </c>
      <c r="G7467" s="5" t="s">
        <v>71</v>
      </c>
      <c r="H7467" s="5" t="s">
        <v>72</v>
      </c>
      <c r="I7467" s="5" t="s">
        <v>31</v>
      </c>
      <c r="J7467" s="5">
        <v>17.072085288962001</v>
      </c>
      <c r="K7467" s="5">
        <v>-96.751142930466003</v>
      </c>
      <c r="L7467" s="5" t="str">
        <f>HYPERLINK("https://maps.google.com/?q=17.0720852889618,-96.751142930465605", "🔗 Ver Mapa")</f>
        <v>🔗 Ver Mapa</v>
      </c>
    </row>
    <row r="7468" spans="1:12" ht="43.5" x14ac:dyDescent="0.35">
      <c r="A7468" s="6" t="s">
        <v>98</v>
      </c>
      <c r="B7468" s="6" t="s">
        <v>99</v>
      </c>
      <c r="C7468" s="6" t="s">
        <v>1419</v>
      </c>
      <c r="D7468" s="6" t="s">
        <v>14</v>
      </c>
      <c r="E7468" s="6" t="s">
        <v>52</v>
      </c>
      <c r="F7468" s="6" t="s">
        <v>70</v>
      </c>
      <c r="G7468" s="6" t="s">
        <v>71</v>
      </c>
      <c r="H7468" s="6" t="s">
        <v>72</v>
      </c>
      <c r="I7468" s="6" t="s">
        <v>31</v>
      </c>
      <c r="J7468" s="6">
        <v>17.072150500143</v>
      </c>
      <c r="K7468" s="6">
        <v>-96.751842139312004</v>
      </c>
      <c r="L7468" s="6" t="str">
        <f>HYPERLINK("https://maps.google.com/?q=17.0721505001426,-96.751842139311506", "🔗 Ver Mapa")</f>
        <v>🔗 Ver Mapa</v>
      </c>
    </row>
    <row r="7469" spans="1:12" ht="43.5" x14ac:dyDescent="0.35">
      <c r="A7469" s="5" t="s">
        <v>98</v>
      </c>
      <c r="B7469" s="5" t="s">
        <v>99</v>
      </c>
      <c r="C7469" s="5" t="s">
        <v>1419</v>
      </c>
      <c r="D7469" s="5" t="s">
        <v>14</v>
      </c>
      <c r="E7469" s="5" t="s">
        <v>52</v>
      </c>
      <c r="F7469" s="5" t="s">
        <v>70</v>
      </c>
      <c r="G7469" s="5" t="s">
        <v>71</v>
      </c>
      <c r="H7469" s="5" t="s">
        <v>72</v>
      </c>
      <c r="I7469" s="5" t="s">
        <v>31</v>
      </c>
      <c r="J7469" s="5">
        <v>17.072437214571</v>
      </c>
      <c r="K7469" s="5">
        <v>-96.751923213373004</v>
      </c>
      <c r="L7469" s="5" t="str">
        <f>HYPERLINK("https://maps.google.com/?q=17.072437214571,-96.751923213373004", "🔗 Ver Mapa")</f>
        <v>🔗 Ver Mapa</v>
      </c>
    </row>
    <row r="7470" spans="1:12" ht="43.5" x14ac:dyDescent="0.35">
      <c r="A7470" s="6" t="s">
        <v>98</v>
      </c>
      <c r="B7470" s="6" t="s">
        <v>99</v>
      </c>
      <c r="C7470" s="6" t="s">
        <v>1419</v>
      </c>
      <c r="D7470" s="6" t="s">
        <v>14</v>
      </c>
      <c r="E7470" s="6" t="s">
        <v>52</v>
      </c>
      <c r="F7470" s="6" t="s">
        <v>70</v>
      </c>
      <c r="G7470" s="6" t="s">
        <v>71</v>
      </c>
      <c r="H7470" s="6" t="s">
        <v>72</v>
      </c>
      <c r="I7470" s="6" t="s">
        <v>31</v>
      </c>
      <c r="J7470" s="6">
        <v>17.072944553269998</v>
      </c>
      <c r="K7470" s="6">
        <v>-96.749760511247999</v>
      </c>
      <c r="L7470" s="6" t="str">
        <f>HYPERLINK("https://maps.google.com/?q=17.0729445532699,-96.749760511248198", "🔗 Ver Mapa")</f>
        <v>🔗 Ver Mapa</v>
      </c>
    </row>
    <row r="7471" spans="1:12" ht="43.5" x14ac:dyDescent="0.35">
      <c r="A7471" s="5" t="s">
        <v>98</v>
      </c>
      <c r="B7471" s="5" t="s">
        <v>99</v>
      </c>
      <c r="C7471" s="5" t="s">
        <v>1419</v>
      </c>
      <c r="D7471" s="5" t="s">
        <v>14</v>
      </c>
      <c r="E7471" s="5" t="s">
        <v>52</v>
      </c>
      <c r="F7471" s="5" t="s">
        <v>70</v>
      </c>
      <c r="G7471" s="5" t="s">
        <v>71</v>
      </c>
      <c r="H7471" s="5" t="s">
        <v>72</v>
      </c>
      <c r="I7471" s="5" t="s">
        <v>31</v>
      </c>
      <c r="J7471" s="5">
        <v>17.074524817524999</v>
      </c>
      <c r="K7471" s="5">
        <v>-96.750804103754007</v>
      </c>
      <c r="L7471" s="5" t="str">
        <f>HYPERLINK("https://maps.google.com/?q=17.0745248175245,-96.750804103754405", "🔗 Ver Mapa")</f>
        <v>🔗 Ver Mapa</v>
      </c>
    </row>
    <row r="7472" spans="1:12" ht="43.5" x14ac:dyDescent="0.35">
      <c r="A7472" s="6" t="s">
        <v>98</v>
      </c>
      <c r="B7472" s="6" t="s">
        <v>99</v>
      </c>
      <c r="C7472" s="6" t="s">
        <v>1420</v>
      </c>
      <c r="D7472" s="6" t="s">
        <v>14</v>
      </c>
      <c r="E7472" s="6" t="s">
        <v>158</v>
      </c>
      <c r="F7472" s="6" t="s">
        <v>159</v>
      </c>
      <c r="G7472" s="6" t="s">
        <v>222</v>
      </c>
      <c r="H7472" s="6" t="s">
        <v>1421</v>
      </c>
      <c r="I7472" s="6" t="s">
        <v>31</v>
      </c>
      <c r="J7472" s="6">
        <v>16.985687172256</v>
      </c>
      <c r="K7472" s="6">
        <v>-95.013319074478005</v>
      </c>
      <c r="L7472" s="6" t="str">
        <f>HYPERLINK("https://maps.google.com/?q=16.9856871722556,-95.013319074477593", "🔗 Ver Mapa")</f>
        <v>🔗 Ver Mapa</v>
      </c>
    </row>
    <row r="7473" spans="1:12" ht="43.5" x14ac:dyDescent="0.35">
      <c r="A7473" s="5" t="s">
        <v>98</v>
      </c>
      <c r="B7473" s="5" t="s">
        <v>99</v>
      </c>
      <c r="C7473" s="5" t="s">
        <v>1420</v>
      </c>
      <c r="D7473" s="5" t="s">
        <v>14</v>
      </c>
      <c r="E7473" s="5" t="s">
        <v>158</v>
      </c>
      <c r="F7473" s="5" t="s">
        <v>159</v>
      </c>
      <c r="G7473" s="5" t="s">
        <v>222</v>
      </c>
      <c r="H7473" s="5" t="s">
        <v>1421</v>
      </c>
      <c r="I7473" s="5" t="s">
        <v>31</v>
      </c>
      <c r="J7473" s="5">
        <v>16.986751876292999</v>
      </c>
      <c r="K7473" s="5">
        <v>-95.015341892907003</v>
      </c>
      <c r="L7473" s="5" t="str">
        <f>HYPERLINK("https://maps.google.com/?q=16.9867518762932,-95.015341892907202", "🔗 Ver Mapa")</f>
        <v>🔗 Ver Mapa</v>
      </c>
    </row>
    <row r="7474" spans="1:12" ht="43.5" x14ac:dyDescent="0.35">
      <c r="A7474" s="6" t="s">
        <v>98</v>
      </c>
      <c r="B7474" s="6" t="s">
        <v>99</v>
      </c>
      <c r="C7474" s="6" t="s">
        <v>1420</v>
      </c>
      <c r="D7474" s="6" t="s">
        <v>14</v>
      </c>
      <c r="E7474" s="6" t="s">
        <v>158</v>
      </c>
      <c r="F7474" s="6" t="s">
        <v>159</v>
      </c>
      <c r="G7474" s="6" t="s">
        <v>222</v>
      </c>
      <c r="H7474" s="6" t="s">
        <v>1421</v>
      </c>
      <c r="I7474" s="6" t="s">
        <v>31</v>
      </c>
      <c r="J7474" s="6">
        <v>16.986821526827001</v>
      </c>
      <c r="K7474" s="6">
        <v>-95.013550159624003</v>
      </c>
      <c r="L7474" s="6" t="str">
        <f>HYPERLINK("https://maps.google.com/?q=16.9868215268273,-95.013550159623904", "🔗 Ver Mapa")</f>
        <v>🔗 Ver Mapa</v>
      </c>
    </row>
    <row r="7475" spans="1:12" ht="43.5" x14ac:dyDescent="0.35">
      <c r="A7475" s="5" t="s">
        <v>98</v>
      </c>
      <c r="B7475" s="5" t="s">
        <v>99</v>
      </c>
      <c r="C7475" s="5" t="s">
        <v>1420</v>
      </c>
      <c r="D7475" s="5" t="s">
        <v>14</v>
      </c>
      <c r="E7475" s="5" t="s">
        <v>158</v>
      </c>
      <c r="F7475" s="5" t="s">
        <v>159</v>
      </c>
      <c r="G7475" s="5" t="s">
        <v>222</v>
      </c>
      <c r="H7475" s="5" t="s">
        <v>1421</v>
      </c>
      <c r="I7475" s="5" t="s">
        <v>31</v>
      </c>
      <c r="J7475" s="5">
        <v>16.986903172666</v>
      </c>
      <c r="K7475" s="5">
        <v>-95.011780145581994</v>
      </c>
      <c r="L7475" s="5" t="str">
        <f>HYPERLINK("https://maps.google.com/?q=16.9869031726659,-95.011780145581994", "🔗 Ver Mapa")</f>
        <v>🔗 Ver Mapa</v>
      </c>
    </row>
    <row r="7476" spans="1:12" ht="43.5" x14ac:dyDescent="0.35">
      <c r="A7476" s="6" t="s">
        <v>98</v>
      </c>
      <c r="B7476" s="6" t="s">
        <v>99</v>
      </c>
      <c r="C7476" s="6" t="s">
        <v>1420</v>
      </c>
      <c r="D7476" s="6" t="s">
        <v>14</v>
      </c>
      <c r="E7476" s="6" t="s">
        <v>158</v>
      </c>
      <c r="F7476" s="6" t="s">
        <v>159</v>
      </c>
      <c r="G7476" s="6" t="s">
        <v>222</v>
      </c>
      <c r="H7476" s="6" t="s">
        <v>1421</v>
      </c>
      <c r="I7476" s="6" t="s">
        <v>31</v>
      </c>
      <c r="J7476" s="6">
        <v>16.987154781926002</v>
      </c>
      <c r="K7476" s="6">
        <v>-95.012963387791004</v>
      </c>
      <c r="L7476" s="6" t="str">
        <f>HYPERLINK("https://maps.google.com/?q=16.9871547819262,-95.012963387791103", "🔗 Ver Mapa")</f>
        <v>🔗 Ver Mapa</v>
      </c>
    </row>
    <row r="7477" spans="1:12" ht="43.5" x14ac:dyDescent="0.35">
      <c r="A7477" s="5" t="s">
        <v>98</v>
      </c>
      <c r="B7477" s="5" t="s">
        <v>99</v>
      </c>
      <c r="C7477" s="5" t="s">
        <v>1420</v>
      </c>
      <c r="D7477" s="5" t="s">
        <v>14</v>
      </c>
      <c r="E7477" s="5" t="s">
        <v>158</v>
      </c>
      <c r="F7477" s="5" t="s">
        <v>159</v>
      </c>
      <c r="G7477" s="5" t="s">
        <v>222</v>
      </c>
      <c r="H7477" s="5" t="s">
        <v>1421</v>
      </c>
      <c r="I7477" s="5" t="s">
        <v>31</v>
      </c>
      <c r="J7477" s="5">
        <v>16.987217263403</v>
      </c>
      <c r="K7477" s="5">
        <v>-95.015424364417996</v>
      </c>
      <c r="L7477" s="5" t="str">
        <f>HYPERLINK("https://maps.google.com/?q=16.9872172634027,-95.015424364418195", "🔗 Ver Mapa")</f>
        <v>🔗 Ver Mapa</v>
      </c>
    </row>
    <row r="7478" spans="1:12" ht="43.5" x14ac:dyDescent="0.35">
      <c r="A7478" s="6" t="s">
        <v>98</v>
      </c>
      <c r="B7478" s="6" t="s">
        <v>99</v>
      </c>
      <c r="C7478" s="6" t="s">
        <v>1420</v>
      </c>
      <c r="D7478" s="6" t="s">
        <v>14</v>
      </c>
      <c r="E7478" s="6" t="s">
        <v>158</v>
      </c>
      <c r="F7478" s="6" t="s">
        <v>159</v>
      </c>
      <c r="G7478" s="6" t="s">
        <v>222</v>
      </c>
      <c r="H7478" s="6" t="s">
        <v>1421</v>
      </c>
      <c r="I7478" s="6" t="s">
        <v>31</v>
      </c>
      <c r="J7478" s="6">
        <v>16.987237577481999</v>
      </c>
      <c r="K7478" s="6">
        <v>-95.012199532208996</v>
      </c>
      <c r="L7478" s="6" t="str">
        <f>HYPERLINK("https://maps.google.com/?q=16.9872375774821,-95.012199532209195", "🔗 Ver Mapa")</f>
        <v>🔗 Ver Mapa</v>
      </c>
    </row>
    <row r="7479" spans="1:12" ht="43.5" x14ac:dyDescent="0.35">
      <c r="A7479" s="5" t="s">
        <v>98</v>
      </c>
      <c r="B7479" s="5" t="s">
        <v>99</v>
      </c>
      <c r="C7479" s="5" t="s">
        <v>1420</v>
      </c>
      <c r="D7479" s="5" t="s">
        <v>14</v>
      </c>
      <c r="E7479" s="5" t="s">
        <v>158</v>
      </c>
      <c r="F7479" s="5" t="s">
        <v>159</v>
      </c>
      <c r="G7479" s="5" t="s">
        <v>222</v>
      </c>
      <c r="H7479" s="5" t="s">
        <v>1421</v>
      </c>
      <c r="I7479" s="5" t="s">
        <v>31</v>
      </c>
      <c r="J7479" s="5">
        <v>16.987298817848998</v>
      </c>
      <c r="K7479" s="5">
        <v>-95.016126367789994</v>
      </c>
      <c r="L7479" s="5" t="str">
        <f>HYPERLINK("https://maps.google.com/?q=16.9872988178488,-95.016126367789894", "🔗 Ver Mapa")</f>
        <v>🔗 Ver Mapa</v>
      </c>
    </row>
    <row r="7480" spans="1:12" ht="43.5" x14ac:dyDescent="0.35">
      <c r="A7480" s="6" t="s">
        <v>98</v>
      </c>
      <c r="B7480" s="6" t="s">
        <v>99</v>
      </c>
      <c r="C7480" s="6" t="s">
        <v>1420</v>
      </c>
      <c r="D7480" s="6" t="s">
        <v>14</v>
      </c>
      <c r="E7480" s="6" t="s">
        <v>158</v>
      </c>
      <c r="F7480" s="6" t="s">
        <v>159</v>
      </c>
      <c r="G7480" s="6" t="s">
        <v>222</v>
      </c>
      <c r="H7480" s="6" t="s">
        <v>1421</v>
      </c>
      <c r="I7480" s="6" t="s">
        <v>31</v>
      </c>
      <c r="J7480" s="6">
        <v>16.987420142303002</v>
      </c>
      <c r="K7480" s="6">
        <v>-95.015422307790999</v>
      </c>
      <c r="L7480" s="6" t="str">
        <f>HYPERLINK("https://maps.google.com/?q=16.9874201423032,-95.015422307791098", "🔗 Ver Mapa")</f>
        <v>🔗 Ver Mapa</v>
      </c>
    </row>
    <row r="7481" spans="1:12" ht="43.5" x14ac:dyDescent="0.35">
      <c r="A7481" s="5" t="s">
        <v>98</v>
      </c>
      <c r="B7481" s="5" t="s">
        <v>99</v>
      </c>
      <c r="C7481" s="5" t="s">
        <v>1420</v>
      </c>
      <c r="D7481" s="5" t="s">
        <v>14</v>
      </c>
      <c r="E7481" s="5" t="s">
        <v>158</v>
      </c>
      <c r="F7481" s="5" t="s">
        <v>159</v>
      </c>
      <c r="G7481" s="5" t="s">
        <v>222</v>
      </c>
      <c r="H7481" s="5" t="s">
        <v>1421</v>
      </c>
      <c r="I7481" s="5" t="s">
        <v>31</v>
      </c>
      <c r="J7481" s="5">
        <v>16.987687276298999</v>
      </c>
      <c r="K7481" s="5">
        <v>-95.015341875244999</v>
      </c>
      <c r="L7481" s="5" t="str">
        <f>HYPERLINK("https://maps.google.com/?q=16.9876872762994,-95.015341875245298", "🔗 Ver Mapa")</f>
        <v>🔗 Ver Mapa</v>
      </c>
    </row>
    <row r="7482" spans="1:12" ht="43.5" x14ac:dyDescent="0.35">
      <c r="A7482" s="6" t="s">
        <v>98</v>
      </c>
      <c r="B7482" s="6" t="s">
        <v>99</v>
      </c>
      <c r="C7482" s="6" t="s">
        <v>1420</v>
      </c>
      <c r="D7482" s="6" t="s">
        <v>14</v>
      </c>
      <c r="E7482" s="6" t="s">
        <v>158</v>
      </c>
      <c r="F7482" s="6" t="s">
        <v>159</v>
      </c>
      <c r="G7482" s="6" t="s">
        <v>222</v>
      </c>
      <c r="H7482" s="6" t="s">
        <v>1421</v>
      </c>
      <c r="I7482" s="6" t="s">
        <v>31</v>
      </c>
      <c r="J7482" s="6">
        <v>16.988050407839001</v>
      </c>
      <c r="K7482" s="6">
        <v>-95.015976667790994</v>
      </c>
      <c r="L7482" s="6" t="str">
        <f>HYPERLINK("https://maps.google.com/?q=16.9880504078388,-95.015976667791094", "🔗 Ver Mapa")</f>
        <v>🔗 Ver Mapa</v>
      </c>
    </row>
    <row r="7483" spans="1:12" ht="43.5" x14ac:dyDescent="0.35">
      <c r="A7483" s="5" t="s">
        <v>98</v>
      </c>
      <c r="B7483" s="5" t="s">
        <v>99</v>
      </c>
      <c r="C7483" s="5" t="s">
        <v>1420</v>
      </c>
      <c r="D7483" s="5" t="s">
        <v>14</v>
      </c>
      <c r="E7483" s="5" t="s">
        <v>158</v>
      </c>
      <c r="F7483" s="5" t="s">
        <v>159</v>
      </c>
      <c r="G7483" s="5" t="s">
        <v>222</v>
      </c>
      <c r="H7483" s="5" t="s">
        <v>1421</v>
      </c>
      <c r="I7483" s="5" t="s">
        <v>31</v>
      </c>
      <c r="J7483" s="5">
        <v>16.988477403000001</v>
      </c>
      <c r="K7483" s="5">
        <v>-95.016154727791005</v>
      </c>
      <c r="L7483" s="5" t="str">
        <f>HYPERLINK("https://maps.google.com/?q=16.9884774029999,-95.016154727790905", "🔗 Ver Mapa")</f>
        <v>🔗 Ver Mapa</v>
      </c>
    </row>
    <row r="7484" spans="1:12" ht="43.5" x14ac:dyDescent="0.35">
      <c r="A7484" s="6" t="s">
        <v>98</v>
      </c>
      <c r="B7484" s="6" t="s">
        <v>99</v>
      </c>
      <c r="C7484" s="6" t="s">
        <v>1420</v>
      </c>
      <c r="D7484" s="6" t="s">
        <v>14</v>
      </c>
      <c r="E7484" s="6" t="s">
        <v>158</v>
      </c>
      <c r="F7484" s="6" t="s">
        <v>159</v>
      </c>
      <c r="G7484" s="6" t="s">
        <v>222</v>
      </c>
      <c r="H7484" s="6" t="s">
        <v>1421</v>
      </c>
      <c r="I7484" s="6" t="s">
        <v>31</v>
      </c>
      <c r="J7484" s="6">
        <v>16.989115108458002</v>
      </c>
      <c r="K7484" s="6">
        <v>-95.013164181164001</v>
      </c>
      <c r="L7484" s="6" t="str">
        <f>HYPERLINK("https://maps.google.com/?q=16.9891151084575,-95.013164181163901", "🔗 Ver Mapa")</f>
        <v>🔗 Ver Mapa</v>
      </c>
    </row>
    <row r="7485" spans="1:12" ht="43.5" x14ac:dyDescent="0.35">
      <c r="A7485" s="5" t="s">
        <v>98</v>
      </c>
      <c r="B7485" s="5" t="s">
        <v>99</v>
      </c>
      <c r="C7485" s="5" t="s">
        <v>1420</v>
      </c>
      <c r="D7485" s="5" t="s">
        <v>14</v>
      </c>
      <c r="E7485" s="5" t="s">
        <v>158</v>
      </c>
      <c r="F7485" s="5" t="s">
        <v>159</v>
      </c>
      <c r="G7485" s="5" t="s">
        <v>222</v>
      </c>
      <c r="H7485" s="5" t="s">
        <v>1421</v>
      </c>
      <c r="I7485" s="5" t="s">
        <v>31</v>
      </c>
      <c r="J7485" s="5">
        <v>16.989325188742001</v>
      </c>
      <c r="K7485" s="5">
        <v>-95.015429190253002</v>
      </c>
      <c r="L7485" s="5" t="str">
        <f>HYPERLINK("https://maps.google.com/?q=16.989325188742,-95.015429190252704", "🔗 Ver Mapa")</f>
        <v>🔗 Ver Mapa</v>
      </c>
    </row>
    <row r="7486" spans="1:12" ht="43.5" x14ac:dyDescent="0.35">
      <c r="A7486" s="6" t="s">
        <v>98</v>
      </c>
      <c r="B7486" s="6" t="s">
        <v>99</v>
      </c>
      <c r="C7486" s="6" t="s">
        <v>1420</v>
      </c>
      <c r="D7486" s="6" t="s">
        <v>14</v>
      </c>
      <c r="E7486" s="6" t="s">
        <v>158</v>
      </c>
      <c r="F7486" s="6" t="s">
        <v>159</v>
      </c>
      <c r="G7486" s="6" t="s">
        <v>222</v>
      </c>
      <c r="H7486" s="6" t="s">
        <v>1421</v>
      </c>
      <c r="I7486" s="6" t="s">
        <v>31</v>
      </c>
      <c r="J7486" s="6">
        <v>16.989926267518999</v>
      </c>
      <c r="K7486" s="6">
        <v>-95.014804107374005</v>
      </c>
      <c r="L7486" s="6" t="str">
        <f>HYPERLINK("https://maps.google.com/?q=16.9899262675191,-95.014804107374403", "🔗 Ver Mapa")</f>
        <v>🔗 Ver Mapa</v>
      </c>
    </row>
    <row r="7487" spans="1:12" ht="43.5" x14ac:dyDescent="0.35">
      <c r="A7487" s="5" t="s">
        <v>98</v>
      </c>
      <c r="B7487" s="5" t="s">
        <v>99</v>
      </c>
      <c r="C7487" s="5" t="s">
        <v>1420</v>
      </c>
      <c r="D7487" s="5" t="s">
        <v>14</v>
      </c>
      <c r="E7487" s="5" t="s">
        <v>158</v>
      </c>
      <c r="F7487" s="5" t="s">
        <v>159</v>
      </c>
      <c r="G7487" s="5" t="s">
        <v>222</v>
      </c>
      <c r="H7487" s="5" t="s">
        <v>1421</v>
      </c>
      <c r="I7487" s="5" t="s">
        <v>31</v>
      </c>
      <c r="J7487" s="5">
        <v>16.990107117522001</v>
      </c>
      <c r="K7487" s="5">
        <v>-95.013912894417999</v>
      </c>
      <c r="L7487" s="5" t="str">
        <f>HYPERLINK("https://maps.google.com/?q=16.9901071175218,-95.013912894418198", "🔗 Ver Mapa")</f>
        <v>🔗 Ver Mapa</v>
      </c>
    </row>
    <row r="7488" spans="1:12" ht="43.5" x14ac:dyDescent="0.35">
      <c r="A7488" s="6" t="s">
        <v>98</v>
      </c>
      <c r="B7488" s="6" t="s">
        <v>99</v>
      </c>
      <c r="C7488" s="6" t="s">
        <v>1420</v>
      </c>
      <c r="D7488" s="6" t="s">
        <v>14</v>
      </c>
      <c r="E7488" s="6" t="s">
        <v>158</v>
      </c>
      <c r="F7488" s="6" t="s">
        <v>159</v>
      </c>
      <c r="G7488" s="6" t="s">
        <v>222</v>
      </c>
      <c r="H7488" s="6" t="s">
        <v>1421</v>
      </c>
      <c r="I7488" s="6" t="s">
        <v>31</v>
      </c>
      <c r="J7488" s="6">
        <v>16.990538767528001</v>
      </c>
      <c r="K7488" s="6">
        <v>-95.015291317790997</v>
      </c>
      <c r="L7488" s="6" t="str">
        <f>HYPERLINK("https://maps.google.com/?q=16.9905387675277,-95.015291317791096", "🔗 Ver Mapa")</f>
        <v>🔗 Ver Mapa</v>
      </c>
    </row>
    <row r="7489" spans="1:12" ht="43.5" x14ac:dyDescent="0.35">
      <c r="A7489" s="5" t="s">
        <v>98</v>
      </c>
      <c r="B7489" s="5" t="s">
        <v>99</v>
      </c>
      <c r="C7489" s="5" t="s">
        <v>1420</v>
      </c>
      <c r="D7489" s="5" t="s">
        <v>14</v>
      </c>
      <c r="E7489" s="5" t="s">
        <v>158</v>
      </c>
      <c r="F7489" s="5" t="s">
        <v>159</v>
      </c>
      <c r="G7489" s="5" t="s">
        <v>222</v>
      </c>
      <c r="H7489" s="5" t="s">
        <v>1421</v>
      </c>
      <c r="I7489" s="5" t="s">
        <v>31</v>
      </c>
      <c r="J7489" s="5">
        <v>16.991197027537002</v>
      </c>
      <c r="K7489" s="5">
        <v>-95.013943726746007</v>
      </c>
      <c r="L7489" s="5" t="str">
        <f>HYPERLINK("https://maps.google.com/?q=16.9911970275368,-95.013943726745893", "🔗 Ver Mapa")</f>
        <v>🔗 Ver Mapa</v>
      </c>
    </row>
    <row r="7490" spans="1:12" ht="43.5" x14ac:dyDescent="0.35">
      <c r="A7490" s="6" t="s">
        <v>98</v>
      </c>
      <c r="B7490" s="6" t="s">
        <v>99</v>
      </c>
      <c r="C7490" s="6" t="s">
        <v>1422</v>
      </c>
      <c r="D7490" s="6" t="s">
        <v>14</v>
      </c>
      <c r="E7490" s="6" t="s">
        <v>16</v>
      </c>
      <c r="F7490" s="6" t="s">
        <v>19</v>
      </c>
      <c r="G7490" s="6" t="s">
        <v>1423</v>
      </c>
      <c r="H7490" s="6" t="s">
        <v>1424</v>
      </c>
      <c r="I7490" s="6" t="s">
        <v>31</v>
      </c>
      <c r="J7490" s="6">
        <v>17.341157679999998</v>
      </c>
      <c r="K7490" s="6">
        <v>-97.372171159999994</v>
      </c>
      <c r="L7490" s="6" t="str">
        <f>HYPERLINK("https://maps.google.com/?q=17.34115768,-97.372171159999994", "🔗 Ver Mapa")</f>
        <v>🔗 Ver Mapa</v>
      </c>
    </row>
    <row r="7491" spans="1:12" ht="43.5" x14ac:dyDescent="0.35">
      <c r="A7491" s="5" t="s">
        <v>98</v>
      </c>
      <c r="B7491" s="5" t="s">
        <v>99</v>
      </c>
      <c r="C7491" s="5" t="s">
        <v>1422</v>
      </c>
      <c r="D7491" s="5" t="s">
        <v>14</v>
      </c>
      <c r="E7491" s="5" t="s">
        <v>16</v>
      </c>
      <c r="F7491" s="5" t="s">
        <v>19</v>
      </c>
      <c r="G7491" s="5" t="s">
        <v>1423</v>
      </c>
      <c r="H7491" s="5" t="s">
        <v>1424</v>
      </c>
      <c r="I7491" s="5" t="s">
        <v>31</v>
      </c>
      <c r="J7491" s="5">
        <v>17.34127046</v>
      </c>
      <c r="K7491" s="5">
        <v>-97.371738890000003</v>
      </c>
      <c r="L7491" s="5" t="str">
        <f>HYPERLINK("https://maps.google.com/?q=17.34127046,-97.371738890000003", "🔗 Ver Mapa")</f>
        <v>🔗 Ver Mapa</v>
      </c>
    </row>
    <row r="7492" spans="1:12" ht="43.5" x14ac:dyDescent="0.35">
      <c r="A7492" s="6" t="s">
        <v>98</v>
      </c>
      <c r="B7492" s="6" t="s">
        <v>99</v>
      </c>
      <c r="C7492" s="6" t="s">
        <v>1422</v>
      </c>
      <c r="D7492" s="6" t="s">
        <v>14</v>
      </c>
      <c r="E7492" s="6" t="s">
        <v>16</v>
      </c>
      <c r="F7492" s="6" t="s">
        <v>19</v>
      </c>
      <c r="G7492" s="6" t="s">
        <v>1423</v>
      </c>
      <c r="H7492" s="6" t="s">
        <v>1424</v>
      </c>
      <c r="I7492" s="6" t="s">
        <v>31</v>
      </c>
      <c r="J7492" s="6">
        <v>17.341555320000001</v>
      </c>
      <c r="K7492" s="6">
        <v>-97.37209335</v>
      </c>
      <c r="L7492" s="6" t="str">
        <f>HYPERLINK("https://maps.google.com/?q=17.34155532,-97.37209335", "🔗 Ver Mapa")</f>
        <v>🔗 Ver Mapa</v>
      </c>
    </row>
    <row r="7493" spans="1:12" ht="43.5" x14ac:dyDescent="0.35">
      <c r="A7493" s="5" t="s">
        <v>98</v>
      </c>
      <c r="B7493" s="5" t="s">
        <v>99</v>
      </c>
      <c r="C7493" s="5" t="s">
        <v>1422</v>
      </c>
      <c r="D7493" s="5" t="s">
        <v>14</v>
      </c>
      <c r="E7493" s="5" t="s">
        <v>16</v>
      </c>
      <c r="F7493" s="5" t="s">
        <v>19</v>
      </c>
      <c r="G7493" s="5" t="s">
        <v>1423</v>
      </c>
      <c r="H7493" s="5" t="s">
        <v>1424</v>
      </c>
      <c r="I7493" s="5" t="s">
        <v>31</v>
      </c>
      <c r="J7493" s="5">
        <v>17.34167656</v>
      </c>
      <c r="K7493" s="5">
        <v>-97.371934640000006</v>
      </c>
      <c r="L7493" s="5" t="str">
        <f>HYPERLINK("https://maps.google.com/?q=17.34167656,-97.371934640000006", "🔗 Ver Mapa")</f>
        <v>🔗 Ver Mapa</v>
      </c>
    </row>
    <row r="7494" spans="1:12" ht="43.5" x14ac:dyDescent="0.35">
      <c r="A7494" s="6" t="s">
        <v>98</v>
      </c>
      <c r="B7494" s="6" t="s">
        <v>99</v>
      </c>
      <c r="C7494" s="6" t="s">
        <v>1422</v>
      </c>
      <c r="D7494" s="6" t="s">
        <v>14</v>
      </c>
      <c r="E7494" s="6" t="s">
        <v>16</v>
      </c>
      <c r="F7494" s="6" t="s">
        <v>19</v>
      </c>
      <c r="G7494" s="6" t="s">
        <v>1423</v>
      </c>
      <c r="H7494" s="6" t="s">
        <v>1424</v>
      </c>
      <c r="I7494" s="6" t="s">
        <v>31</v>
      </c>
      <c r="J7494" s="6">
        <v>17.341900590000002</v>
      </c>
      <c r="K7494" s="6">
        <v>-97.372653319999998</v>
      </c>
      <c r="L7494" s="6" t="str">
        <f>HYPERLINK("https://maps.google.com/?q=17.34190059,-97.372653319999998", "🔗 Ver Mapa")</f>
        <v>🔗 Ver Mapa</v>
      </c>
    </row>
    <row r="7495" spans="1:12" ht="43.5" x14ac:dyDescent="0.35">
      <c r="A7495" s="5" t="s">
        <v>98</v>
      </c>
      <c r="B7495" s="5" t="s">
        <v>99</v>
      </c>
      <c r="C7495" s="5" t="s">
        <v>1422</v>
      </c>
      <c r="D7495" s="5" t="s">
        <v>14</v>
      </c>
      <c r="E7495" s="5" t="s">
        <v>16</v>
      </c>
      <c r="F7495" s="5" t="s">
        <v>19</v>
      </c>
      <c r="G7495" s="5" t="s">
        <v>1423</v>
      </c>
      <c r="H7495" s="5" t="s">
        <v>1424</v>
      </c>
      <c r="I7495" s="5" t="s">
        <v>31</v>
      </c>
      <c r="J7495" s="5">
        <v>17.342063020000001</v>
      </c>
      <c r="K7495" s="5">
        <v>-97.372485299999994</v>
      </c>
      <c r="L7495" s="5" t="str">
        <f>HYPERLINK("https://maps.google.com/?q=17.34206302,-97.372485299999994", "🔗 Ver Mapa")</f>
        <v>🔗 Ver Mapa</v>
      </c>
    </row>
    <row r="7496" spans="1:12" ht="43.5" x14ac:dyDescent="0.35">
      <c r="A7496" s="6" t="s">
        <v>98</v>
      </c>
      <c r="B7496" s="6" t="s">
        <v>99</v>
      </c>
      <c r="C7496" s="6" t="s">
        <v>1422</v>
      </c>
      <c r="D7496" s="6" t="s">
        <v>14</v>
      </c>
      <c r="E7496" s="6" t="s">
        <v>16</v>
      </c>
      <c r="F7496" s="6" t="s">
        <v>19</v>
      </c>
      <c r="G7496" s="6" t="s">
        <v>1423</v>
      </c>
      <c r="H7496" s="6" t="s">
        <v>1424</v>
      </c>
      <c r="I7496" s="6" t="s">
        <v>31</v>
      </c>
      <c r="J7496" s="6">
        <v>17.342830029999998</v>
      </c>
      <c r="K7496" s="6">
        <v>-97.372862159999997</v>
      </c>
      <c r="L7496" s="6" t="str">
        <f>HYPERLINK("https://maps.google.com/?q=17.34283003,-97.372862159999997", "🔗 Ver Mapa")</f>
        <v>🔗 Ver Mapa</v>
      </c>
    </row>
    <row r="7497" spans="1:12" ht="43.5" x14ac:dyDescent="0.35">
      <c r="A7497" s="5" t="s">
        <v>98</v>
      </c>
      <c r="B7497" s="5" t="s">
        <v>99</v>
      </c>
      <c r="C7497" s="5" t="s">
        <v>1422</v>
      </c>
      <c r="D7497" s="5" t="s">
        <v>14</v>
      </c>
      <c r="E7497" s="5" t="s">
        <v>16</v>
      </c>
      <c r="F7497" s="5" t="s">
        <v>19</v>
      </c>
      <c r="G7497" s="5" t="s">
        <v>1423</v>
      </c>
      <c r="H7497" s="5" t="s">
        <v>1424</v>
      </c>
      <c r="I7497" s="5" t="s">
        <v>31</v>
      </c>
      <c r="J7497" s="5">
        <v>17.3430058</v>
      </c>
      <c r="K7497" s="5">
        <v>-97.371742850000004</v>
      </c>
      <c r="L7497" s="5" t="str">
        <f>HYPERLINK("https://maps.google.com/?q=17.3430058,-97.371742850000004", "🔗 Ver Mapa")</f>
        <v>🔗 Ver Mapa</v>
      </c>
    </row>
    <row r="7498" spans="1:12" ht="43.5" x14ac:dyDescent="0.35">
      <c r="A7498" s="6" t="s">
        <v>98</v>
      </c>
      <c r="B7498" s="6" t="s">
        <v>99</v>
      </c>
      <c r="C7498" s="6" t="s">
        <v>1422</v>
      </c>
      <c r="D7498" s="6" t="s">
        <v>14</v>
      </c>
      <c r="E7498" s="6" t="s">
        <v>16</v>
      </c>
      <c r="F7498" s="6" t="s">
        <v>19</v>
      </c>
      <c r="G7498" s="6" t="s">
        <v>1423</v>
      </c>
      <c r="H7498" s="6" t="s">
        <v>1424</v>
      </c>
      <c r="I7498" s="6" t="s">
        <v>31</v>
      </c>
      <c r="J7498" s="6">
        <v>17.34304762</v>
      </c>
      <c r="K7498" s="6">
        <v>-97.373323970000001</v>
      </c>
      <c r="L7498" s="6" t="str">
        <f>HYPERLINK("https://maps.google.com/?q=17.34304762,-97.373323970000001", "🔗 Ver Mapa")</f>
        <v>🔗 Ver Mapa</v>
      </c>
    </row>
    <row r="7499" spans="1:12" ht="43.5" x14ac:dyDescent="0.35">
      <c r="A7499" s="5" t="s">
        <v>98</v>
      </c>
      <c r="B7499" s="5" t="s">
        <v>99</v>
      </c>
      <c r="C7499" s="5" t="s">
        <v>1422</v>
      </c>
      <c r="D7499" s="5" t="s">
        <v>14</v>
      </c>
      <c r="E7499" s="5" t="s">
        <v>16</v>
      </c>
      <c r="F7499" s="5" t="s">
        <v>19</v>
      </c>
      <c r="G7499" s="5" t="s">
        <v>1423</v>
      </c>
      <c r="H7499" s="5" t="s">
        <v>1424</v>
      </c>
      <c r="I7499" s="5" t="s">
        <v>31</v>
      </c>
      <c r="J7499" s="5">
        <v>17.34315174</v>
      </c>
      <c r="K7499" s="5">
        <v>-97.371569859999994</v>
      </c>
      <c r="L7499" s="5" t="str">
        <f>HYPERLINK("https://maps.google.com/?q=17.34315174,-97.371569859999994", "🔗 Ver Mapa")</f>
        <v>🔗 Ver Mapa</v>
      </c>
    </row>
    <row r="7500" spans="1:12" ht="43.5" x14ac:dyDescent="0.35">
      <c r="A7500" s="6" t="s">
        <v>98</v>
      </c>
      <c r="B7500" s="6" t="s">
        <v>99</v>
      </c>
      <c r="C7500" s="6" t="s">
        <v>1422</v>
      </c>
      <c r="D7500" s="6" t="s">
        <v>14</v>
      </c>
      <c r="E7500" s="6" t="s">
        <v>16</v>
      </c>
      <c r="F7500" s="6" t="s">
        <v>19</v>
      </c>
      <c r="G7500" s="6" t="s">
        <v>1423</v>
      </c>
      <c r="H7500" s="6" t="s">
        <v>1424</v>
      </c>
      <c r="I7500" s="6" t="s">
        <v>31</v>
      </c>
      <c r="J7500" s="6">
        <v>17.343238360000001</v>
      </c>
      <c r="K7500" s="6">
        <v>-97.373415170000001</v>
      </c>
      <c r="L7500" s="6" t="str">
        <f>HYPERLINK("https://maps.google.com/?q=17.34323836,-97.373415170000001", "🔗 Ver Mapa")</f>
        <v>🔗 Ver Mapa</v>
      </c>
    </row>
    <row r="7501" spans="1:12" ht="43.5" x14ac:dyDescent="0.35">
      <c r="A7501" s="5" t="s">
        <v>98</v>
      </c>
      <c r="B7501" s="5" t="s">
        <v>99</v>
      </c>
      <c r="C7501" s="5" t="s">
        <v>1422</v>
      </c>
      <c r="D7501" s="5" t="s">
        <v>14</v>
      </c>
      <c r="E7501" s="5" t="s">
        <v>16</v>
      </c>
      <c r="F7501" s="5" t="s">
        <v>19</v>
      </c>
      <c r="G7501" s="5" t="s">
        <v>1423</v>
      </c>
      <c r="H7501" s="5" t="s">
        <v>1424</v>
      </c>
      <c r="I7501" s="5" t="s">
        <v>31</v>
      </c>
      <c r="J7501" s="5">
        <v>17.343260109999999</v>
      </c>
      <c r="K7501" s="5">
        <v>-97.376284560000002</v>
      </c>
      <c r="L7501" s="5" t="str">
        <f>HYPERLINK("https://maps.google.com/?q=17.34326011,-97.376284560000002", "🔗 Ver Mapa")</f>
        <v>🔗 Ver Mapa</v>
      </c>
    </row>
    <row r="7502" spans="1:12" ht="43.5" x14ac:dyDescent="0.35">
      <c r="A7502" s="6" t="s">
        <v>98</v>
      </c>
      <c r="B7502" s="6" t="s">
        <v>99</v>
      </c>
      <c r="C7502" s="6" t="s">
        <v>1422</v>
      </c>
      <c r="D7502" s="6" t="s">
        <v>14</v>
      </c>
      <c r="E7502" s="6" t="s">
        <v>16</v>
      </c>
      <c r="F7502" s="6" t="s">
        <v>19</v>
      </c>
      <c r="G7502" s="6" t="s">
        <v>1423</v>
      </c>
      <c r="H7502" s="6" t="s">
        <v>1424</v>
      </c>
      <c r="I7502" s="6" t="s">
        <v>31</v>
      </c>
      <c r="J7502" s="6">
        <v>17.34359946</v>
      </c>
      <c r="K7502" s="6">
        <v>-97.369665659999995</v>
      </c>
      <c r="L7502" s="6" t="str">
        <f>HYPERLINK("https://maps.google.com/?q=17.34359946,-97.369665659999995", "🔗 Ver Mapa")</f>
        <v>🔗 Ver Mapa</v>
      </c>
    </row>
    <row r="7503" spans="1:12" ht="43.5" x14ac:dyDescent="0.35">
      <c r="A7503" s="5" t="s">
        <v>98</v>
      </c>
      <c r="B7503" s="5" t="s">
        <v>99</v>
      </c>
      <c r="C7503" s="5" t="s">
        <v>1422</v>
      </c>
      <c r="D7503" s="5" t="s">
        <v>14</v>
      </c>
      <c r="E7503" s="5" t="s">
        <v>16</v>
      </c>
      <c r="F7503" s="5" t="s">
        <v>19</v>
      </c>
      <c r="G7503" s="5" t="s">
        <v>1423</v>
      </c>
      <c r="H7503" s="5" t="s">
        <v>1424</v>
      </c>
      <c r="I7503" s="5" t="s">
        <v>31</v>
      </c>
      <c r="J7503" s="5">
        <v>17.343699099999998</v>
      </c>
      <c r="K7503" s="5">
        <v>-97.375658950000002</v>
      </c>
      <c r="L7503" s="5" t="str">
        <f>HYPERLINK("https://maps.google.com/?q=17.3436991,-97.375658950000002", "🔗 Ver Mapa")</f>
        <v>🔗 Ver Mapa</v>
      </c>
    </row>
    <row r="7504" spans="1:12" ht="43.5" x14ac:dyDescent="0.35">
      <c r="A7504" s="6" t="s">
        <v>98</v>
      </c>
      <c r="B7504" s="6" t="s">
        <v>99</v>
      </c>
      <c r="C7504" s="6" t="s">
        <v>1422</v>
      </c>
      <c r="D7504" s="6" t="s">
        <v>14</v>
      </c>
      <c r="E7504" s="6" t="s">
        <v>16</v>
      </c>
      <c r="F7504" s="6" t="s">
        <v>19</v>
      </c>
      <c r="G7504" s="6" t="s">
        <v>1423</v>
      </c>
      <c r="H7504" s="6" t="s">
        <v>1424</v>
      </c>
      <c r="I7504" s="6" t="s">
        <v>31</v>
      </c>
      <c r="J7504" s="6">
        <v>17.343813669999999</v>
      </c>
      <c r="K7504" s="6">
        <v>-97.375283100000004</v>
      </c>
      <c r="L7504" s="6" t="str">
        <f>HYPERLINK("https://maps.google.com/?q=17.34381367,-97.375283100000004", "🔗 Ver Mapa")</f>
        <v>🔗 Ver Mapa</v>
      </c>
    </row>
    <row r="7505" spans="1:12" ht="43.5" x14ac:dyDescent="0.35">
      <c r="A7505" s="5" t="s">
        <v>98</v>
      </c>
      <c r="B7505" s="5" t="s">
        <v>99</v>
      </c>
      <c r="C7505" s="5" t="s">
        <v>1422</v>
      </c>
      <c r="D7505" s="5" t="s">
        <v>14</v>
      </c>
      <c r="E7505" s="5" t="s">
        <v>16</v>
      </c>
      <c r="F7505" s="5" t="s">
        <v>19</v>
      </c>
      <c r="G7505" s="5" t="s">
        <v>1423</v>
      </c>
      <c r="H7505" s="5" t="s">
        <v>1424</v>
      </c>
      <c r="I7505" s="5" t="s">
        <v>31</v>
      </c>
      <c r="J7505" s="5">
        <v>17.34389401</v>
      </c>
      <c r="K7505" s="5">
        <v>-97.369834350000005</v>
      </c>
      <c r="L7505" s="5" t="str">
        <f>HYPERLINK("https://maps.google.com/?q=17.34389401,-97.369834350000005", "🔗 Ver Mapa")</f>
        <v>🔗 Ver Mapa</v>
      </c>
    </row>
    <row r="7506" spans="1:12" ht="43.5" x14ac:dyDescent="0.35">
      <c r="A7506" s="6" t="s">
        <v>98</v>
      </c>
      <c r="B7506" s="6" t="s">
        <v>99</v>
      </c>
      <c r="C7506" s="6" t="s">
        <v>1422</v>
      </c>
      <c r="D7506" s="6" t="s">
        <v>14</v>
      </c>
      <c r="E7506" s="6" t="s">
        <v>16</v>
      </c>
      <c r="F7506" s="6" t="s">
        <v>19</v>
      </c>
      <c r="G7506" s="6" t="s">
        <v>1423</v>
      </c>
      <c r="H7506" s="6" t="s">
        <v>1424</v>
      </c>
      <c r="I7506" s="6" t="s">
        <v>31</v>
      </c>
      <c r="J7506" s="6">
        <v>17.34393601</v>
      </c>
      <c r="K7506" s="6">
        <v>-97.376509600000006</v>
      </c>
      <c r="L7506" s="6" t="str">
        <f>HYPERLINK("https://maps.google.com/?q=17.34393601,-97.376509600000006", "🔗 Ver Mapa")</f>
        <v>🔗 Ver Mapa</v>
      </c>
    </row>
    <row r="7507" spans="1:12" ht="43.5" x14ac:dyDescent="0.35">
      <c r="A7507" s="5" t="s">
        <v>98</v>
      </c>
      <c r="B7507" s="5" t="s">
        <v>99</v>
      </c>
      <c r="C7507" s="5" t="s">
        <v>1422</v>
      </c>
      <c r="D7507" s="5" t="s">
        <v>14</v>
      </c>
      <c r="E7507" s="5" t="s">
        <v>16</v>
      </c>
      <c r="F7507" s="5" t="s">
        <v>19</v>
      </c>
      <c r="G7507" s="5" t="s">
        <v>1423</v>
      </c>
      <c r="H7507" s="5" t="s">
        <v>1424</v>
      </c>
      <c r="I7507" s="5" t="s">
        <v>31</v>
      </c>
      <c r="J7507" s="5">
        <v>17.343954060000002</v>
      </c>
      <c r="K7507" s="5">
        <v>-97.36961067</v>
      </c>
      <c r="L7507" s="5" t="str">
        <f>HYPERLINK("https://maps.google.com/?q=17.34395406,-97.36961067", "🔗 Ver Mapa")</f>
        <v>🔗 Ver Mapa</v>
      </c>
    </row>
    <row r="7508" spans="1:12" ht="43.5" x14ac:dyDescent="0.35">
      <c r="A7508" s="6" t="s">
        <v>98</v>
      </c>
      <c r="B7508" s="6" t="s">
        <v>99</v>
      </c>
      <c r="C7508" s="6" t="s">
        <v>1422</v>
      </c>
      <c r="D7508" s="6" t="s">
        <v>14</v>
      </c>
      <c r="E7508" s="6" t="s">
        <v>16</v>
      </c>
      <c r="F7508" s="6" t="s">
        <v>19</v>
      </c>
      <c r="G7508" s="6" t="s">
        <v>1423</v>
      </c>
      <c r="H7508" s="6" t="s">
        <v>1424</v>
      </c>
      <c r="I7508" s="6" t="s">
        <v>31</v>
      </c>
      <c r="J7508" s="6">
        <v>17.344192400000001</v>
      </c>
      <c r="K7508" s="6">
        <v>-97.374087520000003</v>
      </c>
      <c r="L7508" s="6" t="str">
        <f>HYPERLINK("https://maps.google.com/?q=17.3441924,-97.374087520000003", "🔗 Ver Mapa")</f>
        <v>🔗 Ver Mapa</v>
      </c>
    </row>
    <row r="7509" spans="1:12" ht="43.5" x14ac:dyDescent="0.35">
      <c r="A7509" s="5" t="s">
        <v>98</v>
      </c>
      <c r="B7509" s="5" t="s">
        <v>99</v>
      </c>
      <c r="C7509" s="5" t="s">
        <v>1422</v>
      </c>
      <c r="D7509" s="5" t="s">
        <v>14</v>
      </c>
      <c r="E7509" s="5" t="s">
        <v>16</v>
      </c>
      <c r="F7509" s="5" t="s">
        <v>19</v>
      </c>
      <c r="G7509" s="5" t="s">
        <v>1423</v>
      </c>
      <c r="H7509" s="5" t="s">
        <v>1424</v>
      </c>
      <c r="I7509" s="5" t="s">
        <v>31</v>
      </c>
      <c r="J7509" s="5">
        <v>17.344605739999999</v>
      </c>
      <c r="K7509" s="5">
        <v>-97.37003172</v>
      </c>
      <c r="L7509" s="5" t="str">
        <f>HYPERLINK("https://maps.google.com/?q=17.34460574,-97.37003172", "🔗 Ver Mapa")</f>
        <v>🔗 Ver Mapa</v>
      </c>
    </row>
    <row r="7510" spans="1:12" ht="43.5" x14ac:dyDescent="0.35">
      <c r="A7510" s="6" t="s">
        <v>98</v>
      </c>
      <c r="B7510" s="6" t="s">
        <v>99</v>
      </c>
      <c r="C7510" s="6" t="s">
        <v>1422</v>
      </c>
      <c r="D7510" s="6" t="s">
        <v>14</v>
      </c>
      <c r="E7510" s="6" t="s">
        <v>16</v>
      </c>
      <c r="F7510" s="6" t="s">
        <v>19</v>
      </c>
      <c r="G7510" s="6" t="s">
        <v>1423</v>
      </c>
      <c r="H7510" s="6" t="s">
        <v>1424</v>
      </c>
      <c r="I7510" s="6" t="s">
        <v>31</v>
      </c>
      <c r="J7510" s="6">
        <v>17.344734519999999</v>
      </c>
      <c r="K7510" s="6">
        <v>-97.37045397</v>
      </c>
      <c r="L7510" s="6" t="str">
        <f>HYPERLINK("https://maps.google.com/?q=17.34473452,-97.37045397", "🔗 Ver Mapa")</f>
        <v>🔗 Ver Mapa</v>
      </c>
    </row>
    <row r="7511" spans="1:12" ht="43.5" x14ac:dyDescent="0.35">
      <c r="A7511" s="5" t="s">
        <v>98</v>
      </c>
      <c r="B7511" s="5" t="s">
        <v>99</v>
      </c>
      <c r="C7511" s="5" t="s">
        <v>1422</v>
      </c>
      <c r="D7511" s="5" t="s">
        <v>14</v>
      </c>
      <c r="E7511" s="5" t="s">
        <v>16</v>
      </c>
      <c r="F7511" s="5" t="s">
        <v>19</v>
      </c>
      <c r="G7511" s="5" t="s">
        <v>1423</v>
      </c>
      <c r="H7511" s="5" t="s">
        <v>1424</v>
      </c>
      <c r="I7511" s="5" t="s">
        <v>31</v>
      </c>
      <c r="J7511" s="5">
        <v>17.344851349999999</v>
      </c>
      <c r="K7511" s="5">
        <v>-97.377355309999999</v>
      </c>
      <c r="L7511" s="5" t="str">
        <f>HYPERLINK("https://maps.google.com/?q=17.34485135,-97.377355309999999", "🔗 Ver Mapa")</f>
        <v>🔗 Ver Mapa</v>
      </c>
    </row>
    <row r="7512" spans="1:12" ht="43.5" x14ac:dyDescent="0.35">
      <c r="A7512" s="6" t="s">
        <v>98</v>
      </c>
      <c r="B7512" s="6" t="s">
        <v>99</v>
      </c>
      <c r="C7512" s="6" t="s">
        <v>1422</v>
      </c>
      <c r="D7512" s="6" t="s">
        <v>14</v>
      </c>
      <c r="E7512" s="6" t="s">
        <v>16</v>
      </c>
      <c r="F7512" s="6" t="s">
        <v>19</v>
      </c>
      <c r="G7512" s="6" t="s">
        <v>1423</v>
      </c>
      <c r="H7512" s="6" t="s">
        <v>1424</v>
      </c>
      <c r="I7512" s="6" t="s">
        <v>31</v>
      </c>
      <c r="J7512" s="6">
        <v>17.34521621</v>
      </c>
      <c r="K7512" s="6">
        <v>-97.37330369</v>
      </c>
      <c r="L7512" s="6" t="str">
        <f>HYPERLINK("https://maps.google.com/?q=17.34521621,-97.37330369", "🔗 Ver Mapa")</f>
        <v>🔗 Ver Mapa</v>
      </c>
    </row>
    <row r="7513" spans="1:12" ht="43.5" x14ac:dyDescent="0.35">
      <c r="A7513" s="5" t="s">
        <v>98</v>
      </c>
      <c r="B7513" s="5" t="s">
        <v>99</v>
      </c>
      <c r="C7513" s="5" t="s">
        <v>1422</v>
      </c>
      <c r="D7513" s="5" t="s">
        <v>14</v>
      </c>
      <c r="E7513" s="5" t="s">
        <v>16</v>
      </c>
      <c r="F7513" s="5" t="s">
        <v>19</v>
      </c>
      <c r="G7513" s="5" t="s">
        <v>1423</v>
      </c>
      <c r="H7513" s="5" t="s">
        <v>1424</v>
      </c>
      <c r="I7513" s="5" t="s">
        <v>31</v>
      </c>
      <c r="J7513" s="5">
        <v>17.345221509999998</v>
      </c>
      <c r="K7513" s="5">
        <v>-97.370918450000005</v>
      </c>
      <c r="L7513" s="5" t="str">
        <f>HYPERLINK("https://maps.google.com/?q=17.34522151,-97.370918450000005", "🔗 Ver Mapa")</f>
        <v>🔗 Ver Mapa</v>
      </c>
    </row>
    <row r="7514" spans="1:12" ht="43.5" x14ac:dyDescent="0.35">
      <c r="A7514" s="6" t="s">
        <v>98</v>
      </c>
      <c r="B7514" s="6" t="s">
        <v>99</v>
      </c>
      <c r="C7514" s="6" t="s">
        <v>1422</v>
      </c>
      <c r="D7514" s="6" t="s">
        <v>14</v>
      </c>
      <c r="E7514" s="6" t="s">
        <v>16</v>
      </c>
      <c r="F7514" s="6" t="s">
        <v>19</v>
      </c>
      <c r="G7514" s="6" t="s">
        <v>1423</v>
      </c>
      <c r="H7514" s="6" t="s">
        <v>1424</v>
      </c>
      <c r="I7514" s="6" t="s">
        <v>31</v>
      </c>
      <c r="J7514" s="6">
        <v>17.345315549999999</v>
      </c>
      <c r="K7514" s="6">
        <v>-97.370100480000005</v>
      </c>
      <c r="L7514" s="6" t="str">
        <f>HYPERLINK("https://maps.google.com/?q=17.34531555,-97.370100480000005", "🔗 Ver Mapa")</f>
        <v>🔗 Ver Mapa</v>
      </c>
    </row>
    <row r="7515" spans="1:12" ht="43.5" x14ac:dyDescent="0.35">
      <c r="A7515" s="5" t="s">
        <v>98</v>
      </c>
      <c r="B7515" s="5" t="s">
        <v>99</v>
      </c>
      <c r="C7515" s="5" t="s">
        <v>1159</v>
      </c>
      <c r="D7515" s="5" t="s">
        <v>14</v>
      </c>
      <c r="E7515" s="5" t="s">
        <v>110</v>
      </c>
      <c r="F7515" s="5" t="s">
        <v>126</v>
      </c>
      <c r="G7515" s="5" t="s">
        <v>609</v>
      </c>
      <c r="H7515" s="5" t="s">
        <v>1158</v>
      </c>
      <c r="I7515" s="5" t="s">
        <v>31</v>
      </c>
      <c r="J7515" s="5">
        <v>17.973133349133999</v>
      </c>
      <c r="K7515" s="5">
        <v>-96.702302522907004</v>
      </c>
      <c r="L7515" s="5" t="str">
        <f>HYPERLINK("https://maps.google.com/?q=17.9731333491342,-96.702302522907004", "🔗 Ver Mapa")</f>
        <v>🔗 Ver Mapa</v>
      </c>
    </row>
    <row r="7516" spans="1:12" ht="43.5" x14ac:dyDescent="0.35">
      <c r="A7516" s="6" t="s">
        <v>98</v>
      </c>
      <c r="B7516" s="6" t="s">
        <v>99</v>
      </c>
      <c r="C7516" s="6" t="s">
        <v>1159</v>
      </c>
      <c r="D7516" s="6" t="s">
        <v>14</v>
      </c>
      <c r="E7516" s="6" t="s">
        <v>110</v>
      </c>
      <c r="F7516" s="6" t="s">
        <v>126</v>
      </c>
      <c r="G7516" s="6" t="s">
        <v>609</v>
      </c>
      <c r="H7516" s="6" t="s">
        <v>1158</v>
      </c>
      <c r="I7516" s="6" t="s">
        <v>31</v>
      </c>
      <c r="J7516" s="6">
        <v>17.973164165680998</v>
      </c>
      <c r="K7516" s="6">
        <v>-96.702878450903995</v>
      </c>
      <c r="L7516" s="6" t="str">
        <f>HYPERLINK("https://maps.google.com/?q=17.9731641656815,-96.702878450903697", "🔗 Ver Mapa")</f>
        <v>🔗 Ver Mapa</v>
      </c>
    </row>
    <row r="7517" spans="1:12" ht="43.5" x14ac:dyDescent="0.35">
      <c r="A7517" s="5" t="s">
        <v>98</v>
      </c>
      <c r="B7517" s="5" t="s">
        <v>99</v>
      </c>
      <c r="C7517" s="5" t="s">
        <v>1159</v>
      </c>
      <c r="D7517" s="5" t="s">
        <v>14</v>
      </c>
      <c r="E7517" s="5" t="s">
        <v>110</v>
      </c>
      <c r="F7517" s="5" t="s">
        <v>126</v>
      </c>
      <c r="G7517" s="5" t="s">
        <v>609</v>
      </c>
      <c r="H7517" s="5" t="s">
        <v>1158</v>
      </c>
      <c r="I7517" s="5" t="s">
        <v>31</v>
      </c>
      <c r="J7517" s="5">
        <v>17.973937743021999</v>
      </c>
      <c r="K7517" s="5">
        <v>-96.703206793933006</v>
      </c>
      <c r="L7517" s="5" t="str">
        <f>HYPERLINK("https://maps.google.com/?q=17.9739377430224,-96.703206793932694", "🔗 Ver Mapa")</f>
        <v>🔗 Ver Mapa</v>
      </c>
    </row>
    <row r="7518" spans="1:12" ht="43.5" x14ac:dyDescent="0.35">
      <c r="A7518" s="6" t="s">
        <v>98</v>
      </c>
      <c r="B7518" s="6" t="s">
        <v>99</v>
      </c>
      <c r="C7518" s="6" t="s">
        <v>1159</v>
      </c>
      <c r="D7518" s="6" t="s">
        <v>14</v>
      </c>
      <c r="E7518" s="6" t="s">
        <v>110</v>
      </c>
      <c r="F7518" s="6" t="s">
        <v>126</v>
      </c>
      <c r="G7518" s="6" t="s">
        <v>609</v>
      </c>
      <c r="H7518" s="6" t="s">
        <v>1158</v>
      </c>
      <c r="I7518" s="6" t="s">
        <v>31</v>
      </c>
      <c r="J7518" s="6">
        <v>17.973963732394999</v>
      </c>
      <c r="K7518" s="6">
        <v>-96.707496820038997</v>
      </c>
      <c r="L7518" s="6" t="str">
        <f>HYPERLINK("https://maps.google.com/?q=17.9739637323953,-96.707496820039097", "🔗 Ver Mapa")</f>
        <v>🔗 Ver Mapa</v>
      </c>
    </row>
    <row r="7519" spans="1:12" ht="43.5" x14ac:dyDescent="0.35">
      <c r="A7519" s="5" t="s">
        <v>98</v>
      </c>
      <c r="B7519" s="5" t="s">
        <v>99</v>
      </c>
      <c r="C7519" s="5" t="s">
        <v>1159</v>
      </c>
      <c r="D7519" s="5" t="s">
        <v>14</v>
      </c>
      <c r="E7519" s="5" t="s">
        <v>110</v>
      </c>
      <c r="F7519" s="5" t="s">
        <v>126</v>
      </c>
      <c r="G7519" s="5" t="s">
        <v>609</v>
      </c>
      <c r="H7519" s="5" t="s">
        <v>1158</v>
      </c>
      <c r="I7519" s="5" t="s">
        <v>31</v>
      </c>
      <c r="J7519" s="5">
        <v>17.974079340622001</v>
      </c>
      <c r="K7519" s="5">
        <v>-96.703217522768995</v>
      </c>
      <c r="L7519" s="5" t="str">
        <f>HYPERLINK("https://maps.google.com/?q=17.9740793406217,-96.703217522768696", "🔗 Ver Mapa")</f>
        <v>🔗 Ver Mapa</v>
      </c>
    </row>
    <row r="7520" spans="1:12" ht="43.5" x14ac:dyDescent="0.35">
      <c r="A7520" s="6" t="s">
        <v>98</v>
      </c>
      <c r="B7520" s="6" t="s">
        <v>99</v>
      </c>
      <c r="C7520" s="6" t="s">
        <v>1159</v>
      </c>
      <c r="D7520" s="6" t="s">
        <v>14</v>
      </c>
      <c r="E7520" s="6" t="s">
        <v>110</v>
      </c>
      <c r="F7520" s="6" t="s">
        <v>126</v>
      </c>
      <c r="G7520" s="6" t="s">
        <v>609</v>
      </c>
      <c r="H7520" s="6" t="s">
        <v>1158</v>
      </c>
      <c r="I7520" s="6" t="s">
        <v>31</v>
      </c>
      <c r="J7520" s="6">
        <v>17.974326155572001</v>
      </c>
      <c r="K7520" s="6">
        <v>-96.707778451986002</v>
      </c>
      <c r="L7520" s="6" t="str">
        <f>HYPERLINK("https://maps.google.com/?q=17.9743261555716,-96.707778451985703", "🔗 Ver Mapa")</f>
        <v>🔗 Ver Mapa</v>
      </c>
    </row>
    <row r="7521" spans="1:12" ht="43.5" x14ac:dyDescent="0.35">
      <c r="A7521" s="5" t="s">
        <v>98</v>
      </c>
      <c r="B7521" s="5" t="s">
        <v>99</v>
      </c>
      <c r="C7521" s="5" t="s">
        <v>1159</v>
      </c>
      <c r="D7521" s="5" t="s">
        <v>14</v>
      </c>
      <c r="E7521" s="5" t="s">
        <v>110</v>
      </c>
      <c r="F7521" s="5" t="s">
        <v>126</v>
      </c>
      <c r="G7521" s="5" t="s">
        <v>609</v>
      </c>
      <c r="H7521" s="5" t="s">
        <v>1158</v>
      </c>
      <c r="I7521" s="5" t="s">
        <v>31</v>
      </c>
      <c r="J7521" s="5">
        <v>17.974337022448001</v>
      </c>
      <c r="K7521" s="5">
        <v>-96.704368190436</v>
      </c>
      <c r="L7521" s="5" t="str">
        <f>HYPERLINK("https://maps.google.com/?q=17.974337022448,-96.704368190436199", "🔗 Ver Mapa")</f>
        <v>🔗 Ver Mapa</v>
      </c>
    </row>
    <row r="7522" spans="1:12" ht="43.5" x14ac:dyDescent="0.35">
      <c r="A7522" s="6" t="s">
        <v>98</v>
      </c>
      <c r="B7522" s="6" t="s">
        <v>99</v>
      </c>
      <c r="C7522" s="6" t="s">
        <v>1159</v>
      </c>
      <c r="D7522" s="6" t="s">
        <v>14</v>
      </c>
      <c r="E7522" s="6" t="s">
        <v>110</v>
      </c>
      <c r="F7522" s="6" t="s">
        <v>126</v>
      </c>
      <c r="G7522" s="6" t="s">
        <v>609</v>
      </c>
      <c r="H7522" s="6" t="s">
        <v>1158</v>
      </c>
      <c r="I7522" s="6" t="s">
        <v>31</v>
      </c>
      <c r="J7522" s="6">
        <v>17.974381668682</v>
      </c>
      <c r="K7522" s="6">
        <v>-96.704007437374997</v>
      </c>
      <c r="L7522" s="6" t="str">
        <f>HYPERLINK("https://maps.google.com/?q=17.9743816686824,-96.704007437374898", "🔗 Ver Mapa")</f>
        <v>🔗 Ver Mapa</v>
      </c>
    </row>
    <row r="7523" spans="1:12" ht="43.5" x14ac:dyDescent="0.35">
      <c r="A7523" s="5" t="s">
        <v>98</v>
      </c>
      <c r="B7523" s="5" t="s">
        <v>99</v>
      </c>
      <c r="C7523" s="5" t="s">
        <v>1159</v>
      </c>
      <c r="D7523" s="5" t="s">
        <v>14</v>
      </c>
      <c r="E7523" s="5" t="s">
        <v>110</v>
      </c>
      <c r="F7523" s="5" t="s">
        <v>126</v>
      </c>
      <c r="G7523" s="5" t="s">
        <v>609</v>
      </c>
      <c r="H7523" s="5" t="s">
        <v>1158</v>
      </c>
      <c r="I7523" s="5" t="s">
        <v>31</v>
      </c>
      <c r="J7523" s="5">
        <v>17.974386772856001</v>
      </c>
      <c r="K7523" s="5">
        <v>-96.704519735245</v>
      </c>
      <c r="L7523" s="5" t="str">
        <f>HYPERLINK("https://maps.google.com/?q=17.9743867728563,-96.704519735245498", "🔗 Ver Mapa")</f>
        <v>🔗 Ver Mapa</v>
      </c>
    </row>
    <row r="7524" spans="1:12" ht="43.5" x14ac:dyDescent="0.35">
      <c r="A7524" s="6" t="s">
        <v>98</v>
      </c>
      <c r="B7524" s="6" t="s">
        <v>99</v>
      </c>
      <c r="C7524" s="6" t="s">
        <v>1159</v>
      </c>
      <c r="D7524" s="6" t="s">
        <v>14</v>
      </c>
      <c r="E7524" s="6" t="s">
        <v>110</v>
      </c>
      <c r="F7524" s="6" t="s">
        <v>126</v>
      </c>
      <c r="G7524" s="6" t="s">
        <v>609</v>
      </c>
      <c r="H7524" s="6" t="s">
        <v>1158</v>
      </c>
      <c r="I7524" s="6" t="s">
        <v>31</v>
      </c>
      <c r="J7524" s="6">
        <v>17.974979140209999</v>
      </c>
      <c r="K7524" s="6">
        <v>-96.702777224073998</v>
      </c>
      <c r="L7524" s="6" t="str">
        <f>HYPERLINK("https://maps.google.com/?q=17.97497914021,-96.7027772240736", "🔗 Ver Mapa")</f>
        <v>🔗 Ver Mapa</v>
      </c>
    </row>
    <row r="7525" spans="1:12" ht="43.5" x14ac:dyDescent="0.35">
      <c r="A7525" s="5" t="s">
        <v>98</v>
      </c>
      <c r="B7525" s="5" t="s">
        <v>99</v>
      </c>
      <c r="C7525" s="5" t="s">
        <v>1159</v>
      </c>
      <c r="D7525" s="5" t="s">
        <v>14</v>
      </c>
      <c r="E7525" s="5" t="s">
        <v>110</v>
      </c>
      <c r="F7525" s="5" t="s">
        <v>126</v>
      </c>
      <c r="G7525" s="5" t="s">
        <v>609</v>
      </c>
      <c r="H7525" s="5" t="s">
        <v>1158</v>
      </c>
      <c r="I7525" s="5" t="s">
        <v>31</v>
      </c>
      <c r="J7525" s="5">
        <v>17.975111807451999</v>
      </c>
      <c r="K7525" s="5">
        <v>-96.702915357837995</v>
      </c>
      <c r="L7525" s="5" t="str">
        <f>HYPERLINK("https://maps.google.com/?q=17.9751118074519,-96.702915357837895", "🔗 Ver Mapa")</f>
        <v>🔗 Ver Mapa</v>
      </c>
    </row>
    <row r="7526" spans="1:12" ht="43.5" x14ac:dyDescent="0.35">
      <c r="A7526" s="6" t="s">
        <v>98</v>
      </c>
      <c r="B7526" s="6" t="s">
        <v>99</v>
      </c>
      <c r="C7526" s="6" t="s">
        <v>1159</v>
      </c>
      <c r="D7526" s="6" t="s">
        <v>14</v>
      </c>
      <c r="E7526" s="6" t="s">
        <v>110</v>
      </c>
      <c r="F7526" s="6" t="s">
        <v>126</v>
      </c>
      <c r="G7526" s="6" t="s">
        <v>609</v>
      </c>
      <c r="H7526" s="6" t="s">
        <v>1158</v>
      </c>
      <c r="I7526" s="6" t="s">
        <v>31</v>
      </c>
      <c r="J7526" s="6">
        <v>17.975151448034001</v>
      </c>
      <c r="K7526" s="6">
        <v>-96.702606789670995</v>
      </c>
      <c r="L7526" s="6" t="str">
        <f>HYPERLINK("https://maps.google.com/?q=17.9751514480343,-96.702606789671293", "🔗 Ver Mapa")</f>
        <v>🔗 Ver Mapa</v>
      </c>
    </row>
    <row r="7527" spans="1:12" ht="43.5" x14ac:dyDescent="0.35">
      <c r="A7527" s="5" t="s">
        <v>98</v>
      </c>
      <c r="B7527" s="5" t="s">
        <v>99</v>
      </c>
      <c r="C7527" s="5" t="s">
        <v>1159</v>
      </c>
      <c r="D7527" s="5" t="s">
        <v>14</v>
      </c>
      <c r="E7527" s="5" t="s">
        <v>110</v>
      </c>
      <c r="F7527" s="5" t="s">
        <v>126</v>
      </c>
      <c r="G7527" s="5" t="s">
        <v>609</v>
      </c>
      <c r="H7527" s="5" t="s">
        <v>1158</v>
      </c>
      <c r="I7527" s="5" t="s">
        <v>31</v>
      </c>
      <c r="J7527" s="5">
        <v>17.975192498414</v>
      </c>
      <c r="K7527" s="5">
        <v>-96.703348928365003</v>
      </c>
      <c r="L7527" s="5" t="str">
        <f>HYPERLINK("https://maps.google.com/?q=17.9751924984136,-96.703348928365202", "🔗 Ver Mapa")</f>
        <v>🔗 Ver Mapa</v>
      </c>
    </row>
    <row r="7528" spans="1:12" ht="43.5" x14ac:dyDescent="0.35">
      <c r="A7528" s="6" t="s">
        <v>98</v>
      </c>
      <c r="B7528" s="6" t="s">
        <v>99</v>
      </c>
      <c r="C7528" s="6" t="s">
        <v>1159</v>
      </c>
      <c r="D7528" s="6" t="s">
        <v>14</v>
      </c>
      <c r="E7528" s="6" t="s">
        <v>110</v>
      </c>
      <c r="F7528" s="6" t="s">
        <v>126</v>
      </c>
      <c r="G7528" s="6" t="s">
        <v>609</v>
      </c>
      <c r="H7528" s="6" t="s">
        <v>1158</v>
      </c>
      <c r="I7528" s="6" t="s">
        <v>31</v>
      </c>
      <c r="J7528" s="6">
        <v>17.975359378176002</v>
      </c>
      <c r="K7528" s="6">
        <v>-96.702797226510995</v>
      </c>
      <c r="L7528" s="6" t="str">
        <f>HYPERLINK("https://maps.google.com/?q=17.9753593781759,-96.702797226511294", "🔗 Ver Mapa")</f>
        <v>🔗 Ver Mapa</v>
      </c>
    </row>
    <row r="7529" spans="1:12" ht="43.5" x14ac:dyDescent="0.35">
      <c r="A7529" s="5" t="s">
        <v>98</v>
      </c>
      <c r="B7529" s="5" t="s">
        <v>99</v>
      </c>
      <c r="C7529" s="5" t="s">
        <v>1159</v>
      </c>
      <c r="D7529" s="5" t="s">
        <v>14</v>
      </c>
      <c r="E7529" s="5" t="s">
        <v>110</v>
      </c>
      <c r="F7529" s="5" t="s">
        <v>126</v>
      </c>
      <c r="G7529" s="5" t="s">
        <v>609</v>
      </c>
      <c r="H7529" s="5" t="s">
        <v>1158</v>
      </c>
      <c r="I7529" s="5" t="s">
        <v>31</v>
      </c>
      <c r="J7529" s="5">
        <v>17.975452827559</v>
      </c>
      <c r="K7529" s="5">
        <v>-96.702565316504007</v>
      </c>
      <c r="L7529" s="5" t="str">
        <f>HYPERLINK("https://maps.google.com/?q=17.9754528275591,-96.702565316504007", "🔗 Ver Mapa")</f>
        <v>🔗 Ver Mapa</v>
      </c>
    </row>
    <row r="7530" spans="1:12" ht="43.5" x14ac:dyDescent="0.35">
      <c r="A7530" s="6" t="s">
        <v>98</v>
      </c>
      <c r="B7530" s="6" t="s">
        <v>99</v>
      </c>
      <c r="C7530" s="6" t="s">
        <v>1159</v>
      </c>
      <c r="D7530" s="6" t="s">
        <v>14</v>
      </c>
      <c r="E7530" s="6" t="s">
        <v>110</v>
      </c>
      <c r="F7530" s="6" t="s">
        <v>126</v>
      </c>
      <c r="G7530" s="6" t="s">
        <v>609</v>
      </c>
      <c r="H7530" s="6" t="s">
        <v>1158</v>
      </c>
      <c r="I7530" s="6" t="s">
        <v>31</v>
      </c>
      <c r="J7530" s="6">
        <v>17.975491070854002</v>
      </c>
      <c r="K7530" s="6">
        <v>-96.703229542629998</v>
      </c>
      <c r="L7530" s="6" t="str">
        <f>HYPERLINK("https://maps.google.com/?q=17.9754910708542,-96.703229542630496", "🔗 Ver Mapa")</f>
        <v>🔗 Ver Mapa</v>
      </c>
    </row>
    <row r="7531" spans="1:12" ht="43.5" x14ac:dyDescent="0.35">
      <c r="A7531" s="5" t="s">
        <v>98</v>
      </c>
      <c r="B7531" s="5" t="s">
        <v>99</v>
      </c>
      <c r="C7531" s="5" t="s">
        <v>1159</v>
      </c>
      <c r="D7531" s="5" t="s">
        <v>14</v>
      </c>
      <c r="E7531" s="5" t="s">
        <v>110</v>
      </c>
      <c r="F7531" s="5" t="s">
        <v>126</v>
      </c>
      <c r="G7531" s="5" t="s">
        <v>609</v>
      </c>
      <c r="H7531" s="5" t="s">
        <v>1158</v>
      </c>
      <c r="I7531" s="5" t="s">
        <v>31</v>
      </c>
      <c r="J7531" s="5">
        <v>17.975562391722001</v>
      </c>
      <c r="K7531" s="5">
        <v>-96.706141529372999</v>
      </c>
      <c r="L7531" s="5" t="str">
        <f>HYPERLINK("https://maps.google.com/?q=17.9755623917219,-96.706141529372999", "🔗 Ver Mapa")</f>
        <v>🔗 Ver Mapa</v>
      </c>
    </row>
    <row r="7532" spans="1:12" ht="43.5" x14ac:dyDescent="0.35">
      <c r="A7532" s="6" t="s">
        <v>98</v>
      </c>
      <c r="B7532" s="6" t="s">
        <v>99</v>
      </c>
      <c r="C7532" s="6" t="s">
        <v>1159</v>
      </c>
      <c r="D7532" s="6" t="s">
        <v>14</v>
      </c>
      <c r="E7532" s="6" t="s">
        <v>110</v>
      </c>
      <c r="F7532" s="6" t="s">
        <v>126</v>
      </c>
      <c r="G7532" s="6" t="s">
        <v>609</v>
      </c>
      <c r="H7532" s="6" t="s">
        <v>1158</v>
      </c>
      <c r="I7532" s="6" t="s">
        <v>31</v>
      </c>
      <c r="J7532" s="6">
        <v>17.975580250720999</v>
      </c>
      <c r="K7532" s="6">
        <v>-96.705586312107002</v>
      </c>
      <c r="L7532" s="6" t="str">
        <f>HYPERLINK("https://maps.google.com/?q=17.9755802507206,-96.705586312106902", "🔗 Ver Mapa")</f>
        <v>🔗 Ver Mapa</v>
      </c>
    </row>
    <row r="7533" spans="1:12" ht="43.5" x14ac:dyDescent="0.35">
      <c r="A7533" s="5" t="s">
        <v>98</v>
      </c>
      <c r="B7533" s="5" t="s">
        <v>99</v>
      </c>
      <c r="C7533" s="5" t="s">
        <v>1159</v>
      </c>
      <c r="D7533" s="5" t="s">
        <v>14</v>
      </c>
      <c r="E7533" s="5" t="s">
        <v>110</v>
      </c>
      <c r="F7533" s="5" t="s">
        <v>126</v>
      </c>
      <c r="G7533" s="5" t="s">
        <v>609</v>
      </c>
      <c r="H7533" s="5" t="s">
        <v>1158</v>
      </c>
      <c r="I7533" s="5" t="s">
        <v>31</v>
      </c>
      <c r="J7533" s="5">
        <v>17.975590704219002</v>
      </c>
      <c r="K7533" s="5">
        <v>-96.705891152280003</v>
      </c>
      <c r="L7533" s="5" t="str">
        <f>HYPERLINK("https://maps.google.com/?q=17.9755907042194,-96.705891152279904", "🔗 Ver Mapa")</f>
        <v>🔗 Ver Mapa</v>
      </c>
    </row>
    <row r="7534" spans="1:12" ht="43.5" x14ac:dyDescent="0.35">
      <c r="A7534" s="6" t="s">
        <v>98</v>
      </c>
      <c r="B7534" s="6" t="s">
        <v>99</v>
      </c>
      <c r="C7534" s="6" t="s">
        <v>1159</v>
      </c>
      <c r="D7534" s="6" t="s">
        <v>14</v>
      </c>
      <c r="E7534" s="6" t="s">
        <v>110</v>
      </c>
      <c r="F7534" s="6" t="s">
        <v>126</v>
      </c>
      <c r="G7534" s="6" t="s">
        <v>609</v>
      </c>
      <c r="H7534" s="6" t="s">
        <v>1158</v>
      </c>
      <c r="I7534" s="6" t="s">
        <v>31</v>
      </c>
      <c r="J7534" s="6">
        <v>17.975620082279001</v>
      </c>
      <c r="K7534" s="6">
        <v>-96.703422260688001</v>
      </c>
      <c r="L7534" s="6" t="str">
        <f>HYPERLINK("https://maps.google.com/?q=17.9756200822791,-96.703422260688498", "🔗 Ver Mapa")</f>
        <v>🔗 Ver Mapa</v>
      </c>
    </row>
    <row r="7535" spans="1:12" ht="43.5" x14ac:dyDescent="0.35">
      <c r="A7535" s="5" t="s">
        <v>98</v>
      </c>
      <c r="B7535" s="5" t="s">
        <v>99</v>
      </c>
      <c r="C7535" s="5" t="s">
        <v>1159</v>
      </c>
      <c r="D7535" s="5" t="s">
        <v>14</v>
      </c>
      <c r="E7535" s="5" t="s">
        <v>110</v>
      </c>
      <c r="F7535" s="5" t="s">
        <v>126</v>
      </c>
      <c r="G7535" s="5" t="s">
        <v>609</v>
      </c>
      <c r="H7535" s="5" t="s">
        <v>1158</v>
      </c>
      <c r="I7535" s="5" t="s">
        <v>31</v>
      </c>
      <c r="J7535" s="5">
        <v>17.975708593918998</v>
      </c>
      <c r="K7535" s="5">
        <v>-96.702886360655</v>
      </c>
      <c r="L7535" s="5" t="str">
        <f>HYPERLINK("https://maps.google.com/?q=17.9757085939186,-96.702886360654603", "🔗 Ver Mapa")</f>
        <v>🔗 Ver Mapa</v>
      </c>
    </row>
    <row r="7536" spans="1:12" ht="43.5" x14ac:dyDescent="0.35">
      <c r="A7536" s="6" t="s">
        <v>98</v>
      </c>
      <c r="B7536" s="6" t="s">
        <v>99</v>
      </c>
      <c r="C7536" s="6" t="s">
        <v>1159</v>
      </c>
      <c r="D7536" s="6" t="s">
        <v>14</v>
      </c>
      <c r="E7536" s="6" t="s">
        <v>110</v>
      </c>
      <c r="F7536" s="6" t="s">
        <v>126</v>
      </c>
      <c r="G7536" s="6" t="s">
        <v>609</v>
      </c>
      <c r="H7536" s="6" t="s">
        <v>1158</v>
      </c>
      <c r="I7536" s="6" t="s">
        <v>31</v>
      </c>
      <c r="J7536" s="6">
        <v>17.976299484999</v>
      </c>
      <c r="K7536" s="6">
        <v>-96.705239117321</v>
      </c>
      <c r="L7536" s="6" t="str">
        <f>HYPERLINK("https://maps.google.com/?q=17.9762994849987,-96.7052391173209", "🔗 Ver Mapa")</f>
        <v>🔗 Ver Mapa</v>
      </c>
    </row>
    <row r="7537" spans="1:12" ht="43.5" x14ac:dyDescent="0.35">
      <c r="A7537" s="5" t="s">
        <v>98</v>
      </c>
      <c r="B7537" s="5" t="s">
        <v>99</v>
      </c>
      <c r="C7537" s="5" t="s">
        <v>1159</v>
      </c>
      <c r="D7537" s="5" t="s">
        <v>14</v>
      </c>
      <c r="E7537" s="5" t="s">
        <v>110</v>
      </c>
      <c r="F7537" s="5" t="s">
        <v>126</v>
      </c>
      <c r="G7537" s="5" t="s">
        <v>609</v>
      </c>
      <c r="H7537" s="5" t="s">
        <v>1158</v>
      </c>
      <c r="I7537" s="5" t="s">
        <v>31</v>
      </c>
      <c r="J7537" s="5">
        <v>17.976308657655</v>
      </c>
      <c r="K7537" s="5">
        <v>-96.704521576367</v>
      </c>
      <c r="L7537" s="5" t="str">
        <f>HYPERLINK("https://maps.google.com/?q=17.9763086576552,-96.704521576366602", "🔗 Ver Mapa")</f>
        <v>🔗 Ver Mapa</v>
      </c>
    </row>
    <row r="7538" spans="1:12" ht="43.5" x14ac:dyDescent="0.35">
      <c r="A7538" s="6" t="s">
        <v>98</v>
      </c>
      <c r="B7538" s="6" t="s">
        <v>99</v>
      </c>
      <c r="C7538" s="6" t="s">
        <v>1159</v>
      </c>
      <c r="D7538" s="6" t="s">
        <v>14</v>
      </c>
      <c r="E7538" s="6" t="s">
        <v>110</v>
      </c>
      <c r="F7538" s="6" t="s">
        <v>126</v>
      </c>
      <c r="G7538" s="6" t="s">
        <v>609</v>
      </c>
      <c r="H7538" s="6" t="s">
        <v>1158</v>
      </c>
      <c r="I7538" s="6" t="s">
        <v>31</v>
      </c>
      <c r="J7538" s="6">
        <v>17.976448734523</v>
      </c>
      <c r="K7538" s="6">
        <v>-96.705306172546003</v>
      </c>
      <c r="L7538" s="6" t="str">
        <f>HYPERLINK("https://maps.google.com/?q=17.9764487345229,-96.705306172546301", "🔗 Ver Mapa")</f>
        <v>🔗 Ver Mapa</v>
      </c>
    </row>
    <row r="7539" spans="1:12" ht="43.5" x14ac:dyDescent="0.35">
      <c r="A7539" s="5" t="s">
        <v>98</v>
      </c>
      <c r="B7539" s="5" t="s">
        <v>99</v>
      </c>
      <c r="C7539" s="5" t="s">
        <v>1159</v>
      </c>
      <c r="D7539" s="5" t="s">
        <v>14</v>
      </c>
      <c r="E7539" s="5" t="s">
        <v>110</v>
      </c>
      <c r="F7539" s="5" t="s">
        <v>126</v>
      </c>
      <c r="G7539" s="5" t="s">
        <v>609</v>
      </c>
      <c r="H7539" s="5" t="s">
        <v>1158</v>
      </c>
      <c r="I7539" s="5" t="s">
        <v>31</v>
      </c>
      <c r="J7539" s="5">
        <v>17.976515347326998</v>
      </c>
      <c r="K7539" s="5">
        <v>-96.705238242947999</v>
      </c>
      <c r="L7539" s="5" t="str">
        <f>HYPERLINK("https://maps.google.com/?q=17.976515347327,-96.7052382429478", "🔗 Ver Mapa")</f>
        <v>🔗 Ver Mapa</v>
      </c>
    </row>
    <row r="7540" spans="1:12" ht="43.5" x14ac:dyDescent="0.35">
      <c r="A7540" s="6" t="s">
        <v>98</v>
      </c>
      <c r="B7540" s="6" t="s">
        <v>99</v>
      </c>
      <c r="C7540" s="6" t="s">
        <v>1159</v>
      </c>
      <c r="D7540" s="6" t="s">
        <v>14</v>
      </c>
      <c r="E7540" s="6" t="s">
        <v>110</v>
      </c>
      <c r="F7540" s="6" t="s">
        <v>126</v>
      </c>
      <c r="G7540" s="6" t="s">
        <v>609</v>
      </c>
      <c r="H7540" s="6" t="s">
        <v>1158</v>
      </c>
      <c r="I7540" s="6" t="s">
        <v>31</v>
      </c>
      <c r="J7540" s="6">
        <v>17.976667648484</v>
      </c>
      <c r="K7540" s="6">
        <v>-96.706277183061999</v>
      </c>
      <c r="L7540" s="6" t="str">
        <f>HYPERLINK("https://maps.google.com/?q=17.976667648484,-96.706277183062397", "🔗 Ver Mapa")</f>
        <v>🔗 Ver Mapa</v>
      </c>
    </row>
    <row r="7541" spans="1:12" ht="43.5" x14ac:dyDescent="0.35">
      <c r="A7541" s="5" t="s">
        <v>98</v>
      </c>
      <c r="B7541" s="5" t="s">
        <v>99</v>
      </c>
      <c r="C7541" s="5" t="s">
        <v>1159</v>
      </c>
      <c r="D7541" s="5" t="s">
        <v>14</v>
      </c>
      <c r="E7541" s="5" t="s">
        <v>110</v>
      </c>
      <c r="F7541" s="5" t="s">
        <v>126</v>
      </c>
      <c r="G7541" s="5" t="s">
        <v>609</v>
      </c>
      <c r="H7541" s="5" t="s">
        <v>1158</v>
      </c>
      <c r="I7541" s="5" t="s">
        <v>31</v>
      </c>
      <c r="J7541" s="5">
        <v>17.976715524481001</v>
      </c>
      <c r="K7541" s="5">
        <v>-96.706049257070006</v>
      </c>
      <c r="L7541" s="5" t="str">
        <f>HYPERLINK("https://maps.google.com/?q=17.9767155244811,-96.706049257070205", "🔗 Ver Mapa")</f>
        <v>🔗 Ver Mapa</v>
      </c>
    </row>
    <row r="7542" spans="1:12" ht="43.5" x14ac:dyDescent="0.35">
      <c r="A7542" s="6" t="s">
        <v>98</v>
      </c>
      <c r="B7542" s="6" t="s">
        <v>99</v>
      </c>
      <c r="C7542" s="6" t="s">
        <v>1159</v>
      </c>
      <c r="D7542" s="6" t="s">
        <v>14</v>
      </c>
      <c r="E7542" s="6" t="s">
        <v>110</v>
      </c>
      <c r="F7542" s="6" t="s">
        <v>126</v>
      </c>
      <c r="G7542" s="6" t="s">
        <v>609</v>
      </c>
      <c r="H7542" s="6" t="s">
        <v>1158</v>
      </c>
      <c r="I7542" s="6" t="s">
        <v>31</v>
      </c>
      <c r="J7542" s="6">
        <v>17.976886459420001</v>
      </c>
      <c r="K7542" s="6">
        <v>-96.706196778565996</v>
      </c>
      <c r="L7542" s="6" t="str">
        <f>HYPERLINK("https://maps.google.com/?q=17.9768864594205,-96.706196778565996", "🔗 Ver Mapa")</f>
        <v>🔗 Ver Mapa</v>
      </c>
    </row>
    <row r="7543" spans="1:12" ht="43.5" x14ac:dyDescent="0.35">
      <c r="A7543" s="5" t="s">
        <v>98</v>
      </c>
      <c r="B7543" s="5" t="s">
        <v>99</v>
      </c>
      <c r="C7543" s="5" t="s">
        <v>1159</v>
      </c>
      <c r="D7543" s="5" t="s">
        <v>14</v>
      </c>
      <c r="E7543" s="5" t="s">
        <v>110</v>
      </c>
      <c r="F7543" s="5" t="s">
        <v>126</v>
      </c>
      <c r="G7543" s="5" t="s">
        <v>609</v>
      </c>
      <c r="H7543" s="5" t="s">
        <v>1158</v>
      </c>
      <c r="I7543" s="5" t="s">
        <v>31</v>
      </c>
      <c r="J7543" s="5">
        <v>17.978601121846001</v>
      </c>
      <c r="K7543" s="5">
        <v>-96.702764538965994</v>
      </c>
      <c r="L7543" s="5" t="str">
        <f>HYPERLINK("https://maps.google.com/?q=17.9786011218456,-96.702764538965795", "🔗 Ver Mapa")</f>
        <v>🔗 Ver Mapa</v>
      </c>
    </row>
    <row r="7544" spans="1:12" ht="43.5" x14ac:dyDescent="0.35">
      <c r="A7544" s="6" t="s">
        <v>98</v>
      </c>
      <c r="B7544" s="6" t="s">
        <v>99</v>
      </c>
      <c r="C7544" s="6" t="s">
        <v>1159</v>
      </c>
      <c r="D7544" s="6" t="s">
        <v>14</v>
      </c>
      <c r="E7544" s="6" t="s">
        <v>110</v>
      </c>
      <c r="F7544" s="6" t="s">
        <v>126</v>
      </c>
      <c r="G7544" s="6" t="s">
        <v>609</v>
      </c>
      <c r="H7544" s="6" t="s">
        <v>1158</v>
      </c>
      <c r="I7544" s="6" t="s">
        <v>31</v>
      </c>
      <c r="J7544" s="6">
        <v>17.978812428543002</v>
      </c>
      <c r="K7544" s="6">
        <v>-96.702772561103998</v>
      </c>
      <c r="L7544" s="6" t="str">
        <f>HYPERLINK("https://maps.google.com/?q=17.9788124285428,-96.702772561104496", "🔗 Ver Mapa")</f>
        <v>🔗 Ver Mapa</v>
      </c>
    </row>
    <row r="7545" spans="1:12" ht="43.5" x14ac:dyDescent="0.35">
      <c r="A7545" s="5" t="s">
        <v>98</v>
      </c>
      <c r="B7545" s="5" t="s">
        <v>99</v>
      </c>
      <c r="C7545" s="5" t="s">
        <v>1159</v>
      </c>
      <c r="D7545" s="5" t="s">
        <v>14</v>
      </c>
      <c r="E7545" s="5" t="s">
        <v>110</v>
      </c>
      <c r="F7545" s="5" t="s">
        <v>126</v>
      </c>
      <c r="G7545" s="5" t="s">
        <v>609</v>
      </c>
      <c r="H7545" s="5" t="s">
        <v>1158</v>
      </c>
      <c r="I7545" s="5" t="s">
        <v>31</v>
      </c>
      <c r="J7545" s="5">
        <v>17.979547226691999</v>
      </c>
      <c r="K7545" s="5">
        <v>-96.702463038895999</v>
      </c>
      <c r="L7545" s="5" t="str">
        <f>HYPERLINK("https://maps.google.com/?q=17.9795472266921,-96.702463038895502", "🔗 Ver Mapa")</f>
        <v>🔗 Ver Mapa</v>
      </c>
    </row>
    <row r="7546" spans="1:12" ht="43.5" x14ac:dyDescent="0.35">
      <c r="A7546" s="6" t="s">
        <v>98</v>
      </c>
      <c r="B7546" s="6" t="s">
        <v>99</v>
      </c>
      <c r="C7546" s="6" t="s">
        <v>1159</v>
      </c>
      <c r="D7546" s="6" t="s">
        <v>14</v>
      </c>
      <c r="E7546" s="6" t="s">
        <v>110</v>
      </c>
      <c r="F7546" s="6" t="s">
        <v>126</v>
      </c>
      <c r="G7546" s="6" t="s">
        <v>609</v>
      </c>
      <c r="H7546" s="6" t="s">
        <v>1158</v>
      </c>
      <c r="I7546" s="6" t="s">
        <v>31</v>
      </c>
      <c r="J7546" s="6">
        <v>17.979692640673001</v>
      </c>
      <c r="K7546" s="6">
        <v>-96.702358435462997</v>
      </c>
      <c r="L7546" s="6" t="str">
        <f>HYPERLINK("https://maps.google.com/?q=17.9796926406729,-96.702358435463097", "🔗 Ver Mapa")</f>
        <v>🔗 Ver Mapa</v>
      </c>
    </row>
    <row r="7547" spans="1:12" ht="43.5" x14ac:dyDescent="0.35">
      <c r="A7547" s="5" t="s">
        <v>98</v>
      </c>
      <c r="B7547" s="5" t="s">
        <v>99</v>
      </c>
      <c r="C7547" s="5" t="s">
        <v>1159</v>
      </c>
      <c r="D7547" s="5" t="s">
        <v>14</v>
      </c>
      <c r="E7547" s="5" t="s">
        <v>110</v>
      </c>
      <c r="F7547" s="5" t="s">
        <v>126</v>
      </c>
      <c r="G7547" s="5" t="s">
        <v>609</v>
      </c>
      <c r="H7547" s="5" t="s">
        <v>1158</v>
      </c>
      <c r="I7547" s="5" t="s">
        <v>31</v>
      </c>
      <c r="J7547" s="5">
        <v>17.979964855929001</v>
      </c>
      <c r="K7547" s="5">
        <v>-96.703349466804994</v>
      </c>
      <c r="L7547" s="5" t="str">
        <f>HYPERLINK("https://maps.google.com/?q=17.9799648559289,-96.703349466805307", "🔗 Ver Mapa")</f>
        <v>🔗 Ver Mapa</v>
      </c>
    </row>
    <row r="7548" spans="1:12" ht="43.5" x14ac:dyDescent="0.35">
      <c r="A7548" s="6" t="s">
        <v>98</v>
      </c>
      <c r="B7548" s="6" t="s">
        <v>99</v>
      </c>
      <c r="C7548" s="6" t="s">
        <v>1159</v>
      </c>
      <c r="D7548" s="6" t="s">
        <v>14</v>
      </c>
      <c r="E7548" s="6" t="s">
        <v>110</v>
      </c>
      <c r="F7548" s="6" t="s">
        <v>126</v>
      </c>
      <c r="G7548" s="6" t="s">
        <v>609</v>
      </c>
      <c r="H7548" s="6" t="s">
        <v>1158</v>
      </c>
      <c r="I7548" s="6" t="s">
        <v>31</v>
      </c>
      <c r="J7548" s="6">
        <v>17.979998883787001</v>
      </c>
      <c r="K7548" s="6">
        <v>-96.703111343428006</v>
      </c>
      <c r="L7548" s="6" t="str">
        <f>HYPERLINK("https://maps.google.com/?q=17.9799988837868,-96.703111343427807", "🔗 Ver Mapa")</f>
        <v>🔗 Ver Mapa</v>
      </c>
    </row>
    <row r="7549" spans="1:12" ht="43.5" x14ac:dyDescent="0.35">
      <c r="A7549" s="5" t="s">
        <v>98</v>
      </c>
      <c r="B7549" s="5" t="s">
        <v>99</v>
      </c>
      <c r="C7549" s="5" t="s">
        <v>1159</v>
      </c>
      <c r="D7549" s="5" t="s">
        <v>14</v>
      </c>
      <c r="E7549" s="5" t="s">
        <v>110</v>
      </c>
      <c r="F7549" s="5" t="s">
        <v>126</v>
      </c>
      <c r="G7549" s="5" t="s">
        <v>609</v>
      </c>
      <c r="H7549" s="5" t="s">
        <v>1158</v>
      </c>
      <c r="I7549" s="5" t="s">
        <v>31</v>
      </c>
      <c r="J7549" s="5">
        <v>17.980077381455001</v>
      </c>
      <c r="K7549" s="5">
        <v>-96.703192693041004</v>
      </c>
      <c r="L7549" s="5" t="str">
        <f>HYPERLINK("https://maps.google.com/?q=17.980077381455,-96.703192693040705", "🔗 Ver Mapa")</f>
        <v>🔗 Ver Mapa</v>
      </c>
    </row>
    <row r="7550" spans="1:12" ht="43.5" x14ac:dyDescent="0.35">
      <c r="A7550" s="6" t="s">
        <v>98</v>
      </c>
      <c r="B7550" s="6" t="s">
        <v>99</v>
      </c>
      <c r="C7550" s="6" t="s">
        <v>1159</v>
      </c>
      <c r="D7550" s="6" t="s">
        <v>14</v>
      </c>
      <c r="E7550" s="6" t="s">
        <v>110</v>
      </c>
      <c r="F7550" s="6" t="s">
        <v>126</v>
      </c>
      <c r="G7550" s="6" t="s">
        <v>609</v>
      </c>
      <c r="H7550" s="6" t="s">
        <v>1158</v>
      </c>
      <c r="I7550" s="6" t="s">
        <v>31</v>
      </c>
      <c r="J7550" s="6">
        <v>17.980078381153</v>
      </c>
      <c r="K7550" s="6">
        <v>-96.703639148841006</v>
      </c>
      <c r="L7550" s="6" t="str">
        <f>HYPERLINK("https://maps.google.com/?q=17.9800783811531,-96.703639148840793", "🔗 Ver Mapa")</f>
        <v>🔗 Ver Mapa</v>
      </c>
    </row>
    <row r="7551" spans="1:12" ht="43.5" x14ac:dyDescent="0.35">
      <c r="A7551" s="5" t="s">
        <v>98</v>
      </c>
      <c r="B7551" s="5" t="s">
        <v>99</v>
      </c>
      <c r="C7551" s="5" t="s">
        <v>1159</v>
      </c>
      <c r="D7551" s="5" t="s">
        <v>14</v>
      </c>
      <c r="E7551" s="5" t="s">
        <v>110</v>
      </c>
      <c r="F7551" s="5" t="s">
        <v>126</v>
      </c>
      <c r="G7551" s="5" t="s">
        <v>609</v>
      </c>
      <c r="H7551" s="5" t="s">
        <v>1158</v>
      </c>
      <c r="I7551" s="5" t="s">
        <v>31</v>
      </c>
      <c r="J7551" s="5">
        <v>17.980273549404998</v>
      </c>
      <c r="K7551" s="5">
        <v>-96.703781305918</v>
      </c>
      <c r="L7551" s="5" t="str">
        <f>HYPERLINK("https://maps.google.com/?q=17.9802735494055,-96.703781305918497", "🔗 Ver Mapa")</f>
        <v>🔗 Ver Mapa</v>
      </c>
    </row>
    <row r="7552" spans="1:12" ht="43.5" x14ac:dyDescent="0.35">
      <c r="A7552" s="6" t="s">
        <v>98</v>
      </c>
      <c r="B7552" s="6" t="s">
        <v>99</v>
      </c>
      <c r="C7552" s="6" t="s">
        <v>1159</v>
      </c>
      <c r="D7552" s="6" t="s">
        <v>14</v>
      </c>
      <c r="E7552" s="6" t="s">
        <v>110</v>
      </c>
      <c r="F7552" s="6" t="s">
        <v>126</v>
      </c>
      <c r="G7552" s="6" t="s">
        <v>609</v>
      </c>
      <c r="H7552" s="6" t="s">
        <v>1158</v>
      </c>
      <c r="I7552" s="6" t="s">
        <v>31</v>
      </c>
      <c r="J7552" s="6">
        <v>17.980406048993999</v>
      </c>
      <c r="K7552" s="6">
        <v>-96.703920155313</v>
      </c>
      <c r="L7552" s="6" t="str">
        <f>HYPERLINK("https://maps.google.com/?q=17.9804060489935,-96.703920155313099", "🔗 Ver Mapa")</f>
        <v>🔗 Ver Mapa</v>
      </c>
    </row>
    <row r="7553" spans="1:12" ht="43.5" x14ac:dyDescent="0.35">
      <c r="A7553" s="5" t="s">
        <v>98</v>
      </c>
      <c r="B7553" s="5" t="s">
        <v>99</v>
      </c>
      <c r="C7553" s="5" t="s">
        <v>1159</v>
      </c>
      <c r="D7553" s="5" t="s">
        <v>14</v>
      </c>
      <c r="E7553" s="5" t="s">
        <v>110</v>
      </c>
      <c r="F7553" s="5" t="s">
        <v>126</v>
      </c>
      <c r="G7553" s="5" t="s">
        <v>609</v>
      </c>
      <c r="H7553" s="5" t="s">
        <v>1158</v>
      </c>
      <c r="I7553" s="5" t="s">
        <v>31</v>
      </c>
      <c r="J7553" s="5">
        <v>17.980621482585999</v>
      </c>
      <c r="K7553" s="5">
        <v>-96.704160936004001</v>
      </c>
      <c r="L7553" s="5" t="str">
        <f>HYPERLINK("https://maps.google.com/?q=17.9806214825861,-96.704160936003703", "🔗 Ver Mapa")</f>
        <v>🔗 Ver Mapa</v>
      </c>
    </row>
    <row r="7554" spans="1:12" ht="43.5" x14ac:dyDescent="0.35">
      <c r="A7554" s="6" t="s">
        <v>98</v>
      </c>
      <c r="B7554" s="6" t="s">
        <v>99</v>
      </c>
      <c r="C7554" s="6" t="s">
        <v>1159</v>
      </c>
      <c r="D7554" s="6" t="s">
        <v>14</v>
      </c>
      <c r="E7554" s="6" t="s">
        <v>110</v>
      </c>
      <c r="F7554" s="6" t="s">
        <v>126</v>
      </c>
      <c r="G7554" s="6" t="s">
        <v>609</v>
      </c>
      <c r="H7554" s="6" t="s">
        <v>1158</v>
      </c>
      <c r="I7554" s="6" t="s">
        <v>31</v>
      </c>
      <c r="J7554" s="6">
        <v>17.980671229955998</v>
      </c>
      <c r="K7554" s="6">
        <v>-96.704019786627001</v>
      </c>
      <c r="L7554" s="6" t="str">
        <f>HYPERLINK("https://maps.google.com/?q=17.9806712299561,-96.704019786627001", "🔗 Ver Mapa")</f>
        <v>🔗 Ver Mapa</v>
      </c>
    </row>
    <row r="7555" spans="1:12" ht="43.5" x14ac:dyDescent="0.35">
      <c r="A7555" s="5" t="s">
        <v>98</v>
      </c>
      <c r="B7555" s="5" t="s">
        <v>99</v>
      </c>
      <c r="C7555" s="5" t="s">
        <v>1159</v>
      </c>
      <c r="D7555" s="5" t="s">
        <v>14</v>
      </c>
      <c r="E7555" s="5" t="s">
        <v>110</v>
      </c>
      <c r="F7555" s="5" t="s">
        <v>126</v>
      </c>
      <c r="G7555" s="5" t="s">
        <v>609</v>
      </c>
      <c r="H7555" s="5" t="s">
        <v>1158</v>
      </c>
      <c r="I7555" s="5" t="s">
        <v>31</v>
      </c>
      <c r="J7555" s="5">
        <v>17.980765626036</v>
      </c>
      <c r="K7555" s="5">
        <v>-96.703720718449006</v>
      </c>
      <c r="L7555" s="5" t="str">
        <f>HYPERLINK("https://maps.google.com/?q=17.9807656260362,-96.703720718449304", "🔗 Ver Mapa")</f>
        <v>🔗 Ver Mapa</v>
      </c>
    </row>
    <row r="7556" spans="1:12" ht="43.5" x14ac:dyDescent="0.35">
      <c r="A7556" s="6" t="s">
        <v>98</v>
      </c>
      <c r="B7556" s="6" t="s">
        <v>99</v>
      </c>
      <c r="C7556" s="6" t="s">
        <v>1159</v>
      </c>
      <c r="D7556" s="6" t="s">
        <v>14</v>
      </c>
      <c r="E7556" s="6" t="s">
        <v>110</v>
      </c>
      <c r="F7556" s="6" t="s">
        <v>126</v>
      </c>
      <c r="G7556" s="6" t="s">
        <v>609</v>
      </c>
      <c r="H7556" s="6" t="s">
        <v>1158</v>
      </c>
      <c r="I7556" s="6" t="s">
        <v>31</v>
      </c>
      <c r="J7556" s="6">
        <v>17.980974136145001</v>
      </c>
      <c r="K7556" s="6">
        <v>-96.702881503255</v>
      </c>
      <c r="L7556" s="6" t="str">
        <f>HYPERLINK("https://maps.google.com/?q=17.9809741361454,-96.702881503254602", "🔗 Ver Mapa")</f>
        <v>🔗 Ver Mapa</v>
      </c>
    </row>
    <row r="7557" spans="1:12" ht="43.5" x14ac:dyDescent="0.35">
      <c r="A7557" s="5" t="s">
        <v>98</v>
      </c>
      <c r="B7557" s="5" t="s">
        <v>99</v>
      </c>
      <c r="C7557" s="5" t="s">
        <v>1425</v>
      </c>
      <c r="D7557" s="5" t="s">
        <v>14</v>
      </c>
      <c r="E7557" s="5" t="s">
        <v>90</v>
      </c>
      <c r="F7557" s="5" t="s">
        <v>91</v>
      </c>
      <c r="G7557" s="5" t="s">
        <v>1426</v>
      </c>
      <c r="H7557" s="5" t="s">
        <v>1427</v>
      </c>
      <c r="I7557" s="5" t="s">
        <v>31</v>
      </c>
      <c r="J7557" s="5">
        <v>17.325439201036001</v>
      </c>
      <c r="K7557" s="5">
        <v>-95.268423538649003</v>
      </c>
      <c r="L7557" s="5" t="str">
        <f>HYPERLINK("https://maps.google.com/?q=17.3254392010364,-95.268423538648804", "🔗 Ver Mapa")</f>
        <v>🔗 Ver Mapa</v>
      </c>
    </row>
    <row r="7558" spans="1:12" ht="43.5" x14ac:dyDescent="0.35">
      <c r="A7558" s="6" t="s">
        <v>98</v>
      </c>
      <c r="B7558" s="6" t="s">
        <v>99</v>
      </c>
      <c r="C7558" s="6" t="s">
        <v>1425</v>
      </c>
      <c r="D7558" s="6" t="s">
        <v>14</v>
      </c>
      <c r="E7558" s="6" t="s">
        <v>90</v>
      </c>
      <c r="F7558" s="6" t="s">
        <v>91</v>
      </c>
      <c r="G7558" s="6" t="s">
        <v>1426</v>
      </c>
      <c r="H7558" s="6" t="s">
        <v>1427</v>
      </c>
      <c r="I7558" s="6" t="s">
        <v>31</v>
      </c>
      <c r="J7558" s="6">
        <v>17.325826478486999</v>
      </c>
      <c r="K7558" s="6">
        <v>-95.267313268101006</v>
      </c>
      <c r="L7558" s="6" t="str">
        <f>HYPERLINK("https://maps.google.com/?q=17.325826478487,-95.267313268100807", "🔗 Ver Mapa")</f>
        <v>🔗 Ver Mapa</v>
      </c>
    </row>
    <row r="7559" spans="1:12" ht="43.5" x14ac:dyDescent="0.35">
      <c r="A7559" s="5" t="s">
        <v>98</v>
      </c>
      <c r="B7559" s="5" t="s">
        <v>99</v>
      </c>
      <c r="C7559" s="5" t="s">
        <v>1425</v>
      </c>
      <c r="D7559" s="5" t="s">
        <v>14</v>
      </c>
      <c r="E7559" s="5" t="s">
        <v>90</v>
      </c>
      <c r="F7559" s="5" t="s">
        <v>91</v>
      </c>
      <c r="G7559" s="5" t="s">
        <v>1426</v>
      </c>
      <c r="H7559" s="5" t="s">
        <v>1427</v>
      </c>
      <c r="I7559" s="5" t="s">
        <v>31</v>
      </c>
      <c r="J7559" s="5">
        <v>17.326569225585001</v>
      </c>
      <c r="K7559" s="5">
        <v>-95.269100666148006</v>
      </c>
      <c r="L7559" s="5" t="str">
        <f>HYPERLINK("https://maps.google.com/?q=17.3265692255847,-95.269100666148205", "🔗 Ver Mapa")</f>
        <v>🔗 Ver Mapa</v>
      </c>
    </row>
    <row r="7560" spans="1:12" ht="43.5" x14ac:dyDescent="0.35">
      <c r="A7560" s="6" t="s">
        <v>98</v>
      </c>
      <c r="B7560" s="6" t="s">
        <v>99</v>
      </c>
      <c r="C7560" s="6" t="s">
        <v>1425</v>
      </c>
      <c r="D7560" s="6" t="s">
        <v>14</v>
      </c>
      <c r="E7560" s="6" t="s">
        <v>90</v>
      </c>
      <c r="F7560" s="6" t="s">
        <v>91</v>
      </c>
      <c r="G7560" s="6" t="s">
        <v>1426</v>
      </c>
      <c r="H7560" s="6" t="s">
        <v>1427</v>
      </c>
      <c r="I7560" s="6" t="s">
        <v>31</v>
      </c>
      <c r="J7560" s="6">
        <v>17.326692285875001</v>
      </c>
      <c r="K7560" s="6">
        <v>-95.267016479641001</v>
      </c>
      <c r="L7560" s="6" t="str">
        <f>HYPERLINK("https://maps.google.com/?q=17.3266922858748,-95.267016479641498", "🔗 Ver Mapa")</f>
        <v>🔗 Ver Mapa</v>
      </c>
    </row>
    <row r="7561" spans="1:12" ht="43.5" x14ac:dyDescent="0.35">
      <c r="A7561" s="5" t="s">
        <v>98</v>
      </c>
      <c r="B7561" s="5" t="s">
        <v>99</v>
      </c>
      <c r="C7561" s="5" t="s">
        <v>1425</v>
      </c>
      <c r="D7561" s="5" t="s">
        <v>14</v>
      </c>
      <c r="E7561" s="5" t="s">
        <v>90</v>
      </c>
      <c r="F7561" s="5" t="s">
        <v>91</v>
      </c>
      <c r="G7561" s="5" t="s">
        <v>1426</v>
      </c>
      <c r="H7561" s="5" t="s">
        <v>1427</v>
      </c>
      <c r="I7561" s="5" t="s">
        <v>31</v>
      </c>
      <c r="J7561" s="5">
        <v>17.327154471126001</v>
      </c>
      <c r="K7561" s="5">
        <v>-95.267332690827999</v>
      </c>
      <c r="L7561" s="5" t="str">
        <f>HYPERLINK("https://maps.google.com/?q=17.3271544711264,-95.267332690827701", "🔗 Ver Mapa")</f>
        <v>🔗 Ver Mapa</v>
      </c>
    </row>
    <row r="7562" spans="1:12" ht="43.5" x14ac:dyDescent="0.35">
      <c r="A7562" s="6" t="s">
        <v>98</v>
      </c>
      <c r="B7562" s="6" t="s">
        <v>99</v>
      </c>
      <c r="C7562" s="6" t="s">
        <v>1425</v>
      </c>
      <c r="D7562" s="6" t="s">
        <v>14</v>
      </c>
      <c r="E7562" s="6" t="s">
        <v>90</v>
      </c>
      <c r="F7562" s="6" t="s">
        <v>91</v>
      </c>
      <c r="G7562" s="6" t="s">
        <v>1426</v>
      </c>
      <c r="H7562" s="6" t="s">
        <v>1427</v>
      </c>
      <c r="I7562" s="6" t="s">
        <v>31</v>
      </c>
      <c r="J7562" s="6">
        <v>17.327223747022</v>
      </c>
      <c r="K7562" s="6">
        <v>-95.268308861020003</v>
      </c>
      <c r="L7562" s="6" t="str">
        <f>HYPERLINK("https://maps.google.com/?q=17.3272237470224,-95.268308861020301", "🔗 Ver Mapa")</f>
        <v>🔗 Ver Mapa</v>
      </c>
    </row>
    <row r="7563" spans="1:12" ht="43.5" x14ac:dyDescent="0.35">
      <c r="A7563" s="5" t="s">
        <v>98</v>
      </c>
      <c r="B7563" s="5" t="s">
        <v>99</v>
      </c>
      <c r="C7563" s="5" t="s">
        <v>1425</v>
      </c>
      <c r="D7563" s="5" t="s">
        <v>14</v>
      </c>
      <c r="E7563" s="5" t="s">
        <v>90</v>
      </c>
      <c r="F7563" s="5" t="s">
        <v>91</v>
      </c>
      <c r="G7563" s="5" t="s">
        <v>1426</v>
      </c>
      <c r="H7563" s="5" t="s">
        <v>1427</v>
      </c>
      <c r="I7563" s="5" t="s">
        <v>31</v>
      </c>
      <c r="J7563" s="5">
        <v>17.327544403099999</v>
      </c>
      <c r="K7563" s="5">
        <v>-95.267085428605995</v>
      </c>
      <c r="L7563" s="5" t="str">
        <f>HYPERLINK("https://maps.google.com/?q=17.3275444030997,-95.267085428606194", "🔗 Ver Mapa")</f>
        <v>🔗 Ver Mapa</v>
      </c>
    </row>
    <row r="7564" spans="1:12" ht="43.5" x14ac:dyDescent="0.35">
      <c r="A7564" s="6" t="s">
        <v>98</v>
      </c>
      <c r="B7564" s="6" t="s">
        <v>99</v>
      </c>
      <c r="C7564" s="6" t="s">
        <v>1425</v>
      </c>
      <c r="D7564" s="6" t="s">
        <v>14</v>
      </c>
      <c r="E7564" s="6" t="s">
        <v>90</v>
      </c>
      <c r="F7564" s="6" t="s">
        <v>91</v>
      </c>
      <c r="G7564" s="6" t="s">
        <v>1426</v>
      </c>
      <c r="H7564" s="6" t="s">
        <v>1427</v>
      </c>
      <c r="I7564" s="6" t="s">
        <v>31</v>
      </c>
      <c r="J7564" s="6">
        <v>17.327568142983001</v>
      </c>
      <c r="K7564" s="6">
        <v>-95.269494036010997</v>
      </c>
      <c r="L7564" s="6" t="str">
        <f>HYPERLINK("https://maps.google.com/?q=17.327568142983,-95.269494036010897", "🔗 Ver Mapa")</f>
        <v>🔗 Ver Mapa</v>
      </c>
    </row>
    <row r="7565" spans="1:12" ht="43.5" x14ac:dyDescent="0.35">
      <c r="A7565" s="5" t="s">
        <v>98</v>
      </c>
      <c r="B7565" s="5" t="s">
        <v>99</v>
      </c>
      <c r="C7565" s="5" t="s">
        <v>1425</v>
      </c>
      <c r="D7565" s="5" t="s">
        <v>14</v>
      </c>
      <c r="E7565" s="5" t="s">
        <v>90</v>
      </c>
      <c r="F7565" s="5" t="s">
        <v>91</v>
      </c>
      <c r="G7565" s="5" t="s">
        <v>1426</v>
      </c>
      <c r="H7565" s="5" t="s">
        <v>1427</v>
      </c>
      <c r="I7565" s="5" t="s">
        <v>31</v>
      </c>
      <c r="J7565" s="5">
        <v>17.327571714705002</v>
      </c>
      <c r="K7565" s="5">
        <v>-95.267474484709993</v>
      </c>
      <c r="L7565" s="5" t="str">
        <f>HYPERLINK("https://maps.google.com/?q=17.3275717147046,-95.267474484710107", "🔗 Ver Mapa")</f>
        <v>🔗 Ver Mapa</v>
      </c>
    </row>
    <row r="7566" spans="1:12" ht="43.5" x14ac:dyDescent="0.35">
      <c r="A7566" s="6" t="s">
        <v>98</v>
      </c>
      <c r="B7566" s="6" t="s">
        <v>99</v>
      </c>
      <c r="C7566" s="6" t="s">
        <v>1425</v>
      </c>
      <c r="D7566" s="6" t="s">
        <v>14</v>
      </c>
      <c r="E7566" s="6" t="s">
        <v>90</v>
      </c>
      <c r="F7566" s="6" t="s">
        <v>91</v>
      </c>
      <c r="G7566" s="6" t="s">
        <v>1426</v>
      </c>
      <c r="H7566" s="6" t="s">
        <v>1427</v>
      </c>
      <c r="I7566" s="6" t="s">
        <v>31</v>
      </c>
      <c r="J7566" s="6">
        <v>17.327602279876</v>
      </c>
      <c r="K7566" s="6">
        <v>-95.268707178176001</v>
      </c>
      <c r="L7566" s="6" t="str">
        <f>HYPERLINK("https://maps.google.com/?q=17.3276022798759,-95.268707178175802", "🔗 Ver Mapa")</f>
        <v>🔗 Ver Mapa</v>
      </c>
    </row>
    <row r="7567" spans="1:12" ht="43.5" x14ac:dyDescent="0.35">
      <c r="A7567" s="5" t="s">
        <v>98</v>
      </c>
      <c r="B7567" s="5" t="s">
        <v>99</v>
      </c>
      <c r="C7567" s="5" t="s">
        <v>1425</v>
      </c>
      <c r="D7567" s="5" t="s">
        <v>14</v>
      </c>
      <c r="E7567" s="5" t="s">
        <v>90</v>
      </c>
      <c r="F7567" s="5" t="s">
        <v>91</v>
      </c>
      <c r="G7567" s="5" t="s">
        <v>1426</v>
      </c>
      <c r="H7567" s="5" t="s">
        <v>1427</v>
      </c>
      <c r="I7567" s="5" t="s">
        <v>31</v>
      </c>
      <c r="J7567" s="5">
        <v>17.327840040487001</v>
      </c>
      <c r="K7567" s="5">
        <v>-95.269864552458998</v>
      </c>
      <c r="L7567" s="5" t="str">
        <f>HYPERLINK("https://maps.google.com/?q=17.3278400404869,-95.2698645524586", "🔗 Ver Mapa")</f>
        <v>🔗 Ver Mapa</v>
      </c>
    </row>
    <row r="7568" spans="1:12" ht="43.5" x14ac:dyDescent="0.35">
      <c r="A7568" s="6" t="s">
        <v>98</v>
      </c>
      <c r="B7568" s="6" t="s">
        <v>99</v>
      </c>
      <c r="C7568" s="6" t="s">
        <v>1425</v>
      </c>
      <c r="D7568" s="6" t="s">
        <v>14</v>
      </c>
      <c r="E7568" s="6" t="s">
        <v>90</v>
      </c>
      <c r="F7568" s="6" t="s">
        <v>91</v>
      </c>
      <c r="G7568" s="6" t="s">
        <v>1426</v>
      </c>
      <c r="H7568" s="6" t="s">
        <v>1427</v>
      </c>
      <c r="I7568" s="6" t="s">
        <v>31</v>
      </c>
      <c r="J7568" s="6">
        <v>17.328283423573001</v>
      </c>
      <c r="K7568" s="6">
        <v>-95.268156708126995</v>
      </c>
      <c r="L7568" s="6" t="str">
        <f>HYPERLINK("https://maps.google.com/?q=17.3282834235731,-95.268156708127094", "🔗 Ver Mapa")</f>
        <v>🔗 Ver Mapa</v>
      </c>
    </row>
    <row r="7569" spans="1:12" ht="43.5" x14ac:dyDescent="0.35">
      <c r="A7569" s="5" t="s">
        <v>98</v>
      </c>
      <c r="B7569" s="5" t="s">
        <v>99</v>
      </c>
      <c r="C7569" s="5" t="s">
        <v>1425</v>
      </c>
      <c r="D7569" s="5" t="s">
        <v>14</v>
      </c>
      <c r="E7569" s="5" t="s">
        <v>90</v>
      </c>
      <c r="F7569" s="5" t="s">
        <v>91</v>
      </c>
      <c r="G7569" s="5" t="s">
        <v>1426</v>
      </c>
      <c r="H7569" s="5" t="s">
        <v>1427</v>
      </c>
      <c r="I7569" s="5" t="s">
        <v>31</v>
      </c>
      <c r="J7569" s="5">
        <v>17.328362139726998</v>
      </c>
      <c r="K7569" s="5">
        <v>-95.269756745351998</v>
      </c>
      <c r="L7569" s="5" t="str">
        <f>HYPERLINK("https://maps.google.com/?q=17.3283621397273,-95.269756745351998", "🔗 Ver Mapa")</f>
        <v>🔗 Ver Mapa</v>
      </c>
    </row>
    <row r="7570" spans="1:12" ht="43.5" x14ac:dyDescent="0.35">
      <c r="A7570" s="6" t="s">
        <v>98</v>
      </c>
      <c r="B7570" s="6" t="s">
        <v>99</v>
      </c>
      <c r="C7570" s="6" t="s">
        <v>1425</v>
      </c>
      <c r="D7570" s="6" t="s">
        <v>14</v>
      </c>
      <c r="E7570" s="6" t="s">
        <v>90</v>
      </c>
      <c r="F7570" s="6" t="s">
        <v>91</v>
      </c>
      <c r="G7570" s="6" t="s">
        <v>1426</v>
      </c>
      <c r="H7570" s="6" t="s">
        <v>1427</v>
      </c>
      <c r="I7570" s="6" t="s">
        <v>31</v>
      </c>
      <c r="J7570" s="6">
        <v>17.328652753168999</v>
      </c>
      <c r="K7570" s="6">
        <v>-95.269960593237002</v>
      </c>
      <c r="L7570" s="6" t="str">
        <f>HYPERLINK("https://maps.google.com/?q=17.3286527531688,-95.269960593237002", "🔗 Ver Mapa")</f>
        <v>🔗 Ver Mapa</v>
      </c>
    </row>
    <row r="7571" spans="1:12" ht="43.5" x14ac:dyDescent="0.35">
      <c r="A7571" s="5" t="s">
        <v>98</v>
      </c>
      <c r="B7571" s="5" t="s">
        <v>99</v>
      </c>
      <c r="C7571" s="5" t="s">
        <v>1425</v>
      </c>
      <c r="D7571" s="5" t="s">
        <v>14</v>
      </c>
      <c r="E7571" s="5" t="s">
        <v>90</v>
      </c>
      <c r="F7571" s="5" t="s">
        <v>91</v>
      </c>
      <c r="G7571" s="5" t="s">
        <v>1426</v>
      </c>
      <c r="H7571" s="5" t="s">
        <v>1427</v>
      </c>
      <c r="I7571" s="5" t="s">
        <v>31</v>
      </c>
      <c r="J7571" s="5">
        <v>17.328696743873</v>
      </c>
      <c r="K7571" s="5">
        <v>-95.269016410231004</v>
      </c>
      <c r="L7571" s="5" t="str">
        <f>HYPERLINK("https://maps.google.com/?q=17.3286967438734,-95.269016410231202", "🔗 Ver Mapa")</f>
        <v>🔗 Ver Mapa</v>
      </c>
    </row>
    <row r="7572" spans="1:12" ht="43.5" x14ac:dyDescent="0.35">
      <c r="A7572" s="6" t="s">
        <v>98</v>
      </c>
      <c r="B7572" s="6" t="s">
        <v>99</v>
      </c>
      <c r="C7572" s="6" t="s">
        <v>1425</v>
      </c>
      <c r="D7572" s="6" t="s">
        <v>14</v>
      </c>
      <c r="E7572" s="6" t="s">
        <v>90</v>
      </c>
      <c r="F7572" s="6" t="s">
        <v>91</v>
      </c>
      <c r="G7572" s="6" t="s">
        <v>1426</v>
      </c>
      <c r="H7572" s="6" t="s">
        <v>1427</v>
      </c>
      <c r="I7572" s="6" t="s">
        <v>31</v>
      </c>
      <c r="J7572" s="6">
        <v>17.328920613451999</v>
      </c>
      <c r="K7572" s="6">
        <v>-95.269989742362</v>
      </c>
      <c r="L7572" s="6" t="str">
        <f>HYPERLINK("https://maps.google.com/?q=17.3289206134524,-95.269989742362498", "🔗 Ver Mapa")</f>
        <v>🔗 Ver Mapa</v>
      </c>
    </row>
    <row r="7573" spans="1:12" ht="43.5" x14ac:dyDescent="0.35">
      <c r="A7573" s="5" t="s">
        <v>98</v>
      </c>
      <c r="B7573" s="5" t="s">
        <v>99</v>
      </c>
      <c r="C7573" s="5" t="s">
        <v>1425</v>
      </c>
      <c r="D7573" s="5" t="s">
        <v>14</v>
      </c>
      <c r="E7573" s="5" t="s">
        <v>90</v>
      </c>
      <c r="F7573" s="5" t="s">
        <v>91</v>
      </c>
      <c r="G7573" s="5" t="s">
        <v>1426</v>
      </c>
      <c r="H7573" s="5" t="s">
        <v>1427</v>
      </c>
      <c r="I7573" s="5" t="s">
        <v>31</v>
      </c>
      <c r="J7573" s="5">
        <v>17.328920810993001</v>
      </c>
      <c r="K7573" s="5">
        <v>-95.268297556372005</v>
      </c>
      <c r="L7573" s="5" t="str">
        <f>HYPERLINK("https://maps.google.com/?q=17.3289208109927,-95.268297556372005", "🔗 Ver Mapa")</f>
        <v>🔗 Ver Mapa</v>
      </c>
    </row>
    <row r="7574" spans="1:12" ht="43.5" x14ac:dyDescent="0.35">
      <c r="A7574" s="6" t="s">
        <v>98</v>
      </c>
      <c r="B7574" s="6" t="s">
        <v>99</v>
      </c>
      <c r="C7574" s="6" t="s">
        <v>1425</v>
      </c>
      <c r="D7574" s="6" t="s">
        <v>14</v>
      </c>
      <c r="E7574" s="6" t="s">
        <v>90</v>
      </c>
      <c r="F7574" s="6" t="s">
        <v>91</v>
      </c>
      <c r="G7574" s="6" t="s">
        <v>1426</v>
      </c>
      <c r="H7574" s="6" t="s">
        <v>1427</v>
      </c>
      <c r="I7574" s="6" t="s">
        <v>31</v>
      </c>
      <c r="J7574" s="6">
        <v>17.329026870576001</v>
      </c>
      <c r="K7574" s="6">
        <v>-95.269792596152996</v>
      </c>
      <c r="L7574" s="6" t="str">
        <f>HYPERLINK("https://maps.google.com/?q=17.3290268705758,-95.269792596152897", "🔗 Ver Mapa")</f>
        <v>🔗 Ver Mapa</v>
      </c>
    </row>
    <row r="7575" spans="1:12" ht="43.5" x14ac:dyDescent="0.35">
      <c r="A7575" s="5" t="s">
        <v>98</v>
      </c>
      <c r="B7575" s="5" t="s">
        <v>99</v>
      </c>
      <c r="C7575" s="5" t="s">
        <v>1425</v>
      </c>
      <c r="D7575" s="5" t="s">
        <v>14</v>
      </c>
      <c r="E7575" s="5" t="s">
        <v>90</v>
      </c>
      <c r="F7575" s="5" t="s">
        <v>91</v>
      </c>
      <c r="G7575" s="5" t="s">
        <v>1426</v>
      </c>
      <c r="H7575" s="5" t="s">
        <v>1427</v>
      </c>
      <c r="I7575" s="5" t="s">
        <v>31</v>
      </c>
      <c r="J7575" s="5">
        <v>17.329114667022001</v>
      </c>
      <c r="K7575" s="5">
        <v>-95.269831846695993</v>
      </c>
      <c r="L7575" s="5" t="str">
        <f>HYPERLINK("https://maps.google.com/?q=17.3291146670225,-95.269831846696405", "🔗 Ver Mapa")</f>
        <v>🔗 Ver Mapa</v>
      </c>
    </row>
    <row r="7576" spans="1:12" ht="43.5" x14ac:dyDescent="0.35">
      <c r="A7576" s="6" t="s">
        <v>98</v>
      </c>
      <c r="B7576" s="6" t="s">
        <v>99</v>
      </c>
      <c r="C7576" s="6" t="s">
        <v>1428</v>
      </c>
      <c r="D7576" s="6" t="s">
        <v>14</v>
      </c>
      <c r="E7576" s="6" t="s">
        <v>90</v>
      </c>
      <c r="F7576" s="6" t="s">
        <v>91</v>
      </c>
      <c r="G7576" s="6" t="s">
        <v>130</v>
      </c>
      <c r="H7576" s="6" t="s">
        <v>1429</v>
      </c>
      <c r="I7576" s="6" t="s">
        <v>31</v>
      </c>
      <c r="J7576" s="6">
        <v>17.091181102242999</v>
      </c>
      <c r="K7576" s="6">
        <v>-95.853008261282994</v>
      </c>
      <c r="L7576" s="6" t="str">
        <f>HYPERLINK("https://maps.google.com/?q=17.0911811022433,-95.853008261283094", "🔗 Ver Mapa")</f>
        <v>🔗 Ver Mapa</v>
      </c>
    </row>
    <row r="7577" spans="1:12" ht="43.5" x14ac:dyDescent="0.35">
      <c r="A7577" s="5" t="s">
        <v>98</v>
      </c>
      <c r="B7577" s="5" t="s">
        <v>99</v>
      </c>
      <c r="C7577" s="5" t="s">
        <v>1428</v>
      </c>
      <c r="D7577" s="5" t="s">
        <v>14</v>
      </c>
      <c r="E7577" s="5" t="s">
        <v>90</v>
      </c>
      <c r="F7577" s="5" t="s">
        <v>91</v>
      </c>
      <c r="G7577" s="5" t="s">
        <v>130</v>
      </c>
      <c r="H7577" s="5" t="s">
        <v>1429</v>
      </c>
      <c r="I7577" s="5" t="s">
        <v>31</v>
      </c>
      <c r="J7577" s="5">
        <v>17.09151698893</v>
      </c>
      <c r="K7577" s="5">
        <v>-95.854733265581999</v>
      </c>
      <c r="L7577" s="5" t="str">
        <f>HYPERLINK("https://maps.google.com/?q=17.0915169889298,-95.854733265582297", "🔗 Ver Mapa")</f>
        <v>🔗 Ver Mapa</v>
      </c>
    </row>
    <row r="7578" spans="1:12" ht="43.5" x14ac:dyDescent="0.35">
      <c r="A7578" s="6" t="s">
        <v>98</v>
      </c>
      <c r="B7578" s="6" t="s">
        <v>99</v>
      </c>
      <c r="C7578" s="6" t="s">
        <v>1428</v>
      </c>
      <c r="D7578" s="6" t="s">
        <v>14</v>
      </c>
      <c r="E7578" s="6" t="s">
        <v>90</v>
      </c>
      <c r="F7578" s="6" t="s">
        <v>91</v>
      </c>
      <c r="G7578" s="6" t="s">
        <v>130</v>
      </c>
      <c r="H7578" s="6" t="s">
        <v>1429</v>
      </c>
      <c r="I7578" s="6" t="s">
        <v>31</v>
      </c>
      <c r="J7578" s="6">
        <v>17.092025029571001</v>
      </c>
      <c r="K7578" s="6">
        <v>-95.854920000000007</v>
      </c>
      <c r="L7578" s="6" t="str">
        <f>HYPERLINK("https://maps.google.com/?q=17.0920250295711,-95.854920000000007", "🔗 Ver Mapa")</f>
        <v>🔗 Ver Mapa</v>
      </c>
    </row>
    <row r="7579" spans="1:12" ht="43.5" x14ac:dyDescent="0.35">
      <c r="A7579" s="5" t="s">
        <v>98</v>
      </c>
      <c r="B7579" s="5" t="s">
        <v>99</v>
      </c>
      <c r="C7579" s="5" t="s">
        <v>1428</v>
      </c>
      <c r="D7579" s="5" t="s">
        <v>14</v>
      </c>
      <c r="E7579" s="5" t="s">
        <v>90</v>
      </c>
      <c r="F7579" s="5" t="s">
        <v>91</v>
      </c>
      <c r="G7579" s="5" t="s">
        <v>130</v>
      </c>
      <c r="H7579" s="5" t="s">
        <v>1429</v>
      </c>
      <c r="I7579" s="5" t="s">
        <v>31</v>
      </c>
      <c r="J7579" s="5">
        <v>17.092314848941001</v>
      </c>
      <c r="K7579" s="5">
        <v>-95.855053696628005</v>
      </c>
      <c r="L7579" s="5" t="str">
        <f>HYPERLINK("https://maps.google.com/?q=17.0923148489409,-95.855053696627607", "🔗 Ver Mapa")</f>
        <v>🔗 Ver Mapa</v>
      </c>
    </row>
    <row r="7580" spans="1:12" ht="43.5" x14ac:dyDescent="0.35">
      <c r="A7580" s="6" t="s">
        <v>98</v>
      </c>
      <c r="B7580" s="6" t="s">
        <v>99</v>
      </c>
      <c r="C7580" s="6" t="s">
        <v>1428</v>
      </c>
      <c r="D7580" s="6" t="s">
        <v>14</v>
      </c>
      <c r="E7580" s="6" t="s">
        <v>90</v>
      </c>
      <c r="F7580" s="6" t="s">
        <v>91</v>
      </c>
      <c r="G7580" s="6" t="s">
        <v>130</v>
      </c>
      <c r="H7580" s="6" t="s">
        <v>1429</v>
      </c>
      <c r="I7580" s="6" t="s">
        <v>31</v>
      </c>
      <c r="J7580" s="6">
        <v>17.092701134552001</v>
      </c>
      <c r="K7580" s="6">
        <v>-95.854219317792001</v>
      </c>
      <c r="L7580" s="6" t="str">
        <f>HYPERLINK("https://maps.google.com/?q=17.0927011345518,-95.854219317791603", "🔗 Ver Mapa")</f>
        <v>🔗 Ver Mapa</v>
      </c>
    </row>
    <row r="7581" spans="1:12" ht="43.5" x14ac:dyDescent="0.35">
      <c r="A7581" s="5" t="s">
        <v>98</v>
      </c>
      <c r="B7581" s="5" t="s">
        <v>99</v>
      </c>
      <c r="C7581" s="5" t="s">
        <v>1428</v>
      </c>
      <c r="D7581" s="5" t="s">
        <v>14</v>
      </c>
      <c r="E7581" s="5" t="s">
        <v>90</v>
      </c>
      <c r="F7581" s="5" t="s">
        <v>91</v>
      </c>
      <c r="G7581" s="5" t="s">
        <v>130</v>
      </c>
      <c r="H7581" s="5" t="s">
        <v>1429</v>
      </c>
      <c r="I7581" s="5" t="s">
        <v>31</v>
      </c>
      <c r="J7581" s="5">
        <v>17.092866834551</v>
      </c>
      <c r="K7581" s="5">
        <v>-95.855794378895993</v>
      </c>
      <c r="L7581" s="5" t="str">
        <f>HYPERLINK("https://maps.google.com/?q=17.0928668345507,-95.855794378895595", "🔗 Ver Mapa")</f>
        <v>🔗 Ver Mapa</v>
      </c>
    </row>
    <row r="7582" spans="1:12" ht="43.5" x14ac:dyDescent="0.35">
      <c r="A7582" s="6" t="s">
        <v>98</v>
      </c>
      <c r="B7582" s="6" t="s">
        <v>99</v>
      </c>
      <c r="C7582" s="6" t="s">
        <v>1428</v>
      </c>
      <c r="D7582" s="6" t="s">
        <v>14</v>
      </c>
      <c r="E7582" s="6" t="s">
        <v>90</v>
      </c>
      <c r="F7582" s="6" t="s">
        <v>91</v>
      </c>
      <c r="G7582" s="6" t="s">
        <v>130</v>
      </c>
      <c r="H7582" s="6" t="s">
        <v>1429</v>
      </c>
      <c r="I7582" s="6" t="s">
        <v>31</v>
      </c>
      <c r="J7582" s="6">
        <v>17.093027822682998</v>
      </c>
      <c r="K7582" s="6">
        <v>-95.853707855582002</v>
      </c>
      <c r="L7582" s="6" t="str">
        <f>HYPERLINK("https://maps.google.com/?q=17.0930278226834,-95.8537078555824", "🔗 Ver Mapa")</f>
        <v>🔗 Ver Mapa</v>
      </c>
    </row>
    <row r="7583" spans="1:12" ht="43.5" x14ac:dyDescent="0.35">
      <c r="A7583" s="5" t="s">
        <v>98</v>
      </c>
      <c r="B7583" s="5" t="s">
        <v>99</v>
      </c>
      <c r="C7583" s="5" t="s">
        <v>1428</v>
      </c>
      <c r="D7583" s="5" t="s">
        <v>14</v>
      </c>
      <c r="E7583" s="5" t="s">
        <v>90</v>
      </c>
      <c r="F7583" s="5" t="s">
        <v>91</v>
      </c>
      <c r="G7583" s="5" t="s">
        <v>130</v>
      </c>
      <c r="H7583" s="5" t="s">
        <v>1429</v>
      </c>
      <c r="I7583" s="5" t="s">
        <v>31</v>
      </c>
      <c r="J7583" s="5">
        <v>17.093105263037</v>
      </c>
      <c r="K7583" s="5">
        <v>-95.854907070451006</v>
      </c>
      <c r="L7583" s="5" t="str">
        <f>HYPERLINK("https://maps.google.com/?q=17.0931052630372,-95.854907070451105", "🔗 Ver Mapa")</f>
        <v>🔗 Ver Mapa</v>
      </c>
    </row>
    <row r="7584" spans="1:12" ht="43.5" x14ac:dyDescent="0.35">
      <c r="A7584" s="6" t="s">
        <v>98</v>
      </c>
      <c r="B7584" s="6" t="s">
        <v>99</v>
      </c>
      <c r="C7584" s="6" t="s">
        <v>1428</v>
      </c>
      <c r="D7584" s="6" t="s">
        <v>14</v>
      </c>
      <c r="E7584" s="6" t="s">
        <v>90</v>
      </c>
      <c r="F7584" s="6" t="s">
        <v>91</v>
      </c>
      <c r="G7584" s="6" t="s">
        <v>130</v>
      </c>
      <c r="H7584" s="6" t="s">
        <v>1429</v>
      </c>
      <c r="I7584" s="6" t="s">
        <v>31</v>
      </c>
      <c r="J7584" s="6">
        <v>17.093176512683002</v>
      </c>
      <c r="K7584" s="6">
        <v>-95.853977420001002</v>
      </c>
      <c r="L7584" s="6" t="str">
        <f>HYPERLINK("https://maps.google.com/?q=17.0931765126835,-95.853977420000504", "🔗 Ver Mapa")</f>
        <v>🔗 Ver Mapa</v>
      </c>
    </row>
    <row r="7585" spans="1:12" ht="43.5" x14ac:dyDescent="0.35">
      <c r="A7585" s="5" t="s">
        <v>98</v>
      </c>
      <c r="B7585" s="5" t="s">
        <v>99</v>
      </c>
      <c r="C7585" s="5" t="s">
        <v>1428</v>
      </c>
      <c r="D7585" s="5" t="s">
        <v>14</v>
      </c>
      <c r="E7585" s="5" t="s">
        <v>90</v>
      </c>
      <c r="F7585" s="5" t="s">
        <v>91</v>
      </c>
      <c r="G7585" s="5" t="s">
        <v>130</v>
      </c>
      <c r="H7585" s="5" t="s">
        <v>1429</v>
      </c>
      <c r="I7585" s="5" t="s">
        <v>31</v>
      </c>
      <c r="J7585" s="5">
        <v>17.093270123707001</v>
      </c>
      <c r="K7585" s="5">
        <v>-95.856332837137998</v>
      </c>
      <c r="L7585" s="5" t="str">
        <f>HYPERLINK("https://maps.google.com/?q=17.0932701237074,-95.8563328371377", "🔗 Ver Mapa")</f>
        <v>🔗 Ver Mapa</v>
      </c>
    </row>
    <row r="7586" spans="1:12" ht="43.5" x14ac:dyDescent="0.35">
      <c r="A7586" s="6" t="s">
        <v>98</v>
      </c>
      <c r="B7586" s="6" t="s">
        <v>99</v>
      </c>
      <c r="C7586" s="6" t="s">
        <v>1428</v>
      </c>
      <c r="D7586" s="6" t="s">
        <v>14</v>
      </c>
      <c r="E7586" s="6" t="s">
        <v>90</v>
      </c>
      <c r="F7586" s="6" t="s">
        <v>91</v>
      </c>
      <c r="G7586" s="6" t="s">
        <v>130</v>
      </c>
      <c r="H7586" s="6" t="s">
        <v>1429</v>
      </c>
      <c r="I7586" s="6" t="s">
        <v>31</v>
      </c>
      <c r="J7586" s="6">
        <v>17.093328172119001</v>
      </c>
      <c r="K7586" s="6">
        <v>-95.854812408054002</v>
      </c>
      <c r="L7586" s="6" t="str">
        <f>HYPERLINK("https://maps.google.com/?q=17.0933281721194,-95.854812408053903", "🔗 Ver Mapa")</f>
        <v>🔗 Ver Mapa</v>
      </c>
    </row>
    <row r="7587" spans="1:12" ht="43.5" x14ac:dyDescent="0.35">
      <c r="A7587" s="5" t="s">
        <v>98</v>
      </c>
      <c r="B7587" s="5" t="s">
        <v>99</v>
      </c>
      <c r="C7587" s="5" t="s">
        <v>1428</v>
      </c>
      <c r="D7587" s="5" t="s">
        <v>14</v>
      </c>
      <c r="E7587" s="5" t="s">
        <v>90</v>
      </c>
      <c r="F7587" s="5" t="s">
        <v>91</v>
      </c>
      <c r="G7587" s="5" t="s">
        <v>130</v>
      </c>
      <c r="H7587" s="5" t="s">
        <v>1429</v>
      </c>
      <c r="I7587" s="5" t="s">
        <v>31</v>
      </c>
      <c r="J7587" s="5">
        <v>17.093393332683998</v>
      </c>
      <c r="K7587" s="5">
        <v>-95.854528305583003</v>
      </c>
      <c r="L7587" s="5" t="str">
        <f>HYPERLINK("https://maps.google.com/?q=17.0933933326836,-95.854528305582505", "🔗 Ver Mapa")</f>
        <v>🔗 Ver Mapa</v>
      </c>
    </row>
    <row r="7588" spans="1:12" ht="43.5" x14ac:dyDescent="0.35">
      <c r="A7588" s="6" t="s">
        <v>98</v>
      </c>
      <c r="B7588" s="6" t="s">
        <v>99</v>
      </c>
      <c r="C7588" s="6" t="s">
        <v>1428</v>
      </c>
      <c r="D7588" s="6" t="s">
        <v>14</v>
      </c>
      <c r="E7588" s="6" t="s">
        <v>90</v>
      </c>
      <c r="F7588" s="6" t="s">
        <v>91</v>
      </c>
      <c r="G7588" s="6" t="s">
        <v>130</v>
      </c>
      <c r="H7588" s="6" t="s">
        <v>1429</v>
      </c>
      <c r="I7588" s="6" t="s">
        <v>31</v>
      </c>
      <c r="J7588" s="6">
        <v>17.093532010821001</v>
      </c>
      <c r="K7588" s="6">
        <v>-95.855736797790996</v>
      </c>
      <c r="L7588" s="6" t="str">
        <f>HYPERLINK("https://maps.google.com/?q=17.0935320108208,-95.855736797790996", "🔗 Ver Mapa")</f>
        <v>🔗 Ver Mapa</v>
      </c>
    </row>
    <row r="7589" spans="1:12" ht="43.5" x14ac:dyDescent="0.35">
      <c r="A7589" s="5" t="s">
        <v>98</v>
      </c>
      <c r="B7589" s="5" t="s">
        <v>99</v>
      </c>
      <c r="C7589" s="5" t="s">
        <v>1428</v>
      </c>
      <c r="D7589" s="5" t="s">
        <v>14</v>
      </c>
      <c r="E7589" s="5" t="s">
        <v>90</v>
      </c>
      <c r="F7589" s="5" t="s">
        <v>91</v>
      </c>
      <c r="G7589" s="5" t="s">
        <v>130</v>
      </c>
      <c r="H7589" s="5" t="s">
        <v>1429</v>
      </c>
      <c r="I7589" s="5" t="s">
        <v>31</v>
      </c>
      <c r="J7589" s="5">
        <v>17.093722170822002</v>
      </c>
      <c r="K7589" s="5">
        <v>-95.855095001104999</v>
      </c>
      <c r="L7589" s="5" t="str">
        <f>HYPERLINK("https://maps.google.com/?q=17.093722170822,-95.855095001104701", "🔗 Ver Mapa")</f>
        <v>🔗 Ver Mapa</v>
      </c>
    </row>
    <row r="7590" spans="1:12" ht="43.5" x14ac:dyDescent="0.35">
      <c r="A7590" s="6" t="s">
        <v>98</v>
      </c>
      <c r="B7590" s="6" t="s">
        <v>99</v>
      </c>
      <c r="C7590" s="6" t="s">
        <v>1428</v>
      </c>
      <c r="D7590" s="6" t="s">
        <v>14</v>
      </c>
      <c r="E7590" s="6" t="s">
        <v>90</v>
      </c>
      <c r="F7590" s="6" t="s">
        <v>91</v>
      </c>
      <c r="G7590" s="6" t="s">
        <v>130</v>
      </c>
      <c r="H7590" s="6" t="s">
        <v>1429</v>
      </c>
      <c r="I7590" s="6" t="s">
        <v>31</v>
      </c>
      <c r="J7590" s="6">
        <v>17.094045029364</v>
      </c>
      <c r="K7590" s="6">
        <v>-95.855377805914003</v>
      </c>
      <c r="L7590" s="6" t="str">
        <f>HYPERLINK("https://maps.google.com/?q=17.0940450293644,-95.855377805913804", "🔗 Ver Mapa")</f>
        <v>🔗 Ver Mapa</v>
      </c>
    </row>
    <row r="7591" spans="1:12" ht="43.5" x14ac:dyDescent="0.35">
      <c r="A7591" s="5" t="s">
        <v>98</v>
      </c>
      <c r="B7591" s="5" t="s">
        <v>99</v>
      </c>
      <c r="C7591" s="5" t="s">
        <v>1428</v>
      </c>
      <c r="D7591" s="5" t="s">
        <v>14</v>
      </c>
      <c r="E7591" s="5" t="s">
        <v>90</v>
      </c>
      <c r="F7591" s="5" t="s">
        <v>91</v>
      </c>
      <c r="G7591" s="5" t="s">
        <v>130</v>
      </c>
      <c r="H7591" s="5" t="s">
        <v>1429</v>
      </c>
      <c r="I7591" s="5" t="s">
        <v>31</v>
      </c>
      <c r="J7591" s="5">
        <v>17.094061798965001</v>
      </c>
      <c r="K7591" s="5">
        <v>-95.854012976687002</v>
      </c>
      <c r="L7591" s="5" t="str">
        <f>HYPERLINK("https://maps.google.com/?q=17.0940617989653,-95.854012976686803", "🔗 Ver Mapa")</f>
        <v>🔗 Ver Mapa</v>
      </c>
    </row>
    <row r="7592" spans="1:12" ht="43.5" x14ac:dyDescent="0.35">
      <c r="A7592" s="6" t="s">
        <v>98</v>
      </c>
      <c r="B7592" s="6" t="s">
        <v>99</v>
      </c>
      <c r="C7592" s="6" t="s">
        <v>1428</v>
      </c>
      <c r="D7592" s="6" t="s">
        <v>14</v>
      </c>
      <c r="E7592" s="6" t="s">
        <v>90</v>
      </c>
      <c r="F7592" s="6" t="s">
        <v>91</v>
      </c>
      <c r="G7592" s="6" t="s">
        <v>130</v>
      </c>
      <c r="H7592" s="6" t="s">
        <v>1429</v>
      </c>
      <c r="I7592" s="6" t="s">
        <v>31</v>
      </c>
      <c r="J7592" s="6">
        <v>17.094095134541998</v>
      </c>
      <c r="K7592" s="6">
        <v>-95.853587847791005</v>
      </c>
      <c r="L7592" s="6" t="str">
        <f>HYPERLINK("https://maps.google.com/?q=17.0940951345425,-95.853587847791403", "🔗 Ver Mapa")</f>
        <v>🔗 Ver Mapa</v>
      </c>
    </row>
    <row r="7593" spans="1:12" ht="43.5" x14ac:dyDescent="0.35">
      <c r="A7593" s="5" t="s">
        <v>98</v>
      </c>
      <c r="B7593" s="5" t="s">
        <v>99</v>
      </c>
      <c r="C7593" s="5" t="s">
        <v>1428</v>
      </c>
      <c r="D7593" s="5" t="s">
        <v>14</v>
      </c>
      <c r="E7593" s="5" t="s">
        <v>90</v>
      </c>
      <c r="F7593" s="5" t="s">
        <v>91</v>
      </c>
      <c r="G7593" s="5" t="s">
        <v>130</v>
      </c>
      <c r="H7593" s="5" t="s">
        <v>1429</v>
      </c>
      <c r="I7593" s="5" t="s">
        <v>31</v>
      </c>
      <c r="J7593" s="5">
        <v>17.094198774102001</v>
      </c>
      <c r="K7593" s="5">
        <v>-95.854372240000998</v>
      </c>
      <c r="L7593" s="5" t="str">
        <f>HYPERLINK("https://maps.google.com/?q=17.0941987741017,-95.8543722400006", "🔗 Ver Mapa")</f>
        <v>🔗 Ver Mapa</v>
      </c>
    </row>
    <row r="7594" spans="1:12" ht="43.5" x14ac:dyDescent="0.35">
      <c r="A7594" s="6" t="s">
        <v>98</v>
      </c>
      <c r="B7594" s="6" t="s">
        <v>99</v>
      </c>
      <c r="C7594" s="6" t="s">
        <v>1428</v>
      </c>
      <c r="D7594" s="6" t="s">
        <v>14</v>
      </c>
      <c r="E7594" s="6" t="s">
        <v>90</v>
      </c>
      <c r="F7594" s="6" t="s">
        <v>91</v>
      </c>
      <c r="G7594" s="6" t="s">
        <v>130</v>
      </c>
      <c r="H7594" s="6" t="s">
        <v>1429</v>
      </c>
      <c r="I7594" s="6" t="s">
        <v>31</v>
      </c>
      <c r="J7594" s="6">
        <v>17.094220529489998</v>
      </c>
      <c r="K7594" s="6">
        <v>-95.856398009236997</v>
      </c>
      <c r="L7594" s="6" t="str">
        <f>HYPERLINK("https://maps.google.com/?q=17.0942205294899,-95.856398009237495", "🔗 Ver Mapa")</f>
        <v>🔗 Ver Mapa</v>
      </c>
    </row>
    <row r="7595" spans="1:12" ht="43.5" x14ac:dyDescent="0.35">
      <c r="A7595" s="5" t="s">
        <v>98</v>
      </c>
      <c r="B7595" s="5" t="s">
        <v>99</v>
      </c>
      <c r="C7595" s="5" t="s">
        <v>1428</v>
      </c>
      <c r="D7595" s="5" t="s">
        <v>14</v>
      </c>
      <c r="E7595" s="5" t="s">
        <v>90</v>
      </c>
      <c r="F7595" s="5" t="s">
        <v>91</v>
      </c>
      <c r="G7595" s="5" t="s">
        <v>130</v>
      </c>
      <c r="H7595" s="5" t="s">
        <v>1429</v>
      </c>
      <c r="I7595" s="5" t="s">
        <v>31</v>
      </c>
      <c r="J7595" s="5">
        <v>17.094348715254998</v>
      </c>
      <c r="K7595" s="5">
        <v>-95.855791830000001</v>
      </c>
      <c r="L7595" s="5" t="str">
        <f>HYPERLINK("https://maps.google.com/?q=17.094348715255,-95.855791830000001", "🔗 Ver Mapa")</f>
        <v>🔗 Ver Mapa</v>
      </c>
    </row>
    <row r="7596" spans="1:12" ht="43.5" x14ac:dyDescent="0.35">
      <c r="A7596" s="6" t="s">
        <v>98</v>
      </c>
      <c r="B7596" s="6" t="s">
        <v>99</v>
      </c>
      <c r="C7596" s="6" t="s">
        <v>1428</v>
      </c>
      <c r="D7596" s="6" t="s">
        <v>14</v>
      </c>
      <c r="E7596" s="6" t="s">
        <v>90</v>
      </c>
      <c r="F7596" s="6" t="s">
        <v>91</v>
      </c>
      <c r="G7596" s="6" t="s">
        <v>130</v>
      </c>
      <c r="H7596" s="6" t="s">
        <v>1429</v>
      </c>
      <c r="I7596" s="6" t="s">
        <v>31</v>
      </c>
      <c r="J7596" s="6">
        <v>17.094358924112999</v>
      </c>
      <c r="K7596" s="6">
        <v>-95.854815875582005</v>
      </c>
      <c r="L7596" s="6" t="str">
        <f>HYPERLINK("https://maps.google.com/?q=17.0943589241128,-95.854815875582005", "🔗 Ver Mapa")</f>
        <v>🔗 Ver Mapa</v>
      </c>
    </row>
    <row r="7597" spans="1:12" ht="43.5" x14ac:dyDescent="0.35">
      <c r="A7597" s="5" t="s">
        <v>98</v>
      </c>
      <c r="B7597" s="5" t="s">
        <v>99</v>
      </c>
      <c r="C7597" s="5" t="s">
        <v>1428</v>
      </c>
      <c r="D7597" s="5" t="s">
        <v>14</v>
      </c>
      <c r="E7597" s="5" t="s">
        <v>90</v>
      </c>
      <c r="F7597" s="5" t="s">
        <v>91</v>
      </c>
      <c r="G7597" s="5" t="s">
        <v>130</v>
      </c>
      <c r="H7597" s="5" t="s">
        <v>1429</v>
      </c>
      <c r="I7597" s="5" t="s">
        <v>31</v>
      </c>
      <c r="J7597" s="5">
        <v>17.094424456397</v>
      </c>
      <c r="K7597" s="5">
        <v>-95.855309415581999</v>
      </c>
      <c r="L7597" s="5" t="str">
        <f>HYPERLINK("https://maps.google.com/?q=17.0944244563971,-95.855309415582497", "🔗 Ver Mapa")</f>
        <v>🔗 Ver Mapa</v>
      </c>
    </row>
    <row r="7598" spans="1:12" ht="43.5" x14ac:dyDescent="0.35">
      <c r="A7598" s="6" t="s">
        <v>98</v>
      </c>
      <c r="B7598" s="6" t="s">
        <v>99</v>
      </c>
      <c r="C7598" s="6" t="s">
        <v>1428</v>
      </c>
      <c r="D7598" s="6" t="s">
        <v>14</v>
      </c>
      <c r="E7598" s="6" t="s">
        <v>90</v>
      </c>
      <c r="F7598" s="6" t="s">
        <v>91</v>
      </c>
      <c r="G7598" s="6" t="s">
        <v>130</v>
      </c>
      <c r="H7598" s="6" t="s">
        <v>1429</v>
      </c>
      <c r="I7598" s="6" t="s">
        <v>31</v>
      </c>
      <c r="J7598" s="6">
        <v>17.094439732238001</v>
      </c>
      <c r="K7598" s="6">
        <v>-95.853728634784005</v>
      </c>
      <c r="L7598" s="6" t="str">
        <f>HYPERLINK("https://maps.google.com/?q=17.0944397322385,-95.853728634783906", "🔗 Ver Mapa")</f>
        <v>🔗 Ver Mapa</v>
      </c>
    </row>
    <row r="7599" spans="1:12" ht="43.5" x14ac:dyDescent="0.35">
      <c r="A7599" s="5" t="s">
        <v>98</v>
      </c>
      <c r="B7599" s="5" t="s">
        <v>99</v>
      </c>
      <c r="C7599" s="5" t="s">
        <v>1428</v>
      </c>
      <c r="D7599" s="5" t="s">
        <v>14</v>
      </c>
      <c r="E7599" s="5" t="s">
        <v>90</v>
      </c>
      <c r="F7599" s="5" t="s">
        <v>91</v>
      </c>
      <c r="G7599" s="5" t="s">
        <v>130</v>
      </c>
      <c r="H7599" s="5" t="s">
        <v>1429</v>
      </c>
      <c r="I7599" s="5" t="s">
        <v>31</v>
      </c>
      <c r="J7599" s="5">
        <v>17.094529184540001</v>
      </c>
      <c r="K7599" s="5">
        <v>-95.855089978896004</v>
      </c>
      <c r="L7599" s="5" t="str">
        <f>HYPERLINK("https://maps.google.com/?q=17.0945291845396,-95.855089978895904", "🔗 Ver Mapa")</f>
        <v>🔗 Ver Mapa</v>
      </c>
    </row>
    <row r="7600" spans="1:12" ht="43.5" x14ac:dyDescent="0.35">
      <c r="A7600" s="6" t="s">
        <v>98</v>
      </c>
      <c r="B7600" s="6" t="s">
        <v>99</v>
      </c>
      <c r="C7600" s="6" t="s">
        <v>1428</v>
      </c>
      <c r="D7600" s="6" t="s">
        <v>14</v>
      </c>
      <c r="E7600" s="6" t="s">
        <v>90</v>
      </c>
      <c r="F7600" s="6" t="s">
        <v>91</v>
      </c>
      <c r="G7600" s="6" t="s">
        <v>130</v>
      </c>
      <c r="H7600" s="6" t="s">
        <v>1429</v>
      </c>
      <c r="I7600" s="6" t="s">
        <v>31</v>
      </c>
      <c r="J7600" s="6">
        <v>17.095002461284999</v>
      </c>
      <c r="K7600" s="6">
        <v>-95.855689906056995</v>
      </c>
      <c r="L7600" s="6" t="str">
        <f>HYPERLINK("https://maps.google.com/?q=17.0950024612847,-95.855689906057407", "🔗 Ver Mapa")</f>
        <v>🔗 Ver Mapa</v>
      </c>
    </row>
    <row r="7601" spans="1:12" ht="43.5" x14ac:dyDescent="0.35">
      <c r="A7601" s="5" t="s">
        <v>98</v>
      </c>
      <c r="B7601" s="5" t="s">
        <v>99</v>
      </c>
      <c r="C7601" s="5" t="s">
        <v>1428</v>
      </c>
      <c r="D7601" s="5" t="s">
        <v>14</v>
      </c>
      <c r="E7601" s="5" t="s">
        <v>90</v>
      </c>
      <c r="F7601" s="5" t="s">
        <v>91</v>
      </c>
      <c r="G7601" s="5" t="s">
        <v>130</v>
      </c>
      <c r="H7601" s="5" t="s">
        <v>1429</v>
      </c>
      <c r="I7601" s="5" t="s">
        <v>31</v>
      </c>
      <c r="J7601" s="5">
        <v>17.096491220053998</v>
      </c>
      <c r="K7601" s="5">
        <v>-95.856634473373006</v>
      </c>
      <c r="L7601" s="5" t="str">
        <f>HYPERLINK("https://maps.google.com/?q=17.0964912200539,-95.856634473373404", "🔗 Ver Mapa")</f>
        <v>🔗 Ver Mapa</v>
      </c>
    </row>
    <row r="7602" spans="1:12" ht="43.5" x14ac:dyDescent="0.35">
      <c r="A7602" s="6" t="s">
        <v>98</v>
      </c>
      <c r="B7602" s="6" t="s">
        <v>99</v>
      </c>
      <c r="C7602" s="6" t="s">
        <v>1428</v>
      </c>
      <c r="D7602" s="6" t="s">
        <v>14</v>
      </c>
      <c r="E7602" s="6" t="s">
        <v>90</v>
      </c>
      <c r="F7602" s="6" t="s">
        <v>91</v>
      </c>
      <c r="G7602" s="6" t="s">
        <v>130</v>
      </c>
      <c r="H7602" s="6" t="s">
        <v>1429</v>
      </c>
      <c r="I7602" s="6" t="s">
        <v>31</v>
      </c>
      <c r="J7602" s="6">
        <v>17.096761160046999</v>
      </c>
      <c r="K7602" s="6">
        <v>-95.856059474418004</v>
      </c>
      <c r="L7602" s="6" t="str">
        <f>HYPERLINK("https://maps.google.com/?q=17.0967611600466,-95.856059474418103", "🔗 Ver Mapa")</f>
        <v>🔗 Ver Mapa</v>
      </c>
    </row>
    <row r="7603" spans="1:12" ht="43.5" x14ac:dyDescent="0.35">
      <c r="A7603" s="5" t="s">
        <v>98</v>
      </c>
      <c r="B7603" s="5" t="s">
        <v>99</v>
      </c>
      <c r="C7603" s="5" t="s">
        <v>1430</v>
      </c>
      <c r="D7603" s="5" t="s">
        <v>14</v>
      </c>
      <c r="E7603" s="5" t="s">
        <v>158</v>
      </c>
      <c r="F7603" s="5" t="s">
        <v>159</v>
      </c>
      <c r="G7603" s="5" t="s">
        <v>205</v>
      </c>
      <c r="H7603" s="5" t="s">
        <v>206</v>
      </c>
      <c r="I7603" s="5" t="s">
        <v>31</v>
      </c>
      <c r="J7603" s="5">
        <v>17.228971810126001</v>
      </c>
      <c r="K7603" s="5">
        <v>-95.049801679311997</v>
      </c>
      <c r="L7603" s="5" t="str">
        <f>HYPERLINK("https://maps.google.com/?q=17.2289718101259,-95.049801679311599", "🔗 Ver Mapa")</f>
        <v>🔗 Ver Mapa</v>
      </c>
    </row>
    <row r="7604" spans="1:12" ht="43.5" x14ac:dyDescent="0.35">
      <c r="A7604" s="6" t="s">
        <v>98</v>
      </c>
      <c r="B7604" s="6" t="s">
        <v>99</v>
      </c>
      <c r="C7604" s="6" t="s">
        <v>1430</v>
      </c>
      <c r="D7604" s="6" t="s">
        <v>14</v>
      </c>
      <c r="E7604" s="6" t="s">
        <v>158</v>
      </c>
      <c r="F7604" s="6" t="s">
        <v>159</v>
      </c>
      <c r="G7604" s="6" t="s">
        <v>205</v>
      </c>
      <c r="H7604" s="6" t="s">
        <v>206</v>
      </c>
      <c r="I7604" s="6" t="s">
        <v>31</v>
      </c>
      <c r="J7604" s="6">
        <v>17.229004691454001</v>
      </c>
      <c r="K7604" s="6">
        <v>-95.049607519049005</v>
      </c>
      <c r="L7604" s="6" t="str">
        <f>HYPERLINK("https://maps.google.com/?q=17.2290046914535,-95.049607519049005", "🔗 Ver Mapa")</f>
        <v>🔗 Ver Mapa</v>
      </c>
    </row>
    <row r="7605" spans="1:12" ht="43.5" x14ac:dyDescent="0.35">
      <c r="A7605" s="5" t="s">
        <v>98</v>
      </c>
      <c r="B7605" s="5" t="s">
        <v>99</v>
      </c>
      <c r="C7605" s="5" t="s">
        <v>1430</v>
      </c>
      <c r="D7605" s="5" t="s">
        <v>14</v>
      </c>
      <c r="E7605" s="5" t="s">
        <v>158</v>
      </c>
      <c r="F7605" s="5" t="s">
        <v>159</v>
      </c>
      <c r="G7605" s="5" t="s">
        <v>205</v>
      </c>
      <c r="H7605" s="5" t="s">
        <v>206</v>
      </c>
      <c r="I7605" s="5" t="s">
        <v>31</v>
      </c>
      <c r="J7605" s="5">
        <v>17.229051816235</v>
      </c>
      <c r="K7605" s="5">
        <v>-95.054166816660995</v>
      </c>
      <c r="L7605" s="5" t="str">
        <f>HYPERLINK("https://maps.google.com/?q=17.2290518162349,-95.054166816660597", "🔗 Ver Mapa")</f>
        <v>🔗 Ver Mapa</v>
      </c>
    </row>
    <row r="7606" spans="1:12" ht="43.5" x14ac:dyDescent="0.35">
      <c r="A7606" s="6" t="s">
        <v>98</v>
      </c>
      <c r="B7606" s="6" t="s">
        <v>99</v>
      </c>
      <c r="C7606" s="6" t="s">
        <v>1430</v>
      </c>
      <c r="D7606" s="6" t="s">
        <v>14</v>
      </c>
      <c r="E7606" s="6" t="s">
        <v>158</v>
      </c>
      <c r="F7606" s="6" t="s">
        <v>159</v>
      </c>
      <c r="G7606" s="6" t="s">
        <v>205</v>
      </c>
      <c r="H7606" s="6" t="s">
        <v>206</v>
      </c>
      <c r="I7606" s="6" t="s">
        <v>31</v>
      </c>
      <c r="J7606" s="6">
        <v>17.229211140935998</v>
      </c>
      <c r="K7606" s="6">
        <v>-95.049683879395999</v>
      </c>
      <c r="L7606" s="6" t="str">
        <f>HYPERLINK("https://maps.google.com/?q=17.2292111409358,-95.049683879395801", "🔗 Ver Mapa")</f>
        <v>🔗 Ver Mapa</v>
      </c>
    </row>
    <row r="7607" spans="1:12" ht="43.5" x14ac:dyDescent="0.35">
      <c r="A7607" s="5" t="s">
        <v>98</v>
      </c>
      <c r="B7607" s="5" t="s">
        <v>99</v>
      </c>
      <c r="C7607" s="5" t="s">
        <v>1430</v>
      </c>
      <c r="D7607" s="5" t="s">
        <v>14</v>
      </c>
      <c r="E7607" s="5" t="s">
        <v>158</v>
      </c>
      <c r="F7607" s="5" t="s">
        <v>159</v>
      </c>
      <c r="G7607" s="5" t="s">
        <v>205</v>
      </c>
      <c r="H7607" s="5" t="s">
        <v>206</v>
      </c>
      <c r="I7607" s="5" t="s">
        <v>31</v>
      </c>
      <c r="J7607" s="5">
        <v>17.229238666227001</v>
      </c>
      <c r="K7607" s="5">
        <v>-95.050726354418003</v>
      </c>
      <c r="L7607" s="5" t="str">
        <f>HYPERLINK("https://maps.google.com/?q=17.2292386662274,-95.050726354418003", "🔗 Ver Mapa")</f>
        <v>🔗 Ver Mapa</v>
      </c>
    </row>
    <row r="7608" spans="1:12" ht="43.5" x14ac:dyDescent="0.35">
      <c r="A7608" s="6" t="s">
        <v>98</v>
      </c>
      <c r="B7608" s="6" t="s">
        <v>99</v>
      </c>
      <c r="C7608" s="6" t="s">
        <v>1430</v>
      </c>
      <c r="D7608" s="6" t="s">
        <v>14</v>
      </c>
      <c r="E7608" s="6" t="s">
        <v>158</v>
      </c>
      <c r="F7608" s="6" t="s">
        <v>159</v>
      </c>
      <c r="G7608" s="6" t="s">
        <v>205</v>
      </c>
      <c r="H7608" s="6" t="s">
        <v>206</v>
      </c>
      <c r="I7608" s="6" t="s">
        <v>31</v>
      </c>
      <c r="J7608" s="6">
        <v>17.229241599769999</v>
      </c>
      <c r="K7608" s="6">
        <v>-95.052413323763005</v>
      </c>
      <c r="L7608" s="6" t="str">
        <f>HYPERLINK("https://maps.google.com/?q=17.2292415997704,-95.052413323763403", "🔗 Ver Mapa")</f>
        <v>🔗 Ver Mapa</v>
      </c>
    </row>
    <row r="7609" spans="1:12" ht="43.5" x14ac:dyDescent="0.35">
      <c r="A7609" s="5" t="s">
        <v>98</v>
      </c>
      <c r="B7609" s="5" t="s">
        <v>99</v>
      </c>
      <c r="C7609" s="5" t="s">
        <v>1430</v>
      </c>
      <c r="D7609" s="5" t="s">
        <v>14</v>
      </c>
      <c r="E7609" s="5" t="s">
        <v>158</v>
      </c>
      <c r="F7609" s="5" t="s">
        <v>159</v>
      </c>
      <c r="G7609" s="5" t="s">
        <v>205</v>
      </c>
      <c r="H7609" s="5" t="s">
        <v>206</v>
      </c>
      <c r="I7609" s="5" t="s">
        <v>31</v>
      </c>
      <c r="J7609" s="5">
        <v>17.229244219209999</v>
      </c>
      <c r="K7609" s="5">
        <v>-95.049382211297996</v>
      </c>
      <c r="L7609" s="5" t="str">
        <f>HYPERLINK("https://maps.google.com/?q=17.2292442192095,-95.049382211297598", "🔗 Ver Mapa")</f>
        <v>🔗 Ver Mapa</v>
      </c>
    </row>
    <row r="7610" spans="1:12" ht="43.5" x14ac:dyDescent="0.35">
      <c r="A7610" s="6" t="s">
        <v>98</v>
      </c>
      <c r="B7610" s="6" t="s">
        <v>99</v>
      </c>
      <c r="C7610" s="6" t="s">
        <v>1430</v>
      </c>
      <c r="D7610" s="6" t="s">
        <v>14</v>
      </c>
      <c r="E7610" s="6" t="s">
        <v>158</v>
      </c>
      <c r="F7610" s="6" t="s">
        <v>159</v>
      </c>
      <c r="G7610" s="6" t="s">
        <v>205</v>
      </c>
      <c r="H7610" s="6" t="s">
        <v>206</v>
      </c>
      <c r="I7610" s="6" t="s">
        <v>31</v>
      </c>
      <c r="J7610" s="6">
        <v>17.229313277254001</v>
      </c>
      <c r="K7610" s="6">
        <v>-95.056126985611996</v>
      </c>
      <c r="L7610" s="6" t="str">
        <f>HYPERLINK("https://maps.google.com/?q=17.2293132772543,-95.056126985612096", "🔗 Ver Mapa")</f>
        <v>🔗 Ver Mapa</v>
      </c>
    </row>
    <row r="7611" spans="1:12" ht="43.5" x14ac:dyDescent="0.35">
      <c r="A7611" s="5" t="s">
        <v>98</v>
      </c>
      <c r="B7611" s="5" t="s">
        <v>99</v>
      </c>
      <c r="C7611" s="5" t="s">
        <v>1430</v>
      </c>
      <c r="D7611" s="5" t="s">
        <v>14</v>
      </c>
      <c r="E7611" s="5" t="s">
        <v>158</v>
      </c>
      <c r="F7611" s="5" t="s">
        <v>159</v>
      </c>
      <c r="G7611" s="5" t="s">
        <v>205</v>
      </c>
      <c r="H7611" s="5" t="s">
        <v>206</v>
      </c>
      <c r="I7611" s="5" t="s">
        <v>31</v>
      </c>
      <c r="J7611" s="5">
        <v>17.229554646654002</v>
      </c>
      <c r="K7611" s="5">
        <v>-95.054418222755999</v>
      </c>
      <c r="L7611" s="5" t="str">
        <f>HYPERLINK("https://maps.google.com/?q=17.2295546466542,-95.054418222755999", "🔗 Ver Mapa")</f>
        <v>🔗 Ver Mapa</v>
      </c>
    </row>
    <row r="7612" spans="1:12" ht="43.5" x14ac:dyDescent="0.35">
      <c r="A7612" s="6" t="s">
        <v>98</v>
      </c>
      <c r="B7612" s="6" t="s">
        <v>99</v>
      </c>
      <c r="C7612" s="6" t="s">
        <v>1430</v>
      </c>
      <c r="D7612" s="6" t="s">
        <v>14</v>
      </c>
      <c r="E7612" s="6" t="s">
        <v>158</v>
      </c>
      <c r="F7612" s="6" t="s">
        <v>159</v>
      </c>
      <c r="G7612" s="6" t="s">
        <v>205</v>
      </c>
      <c r="H7612" s="6" t="s">
        <v>206</v>
      </c>
      <c r="I7612" s="6" t="s">
        <v>31</v>
      </c>
      <c r="J7612" s="6">
        <v>17.229623394701999</v>
      </c>
      <c r="K7612" s="6">
        <v>-95.050730695057993</v>
      </c>
      <c r="L7612" s="6" t="str">
        <f>HYPERLINK("https://maps.google.com/?q=17.2296233947018,-95.050730695058306", "🔗 Ver Mapa")</f>
        <v>🔗 Ver Mapa</v>
      </c>
    </row>
    <row r="7613" spans="1:12" ht="43.5" x14ac:dyDescent="0.35">
      <c r="A7613" s="5" t="s">
        <v>98</v>
      </c>
      <c r="B7613" s="5" t="s">
        <v>99</v>
      </c>
      <c r="C7613" s="5" t="s">
        <v>1430</v>
      </c>
      <c r="D7613" s="5" t="s">
        <v>14</v>
      </c>
      <c r="E7613" s="5" t="s">
        <v>158</v>
      </c>
      <c r="F7613" s="5" t="s">
        <v>159</v>
      </c>
      <c r="G7613" s="5" t="s">
        <v>205</v>
      </c>
      <c r="H7613" s="5" t="s">
        <v>206</v>
      </c>
      <c r="I7613" s="5" t="s">
        <v>31</v>
      </c>
      <c r="J7613" s="5">
        <v>17.229841865649998</v>
      </c>
      <c r="K7613" s="5">
        <v>-95.054339016493003</v>
      </c>
      <c r="L7613" s="5" t="str">
        <f>HYPERLINK("https://maps.google.com/?q=17.2298418656503,-95.054339016492506", "🔗 Ver Mapa")</f>
        <v>🔗 Ver Mapa</v>
      </c>
    </row>
    <row r="7614" spans="1:12" ht="43.5" x14ac:dyDescent="0.35">
      <c r="A7614" s="6" t="s">
        <v>98</v>
      </c>
      <c r="B7614" s="6" t="s">
        <v>99</v>
      </c>
      <c r="C7614" s="6" t="s">
        <v>1430</v>
      </c>
      <c r="D7614" s="6" t="s">
        <v>14</v>
      </c>
      <c r="E7614" s="6" t="s">
        <v>158</v>
      </c>
      <c r="F7614" s="6" t="s">
        <v>159</v>
      </c>
      <c r="G7614" s="6" t="s">
        <v>205</v>
      </c>
      <c r="H7614" s="6" t="s">
        <v>206</v>
      </c>
      <c r="I7614" s="6" t="s">
        <v>31</v>
      </c>
      <c r="J7614" s="6">
        <v>17.229919519715001</v>
      </c>
      <c r="K7614" s="6">
        <v>-95.053092425776001</v>
      </c>
      <c r="L7614" s="6" t="str">
        <f>HYPERLINK("https://maps.google.com/?q=17.2299195197154,-95.053092425775901", "🔗 Ver Mapa")</f>
        <v>🔗 Ver Mapa</v>
      </c>
    </row>
    <row r="7615" spans="1:12" ht="43.5" x14ac:dyDescent="0.35">
      <c r="A7615" s="5" t="s">
        <v>98</v>
      </c>
      <c r="B7615" s="5" t="s">
        <v>99</v>
      </c>
      <c r="C7615" s="5" t="s">
        <v>1430</v>
      </c>
      <c r="D7615" s="5" t="s">
        <v>14</v>
      </c>
      <c r="E7615" s="5" t="s">
        <v>158</v>
      </c>
      <c r="F7615" s="5" t="s">
        <v>159</v>
      </c>
      <c r="G7615" s="5" t="s">
        <v>205</v>
      </c>
      <c r="H7615" s="5" t="s">
        <v>206</v>
      </c>
      <c r="I7615" s="5" t="s">
        <v>31</v>
      </c>
      <c r="J7615" s="5">
        <v>17.229933377784999</v>
      </c>
      <c r="K7615" s="5">
        <v>-95.050664980937</v>
      </c>
      <c r="L7615" s="5" t="str">
        <f>HYPERLINK("https://maps.google.com/?q=17.229933377785,-95.050664980937398", "🔗 Ver Mapa")</f>
        <v>🔗 Ver Mapa</v>
      </c>
    </row>
    <row r="7616" spans="1:12" ht="43.5" x14ac:dyDescent="0.35">
      <c r="A7616" s="6" t="s">
        <v>98</v>
      </c>
      <c r="B7616" s="6" t="s">
        <v>99</v>
      </c>
      <c r="C7616" s="6" t="s">
        <v>1430</v>
      </c>
      <c r="D7616" s="6" t="s">
        <v>14</v>
      </c>
      <c r="E7616" s="6" t="s">
        <v>158</v>
      </c>
      <c r="F7616" s="6" t="s">
        <v>159</v>
      </c>
      <c r="G7616" s="6" t="s">
        <v>205</v>
      </c>
      <c r="H7616" s="6" t="s">
        <v>206</v>
      </c>
      <c r="I7616" s="6" t="s">
        <v>31</v>
      </c>
      <c r="J7616" s="6">
        <v>17.230061756695001</v>
      </c>
      <c r="K7616" s="6">
        <v>-95.052170256698005</v>
      </c>
      <c r="L7616" s="6" t="str">
        <f>HYPERLINK("https://maps.google.com/?q=17.2300617566953,-95.052170256698204", "🔗 Ver Mapa")</f>
        <v>🔗 Ver Mapa</v>
      </c>
    </row>
    <row r="7617" spans="1:12" ht="43.5" x14ac:dyDescent="0.35">
      <c r="A7617" s="5" t="s">
        <v>98</v>
      </c>
      <c r="B7617" s="5" t="s">
        <v>99</v>
      </c>
      <c r="C7617" s="5" t="s">
        <v>1430</v>
      </c>
      <c r="D7617" s="5" t="s">
        <v>14</v>
      </c>
      <c r="E7617" s="5" t="s">
        <v>158</v>
      </c>
      <c r="F7617" s="5" t="s">
        <v>159</v>
      </c>
      <c r="G7617" s="5" t="s">
        <v>205</v>
      </c>
      <c r="H7617" s="5" t="s">
        <v>206</v>
      </c>
      <c r="I7617" s="5" t="s">
        <v>31</v>
      </c>
      <c r="J7617" s="5">
        <v>17.230079734914</v>
      </c>
      <c r="K7617" s="5">
        <v>-95.055005653167001</v>
      </c>
      <c r="L7617" s="5" t="str">
        <f>HYPERLINK("https://maps.google.com/?q=17.230079734914,-95.0550056531671", "🔗 Ver Mapa")</f>
        <v>🔗 Ver Mapa</v>
      </c>
    </row>
    <row r="7618" spans="1:12" ht="43.5" x14ac:dyDescent="0.35">
      <c r="A7618" s="6" t="s">
        <v>98</v>
      </c>
      <c r="B7618" s="6" t="s">
        <v>99</v>
      </c>
      <c r="C7618" s="6" t="s">
        <v>1430</v>
      </c>
      <c r="D7618" s="6" t="s">
        <v>14</v>
      </c>
      <c r="E7618" s="6" t="s">
        <v>158</v>
      </c>
      <c r="F7618" s="6" t="s">
        <v>159</v>
      </c>
      <c r="G7618" s="6" t="s">
        <v>205</v>
      </c>
      <c r="H7618" s="6" t="s">
        <v>206</v>
      </c>
      <c r="I7618" s="6" t="s">
        <v>31</v>
      </c>
      <c r="J7618" s="6">
        <v>17.230146738557</v>
      </c>
      <c r="K7618" s="6">
        <v>-95.055810333107004</v>
      </c>
      <c r="L7618" s="6" t="str">
        <f>HYPERLINK("https://maps.google.com/?q=17.2301467385572,-95.055810333107303", "🔗 Ver Mapa")</f>
        <v>🔗 Ver Mapa</v>
      </c>
    </row>
    <row r="7619" spans="1:12" ht="43.5" x14ac:dyDescent="0.35">
      <c r="A7619" s="5" t="s">
        <v>98</v>
      </c>
      <c r="B7619" s="5" t="s">
        <v>99</v>
      </c>
      <c r="C7619" s="5" t="s">
        <v>1430</v>
      </c>
      <c r="D7619" s="5" t="s">
        <v>14</v>
      </c>
      <c r="E7619" s="5" t="s">
        <v>158</v>
      </c>
      <c r="F7619" s="5" t="s">
        <v>159</v>
      </c>
      <c r="G7619" s="5" t="s">
        <v>205</v>
      </c>
      <c r="H7619" s="5" t="s">
        <v>206</v>
      </c>
      <c r="I7619" s="5" t="s">
        <v>31</v>
      </c>
      <c r="J7619" s="5">
        <v>17.230240231774001</v>
      </c>
      <c r="K7619" s="5">
        <v>-95.054166014011003</v>
      </c>
      <c r="L7619" s="5" t="str">
        <f>HYPERLINK("https://maps.google.com/?q=17.2302402317735,-95.054166014011102", "🔗 Ver Mapa")</f>
        <v>🔗 Ver Mapa</v>
      </c>
    </row>
    <row r="7620" spans="1:12" ht="43.5" x14ac:dyDescent="0.35">
      <c r="A7620" s="6" t="s">
        <v>98</v>
      </c>
      <c r="B7620" s="6" t="s">
        <v>99</v>
      </c>
      <c r="C7620" s="6" t="s">
        <v>1430</v>
      </c>
      <c r="D7620" s="6" t="s">
        <v>14</v>
      </c>
      <c r="E7620" s="6" t="s">
        <v>158</v>
      </c>
      <c r="F7620" s="6" t="s">
        <v>159</v>
      </c>
      <c r="G7620" s="6" t="s">
        <v>205</v>
      </c>
      <c r="H7620" s="6" t="s">
        <v>206</v>
      </c>
      <c r="I7620" s="6" t="s">
        <v>31</v>
      </c>
      <c r="J7620" s="6">
        <v>17.230245988867999</v>
      </c>
      <c r="K7620" s="6">
        <v>-95.053207345770005</v>
      </c>
      <c r="L7620" s="6" t="str">
        <f>HYPERLINK("https://maps.google.com/?q=17.2302459888678,-95.053207345770105", "🔗 Ver Mapa")</f>
        <v>🔗 Ver Mapa</v>
      </c>
    </row>
    <row r="7621" spans="1:12" ht="43.5" x14ac:dyDescent="0.35">
      <c r="A7621" s="5" t="s">
        <v>98</v>
      </c>
      <c r="B7621" s="5" t="s">
        <v>99</v>
      </c>
      <c r="C7621" s="5" t="s">
        <v>1430</v>
      </c>
      <c r="D7621" s="5" t="s">
        <v>14</v>
      </c>
      <c r="E7621" s="5" t="s">
        <v>158</v>
      </c>
      <c r="F7621" s="5" t="s">
        <v>159</v>
      </c>
      <c r="G7621" s="5" t="s">
        <v>205</v>
      </c>
      <c r="H7621" s="5" t="s">
        <v>206</v>
      </c>
      <c r="I7621" s="5" t="s">
        <v>31</v>
      </c>
      <c r="J7621" s="5">
        <v>17.230258055132001</v>
      </c>
      <c r="K7621" s="5">
        <v>-95.053450850261001</v>
      </c>
      <c r="L7621" s="5" t="str">
        <f>HYPERLINK("https://maps.google.com/?q=17.2302580551322,-95.053450850260504", "🔗 Ver Mapa")</f>
        <v>🔗 Ver Mapa</v>
      </c>
    </row>
    <row r="7622" spans="1:12" ht="43.5" x14ac:dyDescent="0.35">
      <c r="A7622" s="6" t="s">
        <v>98</v>
      </c>
      <c r="B7622" s="6" t="s">
        <v>99</v>
      </c>
      <c r="C7622" s="6" t="s">
        <v>1430</v>
      </c>
      <c r="D7622" s="6" t="s">
        <v>14</v>
      </c>
      <c r="E7622" s="6" t="s">
        <v>158</v>
      </c>
      <c r="F7622" s="6" t="s">
        <v>159</v>
      </c>
      <c r="G7622" s="6" t="s">
        <v>205</v>
      </c>
      <c r="H7622" s="6" t="s">
        <v>206</v>
      </c>
      <c r="I7622" s="6" t="s">
        <v>31</v>
      </c>
      <c r="J7622" s="6">
        <v>17.23028392949</v>
      </c>
      <c r="K7622" s="6">
        <v>-95.049013022322995</v>
      </c>
      <c r="L7622" s="6" t="str">
        <f>HYPERLINK("https://maps.google.com/?q=17.2302839294904,-95.049013022322697", "🔗 Ver Mapa")</f>
        <v>🔗 Ver Mapa</v>
      </c>
    </row>
    <row r="7623" spans="1:12" ht="43.5" x14ac:dyDescent="0.35">
      <c r="A7623" s="5" t="s">
        <v>98</v>
      </c>
      <c r="B7623" s="5" t="s">
        <v>99</v>
      </c>
      <c r="C7623" s="5" t="s">
        <v>1430</v>
      </c>
      <c r="D7623" s="5" t="s">
        <v>14</v>
      </c>
      <c r="E7623" s="5" t="s">
        <v>158</v>
      </c>
      <c r="F7623" s="5" t="s">
        <v>159</v>
      </c>
      <c r="G7623" s="5" t="s">
        <v>205</v>
      </c>
      <c r="H7623" s="5" t="s">
        <v>206</v>
      </c>
      <c r="I7623" s="5" t="s">
        <v>31</v>
      </c>
      <c r="J7623" s="5">
        <v>17.230294883012998</v>
      </c>
      <c r="K7623" s="5">
        <v>-95.052045530832004</v>
      </c>
      <c r="L7623" s="5" t="str">
        <f>HYPERLINK("https://maps.google.com/?q=17.2302948830135,-95.052045530832103", "🔗 Ver Mapa")</f>
        <v>🔗 Ver Mapa</v>
      </c>
    </row>
    <row r="7624" spans="1:12" ht="43.5" x14ac:dyDescent="0.35">
      <c r="A7624" s="6" t="s">
        <v>98</v>
      </c>
      <c r="B7624" s="6" t="s">
        <v>99</v>
      </c>
      <c r="C7624" s="6" t="s">
        <v>1430</v>
      </c>
      <c r="D7624" s="6" t="s">
        <v>14</v>
      </c>
      <c r="E7624" s="6" t="s">
        <v>158</v>
      </c>
      <c r="F7624" s="6" t="s">
        <v>159</v>
      </c>
      <c r="G7624" s="6" t="s">
        <v>205</v>
      </c>
      <c r="H7624" s="6" t="s">
        <v>206</v>
      </c>
      <c r="I7624" s="6" t="s">
        <v>31</v>
      </c>
      <c r="J7624" s="6">
        <v>17.230353449376</v>
      </c>
      <c r="K7624" s="6">
        <v>-95.054690847539007</v>
      </c>
      <c r="L7624" s="6" t="str">
        <f>HYPERLINK("https://maps.google.com/?q=17.2303534493756,-95.054690847539405", "🔗 Ver Mapa")</f>
        <v>🔗 Ver Mapa</v>
      </c>
    </row>
    <row r="7625" spans="1:12" ht="43.5" x14ac:dyDescent="0.35">
      <c r="A7625" s="5" t="s">
        <v>98</v>
      </c>
      <c r="B7625" s="5" t="s">
        <v>99</v>
      </c>
      <c r="C7625" s="5" t="s">
        <v>1430</v>
      </c>
      <c r="D7625" s="5" t="s">
        <v>14</v>
      </c>
      <c r="E7625" s="5" t="s">
        <v>158</v>
      </c>
      <c r="F7625" s="5" t="s">
        <v>159</v>
      </c>
      <c r="G7625" s="5" t="s">
        <v>205</v>
      </c>
      <c r="H7625" s="5" t="s">
        <v>206</v>
      </c>
      <c r="I7625" s="5" t="s">
        <v>31</v>
      </c>
      <c r="J7625" s="5">
        <v>17.230373867215999</v>
      </c>
      <c r="K7625" s="5">
        <v>-95.056692940823993</v>
      </c>
      <c r="L7625" s="5" t="str">
        <f>HYPERLINK("https://maps.google.com/?q=17.2303738672165,-95.056692940824107", "🔗 Ver Mapa")</f>
        <v>🔗 Ver Mapa</v>
      </c>
    </row>
    <row r="7626" spans="1:12" ht="43.5" x14ac:dyDescent="0.35">
      <c r="A7626" s="6" t="s">
        <v>98</v>
      </c>
      <c r="B7626" s="6" t="s">
        <v>99</v>
      </c>
      <c r="C7626" s="6" t="s">
        <v>1430</v>
      </c>
      <c r="D7626" s="6" t="s">
        <v>14</v>
      </c>
      <c r="E7626" s="6" t="s">
        <v>158</v>
      </c>
      <c r="F7626" s="6" t="s">
        <v>159</v>
      </c>
      <c r="G7626" s="6" t="s">
        <v>205</v>
      </c>
      <c r="H7626" s="6" t="s">
        <v>206</v>
      </c>
      <c r="I7626" s="6" t="s">
        <v>31</v>
      </c>
      <c r="J7626" s="6">
        <v>17.230412661736999</v>
      </c>
      <c r="K7626" s="6">
        <v>-95.048624772568004</v>
      </c>
      <c r="L7626" s="6" t="str">
        <f>HYPERLINK("https://maps.google.com/?q=17.2304126617373,-95.048624772568004", "🔗 Ver Mapa")</f>
        <v>🔗 Ver Mapa</v>
      </c>
    </row>
    <row r="7627" spans="1:12" ht="43.5" x14ac:dyDescent="0.35">
      <c r="A7627" s="5" t="s">
        <v>98</v>
      </c>
      <c r="B7627" s="5" t="s">
        <v>99</v>
      </c>
      <c r="C7627" s="5" t="s">
        <v>1430</v>
      </c>
      <c r="D7627" s="5" t="s">
        <v>14</v>
      </c>
      <c r="E7627" s="5" t="s">
        <v>158</v>
      </c>
      <c r="F7627" s="5" t="s">
        <v>159</v>
      </c>
      <c r="G7627" s="5" t="s">
        <v>205</v>
      </c>
      <c r="H7627" s="5" t="s">
        <v>206</v>
      </c>
      <c r="I7627" s="5" t="s">
        <v>31</v>
      </c>
      <c r="J7627" s="5">
        <v>17.230416969096002</v>
      </c>
      <c r="K7627" s="5">
        <v>-95.054084777018005</v>
      </c>
      <c r="L7627" s="5" t="str">
        <f>HYPERLINK("https://maps.google.com/?q=17.2304169690965,-95.054084777018303", "🔗 Ver Mapa")</f>
        <v>🔗 Ver Mapa</v>
      </c>
    </row>
    <row r="7628" spans="1:12" ht="43.5" x14ac:dyDescent="0.35">
      <c r="A7628" s="6" t="s">
        <v>98</v>
      </c>
      <c r="B7628" s="6" t="s">
        <v>99</v>
      </c>
      <c r="C7628" s="6" t="s">
        <v>1430</v>
      </c>
      <c r="D7628" s="6" t="s">
        <v>14</v>
      </c>
      <c r="E7628" s="6" t="s">
        <v>158</v>
      </c>
      <c r="F7628" s="6" t="s">
        <v>159</v>
      </c>
      <c r="G7628" s="6" t="s">
        <v>205</v>
      </c>
      <c r="H7628" s="6" t="s">
        <v>206</v>
      </c>
      <c r="I7628" s="6" t="s">
        <v>31</v>
      </c>
      <c r="J7628" s="6">
        <v>17.230433683249</v>
      </c>
      <c r="K7628" s="6">
        <v>-95.056067141925993</v>
      </c>
      <c r="L7628" s="6" t="str">
        <f>HYPERLINK("https://maps.google.com/?q=17.2304336832493,-95.056067141925894", "🔗 Ver Mapa")</f>
        <v>🔗 Ver Mapa</v>
      </c>
    </row>
    <row r="7629" spans="1:12" ht="43.5" x14ac:dyDescent="0.35">
      <c r="A7629" s="5" t="s">
        <v>98</v>
      </c>
      <c r="B7629" s="5" t="s">
        <v>99</v>
      </c>
      <c r="C7629" s="5" t="s">
        <v>1430</v>
      </c>
      <c r="D7629" s="5" t="s">
        <v>14</v>
      </c>
      <c r="E7629" s="5" t="s">
        <v>158</v>
      </c>
      <c r="F7629" s="5" t="s">
        <v>159</v>
      </c>
      <c r="G7629" s="5" t="s">
        <v>205</v>
      </c>
      <c r="H7629" s="5" t="s">
        <v>206</v>
      </c>
      <c r="I7629" s="5" t="s">
        <v>31</v>
      </c>
      <c r="J7629" s="5">
        <v>17.230454184622999</v>
      </c>
      <c r="K7629" s="5">
        <v>-95.055410670867005</v>
      </c>
      <c r="L7629" s="5" t="str">
        <f>HYPERLINK("https://maps.google.com/?q=17.2304541846227,-95.055410670866806", "🔗 Ver Mapa")</f>
        <v>🔗 Ver Mapa</v>
      </c>
    </row>
    <row r="7630" spans="1:12" ht="43.5" x14ac:dyDescent="0.35">
      <c r="A7630" s="6" t="s">
        <v>98</v>
      </c>
      <c r="B7630" s="6" t="s">
        <v>99</v>
      </c>
      <c r="C7630" s="6" t="s">
        <v>1430</v>
      </c>
      <c r="D7630" s="6" t="s">
        <v>14</v>
      </c>
      <c r="E7630" s="6" t="s">
        <v>158</v>
      </c>
      <c r="F7630" s="6" t="s">
        <v>159</v>
      </c>
      <c r="G7630" s="6" t="s">
        <v>205</v>
      </c>
      <c r="H7630" s="6" t="s">
        <v>206</v>
      </c>
      <c r="I7630" s="6" t="s">
        <v>31</v>
      </c>
      <c r="J7630" s="6">
        <v>17.230460582509998</v>
      </c>
      <c r="K7630" s="6">
        <v>-95.055520637298002</v>
      </c>
      <c r="L7630" s="6" t="str">
        <f>HYPERLINK("https://maps.google.com/?q=17.2304605825104,-95.055520637297903", "🔗 Ver Mapa")</f>
        <v>🔗 Ver Mapa</v>
      </c>
    </row>
    <row r="7631" spans="1:12" ht="43.5" x14ac:dyDescent="0.35">
      <c r="A7631" s="5" t="s">
        <v>98</v>
      </c>
      <c r="B7631" s="5" t="s">
        <v>99</v>
      </c>
      <c r="C7631" s="5" t="s">
        <v>1430</v>
      </c>
      <c r="D7631" s="5" t="s">
        <v>14</v>
      </c>
      <c r="E7631" s="5" t="s">
        <v>158</v>
      </c>
      <c r="F7631" s="5" t="s">
        <v>159</v>
      </c>
      <c r="G7631" s="5" t="s">
        <v>205</v>
      </c>
      <c r="H7631" s="5" t="s">
        <v>206</v>
      </c>
      <c r="I7631" s="5" t="s">
        <v>31</v>
      </c>
      <c r="J7631" s="5">
        <v>17.230604444724001</v>
      </c>
      <c r="K7631" s="5">
        <v>-95.052855399858998</v>
      </c>
      <c r="L7631" s="5" t="str">
        <f>HYPERLINK("https://maps.google.com/?q=17.230604444724,-95.052855399859396", "🔗 Ver Mapa")</f>
        <v>🔗 Ver Mapa</v>
      </c>
    </row>
    <row r="7632" spans="1:12" ht="43.5" x14ac:dyDescent="0.35">
      <c r="A7632" s="6" t="s">
        <v>98</v>
      </c>
      <c r="B7632" s="6" t="s">
        <v>99</v>
      </c>
      <c r="C7632" s="6" t="s">
        <v>1430</v>
      </c>
      <c r="D7632" s="6" t="s">
        <v>14</v>
      </c>
      <c r="E7632" s="6" t="s">
        <v>158</v>
      </c>
      <c r="F7632" s="6" t="s">
        <v>159</v>
      </c>
      <c r="G7632" s="6" t="s">
        <v>205</v>
      </c>
      <c r="H7632" s="6" t="s">
        <v>206</v>
      </c>
      <c r="I7632" s="6" t="s">
        <v>31</v>
      </c>
      <c r="J7632" s="6">
        <v>17.230758867311</v>
      </c>
      <c r="K7632" s="6">
        <v>-95.053575733882994</v>
      </c>
      <c r="L7632" s="6" t="str">
        <f>HYPERLINK("https://maps.google.com/?q=17.2307588673113,-95.053575733882894", "🔗 Ver Mapa")</f>
        <v>🔗 Ver Mapa</v>
      </c>
    </row>
    <row r="7633" spans="1:12" ht="43.5" x14ac:dyDescent="0.35">
      <c r="A7633" s="5" t="s">
        <v>98</v>
      </c>
      <c r="B7633" s="5" t="s">
        <v>99</v>
      </c>
      <c r="C7633" s="5" t="s">
        <v>1430</v>
      </c>
      <c r="D7633" s="5" t="s">
        <v>14</v>
      </c>
      <c r="E7633" s="5" t="s">
        <v>158</v>
      </c>
      <c r="F7633" s="5" t="s">
        <v>159</v>
      </c>
      <c r="G7633" s="5" t="s">
        <v>205</v>
      </c>
      <c r="H7633" s="5" t="s">
        <v>206</v>
      </c>
      <c r="I7633" s="5" t="s">
        <v>31</v>
      </c>
      <c r="J7633" s="5">
        <v>17.230805148889001</v>
      </c>
      <c r="K7633" s="5">
        <v>-95.055439505015997</v>
      </c>
      <c r="L7633" s="5" t="str">
        <f>HYPERLINK("https://maps.google.com/?q=17.2308051488894,-95.055439505016196", "🔗 Ver Mapa")</f>
        <v>🔗 Ver Mapa</v>
      </c>
    </row>
    <row r="7634" spans="1:12" ht="43.5" x14ac:dyDescent="0.35">
      <c r="A7634" s="6" t="s">
        <v>98</v>
      </c>
      <c r="B7634" s="6" t="s">
        <v>99</v>
      </c>
      <c r="C7634" s="6" t="s">
        <v>1430</v>
      </c>
      <c r="D7634" s="6" t="s">
        <v>14</v>
      </c>
      <c r="E7634" s="6" t="s">
        <v>158</v>
      </c>
      <c r="F7634" s="6" t="s">
        <v>159</v>
      </c>
      <c r="G7634" s="6" t="s">
        <v>205</v>
      </c>
      <c r="H7634" s="6" t="s">
        <v>206</v>
      </c>
      <c r="I7634" s="6" t="s">
        <v>31</v>
      </c>
      <c r="J7634" s="6">
        <v>17.230831123357</v>
      </c>
      <c r="K7634" s="6">
        <v>-95.054262698504999</v>
      </c>
      <c r="L7634" s="6" t="str">
        <f>HYPERLINK("https://maps.google.com/?q=17.2308311233568,-95.054262698505497", "🔗 Ver Mapa")</f>
        <v>🔗 Ver Mapa</v>
      </c>
    </row>
    <row r="7635" spans="1:12" ht="43.5" x14ac:dyDescent="0.35">
      <c r="A7635" s="5" t="s">
        <v>98</v>
      </c>
      <c r="B7635" s="5" t="s">
        <v>99</v>
      </c>
      <c r="C7635" s="5" t="s">
        <v>1430</v>
      </c>
      <c r="D7635" s="5" t="s">
        <v>14</v>
      </c>
      <c r="E7635" s="5" t="s">
        <v>158</v>
      </c>
      <c r="F7635" s="5" t="s">
        <v>159</v>
      </c>
      <c r="G7635" s="5" t="s">
        <v>205</v>
      </c>
      <c r="H7635" s="5" t="s">
        <v>206</v>
      </c>
      <c r="I7635" s="5" t="s">
        <v>31</v>
      </c>
      <c r="J7635" s="5">
        <v>17.230842409036999</v>
      </c>
      <c r="K7635" s="5">
        <v>-95.050253543992994</v>
      </c>
      <c r="L7635" s="5" t="str">
        <f>HYPERLINK("https://maps.google.com/?q=17.2308424090365,-95.050253543992696", "🔗 Ver Mapa")</f>
        <v>🔗 Ver Mapa</v>
      </c>
    </row>
    <row r="7636" spans="1:12" ht="43.5" x14ac:dyDescent="0.35">
      <c r="A7636" s="6" t="s">
        <v>98</v>
      </c>
      <c r="B7636" s="6" t="s">
        <v>99</v>
      </c>
      <c r="C7636" s="6" t="s">
        <v>1430</v>
      </c>
      <c r="D7636" s="6" t="s">
        <v>14</v>
      </c>
      <c r="E7636" s="6" t="s">
        <v>158</v>
      </c>
      <c r="F7636" s="6" t="s">
        <v>159</v>
      </c>
      <c r="G7636" s="6" t="s">
        <v>205</v>
      </c>
      <c r="H7636" s="6" t="s">
        <v>206</v>
      </c>
      <c r="I7636" s="6" t="s">
        <v>31</v>
      </c>
      <c r="J7636" s="6">
        <v>17.230857448049999</v>
      </c>
      <c r="K7636" s="6">
        <v>-95.05619820439</v>
      </c>
      <c r="L7636" s="6" t="str">
        <f>HYPERLINK("https://maps.google.com/?q=17.2308574480498,-95.056198204389702", "🔗 Ver Mapa")</f>
        <v>🔗 Ver Mapa</v>
      </c>
    </row>
    <row r="7637" spans="1:12" ht="43.5" x14ac:dyDescent="0.35">
      <c r="A7637" s="5" t="s">
        <v>98</v>
      </c>
      <c r="B7637" s="5" t="s">
        <v>99</v>
      </c>
      <c r="C7637" s="5" t="s">
        <v>1430</v>
      </c>
      <c r="D7637" s="5" t="s">
        <v>14</v>
      </c>
      <c r="E7637" s="5" t="s">
        <v>158</v>
      </c>
      <c r="F7637" s="5" t="s">
        <v>159</v>
      </c>
      <c r="G7637" s="5" t="s">
        <v>205</v>
      </c>
      <c r="H7637" s="5" t="s">
        <v>206</v>
      </c>
      <c r="I7637" s="5" t="s">
        <v>31</v>
      </c>
      <c r="J7637" s="5">
        <v>17.230909016576</v>
      </c>
      <c r="K7637" s="5">
        <v>-95.049242351193996</v>
      </c>
      <c r="L7637" s="5" t="str">
        <f>HYPERLINK("https://maps.google.com/?q=17.2309090165762,-95.049242351193797", "🔗 Ver Mapa")</f>
        <v>🔗 Ver Mapa</v>
      </c>
    </row>
    <row r="7638" spans="1:12" ht="43.5" x14ac:dyDescent="0.35">
      <c r="A7638" s="6" t="s">
        <v>98</v>
      </c>
      <c r="B7638" s="6" t="s">
        <v>99</v>
      </c>
      <c r="C7638" s="6" t="s">
        <v>1430</v>
      </c>
      <c r="D7638" s="6" t="s">
        <v>14</v>
      </c>
      <c r="E7638" s="6" t="s">
        <v>158</v>
      </c>
      <c r="F7638" s="6" t="s">
        <v>159</v>
      </c>
      <c r="G7638" s="6" t="s">
        <v>205</v>
      </c>
      <c r="H7638" s="6" t="s">
        <v>206</v>
      </c>
      <c r="I7638" s="6" t="s">
        <v>31</v>
      </c>
      <c r="J7638" s="6">
        <v>17.230965376783001</v>
      </c>
      <c r="K7638" s="6">
        <v>-95.049054596562996</v>
      </c>
      <c r="L7638" s="6" t="str">
        <f>HYPERLINK("https://maps.google.com/?q=17.2309653767833,-95.049054596562897", "🔗 Ver Mapa")</f>
        <v>🔗 Ver Mapa</v>
      </c>
    </row>
    <row r="7639" spans="1:12" ht="43.5" x14ac:dyDescent="0.35">
      <c r="A7639" s="5" t="s">
        <v>98</v>
      </c>
      <c r="B7639" s="5" t="s">
        <v>99</v>
      </c>
      <c r="C7639" s="5" t="s">
        <v>1430</v>
      </c>
      <c r="D7639" s="5" t="s">
        <v>14</v>
      </c>
      <c r="E7639" s="5" t="s">
        <v>158</v>
      </c>
      <c r="F7639" s="5" t="s">
        <v>159</v>
      </c>
      <c r="G7639" s="5" t="s">
        <v>205</v>
      </c>
      <c r="H7639" s="5" t="s">
        <v>206</v>
      </c>
      <c r="I7639" s="5" t="s">
        <v>31</v>
      </c>
      <c r="J7639" s="5">
        <v>17.231093167848002</v>
      </c>
      <c r="K7639" s="5">
        <v>-95.053558970075997</v>
      </c>
      <c r="L7639" s="5" t="str">
        <f>HYPERLINK("https://maps.google.com/?q=17.231093167848,-95.053558970076494", "🔗 Ver Mapa")</f>
        <v>🔗 Ver Mapa</v>
      </c>
    </row>
    <row r="7640" spans="1:12" ht="43.5" x14ac:dyDescent="0.35">
      <c r="A7640" s="6" t="s">
        <v>98</v>
      </c>
      <c r="B7640" s="6" t="s">
        <v>99</v>
      </c>
      <c r="C7640" s="6" t="s">
        <v>1430</v>
      </c>
      <c r="D7640" s="6" t="s">
        <v>14</v>
      </c>
      <c r="E7640" s="6" t="s">
        <v>158</v>
      </c>
      <c r="F7640" s="6" t="s">
        <v>159</v>
      </c>
      <c r="G7640" s="6" t="s">
        <v>205</v>
      </c>
      <c r="H7640" s="6" t="s">
        <v>206</v>
      </c>
      <c r="I7640" s="6" t="s">
        <v>31</v>
      </c>
      <c r="J7640" s="6">
        <v>17.231242785932999</v>
      </c>
      <c r="K7640" s="6">
        <v>-95.04891124385</v>
      </c>
      <c r="L7640" s="6" t="str">
        <f>HYPERLINK("https://maps.google.com/?q=17.2312427859329,-95.048911243849901", "🔗 Ver Mapa")</f>
        <v>🔗 Ver Mapa</v>
      </c>
    </row>
    <row r="7641" spans="1:12" ht="43.5" x14ac:dyDescent="0.35">
      <c r="A7641" s="5" t="s">
        <v>98</v>
      </c>
      <c r="B7641" s="5" t="s">
        <v>99</v>
      </c>
      <c r="C7641" s="5" t="s">
        <v>1430</v>
      </c>
      <c r="D7641" s="5" t="s">
        <v>14</v>
      </c>
      <c r="E7641" s="5" t="s">
        <v>158</v>
      </c>
      <c r="F7641" s="5" t="s">
        <v>159</v>
      </c>
      <c r="G7641" s="5" t="s">
        <v>205</v>
      </c>
      <c r="H7641" s="5" t="s">
        <v>206</v>
      </c>
      <c r="I7641" s="5" t="s">
        <v>31</v>
      </c>
      <c r="J7641" s="5">
        <v>17.231427237121999</v>
      </c>
      <c r="K7641" s="5">
        <v>-95.048592060977001</v>
      </c>
      <c r="L7641" s="5" t="str">
        <f>HYPERLINK("https://maps.google.com/?q=17.2314272371225,-95.048592060977299", "🔗 Ver Mapa")</f>
        <v>🔗 Ver Mapa</v>
      </c>
    </row>
    <row r="7642" spans="1:12" ht="43.5" x14ac:dyDescent="0.35">
      <c r="A7642" s="6" t="s">
        <v>98</v>
      </c>
      <c r="B7642" s="6" t="s">
        <v>99</v>
      </c>
      <c r="C7642" s="6" t="s">
        <v>1430</v>
      </c>
      <c r="D7642" s="6" t="s">
        <v>14</v>
      </c>
      <c r="E7642" s="6" t="s">
        <v>158</v>
      </c>
      <c r="F7642" s="6" t="s">
        <v>159</v>
      </c>
      <c r="G7642" s="6" t="s">
        <v>205</v>
      </c>
      <c r="H7642" s="6" t="s">
        <v>206</v>
      </c>
      <c r="I7642" s="6" t="s">
        <v>31</v>
      </c>
      <c r="J7642" s="6">
        <v>17.231435585673001</v>
      </c>
      <c r="K7642" s="6">
        <v>-95.050758160380994</v>
      </c>
      <c r="L7642" s="6" t="str">
        <f>HYPERLINK("https://maps.google.com/?q=17.2314355856731,-95.050758160380596", "🔗 Ver Mapa")</f>
        <v>🔗 Ver Mapa</v>
      </c>
    </row>
    <row r="7643" spans="1:12" ht="43.5" x14ac:dyDescent="0.35">
      <c r="A7643" s="5" t="s">
        <v>98</v>
      </c>
      <c r="B7643" s="5" t="s">
        <v>99</v>
      </c>
      <c r="C7643" s="5" t="s">
        <v>1430</v>
      </c>
      <c r="D7643" s="5" t="s">
        <v>14</v>
      </c>
      <c r="E7643" s="5" t="s">
        <v>158</v>
      </c>
      <c r="F7643" s="5" t="s">
        <v>159</v>
      </c>
      <c r="G7643" s="5" t="s">
        <v>205</v>
      </c>
      <c r="H7643" s="5" t="s">
        <v>206</v>
      </c>
      <c r="I7643" s="5" t="s">
        <v>31</v>
      </c>
      <c r="J7643" s="5">
        <v>17.231493844450998</v>
      </c>
      <c r="K7643" s="5">
        <v>-95.049246519977004</v>
      </c>
      <c r="L7643" s="5" t="str">
        <f>HYPERLINK("https://maps.google.com/?q=17.2314938444512,-95.049246519976705", "🔗 Ver Mapa")</f>
        <v>🔗 Ver Mapa</v>
      </c>
    </row>
    <row r="7644" spans="1:12" ht="43.5" x14ac:dyDescent="0.35">
      <c r="A7644" s="6" t="s">
        <v>98</v>
      </c>
      <c r="B7644" s="6" t="s">
        <v>99</v>
      </c>
      <c r="C7644" s="6" t="s">
        <v>1430</v>
      </c>
      <c r="D7644" s="6" t="s">
        <v>14</v>
      </c>
      <c r="E7644" s="6" t="s">
        <v>158</v>
      </c>
      <c r="F7644" s="6" t="s">
        <v>159</v>
      </c>
      <c r="G7644" s="6" t="s">
        <v>205</v>
      </c>
      <c r="H7644" s="6" t="s">
        <v>206</v>
      </c>
      <c r="I7644" s="6" t="s">
        <v>31</v>
      </c>
      <c r="J7644" s="6">
        <v>17.231550915422002</v>
      </c>
      <c r="K7644" s="6">
        <v>-95.057571064417999</v>
      </c>
      <c r="L7644" s="6" t="str">
        <f>HYPERLINK("https://maps.google.com/?q=17.2315509154225,-95.057571064417999", "🔗 Ver Mapa")</f>
        <v>🔗 Ver Mapa</v>
      </c>
    </row>
    <row r="7645" spans="1:12" ht="43.5" x14ac:dyDescent="0.35">
      <c r="A7645" s="5" t="s">
        <v>98</v>
      </c>
      <c r="B7645" s="5" t="s">
        <v>99</v>
      </c>
      <c r="C7645" s="5" t="s">
        <v>1430</v>
      </c>
      <c r="D7645" s="5" t="s">
        <v>14</v>
      </c>
      <c r="E7645" s="5" t="s">
        <v>158</v>
      </c>
      <c r="F7645" s="5" t="s">
        <v>159</v>
      </c>
      <c r="G7645" s="5" t="s">
        <v>205</v>
      </c>
      <c r="H7645" s="5" t="s">
        <v>206</v>
      </c>
      <c r="I7645" s="5" t="s">
        <v>31</v>
      </c>
      <c r="J7645" s="5">
        <v>17.231569418122</v>
      </c>
      <c r="K7645" s="5">
        <v>-95.048456609422004</v>
      </c>
      <c r="L7645" s="5" t="str">
        <f>HYPERLINK("https://maps.google.com/?q=17.2315694181222,-95.048456609421706", "🔗 Ver Mapa")</f>
        <v>🔗 Ver Mapa</v>
      </c>
    </row>
    <row r="7646" spans="1:12" ht="43.5" x14ac:dyDescent="0.35">
      <c r="A7646" s="6" t="s">
        <v>98</v>
      </c>
      <c r="B7646" s="6" t="s">
        <v>99</v>
      </c>
      <c r="C7646" s="6" t="s">
        <v>1430</v>
      </c>
      <c r="D7646" s="6" t="s">
        <v>14</v>
      </c>
      <c r="E7646" s="6" t="s">
        <v>158</v>
      </c>
      <c r="F7646" s="6" t="s">
        <v>159</v>
      </c>
      <c r="G7646" s="6" t="s">
        <v>205</v>
      </c>
      <c r="H7646" s="6" t="s">
        <v>206</v>
      </c>
      <c r="I7646" s="6" t="s">
        <v>31</v>
      </c>
      <c r="J7646" s="6">
        <v>17.231598268248</v>
      </c>
      <c r="K7646" s="6">
        <v>-95.050841308478994</v>
      </c>
      <c r="L7646" s="6" t="str">
        <f>HYPERLINK("https://maps.google.com/?q=17.2315982682483,-95.050841308479406", "🔗 Ver Mapa")</f>
        <v>🔗 Ver Mapa</v>
      </c>
    </row>
    <row r="7647" spans="1:12" ht="43.5" x14ac:dyDescent="0.35">
      <c r="A7647" s="5" t="s">
        <v>98</v>
      </c>
      <c r="B7647" s="5" t="s">
        <v>99</v>
      </c>
      <c r="C7647" s="5" t="s">
        <v>1430</v>
      </c>
      <c r="D7647" s="5" t="s">
        <v>14</v>
      </c>
      <c r="E7647" s="5" t="s">
        <v>158</v>
      </c>
      <c r="F7647" s="5" t="s">
        <v>159</v>
      </c>
      <c r="G7647" s="5" t="s">
        <v>205</v>
      </c>
      <c r="H7647" s="5" t="s">
        <v>206</v>
      </c>
      <c r="I7647" s="5" t="s">
        <v>31</v>
      </c>
      <c r="J7647" s="5">
        <v>17.231638974123999</v>
      </c>
      <c r="K7647" s="5">
        <v>-95.050932743431005</v>
      </c>
      <c r="L7647" s="5" t="str">
        <f>HYPERLINK("https://maps.google.com/?q=17.2316389741236,-95.050932743431005", "🔗 Ver Mapa")</f>
        <v>🔗 Ver Mapa</v>
      </c>
    </row>
    <row r="7648" spans="1:12" ht="43.5" x14ac:dyDescent="0.35">
      <c r="A7648" s="6" t="s">
        <v>98</v>
      </c>
      <c r="B7648" s="6" t="s">
        <v>99</v>
      </c>
      <c r="C7648" s="6" t="s">
        <v>1430</v>
      </c>
      <c r="D7648" s="6" t="s">
        <v>14</v>
      </c>
      <c r="E7648" s="6" t="s">
        <v>158</v>
      </c>
      <c r="F7648" s="6" t="s">
        <v>159</v>
      </c>
      <c r="G7648" s="6" t="s">
        <v>205</v>
      </c>
      <c r="H7648" s="6" t="s">
        <v>206</v>
      </c>
      <c r="I7648" s="6" t="s">
        <v>31</v>
      </c>
      <c r="J7648" s="6">
        <v>17.231683225803</v>
      </c>
      <c r="K7648" s="6">
        <v>-95.052082633614006</v>
      </c>
      <c r="L7648" s="6" t="str">
        <f>HYPERLINK("https://maps.google.com/?q=17.2316832258028,-95.052082633614006", "🔗 Ver Mapa")</f>
        <v>🔗 Ver Mapa</v>
      </c>
    </row>
    <row r="7649" spans="1:12" ht="43.5" x14ac:dyDescent="0.35">
      <c r="A7649" s="5" t="s">
        <v>98</v>
      </c>
      <c r="B7649" s="5" t="s">
        <v>99</v>
      </c>
      <c r="C7649" s="5" t="s">
        <v>1430</v>
      </c>
      <c r="D7649" s="5" t="s">
        <v>14</v>
      </c>
      <c r="E7649" s="5" t="s">
        <v>158</v>
      </c>
      <c r="F7649" s="5" t="s">
        <v>159</v>
      </c>
      <c r="G7649" s="5" t="s">
        <v>205</v>
      </c>
      <c r="H7649" s="5" t="s">
        <v>206</v>
      </c>
      <c r="I7649" s="5" t="s">
        <v>31</v>
      </c>
      <c r="J7649" s="5">
        <v>17.231805096830001</v>
      </c>
      <c r="K7649" s="5">
        <v>-95.052645121802001</v>
      </c>
      <c r="L7649" s="5" t="str">
        <f>HYPERLINK("https://maps.google.com/?q=17.2318050968301,-95.0526451218022", "🔗 Ver Mapa")</f>
        <v>🔗 Ver Mapa</v>
      </c>
    </row>
    <row r="7650" spans="1:12" ht="43.5" x14ac:dyDescent="0.35">
      <c r="A7650" s="6" t="s">
        <v>98</v>
      </c>
      <c r="B7650" s="6" t="s">
        <v>99</v>
      </c>
      <c r="C7650" s="6" t="s">
        <v>1430</v>
      </c>
      <c r="D7650" s="6" t="s">
        <v>14</v>
      </c>
      <c r="E7650" s="6" t="s">
        <v>158</v>
      </c>
      <c r="F7650" s="6" t="s">
        <v>159</v>
      </c>
      <c r="G7650" s="6" t="s">
        <v>205</v>
      </c>
      <c r="H7650" s="6" t="s">
        <v>206</v>
      </c>
      <c r="I7650" s="6" t="s">
        <v>31</v>
      </c>
      <c r="J7650" s="6">
        <v>17.231807068399</v>
      </c>
      <c r="K7650" s="6">
        <v>-95.057995145939003</v>
      </c>
      <c r="L7650" s="6" t="str">
        <f>HYPERLINK("https://maps.google.com/?q=17.2318070683987,-95.057995145938605", "🔗 Ver Mapa")</f>
        <v>🔗 Ver Mapa</v>
      </c>
    </row>
    <row r="7651" spans="1:12" ht="43.5" x14ac:dyDescent="0.35">
      <c r="A7651" s="5" t="s">
        <v>98</v>
      </c>
      <c r="B7651" s="5" t="s">
        <v>99</v>
      </c>
      <c r="C7651" s="5" t="s">
        <v>1430</v>
      </c>
      <c r="D7651" s="5" t="s">
        <v>14</v>
      </c>
      <c r="E7651" s="5" t="s">
        <v>158</v>
      </c>
      <c r="F7651" s="5" t="s">
        <v>159</v>
      </c>
      <c r="G7651" s="5" t="s">
        <v>205</v>
      </c>
      <c r="H7651" s="5" t="s">
        <v>206</v>
      </c>
      <c r="I7651" s="5" t="s">
        <v>31</v>
      </c>
      <c r="J7651" s="5">
        <v>17.231820097244999</v>
      </c>
      <c r="K7651" s="5">
        <v>-95.054003925980993</v>
      </c>
      <c r="L7651" s="5" t="str">
        <f>HYPERLINK("https://maps.google.com/?q=17.2318200972455,-95.054003925981206", "🔗 Ver Mapa")</f>
        <v>🔗 Ver Mapa</v>
      </c>
    </row>
    <row r="7652" spans="1:12" ht="43.5" x14ac:dyDescent="0.35">
      <c r="A7652" s="6" t="s">
        <v>98</v>
      </c>
      <c r="B7652" s="6" t="s">
        <v>99</v>
      </c>
      <c r="C7652" s="6" t="s">
        <v>1430</v>
      </c>
      <c r="D7652" s="6" t="s">
        <v>14</v>
      </c>
      <c r="E7652" s="6" t="s">
        <v>158</v>
      </c>
      <c r="F7652" s="6" t="s">
        <v>159</v>
      </c>
      <c r="G7652" s="6" t="s">
        <v>205</v>
      </c>
      <c r="H7652" s="6" t="s">
        <v>206</v>
      </c>
      <c r="I7652" s="6" t="s">
        <v>31</v>
      </c>
      <c r="J7652" s="6">
        <v>17.231924628575999</v>
      </c>
      <c r="K7652" s="6">
        <v>-95.055885016446993</v>
      </c>
      <c r="L7652" s="6" t="str">
        <f>HYPERLINK("https://maps.google.com/?q=17.2319246285757,-95.055885016446794", "🔗 Ver Mapa")</f>
        <v>🔗 Ver Mapa</v>
      </c>
    </row>
    <row r="7653" spans="1:12" ht="43.5" x14ac:dyDescent="0.35">
      <c r="A7653" s="5" t="s">
        <v>98</v>
      </c>
      <c r="B7653" s="5" t="s">
        <v>99</v>
      </c>
      <c r="C7653" s="5" t="s">
        <v>1430</v>
      </c>
      <c r="D7653" s="5" t="s">
        <v>14</v>
      </c>
      <c r="E7653" s="5" t="s">
        <v>158</v>
      </c>
      <c r="F7653" s="5" t="s">
        <v>159</v>
      </c>
      <c r="G7653" s="5" t="s">
        <v>205</v>
      </c>
      <c r="H7653" s="5" t="s">
        <v>206</v>
      </c>
      <c r="I7653" s="5" t="s">
        <v>31</v>
      </c>
      <c r="J7653" s="5">
        <v>17.231940502528001</v>
      </c>
      <c r="K7653" s="5">
        <v>-95.054136695327998</v>
      </c>
      <c r="L7653" s="5" t="str">
        <f>HYPERLINK("https://maps.google.com/?q=17.2319405025277,-95.0541366953275", "🔗 Ver Mapa")</f>
        <v>🔗 Ver Mapa</v>
      </c>
    </row>
    <row r="7654" spans="1:12" ht="43.5" x14ac:dyDescent="0.35">
      <c r="A7654" s="6" t="s">
        <v>98</v>
      </c>
      <c r="B7654" s="6" t="s">
        <v>99</v>
      </c>
      <c r="C7654" s="6" t="s">
        <v>1430</v>
      </c>
      <c r="D7654" s="6" t="s">
        <v>14</v>
      </c>
      <c r="E7654" s="6" t="s">
        <v>158</v>
      </c>
      <c r="F7654" s="6" t="s">
        <v>159</v>
      </c>
      <c r="G7654" s="6" t="s">
        <v>205</v>
      </c>
      <c r="H7654" s="6" t="s">
        <v>206</v>
      </c>
      <c r="I7654" s="6" t="s">
        <v>31</v>
      </c>
      <c r="J7654" s="6">
        <v>17.231968455539999</v>
      </c>
      <c r="K7654" s="6">
        <v>-95.058072929497001</v>
      </c>
      <c r="L7654" s="6" t="str">
        <f>HYPERLINK("https://maps.google.com/?q=17.2319684555402,-95.058072929496504", "🔗 Ver Mapa")</f>
        <v>🔗 Ver Mapa</v>
      </c>
    </row>
    <row r="7655" spans="1:12" ht="43.5" x14ac:dyDescent="0.35">
      <c r="A7655" s="5" t="s">
        <v>98</v>
      </c>
      <c r="B7655" s="5" t="s">
        <v>99</v>
      </c>
      <c r="C7655" s="5" t="s">
        <v>1430</v>
      </c>
      <c r="D7655" s="5" t="s">
        <v>14</v>
      </c>
      <c r="E7655" s="5" t="s">
        <v>158</v>
      </c>
      <c r="F7655" s="5" t="s">
        <v>159</v>
      </c>
      <c r="G7655" s="5" t="s">
        <v>205</v>
      </c>
      <c r="H7655" s="5" t="s">
        <v>206</v>
      </c>
      <c r="I7655" s="5" t="s">
        <v>31</v>
      </c>
      <c r="J7655" s="5">
        <v>17.231984593404999</v>
      </c>
      <c r="K7655" s="5">
        <v>-95.054802702565993</v>
      </c>
      <c r="L7655" s="5" t="str">
        <f>HYPERLINK("https://maps.google.com/?q=17.2319845934045,-95.054802702565595", "🔗 Ver Mapa")</f>
        <v>🔗 Ver Mapa</v>
      </c>
    </row>
    <row r="7656" spans="1:12" ht="43.5" x14ac:dyDescent="0.35">
      <c r="A7656" s="6" t="s">
        <v>98</v>
      </c>
      <c r="B7656" s="6" t="s">
        <v>99</v>
      </c>
      <c r="C7656" s="6" t="s">
        <v>1430</v>
      </c>
      <c r="D7656" s="6" t="s">
        <v>14</v>
      </c>
      <c r="E7656" s="6" t="s">
        <v>158</v>
      </c>
      <c r="F7656" s="6" t="s">
        <v>159</v>
      </c>
      <c r="G7656" s="6" t="s">
        <v>205</v>
      </c>
      <c r="H7656" s="6" t="s">
        <v>206</v>
      </c>
      <c r="I7656" s="6" t="s">
        <v>31</v>
      </c>
      <c r="J7656" s="6">
        <v>17.232017144253</v>
      </c>
      <c r="K7656" s="6">
        <v>-95.050673202339993</v>
      </c>
      <c r="L7656" s="6" t="str">
        <f>HYPERLINK("https://maps.google.com/?q=17.2320171442529,-95.050673202339894", "🔗 Ver Mapa")</f>
        <v>🔗 Ver Mapa</v>
      </c>
    </row>
    <row r="7657" spans="1:12" ht="43.5" x14ac:dyDescent="0.35">
      <c r="A7657" s="5" t="s">
        <v>98</v>
      </c>
      <c r="B7657" s="5" t="s">
        <v>99</v>
      </c>
      <c r="C7657" s="5" t="s">
        <v>1430</v>
      </c>
      <c r="D7657" s="5" t="s">
        <v>14</v>
      </c>
      <c r="E7657" s="5" t="s">
        <v>158</v>
      </c>
      <c r="F7657" s="5" t="s">
        <v>159</v>
      </c>
      <c r="G7657" s="5" t="s">
        <v>205</v>
      </c>
      <c r="H7657" s="5" t="s">
        <v>206</v>
      </c>
      <c r="I7657" s="5" t="s">
        <v>31</v>
      </c>
      <c r="J7657" s="5">
        <v>17.232113959745</v>
      </c>
      <c r="K7657" s="5">
        <v>-95.055585903305001</v>
      </c>
      <c r="L7657" s="5" t="str">
        <f>HYPERLINK("https://maps.google.com/?q=17.2321139597452,-95.055585903305399", "🔗 Ver Mapa")</f>
        <v>🔗 Ver Mapa</v>
      </c>
    </row>
    <row r="7658" spans="1:12" ht="43.5" x14ac:dyDescent="0.35">
      <c r="A7658" s="6" t="s">
        <v>98</v>
      </c>
      <c r="B7658" s="6" t="s">
        <v>99</v>
      </c>
      <c r="C7658" s="6" t="s">
        <v>1430</v>
      </c>
      <c r="D7658" s="6" t="s">
        <v>14</v>
      </c>
      <c r="E7658" s="6" t="s">
        <v>158</v>
      </c>
      <c r="F7658" s="6" t="s">
        <v>159</v>
      </c>
      <c r="G7658" s="6" t="s">
        <v>205</v>
      </c>
      <c r="H7658" s="6" t="s">
        <v>206</v>
      </c>
      <c r="I7658" s="6" t="s">
        <v>31</v>
      </c>
      <c r="J7658" s="6">
        <v>17.232116631855</v>
      </c>
      <c r="K7658" s="6">
        <v>-95.051475932171996</v>
      </c>
      <c r="L7658" s="6" t="str">
        <f>HYPERLINK("https://maps.google.com/?q=17.232116631855,-95.051475932171897", "🔗 Ver Mapa")</f>
        <v>🔗 Ver Mapa</v>
      </c>
    </row>
    <row r="7659" spans="1:12" ht="43.5" x14ac:dyDescent="0.35">
      <c r="A7659" s="5" t="s">
        <v>98</v>
      </c>
      <c r="B7659" s="5" t="s">
        <v>99</v>
      </c>
      <c r="C7659" s="5" t="s">
        <v>1430</v>
      </c>
      <c r="D7659" s="5" t="s">
        <v>14</v>
      </c>
      <c r="E7659" s="5" t="s">
        <v>158</v>
      </c>
      <c r="F7659" s="5" t="s">
        <v>159</v>
      </c>
      <c r="G7659" s="5" t="s">
        <v>205</v>
      </c>
      <c r="H7659" s="5" t="s">
        <v>206</v>
      </c>
      <c r="I7659" s="5" t="s">
        <v>31</v>
      </c>
      <c r="J7659" s="5">
        <v>17.232135246314002</v>
      </c>
      <c r="K7659" s="5">
        <v>-95.053161038518994</v>
      </c>
      <c r="L7659" s="5" t="str">
        <f>HYPERLINK("https://maps.google.com/?q=17.2321352463139,-95.053161038518994", "🔗 Ver Mapa")</f>
        <v>🔗 Ver Mapa</v>
      </c>
    </row>
    <row r="7660" spans="1:12" ht="43.5" x14ac:dyDescent="0.35">
      <c r="A7660" s="6" t="s">
        <v>98</v>
      </c>
      <c r="B7660" s="6" t="s">
        <v>99</v>
      </c>
      <c r="C7660" s="6" t="s">
        <v>1430</v>
      </c>
      <c r="D7660" s="6" t="s">
        <v>14</v>
      </c>
      <c r="E7660" s="6" t="s">
        <v>158</v>
      </c>
      <c r="F7660" s="6" t="s">
        <v>159</v>
      </c>
      <c r="G7660" s="6" t="s">
        <v>205</v>
      </c>
      <c r="H7660" s="6" t="s">
        <v>206</v>
      </c>
      <c r="I7660" s="6" t="s">
        <v>31</v>
      </c>
      <c r="J7660" s="6">
        <v>17.232343180874999</v>
      </c>
      <c r="K7660" s="6">
        <v>-95.058386065096997</v>
      </c>
      <c r="L7660" s="6" t="str">
        <f>HYPERLINK("https://maps.google.com/?q=17.2323431808749,-95.058386065096997", "🔗 Ver Mapa")</f>
        <v>🔗 Ver Mapa</v>
      </c>
    </row>
    <row r="7661" spans="1:12" ht="43.5" x14ac:dyDescent="0.35">
      <c r="A7661" s="5" t="s">
        <v>98</v>
      </c>
      <c r="B7661" s="5" t="s">
        <v>99</v>
      </c>
      <c r="C7661" s="5" t="s">
        <v>1430</v>
      </c>
      <c r="D7661" s="5" t="s">
        <v>14</v>
      </c>
      <c r="E7661" s="5" t="s">
        <v>158</v>
      </c>
      <c r="F7661" s="5" t="s">
        <v>159</v>
      </c>
      <c r="G7661" s="5" t="s">
        <v>205</v>
      </c>
      <c r="H7661" s="5" t="s">
        <v>206</v>
      </c>
      <c r="I7661" s="5" t="s">
        <v>31</v>
      </c>
      <c r="J7661" s="5">
        <v>17.232409949286001</v>
      </c>
      <c r="K7661" s="5">
        <v>-95.054870638427005</v>
      </c>
      <c r="L7661" s="5" t="str">
        <f>HYPERLINK("https://maps.google.com/?q=17.2324099492861,-95.054870638427403", "🔗 Ver Mapa")</f>
        <v>🔗 Ver Mapa</v>
      </c>
    </row>
    <row r="7662" spans="1:12" ht="43.5" x14ac:dyDescent="0.35">
      <c r="A7662" s="6" t="s">
        <v>98</v>
      </c>
      <c r="B7662" s="6" t="s">
        <v>99</v>
      </c>
      <c r="C7662" s="6" t="s">
        <v>1430</v>
      </c>
      <c r="D7662" s="6" t="s">
        <v>14</v>
      </c>
      <c r="E7662" s="6" t="s">
        <v>158</v>
      </c>
      <c r="F7662" s="6" t="s">
        <v>159</v>
      </c>
      <c r="G7662" s="6" t="s">
        <v>205</v>
      </c>
      <c r="H7662" s="6" t="s">
        <v>206</v>
      </c>
      <c r="I7662" s="6" t="s">
        <v>31</v>
      </c>
      <c r="J7662" s="6">
        <v>17.232449657292999</v>
      </c>
      <c r="K7662" s="6">
        <v>-95.054749939022003</v>
      </c>
      <c r="L7662" s="6" t="str">
        <f>HYPERLINK("https://maps.google.com/?q=17.232449657293,-95.054749939021804", "🔗 Ver Mapa")</f>
        <v>🔗 Ver Mapa</v>
      </c>
    </row>
    <row r="7663" spans="1:12" ht="43.5" x14ac:dyDescent="0.35">
      <c r="A7663" s="5" t="s">
        <v>98</v>
      </c>
      <c r="B7663" s="5" t="s">
        <v>99</v>
      </c>
      <c r="C7663" s="5" t="s">
        <v>1430</v>
      </c>
      <c r="D7663" s="5" t="s">
        <v>14</v>
      </c>
      <c r="E7663" s="5" t="s">
        <v>158</v>
      </c>
      <c r="F7663" s="5" t="s">
        <v>159</v>
      </c>
      <c r="G7663" s="5" t="s">
        <v>205</v>
      </c>
      <c r="H7663" s="5" t="s">
        <v>206</v>
      </c>
      <c r="I7663" s="5" t="s">
        <v>31</v>
      </c>
      <c r="J7663" s="5">
        <v>17.232570213020999</v>
      </c>
      <c r="K7663" s="5">
        <v>-95.053158070470005</v>
      </c>
      <c r="L7663" s="5" t="str">
        <f>HYPERLINK("https://maps.google.com/?q=17.2325702130213,-95.053158070470204", "🔗 Ver Mapa")</f>
        <v>🔗 Ver Mapa</v>
      </c>
    </row>
    <row r="7664" spans="1:12" ht="43.5" x14ac:dyDescent="0.35">
      <c r="A7664" s="6" t="s">
        <v>98</v>
      </c>
      <c r="B7664" s="6" t="s">
        <v>99</v>
      </c>
      <c r="C7664" s="6" t="s">
        <v>1430</v>
      </c>
      <c r="D7664" s="6" t="s">
        <v>14</v>
      </c>
      <c r="E7664" s="6" t="s">
        <v>158</v>
      </c>
      <c r="F7664" s="6" t="s">
        <v>159</v>
      </c>
      <c r="G7664" s="6" t="s">
        <v>205</v>
      </c>
      <c r="H7664" s="6" t="s">
        <v>206</v>
      </c>
      <c r="I7664" s="6" t="s">
        <v>31</v>
      </c>
      <c r="J7664" s="6">
        <v>17.232636679656</v>
      </c>
      <c r="K7664" s="6">
        <v>-95.051985549712995</v>
      </c>
      <c r="L7664" s="6" t="str">
        <f>HYPERLINK("https://maps.google.com/?q=17.232636679656,-95.051985549712796", "🔗 Ver Mapa")</f>
        <v>🔗 Ver Mapa</v>
      </c>
    </row>
    <row r="7665" spans="1:12" ht="43.5" x14ac:dyDescent="0.35">
      <c r="A7665" s="5" t="s">
        <v>98</v>
      </c>
      <c r="B7665" s="5" t="s">
        <v>99</v>
      </c>
      <c r="C7665" s="5" t="s">
        <v>1430</v>
      </c>
      <c r="D7665" s="5" t="s">
        <v>14</v>
      </c>
      <c r="E7665" s="5" t="s">
        <v>158</v>
      </c>
      <c r="F7665" s="5" t="s">
        <v>159</v>
      </c>
      <c r="G7665" s="5" t="s">
        <v>205</v>
      </c>
      <c r="H7665" s="5" t="s">
        <v>206</v>
      </c>
      <c r="I7665" s="5" t="s">
        <v>31</v>
      </c>
      <c r="J7665" s="5">
        <v>17.232760898233</v>
      </c>
      <c r="K7665" s="5">
        <v>-95.057651061892003</v>
      </c>
      <c r="L7665" s="5" t="str">
        <f>HYPERLINK("https://maps.google.com/?q=17.232760898233,-95.057651061892102", "🔗 Ver Mapa")</f>
        <v>🔗 Ver Mapa</v>
      </c>
    </row>
    <row r="7666" spans="1:12" ht="43.5" x14ac:dyDescent="0.35">
      <c r="A7666" s="6" t="s">
        <v>98</v>
      </c>
      <c r="B7666" s="6" t="s">
        <v>99</v>
      </c>
      <c r="C7666" s="6" t="s">
        <v>1430</v>
      </c>
      <c r="D7666" s="6" t="s">
        <v>14</v>
      </c>
      <c r="E7666" s="6" t="s">
        <v>158</v>
      </c>
      <c r="F7666" s="6" t="s">
        <v>159</v>
      </c>
      <c r="G7666" s="6" t="s">
        <v>205</v>
      </c>
      <c r="H7666" s="6" t="s">
        <v>206</v>
      </c>
      <c r="I7666" s="6" t="s">
        <v>31</v>
      </c>
      <c r="J7666" s="6">
        <v>17.232894130207001</v>
      </c>
      <c r="K7666" s="6">
        <v>-95.056046787081002</v>
      </c>
      <c r="L7666" s="6" t="str">
        <f>HYPERLINK("https://maps.google.com/?q=17.2328941302068,-95.056046787080504", "🔗 Ver Mapa")</f>
        <v>🔗 Ver Mapa</v>
      </c>
    </row>
    <row r="7667" spans="1:12" ht="43.5" x14ac:dyDescent="0.35">
      <c r="A7667" s="5" t="s">
        <v>98</v>
      </c>
      <c r="B7667" s="5" t="s">
        <v>99</v>
      </c>
      <c r="C7667" s="5" t="s">
        <v>1430</v>
      </c>
      <c r="D7667" s="5" t="s">
        <v>14</v>
      </c>
      <c r="E7667" s="5" t="s">
        <v>158</v>
      </c>
      <c r="F7667" s="5" t="s">
        <v>159</v>
      </c>
      <c r="G7667" s="5" t="s">
        <v>205</v>
      </c>
      <c r="H7667" s="5" t="s">
        <v>206</v>
      </c>
      <c r="I7667" s="5" t="s">
        <v>31</v>
      </c>
      <c r="J7667" s="5">
        <v>17.232902704684001</v>
      </c>
      <c r="K7667" s="5">
        <v>-95.057542389952005</v>
      </c>
      <c r="L7667" s="5" t="str">
        <f>HYPERLINK("https://maps.google.com/?q=17.2329027046843,-95.057542389952104", "🔗 Ver Mapa")</f>
        <v>🔗 Ver Mapa</v>
      </c>
    </row>
    <row r="7668" spans="1:12" ht="43.5" x14ac:dyDescent="0.35">
      <c r="A7668" s="6" t="s">
        <v>98</v>
      </c>
      <c r="B7668" s="6" t="s">
        <v>99</v>
      </c>
      <c r="C7668" s="6" t="s">
        <v>1430</v>
      </c>
      <c r="D7668" s="6" t="s">
        <v>14</v>
      </c>
      <c r="E7668" s="6" t="s">
        <v>158</v>
      </c>
      <c r="F7668" s="6" t="s">
        <v>159</v>
      </c>
      <c r="G7668" s="6" t="s">
        <v>205</v>
      </c>
      <c r="H7668" s="6" t="s">
        <v>206</v>
      </c>
      <c r="I7668" s="6" t="s">
        <v>31</v>
      </c>
      <c r="J7668" s="6">
        <v>17.233050399968999</v>
      </c>
      <c r="K7668" s="6">
        <v>-95.055639091309999</v>
      </c>
      <c r="L7668" s="6" t="str">
        <f>HYPERLINK("https://maps.google.com/?q=17.2330503999685,-95.055639091310397", "🔗 Ver Mapa")</f>
        <v>🔗 Ver Mapa</v>
      </c>
    </row>
    <row r="7669" spans="1:12" ht="43.5" x14ac:dyDescent="0.35">
      <c r="A7669" s="5" t="s">
        <v>98</v>
      </c>
      <c r="B7669" s="5" t="s">
        <v>99</v>
      </c>
      <c r="C7669" s="5" t="s">
        <v>1430</v>
      </c>
      <c r="D7669" s="5" t="s">
        <v>14</v>
      </c>
      <c r="E7669" s="5" t="s">
        <v>158</v>
      </c>
      <c r="F7669" s="5" t="s">
        <v>159</v>
      </c>
      <c r="G7669" s="5" t="s">
        <v>205</v>
      </c>
      <c r="H7669" s="5" t="s">
        <v>206</v>
      </c>
      <c r="I7669" s="5" t="s">
        <v>31</v>
      </c>
      <c r="J7669" s="5">
        <v>17.233415582589998</v>
      </c>
      <c r="K7669" s="5">
        <v>-95.050363606963998</v>
      </c>
      <c r="L7669" s="5" t="str">
        <f>HYPERLINK("https://maps.google.com/?q=17.2334155825905,-95.050363606963501", "🔗 Ver Mapa")</f>
        <v>🔗 Ver Mapa</v>
      </c>
    </row>
    <row r="7670" spans="1:12" ht="43.5" x14ac:dyDescent="0.35">
      <c r="A7670" s="6" t="s">
        <v>98</v>
      </c>
      <c r="B7670" s="6" t="s">
        <v>99</v>
      </c>
      <c r="C7670" s="6" t="s">
        <v>1430</v>
      </c>
      <c r="D7670" s="6" t="s">
        <v>14</v>
      </c>
      <c r="E7670" s="6" t="s">
        <v>158</v>
      </c>
      <c r="F7670" s="6" t="s">
        <v>159</v>
      </c>
      <c r="G7670" s="6" t="s">
        <v>205</v>
      </c>
      <c r="H7670" s="6" t="s">
        <v>206</v>
      </c>
      <c r="I7670" s="6" t="s">
        <v>31</v>
      </c>
      <c r="J7670" s="6">
        <v>17.233499963863</v>
      </c>
      <c r="K7670" s="6">
        <v>-95.051469247138996</v>
      </c>
      <c r="L7670" s="6" t="str">
        <f>HYPERLINK("https://maps.google.com/?q=17.233499963863,-95.051469247139394", "🔗 Ver Mapa")</f>
        <v>🔗 Ver Mapa</v>
      </c>
    </row>
    <row r="7671" spans="1:12" ht="43.5" x14ac:dyDescent="0.35">
      <c r="A7671" s="5" t="s">
        <v>98</v>
      </c>
      <c r="B7671" s="5" t="s">
        <v>99</v>
      </c>
      <c r="C7671" s="5" t="s">
        <v>1431</v>
      </c>
      <c r="D7671" s="5" t="s">
        <v>14</v>
      </c>
      <c r="E7671" s="5" t="s">
        <v>16</v>
      </c>
      <c r="F7671" s="5" t="s">
        <v>21</v>
      </c>
      <c r="G7671" s="5" t="s">
        <v>1432</v>
      </c>
      <c r="H7671" s="5" t="s">
        <v>1433</v>
      </c>
      <c r="I7671" s="5" t="s">
        <v>31</v>
      </c>
      <c r="J7671" s="5">
        <v>17.189295157808999</v>
      </c>
      <c r="K7671" s="5">
        <v>-97.544263749801999</v>
      </c>
      <c r="L7671" s="5" t="str">
        <f>HYPERLINK("https://maps.google.com/?q=17.1892951578089,-97.544263749801502", "🔗 Ver Mapa")</f>
        <v>🔗 Ver Mapa</v>
      </c>
    </row>
    <row r="7672" spans="1:12" ht="43.5" x14ac:dyDescent="0.35">
      <c r="A7672" s="6" t="s">
        <v>98</v>
      </c>
      <c r="B7672" s="6" t="s">
        <v>99</v>
      </c>
      <c r="C7672" s="6" t="s">
        <v>1431</v>
      </c>
      <c r="D7672" s="6" t="s">
        <v>14</v>
      </c>
      <c r="E7672" s="6" t="s">
        <v>16</v>
      </c>
      <c r="F7672" s="6" t="s">
        <v>21</v>
      </c>
      <c r="G7672" s="6" t="s">
        <v>1432</v>
      </c>
      <c r="H7672" s="6" t="s">
        <v>1433</v>
      </c>
      <c r="I7672" s="6" t="s">
        <v>31</v>
      </c>
      <c r="J7672" s="6">
        <v>17.189540586174001</v>
      </c>
      <c r="K7672" s="6">
        <v>-97.544595148401001</v>
      </c>
      <c r="L7672" s="6" t="str">
        <f>HYPERLINK("https://maps.google.com/?q=17.1895405861742,-97.5445951484012", "🔗 Ver Mapa")</f>
        <v>🔗 Ver Mapa</v>
      </c>
    </row>
    <row r="7673" spans="1:12" ht="43.5" x14ac:dyDescent="0.35">
      <c r="A7673" s="5" t="s">
        <v>98</v>
      </c>
      <c r="B7673" s="5" t="s">
        <v>99</v>
      </c>
      <c r="C7673" s="5" t="s">
        <v>1431</v>
      </c>
      <c r="D7673" s="5" t="s">
        <v>14</v>
      </c>
      <c r="E7673" s="5" t="s">
        <v>16</v>
      </c>
      <c r="F7673" s="5" t="s">
        <v>21</v>
      </c>
      <c r="G7673" s="5" t="s">
        <v>1432</v>
      </c>
      <c r="H7673" s="5" t="s">
        <v>1433</v>
      </c>
      <c r="I7673" s="5" t="s">
        <v>31</v>
      </c>
      <c r="J7673" s="5">
        <v>17.190639378025999</v>
      </c>
      <c r="K7673" s="5">
        <v>-97.544036439674002</v>
      </c>
      <c r="L7673" s="5" t="str">
        <f>HYPERLINK("https://maps.google.com/?q=17.1906393780265,-97.544036439674102", "🔗 Ver Mapa")</f>
        <v>🔗 Ver Mapa</v>
      </c>
    </row>
    <row r="7674" spans="1:12" ht="43.5" x14ac:dyDescent="0.35">
      <c r="A7674" s="6" t="s">
        <v>98</v>
      </c>
      <c r="B7674" s="6" t="s">
        <v>99</v>
      </c>
      <c r="C7674" s="6" t="s">
        <v>1431</v>
      </c>
      <c r="D7674" s="6" t="s">
        <v>14</v>
      </c>
      <c r="E7674" s="6" t="s">
        <v>16</v>
      </c>
      <c r="F7674" s="6" t="s">
        <v>21</v>
      </c>
      <c r="G7674" s="6" t="s">
        <v>1432</v>
      </c>
      <c r="H7674" s="6" t="s">
        <v>1433</v>
      </c>
      <c r="I7674" s="6" t="s">
        <v>31</v>
      </c>
      <c r="J7674" s="6">
        <v>17.191944102699999</v>
      </c>
      <c r="K7674" s="6">
        <v>-97.542680051163998</v>
      </c>
      <c r="L7674" s="6" t="str">
        <f>HYPERLINK("https://maps.google.com/?q=17.1919441027,-97.542680051163899", "🔗 Ver Mapa")</f>
        <v>🔗 Ver Mapa</v>
      </c>
    </row>
    <row r="7675" spans="1:12" ht="43.5" x14ac:dyDescent="0.35">
      <c r="A7675" s="5" t="s">
        <v>98</v>
      </c>
      <c r="B7675" s="5" t="s">
        <v>99</v>
      </c>
      <c r="C7675" s="5" t="s">
        <v>1434</v>
      </c>
      <c r="D7675" s="5" t="s">
        <v>14</v>
      </c>
      <c r="E7675" s="5" t="s">
        <v>16</v>
      </c>
      <c r="F7675" s="5" t="s">
        <v>21</v>
      </c>
      <c r="G7675" s="5" t="s">
        <v>1432</v>
      </c>
      <c r="H7675" s="5" t="s">
        <v>1435</v>
      </c>
      <c r="I7675" s="5" t="s">
        <v>31</v>
      </c>
      <c r="J7675" s="5">
        <v>17.199323313093</v>
      </c>
      <c r="K7675" s="5">
        <v>-97.516500768718004</v>
      </c>
      <c r="L7675" s="5" t="str">
        <f>HYPERLINK("https://maps.google.com/?q=17.1993233130931,-97.516500768717904", "🔗 Ver Mapa")</f>
        <v>🔗 Ver Mapa</v>
      </c>
    </row>
    <row r="7676" spans="1:12" ht="43.5" x14ac:dyDescent="0.35">
      <c r="A7676" s="6" t="s">
        <v>98</v>
      </c>
      <c r="B7676" s="6" t="s">
        <v>99</v>
      </c>
      <c r="C7676" s="6" t="s">
        <v>1434</v>
      </c>
      <c r="D7676" s="6" t="s">
        <v>14</v>
      </c>
      <c r="E7676" s="6" t="s">
        <v>16</v>
      </c>
      <c r="F7676" s="6" t="s">
        <v>21</v>
      </c>
      <c r="G7676" s="6" t="s">
        <v>1432</v>
      </c>
      <c r="H7676" s="6" t="s">
        <v>1435</v>
      </c>
      <c r="I7676" s="6" t="s">
        <v>31</v>
      </c>
      <c r="J7676" s="6">
        <v>17.199438061569001</v>
      </c>
      <c r="K7676" s="6">
        <v>-97.514282652209005</v>
      </c>
      <c r="L7676" s="6" t="str">
        <f>HYPERLINK("https://maps.google.com/?q=17.1994380615692,-97.514282652209403", "🔗 Ver Mapa")</f>
        <v>🔗 Ver Mapa</v>
      </c>
    </row>
    <row r="7677" spans="1:12" ht="43.5" x14ac:dyDescent="0.35">
      <c r="A7677" s="5" t="s">
        <v>98</v>
      </c>
      <c r="B7677" s="5" t="s">
        <v>99</v>
      </c>
      <c r="C7677" s="5" t="s">
        <v>1434</v>
      </c>
      <c r="D7677" s="5" t="s">
        <v>14</v>
      </c>
      <c r="E7677" s="5" t="s">
        <v>16</v>
      </c>
      <c r="F7677" s="5" t="s">
        <v>21</v>
      </c>
      <c r="G7677" s="5" t="s">
        <v>1432</v>
      </c>
      <c r="H7677" s="5" t="s">
        <v>1435</v>
      </c>
      <c r="I7677" s="5" t="s">
        <v>31</v>
      </c>
      <c r="J7677" s="5">
        <v>17.19956207157</v>
      </c>
      <c r="K7677" s="5">
        <v>-97.514319241104999</v>
      </c>
      <c r="L7677" s="5" t="str">
        <f>HYPERLINK("https://maps.google.com/?q=17.1995620715703,-97.514319241105099", "🔗 Ver Mapa")</f>
        <v>🔗 Ver Mapa</v>
      </c>
    </row>
    <row r="7678" spans="1:12" ht="43.5" x14ac:dyDescent="0.35">
      <c r="A7678" s="6" t="s">
        <v>98</v>
      </c>
      <c r="B7678" s="6" t="s">
        <v>99</v>
      </c>
      <c r="C7678" s="6" t="s">
        <v>1434</v>
      </c>
      <c r="D7678" s="6" t="s">
        <v>14</v>
      </c>
      <c r="E7678" s="6" t="s">
        <v>16</v>
      </c>
      <c r="F7678" s="6" t="s">
        <v>21</v>
      </c>
      <c r="G7678" s="6" t="s">
        <v>1432</v>
      </c>
      <c r="H7678" s="6" t="s">
        <v>1435</v>
      </c>
      <c r="I7678" s="6" t="s">
        <v>31</v>
      </c>
      <c r="J7678" s="6">
        <v>17.199645818179</v>
      </c>
      <c r="K7678" s="6">
        <v>-97.514815681165004</v>
      </c>
      <c r="L7678" s="6" t="str">
        <f>HYPERLINK("https://maps.google.com/?q=17.1996458181793,-97.514815681164606", "🔗 Ver Mapa")</f>
        <v>🔗 Ver Mapa</v>
      </c>
    </row>
    <row r="7679" spans="1:12" ht="43.5" x14ac:dyDescent="0.35">
      <c r="A7679" s="5" t="s">
        <v>98</v>
      </c>
      <c r="B7679" s="5" t="s">
        <v>99</v>
      </c>
      <c r="C7679" s="5" t="s">
        <v>1434</v>
      </c>
      <c r="D7679" s="5" t="s">
        <v>14</v>
      </c>
      <c r="E7679" s="5" t="s">
        <v>16</v>
      </c>
      <c r="F7679" s="5" t="s">
        <v>21</v>
      </c>
      <c r="G7679" s="5" t="s">
        <v>1432</v>
      </c>
      <c r="H7679" s="5" t="s">
        <v>1435</v>
      </c>
      <c r="I7679" s="5" t="s">
        <v>31</v>
      </c>
      <c r="J7679" s="5">
        <v>17.200099839465999</v>
      </c>
      <c r="K7679" s="5">
        <v>-97.511880672209998</v>
      </c>
      <c r="L7679" s="5" t="str">
        <f>HYPERLINK("https://maps.google.com/?q=17.200099839466,-97.5118806722096", "🔗 Ver Mapa")</f>
        <v>🔗 Ver Mapa</v>
      </c>
    </row>
    <row r="7680" spans="1:12" ht="43.5" x14ac:dyDescent="0.35">
      <c r="A7680" s="6" t="s">
        <v>98</v>
      </c>
      <c r="B7680" s="6" t="s">
        <v>99</v>
      </c>
      <c r="C7680" s="6" t="s">
        <v>1434</v>
      </c>
      <c r="D7680" s="6" t="s">
        <v>14</v>
      </c>
      <c r="E7680" s="6" t="s">
        <v>16</v>
      </c>
      <c r="F7680" s="6" t="s">
        <v>21</v>
      </c>
      <c r="G7680" s="6" t="s">
        <v>1432</v>
      </c>
      <c r="H7680" s="6" t="s">
        <v>1435</v>
      </c>
      <c r="I7680" s="6" t="s">
        <v>31</v>
      </c>
      <c r="J7680" s="6">
        <v>17.200528059328001</v>
      </c>
      <c r="K7680" s="6">
        <v>-97.517356724419002</v>
      </c>
      <c r="L7680" s="6" t="str">
        <f>HYPERLINK("https://maps.google.com/?q=17.2005280593281,-97.517356724418505", "🔗 Ver Mapa")</f>
        <v>🔗 Ver Mapa</v>
      </c>
    </row>
    <row r="7681" spans="1:12" ht="43.5" x14ac:dyDescent="0.35">
      <c r="A7681" s="5" t="s">
        <v>98</v>
      </c>
      <c r="B7681" s="5" t="s">
        <v>99</v>
      </c>
      <c r="C7681" s="5" t="s">
        <v>1434</v>
      </c>
      <c r="D7681" s="5" t="s">
        <v>14</v>
      </c>
      <c r="E7681" s="5" t="s">
        <v>16</v>
      </c>
      <c r="F7681" s="5" t="s">
        <v>21</v>
      </c>
      <c r="G7681" s="5" t="s">
        <v>1432</v>
      </c>
      <c r="H7681" s="5" t="s">
        <v>1435</v>
      </c>
      <c r="I7681" s="5" t="s">
        <v>31</v>
      </c>
      <c r="J7681" s="5">
        <v>17.200883562701001</v>
      </c>
      <c r="K7681" s="5">
        <v>-97.514748370001001</v>
      </c>
      <c r="L7681" s="5" t="str">
        <f>HYPERLINK("https://maps.google.com/?q=17.2008835627013,-97.514748370000802", "🔗 Ver Mapa")</f>
        <v>🔗 Ver Mapa</v>
      </c>
    </row>
    <row r="7682" spans="1:12" ht="43.5" x14ac:dyDescent="0.35">
      <c r="A7682" s="6" t="s">
        <v>98</v>
      </c>
      <c r="B7682" s="6" t="s">
        <v>99</v>
      </c>
      <c r="C7682" s="6" t="s">
        <v>1434</v>
      </c>
      <c r="D7682" s="6" t="s">
        <v>14</v>
      </c>
      <c r="E7682" s="6" t="s">
        <v>16</v>
      </c>
      <c r="F7682" s="6" t="s">
        <v>21</v>
      </c>
      <c r="G7682" s="6" t="s">
        <v>1432</v>
      </c>
      <c r="H7682" s="6" t="s">
        <v>1435</v>
      </c>
      <c r="I7682" s="6" t="s">
        <v>31</v>
      </c>
      <c r="J7682" s="6">
        <v>17.200903237188999</v>
      </c>
      <c r="K7682" s="6">
        <v>-97.512047398896001</v>
      </c>
      <c r="L7682" s="6" t="str">
        <f>HYPERLINK("https://maps.google.com/?q=17.2009032371889,-97.5120473988962", "🔗 Ver Mapa")</f>
        <v>🔗 Ver Mapa</v>
      </c>
    </row>
    <row r="7683" spans="1:12" ht="43.5" x14ac:dyDescent="0.35">
      <c r="A7683" s="5" t="s">
        <v>98</v>
      </c>
      <c r="B7683" s="5" t="s">
        <v>99</v>
      </c>
      <c r="C7683" s="5" t="s">
        <v>1434</v>
      </c>
      <c r="D7683" s="5" t="s">
        <v>14</v>
      </c>
      <c r="E7683" s="5" t="s">
        <v>16</v>
      </c>
      <c r="F7683" s="5" t="s">
        <v>21</v>
      </c>
      <c r="G7683" s="5" t="s">
        <v>1432</v>
      </c>
      <c r="H7683" s="5" t="s">
        <v>1435</v>
      </c>
      <c r="I7683" s="5" t="s">
        <v>31</v>
      </c>
      <c r="J7683" s="5">
        <v>17.201110979256999</v>
      </c>
      <c r="K7683" s="5">
        <v>-97.511937891165005</v>
      </c>
      <c r="L7683" s="5" t="str">
        <f>HYPERLINK("https://maps.google.com/?q=17.2011109792571,-97.511937891164905", "🔗 Ver Mapa")</f>
        <v>🔗 Ver Mapa</v>
      </c>
    </row>
    <row r="7684" spans="1:12" ht="43.5" x14ac:dyDescent="0.35">
      <c r="A7684" s="6" t="s">
        <v>98</v>
      </c>
      <c r="B7684" s="6" t="s">
        <v>99</v>
      </c>
      <c r="C7684" s="6" t="s">
        <v>1434</v>
      </c>
      <c r="D7684" s="6" t="s">
        <v>14</v>
      </c>
      <c r="E7684" s="6" t="s">
        <v>16</v>
      </c>
      <c r="F7684" s="6" t="s">
        <v>21</v>
      </c>
      <c r="G7684" s="6" t="s">
        <v>1432</v>
      </c>
      <c r="H7684" s="6" t="s">
        <v>1435</v>
      </c>
      <c r="I7684" s="6" t="s">
        <v>31</v>
      </c>
      <c r="J7684" s="6">
        <v>17.201992394929999</v>
      </c>
      <c r="K7684" s="6">
        <v>-97.522069931165007</v>
      </c>
      <c r="L7684" s="6" t="str">
        <f>HYPERLINK("https://maps.google.com/?q=17.2019923949304,-97.522069931164594", "🔗 Ver Mapa")</f>
        <v>🔗 Ver Mapa</v>
      </c>
    </row>
    <row r="7685" spans="1:12" ht="43.5" x14ac:dyDescent="0.35">
      <c r="A7685" s="5" t="s">
        <v>98</v>
      </c>
      <c r="B7685" s="5" t="s">
        <v>99</v>
      </c>
      <c r="C7685" s="5" t="s">
        <v>1434</v>
      </c>
      <c r="D7685" s="5" t="s">
        <v>14</v>
      </c>
      <c r="E7685" s="5" t="s">
        <v>16</v>
      </c>
      <c r="F7685" s="5" t="s">
        <v>21</v>
      </c>
      <c r="G7685" s="5" t="s">
        <v>1432</v>
      </c>
      <c r="H7685" s="5" t="s">
        <v>1435</v>
      </c>
      <c r="I7685" s="5" t="s">
        <v>31</v>
      </c>
      <c r="J7685" s="5">
        <v>17.202226096025001</v>
      </c>
      <c r="K7685" s="5">
        <v>-97.514475080001006</v>
      </c>
      <c r="L7685" s="5" t="str">
        <f>HYPERLINK("https://maps.google.com/?q=17.2022260960255,-97.514475080000807", "🔗 Ver Mapa")</f>
        <v>🔗 Ver Mapa</v>
      </c>
    </row>
    <row r="7686" spans="1:12" ht="43.5" x14ac:dyDescent="0.35">
      <c r="A7686" s="6" t="s">
        <v>98</v>
      </c>
      <c r="B7686" s="6" t="s">
        <v>99</v>
      </c>
      <c r="C7686" s="6" t="s">
        <v>1434</v>
      </c>
      <c r="D7686" s="6" t="s">
        <v>14</v>
      </c>
      <c r="E7686" s="6" t="s">
        <v>16</v>
      </c>
      <c r="F7686" s="6" t="s">
        <v>21</v>
      </c>
      <c r="G7686" s="6" t="s">
        <v>1432</v>
      </c>
      <c r="H7686" s="6" t="s">
        <v>1435</v>
      </c>
      <c r="I7686" s="6" t="s">
        <v>31</v>
      </c>
      <c r="J7686" s="6">
        <v>17.203368160492001</v>
      </c>
      <c r="K7686" s="6">
        <v>-97.519986128895994</v>
      </c>
      <c r="L7686" s="6" t="str">
        <f>HYPERLINK("https://maps.google.com/?q=17.2033681604923,-97.519986128896093", "🔗 Ver Mapa")</f>
        <v>🔗 Ver Mapa</v>
      </c>
    </row>
    <row r="7687" spans="1:12" ht="43.5" x14ac:dyDescent="0.35">
      <c r="A7687" s="5" t="s">
        <v>98</v>
      </c>
      <c r="B7687" s="5" t="s">
        <v>99</v>
      </c>
      <c r="C7687" s="5" t="s">
        <v>1434</v>
      </c>
      <c r="D7687" s="5" t="s">
        <v>14</v>
      </c>
      <c r="E7687" s="5" t="s">
        <v>16</v>
      </c>
      <c r="F7687" s="5" t="s">
        <v>21</v>
      </c>
      <c r="G7687" s="5" t="s">
        <v>1432</v>
      </c>
      <c r="H7687" s="5" t="s">
        <v>1435</v>
      </c>
      <c r="I7687" s="5" t="s">
        <v>31</v>
      </c>
      <c r="J7687" s="5">
        <v>17.203768362702</v>
      </c>
      <c r="K7687" s="5">
        <v>-97.520447662210003</v>
      </c>
      <c r="L7687" s="5" t="str">
        <f>HYPERLINK("https://maps.google.com/?q=17.2037683627019,-97.520447662209605", "🔗 Ver Mapa")</f>
        <v>🔗 Ver Mapa</v>
      </c>
    </row>
    <row r="7688" spans="1:12" ht="43.5" x14ac:dyDescent="0.35">
      <c r="A7688" s="6" t="s">
        <v>98</v>
      </c>
      <c r="B7688" s="6" t="s">
        <v>99</v>
      </c>
      <c r="C7688" s="6" t="s">
        <v>1434</v>
      </c>
      <c r="D7688" s="6" t="s">
        <v>14</v>
      </c>
      <c r="E7688" s="6" t="s">
        <v>16</v>
      </c>
      <c r="F7688" s="6" t="s">
        <v>21</v>
      </c>
      <c r="G7688" s="6" t="s">
        <v>1432</v>
      </c>
      <c r="H7688" s="6" t="s">
        <v>1435</v>
      </c>
      <c r="I7688" s="6" t="s">
        <v>31</v>
      </c>
      <c r="J7688" s="6">
        <v>17.203905248760002</v>
      </c>
      <c r="K7688" s="6">
        <v>-97.517816181906994</v>
      </c>
      <c r="L7688" s="6" t="str">
        <f>HYPERLINK("https://maps.google.com/?q=17.2039052487601,-97.517816181906696", "🔗 Ver Mapa")</f>
        <v>🔗 Ver Mapa</v>
      </c>
    </row>
    <row r="7689" spans="1:12" ht="43.5" x14ac:dyDescent="0.35">
      <c r="A7689" s="5" t="s">
        <v>98</v>
      </c>
      <c r="B7689" s="5" t="s">
        <v>99</v>
      </c>
      <c r="C7689" s="5" t="s">
        <v>1434</v>
      </c>
      <c r="D7689" s="5" t="s">
        <v>14</v>
      </c>
      <c r="E7689" s="5" t="s">
        <v>16</v>
      </c>
      <c r="F7689" s="5" t="s">
        <v>21</v>
      </c>
      <c r="G7689" s="5" t="s">
        <v>1432</v>
      </c>
      <c r="H7689" s="5" t="s">
        <v>1435</v>
      </c>
      <c r="I7689" s="5" t="s">
        <v>31</v>
      </c>
      <c r="J7689" s="5">
        <v>17.205125638331999</v>
      </c>
      <c r="K7689" s="5">
        <v>-97.518292423374007</v>
      </c>
      <c r="L7689" s="5" t="str">
        <f>HYPERLINK("https://maps.google.com/?q=17.2051256383316,-97.518292423373595", "🔗 Ver Mapa")</f>
        <v>🔗 Ver Mapa</v>
      </c>
    </row>
    <row r="7690" spans="1:12" ht="43.5" x14ac:dyDescent="0.35">
      <c r="A7690" s="6" t="s">
        <v>98</v>
      </c>
      <c r="B7690" s="6" t="s">
        <v>99</v>
      </c>
      <c r="C7690" s="6" t="s">
        <v>1434</v>
      </c>
      <c r="D7690" s="6" t="s">
        <v>14</v>
      </c>
      <c r="E7690" s="6" t="s">
        <v>16</v>
      </c>
      <c r="F7690" s="6" t="s">
        <v>21</v>
      </c>
      <c r="G7690" s="6" t="s">
        <v>1432</v>
      </c>
      <c r="H7690" s="6" t="s">
        <v>1435</v>
      </c>
      <c r="I7690" s="6" t="s">
        <v>31</v>
      </c>
      <c r="J7690" s="6">
        <v>17.205279613969999</v>
      </c>
      <c r="K7690" s="6">
        <v>-97.518263083373995</v>
      </c>
      <c r="L7690" s="6" t="str">
        <f>HYPERLINK("https://maps.google.com/?q=17.2052796139698,-97.518263083373597", "🔗 Ver Mapa")</f>
        <v>🔗 Ver Mapa</v>
      </c>
    </row>
    <row r="7691" spans="1:12" ht="43.5" x14ac:dyDescent="0.35">
      <c r="A7691" s="5" t="s">
        <v>98</v>
      </c>
      <c r="B7691" s="5" t="s">
        <v>99</v>
      </c>
      <c r="C7691" s="5" t="s">
        <v>1434</v>
      </c>
      <c r="D7691" s="5" t="s">
        <v>14</v>
      </c>
      <c r="E7691" s="5" t="s">
        <v>16</v>
      </c>
      <c r="F7691" s="5" t="s">
        <v>21</v>
      </c>
      <c r="G7691" s="5" t="s">
        <v>1432</v>
      </c>
      <c r="H7691" s="5" t="s">
        <v>1435</v>
      </c>
      <c r="I7691" s="5" t="s">
        <v>31</v>
      </c>
      <c r="J7691" s="5">
        <v>17.205401407973</v>
      </c>
      <c r="K7691" s="5">
        <v>-97.521108365914003</v>
      </c>
      <c r="L7691" s="5" t="str">
        <f>HYPERLINK("https://maps.google.com/?q=17.2054014079731,-97.521108365914301", "🔗 Ver Mapa")</f>
        <v>🔗 Ver Mapa</v>
      </c>
    </row>
    <row r="7692" spans="1:12" ht="43.5" x14ac:dyDescent="0.35">
      <c r="A7692" s="6" t="s">
        <v>98</v>
      </c>
      <c r="B7692" s="6" t="s">
        <v>99</v>
      </c>
      <c r="C7692" s="6" t="s">
        <v>1434</v>
      </c>
      <c r="D7692" s="6" t="s">
        <v>14</v>
      </c>
      <c r="E7692" s="6" t="s">
        <v>16</v>
      </c>
      <c r="F7692" s="6" t="s">
        <v>21</v>
      </c>
      <c r="G7692" s="6" t="s">
        <v>1432</v>
      </c>
      <c r="H7692" s="6" t="s">
        <v>1435</v>
      </c>
      <c r="I7692" s="6" t="s">
        <v>31</v>
      </c>
      <c r="J7692" s="6">
        <v>17.205861628139999</v>
      </c>
      <c r="K7692" s="6">
        <v>-97.521990621105004</v>
      </c>
      <c r="L7692" s="6" t="str">
        <f>HYPERLINK("https://maps.google.com/?q=17.2058616281399,-97.521990621105104", "🔗 Ver Mapa")</f>
        <v>🔗 Ver Mapa</v>
      </c>
    </row>
    <row r="7693" spans="1:12" ht="43.5" x14ac:dyDescent="0.35">
      <c r="A7693" s="5" t="s">
        <v>98</v>
      </c>
      <c r="B7693" s="5" t="s">
        <v>99</v>
      </c>
      <c r="C7693" s="5" t="s">
        <v>1434</v>
      </c>
      <c r="D7693" s="5" t="s">
        <v>14</v>
      </c>
      <c r="E7693" s="5" t="s">
        <v>16</v>
      </c>
      <c r="F7693" s="5" t="s">
        <v>21</v>
      </c>
      <c r="G7693" s="5" t="s">
        <v>1432</v>
      </c>
      <c r="H7693" s="5" t="s">
        <v>1435</v>
      </c>
      <c r="I7693" s="5" t="s">
        <v>31</v>
      </c>
      <c r="J7693" s="5">
        <v>17.206027790530001</v>
      </c>
      <c r="K7693" s="5">
        <v>-97.521855262209996</v>
      </c>
      <c r="L7693" s="5" t="str">
        <f>HYPERLINK("https://maps.google.com/?q=17.2060277905296,-97.521855262209698", "🔗 Ver Mapa")</f>
        <v>🔗 Ver Mapa</v>
      </c>
    </row>
    <row r="7694" spans="1:12" ht="43.5" x14ac:dyDescent="0.35">
      <c r="A7694" s="6" t="s">
        <v>98</v>
      </c>
      <c r="B7694" s="6" t="s">
        <v>99</v>
      </c>
      <c r="C7694" s="6" t="s">
        <v>1434</v>
      </c>
      <c r="D7694" s="6" t="s">
        <v>14</v>
      </c>
      <c r="E7694" s="6" t="s">
        <v>16</v>
      </c>
      <c r="F7694" s="6" t="s">
        <v>21</v>
      </c>
      <c r="G7694" s="6" t="s">
        <v>1432</v>
      </c>
      <c r="H7694" s="6" t="s">
        <v>1435</v>
      </c>
      <c r="I7694" s="6" t="s">
        <v>31</v>
      </c>
      <c r="J7694" s="6">
        <v>17.206560790537001</v>
      </c>
      <c r="K7694" s="6">
        <v>-97.521349477792</v>
      </c>
      <c r="L7694" s="6" t="str">
        <f>HYPERLINK("https://maps.google.com/?q=17.2065607905371,-97.521349477791603", "🔗 Ver Mapa")</f>
        <v>🔗 Ver Mapa</v>
      </c>
    </row>
    <row r="7695" spans="1:12" ht="43.5" x14ac:dyDescent="0.35">
      <c r="A7695" s="5" t="s">
        <v>98</v>
      </c>
      <c r="B7695" s="5" t="s">
        <v>99</v>
      </c>
      <c r="C7695" s="5" t="s">
        <v>1434</v>
      </c>
      <c r="D7695" s="5" t="s">
        <v>14</v>
      </c>
      <c r="E7695" s="5" t="s">
        <v>16</v>
      </c>
      <c r="F7695" s="5" t="s">
        <v>21</v>
      </c>
      <c r="G7695" s="5" t="s">
        <v>1432</v>
      </c>
      <c r="H7695" s="5" t="s">
        <v>1435</v>
      </c>
      <c r="I7695" s="5" t="s">
        <v>31</v>
      </c>
      <c r="J7695" s="5">
        <v>17.207133087016999</v>
      </c>
      <c r="K7695" s="5">
        <v>-97.522770487791007</v>
      </c>
      <c r="L7695" s="5" t="str">
        <f>HYPERLINK("https://maps.google.com/?q=17.2071330870175,-97.522770487791405", "🔗 Ver Mapa")</f>
        <v>🔗 Ver Mapa</v>
      </c>
    </row>
    <row r="7696" spans="1:12" ht="29" x14ac:dyDescent="0.35">
      <c r="A7696" s="6" t="s">
        <v>98</v>
      </c>
      <c r="B7696" s="6" t="s">
        <v>99</v>
      </c>
      <c r="C7696" s="6" t="s">
        <v>1436</v>
      </c>
      <c r="D7696" s="6" t="s">
        <v>14</v>
      </c>
      <c r="E7696" s="6" t="s">
        <v>52</v>
      </c>
      <c r="F7696" s="6" t="s">
        <v>421</v>
      </c>
      <c r="G7696" s="6" t="s">
        <v>1437</v>
      </c>
      <c r="H7696" s="6" t="s">
        <v>1438</v>
      </c>
      <c r="I7696" s="6" t="s">
        <v>31</v>
      </c>
      <c r="J7696" s="6">
        <v>16.625435432362</v>
      </c>
      <c r="K7696" s="6">
        <v>-96.795672203741006</v>
      </c>
      <c r="L7696" s="6" t="str">
        <f>HYPERLINK("https://maps.google.com/?q=16.6254354323619,-96.795672203741205", "🔗 Ver Mapa")</f>
        <v>🔗 Ver Mapa</v>
      </c>
    </row>
    <row r="7697" spans="1:12" ht="29" x14ac:dyDescent="0.35">
      <c r="A7697" s="5" t="s">
        <v>98</v>
      </c>
      <c r="B7697" s="5" t="s">
        <v>99</v>
      </c>
      <c r="C7697" s="5" t="s">
        <v>1436</v>
      </c>
      <c r="D7697" s="5" t="s">
        <v>14</v>
      </c>
      <c r="E7697" s="5" t="s">
        <v>52</v>
      </c>
      <c r="F7697" s="5" t="s">
        <v>421</v>
      </c>
      <c r="G7697" s="5" t="s">
        <v>1437</v>
      </c>
      <c r="H7697" s="5" t="s">
        <v>1438</v>
      </c>
      <c r="I7697" s="5" t="s">
        <v>31</v>
      </c>
      <c r="J7697" s="5">
        <v>16.625938193452999</v>
      </c>
      <c r="K7697" s="5">
        <v>-96.795007895018998</v>
      </c>
      <c r="L7697" s="5" t="str">
        <f>HYPERLINK("https://maps.google.com/?q=16.625938193453,-96.7950078950185", "🔗 Ver Mapa")</f>
        <v>🔗 Ver Mapa</v>
      </c>
    </row>
    <row r="7698" spans="1:12" ht="29" x14ac:dyDescent="0.35">
      <c r="A7698" s="6" t="s">
        <v>98</v>
      </c>
      <c r="B7698" s="6" t="s">
        <v>99</v>
      </c>
      <c r="C7698" s="6" t="s">
        <v>1436</v>
      </c>
      <c r="D7698" s="6" t="s">
        <v>14</v>
      </c>
      <c r="E7698" s="6" t="s">
        <v>52</v>
      </c>
      <c r="F7698" s="6" t="s">
        <v>421</v>
      </c>
      <c r="G7698" s="6" t="s">
        <v>1437</v>
      </c>
      <c r="H7698" s="6" t="s">
        <v>1438</v>
      </c>
      <c r="I7698" s="6" t="s">
        <v>31</v>
      </c>
      <c r="J7698" s="6">
        <v>16.626182083307</v>
      </c>
      <c r="K7698" s="6">
        <v>-96.795802735820999</v>
      </c>
      <c r="L7698" s="6" t="str">
        <f>HYPERLINK("https://maps.google.com/?q=16.6261820833069,-96.7958027358207", "🔗 Ver Mapa")</f>
        <v>🔗 Ver Mapa</v>
      </c>
    </row>
    <row r="7699" spans="1:12" ht="29" x14ac:dyDescent="0.35">
      <c r="A7699" s="5" t="s">
        <v>98</v>
      </c>
      <c r="B7699" s="5" t="s">
        <v>99</v>
      </c>
      <c r="C7699" s="5" t="s">
        <v>1436</v>
      </c>
      <c r="D7699" s="5" t="s">
        <v>14</v>
      </c>
      <c r="E7699" s="5" t="s">
        <v>52</v>
      </c>
      <c r="F7699" s="5" t="s">
        <v>421</v>
      </c>
      <c r="G7699" s="5" t="s">
        <v>1437</v>
      </c>
      <c r="H7699" s="5" t="s">
        <v>1438</v>
      </c>
      <c r="I7699" s="5" t="s">
        <v>31</v>
      </c>
      <c r="J7699" s="5">
        <v>16.626220901416001</v>
      </c>
      <c r="K7699" s="5">
        <v>-96.794677983309995</v>
      </c>
      <c r="L7699" s="5" t="str">
        <f>HYPERLINK("https://maps.google.com/?q=16.6262209014162,-96.794677983309697", "🔗 Ver Mapa")</f>
        <v>🔗 Ver Mapa</v>
      </c>
    </row>
    <row r="7700" spans="1:12" ht="29" x14ac:dyDescent="0.35">
      <c r="A7700" s="6" t="s">
        <v>98</v>
      </c>
      <c r="B7700" s="6" t="s">
        <v>99</v>
      </c>
      <c r="C7700" s="6" t="s">
        <v>1436</v>
      </c>
      <c r="D7700" s="6" t="s">
        <v>14</v>
      </c>
      <c r="E7700" s="6" t="s">
        <v>52</v>
      </c>
      <c r="F7700" s="6" t="s">
        <v>421</v>
      </c>
      <c r="G7700" s="6" t="s">
        <v>1437</v>
      </c>
      <c r="H7700" s="6" t="s">
        <v>1438</v>
      </c>
      <c r="I7700" s="6" t="s">
        <v>31</v>
      </c>
      <c r="J7700" s="6">
        <v>16.626275257901</v>
      </c>
      <c r="K7700" s="6">
        <v>-96.796176701891994</v>
      </c>
      <c r="L7700" s="6" t="str">
        <f>HYPERLINK("https://maps.google.com/?q=16.6262752579011,-96.796176701892406", "🔗 Ver Mapa")</f>
        <v>🔗 Ver Mapa</v>
      </c>
    </row>
    <row r="7701" spans="1:12" ht="29" x14ac:dyDescent="0.35">
      <c r="A7701" s="5" t="s">
        <v>98</v>
      </c>
      <c r="B7701" s="5" t="s">
        <v>99</v>
      </c>
      <c r="C7701" s="5" t="s">
        <v>1436</v>
      </c>
      <c r="D7701" s="5" t="s">
        <v>14</v>
      </c>
      <c r="E7701" s="5" t="s">
        <v>52</v>
      </c>
      <c r="F7701" s="5" t="s">
        <v>421</v>
      </c>
      <c r="G7701" s="5" t="s">
        <v>1437</v>
      </c>
      <c r="H7701" s="5" t="s">
        <v>1438</v>
      </c>
      <c r="I7701" s="5" t="s">
        <v>31</v>
      </c>
      <c r="J7701" s="5">
        <v>16.626769396107001</v>
      </c>
      <c r="K7701" s="5">
        <v>-96.796192756135994</v>
      </c>
      <c r="L7701" s="5" t="str">
        <f>HYPERLINK("https://maps.google.com/?q=16.6267693961067,-96.796192756136406", "🔗 Ver Mapa")</f>
        <v>🔗 Ver Mapa</v>
      </c>
    </row>
    <row r="7702" spans="1:12" ht="29" x14ac:dyDescent="0.35">
      <c r="A7702" s="6" t="s">
        <v>98</v>
      </c>
      <c r="B7702" s="6" t="s">
        <v>99</v>
      </c>
      <c r="C7702" s="6" t="s">
        <v>1436</v>
      </c>
      <c r="D7702" s="6" t="s">
        <v>14</v>
      </c>
      <c r="E7702" s="6" t="s">
        <v>52</v>
      </c>
      <c r="F7702" s="6" t="s">
        <v>421</v>
      </c>
      <c r="G7702" s="6" t="s">
        <v>1437</v>
      </c>
      <c r="H7702" s="6" t="s">
        <v>1438</v>
      </c>
      <c r="I7702" s="6" t="s">
        <v>31</v>
      </c>
      <c r="J7702" s="6">
        <v>16.627108565322999</v>
      </c>
      <c r="K7702" s="6">
        <v>-96.794549450345997</v>
      </c>
      <c r="L7702" s="6" t="str">
        <f>HYPERLINK("https://maps.google.com/?q=16.6271085653231,-96.794549450345698", "🔗 Ver Mapa")</f>
        <v>🔗 Ver Mapa</v>
      </c>
    </row>
    <row r="7703" spans="1:12" ht="29" x14ac:dyDescent="0.35">
      <c r="A7703" s="5" t="s">
        <v>98</v>
      </c>
      <c r="B7703" s="5" t="s">
        <v>99</v>
      </c>
      <c r="C7703" s="5" t="s">
        <v>1436</v>
      </c>
      <c r="D7703" s="5" t="s">
        <v>14</v>
      </c>
      <c r="E7703" s="5" t="s">
        <v>52</v>
      </c>
      <c r="F7703" s="5" t="s">
        <v>421</v>
      </c>
      <c r="G7703" s="5" t="s">
        <v>1437</v>
      </c>
      <c r="H7703" s="5" t="s">
        <v>1438</v>
      </c>
      <c r="I7703" s="5" t="s">
        <v>31</v>
      </c>
      <c r="J7703" s="5">
        <v>16.627156137751001</v>
      </c>
      <c r="K7703" s="5">
        <v>-96.793116503492001</v>
      </c>
      <c r="L7703" s="5" t="str">
        <f>HYPERLINK("https://maps.google.com/?q=16.627156137751,-96.793116503491802", "🔗 Ver Mapa")</f>
        <v>🔗 Ver Mapa</v>
      </c>
    </row>
    <row r="7704" spans="1:12" ht="29" x14ac:dyDescent="0.35">
      <c r="A7704" s="6" t="s">
        <v>98</v>
      </c>
      <c r="B7704" s="6" t="s">
        <v>99</v>
      </c>
      <c r="C7704" s="6" t="s">
        <v>1436</v>
      </c>
      <c r="D7704" s="6" t="s">
        <v>14</v>
      </c>
      <c r="E7704" s="6" t="s">
        <v>52</v>
      </c>
      <c r="F7704" s="6" t="s">
        <v>421</v>
      </c>
      <c r="G7704" s="6" t="s">
        <v>1437</v>
      </c>
      <c r="H7704" s="6" t="s">
        <v>1438</v>
      </c>
      <c r="I7704" s="6" t="s">
        <v>31</v>
      </c>
      <c r="J7704" s="6">
        <v>16.627409261945001</v>
      </c>
      <c r="K7704" s="6">
        <v>-96.795110032029996</v>
      </c>
      <c r="L7704" s="6" t="str">
        <f>HYPERLINK("https://maps.google.com/?q=16.6274092619448,-96.795110032030095", "🔗 Ver Mapa")</f>
        <v>🔗 Ver Mapa</v>
      </c>
    </row>
    <row r="7705" spans="1:12" ht="29" x14ac:dyDescent="0.35">
      <c r="A7705" s="5" t="s">
        <v>98</v>
      </c>
      <c r="B7705" s="5" t="s">
        <v>99</v>
      </c>
      <c r="C7705" s="5" t="s">
        <v>1436</v>
      </c>
      <c r="D7705" s="5" t="s">
        <v>14</v>
      </c>
      <c r="E7705" s="5" t="s">
        <v>52</v>
      </c>
      <c r="F7705" s="5" t="s">
        <v>421</v>
      </c>
      <c r="G7705" s="5" t="s">
        <v>1437</v>
      </c>
      <c r="H7705" s="5" t="s">
        <v>1438</v>
      </c>
      <c r="I7705" s="5" t="s">
        <v>31</v>
      </c>
      <c r="J7705" s="5">
        <v>16.627640645536999</v>
      </c>
      <c r="K7705" s="5">
        <v>-96.796439519366004</v>
      </c>
      <c r="L7705" s="5" t="str">
        <f>HYPERLINK("https://maps.google.com/?q=16.6276406455373,-96.796439519365606", "🔗 Ver Mapa")</f>
        <v>🔗 Ver Mapa</v>
      </c>
    </row>
    <row r="7706" spans="1:12" ht="29" x14ac:dyDescent="0.35">
      <c r="A7706" s="6" t="s">
        <v>98</v>
      </c>
      <c r="B7706" s="6" t="s">
        <v>99</v>
      </c>
      <c r="C7706" s="6" t="s">
        <v>1436</v>
      </c>
      <c r="D7706" s="6" t="s">
        <v>14</v>
      </c>
      <c r="E7706" s="6" t="s">
        <v>52</v>
      </c>
      <c r="F7706" s="6" t="s">
        <v>421</v>
      </c>
      <c r="G7706" s="6" t="s">
        <v>1437</v>
      </c>
      <c r="H7706" s="6" t="s">
        <v>1438</v>
      </c>
      <c r="I7706" s="6" t="s">
        <v>31</v>
      </c>
      <c r="J7706" s="6">
        <v>16.628130181311001</v>
      </c>
      <c r="K7706" s="6">
        <v>-96.797832930119995</v>
      </c>
      <c r="L7706" s="6" t="str">
        <f>HYPERLINK("https://maps.google.com/?q=16.6281301813107,-96.797832930119597", "🔗 Ver Mapa")</f>
        <v>🔗 Ver Mapa</v>
      </c>
    </row>
    <row r="7707" spans="1:12" ht="29" x14ac:dyDescent="0.35">
      <c r="A7707" s="5" t="s">
        <v>98</v>
      </c>
      <c r="B7707" s="5" t="s">
        <v>99</v>
      </c>
      <c r="C7707" s="5" t="s">
        <v>1436</v>
      </c>
      <c r="D7707" s="5" t="s">
        <v>14</v>
      </c>
      <c r="E7707" s="5" t="s">
        <v>52</v>
      </c>
      <c r="F7707" s="5" t="s">
        <v>421</v>
      </c>
      <c r="G7707" s="5" t="s">
        <v>1437</v>
      </c>
      <c r="H7707" s="5" t="s">
        <v>1438</v>
      </c>
      <c r="I7707" s="5" t="s">
        <v>31</v>
      </c>
      <c r="J7707" s="5">
        <v>16.628315741617001</v>
      </c>
      <c r="K7707" s="5">
        <v>-96.795565708195994</v>
      </c>
      <c r="L7707" s="5" t="str">
        <f>HYPERLINK("https://maps.google.com/?q=16.6283157416175,-96.795565708196193", "🔗 Ver Mapa")</f>
        <v>🔗 Ver Mapa</v>
      </c>
    </row>
    <row r="7708" spans="1:12" ht="29" x14ac:dyDescent="0.35">
      <c r="A7708" s="6" t="s">
        <v>98</v>
      </c>
      <c r="B7708" s="6" t="s">
        <v>99</v>
      </c>
      <c r="C7708" s="6" t="s">
        <v>1436</v>
      </c>
      <c r="D7708" s="6" t="s">
        <v>14</v>
      </c>
      <c r="E7708" s="6" t="s">
        <v>52</v>
      </c>
      <c r="F7708" s="6" t="s">
        <v>421</v>
      </c>
      <c r="G7708" s="6" t="s">
        <v>1437</v>
      </c>
      <c r="H7708" s="6" t="s">
        <v>1438</v>
      </c>
      <c r="I7708" s="6" t="s">
        <v>31</v>
      </c>
      <c r="J7708" s="6">
        <v>16.628396022804001</v>
      </c>
      <c r="K7708" s="6">
        <v>-96.796691700951996</v>
      </c>
      <c r="L7708" s="6" t="str">
        <f>HYPERLINK("https://maps.google.com/?q=16.6283960228043,-96.796691700951797", "🔗 Ver Mapa")</f>
        <v>🔗 Ver Mapa</v>
      </c>
    </row>
    <row r="7709" spans="1:12" ht="29" x14ac:dyDescent="0.35">
      <c r="A7709" s="5" t="s">
        <v>98</v>
      </c>
      <c r="B7709" s="5" t="s">
        <v>99</v>
      </c>
      <c r="C7709" s="5" t="s">
        <v>1436</v>
      </c>
      <c r="D7709" s="5" t="s">
        <v>14</v>
      </c>
      <c r="E7709" s="5" t="s">
        <v>52</v>
      </c>
      <c r="F7709" s="5" t="s">
        <v>421</v>
      </c>
      <c r="G7709" s="5" t="s">
        <v>1437</v>
      </c>
      <c r="H7709" s="5" t="s">
        <v>1438</v>
      </c>
      <c r="I7709" s="5" t="s">
        <v>31</v>
      </c>
      <c r="J7709" s="5">
        <v>16.62844420007</v>
      </c>
      <c r="K7709" s="5">
        <v>-96.795977845874006</v>
      </c>
      <c r="L7709" s="5" t="str">
        <f>HYPERLINK("https://maps.google.com/?q=16.6284442000699,-96.795977845873693", "🔗 Ver Mapa")</f>
        <v>🔗 Ver Mapa</v>
      </c>
    </row>
    <row r="7710" spans="1:12" ht="29" x14ac:dyDescent="0.35">
      <c r="A7710" s="6" t="s">
        <v>98</v>
      </c>
      <c r="B7710" s="6" t="s">
        <v>99</v>
      </c>
      <c r="C7710" s="6" t="s">
        <v>1436</v>
      </c>
      <c r="D7710" s="6" t="s">
        <v>14</v>
      </c>
      <c r="E7710" s="6" t="s">
        <v>52</v>
      </c>
      <c r="F7710" s="6" t="s">
        <v>421</v>
      </c>
      <c r="G7710" s="6" t="s">
        <v>1437</v>
      </c>
      <c r="H7710" s="6" t="s">
        <v>1438</v>
      </c>
      <c r="I7710" s="6" t="s">
        <v>31</v>
      </c>
      <c r="J7710" s="6">
        <v>16.628472002921001</v>
      </c>
      <c r="K7710" s="6">
        <v>-96.797154569163993</v>
      </c>
      <c r="L7710" s="6" t="str">
        <f>HYPERLINK("https://maps.google.com/?q=16.6284720029206,-96.797154569164306", "🔗 Ver Mapa")</f>
        <v>🔗 Ver Mapa</v>
      </c>
    </row>
    <row r="7711" spans="1:12" ht="29" x14ac:dyDescent="0.35">
      <c r="A7711" s="5" t="s">
        <v>98</v>
      </c>
      <c r="B7711" s="5" t="s">
        <v>99</v>
      </c>
      <c r="C7711" s="5" t="s">
        <v>1436</v>
      </c>
      <c r="D7711" s="5" t="s">
        <v>14</v>
      </c>
      <c r="E7711" s="5" t="s">
        <v>52</v>
      </c>
      <c r="F7711" s="5" t="s">
        <v>421</v>
      </c>
      <c r="G7711" s="5" t="s">
        <v>1437</v>
      </c>
      <c r="H7711" s="5" t="s">
        <v>1438</v>
      </c>
      <c r="I7711" s="5" t="s">
        <v>31</v>
      </c>
      <c r="J7711" s="5">
        <v>16.628495658108001</v>
      </c>
      <c r="K7711" s="5">
        <v>-96.799130303254998</v>
      </c>
      <c r="L7711" s="5" t="str">
        <f>HYPERLINK("https://maps.google.com/?q=16.6284956581081,-96.799130303255296", "🔗 Ver Mapa")</f>
        <v>🔗 Ver Mapa</v>
      </c>
    </row>
    <row r="7712" spans="1:12" ht="29" x14ac:dyDescent="0.35">
      <c r="A7712" s="6" t="s">
        <v>98</v>
      </c>
      <c r="B7712" s="6" t="s">
        <v>99</v>
      </c>
      <c r="C7712" s="6" t="s">
        <v>1436</v>
      </c>
      <c r="D7712" s="6" t="s">
        <v>14</v>
      </c>
      <c r="E7712" s="6" t="s">
        <v>52</v>
      </c>
      <c r="F7712" s="6" t="s">
        <v>421</v>
      </c>
      <c r="G7712" s="6" t="s">
        <v>1437</v>
      </c>
      <c r="H7712" s="6" t="s">
        <v>1438</v>
      </c>
      <c r="I7712" s="6" t="s">
        <v>31</v>
      </c>
      <c r="J7712" s="6">
        <v>16.628542458424999</v>
      </c>
      <c r="K7712" s="6">
        <v>-96.792732826285999</v>
      </c>
      <c r="L7712" s="6" t="str">
        <f>HYPERLINK("https://maps.google.com/?q=16.6285424584247,-96.792732826285601", "🔗 Ver Mapa")</f>
        <v>🔗 Ver Mapa</v>
      </c>
    </row>
    <row r="7713" spans="1:12" ht="29" x14ac:dyDescent="0.35">
      <c r="A7713" s="5" t="s">
        <v>98</v>
      </c>
      <c r="B7713" s="5" t="s">
        <v>99</v>
      </c>
      <c r="C7713" s="5" t="s">
        <v>1436</v>
      </c>
      <c r="D7713" s="5" t="s">
        <v>14</v>
      </c>
      <c r="E7713" s="5" t="s">
        <v>52</v>
      </c>
      <c r="F7713" s="5" t="s">
        <v>421</v>
      </c>
      <c r="G7713" s="5" t="s">
        <v>1437</v>
      </c>
      <c r="H7713" s="5" t="s">
        <v>1438</v>
      </c>
      <c r="I7713" s="5" t="s">
        <v>31</v>
      </c>
      <c r="J7713" s="5">
        <v>16.62857738376</v>
      </c>
      <c r="K7713" s="5">
        <v>-96.795151494541997</v>
      </c>
      <c r="L7713" s="5" t="str">
        <f>HYPERLINK("https://maps.google.com/?q=16.6285773837601,-96.795151494542196", "🔗 Ver Mapa")</f>
        <v>🔗 Ver Mapa</v>
      </c>
    </row>
    <row r="7714" spans="1:12" ht="29" x14ac:dyDescent="0.35">
      <c r="A7714" s="6" t="s">
        <v>98</v>
      </c>
      <c r="B7714" s="6" t="s">
        <v>99</v>
      </c>
      <c r="C7714" s="6" t="s">
        <v>1436</v>
      </c>
      <c r="D7714" s="6" t="s">
        <v>14</v>
      </c>
      <c r="E7714" s="6" t="s">
        <v>52</v>
      </c>
      <c r="F7714" s="6" t="s">
        <v>421</v>
      </c>
      <c r="G7714" s="6" t="s">
        <v>1437</v>
      </c>
      <c r="H7714" s="6" t="s">
        <v>1438</v>
      </c>
      <c r="I7714" s="6" t="s">
        <v>31</v>
      </c>
      <c r="J7714" s="6">
        <v>16.628579234916</v>
      </c>
      <c r="K7714" s="6">
        <v>-96.792250028663005</v>
      </c>
      <c r="L7714" s="6" t="str">
        <f>HYPERLINK("https://maps.google.com/?q=16.6285792349161,-96.792250028663005", "🔗 Ver Mapa")</f>
        <v>🔗 Ver Mapa</v>
      </c>
    </row>
    <row r="7715" spans="1:12" ht="29" x14ac:dyDescent="0.35">
      <c r="A7715" s="5" t="s">
        <v>98</v>
      </c>
      <c r="B7715" s="5" t="s">
        <v>99</v>
      </c>
      <c r="C7715" s="5" t="s">
        <v>1436</v>
      </c>
      <c r="D7715" s="5" t="s">
        <v>14</v>
      </c>
      <c r="E7715" s="5" t="s">
        <v>52</v>
      </c>
      <c r="F7715" s="5" t="s">
        <v>421</v>
      </c>
      <c r="G7715" s="5" t="s">
        <v>1437</v>
      </c>
      <c r="H7715" s="5" t="s">
        <v>1438</v>
      </c>
      <c r="I7715" s="5" t="s">
        <v>31</v>
      </c>
      <c r="J7715" s="5">
        <v>16.628749687850998</v>
      </c>
      <c r="K7715" s="5">
        <v>-96.798289282943998</v>
      </c>
      <c r="L7715" s="5" t="str">
        <f>HYPERLINK("https://maps.google.com/?q=16.6287496878513,-96.798289282943799", "🔗 Ver Mapa")</f>
        <v>🔗 Ver Mapa</v>
      </c>
    </row>
    <row r="7716" spans="1:12" ht="29" x14ac:dyDescent="0.35">
      <c r="A7716" s="6" t="s">
        <v>98</v>
      </c>
      <c r="B7716" s="6" t="s">
        <v>99</v>
      </c>
      <c r="C7716" s="6" t="s">
        <v>1436</v>
      </c>
      <c r="D7716" s="6" t="s">
        <v>14</v>
      </c>
      <c r="E7716" s="6" t="s">
        <v>52</v>
      </c>
      <c r="F7716" s="6" t="s">
        <v>421</v>
      </c>
      <c r="G7716" s="6" t="s">
        <v>1437</v>
      </c>
      <c r="H7716" s="6" t="s">
        <v>1438</v>
      </c>
      <c r="I7716" s="6" t="s">
        <v>31</v>
      </c>
      <c r="J7716" s="6">
        <v>16.628799518874001</v>
      </c>
      <c r="K7716" s="6">
        <v>-96.797453448311998</v>
      </c>
      <c r="L7716" s="6" t="str">
        <f>HYPERLINK("https://maps.google.com/?q=16.628799518874,-96.797453448312197", "🔗 Ver Mapa")</f>
        <v>🔗 Ver Mapa</v>
      </c>
    </row>
    <row r="7717" spans="1:12" ht="29" x14ac:dyDescent="0.35">
      <c r="A7717" s="5" t="s">
        <v>98</v>
      </c>
      <c r="B7717" s="5" t="s">
        <v>99</v>
      </c>
      <c r="C7717" s="5" t="s">
        <v>1436</v>
      </c>
      <c r="D7717" s="5" t="s">
        <v>14</v>
      </c>
      <c r="E7717" s="5" t="s">
        <v>52</v>
      </c>
      <c r="F7717" s="5" t="s">
        <v>421</v>
      </c>
      <c r="G7717" s="5" t="s">
        <v>1437</v>
      </c>
      <c r="H7717" s="5" t="s">
        <v>1438</v>
      </c>
      <c r="I7717" s="5" t="s">
        <v>31</v>
      </c>
      <c r="J7717" s="5">
        <v>16.628875898564001</v>
      </c>
      <c r="K7717" s="5">
        <v>-96.800547589616997</v>
      </c>
      <c r="L7717" s="5" t="str">
        <f>HYPERLINK("https://maps.google.com/?q=16.628875898564,-96.800547589617494", "🔗 Ver Mapa")</f>
        <v>🔗 Ver Mapa</v>
      </c>
    </row>
    <row r="7718" spans="1:12" ht="29" x14ac:dyDescent="0.35">
      <c r="A7718" s="6" t="s">
        <v>98</v>
      </c>
      <c r="B7718" s="6" t="s">
        <v>99</v>
      </c>
      <c r="C7718" s="6" t="s">
        <v>1436</v>
      </c>
      <c r="D7718" s="6" t="s">
        <v>14</v>
      </c>
      <c r="E7718" s="6" t="s">
        <v>52</v>
      </c>
      <c r="F7718" s="6" t="s">
        <v>421</v>
      </c>
      <c r="G7718" s="6" t="s">
        <v>1437</v>
      </c>
      <c r="H7718" s="6" t="s">
        <v>1438</v>
      </c>
      <c r="I7718" s="6" t="s">
        <v>31</v>
      </c>
      <c r="J7718" s="6">
        <v>16.629046840425001</v>
      </c>
      <c r="K7718" s="6">
        <v>-96.795231186695005</v>
      </c>
      <c r="L7718" s="6" t="str">
        <f>HYPERLINK("https://maps.google.com/?q=16.629046840425,-96.795231186695403", "🔗 Ver Mapa")</f>
        <v>🔗 Ver Mapa</v>
      </c>
    </row>
    <row r="7719" spans="1:12" ht="29" x14ac:dyDescent="0.35">
      <c r="A7719" s="5" t="s">
        <v>98</v>
      </c>
      <c r="B7719" s="5" t="s">
        <v>99</v>
      </c>
      <c r="C7719" s="5" t="s">
        <v>1436</v>
      </c>
      <c r="D7719" s="5" t="s">
        <v>14</v>
      </c>
      <c r="E7719" s="5" t="s">
        <v>52</v>
      </c>
      <c r="F7719" s="5" t="s">
        <v>421</v>
      </c>
      <c r="G7719" s="5" t="s">
        <v>1437</v>
      </c>
      <c r="H7719" s="5" t="s">
        <v>1438</v>
      </c>
      <c r="I7719" s="5" t="s">
        <v>31</v>
      </c>
      <c r="J7719" s="5">
        <v>16.629054691524999</v>
      </c>
      <c r="K7719" s="5">
        <v>-96.792590669207996</v>
      </c>
      <c r="L7719" s="5" t="str">
        <f>HYPERLINK("https://maps.google.com/?q=16.6290546915252,-96.792590669208195", "🔗 Ver Mapa")</f>
        <v>🔗 Ver Mapa</v>
      </c>
    </row>
    <row r="7720" spans="1:12" ht="29" x14ac:dyDescent="0.35">
      <c r="A7720" s="6" t="s">
        <v>98</v>
      </c>
      <c r="B7720" s="6" t="s">
        <v>99</v>
      </c>
      <c r="C7720" s="6" t="s">
        <v>1436</v>
      </c>
      <c r="D7720" s="6" t="s">
        <v>14</v>
      </c>
      <c r="E7720" s="6" t="s">
        <v>52</v>
      </c>
      <c r="F7720" s="6" t="s">
        <v>421</v>
      </c>
      <c r="G7720" s="6" t="s">
        <v>1437</v>
      </c>
      <c r="H7720" s="6" t="s">
        <v>1438</v>
      </c>
      <c r="I7720" s="6" t="s">
        <v>31</v>
      </c>
      <c r="J7720" s="6">
        <v>16.629212153876999</v>
      </c>
      <c r="K7720" s="6">
        <v>-96.796556467996993</v>
      </c>
      <c r="L7720" s="6" t="str">
        <f>HYPERLINK("https://maps.google.com/?q=16.6292121538772,-96.796556467996595", "🔗 Ver Mapa")</f>
        <v>🔗 Ver Mapa</v>
      </c>
    </row>
    <row r="7721" spans="1:12" ht="29" x14ac:dyDescent="0.35">
      <c r="A7721" s="5" t="s">
        <v>98</v>
      </c>
      <c r="B7721" s="5" t="s">
        <v>99</v>
      </c>
      <c r="C7721" s="5" t="s">
        <v>1436</v>
      </c>
      <c r="D7721" s="5" t="s">
        <v>14</v>
      </c>
      <c r="E7721" s="5" t="s">
        <v>52</v>
      </c>
      <c r="F7721" s="5" t="s">
        <v>421</v>
      </c>
      <c r="G7721" s="5" t="s">
        <v>1437</v>
      </c>
      <c r="H7721" s="5" t="s">
        <v>1438</v>
      </c>
      <c r="I7721" s="5" t="s">
        <v>31</v>
      </c>
      <c r="J7721" s="5">
        <v>16.629245721330001</v>
      </c>
      <c r="K7721" s="5">
        <v>-96.798582314279003</v>
      </c>
      <c r="L7721" s="5" t="str">
        <f>HYPERLINK("https://maps.google.com/?q=16.6292457213305,-96.798582314278605", "🔗 Ver Mapa")</f>
        <v>🔗 Ver Mapa</v>
      </c>
    </row>
    <row r="7722" spans="1:12" ht="29" x14ac:dyDescent="0.35">
      <c r="A7722" s="6" t="s">
        <v>98</v>
      </c>
      <c r="B7722" s="6" t="s">
        <v>99</v>
      </c>
      <c r="C7722" s="6" t="s">
        <v>1436</v>
      </c>
      <c r="D7722" s="6" t="s">
        <v>14</v>
      </c>
      <c r="E7722" s="6" t="s">
        <v>52</v>
      </c>
      <c r="F7722" s="6" t="s">
        <v>421</v>
      </c>
      <c r="G7722" s="6" t="s">
        <v>1437</v>
      </c>
      <c r="H7722" s="6" t="s">
        <v>1438</v>
      </c>
      <c r="I7722" s="6" t="s">
        <v>31</v>
      </c>
      <c r="J7722" s="6">
        <v>16.629356450172999</v>
      </c>
      <c r="K7722" s="6">
        <v>-96.795614113222996</v>
      </c>
      <c r="L7722" s="6" t="str">
        <f>HYPERLINK("https://maps.google.com/?q=16.6293564501728,-96.795614113222896", "🔗 Ver Mapa")</f>
        <v>🔗 Ver Mapa</v>
      </c>
    </row>
    <row r="7723" spans="1:12" ht="29" x14ac:dyDescent="0.35">
      <c r="A7723" s="5" t="s">
        <v>98</v>
      </c>
      <c r="B7723" s="5" t="s">
        <v>99</v>
      </c>
      <c r="C7723" s="5" t="s">
        <v>1436</v>
      </c>
      <c r="D7723" s="5" t="s">
        <v>14</v>
      </c>
      <c r="E7723" s="5" t="s">
        <v>52</v>
      </c>
      <c r="F7723" s="5" t="s">
        <v>421</v>
      </c>
      <c r="G7723" s="5" t="s">
        <v>1437</v>
      </c>
      <c r="H7723" s="5" t="s">
        <v>1438</v>
      </c>
      <c r="I7723" s="5" t="s">
        <v>31</v>
      </c>
      <c r="J7723" s="5">
        <v>16.629856679202</v>
      </c>
      <c r="K7723" s="5">
        <v>-96.797194903320005</v>
      </c>
      <c r="L7723" s="5" t="str">
        <f>HYPERLINK("https://maps.google.com/?q=16.6298566792024,-96.797194903319905", "🔗 Ver Mapa")</f>
        <v>🔗 Ver Mapa</v>
      </c>
    </row>
    <row r="7724" spans="1:12" ht="29" x14ac:dyDescent="0.35">
      <c r="A7724" s="6" t="s">
        <v>98</v>
      </c>
      <c r="B7724" s="6" t="s">
        <v>99</v>
      </c>
      <c r="C7724" s="6" t="s">
        <v>1436</v>
      </c>
      <c r="D7724" s="6" t="s">
        <v>14</v>
      </c>
      <c r="E7724" s="6" t="s">
        <v>52</v>
      </c>
      <c r="F7724" s="6" t="s">
        <v>421</v>
      </c>
      <c r="G7724" s="6" t="s">
        <v>1437</v>
      </c>
      <c r="H7724" s="6" t="s">
        <v>1438</v>
      </c>
      <c r="I7724" s="6" t="s">
        <v>31</v>
      </c>
      <c r="J7724" s="6">
        <v>16.629868650852998</v>
      </c>
      <c r="K7724" s="6">
        <v>-96.797802135484005</v>
      </c>
      <c r="L7724" s="6" t="str">
        <f>HYPERLINK("https://maps.google.com/?q=16.6298686508532,-96.797802135483906", "🔗 Ver Mapa")</f>
        <v>🔗 Ver Mapa</v>
      </c>
    </row>
    <row r="7725" spans="1:12" ht="29" x14ac:dyDescent="0.35">
      <c r="A7725" s="5" t="s">
        <v>98</v>
      </c>
      <c r="B7725" s="5" t="s">
        <v>99</v>
      </c>
      <c r="C7725" s="5" t="s">
        <v>1436</v>
      </c>
      <c r="D7725" s="5" t="s">
        <v>14</v>
      </c>
      <c r="E7725" s="5" t="s">
        <v>52</v>
      </c>
      <c r="F7725" s="5" t="s">
        <v>421</v>
      </c>
      <c r="G7725" s="5" t="s">
        <v>1437</v>
      </c>
      <c r="H7725" s="5" t="s">
        <v>1438</v>
      </c>
      <c r="I7725" s="5" t="s">
        <v>31</v>
      </c>
      <c r="J7725" s="5">
        <v>16.630040076535</v>
      </c>
      <c r="K7725" s="5">
        <v>-96.796089534770005</v>
      </c>
      <c r="L7725" s="5" t="str">
        <f>HYPERLINK("https://maps.google.com/?q=16.6300400765348,-96.796089534770402", "🔗 Ver Mapa")</f>
        <v>🔗 Ver Mapa</v>
      </c>
    </row>
    <row r="7726" spans="1:12" ht="29" x14ac:dyDescent="0.35">
      <c r="A7726" s="6" t="s">
        <v>98</v>
      </c>
      <c r="B7726" s="6" t="s">
        <v>99</v>
      </c>
      <c r="C7726" s="6" t="s">
        <v>1436</v>
      </c>
      <c r="D7726" s="6" t="s">
        <v>14</v>
      </c>
      <c r="E7726" s="6" t="s">
        <v>52</v>
      </c>
      <c r="F7726" s="6" t="s">
        <v>421</v>
      </c>
      <c r="G7726" s="6" t="s">
        <v>1437</v>
      </c>
      <c r="H7726" s="6" t="s">
        <v>1438</v>
      </c>
      <c r="I7726" s="6" t="s">
        <v>31</v>
      </c>
      <c r="J7726" s="6">
        <v>16.630102599019999</v>
      </c>
      <c r="K7726" s="6">
        <v>-96.801410222862998</v>
      </c>
      <c r="L7726" s="6" t="str">
        <f>HYPERLINK("https://maps.google.com/?q=16.6301025990196,-96.8014102228626", "🔗 Ver Mapa")</f>
        <v>🔗 Ver Mapa</v>
      </c>
    </row>
    <row r="7727" spans="1:12" ht="29" x14ac:dyDescent="0.35">
      <c r="A7727" s="5" t="s">
        <v>98</v>
      </c>
      <c r="B7727" s="5" t="s">
        <v>99</v>
      </c>
      <c r="C7727" s="5" t="s">
        <v>1436</v>
      </c>
      <c r="D7727" s="5" t="s">
        <v>14</v>
      </c>
      <c r="E7727" s="5" t="s">
        <v>52</v>
      </c>
      <c r="F7727" s="5" t="s">
        <v>421</v>
      </c>
      <c r="G7727" s="5" t="s">
        <v>1437</v>
      </c>
      <c r="H7727" s="5" t="s">
        <v>1438</v>
      </c>
      <c r="I7727" s="5" t="s">
        <v>31</v>
      </c>
      <c r="J7727" s="5">
        <v>16.630122433135998</v>
      </c>
      <c r="K7727" s="5">
        <v>-96.797138621084002</v>
      </c>
      <c r="L7727" s="5" t="str">
        <f>HYPERLINK("https://maps.google.com/?q=16.6301224331356,-96.797138621083803", "🔗 Ver Mapa")</f>
        <v>🔗 Ver Mapa</v>
      </c>
    </row>
    <row r="7728" spans="1:12" ht="29" x14ac:dyDescent="0.35">
      <c r="A7728" s="6" t="s">
        <v>98</v>
      </c>
      <c r="B7728" s="6" t="s">
        <v>99</v>
      </c>
      <c r="C7728" s="6" t="s">
        <v>1436</v>
      </c>
      <c r="D7728" s="6" t="s">
        <v>14</v>
      </c>
      <c r="E7728" s="6" t="s">
        <v>52</v>
      </c>
      <c r="F7728" s="6" t="s">
        <v>421</v>
      </c>
      <c r="G7728" s="6" t="s">
        <v>1437</v>
      </c>
      <c r="H7728" s="6" t="s">
        <v>1438</v>
      </c>
      <c r="I7728" s="6" t="s">
        <v>31</v>
      </c>
      <c r="J7728" s="6">
        <v>16.630213646752001</v>
      </c>
      <c r="K7728" s="6">
        <v>-96.803487258866994</v>
      </c>
      <c r="L7728" s="6" t="str">
        <f>HYPERLINK("https://maps.google.com/?q=16.6302136467521,-96.803487258867406", "🔗 Ver Mapa")</f>
        <v>🔗 Ver Mapa</v>
      </c>
    </row>
    <row r="7729" spans="1:12" ht="29" x14ac:dyDescent="0.35">
      <c r="A7729" s="5" t="s">
        <v>98</v>
      </c>
      <c r="B7729" s="5" t="s">
        <v>99</v>
      </c>
      <c r="C7729" s="5" t="s">
        <v>1436</v>
      </c>
      <c r="D7729" s="5" t="s">
        <v>14</v>
      </c>
      <c r="E7729" s="5" t="s">
        <v>52</v>
      </c>
      <c r="F7729" s="5" t="s">
        <v>421</v>
      </c>
      <c r="G7729" s="5" t="s">
        <v>1437</v>
      </c>
      <c r="H7729" s="5" t="s">
        <v>1438</v>
      </c>
      <c r="I7729" s="5" t="s">
        <v>31</v>
      </c>
      <c r="J7729" s="5">
        <v>16.630213836100999</v>
      </c>
      <c r="K7729" s="5">
        <v>-96.802698931330994</v>
      </c>
      <c r="L7729" s="5" t="str">
        <f>HYPERLINK("https://maps.google.com/?q=16.6302138361008,-96.802698931331406", "🔗 Ver Mapa")</f>
        <v>🔗 Ver Mapa</v>
      </c>
    </row>
    <row r="7730" spans="1:12" ht="29" x14ac:dyDescent="0.35">
      <c r="A7730" s="6" t="s">
        <v>98</v>
      </c>
      <c r="B7730" s="6" t="s">
        <v>99</v>
      </c>
      <c r="C7730" s="6" t="s">
        <v>1436</v>
      </c>
      <c r="D7730" s="6" t="s">
        <v>14</v>
      </c>
      <c r="E7730" s="6" t="s">
        <v>52</v>
      </c>
      <c r="F7730" s="6" t="s">
        <v>421</v>
      </c>
      <c r="G7730" s="6" t="s">
        <v>1437</v>
      </c>
      <c r="H7730" s="6" t="s">
        <v>1438</v>
      </c>
      <c r="I7730" s="6" t="s">
        <v>31</v>
      </c>
      <c r="J7730" s="6">
        <v>16.630323620483001</v>
      </c>
      <c r="K7730" s="6">
        <v>-96.802146489237003</v>
      </c>
      <c r="L7730" s="6" t="str">
        <f>HYPERLINK("https://maps.google.com/?q=16.6303236204833,-96.802146489237103", "🔗 Ver Mapa")</f>
        <v>🔗 Ver Mapa</v>
      </c>
    </row>
    <row r="7731" spans="1:12" ht="29" x14ac:dyDescent="0.35">
      <c r="A7731" s="5" t="s">
        <v>98</v>
      </c>
      <c r="B7731" s="5" t="s">
        <v>99</v>
      </c>
      <c r="C7731" s="5" t="s">
        <v>1436</v>
      </c>
      <c r="D7731" s="5" t="s">
        <v>14</v>
      </c>
      <c r="E7731" s="5" t="s">
        <v>52</v>
      </c>
      <c r="F7731" s="5" t="s">
        <v>421</v>
      </c>
      <c r="G7731" s="5" t="s">
        <v>1437</v>
      </c>
      <c r="H7731" s="5" t="s">
        <v>1438</v>
      </c>
      <c r="I7731" s="5" t="s">
        <v>31</v>
      </c>
      <c r="J7731" s="5">
        <v>16.630358599973999</v>
      </c>
      <c r="K7731" s="5">
        <v>-96.801154202453006</v>
      </c>
      <c r="L7731" s="5" t="str">
        <f>HYPERLINK("https://maps.google.com/?q=16.6303585999741,-96.801154202452693", "🔗 Ver Mapa")</f>
        <v>🔗 Ver Mapa</v>
      </c>
    </row>
    <row r="7732" spans="1:12" ht="29" x14ac:dyDescent="0.35">
      <c r="A7732" s="6" t="s">
        <v>98</v>
      </c>
      <c r="B7732" s="6" t="s">
        <v>99</v>
      </c>
      <c r="C7732" s="6" t="s">
        <v>1436</v>
      </c>
      <c r="D7732" s="6" t="s">
        <v>14</v>
      </c>
      <c r="E7732" s="6" t="s">
        <v>52</v>
      </c>
      <c r="F7732" s="6" t="s">
        <v>421</v>
      </c>
      <c r="G7732" s="6" t="s">
        <v>1437</v>
      </c>
      <c r="H7732" s="6" t="s">
        <v>1438</v>
      </c>
      <c r="I7732" s="6" t="s">
        <v>31</v>
      </c>
      <c r="J7732" s="6">
        <v>16.630694495937</v>
      </c>
      <c r="K7732" s="6">
        <v>-96.795070919978997</v>
      </c>
      <c r="L7732" s="6" t="str">
        <f>HYPERLINK("https://maps.google.com/?q=16.6306944959368,-96.795070919979295", "🔗 Ver Mapa")</f>
        <v>🔗 Ver Mapa</v>
      </c>
    </row>
    <row r="7733" spans="1:12" ht="29" x14ac:dyDescent="0.35">
      <c r="A7733" s="5" t="s">
        <v>98</v>
      </c>
      <c r="B7733" s="5" t="s">
        <v>99</v>
      </c>
      <c r="C7733" s="5" t="s">
        <v>1436</v>
      </c>
      <c r="D7733" s="5" t="s">
        <v>14</v>
      </c>
      <c r="E7733" s="5" t="s">
        <v>52</v>
      </c>
      <c r="F7733" s="5" t="s">
        <v>421</v>
      </c>
      <c r="G7733" s="5" t="s">
        <v>1437</v>
      </c>
      <c r="H7733" s="5" t="s">
        <v>1438</v>
      </c>
      <c r="I7733" s="5" t="s">
        <v>31</v>
      </c>
      <c r="J7733" s="5">
        <v>16.630711817946001</v>
      </c>
      <c r="K7733" s="5">
        <v>-96.797296160971996</v>
      </c>
      <c r="L7733" s="5" t="str">
        <f>HYPERLINK("https://maps.google.com/?q=16.6307118179461,-96.797296160972294", "🔗 Ver Mapa")</f>
        <v>🔗 Ver Mapa</v>
      </c>
    </row>
    <row r="7734" spans="1:12" ht="29" x14ac:dyDescent="0.35">
      <c r="A7734" s="6" t="s">
        <v>98</v>
      </c>
      <c r="B7734" s="6" t="s">
        <v>99</v>
      </c>
      <c r="C7734" s="6" t="s">
        <v>1436</v>
      </c>
      <c r="D7734" s="6" t="s">
        <v>14</v>
      </c>
      <c r="E7734" s="6" t="s">
        <v>52</v>
      </c>
      <c r="F7734" s="6" t="s">
        <v>421</v>
      </c>
      <c r="G7734" s="6" t="s">
        <v>1437</v>
      </c>
      <c r="H7734" s="6" t="s">
        <v>1438</v>
      </c>
      <c r="I7734" s="6" t="s">
        <v>31</v>
      </c>
      <c r="J7734" s="6">
        <v>16.630735876563001</v>
      </c>
      <c r="K7734" s="6">
        <v>-96.799891241560005</v>
      </c>
      <c r="L7734" s="6" t="str">
        <f>HYPERLINK("https://maps.google.com/?q=16.6307358765626,-96.799891241559806", "🔗 Ver Mapa")</f>
        <v>🔗 Ver Mapa</v>
      </c>
    </row>
    <row r="7735" spans="1:12" ht="29" x14ac:dyDescent="0.35">
      <c r="A7735" s="5" t="s">
        <v>98</v>
      </c>
      <c r="B7735" s="5" t="s">
        <v>99</v>
      </c>
      <c r="C7735" s="5" t="s">
        <v>1436</v>
      </c>
      <c r="D7735" s="5" t="s">
        <v>14</v>
      </c>
      <c r="E7735" s="5" t="s">
        <v>52</v>
      </c>
      <c r="F7735" s="5" t="s">
        <v>421</v>
      </c>
      <c r="G7735" s="5" t="s">
        <v>1437</v>
      </c>
      <c r="H7735" s="5" t="s">
        <v>1438</v>
      </c>
      <c r="I7735" s="5" t="s">
        <v>31</v>
      </c>
      <c r="J7735" s="5">
        <v>16.630738464442999</v>
      </c>
      <c r="K7735" s="5">
        <v>-96.803111104240003</v>
      </c>
      <c r="L7735" s="5" t="str">
        <f>HYPERLINK("https://maps.google.com/?q=16.6307384644434,-96.803111104239505", "🔗 Ver Mapa")</f>
        <v>🔗 Ver Mapa</v>
      </c>
    </row>
    <row r="7736" spans="1:12" ht="29" x14ac:dyDescent="0.35">
      <c r="A7736" s="6" t="s">
        <v>98</v>
      </c>
      <c r="B7736" s="6" t="s">
        <v>99</v>
      </c>
      <c r="C7736" s="6" t="s">
        <v>1436</v>
      </c>
      <c r="D7736" s="6" t="s">
        <v>14</v>
      </c>
      <c r="E7736" s="6" t="s">
        <v>52</v>
      </c>
      <c r="F7736" s="6" t="s">
        <v>421</v>
      </c>
      <c r="G7736" s="6" t="s">
        <v>1437</v>
      </c>
      <c r="H7736" s="6" t="s">
        <v>1438</v>
      </c>
      <c r="I7736" s="6" t="s">
        <v>31</v>
      </c>
      <c r="J7736" s="6">
        <v>16.630819419741002</v>
      </c>
      <c r="K7736" s="6">
        <v>-96.803250579107996</v>
      </c>
      <c r="L7736" s="6" t="str">
        <f>HYPERLINK("https://maps.google.com/?q=16.6308194197407,-96.803250579108294", "🔗 Ver Mapa")</f>
        <v>🔗 Ver Mapa</v>
      </c>
    </row>
    <row r="7737" spans="1:12" ht="29" x14ac:dyDescent="0.35">
      <c r="A7737" s="5" t="s">
        <v>98</v>
      </c>
      <c r="B7737" s="5" t="s">
        <v>99</v>
      </c>
      <c r="C7737" s="5" t="s">
        <v>1436</v>
      </c>
      <c r="D7737" s="5" t="s">
        <v>14</v>
      </c>
      <c r="E7737" s="5" t="s">
        <v>52</v>
      </c>
      <c r="F7737" s="5" t="s">
        <v>421</v>
      </c>
      <c r="G7737" s="5" t="s">
        <v>1437</v>
      </c>
      <c r="H7737" s="5" t="s">
        <v>1438</v>
      </c>
      <c r="I7737" s="5" t="s">
        <v>31</v>
      </c>
      <c r="J7737" s="5">
        <v>16.630866947028998</v>
      </c>
      <c r="K7737" s="5">
        <v>-96.800604709157</v>
      </c>
      <c r="L7737" s="5" t="str">
        <f>HYPERLINK("https://maps.google.com/?q=16.6308669470286,-96.800604709157497", "🔗 Ver Mapa")</f>
        <v>🔗 Ver Mapa</v>
      </c>
    </row>
    <row r="7738" spans="1:12" ht="29" x14ac:dyDescent="0.35">
      <c r="A7738" s="6" t="s">
        <v>98</v>
      </c>
      <c r="B7738" s="6" t="s">
        <v>99</v>
      </c>
      <c r="C7738" s="6" t="s">
        <v>1436</v>
      </c>
      <c r="D7738" s="6" t="s">
        <v>14</v>
      </c>
      <c r="E7738" s="6" t="s">
        <v>52</v>
      </c>
      <c r="F7738" s="6" t="s">
        <v>421</v>
      </c>
      <c r="G7738" s="6" t="s">
        <v>1437</v>
      </c>
      <c r="H7738" s="6" t="s">
        <v>1438</v>
      </c>
      <c r="I7738" s="6" t="s">
        <v>31</v>
      </c>
      <c r="J7738" s="6">
        <v>16.631056626645002</v>
      </c>
      <c r="K7738" s="6">
        <v>-96.799105040124999</v>
      </c>
      <c r="L7738" s="6" t="str">
        <f>HYPERLINK("https://maps.google.com/?q=16.6310566266445,-96.799105040125298", "🔗 Ver Mapa")</f>
        <v>🔗 Ver Mapa</v>
      </c>
    </row>
    <row r="7739" spans="1:12" ht="29" x14ac:dyDescent="0.35">
      <c r="A7739" s="5" t="s">
        <v>98</v>
      </c>
      <c r="B7739" s="5" t="s">
        <v>99</v>
      </c>
      <c r="C7739" s="5" t="s">
        <v>1436</v>
      </c>
      <c r="D7739" s="5" t="s">
        <v>14</v>
      </c>
      <c r="E7739" s="5" t="s">
        <v>52</v>
      </c>
      <c r="F7739" s="5" t="s">
        <v>421</v>
      </c>
      <c r="G7739" s="5" t="s">
        <v>1437</v>
      </c>
      <c r="H7739" s="5" t="s">
        <v>1438</v>
      </c>
      <c r="I7739" s="5" t="s">
        <v>31</v>
      </c>
      <c r="J7739" s="5">
        <v>16.631099893043</v>
      </c>
      <c r="K7739" s="5">
        <v>-96.793986313952004</v>
      </c>
      <c r="L7739" s="5" t="str">
        <f>HYPERLINK("https://maps.google.com/?q=16.6310998930432,-96.793986313951706", "🔗 Ver Mapa")</f>
        <v>🔗 Ver Mapa</v>
      </c>
    </row>
    <row r="7740" spans="1:12" ht="29" x14ac:dyDescent="0.35">
      <c r="A7740" s="6" t="s">
        <v>98</v>
      </c>
      <c r="B7740" s="6" t="s">
        <v>99</v>
      </c>
      <c r="C7740" s="6" t="s">
        <v>1436</v>
      </c>
      <c r="D7740" s="6" t="s">
        <v>14</v>
      </c>
      <c r="E7740" s="6" t="s">
        <v>52</v>
      </c>
      <c r="F7740" s="6" t="s">
        <v>421</v>
      </c>
      <c r="G7740" s="6" t="s">
        <v>1437</v>
      </c>
      <c r="H7740" s="6" t="s">
        <v>1438</v>
      </c>
      <c r="I7740" s="6" t="s">
        <v>31</v>
      </c>
      <c r="J7740" s="6">
        <v>16.631316961237001</v>
      </c>
      <c r="K7740" s="6">
        <v>-96.798123351626003</v>
      </c>
      <c r="L7740" s="6" t="str">
        <f>HYPERLINK("https://maps.google.com/?q=16.6313169612367,-96.798123351626103", "🔗 Ver Mapa")</f>
        <v>🔗 Ver Mapa</v>
      </c>
    </row>
    <row r="7741" spans="1:12" ht="29" x14ac:dyDescent="0.35">
      <c r="A7741" s="5" t="s">
        <v>98</v>
      </c>
      <c r="B7741" s="5" t="s">
        <v>99</v>
      </c>
      <c r="C7741" s="5" t="s">
        <v>1436</v>
      </c>
      <c r="D7741" s="5" t="s">
        <v>14</v>
      </c>
      <c r="E7741" s="5" t="s">
        <v>52</v>
      </c>
      <c r="F7741" s="5" t="s">
        <v>421</v>
      </c>
      <c r="G7741" s="5" t="s">
        <v>1437</v>
      </c>
      <c r="H7741" s="5" t="s">
        <v>1438</v>
      </c>
      <c r="I7741" s="5" t="s">
        <v>31</v>
      </c>
      <c r="J7741" s="5">
        <v>16.631431419999998</v>
      </c>
      <c r="K7741" s="5">
        <v>-96.795327420000007</v>
      </c>
      <c r="L7741" s="5" t="str">
        <f>HYPERLINK("https://maps.google.com/?q=16.63143142,-96.795327420000007", "🔗 Ver Mapa")</f>
        <v>🔗 Ver Mapa</v>
      </c>
    </row>
    <row r="7742" spans="1:12" ht="29" x14ac:dyDescent="0.35">
      <c r="A7742" s="6" t="s">
        <v>98</v>
      </c>
      <c r="B7742" s="6" t="s">
        <v>99</v>
      </c>
      <c r="C7742" s="6" t="s">
        <v>1436</v>
      </c>
      <c r="D7742" s="6" t="s">
        <v>14</v>
      </c>
      <c r="E7742" s="6" t="s">
        <v>52</v>
      </c>
      <c r="F7742" s="6" t="s">
        <v>421</v>
      </c>
      <c r="G7742" s="6" t="s">
        <v>1437</v>
      </c>
      <c r="H7742" s="6" t="s">
        <v>1438</v>
      </c>
      <c r="I7742" s="6" t="s">
        <v>31</v>
      </c>
      <c r="J7742" s="6">
        <v>16.631473207559001</v>
      </c>
      <c r="K7742" s="6">
        <v>-96.795537624348</v>
      </c>
      <c r="L7742" s="6" t="str">
        <f>HYPERLINK("https://maps.google.com/?q=16.631473207559,-96.795537624348", "🔗 Ver Mapa")</f>
        <v>🔗 Ver Mapa</v>
      </c>
    </row>
    <row r="7743" spans="1:12" ht="29" x14ac:dyDescent="0.35">
      <c r="A7743" s="5" t="s">
        <v>98</v>
      </c>
      <c r="B7743" s="5" t="s">
        <v>99</v>
      </c>
      <c r="C7743" s="5" t="s">
        <v>1436</v>
      </c>
      <c r="D7743" s="5" t="s">
        <v>14</v>
      </c>
      <c r="E7743" s="5" t="s">
        <v>52</v>
      </c>
      <c r="F7743" s="5" t="s">
        <v>421</v>
      </c>
      <c r="G7743" s="5" t="s">
        <v>1437</v>
      </c>
      <c r="H7743" s="5" t="s">
        <v>1438</v>
      </c>
      <c r="I7743" s="5" t="s">
        <v>31</v>
      </c>
      <c r="J7743" s="5">
        <v>16.631490529497999</v>
      </c>
      <c r="K7743" s="5">
        <v>-96.797293478762995</v>
      </c>
      <c r="L7743" s="5" t="str">
        <f>HYPERLINK("https://maps.google.com/?q=16.6314905294979,-96.797293478763194", "🔗 Ver Mapa")</f>
        <v>🔗 Ver Mapa</v>
      </c>
    </row>
    <row r="7744" spans="1:12" ht="29" x14ac:dyDescent="0.35">
      <c r="A7744" s="6" t="s">
        <v>98</v>
      </c>
      <c r="B7744" s="6" t="s">
        <v>99</v>
      </c>
      <c r="C7744" s="6" t="s">
        <v>1436</v>
      </c>
      <c r="D7744" s="6" t="s">
        <v>14</v>
      </c>
      <c r="E7744" s="6" t="s">
        <v>52</v>
      </c>
      <c r="F7744" s="6" t="s">
        <v>421</v>
      </c>
      <c r="G7744" s="6" t="s">
        <v>1437</v>
      </c>
      <c r="H7744" s="6" t="s">
        <v>1438</v>
      </c>
      <c r="I7744" s="6" t="s">
        <v>31</v>
      </c>
      <c r="J7744" s="6">
        <v>16.631800121047</v>
      </c>
      <c r="K7744" s="6">
        <v>-96.798769763999005</v>
      </c>
      <c r="L7744" s="6" t="str">
        <f>HYPERLINK("https://maps.google.com/?q=16.6318001210474,-96.798769763998806", "🔗 Ver Mapa")</f>
        <v>🔗 Ver Mapa</v>
      </c>
    </row>
    <row r="7745" spans="1:12" ht="29" x14ac:dyDescent="0.35">
      <c r="A7745" s="5" t="s">
        <v>98</v>
      </c>
      <c r="B7745" s="5" t="s">
        <v>99</v>
      </c>
      <c r="C7745" s="5" t="s">
        <v>1436</v>
      </c>
      <c r="D7745" s="5" t="s">
        <v>14</v>
      </c>
      <c r="E7745" s="5" t="s">
        <v>52</v>
      </c>
      <c r="F7745" s="5" t="s">
        <v>421</v>
      </c>
      <c r="G7745" s="5" t="s">
        <v>1437</v>
      </c>
      <c r="H7745" s="5" t="s">
        <v>1438</v>
      </c>
      <c r="I7745" s="5" t="s">
        <v>31</v>
      </c>
      <c r="J7745" s="5">
        <v>16.631892640872</v>
      </c>
      <c r="K7745" s="5">
        <v>-96.799823872141999</v>
      </c>
      <c r="L7745" s="5" t="str">
        <f>HYPERLINK("https://maps.google.com/?q=16.6318926408723,-96.799823872141602", "🔗 Ver Mapa")</f>
        <v>🔗 Ver Mapa</v>
      </c>
    </row>
    <row r="7746" spans="1:12" ht="29" x14ac:dyDescent="0.35">
      <c r="A7746" s="6" t="s">
        <v>98</v>
      </c>
      <c r="B7746" s="6" t="s">
        <v>99</v>
      </c>
      <c r="C7746" s="6" t="s">
        <v>1436</v>
      </c>
      <c r="D7746" s="6" t="s">
        <v>14</v>
      </c>
      <c r="E7746" s="6" t="s">
        <v>52</v>
      </c>
      <c r="F7746" s="6" t="s">
        <v>421</v>
      </c>
      <c r="G7746" s="6" t="s">
        <v>1437</v>
      </c>
      <c r="H7746" s="6" t="s">
        <v>1438</v>
      </c>
      <c r="I7746" s="6" t="s">
        <v>31</v>
      </c>
      <c r="J7746" s="6">
        <v>16.631974880679</v>
      </c>
      <c r="K7746" s="6">
        <v>-96.799555651239999</v>
      </c>
      <c r="L7746" s="6" t="str">
        <f>HYPERLINK("https://maps.google.com/?q=16.6319748806792,-96.799555651240198", "🔗 Ver Mapa")</f>
        <v>🔗 Ver Mapa</v>
      </c>
    </row>
    <row r="7747" spans="1:12" ht="29" x14ac:dyDescent="0.35">
      <c r="A7747" s="5" t="s">
        <v>98</v>
      </c>
      <c r="B7747" s="5" t="s">
        <v>99</v>
      </c>
      <c r="C7747" s="5" t="s">
        <v>1436</v>
      </c>
      <c r="D7747" s="5" t="s">
        <v>14</v>
      </c>
      <c r="E7747" s="5" t="s">
        <v>52</v>
      </c>
      <c r="F7747" s="5" t="s">
        <v>421</v>
      </c>
      <c r="G7747" s="5" t="s">
        <v>1437</v>
      </c>
      <c r="H7747" s="5" t="s">
        <v>1438</v>
      </c>
      <c r="I7747" s="5" t="s">
        <v>31</v>
      </c>
      <c r="J7747" s="5">
        <v>16.633863403532001</v>
      </c>
      <c r="K7747" s="5">
        <v>-96.798659535956006</v>
      </c>
      <c r="L7747" s="5" t="str">
        <f>HYPERLINK("https://maps.google.com/?q=16.6338634035322,-96.798659535955593", "🔗 Ver Mapa")</f>
        <v>🔗 Ver Mapa</v>
      </c>
    </row>
    <row r="7748" spans="1:12" ht="43.5" x14ac:dyDescent="0.35">
      <c r="A7748" s="6" t="s">
        <v>98</v>
      </c>
      <c r="B7748" s="6" t="s">
        <v>99</v>
      </c>
      <c r="C7748" s="6" t="s">
        <v>1439</v>
      </c>
      <c r="D7748" s="6" t="s">
        <v>14</v>
      </c>
      <c r="E7748" s="6" t="s">
        <v>39</v>
      </c>
      <c r="F7748" s="6" t="s">
        <v>353</v>
      </c>
      <c r="G7748" s="6" t="s">
        <v>1353</v>
      </c>
      <c r="H7748" s="6" t="s">
        <v>1440</v>
      </c>
      <c r="I7748" s="6" t="s">
        <v>31</v>
      </c>
      <c r="J7748" s="6">
        <v>0</v>
      </c>
      <c r="K7748" s="6">
        <v>-96.305550400000001</v>
      </c>
      <c r="L7748" s="6" t="str">
        <f>HYPERLINK("https://maps.google.com/?q=0,-96.305550400000001", "🔗 Ver Mapa")</f>
        <v>🔗 Ver Mapa</v>
      </c>
    </row>
    <row r="7749" spans="1:12" ht="43.5" x14ac:dyDescent="0.35">
      <c r="A7749" s="5" t="s">
        <v>98</v>
      </c>
      <c r="B7749" s="5" t="s">
        <v>99</v>
      </c>
      <c r="C7749" s="5" t="s">
        <v>1439</v>
      </c>
      <c r="D7749" s="5" t="s">
        <v>14</v>
      </c>
      <c r="E7749" s="5" t="s">
        <v>39</v>
      </c>
      <c r="F7749" s="5" t="s">
        <v>353</v>
      </c>
      <c r="G7749" s="5" t="s">
        <v>1353</v>
      </c>
      <c r="H7749" s="5" t="s">
        <v>1440</v>
      </c>
      <c r="I7749" s="5" t="s">
        <v>31</v>
      </c>
      <c r="J7749" s="5">
        <v>0</v>
      </c>
      <c r="K7749" s="5" t="s">
        <v>1441</v>
      </c>
      <c r="L7749" s="5" t="str">
        <f>HYPERLINK("https://maps.google.com/?q=0, -96.301067", "🔗 Ver Mapa")</f>
        <v>🔗 Ver Mapa</v>
      </c>
    </row>
    <row r="7750" spans="1:12" ht="43.5" x14ac:dyDescent="0.35">
      <c r="A7750" s="6" t="s">
        <v>98</v>
      </c>
      <c r="B7750" s="6" t="s">
        <v>99</v>
      </c>
      <c r="C7750" s="6" t="s">
        <v>1439</v>
      </c>
      <c r="D7750" s="6" t="s">
        <v>14</v>
      </c>
      <c r="E7750" s="6" t="s">
        <v>39</v>
      </c>
      <c r="F7750" s="6" t="s">
        <v>353</v>
      </c>
      <c r="G7750" s="6" t="s">
        <v>1353</v>
      </c>
      <c r="H7750" s="6" t="s">
        <v>1440</v>
      </c>
      <c r="I7750" s="6" t="s">
        <v>31</v>
      </c>
      <c r="J7750" s="6">
        <v>16.068753999999998</v>
      </c>
      <c r="K7750" s="6">
        <v>-96.300217000000004</v>
      </c>
      <c r="L7750" s="6" t="str">
        <f>HYPERLINK("https://maps.google.com/?q=16.068754,-96.300217000000004", "🔗 Ver Mapa")</f>
        <v>🔗 Ver Mapa</v>
      </c>
    </row>
    <row r="7751" spans="1:12" ht="43.5" x14ac:dyDescent="0.35">
      <c r="A7751" s="5" t="s">
        <v>98</v>
      </c>
      <c r="B7751" s="5" t="s">
        <v>99</v>
      </c>
      <c r="C7751" s="5" t="s">
        <v>1439</v>
      </c>
      <c r="D7751" s="5" t="s">
        <v>14</v>
      </c>
      <c r="E7751" s="5" t="s">
        <v>39</v>
      </c>
      <c r="F7751" s="5" t="s">
        <v>353</v>
      </c>
      <c r="G7751" s="5" t="s">
        <v>1353</v>
      </c>
      <c r="H7751" s="5" t="s">
        <v>1440</v>
      </c>
      <c r="I7751" s="5" t="s">
        <v>31</v>
      </c>
      <c r="J7751" s="5">
        <v>16.068819999999999</v>
      </c>
      <c r="K7751" s="5">
        <v>-96.299661999999998</v>
      </c>
      <c r="L7751" s="5" t="str">
        <f>HYPERLINK("https://maps.google.com/?q=16.06882,-96.299661999999998", "🔗 Ver Mapa")</f>
        <v>🔗 Ver Mapa</v>
      </c>
    </row>
    <row r="7752" spans="1:12" ht="43.5" x14ac:dyDescent="0.35">
      <c r="A7752" s="6" t="s">
        <v>98</v>
      </c>
      <c r="B7752" s="6" t="s">
        <v>99</v>
      </c>
      <c r="C7752" s="6" t="s">
        <v>1439</v>
      </c>
      <c r="D7752" s="6" t="s">
        <v>14</v>
      </c>
      <c r="E7752" s="6" t="s">
        <v>39</v>
      </c>
      <c r="F7752" s="6" t="s">
        <v>353</v>
      </c>
      <c r="G7752" s="6" t="s">
        <v>1353</v>
      </c>
      <c r="H7752" s="6" t="s">
        <v>1440</v>
      </c>
      <c r="I7752" s="6" t="s">
        <v>31</v>
      </c>
      <c r="J7752" s="6">
        <v>16.068829999999998</v>
      </c>
      <c r="K7752" s="6">
        <v>-96.300882000000001</v>
      </c>
      <c r="L7752" s="6" t="str">
        <f>HYPERLINK("https://maps.google.com/?q=16.06883,-96.300882000000001", "🔗 Ver Mapa")</f>
        <v>🔗 Ver Mapa</v>
      </c>
    </row>
    <row r="7753" spans="1:12" ht="43.5" x14ac:dyDescent="0.35">
      <c r="A7753" s="5" t="s">
        <v>98</v>
      </c>
      <c r="B7753" s="5" t="s">
        <v>99</v>
      </c>
      <c r="C7753" s="5" t="s">
        <v>1439</v>
      </c>
      <c r="D7753" s="5" t="s">
        <v>14</v>
      </c>
      <c r="E7753" s="5" t="s">
        <v>39</v>
      </c>
      <c r="F7753" s="5" t="s">
        <v>353</v>
      </c>
      <c r="G7753" s="5" t="s">
        <v>1353</v>
      </c>
      <c r="H7753" s="5" t="s">
        <v>1440</v>
      </c>
      <c r="I7753" s="5" t="s">
        <v>31</v>
      </c>
      <c r="J7753" s="5">
        <v>16.068919999999999</v>
      </c>
      <c r="K7753" s="5">
        <v>-96.299729999999997</v>
      </c>
      <c r="L7753" s="5" t="str">
        <f>HYPERLINK("https://maps.google.com/?q=16.06892,-96.299729999999997", "🔗 Ver Mapa")</f>
        <v>🔗 Ver Mapa</v>
      </c>
    </row>
    <row r="7754" spans="1:12" ht="43.5" x14ac:dyDescent="0.35">
      <c r="A7754" s="6" t="s">
        <v>98</v>
      </c>
      <c r="B7754" s="6" t="s">
        <v>99</v>
      </c>
      <c r="C7754" s="6" t="s">
        <v>1439</v>
      </c>
      <c r="D7754" s="6" t="s">
        <v>14</v>
      </c>
      <c r="E7754" s="6" t="s">
        <v>39</v>
      </c>
      <c r="F7754" s="6" t="s">
        <v>353</v>
      </c>
      <c r="G7754" s="6" t="s">
        <v>1353</v>
      </c>
      <c r="H7754" s="6" t="s">
        <v>1440</v>
      </c>
      <c r="I7754" s="6" t="s">
        <v>31</v>
      </c>
      <c r="J7754" s="6">
        <v>16.06908</v>
      </c>
      <c r="K7754" s="6">
        <v>-96.299942999999999</v>
      </c>
      <c r="L7754" s="6" t="str">
        <f>HYPERLINK("https://maps.google.com/?q=16.06908,-96.299942999999999", "🔗 Ver Mapa")</f>
        <v>🔗 Ver Mapa</v>
      </c>
    </row>
    <row r="7755" spans="1:12" ht="43.5" x14ac:dyDescent="0.35">
      <c r="A7755" s="5" t="s">
        <v>98</v>
      </c>
      <c r="B7755" s="5" t="s">
        <v>99</v>
      </c>
      <c r="C7755" s="5" t="s">
        <v>1439</v>
      </c>
      <c r="D7755" s="5" t="s">
        <v>14</v>
      </c>
      <c r="E7755" s="5" t="s">
        <v>39</v>
      </c>
      <c r="F7755" s="5" t="s">
        <v>353</v>
      </c>
      <c r="G7755" s="5" t="s">
        <v>1353</v>
      </c>
      <c r="H7755" s="5" t="s">
        <v>1440</v>
      </c>
      <c r="I7755" s="5" t="s">
        <v>31</v>
      </c>
      <c r="J7755" s="5">
        <v>16.069317000000002</v>
      </c>
      <c r="K7755" s="5">
        <v>-96.298602000000002</v>
      </c>
      <c r="L7755" s="5" t="str">
        <f>HYPERLINK("https://maps.google.com/?q=16.069317,-96.298602000000002", "🔗 Ver Mapa")</f>
        <v>🔗 Ver Mapa</v>
      </c>
    </row>
    <row r="7756" spans="1:12" ht="43.5" x14ac:dyDescent="0.35">
      <c r="A7756" s="6" t="s">
        <v>98</v>
      </c>
      <c r="B7756" s="6" t="s">
        <v>99</v>
      </c>
      <c r="C7756" s="6" t="s">
        <v>1439</v>
      </c>
      <c r="D7756" s="6" t="s">
        <v>14</v>
      </c>
      <c r="E7756" s="6" t="s">
        <v>39</v>
      </c>
      <c r="F7756" s="6" t="s">
        <v>353</v>
      </c>
      <c r="G7756" s="6" t="s">
        <v>1353</v>
      </c>
      <c r="H7756" s="6" t="s">
        <v>1440</v>
      </c>
      <c r="I7756" s="6" t="s">
        <v>31</v>
      </c>
      <c r="J7756" s="6">
        <v>16.069936999999999</v>
      </c>
      <c r="K7756" s="6">
        <v>-96.305616000000001</v>
      </c>
      <c r="L7756" s="6" t="str">
        <f>HYPERLINK("https://maps.google.com/?q=16.069937,-96.305616000000001", "🔗 Ver Mapa")</f>
        <v>🔗 Ver Mapa</v>
      </c>
    </row>
    <row r="7757" spans="1:12" ht="43.5" x14ac:dyDescent="0.35">
      <c r="A7757" s="5" t="s">
        <v>98</v>
      </c>
      <c r="B7757" s="5" t="s">
        <v>99</v>
      </c>
      <c r="C7757" s="5" t="s">
        <v>1439</v>
      </c>
      <c r="D7757" s="5" t="s">
        <v>14</v>
      </c>
      <c r="E7757" s="5" t="s">
        <v>39</v>
      </c>
      <c r="F7757" s="5" t="s">
        <v>353</v>
      </c>
      <c r="G7757" s="5" t="s">
        <v>1353</v>
      </c>
      <c r="H7757" s="5" t="s">
        <v>1440</v>
      </c>
      <c r="I7757" s="5" t="s">
        <v>31</v>
      </c>
      <c r="J7757" s="5">
        <v>16.069987999999999</v>
      </c>
      <c r="K7757" s="5">
        <v>-96.297599099999999</v>
      </c>
      <c r="L7757" s="5" t="str">
        <f>HYPERLINK("https://maps.google.com/?q=16.069988,-96.297599099999999", "🔗 Ver Mapa")</f>
        <v>🔗 Ver Mapa</v>
      </c>
    </row>
    <row r="7758" spans="1:12" ht="43.5" x14ac:dyDescent="0.35">
      <c r="A7758" s="6" t="s">
        <v>98</v>
      </c>
      <c r="B7758" s="6" t="s">
        <v>99</v>
      </c>
      <c r="C7758" s="6" t="s">
        <v>1439</v>
      </c>
      <c r="D7758" s="6" t="s">
        <v>14</v>
      </c>
      <c r="E7758" s="6" t="s">
        <v>39</v>
      </c>
      <c r="F7758" s="6" t="s">
        <v>353</v>
      </c>
      <c r="G7758" s="6" t="s">
        <v>1353</v>
      </c>
      <c r="H7758" s="6" t="s">
        <v>1440</v>
      </c>
      <c r="I7758" s="6" t="s">
        <v>31</v>
      </c>
      <c r="J7758" s="6">
        <v>16.070041199999999</v>
      </c>
      <c r="K7758" s="6">
        <v>-96.302331800000005</v>
      </c>
      <c r="L7758" s="6" t="str">
        <f>HYPERLINK("https://maps.google.com/?q=16.0700412,-96.302331800000005", "🔗 Ver Mapa")</f>
        <v>🔗 Ver Mapa</v>
      </c>
    </row>
    <row r="7759" spans="1:12" ht="43.5" x14ac:dyDescent="0.35">
      <c r="A7759" s="5" t="s">
        <v>98</v>
      </c>
      <c r="B7759" s="5" t="s">
        <v>99</v>
      </c>
      <c r="C7759" s="5" t="s">
        <v>1439</v>
      </c>
      <c r="D7759" s="5" t="s">
        <v>14</v>
      </c>
      <c r="E7759" s="5" t="s">
        <v>39</v>
      </c>
      <c r="F7759" s="5" t="s">
        <v>353</v>
      </c>
      <c r="G7759" s="5" t="s">
        <v>1353</v>
      </c>
      <c r="H7759" s="5" t="s">
        <v>1440</v>
      </c>
      <c r="I7759" s="5" t="s">
        <v>31</v>
      </c>
      <c r="J7759" s="5">
        <v>16.070122000000001</v>
      </c>
      <c r="K7759" s="5">
        <v>-96.306140999999997</v>
      </c>
      <c r="L7759" s="5" t="str">
        <f>HYPERLINK("https://maps.google.com/?q=16.070122,-96.306140999999997", "🔗 Ver Mapa")</f>
        <v>🔗 Ver Mapa</v>
      </c>
    </row>
    <row r="7760" spans="1:12" ht="43.5" x14ac:dyDescent="0.35">
      <c r="A7760" s="6" t="s">
        <v>98</v>
      </c>
      <c r="B7760" s="6" t="s">
        <v>99</v>
      </c>
      <c r="C7760" s="6" t="s">
        <v>1439</v>
      </c>
      <c r="D7760" s="6" t="s">
        <v>14</v>
      </c>
      <c r="E7760" s="6" t="s">
        <v>39</v>
      </c>
      <c r="F7760" s="6" t="s">
        <v>353</v>
      </c>
      <c r="G7760" s="6" t="s">
        <v>1353</v>
      </c>
      <c r="H7760" s="6" t="s">
        <v>1440</v>
      </c>
      <c r="I7760" s="6" t="s">
        <v>31</v>
      </c>
      <c r="J7760" s="6">
        <v>16.070409000000001</v>
      </c>
      <c r="K7760" s="6">
        <v>-96.303141999999994</v>
      </c>
      <c r="L7760" s="6" t="str">
        <f>HYPERLINK("https://maps.google.com/?q=16.070409,-96.303141999999994", "🔗 Ver Mapa")</f>
        <v>🔗 Ver Mapa</v>
      </c>
    </row>
    <row r="7761" spans="1:12" ht="43.5" x14ac:dyDescent="0.35">
      <c r="A7761" s="5" t="s">
        <v>98</v>
      </c>
      <c r="B7761" s="5" t="s">
        <v>99</v>
      </c>
      <c r="C7761" s="5" t="s">
        <v>1439</v>
      </c>
      <c r="D7761" s="5" t="s">
        <v>14</v>
      </c>
      <c r="E7761" s="5" t="s">
        <v>39</v>
      </c>
      <c r="F7761" s="5" t="s">
        <v>353</v>
      </c>
      <c r="G7761" s="5" t="s">
        <v>1353</v>
      </c>
      <c r="H7761" s="5" t="s">
        <v>1440</v>
      </c>
      <c r="I7761" s="5" t="s">
        <v>31</v>
      </c>
      <c r="J7761" s="5">
        <v>16.070459</v>
      </c>
      <c r="K7761" s="5" t="s">
        <v>1442</v>
      </c>
      <c r="L7761" s="5" t="str">
        <f>HYPERLINK("https://maps.google.com/?q=16.070459, -96.3017565", "🔗 Ver Mapa")</f>
        <v>🔗 Ver Mapa</v>
      </c>
    </row>
    <row r="7762" spans="1:12" ht="43.5" x14ac:dyDescent="0.35">
      <c r="A7762" s="6" t="s">
        <v>98</v>
      </c>
      <c r="B7762" s="6" t="s">
        <v>99</v>
      </c>
      <c r="C7762" s="6" t="s">
        <v>1439</v>
      </c>
      <c r="D7762" s="6" t="s">
        <v>14</v>
      </c>
      <c r="E7762" s="6" t="s">
        <v>39</v>
      </c>
      <c r="F7762" s="6" t="s">
        <v>353</v>
      </c>
      <c r="G7762" s="6" t="s">
        <v>1353</v>
      </c>
      <c r="H7762" s="6" t="s">
        <v>1440</v>
      </c>
      <c r="I7762" s="6" t="s">
        <v>31</v>
      </c>
      <c r="J7762" s="6">
        <v>16.070723000000001</v>
      </c>
      <c r="K7762" s="6">
        <v>-96.304175999999998</v>
      </c>
      <c r="L7762" s="6" t="str">
        <f>HYPERLINK("https://maps.google.com/?q=16.070723,-96.304175999999998", "🔗 Ver Mapa")</f>
        <v>🔗 Ver Mapa</v>
      </c>
    </row>
    <row r="7763" spans="1:12" ht="43.5" x14ac:dyDescent="0.35">
      <c r="A7763" s="5" t="s">
        <v>98</v>
      </c>
      <c r="B7763" s="5" t="s">
        <v>99</v>
      </c>
      <c r="C7763" s="5" t="s">
        <v>1439</v>
      </c>
      <c r="D7763" s="5" t="s">
        <v>14</v>
      </c>
      <c r="E7763" s="5" t="s">
        <v>39</v>
      </c>
      <c r="F7763" s="5" t="s">
        <v>353</v>
      </c>
      <c r="G7763" s="5" t="s">
        <v>1353</v>
      </c>
      <c r="H7763" s="5" t="s">
        <v>1440</v>
      </c>
      <c r="I7763" s="5" t="s">
        <v>31</v>
      </c>
      <c r="J7763" s="5">
        <v>16.071382</v>
      </c>
      <c r="K7763" s="5">
        <v>-96.304329999999993</v>
      </c>
      <c r="L7763" s="5" t="str">
        <f>HYPERLINK("https://maps.google.com/?q=16.071382,-96.304329999999993", "🔗 Ver Mapa")</f>
        <v>🔗 Ver Mapa</v>
      </c>
    </row>
    <row r="7764" spans="1:12" ht="43.5" x14ac:dyDescent="0.35">
      <c r="A7764" s="6" t="s">
        <v>98</v>
      </c>
      <c r="B7764" s="6" t="s">
        <v>99</v>
      </c>
      <c r="C7764" s="6" t="s">
        <v>1439</v>
      </c>
      <c r="D7764" s="6" t="s">
        <v>14</v>
      </c>
      <c r="E7764" s="6" t="s">
        <v>39</v>
      </c>
      <c r="F7764" s="6" t="s">
        <v>353</v>
      </c>
      <c r="G7764" s="6" t="s">
        <v>1353</v>
      </c>
      <c r="H7764" s="6" t="s">
        <v>1440</v>
      </c>
      <c r="I7764" s="6" t="s">
        <v>31</v>
      </c>
      <c r="J7764" s="6">
        <v>16.071573044170002</v>
      </c>
      <c r="K7764" s="6" t="s">
        <v>1443</v>
      </c>
      <c r="L7764" s="6" t="str">
        <f>HYPERLINK("https://maps.google.com/?q=16.0715730441695, -96.2988783", "🔗 Ver Mapa")</f>
        <v>🔗 Ver Mapa</v>
      </c>
    </row>
    <row r="7765" spans="1:12" ht="43.5" x14ac:dyDescent="0.35">
      <c r="A7765" s="5" t="s">
        <v>98</v>
      </c>
      <c r="B7765" s="5" t="s">
        <v>99</v>
      </c>
      <c r="C7765" s="5" t="s">
        <v>1439</v>
      </c>
      <c r="D7765" s="5" t="s">
        <v>14</v>
      </c>
      <c r="E7765" s="5" t="s">
        <v>39</v>
      </c>
      <c r="F7765" s="5" t="s">
        <v>353</v>
      </c>
      <c r="G7765" s="5" t="s">
        <v>1353</v>
      </c>
      <c r="H7765" s="5" t="s">
        <v>1440</v>
      </c>
      <c r="I7765" s="5" t="s">
        <v>31</v>
      </c>
      <c r="J7765" s="5">
        <v>16.073783299999999</v>
      </c>
      <c r="K7765" s="5" t="s">
        <v>1444</v>
      </c>
      <c r="L7765" s="5" t="str">
        <f>HYPERLINK("https://maps.google.com/?q=16.0737833, -96.303269", "🔗 Ver Mapa")</f>
        <v>🔗 Ver Mapa</v>
      </c>
    </row>
    <row r="7766" spans="1:12" ht="43.5" x14ac:dyDescent="0.35">
      <c r="A7766" s="6" t="s">
        <v>98</v>
      </c>
      <c r="B7766" s="6" t="s">
        <v>99</v>
      </c>
      <c r="C7766" s="6" t="s">
        <v>1439</v>
      </c>
      <c r="D7766" s="6" t="s">
        <v>14</v>
      </c>
      <c r="E7766" s="6" t="s">
        <v>39</v>
      </c>
      <c r="F7766" s="6" t="s">
        <v>353</v>
      </c>
      <c r="G7766" s="6" t="s">
        <v>1353</v>
      </c>
      <c r="H7766" s="6" t="s">
        <v>1440</v>
      </c>
      <c r="I7766" s="6" t="s">
        <v>31</v>
      </c>
      <c r="J7766" s="6">
        <v>16.074393000000001</v>
      </c>
      <c r="K7766" s="6" t="s">
        <v>1445</v>
      </c>
      <c r="L7766" s="6" t="str">
        <f>HYPERLINK("https://maps.google.com/?q=16.074393, -96.303348", "🔗 Ver Mapa")</f>
        <v>🔗 Ver Mapa</v>
      </c>
    </row>
    <row r="7767" spans="1:12" ht="43.5" x14ac:dyDescent="0.35">
      <c r="A7767" s="5" t="s">
        <v>98</v>
      </c>
      <c r="B7767" s="5" t="s">
        <v>99</v>
      </c>
      <c r="C7767" s="5" t="s">
        <v>1446</v>
      </c>
      <c r="D7767" s="5" t="s">
        <v>14</v>
      </c>
      <c r="E7767" s="5" t="s">
        <v>39</v>
      </c>
      <c r="F7767" s="5" t="s">
        <v>353</v>
      </c>
      <c r="G7767" s="5" t="s">
        <v>1447</v>
      </c>
      <c r="H7767" s="5" t="s">
        <v>1448</v>
      </c>
      <c r="I7767" s="5" t="s">
        <v>31</v>
      </c>
      <c r="J7767" s="5">
        <v>16.098635235490001</v>
      </c>
      <c r="K7767" s="5">
        <v>-96.193736196686004</v>
      </c>
      <c r="L7767" s="5" t="str">
        <f>HYPERLINK("https://maps.google.com/?q=16.0986352354903,-96.193736196686402", "🔗 Ver Mapa")</f>
        <v>🔗 Ver Mapa</v>
      </c>
    </row>
    <row r="7768" spans="1:12" ht="43.5" x14ac:dyDescent="0.35">
      <c r="A7768" s="6" t="s">
        <v>98</v>
      </c>
      <c r="B7768" s="6" t="s">
        <v>99</v>
      </c>
      <c r="C7768" s="6" t="s">
        <v>1446</v>
      </c>
      <c r="D7768" s="6" t="s">
        <v>14</v>
      </c>
      <c r="E7768" s="6" t="s">
        <v>39</v>
      </c>
      <c r="F7768" s="6" t="s">
        <v>353</v>
      </c>
      <c r="G7768" s="6" t="s">
        <v>1447</v>
      </c>
      <c r="H7768" s="6" t="s">
        <v>1448</v>
      </c>
      <c r="I7768" s="6" t="s">
        <v>31</v>
      </c>
      <c r="J7768" s="6">
        <v>16.099028000000001</v>
      </c>
      <c r="K7768" s="6">
        <v>-96.194102000000001</v>
      </c>
      <c r="L7768" s="6" t="str">
        <f>HYPERLINK("https://maps.google.com/?q=16.099028,-96.194102000000001", "🔗 Ver Mapa")</f>
        <v>🔗 Ver Mapa</v>
      </c>
    </row>
    <row r="7769" spans="1:12" ht="43.5" x14ac:dyDescent="0.35">
      <c r="A7769" s="5" t="s">
        <v>98</v>
      </c>
      <c r="B7769" s="5" t="s">
        <v>99</v>
      </c>
      <c r="C7769" s="5" t="s">
        <v>1446</v>
      </c>
      <c r="D7769" s="5" t="s">
        <v>14</v>
      </c>
      <c r="E7769" s="5" t="s">
        <v>39</v>
      </c>
      <c r="F7769" s="5" t="s">
        <v>353</v>
      </c>
      <c r="G7769" s="5" t="s">
        <v>1447</v>
      </c>
      <c r="H7769" s="5" t="s">
        <v>1448</v>
      </c>
      <c r="I7769" s="5" t="s">
        <v>31</v>
      </c>
      <c r="J7769" s="5">
        <v>16.09925310106</v>
      </c>
      <c r="K7769" s="5">
        <v>-96.194802921719997</v>
      </c>
      <c r="L7769" s="5" t="str">
        <f>HYPERLINK("https://maps.google.com/?q=16.0992531010597,-96.194802921719798", "🔗 Ver Mapa")</f>
        <v>🔗 Ver Mapa</v>
      </c>
    </row>
    <row r="7770" spans="1:12" ht="43.5" x14ac:dyDescent="0.35">
      <c r="A7770" s="6" t="s">
        <v>98</v>
      </c>
      <c r="B7770" s="6" t="s">
        <v>99</v>
      </c>
      <c r="C7770" s="6" t="s">
        <v>1446</v>
      </c>
      <c r="D7770" s="6" t="s">
        <v>14</v>
      </c>
      <c r="E7770" s="6" t="s">
        <v>39</v>
      </c>
      <c r="F7770" s="6" t="s">
        <v>353</v>
      </c>
      <c r="G7770" s="6" t="s">
        <v>1447</v>
      </c>
      <c r="H7770" s="6" t="s">
        <v>1448</v>
      </c>
      <c r="I7770" s="6" t="s">
        <v>31</v>
      </c>
      <c r="J7770" s="6">
        <v>16.099369689418999</v>
      </c>
      <c r="K7770" s="6">
        <v>-96.195161789197002</v>
      </c>
      <c r="L7770" s="6" t="str">
        <f>HYPERLINK("https://maps.google.com/?q=16.0993696894188,-96.1951617891974", "🔗 Ver Mapa")</f>
        <v>🔗 Ver Mapa</v>
      </c>
    </row>
    <row r="7771" spans="1:12" ht="43.5" x14ac:dyDescent="0.35">
      <c r="A7771" s="5" t="s">
        <v>98</v>
      </c>
      <c r="B7771" s="5" t="s">
        <v>99</v>
      </c>
      <c r="C7771" s="5" t="s">
        <v>1446</v>
      </c>
      <c r="D7771" s="5" t="s">
        <v>14</v>
      </c>
      <c r="E7771" s="5" t="s">
        <v>39</v>
      </c>
      <c r="F7771" s="5" t="s">
        <v>353</v>
      </c>
      <c r="G7771" s="5" t="s">
        <v>1447</v>
      </c>
      <c r="H7771" s="5" t="s">
        <v>1448</v>
      </c>
      <c r="I7771" s="5" t="s">
        <v>31</v>
      </c>
      <c r="J7771" s="5">
        <v>16.101177129797001</v>
      </c>
      <c r="K7771" s="5">
        <v>-96.194791857035</v>
      </c>
      <c r="L7771" s="5" t="str">
        <f>HYPERLINK("https://maps.google.com/?q=16.1011771297974,-96.194791857034701", "🔗 Ver Mapa")</f>
        <v>🔗 Ver Mapa</v>
      </c>
    </row>
    <row r="7772" spans="1:12" ht="43.5" x14ac:dyDescent="0.35">
      <c r="A7772" s="6" t="s">
        <v>98</v>
      </c>
      <c r="B7772" s="6" t="s">
        <v>99</v>
      </c>
      <c r="C7772" s="6" t="s">
        <v>1446</v>
      </c>
      <c r="D7772" s="6" t="s">
        <v>14</v>
      </c>
      <c r="E7772" s="6" t="s">
        <v>39</v>
      </c>
      <c r="F7772" s="6" t="s">
        <v>353</v>
      </c>
      <c r="G7772" s="6" t="s">
        <v>1447</v>
      </c>
      <c r="H7772" s="6" t="s">
        <v>1448</v>
      </c>
      <c r="I7772" s="6" t="s">
        <v>31</v>
      </c>
      <c r="J7772" s="6">
        <v>16.101832256367999</v>
      </c>
      <c r="K7772" s="6">
        <v>-96.193696737609002</v>
      </c>
      <c r="L7772" s="6" t="str">
        <f>HYPERLINK("https://maps.google.com/?q=16.1018322563677,-96.193696737608704", "🔗 Ver Mapa")</f>
        <v>🔗 Ver Mapa</v>
      </c>
    </row>
    <row r="7773" spans="1:12" ht="43.5" x14ac:dyDescent="0.35">
      <c r="A7773" s="5" t="s">
        <v>98</v>
      </c>
      <c r="B7773" s="5" t="s">
        <v>99</v>
      </c>
      <c r="C7773" s="5" t="s">
        <v>1446</v>
      </c>
      <c r="D7773" s="5" t="s">
        <v>14</v>
      </c>
      <c r="E7773" s="5" t="s">
        <v>39</v>
      </c>
      <c r="F7773" s="5" t="s">
        <v>353</v>
      </c>
      <c r="G7773" s="5" t="s">
        <v>1447</v>
      </c>
      <c r="H7773" s="5" t="s">
        <v>1448</v>
      </c>
      <c r="I7773" s="5" t="s">
        <v>31</v>
      </c>
      <c r="J7773" s="5">
        <v>16.102185376619001</v>
      </c>
      <c r="K7773" s="5">
        <v>-96.193271715075994</v>
      </c>
      <c r="L7773" s="5" t="str">
        <f>HYPERLINK("https://maps.google.com/?q=16.1021853766187,-96.193271715075994", "🔗 Ver Mapa")</f>
        <v>🔗 Ver Mapa</v>
      </c>
    </row>
    <row r="7774" spans="1:12" ht="43.5" x14ac:dyDescent="0.35">
      <c r="A7774" s="6" t="s">
        <v>98</v>
      </c>
      <c r="B7774" s="6" t="s">
        <v>99</v>
      </c>
      <c r="C7774" s="6" t="s">
        <v>1446</v>
      </c>
      <c r="D7774" s="6" t="s">
        <v>14</v>
      </c>
      <c r="E7774" s="6" t="s">
        <v>39</v>
      </c>
      <c r="F7774" s="6" t="s">
        <v>353</v>
      </c>
      <c r="G7774" s="6" t="s">
        <v>1447</v>
      </c>
      <c r="H7774" s="6" t="s">
        <v>1448</v>
      </c>
      <c r="I7774" s="6" t="s">
        <v>31</v>
      </c>
      <c r="J7774" s="6">
        <v>16.102364403412</v>
      </c>
      <c r="K7774" s="6" t="s">
        <v>1449</v>
      </c>
      <c r="L7774" s="6" t="str">
        <f>HYPERLINK("https://maps.google.com/?q=16.1023644034123, -96.19348752530648", "🔗 Ver Mapa")</f>
        <v>🔗 Ver Mapa</v>
      </c>
    </row>
    <row r="7775" spans="1:12" ht="43.5" x14ac:dyDescent="0.35">
      <c r="A7775" s="5" t="s">
        <v>98</v>
      </c>
      <c r="B7775" s="5" t="s">
        <v>99</v>
      </c>
      <c r="C7775" s="5" t="s">
        <v>1446</v>
      </c>
      <c r="D7775" s="5" t="s">
        <v>14</v>
      </c>
      <c r="E7775" s="5" t="s">
        <v>39</v>
      </c>
      <c r="F7775" s="5" t="s">
        <v>353</v>
      </c>
      <c r="G7775" s="5" t="s">
        <v>1447</v>
      </c>
      <c r="H7775" s="5" t="s">
        <v>1448</v>
      </c>
      <c r="I7775" s="5" t="s">
        <v>31</v>
      </c>
      <c r="J7775" s="5">
        <v>16.105580391933</v>
      </c>
      <c r="K7775" s="5">
        <v>-96.189404399387996</v>
      </c>
      <c r="L7775" s="5" t="str">
        <f>HYPERLINK("https://maps.google.com/?q=16.1055803919334,-96.189404399388295", "🔗 Ver Mapa")</f>
        <v>🔗 Ver Mapa</v>
      </c>
    </row>
    <row r="7776" spans="1:12" ht="43.5" x14ac:dyDescent="0.35">
      <c r="A7776" s="6" t="s">
        <v>98</v>
      </c>
      <c r="B7776" s="6" t="s">
        <v>99</v>
      </c>
      <c r="C7776" s="6" t="s">
        <v>1446</v>
      </c>
      <c r="D7776" s="6" t="s">
        <v>14</v>
      </c>
      <c r="E7776" s="6" t="s">
        <v>39</v>
      </c>
      <c r="F7776" s="6" t="s">
        <v>353</v>
      </c>
      <c r="G7776" s="6" t="s">
        <v>1447</v>
      </c>
      <c r="H7776" s="6" t="s">
        <v>1448</v>
      </c>
      <c r="I7776" s="6" t="s">
        <v>31</v>
      </c>
      <c r="J7776" s="6">
        <v>16.106112848658</v>
      </c>
      <c r="K7776" s="6">
        <v>-96.187874341105001</v>
      </c>
      <c r="L7776" s="6" t="str">
        <f>HYPERLINK("https://maps.google.com/?q=16.1061128486576,-96.187874341104504", "🔗 Ver Mapa")</f>
        <v>🔗 Ver Mapa</v>
      </c>
    </row>
    <row r="7777" spans="1:12" ht="43.5" x14ac:dyDescent="0.35">
      <c r="A7777" s="5" t="s">
        <v>98</v>
      </c>
      <c r="B7777" s="5" t="s">
        <v>99</v>
      </c>
      <c r="C7777" s="5" t="s">
        <v>1450</v>
      </c>
      <c r="D7777" s="5" t="s">
        <v>14</v>
      </c>
      <c r="E7777" s="5" t="s">
        <v>39</v>
      </c>
      <c r="F7777" s="5" t="s">
        <v>353</v>
      </c>
      <c r="G7777" s="5" t="s">
        <v>1182</v>
      </c>
      <c r="H7777" s="5" t="s">
        <v>1451</v>
      </c>
      <c r="I7777" s="5" t="s">
        <v>31</v>
      </c>
      <c r="J7777" s="5">
        <v>16.178234274554001</v>
      </c>
      <c r="K7777" s="5">
        <v>-96.381642658895004</v>
      </c>
      <c r="L7777" s="5" t="str">
        <f>HYPERLINK("https://maps.google.com/?q=16.1782342745544,-96.381642658895402", "🔗 Ver Mapa")</f>
        <v>🔗 Ver Mapa</v>
      </c>
    </row>
    <row r="7778" spans="1:12" ht="43.5" x14ac:dyDescent="0.35">
      <c r="A7778" s="6" t="s">
        <v>98</v>
      </c>
      <c r="B7778" s="6" t="s">
        <v>99</v>
      </c>
      <c r="C7778" s="6" t="s">
        <v>1450</v>
      </c>
      <c r="D7778" s="6" t="s">
        <v>14</v>
      </c>
      <c r="E7778" s="6" t="s">
        <v>39</v>
      </c>
      <c r="F7778" s="6" t="s">
        <v>353</v>
      </c>
      <c r="G7778" s="6" t="s">
        <v>1182</v>
      </c>
      <c r="H7778" s="6" t="s">
        <v>1451</v>
      </c>
      <c r="I7778" s="6" t="s">
        <v>31</v>
      </c>
      <c r="J7778" s="6">
        <v>16.180485999999998</v>
      </c>
      <c r="K7778" s="6">
        <v>-96.384586999999996</v>
      </c>
      <c r="L7778" s="6" t="str">
        <f>HYPERLINK("https://maps.google.com/?q=16.180486,-96.384586999999996", "🔗 Ver Mapa")</f>
        <v>🔗 Ver Mapa</v>
      </c>
    </row>
    <row r="7779" spans="1:12" ht="43.5" x14ac:dyDescent="0.35">
      <c r="A7779" s="5" t="s">
        <v>98</v>
      </c>
      <c r="B7779" s="5" t="s">
        <v>99</v>
      </c>
      <c r="C7779" s="5" t="s">
        <v>1450</v>
      </c>
      <c r="D7779" s="5" t="s">
        <v>14</v>
      </c>
      <c r="E7779" s="5" t="s">
        <v>39</v>
      </c>
      <c r="F7779" s="5" t="s">
        <v>353</v>
      </c>
      <c r="G7779" s="5" t="s">
        <v>1182</v>
      </c>
      <c r="H7779" s="5" t="s">
        <v>1451</v>
      </c>
      <c r="I7779" s="5" t="s">
        <v>31</v>
      </c>
      <c r="J7779" s="5">
        <v>16.182794000000001</v>
      </c>
      <c r="K7779" s="5">
        <v>-96.386098000000004</v>
      </c>
      <c r="L7779" s="5" t="str">
        <f>HYPERLINK("https://maps.google.com/?q=16.182794,-96.386098000000004", "🔗 Ver Mapa")</f>
        <v>🔗 Ver Mapa</v>
      </c>
    </row>
    <row r="7780" spans="1:12" ht="43.5" x14ac:dyDescent="0.35">
      <c r="A7780" s="6" t="s">
        <v>98</v>
      </c>
      <c r="B7780" s="6" t="s">
        <v>99</v>
      </c>
      <c r="C7780" s="6" t="s">
        <v>1450</v>
      </c>
      <c r="D7780" s="6" t="s">
        <v>14</v>
      </c>
      <c r="E7780" s="6" t="s">
        <v>39</v>
      </c>
      <c r="F7780" s="6" t="s">
        <v>353</v>
      </c>
      <c r="G7780" s="6" t="s">
        <v>1182</v>
      </c>
      <c r="H7780" s="6" t="s">
        <v>1451</v>
      </c>
      <c r="I7780" s="6" t="s">
        <v>31</v>
      </c>
      <c r="J7780" s="6">
        <v>16.182795930331999</v>
      </c>
      <c r="K7780" s="6">
        <v>-96.385904163194994</v>
      </c>
      <c r="L7780" s="6" t="str">
        <f>HYPERLINK("https://maps.google.com/?q=16.1827959303315,-96.385904163194596", "🔗 Ver Mapa")</f>
        <v>🔗 Ver Mapa</v>
      </c>
    </row>
    <row r="7781" spans="1:12" ht="43.5" x14ac:dyDescent="0.35">
      <c r="A7781" s="5" t="s">
        <v>98</v>
      </c>
      <c r="B7781" s="5" t="s">
        <v>99</v>
      </c>
      <c r="C7781" s="5" t="s">
        <v>1450</v>
      </c>
      <c r="D7781" s="5" t="s">
        <v>14</v>
      </c>
      <c r="E7781" s="5" t="s">
        <v>39</v>
      </c>
      <c r="F7781" s="5" t="s">
        <v>353</v>
      </c>
      <c r="G7781" s="5" t="s">
        <v>1182</v>
      </c>
      <c r="H7781" s="5" t="s">
        <v>1451</v>
      </c>
      <c r="I7781" s="5" t="s">
        <v>31</v>
      </c>
      <c r="J7781" s="5">
        <v>16.182996761838002</v>
      </c>
      <c r="K7781" s="5">
        <v>-96.385794705522002</v>
      </c>
      <c r="L7781" s="5" t="str">
        <f>HYPERLINK("https://maps.google.com/?q=16.1829967618375,-96.3857947055225", "🔗 Ver Mapa")</f>
        <v>🔗 Ver Mapa</v>
      </c>
    </row>
    <row r="7782" spans="1:12" ht="43.5" x14ac:dyDescent="0.35">
      <c r="A7782" s="6" t="s">
        <v>98</v>
      </c>
      <c r="B7782" s="6" t="s">
        <v>99</v>
      </c>
      <c r="C7782" s="6" t="s">
        <v>1450</v>
      </c>
      <c r="D7782" s="6" t="s">
        <v>14</v>
      </c>
      <c r="E7782" s="6" t="s">
        <v>39</v>
      </c>
      <c r="F7782" s="6" t="s">
        <v>353</v>
      </c>
      <c r="G7782" s="6" t="s">
        <v>1182</v>
      </c>
      <c r="H7782" s="6" t="s">
        <v>1451</v>
      </c>
      <c r="I7782" s="6" t="s">
        <v>31</v>
      </c>
      <c r="J7782" s="6">
        <v>16.183233000000001</v>
      </c>
      <c r="K7782" s="6">
        <v>-96.385960999999995</v>
      </c>
      <c r="L7782" s="6" t="str">
        <f>HYPERLINK("https://maps.google.com/?q=16.183233,-96.385960999999995", "🔗 Ver Mapa")</f>
        <v>🔗 Ver Mapa</v>
      </c>
    </row>
    <row r="7783" spans="1:12" ht="43.5" x14ac:dyDescent="0.35">
      <c r="A7783" s="5" t="s">
        <v>98</v>
      </c>
      <c r="B7783" s="5" t="s">
        <v>99</v>
      </c>
      <c r="C7783" s="5" t="s">
        <v>1450</v>
      </c>
      <c r="D7783" s="5" t="s">
        <v>14</v>
      </c>
      <c r="E7783" s="5" t="s">
        <v>39</v>
      </c>
      <c r="F7783" s="5" t="s">
        <v>353</v>
      </c>
      <c r="G7783" s="5" t="s">
        <v>1182</v>
      </c>
      <c r="H7783" s="5" t="s">
        <v>1451</v>
      </c>
      <c r="I7783" s="5" t="s">
        <v>31</v>
      </c>
      <c r="J7783" s="5">
        <v>16.183292000000002</v>
      </c>
      <c r="K7783" s="5">
        <v>-96.383819000000003</v>
      </c>
      <c r="L7783" s="5" t="str">
        <f>HYPERLINK("https://maps.google.com/?q=16.183292,-96.383819000000003", "🔗 Ver Mapa")</f>
        <v>🔗 Ver Mapa</v>
      </c>
    </row>
    <row r="7784" spans="1:12" ht="43.5" x14ac:dyDescent="0.35">
      <c r="A7784" s="6" t="s">
        <v>98</v>
      </c>
      <c r="B7784" s="6" t="s">
        <v>99</v>
      </c>
      <c r="C7784" s="6" t="s">
        <v>1452</v>
      </c>
      <c r="D7784" s="6" t="s">
        <v>14</v>
      </c>
      <c r="E7784" s="6" t="s">
        <v>110</v>
      </c>
      <c r="F7784" s="6" t="s">
        <v>126</v>
      </c>
      <c r="G7784" s="6" t="s">
        <v>1453</v>
      </c>
      <c r="H7784" s="6" t="s">
        <v>1454</v>
      </c>
      <c r="I7784" s="6" t="s">
        <v>31</v>
      </c>
      <c r="J7784" s="6">
        <v>17.843683977308999</v>
      </c>
      <c r="K7784" s="6">
        <v>-96.744949019863995</v>
      </c>
      <c r="L7784" s="6" t="str">
        <f>HYPERLINK("https://maps.google.com/?q=17.8436839773085,-96.744949019864293", "🔗 Ver Mapa")</f>
        <v>🔗 Ver Mapa</v>
      </c>
    </row>
    <row r="7785" spans="1:12" ht="43.5" x14ac:dyDescent="0.35">
      <c r="A7785" s="5" t="s">
        <v>98</v>
      </c>
      <c r="B7785" s="5" t="s">
        <v>99</v>
      </c>
      <c r="C7785" s="5" t="s">
        <v>1452</v>
      </c>
      <c r="D7785" s="5" t="s">
        <v>14</v>
      </c>
      <c r="E7785" s="5" t="s">
        <v>110</v>
      </c>
      <c r="F7785" s="5" t="s">
        <v>126</v>
      </c>
      <c r="G7785" s="5" t="s">
        <v>1453</v>
      </c>
      <c r="H7785" s="5" t="s">
        <v>1454</v>
      </c>
      <c r="I7785" s="5" t="s">
        <v>31</v>
      </c>
      <c r="J7785" s="5">
        <v>17.844042730952001</v>
      </c>
      <c r="K7785" s="5">
        <v>-96.746021970338006</v>
      </c>
      <c r="L7785" s="5" t="str">
        <f>HYPERLINK("https://maps.google.com/?q=17.8440427309525,-96.746021970337694", "🔗 Ver Mapa")</f>
        <v>🔗 Ver Mapa</v>
      </c>
    </row>
    <row r="7786" spans="1:12" ht="43.5" x14ac:dyDescent="0.35">
      <c r="A7786" s="6" t="s">
        <v>98</v>
      </c>
      <c r="B7786" s="6" t="s">
        <v>99</v>
      </c>
      <c r="C7786" s="6" t="s">
        <v>1452</v>
      </c>
      <c r="D7786" s="6" t="s">
        <v>14</v>
      </c>
      <c r="E7786" s="6" t="s">
        <v>110</v>
      </c>
      <c r="F7786" s="6" t="s">
        <v>126</v>
      </c>
      <c r="G7786" s="6" t="s">
        <v>1453</v>
      </c>
      <c r="H7786" s="6" t="s">
        <v>1454</v>
      </c>
      <c r="I7786" s="6" t="s">
        <v>31</v>
      </c>
      <c r="J7786" s="6">
        <v>17.844230389511001</v>
      </c>
      <c r="K7786" s="6">
        <v>-96.745957597320995</v>
      </c>
      <c r="L7786" s="6" t="str">
        <f>HYPERLINK("https://maps.google.com/?q=17.8442303895106,-96.745957597321393", "🔗 Ver Mapa")</f>
        <v>🔗 Ver Mapa</v>
      </c>
    </row>
    <row r="7787" spans="1:12" ht="43.5" x14ac:dyDescent="0.35">
      <c r="A7787" s="5" t="s">
        <v>98</v>
      </c>
      <c r="B7787" s="5" t="s">
        <v>99</v>
      </c>
      <c r="C7787" s="5" t="s">
        <v>1452</v>
      </c>
      <c r="D7787" s="5" t="s">
        <v>14</v>
      </c>
      <c r="E7787" s="5" t="s">
        <v>110</v>
      </c>
      <c r="F7787" s="5" t="s">
        <v>126</v>
      </c>
      <c r="G7787" s="5" t="s">
        <v>1453</v>
      </c>
      <c r="H7787" s="5" t="s">
        <v>1454</v>
      </c>
      <c r="I7787" s="5" t="s">
        <v>31</v>
      </c>
      <c r="J7787" s="5">
        <v>17.844411027073001</v>
      </c>
      <c r="K7787" s="5">
        <v>-96.745102895062999</v>
      </c>
      <c r="L7787" s="5" t="str">
        <f>HYPERLINK("https://maps.google.com/?q=17.8444110270732,-96.745102895063198", "🔗 Ver Mapa")</f>
        <v>🔗 Ver Mapa</v>
      </c>
    </row>
    <row r="7788" spans="1:12" ht="43.5" x14ac:dyDescent="0.35">
      <c r="A7788" s="6" t="s">
        <v>98</v>
      </c>
      <c r="B7788" s="6" t="s">
        <v>99</v>
      </c>
      <c r="C7788" s="6" t="s">
        <v>1452</v>
      </c>
      <c r="D7788" s="6" t="s">
        <v>14</v>
      </c>
      <c r="E7788" s="6" t="s">
        <v>110</v>
      </c>
      <c r="F7788" s="6" t="s">
        <v>126</v>
      </c>
      <c r="G7788" s="6" t="s">
        <v>1453</v>
      </c>
      <c r="H7788" s="6" t="s">
        <v>1454</v>
      </c>
      <c r="I7788" s="6" t="s">
        <v>31</v>
      </c>
      <c r="J7788" s="6">
        <v>17.844503198738</v>
      </c>
      <c r="K7788" s="6">
        <v>-96.747162743830998</v>
      </c>
      <c r="L7788" s="6" t="str">
        <f>HYPERLINK("https://maps.google.com/?q=17.8445031987382,-96.747162743830799", "🔗 Ver Mapa")</f>
        <v>🔗 Ver Mapa</v>
      </c>
    </row>
    <row r="7789" spans="1:12" ht="43.5" x14ac:dyDescent="0.35">
      <c r="A7789" s="5" t="s">
        <v>98</v>
      </c>
      <c r="B7789" s="5" t="s">
        <v>99</v>
      </c>
      <c r="C7789" s="5" t="s">
        <v>1452</v>
      </c>
      <c r="D7789" s="5" t="s">
        <v>14</v>
      </c>
      <c r="E7789" s="5" t="s">
        <v>110</v>
      </c>
      <c r="F7789" s="5" t="s">
        <v>126</v>
      </c>
      <c r="G7789" s="5" t="s">
        <v>1453</v>
      </c>
      <c r="H7789" s="5" t="s">
        <v>1454</v>
      </c>
      <c r="I7789" s="5" t="s">
        <v>31</v>
      </c>
      <c r="J7789" s="5">
        <v>17.844516326465001</v>
      </c>
      <c r="K7789" s="5">
        <v>-96.747799358896003</v>
      </c>
      <c r="L7789" s="5" t="str">
        <f>HYPERLINK("https://maps.google.com/?q=17.8445163264649,-96.747799358895506", "🔗 Ver Mapa")</f>
        <v>🔗 Ver Mapa</v>
      </c>
    </row>
    <row r="7790" spans="1:12" ht="43.5" x14ac:dyDescent="0.35">
      <c r="A7790" s="6" t="s">
        <v>98</v>
      </c>
      <c r="B7790" s="6" t="s">
        <v>99</v>
      </c>
      <c r="C7790" s="6" t="s">
        <v>1452</v>
      </c>
      <c r="D7790" s="6" t="s">
        <v>14</v>
      </c>
      <c r="E7790" s="6" t="s">
        <v>110</v>
      </c>
      <c r="F7790" s="6" t="s">
        <v>126</v>
      </c>
      <c r="G7790" s="6" t="s">
        <v>1453</v>
      </c>
      <c r="H7790" s="6" t="s">
        <v>1454</v>
      </c>
      <c r="I7790" s="6" t="s">
        <v>31</v>
      </c>
      <c r="J7790" s="6">
        <v>17.844626131399998</v>
      </c>
      <c r="K7790" s="6">
        <v>-96.745114042585996</v>
      </c>
      <c r="L7790" s="6" t="str">
        <f>HYPERLINK("https://maps.google.com/?q=17.8446261313995,-96.745114042585996", "🔗 Ver Mapa")</f>
        <v>🔗 Ver Mapa</v>
      </c>
    </row>
    <row r="7791" spans="1:12" ht="43.5" x14ac:dyDescent="0.35">
      <c r="A7791" s="5" t="s">
        <v>98</v>
      </c>
      <c r="B7791" s="5" t="s">
        <v>99</v>
      </c>
      <c r="C7791" s="5" t="s">
        <v>1452</v>
      </c>
      <c r="D7791" s="5" t="s">
        <v>14</v>
      </c>
      <c r="E7791" s="5" t="s">
        <v>110</v>
      </c>
      <c r="F7791" s="5" t="s">
        <v>126</v>
      </c>
      <c r="G7791" s="5" t="s">
        <v>1453</v>
      </c>
      <c r="H7791" s="5" t="s">
        <v>1454</v>
      </c>
      <c r="I7791" s="5" t="s">
        <v>31</v>
      </c>
      <c r="J7791" s="5">
        <v>17.844646176335001</v>
      </c>
      <c r="K7791" s="5">
        <v>-96.747315629745003</v>
      </c>
      <c r="L7791" s="5" t="str">
        <f>HYPERLINK("https://maps.google.com/?q=17.8446461763352,-96.747315629744605", "🔗 Ver Mapa")</f>
        <v>🔗 Ver Mapa</v>
      </c>
    </row>
    <row r="7792" spans="1:12" ht="43.5" x14ac:dyDescent="0.35">
      <c r="A7792" s="6" t="s">
        <v>98</v>
      </c>
      <c r="B7792" s="6" t="s">
        <v>99</v>
      </c>
      <c r="C7792" s="6" t="s">
        <v>1452</v>
      </c>
      <c r="D7792" s="6" t="s">
        <v>14</v>
      </c>
      <c r="E7792" s="6" t="s">
        <v>110</v>
      </c>
      <c r="F7792" s="6" t="s">
        <v>126</v>
      </c>
      <c r="G7792" s="6" t="s">
        <v>1453</v>
      </c>
      <c r="H7792" s="6" t="s">
        <v>1454</v>
      </c>
      <c r="I7792" s="6" t="s">
        <v>31</v>
      </c>
      <c r="J7792" s="6">
        <v>17.844679747975</v>
      </c>
      <c r="K7792" s="6">
        <v>-96.745706810778003</v>
      </c>
      <c r="L7792" s="6" t="str">
        <f>HYPERLINK("https://maps.google.com/?q=17.8446797479748,-96.745706810778103", "🔗 Ver Mapa")</f>
        <v>🔗 Ver Mapa</v>
      </c>
    </row>
    <row r="7793" spans="1:12" ht="43.5" x14ac:dyDescent="0.35">
      <c r="A7793" s="5" t="s">
        <v>98</v>
      </c>
      <c r="B7793" s="5" t="s">
        <v>99</v>
      </c>
      <c r="C7793" s="5" t="s">
        <v>1452</v>
      </c>
      <c r="D7793" s="5" t="s">
        <v>14</v>
      </c>
      <c r="E7793" s="5" t="s">
        <v>110</v>
      </c>
      <c r="F7793" s="5" t="s">
        <v>126</v>
      </c>
      <c r="G7793" s="5" t="s">
        <v>1453</v>
      </c>
      <c r="H7793" s="5" t="s">
        <v>1454</v>
      </c>
      <c r="I7793" s="5" t="s">
        <v>31</v>
      </c>
      <c r="J7793" s="5">
        <v>17.844694612102</v>
      </c>
      <c r="K7793" s="5">
        <v>-96.746201251532</v>
      </c>
      <c r="L7793" s="5" t="str">
        <f>HYPERLINK("https://maps.google.com/?q=17.8446946121023,-96.746201251532398", "🔗 Ver Mapa")</f>
        <v>🔗 Ver Mapa</v>
      </c>
    </row>
    <row r="7794" spans="1:12" ht="43.5" x14ac:dyDescent="0.35">
      <c r="A7794" s="6" t="s">
        <v>98</v>
      </c>
      <c r="B7794" s="6" t="s">
        <v>99</v>
      </c>
      <c r="C7794" s="6" t="s">
        <v>1452</v>
      </c>
      <c r="D7794" s="6" t="s">
        <v>14</v>
      </c>
      <c r="E7794" s="6" t="s">
        <v>110</v>
      </c>
      <c r="F7794" s="6" t="s">
        <v>126</v>
      </c>
      <c r="G7794" s="6" t="s">
        <v>1453</v>
      </c>
      <c r="H7794" s="6" t="s">
        <v>1454</v>
      </c>
      <c r="I7794" s="6" t="s">
        <v>31</v>
      </c>
      <c r="J7794" s="6">
        <v>17.844708530298998</v>
      </c>
      <c r="K7794" s="6">
        <v>-96.744064941877994</v>
      </c>
      <c r="L7794" s="6" t="str">
        <f>HYPERLINK("https://maps.google.com/?q=17.8447085302986,-96.744064941877795", "🔗 Ver Mapa")</f>
        <v>🔗 Ver Mapa</v>
      </c>
    </row>
    <row r="7795" spans="1:12" ht="43.5" x14ac:dyDescent="0.35">
      <c r="A7795" s="5" t="s">
        <v>98</v>
      </c>
      <c r="B7795" s="5" t="s">
        <v>99</v>
      </c>
      <c r="C7795" s="5" t="s">
        <v>1452</v>
      </c>
      <c r="D7795" s="5" t="s">
        <v>14</v>
      </c>
      <c r="E7795" s="5" t="s">
        <v>110</v>
      </c>
      <c r="F7795" s="5" t="s">
        <v>126</v>
      </c>
      <c r="G7795" s="5" t="s">
        <v>1453</v>
      </c>
      <c r="H7795" s="5" t="s">
        <v>1454</v>
      </c>
      <c r="I7795" s="5" t="s">
        <v>31</v>
      </c>
      <c r="J7795" s="5">
        <v>17.844793344252</v>
      </c>
      <c r="K7795" s="5">
        <v>-96.747771194110996</v>
      </c>
      <c r="L7795" s="5" t="str">
        <f>HYPERLINK("https://maps.google.com/?q=17.8447933442523,-96.747771194110996", "🔗 Ver Mapa")</f>
        <v>🔗 Ver Mapa</v>
      </c>
    </row>
    <row r="7796" spans="1:12" ht="43.5" x14ac:dyDescent="0.35">
      <c r="A7796" s="6" t="s">
        <v>98</v>
      </c>
      <c r="B7796" s="6" t="s">
        <v>99</v>
      </c>
      <c r="C7796" s="6" t="s">
        <v>1452</v>
      </c>
      <c r="D7796" s="6" t="s">
        <v>14</v>
      </c>
      <c r="E7796" s="6" t="s">
        <v>110</v>
      </c>
      <c r="F7796" s="6" t="s">
        <v>126</v>
      </c>
      <c r="G7796" s="6" t="s">
        <v>1453</v>
      </c>
      <c r="H7796" s="6" t="s">
        <v>1454</v>
      </c>
      <c r="I7796" s="6" t="s">
        <v>31</v>
      </c>
      <c r="J7796" s="6">
        <v>17.844841502752001</v>
      </c>
      <c r="K7796" s="6">
        <v>-96.745895535759999</v>
      </c>
      <c r="L7796" s="6" t="str">
        <f>HYPERLINK("https://maps.google.com/?q=17.8448415027518,-96.745895535760297", "🔗 Ver Mapa")</f>
        <v>🔗 Ver Mapa</v>
      </c>
    </row>
    <row r="7797" spans="1:12" ht="43.5" x14ac:dyDescent="0.35">
      <c r="A7797" s="5" t="s">
        <v>98</v>
      </c>
      <c r="B7797" s="5" t="s">
        <v>99</v>
      </c>
      <c r="C7797" s="5" t="s">
        <v>1452</v>
      </c>
      <c r="D7797" s="5" t="s">
        <v>14</v>
      </c>
      <c r="E7797" s="5" t="s">
        <v>110</v>
      </c>
      <c r="F7797" s="5" t="s">
        <v>126</v>
      </c>
      <c r="G7797" s="5" t="s">
        <v>1453</v>
      </c>
      <c r="H7797" s="5" t="s">
        <v>1454</v>
      </c>
      <c r="I7797" s="5" t="s">
        <v>31</v>
      </c>
      <c r="J7797" s="5">
        <v>17.844893315210999</v>
      </c>
      <c r="K7797" s="5">
        <v>-96.747277221306007</v>
      </c>
      <c r="L7797" s="5" t="str">
        <f>HYPERLINK("https://maps.google.com/?q=17.8448933152114,-96.747277221306007", "🔗 Ver Mapa")</f>
        <v>🔗 Ver Mapa</v>
      </c>
    </row>
    <row r="7798" spans="1:12" ht="43.5" x14ac:dyDescent="0.35">
      <c r="A7798" s="6" t="s">
        <v>98</v>
      </c>
      <c r="B7798" s="6" t="s">
        <v>99</v>
      </c>
      <c r="C7798" s="6" t="s">
        <v>1452</v>
      </c>
      <c r="D7798" s="6" t="s">
        <v>14</v>
      </c>
      <c r="E7798" s="6" t="s">
        <v>110</v>
      </c>
      <c r="F7798" s="6" t="s">
        <v>126</v>
      </c>
      <c r="G7798" s="6" t="s">
        <v>1453</v>
      </c>
      <c r="H7798" s="6" t="s">
        <v>1454</v>
      </c>
      <c r="I7798" s="6" t="s">
        <v>31</v>
      </c>
      <c r="J7798" s="6">
        <v>17.844939798354002</v>
      </c>
      <c r="K7798" s="6">
        <v>-96.746021598398002</v>
      </c>
      <c r="L7798" s="6" t="str">
        <f>HYPERLINK("https://maps.google.com/?q=17.8449397983535,-96.7460215983984", "🔗 Ver Mapa")</f>
        <v>🔗 Ver Mapa</v>
      </c>
    </row>
    <row r="7799" spans="1:12" ht="43.5" x14ac:dyDescent="0.35">
      <c r="A7799" s="5" t="s">
        <v>98</v>
      </c>
      <c r="B7799" s="5" t="s">
        <v>99</v>
      </c>
      <c r="C7799" s="5" t="s">
        <v>1452</v>
      </c>
      <c r="D7799" s="5" t="s">
        <v>14</v>
      </c>
      <c r="E7799" s="5" t="s">
        <v>110</v>
      </c>
      <c r="F7799" s="5" t="s">
        <v>126</v>
      </c>
      <c r="G7799" s="5" t="s">
        <v>1453</v>
      </c>
      <c r="H7799" s="5" t="s">
        <v>1454</v>
      </c>
      <c r="I7799" s="5" t="s">
        <v>31</v>
      </c>
      <c r="J7799" s="5">
        <v>17.845200564896999</v>
      </c>
      <c r="K7799" s="5">
        <v>-96.743897108869007</v>
      </c>
      <c r="L7799" s="5" t="str">
        <f>HYPERLINK("https://maps.google.com/?q=17.8452005648974,-96.743897108868794", "🔗 Ver Mapa")</f>
        <v>🔗 Ver Mapa</v>
      </c>
    </row>
    <row r="7800" spans="1:12" ht="43.5" x14ac:dyDescent="0.35">
      <c r="A7800" s="6" t="s">
        <v>98</v>
      </c>
      <c r="B7800" s="6" t="s">
        <v>99</v>
      </c>
      <c r="C7800" s="6" t="s">
        <v>1452</v>
      </c>
      <c r="D7800" s="6" t="s">
        <v>14</v>
      </c>
      <c r="E7800" s="6" t="s">
        <v>110</v>
      </c>
      <c r="F7800" s="6" t="s">
        <v>126</v>
      </c>
      <c r="G7800" s="6" t="s">
        <v>1453</v>
      </c>
      <c r="H7800" s="6" t="s">
        <v>1454</v>
      </c>
      <c r="I7800" s="6" t="s">
        <v>31</v>
      </c>
      <c r="J7800" s="6">
        <v>17.845479466419999</v>
      </c>
      <c r="K7800" s="6">
        <v>-96.746258457056001</v>
      </c>
      <c r="L7800" s="6" t="str">
        <f>HYPERLINK("https://maps.google.com/?q=17.8454794664195,-96.7462584570562", "🔗 Ver Mapa")</f>
        <v>🔗 Ver Mapa</v>
      </c>
    </row>
    <row r="7801" spans="1:12" ht="43.5" x14ac:dyDescent="0.35">
      <c r="A7801" s="5" t="s">
        <v>98</v>
      </c>
      <c r="B7801" s="5" t="s">
        <v>99</v>
      </c>
      <c r="C7801" s="5" t="s">
        <v>1452</v>
      </c>
      <c r="D7801" s="5" t="s">
        <v>14</v>
      </c>
      <c r="E7801" s="5" t="s">
        <v>110</v>
      </c>
      <c r="F7801" s="5" t="s">
        <v>126</v>
      </c>
      <c r="G7801" s="5" t="s">
        <v>1453</v>
      </c>
      <c r="H7801" s="5" t="s">
        <v>1454</v>
      </c>
      <c r="I7801" s="5" t="s">
        <v>31</v>
      </c>
      <c r="J7801" s="5">
        <v>17.845727883736</v>
      </c>
      <c r="K7801" s="5">
        <v>-96.747646886745002</v>
      </c>
      <c r="L7801" s="5" t="str">
        <f>HYPERLINK("https://maps.google.com/?q=17.8457278837363,-96.7476468867455", "🔗 Ver Mapa")</f>
        <v>🔗 Ver Mapa</v>
      </c>
    </row>
    <row r="7802" spans="1:12" ht="43.5" x14ac:dyDescent="0.35">
      <c r="A7802" s="6" t="s">
        <v>98</v>
      </c>
      <c r="B7802" s="6" t="s">
        <v>99</v>
      </c>
      <c r="C7802" s="6" t="s">
        <v>1452</v>
      </c>
      <c r="D7802" s="6" t="s">
        <v>14</v>
      </c>
      <c r="E7802" s="6" t="s">
        <v>110</v>
      </c>
      <c r="F7802" s="6" t="s">
        <v>126</v>
      </c>
      <c r="G7802" s="6" t="s">
        <v>1453</v>
      </c>
      <c r="H7802" s="6" t="s">
        <v>1454</v>
      </c>
      <c r="I7802" s="6" t="s">
        <v>31</v>
      </c>
      <c r="J7802" s="6">
        <v>17.845747762207999</v>
      </c>
      <c r="K7802" s="6">
        <v>-96.744039312959998</v>
      </c>
      <c r="L7802" s="6" t="str">
        <f>HYPERLINK("https://maps.google.com/?q=17.8457477622079,-96.7440393129596", "🔗 Ver Mapa")</f>
        <v>🔗 Ver Mapa</v>
      </c>
    </row>
    <row r="7803" spans="1:12" ht="43.5" x14ac:dyDescent="0.35">
      <c r="A7803" s="5" t="s">
        <v>98</v>
      </c>
      <c r="B7803" s="5" t="s">
        <v>99</v>
      </c>
      <c r="C7803" s="5" t="s">
        <v>1452</v>
      </c>
      <c r="D7803" s="5" t="s">
        <v>14</v>
      </c>
      <c r="E7803" s="5" t="s">
        <v>110</v>
      </c>
      <c r="F7803" s="5" t="s">
        <v>126</v>
      </c>
      <c r="G7803" s="5" t="s">
        <v>1453</v>
      </c>
      <c r="H7803" s="5" t="s">
        <v>1454</v>
      </c>
      <c r="I7803" s="5" t="s">
        <v>31</v>
      </c>
      <c r="J7803" s="5">
        <v>17.845856490043001</v>
      </c>
      <c r="K7803" s="5">
        <v>-96.744488669199001</v>
      </c>
      <c r="L7803" s="5" t="str">
        <f>HYPERLINK("https://maps.google.com/?q=17.8458564900428,-96.744488669198802", "🔗 Ver Mapa")</f>
        <v>🔗 Ver Mapa</v>
      </c>
    </row>
    <row r="7804" spans="1:12" ht="43.5" x14ac:dyDescent="0.35">
      <c r="A7804" s="6" t="s">
        <v>98</v>
      </c>
      <c r="B7804" s="6" t="s">
        <v>99</v>
      </c>
      <c r="C7804" s="6" t="s">
        <v>1452</v>
      </c>
      <c r="D7804" s="6" t="s">
        <v>14</v>
      </c>
      <c r="E7804" s="6" t="s">
        <v>110</v>
      </c>
      <c r="F7804" s="6" t="s">
        <v>126</v>
      </c>
      <c r="G7804" s="6" t="s">
        <v>1453</v>
      </c>
      <c r="H7804" s="6" t="s">
        <v>1454</v>
      </c>
      <c r="I7804" s="6" t="s">
        <v>31</v>
      </c>
      <c r="J7804" s="6">
        <v>17.845878066505001</v>
      </c>
      <c r="K7804" s="6">
        <v>-96.743129731251997</v>
      </c>
      <c r="L7804" s="6" t="str">
        <f>HYPERLINK("https://maps.google.com/?q=17.8458780665053,-96.743129731252196", "🔗 Ver Mapa")</f>
        <v>🔗 Ver Mapa</v>
      </c>
    </row>
    <row r="7805" spans="1:12" ht="43.5" x14ac:dyDescent="0.35">
      <c r="A7805" s="5" t="s">
        <v>98</v>
      </c>
      <c r="B7805" s="5" t="s">
        <v>99</v>
      </c>
      <c r="C7805" s="5" t="s">
        <v>1452</v>
      </c>
      <c r="D7805" s="5" t="s">
        <v>14</v>
      </c>
      <c r="E7805" s="5" t="s">
        <v>110</v>
      </c>
      <c r="F7805" s="5" t="s">
        <v>126</v>
      </c>
      <c r="G7805" s="5" t="s">
        <v>1453</v>
      </c>
      <c r="H7805" s="5" t="s">
        <v>1454</v>
      </c>
      <c r="I7805" s="5" t="s">
        <v>31</v>
      </c>
      <c r="J7805" s="5">
        <v>17.845890356464999</v>
      </c>
      <c r="K7805" s="5">
        <v>-96.744355748971003</v>
      </c>
      <c r="L7805" s="5" t="str">
        <f>HYPERLINK("https://maps.google.com/?q=17.8458903564654,-96.744355748970506", "🔗 Ver Mapa")</f>
        <v>🔗 Ver Mapa</v>
      </c>
    </row>
    <row r="7806" spans="1:12" ht="43.5" x14ac:dyDescent="0.35">
      <c r="A7806" s="6" t="s">
        <v>98</v>
      </c>
      <c r="B7806" s="6" t="s">
        <v>99</v>
      </c>
      <c r="C7806" s="6" t="s">
        <v>1452</v>
      </c>
      <c r="D7806" s="6" t="s">
        <v>14</v>
      </c>
      <c r="E7806" s="6" t="s">
        <v>110</v>
      </c>
      <c r="F7806" s="6" t="s">
        <v>126</v>
      </c>
      <c r="G7806" s="6" t="s">
        <v>1453</v>
      </c>
      <c r="H7806" s="6" t="s">
        <v>1454</v>
      </c>
      <c r="I7806" s="6" t="s">
        <v>31</v>
      </c>
      <c r="J7806" s="6">
        <v>17.845938829207999</v>
      </c>
      <c r="K7806" s="6">
        <v>-96.742853192251999</v>
      </c>
      <c r="L7806" s="6" t="str">
        <f>HYPERLINK("https://maps.google.com/?q=17.8459388292076,-96.742853192251701", "🔗 Ver Mapa")</f>
        <v>🔗 Ver Mapa</v>
      </c>
    </row>
    <row r="7807" spans="1:12" ht="43.5" x14ac:dyDescent="0.35">
      <c r="A7807" s="5" t="s">
        <v>98</v>
      </c>
      <c r="B7807" s="5" t="s">
        <v>99</v>
      </c>
      <c r="C7807" s="5" t="s">
        <v>1452</v>
      </c>
      <c r="D7807" s="5" t="s">
        <v>14</v>
      </c>
      <c r="E7807" s="5" t="s">
        <v>110</v>
      </c>
      <c r="F7807" s="5" t="s">
        <v>126</v>
      </c>
      <c r="G7807" s="5" t="s">
        <v>1453</v>
      </c>
      <c r="H7807" s="5" t="s">
        <v>1454</v>
      </c>
      <c r="I7807" s="5" t="s">
        <v>31</v>
      </c>
      <c r="J7807" s="5">
        <v>17.845950027322001</v>
      </c>
      <c r="K7807" s="5">
        <v>-96.742445043966001</v>
      </c>
      <c r="L7807" s="5" t="str">
        <f>HYPERLINK("https://maps.google.com/?q=17.8459500273217,-96.742445043966399", "🔗 Ver Mapa")</f>
        <v>🔗 Ver Mapa</v>
      </c>
    </row>
    <row r="7808" spans="1:12" ht="43.5" x14ac:dyDescent="0.35">
      <c r="A7808" s="6" t="s">
        <v>98</v>
      </c>
      <c r="B7808" s="6" t="s">
        <v>99</v>
      </c>
      <c r="C7808" s="6" t="s">
        <v>1452</v>
      </c>
      <c r="D7808" s="6" t="s">
        <v>14</v>
      </c>
      <c r="E7808" s="6" t="s">
        <v>110</v>
      </c>
      <c r="F7808" s="6" t="s">
        <v>126</v>
      </c>
      <c r="G7808" s="6" t="s">
        <v>1453</v>
      </c>
      <c r="H7808" s="6" t="s">
        <v>1454</v>
      </c>
      <c r="I7808" s="6" t="s">
        <v>31</v>
      </c>
      <c r="J7808" s="6">
        <v>17.846009464845999</v>
      </c>
      <c r="K7808" s="6">
        <v>-96.744231091188993</v>
      </c>
      <c r="L7808" s="6" t="str">
        <f>HYPERLINK("https://maps.google.com/?q=17.8460094648462,-96.744231091188695", "🔗 Ver Mapa")</f>
        <v>🔗 Ver Mapa</v>
      </c>
    </row>
    <row r="7809" spans="1:12" ht="43.5" x14ac:dyDescent="0.35">
      <c r="A7809" s="5" t="s">
        <v>98</v>
      </c>
      <c r="B7809" s="5" t="s">
        <v>99</v>
      </c>
      <c r="C7809" s="5" t="s">
        <v>1452</v>
      </c>
      <c r="D7809" s="5" t="s">
        <v>14</v>
      </c>
      <c r="E7809" s="5" t="s">
        <v>110</v>
      </c>
      <c r="F7809" s="5" t="s">
        <v>126</v>
      </c>
      <c r="G7809" s="5" t="s">
        <v>1453</v>
      </c>
      <c r="H7809" s="5" t="s">
        <v>1454</v>
      </c>
      <c r="I7809" s="5" t="s">
        <v>31</v>
      </c>
      <c r="J7809" s="5">
        <v>17.846102427803999</v>
      </c>
      <c r="K7809" s="5">
        <v>-96.742853058731001</v>
      </c>
      <c r="L7809" s="5" t="str">
        <f>HYPERLINK("https://maps.google.com/?q=17.8461024278039,-96.742853058730901", "🔗 Ver Mapa")</f>
        <v>🔗 Ver Mapa</v>
      </c>
    </row>
    <row r="7810" spans="1:12" ht="43.5" x14ac:dyDescent="0.35">
      <c r="A7810" s="6" t="s">
        <v>98</v>
      </c>
      <c r="B7810" s="6" t="s">
        <v>99</v>
      </c>
      <c r="C7810" s="6" t="s">
        <v>1452</v>
      </c>
      <c r="D7810" s="6" t="s">
        <v>14</v>
      </c>
      <c r="E7810" s="6" t="s">
        <v>110</v>
      </c>
      <c r="F7810" s="6" t="s">
        <v>126</v>
      </c>
      <c r="G7810" s="6" t="s">
        <v>1453</v>
      </c>
      <c r="H7810" s="6" t="s">
        <v>1454</v>
      </c>
      <c r="I7810" s="6" t="s">
        <v>31</v>
      </c>
      <c r="J7810" s="6">
        <v>17.846129519668001</v>
      </c>
      <c r="K7810" s="6">
        <v>-96.745922690615004</v>
      </c>
      <c r="L7810" s="6" t="str">
        <f>HYPERLINK("https://maps.google.com/?q=17.8461295196683,-96.745922690615302", "🔗 Ver Mapa")</f>
        <v>🔗 Ver Mapa</v>
      </c>
    </row>
    <row r="7811" spans="1:12" ht="43.5" x14ac:dyDescent="0.35">
      <c r="A7811" s="5" t="s">
        <v>98</v>
      </c>
      <c r="B7811" s="5" t="s">
        <v>99</v>
      </c>
      <c r="C7811" s="5" t="s">
        <v>1452</v>
      </c>
      <c r="D7811" s="5" t="s">
        <v>14</v>
      </c>
      <c r="E7811" s="5" t="s">
        <v>110</v>
      </c>
      <c r="F7811" s="5" t="s">
        <v>126</v>
      </c>
      <c r="G7811" s="5" t="s">
        <v>1453</v>
      </c>
      <c r="H7811" s="5" t="s">
        <v>1454</v>
      </c>
      <c r="I7811" s="5" t="s">
        <v>31</v>
      </c>
      <c r="J7811" s="5">
        <v>17.846163160614001</v>
      </c>
      <c r="K7811" s="5">
        <v>-96.743425231342002</v>
      </c>
      <c r="L7811" s="5" t="str">
        <f>HYPERLINK("https://maps.google.com/?q=17.8461631606139,-96.743425231342201", "🔗 Ver Mapa")</f>
        <v>🔗 Ver Mapa</v>
      </c>
    </row>
    <row r="7812" spans="1:12" ht="43.5" x14ac:dyDescent="0.35">
      <c r="A7812" s="6" t="s">
        <v>98</v>
      </c>
      <c r="B7812" s="6" t="s">
        <v>99</v>
      </c>
      <c r="C7812" s="6" t="s">
        <v>1452</v>
      </c>
      <c r="D7812" s="6" t="s">
        <v>14</v>
      </c>
      <c r="E7812" s="6" t="s">
        <v>110</v>
      </c>
      <c r="F7812" s="6" t="s">
        <v>126</v>
      </c>
      <c r="G7812" s="6" t="s">
        <v>1453</v>
      </c>
      <c r="H7812" s="6" t="s">
        <v>1454</v>
      </c>
      <c r="I7812" s="6" t="s">
        <v>31</v>
      </c>
      <c r="J7812" s="6">
        <v>17.846229770920001</v>
      </c>
      <c r="K7812" s="6">
        <v>-96.745386644665999</v>
      </c>
      <c r="L7812" s="6" t="str">
        <f>HYPERLINK("https://maps.google.com/?q=17.8462297709205,-96.745386644665501", "🔗 Ver Mapa")</f>
        <v>🔗 Ver Mapa</v>
      </c>
    </row>
    <row r="7813" spans="1:12" ht="43.5" x14ac:dyDescent="0.35">
      <c r="A7813" s="5" t="s">
        <v>98</v>
      </c>
      <c r="B7813" s="5" t="s">
        <v>99</v>
      </c>
      <c r="C7813" s="5" t="s">
        <v>1452</v>
      </c>
      <c r="D7813" s="5" t="s">
        <v>14</v>
      </c>
      <c r="E7813" s="5" t="s">
        <v>110</v>
      </c>
      <c r="F7813" s="5" t="s">
        <v>126</v>
      </c>
      <c r="G7813" s="5" t="s">
        <v>1453</v>
      </c>
      <c r="H7813" s="5" t="s">
        <v>1454</v>
      </c>
      <c r="I7813" s="5" t="s">
        <v>31</v>
      </c>
      <c r="J7813" s="5">
        <v>17.846231796792999</v>
      </c>
      <c r="K7813" s="5">
        <v>-96.743757558894998</v>
      </c>
      <c r="L7813" s="5" t="str">
        <f>HYPERLINK("https://maps.google.com/?q=17.8462317967932,-96.743757558895496", "🔗 Ver Mapa")</f>
        <v>🔗 Ver Mapa</v>
      </c>
    </row>
    <row r="7814" spans="1:12" ht="43.5" x14ac:dyDescent="0.35">
      <c r="A7814" s="6" t="s">
        <v>98</v>
      </c>
      <c r="B7814" s="6" t="s">
        <v>99</v>
      </c>
      <c r="C7814" s="6" t="s">
        <v>1452</v>
      </c>
      <c r="D7814" s="6" t="s">
        <v>14</v>
      </c>
      <c r="E7814" s="6" t="s">
        <v>110</v>
      </c>
      <c r="F7814" s="6" t="s">
        <v>126</v>
      </c>
      <c r="G7814" s="6" t="s">
        <v>1453</v>
      </c>
      <c r="H7814" s="6" t="s">
        <v>1454</v>
      </c>
      <c r="I7814" s="6" t="s">
        <v>31</v>
      </c>
      <c r="J7814" s="6">
        <v>17.846359402866</v>
      </c>
      <c r="K7814" s="6">
        <v>-96.747781179821999</v>
      </c>
      <c r="L7814" s="6" t="str">
        <f>HYPERLINK("https://maps.google.com/?q=17.8463594028662,-96.7477811798217", "🔗 Ver Mapa")</f>
        <v>🔗 Ver Mapa</v>
      </c>
    </row>
    <row r="7815" spans="1:12" ht="43.5" x14ac:dyDescent="0.35">
      <c r="A7815" s="5" t="s">
        <v>98</v>
      </c>
      <c r="B7815" s="5" t="s">
        <v>99</v>
      </c>
      <c r="C7815" s="5" t="s">
        <v>1452</v>
      </c>
      <c r="D7815" s="5" t="s">
        <v>14</v>
      </c>
      <c r="E7815" s="5" t="s">
        <v>110</v>
      </c>
      <c r="F7815" s="5" t="s">
        <v>126</v>
      </c>
      <c r="G7815" s="5" t="s">
        <v>1453</v>
      </c>
      <c r="H7815" s="5" t="s">
        <v>1454</v>
      </c>
      <c r="I7815" s="5" t="s">
        <v>31</v>
      </c>
      <c r="J7815" s="5">
        <v>17.846372428159999</v>
      </c>
      <c r="K7815" s="5">
        <v>-96.744390636316993</v>
      </c>
      <c r="L7815" s="5" t="str">
        <f>HYPERLINK("https://maps.google.com/?q=17.8463724281599,-96.744390636317306", "🔗 Ver Mapa")</f>
        <v>🔗 Ver Mapa</v>
      </c>
    </row>
    <row r="7816" spans="1:12" ht="43.5" x14ac:dyDescent="0.35">
      <c r="A7816" s="6" t="s">
        <v>98</v>
      </c>
      <c r="B7816" s="6" t="s">
        <v>99</v>
      </c>
      <c r="C7816" s="6" t="s">
        <v>1452</v>
      </c>
      <c r="D7816" s="6" t="s">
        <v>14</v>
      </c>
      <c r="E7816" s="6" t="s">
        <v>110</v>
      </c>
      <c r="F7816" s="6" t="s">
        <v>126</v>
      </c>
      <c r="G7816" s="6" t="s">
        <v>1453</v>
      </c>
      <c r="H7816" s="6" t="s">
        <v>1454</v>
      </c>
      <c r="I7816" s="6" t="s">
        <v>31</v>
      </c>
      <c r="J7816" s="6">
        <v>17.846441682047999</v>
      </c>
      <c r="K7816" s="6">
        <v>-96.745392009084</v>
      </c>
      <c r="L7816" s="6" t="str">
        <f>HYPERLINK("https://maps.google.com/?q=17.8464416820477,-96.745392009083503", "🔗 Ver Mapa")</f>
        <v>🔗 Ver Mapa</v>
      </c>
    </row>
    <row r="7817" spans="1:12" ht="43.5" x14ac:dyDescent="0.35">
      <c r="A7817" s="5" t="s">
        <v>98</v>
      </c>
      <c r="B7817" s="5" t="s">
        <v>99</v>
      </c>
      <c r="C7817" s="5" t="s">
        <v>1452</v>
      </c>
      <c r="D7817" s="5" t="s">
        <v>14</v>
      </c>
      <c r="E7817" s="5" t="s">
        <v>110</v>
      </c>
      <c r="F7817" s="5" t="s">
        <v>126</v>
      </c>
      <c r="G7817" s="5" t="s">
        <v>1453</v>
      </c>
      <c r="H7817" s="5" t="s">
        <v>1454</v>
      </c>
      <c r="I7817" s="5" t="s">
        <v>31</v>
      </c>
      <c r="J7817" s="5">
        <v>17.846473474389999</v>
      </c>
      <c r="K7817" s="5">
        <v>-96.744705428258996</v>
      </c>
      <c r="L7817" s="5" t="str">
        <f>HYPERLINK("https://maps.google.com/?q=17.8464734743896,-96.744705428258996", "🔗 Ver Mapa")</f>
        <v>🔗 Ver Mapa</v>
      </c>
    </row>
    <row r="7818" spans="1:12" ht="43.5" x14ac:dyDescent="0.35">
      <c r="A7818" s="6" t="s">
        <v>98</v>
      </c>
      <c r="B7818" s="6" t="s">
        <v>99</v>
      </c>
      <c r="C7818" s="6" t="s">
        <v>1452</v>
      </c>
      <c r="D7818" s="6" t="s">
        <v>14</v>
      </c>
      <c r="E7818" s="6" t="s">
        <v>110</v>
      </c>
      <c r="F7818" s="6" t="s">
        <v>126</v>
      </c>
      <c r="G7818" s="6" t="s">
        <v>1453</v>
      </c>
      <c r="H7818" s="6" t="s">
        <v>1454</v>
      </c>
      <c r="I7818" s="6" t="s">
        <v>31</v>
      </c>
      <c r="J7818" s="6">
        <v>17.846474340785999</v>
      </c>
      <c r="K7818" s="6">
        <v>-96.742061488076999</v>
      </c>
      <c r="L7818" s="6" t="str">
        <f>HYPERLINK("https://maps.google.com/?q=17.8464743407864,-96.742061488077297", "🔗 Ver Mapa")</f>
        <v>🔗 Ver Mapa</v>
      </c>
    </row>
    <row r="7819" spans="1:12" ht="43.5" x14ac:dyDescent="0.35">
      <c r="A7819" s="5" t="s">
        <v>98</v>
      </c>
      <c r="B7819" s="5" t="s">
        <v>99</v>
      </c>
      <c r="C7819" s="5" t="s">
        <v>1452</v>
      </c>
      <c r="D7819" s="5" t="s">
        <v>14</v>
      </c>
      <c r="E7819" s="5" t="s">
        <v>110</v>
      </c>
      <c r="F7819" s="5" t="s">
        <v>126</v>
      </c>
      <c r="G7819" s="5" t="s">
        <v>1453</v>
      </c>
      <c r="H7819" s="5" t="s">
        <v>1454</v>
      </c>
      <c r="I7819" s="5" t="s">
        <v>31</v>
      </c>
      <c r="J7819" s="5">
        <v>17.846483321314999</v>
      </c>
      <c r="K7819" s="5">
        <v>-96.744795217577007</v>
      </c>
      <c r="L7819" s="5" t="str">
        <f>HYPERLINK("https://maps.google.com/?q=17.8464833213148,-96.744795217577405", "🔗 Ver Mapa")</f>
        <v>🔗 Ver Mapa</v>
      </c>
    </row>
    <row r="7820" spans="1:12" ht="43.5" x14ac:dyDescent="0.35">
      <c r="A7820" s="6" t="s">
        <v>98</v>
      </c>
      <c r="B7820" s="6" t="s">
        <v>99</v>
      </c>
      <c r="C7820" s="6" t="s">
        <v>1452</v>
      </c>
      <c r="D7820" s="6" t="s">
        <v>14</v>
      </c>
      <c r="E7820" s="6" t="s">
        <v>110</v>
      </c>
      <c r="F7820" s="6" t="s">
        <v>126</v>
      </c>
      <c r="G7820" s="6" t="s">
        <v>1453</v>
      </c>
      <c r="H7820" s="6" t="s">
        <v>1454</v>
      </c>
      <c r="I7820" s="6" t="s">
        <v>31</v>
      </c>
      <c r="J7820" s="6">
        <v>17.84677885</v>
      </c>
      <c r="K7820" s="6">
        <v>-96.745384040000005</v>
      </c>
      <c r="L7820" s="6" t="str">
        <f>HYPERLINK("https://maps.google.com/?q=17.84677885,-96.74538404", "🔗 Ver Mapa")</f>
        <v>🔗 Ver Mapa</v>
      </c>
    </row>
    <row r="7821" spans="1:12" ht="43.5" x14ac:dyDescent="0.35">
      <c r="A7821" s="5" t="s">
        <v>98</v>
      </c>
      <c r="B7821" s="5" t="s">
        <v>99</v>
      </c>
      <c r="C7821" s="5" t="s">
        <v>1452</v>
      </c>
      <c r="D7821" s="5" t="s">
        <v>14</v>
      </c>
      <c r="E7821" s="5" t="s">
        <v>110</v>
      </c>
      <c r="F7821" s="5" t="s">
        <v>126</v>
      </c>
      <c r="G7821" s="5" t="s">
        <v>1453</v>
      </c>
      <c r="H7821" s="5" t="s">
        <v>1454</v>
      </c>
      <c r="I7821" s="5" t="s">
        <v>31</v>
      </c>
      <c r="J7821" s="5">
        <v>17.847598671871999</v>
      </c>
      <c r="K7821" s="5">
        <v>-96.747315273162002</v>
      </c>
      <c r="L7821" s="5" t="str">
        <f>HYPERLINK("https://maps.google.com/?q=17.8475986718718,-96.747315273161504", "🔗 Ver Mapa")</f>
        <v>🔗 Ver Mapa</v>
      </c>
    </row>
    <row r="7822" spans="1:12" ht="43.5" x14ac:dyDescent="0.35">
      <c r="A7822" s="6" t="s">
        <v>98</v>
      </c>
      <c r="B7822" s="6" t="s">
        <v>99</v>
      </c>
      <c r="C7822" s="6" t="s">
        <v>1455</v>
      </c>
      <c r="D7822" s="6" t="s">
        <v>14</v>
      </c>
      <c r="E7822" s="6" t="s">
        <v>52</v>
      </c>
      <c r="F7822" s="6" t="s">
        <v>101</v>
      </c>
      <c r="G7822" s="6" t="s">
        <v>1456</v>
      </c>
      <c r="H7822" s="6" t="s">
        <v>1457</v>
      </c>
      <c r="I7822" s="6" t="s">
        <v>31</v>
      </c>
      <c r="J7822" s="6">
        <v>17.007984</v>
      </c>
      <c r="K7822" s="6">
        <v>-96.891715000000005</v>
      </c>
      <c r="L7822" s="6" t="str">
        <f>HYPERLINK("https://maps.google.com/?q=17.007984,-96.891715000000005", "🔗 Ver Mapa")</f>
        <v>🔗 Ver Mapa</v>
      </c>
    </row>
    <row r="7823" spans="1:12" ht="43.5" x14ac:dyDescent="0.35">
      <c r="A7823" s="5" t="s">
        <v>98</v>
      </c>
      <c r="B7823" s="5" t="s">
        <v>99</v>
      </c>
      <c r="C7823" s="5" t="s">
        <v>1455</v>
      </c>
      <c r="D7823" s="5" t="s">
        <v>14</v>
      </c>
      <c r="E7823" s="5" t="s">
        <v>52</v>
      </c>
      <c r="F7823" s="5" t="s">
        <v>101</v>
      </c>
      <c r="G7823" s="5" t="s">
        <v>1456</v>
      </c>
      <c r="H7823" s="5" t="s">
        <v>1457</v>
      </c>
      <c r="I7823" s="5" t="s">
        <v>31</v>
      </c>
      <c r="J7823" s="5">
        <v>17.009658999999999</v>
      </c>
      <c r="K7823" s="5">
        <v>-96.889050999999995</v>
      </c>
      <c r="L7823" s="5" t="str">
        <f>HYPERLINK("https://maps.google.com/?q=17.009659,-96.889050999999995", "🔗 Ver Mapa")</f>
        <v>🔗 Ver Mapa</v>
      </c>
    </row>
    <row r="7824" spans="1:12" ht="43.5" x14ac:dyDescent="0.35">
      <c r="A7824" s="6" t="s">
        <v>98</v>
      </c>
      <c r="B7824" s="6" t="s">
        <v>99</v>
      </c>
      <c r="C7824" s="6" t="s">
        <v>1455</v>
      </c>
      <c r="D7824" s="6" t="s">
        <v>14</v>
      </c>
      <c r="E7824" s="6" t="s">
        <v>52</v>
      </c>
      <c r="F7824" s="6" t="s">
        <v>101</v>
      </c>
      <c r="G7824" s="6" t="s">
        <v>1456</v>
      </c>
      <c r="H7824" s="6" t="s">
        <v>1457</v>
      </c>
      <c r="I7824" s="6" t="s">
        <v>31</v>
      </c>
      <c r="J7824" s="6">
        <v>17.009995</v>
      </c>
      <c r="K7824" s="6" t="s">
        <v>1458</v>
      </c>
      <c r="L7824" s="6" t="str">
        <f>HYPERLINK("https://maps.google.com/?q=17.009995, -96.890861", "🔗 Ver Mapa")</f>
        <v>🔗 Ver Mapa</v>
      </c>
    </row>
    <row r="7825" spans="1:12" ht="43.5" x14ac:dyDescent="0.35">
      <c r="A7825" s="5" t="s">
        <v>98</v>
      </c>
      <c r="B7825" s="5" t="s">
        <v>99</v>
      </c>
      <c r="C7825" s="5" t="s">
        <v>1455</v>
      </c>
      <c r="D7825" s="5" t="s">
        <v>14</v>
      </c>
      <c r="E7825" s="5" t="s">
        <v>52</v>
      </c>
      <c r="F7825" s="5" t="s">
        <v>101</v>
      </c>
      <c r="G7825" s="5" t="s">
        <v>1456</v>
      </c>
      <c r="H7825" s="5" t="s">
        <v>1457</v>
      </c>
      <c r="I7825" s="5" t="s">
        <v>31</v>
      </c>
      <c r="J7825" s="5">
        <v>17.010228000000001</v>
      </c>
      <c r="K7825" s="5">
        <v>-96.889042000000003</v>
      </c>
      <c r="L7825" s="5" t="str">
        <f>HYPERLINK("https://maps.google.com/?q=17.010228,-96.889042000000003", "🔗 Ver Mapa")</f>
        <v>🔗 Ver Mapa</v>
      </c>
    </row>
    <row r="7826" spans="1:12" ht="43.5" x14ac:dyDescent="0.35">
      <c r="A7826" s="6" t="s">
        <v>98</v>
      </c>
      <c r="B7826" s="6" t="s">
        <v>99</v>
      </c>
      <c r="C7826" s="6" t="s">
        <v>1455</v>
      </c>
      <c r="D7826" s="6" t="s">
        <v>14</v>
      </c>
      <c r="E7826" s="6" t="s">
        <v>52</v>
      </c>
      <c r="F7826" s="6" t="s">
        <v>101</v>
      </c>
      <c r="G7826" s="6" t="s">
        <v>1456</v>
      </c>
      <c r="H7826" s="6" t="s">
        <v>1457</v>
      </c>
      <c r="I7826" s="6" t="s">
        <v>31</v>
      </c>
      <c r="J7826" s="6">
        <v>17.011218</v>
      </c>
      <c r="K7826" s="6">
        <v>-96.890127000000007</v>
      </c>
      <c r="L7826" s="6" t="str">
        <f>HYPERLINK("https://maps.google.com/?q=17.011218,-96.890127000000007", "🔗 Ver Mapa")</f>
        <v>🔗 Ver Mapa</v>
      </c>
    </row>
    <row r="7827" spans="1:12" ht="43.5" x14ac:dyDescent="0.35">
      <c r="A7827" s="5" t="s">
        <v>98</v>
      </c>
      <c r="B7827" s="5" t="s">
        <v>99</v>
      </c>
      <c r="C7827" s="5" t="s">
        <v>1455</v>
      </c>
      <c r="D7827" s="5" t="s">
        <v>14</v>
      </c>
      <c r="E7827" s="5" t="s">
        <v>52</v>
      </c>
      <c r="F7827" s="5" t="s">
        <v>101</v>
      </c>
      <c r="G7827" s="5" t="s">
        <v>1456</v>
      </c>
      <c r="H7827" s="5" t="s">
        <v>1457</v>
      </c>
      <c r="I7827" s="5" t="s">
        <v>31</v>
      </c>
      <c r="J7827" s="5">
        <v>17.011707000000001</v>
      </c>
      <c r="K7827" s="5">
        <v>-96.889353999999997</v>
      </c>
      <c r="L7827" s="5" t="str">
        <f>HYPERLINK("https://maps.google.com/?q=17.011707,-96.889353999999997", "🔗 Ver Mapa")</f>
        <v>🔗 Ver Mapa</v>
      </c>
    </row>
    <row r="7828" spans="1:12" ht="43.5" x14ac:dyDescent="0.35">
      <c r="A7828" s="6" t="s">
        <v>98</v>
      </c>
      <c r="B7828" s="6" t="s">
        <v>99</v>
      </c>
      <c r="C7828" s="6" t="s">
        <v>1455</v>
      </c>
      <c r="D7828" s="6" t="s">
        <v>14</v>
      </c>
      <c r="E7828" s="6" t="s">
        <v>52</v>
      </c>
      <c r="F7828" s="6" t="s">
        <v>101</v>
      </c>
      <c r="G7828" s="6" t="s">
        <v>1456</v>
      </c>
      <c r="H7828" s="6" t="s">
        <v>1457</v>
      </c>
      <c r="I7828" s="6" t="s">
        <v>31</v>
      </c>
      <c r="J7828" s="6">
        <v>17.011744</v>
      </c>
      <c r="K7828" s="6" t="s">
        <v>1459</v>
      </c>
      <c r="L7828" s="6" t="str">
        <f>HYPERLINK("https://maps.google.com/?q=17.011744, -96.890762", "🔗 Ver Mapa")</f>
        <v>🔗 Ver Mapa</v>
      </c>
    </row>
    <row r="7829" spans="1:12" ht="43.5" x14ac:dyDescent="0.35">
      <c r="A7829" s="5" t="s">
        <v>98</v>
      </c>
      <c r="B7829" s="5" t="s">
        <v>99</v>
      </c>
      <c r="C7829" s="5" t="s">
        <v>1455</v>
      </c>
      <c r="D7829" s="5" t="s">
        <v>14</v>
      </c>
      <c r="E7829" s="5" t="s">
        <v>52</v>
      </c>
      <c r="F7829" s="5" t="s">
        <v>101</v>
      </c>
      <c r="G7829" s="5" t="s">
        <v>1456</v>
      </c>
      <c r="H7829" s="5" t="s">
        <v>1457</v>
      </c>
      <c r="I7829" s="5" t="s">
        <v>31</v>
      </c>
      <c r="J7829" s="5">
        <v>17.011956999999999</v>
      </c>
      <c r="K7829" s="5" t="s">
        <v>1460</v>
      </c>
      <c r="L7829" s="5" t="str">
        <f>HYPERLINK("https://maps.google.com/?q=17.011957, -96.890992", "🔗 Ver Mapa")</f>
        <v>🔗 Ver Mapa</v>
      </c>
    </row>
    <row r="7830" spans="1:12" ht="43.5" x14ac:dyDescent="0.35">
      <c r="A7830" s="6" t="s">
        <v>98</v>
      </c>
      <c r="B7830" s="6" t="s">
        <v>99</v>
      </c>
      <c r="C7830" s="6" t="s">
        <v>1455</v>
      </c>
      <c r="D7830" s="6" t="s">
        <v>14</v>
      </c>
      <c r="E7830" s="6" t="s">
        <v>52</v>
      </c>
      <c r="F7830" s="6" t="s">
        <v>101</v>
      </c>
      <c r="G7830" s="6" t="s">
        <v>1456</v>
      </c>
      <c r="H7830" s="6" t="s">
        <v>1457</v>
      </c>
      <c r="I7830" s="6" t="s">
        <v>31</v>
      </c>
      <c r="J7830" s="6">
        <v>17.012001999999999</v>
      </c>
      <c r="K7830" s="6">
        <v>-96.889251999999999</v>
      </c>
      <c r="L7830" s="6" t="str">
        <f>HYPERLINK("https://maps.google.com/?q=17.012002,-96.889251999999999", "🔗 Ver Mapa")</f>
        <v>🔗 Ver Mapa</v>
      </c>
    </row>
    <row r="7831" spans="1:12" ht="43.5" x14ac:dyDescent="0.35">
      <c r="A7831" s="5" t="s">
        <v>98</v>
      </c>
      <c r="B7831" s="5" t="s">
        <v>99</v>
      </c>
      <c r="C7831" s="5" t="s">
        <v>1455</v>
      </c>
      <c r="D7831" s="5" t="s">
        <v>14</v>
      </c>
      <c r="E7831" s="5" t="s">
        <v>52</v>
      </c>
      <c r="F7831" s="5" t="s">
        <v>101</v>
      </c>
      <c r="G7831" s="5" t="s">
        <v>1456</v>
      </c>
      <c r="H7831" s="5" t="s">
        <v>1457</v>
      </c>
      <c r="I7831" s="5" t="s">
        <v>31</v>
      </c>
      <c r="J7831" s="5">
        <v>17.013860999999999</v>
      </c>
      <c r="K7831" s="5" t="s">
        <v>1461</v>
      </c>
      <c r="L7831" s="5" t="str">
        <f>HYPERLINK("https://maps.google.com/?q=17.013861, -96.890143", "🔗 Ver Mapa")</f>
        <v>🔗 Ver Mapa</v>
      </c>
    </row>
    <row r="7832" spans="1:12" ht="43.5" x14ac:dyDescent="0.35">
      <c r="A7832" s="6" t="s">
        <v>98</v>
      </c>
      <c r="B7832" s="6" t="s">
        <v>99</v>
      </c>
      <c r="C7832" s="6" t="s">
        <v>1455</v>
      </c>
      <c r="D7832" s="6" t="s">
        <v>14</v>
      </c>
      <c r="E7832" s="6" t="s">
        <v>52</v>
      </c>
      <c r="F7832" s="6" t="s">
        <v>101</v>
      </c>
      <c r="G7832" s="6" t="s">
        <v>1456</v>
      </c>
      <c r="H7832" s="6" t="s">
        <v>1457</v>
      </c>
      <c r="I7832" s="6" t="s">
        <v>31</v>
      </c>
      <c r="J7832" s="6">
        <v>17.01407</v>
      </c>
      <c r="K7832" s="6">
        <v>-96.900523000000007</v>
      </c>
      <c r="L7832" s="6" t="str">
        <f>HYPERLINK("https://maps.google.com/?q=17.01407,-96.900523000000007", "🔗 Ver Mapa")</f>
        <v>🔗 Ver Mapa</v>
      </c>
    </row>
    <row r="7833" spans="1:12" ht="43.5" x14ac:dyDescent="0.35">
      <c r="A7833" s="5" t="s">
        <v>98</v>
      </c>
      <c r="B7833" s="5" t="s">
        <v>99</v>
      </c>
      <c r="C7833" s="5" t="s">
        <v>1455</v>
      </c>
      <c r="D7833" s="5" t="s">
        <v>14</v>
      </c>
      <c r="E7833" s="5" t="s">
        <v>52</v>
      </c>
      <c r="F7833" s="5" t="s">
        <v>101</v>
      </c>
      <c r="G7833" s="5" t="s">
        <v>1456</v>
      </c>
      <c r="H7833" s="5" t="s">
        <v>1457</v>
      </c>
      <c r="I7833" s="5" t="s">
        <v>31</v>
      </c>
      <c r="J7833" s="5">
        <v>17.014085000000001</v>
      </c>
      <c r="K7833" s="5">
        <v>-96.896044000000003</v>
      </c>
      <c r="L7833" s="5" t="str">
        <f>HYPERLINK("https://maps.google.com/?q=17.014085,-96.896044000000003", "🔗 Ver Mapa")</f>
        <v>🔗 Ver Mapa</v>
      </c>
    </row>
    <row r="7834" spans="1:12" ht="43.5" x14ac:dyDescent="0.35">
      <c r="A7834" s="6" t="s">
        <v>98</v>
      </c>
      <c r="B7834" s="6" t="s">
        <v>99</v>
      </c>
      <c r="C7834" s="6" t="s">
        <v>1462</v>
      </c>
      <c r="D7834" s="6" t="s">
        <v>14</v>
      </c>
      <c r="E7834" s="6" t="s">
        <v>158</v>
      </c>
      <c r="F7834" s="6" t="s">
        <v>159</v>
      </c>
      <c r="G7834" s="6" t="s">
        <v>181</v>
      </c>
      <c r="H7834" s="6" t="s">
        <v>1463</v>
      </c>
      <c r="I7834" s="6" t="s">
        <v>31</v>
      </c>
      <c r="J7834" s="6">
        <v>16.851069960756</v>
      </c>
      <c r="K7834" s="6">
        <v>-95.092888961971994</v>
      </c>
      <c r="L7834" s="6" t="str">
        <f>HYPERLINK("https://maps.google.com/?q=16.8510699607563,-95.092888961971695", "🔗 Ver Mapa")</f>
        <v>🔗 Ver Mapa</v>
      </c>
    </row>
    <row r="7835" spans="1:12" ht="43.5" x14ac:dyDescent="0.35">
      <c r="A7835" s="5" t="s">
        <v>98</v>
      </c>
      <c r="B7835" s="5" t="s">
        <v>99</v>
      </c>
      <c r="C7835" s="5" t="s">
        <v>1462</v>
      </c>
      <c r="D7835" s="5" t="s">
        <v>14</v>
      </c>
      <c r="E7835" s="5" t="s">
        <v>158</v>
      </c>
      <c r="F7835" s="5" t="s">
        <v>159</v>
      </c>
      <c r="G7835" s="5" t="s">
        <v>181</v>
      </c>
      <c r="H7835" s="5" t="s">
        <v>1463</v>
      </c>
      <c r="I7835" s="5" t="s">
        <v>31</v>
      </c>
      <c r="J7835" s="5">
        <v>16.851313622946002</v>
      </c>
      <c r="K7835" s="5">
        <v>-95.094080836613003</v>
      </c>
      <c r="L7835" s="5" t="str">
        <f>HYPERLINK("https://maps.google.com/?q=16.8513136229464,-95.094080836613301", "🔗 Ver Mapa")</f>
        <v>🔗 Ver Mapa</v>
      </c>
    </row>
    <row r="7836" spans="1:12" ht="43.5" x14ac:dyDescent="0.35">
      <c r="A7836" s="6" t="s">
        <v>98</v>
      </c>
      <c r="B7836" s="6" t="s">
        <v>99</v>
      </c>
      <c r="C7836" s="6" t="s">
        <v>1462</v>
      </c>
      <c r="D7836" s="6" t="s">
        <v>14</v>
      </c>
      <c r="E7836" s="6" t="s">
        <v>158</v>
      </c>
      <c r="F7836" s="6" t="s">
        <v>159</v>
      </c>
      <c r="G7836" s="6" t="s">
        <v>181</v>
      </c>
      <c r="H7836" s="6" t="s">
        <v>1463</v>
      </c>
      <c r="I7836" s="6" t="s">
        <v>31</v>
      </c>
      <c r="J7836" s="6">
        <v>16.851442719125998</v>
      </c>
      <c r="K7836" s="6">
        <v>-95.093295341105005</v>
      </c>
      <c r="L7836" s="6" t="str">
        <f>HYPERLINK("https://maps.google.com/?q=16.8514427191262,-95.093295341105105", "🔗 Ver Mapa")</f>
        <v>🔗 Ver Mapa</v>
      </c>
    </row>
    <row r="7837" spans="1:12" ht="43.5" x14ac:dyDescent="0.35">
      <c r="A7837" s="5" t="s">
        <v>98</v>
      </c>
      <c r="B7837" s="5" t="s">
        <v>99</v>
      </c>
      <c r="C7837" s="5" t="s">
        <v>1462</v>
      </c>
      <c r="D7837" s="5" t="s">
        <v>14</v>
      </c>
      <c r="E7837" s="5" t="s">
        <v>158</v>
      </c>
      <c r="F7837" s="5" t="s">
        <v>159</v>
      </c>
      <c r="G7837" s="5" t="s">
        <v>181</v>
      </c>
      <c r="H7837" s="5" t="s">
        <v>1463</v>
      </c>
      <c r="I7837" s="5" t="s">
        <v>31</v>
      </c>
      <c r="J7837" s="5">
        <v>16.851484703743001</v>
      </c>
      <c r="K7837" s="5">
        <v>-95.092980728837006</v>
      </c>
      <c r="L7837" s="5" t="str">
        <f>HYPERLINK("https://maps.google.com/?q=16.8514847037432,-95.092980728836906", "🔗 Ver Mapa")</f>
        <v>🔗 Ver Mapa</v>
      </c>
    </row>
    <row r="7838" spans="1:12" ht="43.5" x14ac:dyDescent="0.35">
      <c r="A7838" s="6" t="s">
        <v>98</v>
      </c>
      <c r="B7838" s="6" t="s">
        <v>99</v>
      </c>
      <c r="C7838" s="6" t="s">
        <v>1462</v>
      </c>
      <c r="D7838" s="6" t="s">
        <v>14</v>
      </c>
      <c r="E7838" s="6" t="s">
        <v>158</v>
      </c>
      <c r="F7838" s="6" t="s">
        <v>159</v>
      </c>
      <c r="G7838" s="6" t="s">
        <v>181</v>
      </c>
      <c r="H7838" s="6" t="s">
        <v>1463</v>
      </c>
      <c r="I7838" s="6" t="s">
        <v>31</v>
      </c>
      <c r="J7838" s="6">
        <v>16.851602414237</v>
      </c>
      <c r="K7838" s="6">
        <v>-95.091881425221004</v>
      </c>
      <c r="L7838" s="6" t="str">
        <f>HYPERLINK("https://maps.google.com/?q=16.8516024142372,-95.091881425220805", "🔗 Ver Mapa")</f>
        <v>🔗 Ver Mapa</v>
      </c>
    </row>
    <row r="7839" spans="1:12" ht="43.5" x14ac:dyDescent="0.35">
      <c r="A7839" s="5" t="s">
        <v>98</v>
      </c>
      <c r="B7839" s="5" t="s">
        <v>99</v>
      </c>
      <c r="C7839" s="5" t="s">
        <v>1462</v>
      </c>
      <c r="D7839" s="5" t="s">
        <v>14</v>
      </c>
      <c r="E7839" s="5" t="s">
        <v>158</v>
      </c>
      <c r="F7839" s="5" t="s">
        <v>159</v>
      </c>
      <c r="G7839" s="5" t="s">
        <v>181</v>
      </c>
      <c r="H7839" s="5" t="s">
        <v>1463</v>
      </c>
      <c r="I7839" s="5" t="s">
        <v>31</v>
      </c>
      <c r="J7839" s="5">
        <v>16.851738569673</v>
      </c>
      <c r="K7839" s="5">
        <v>-95.092946093254</v>
      </c>
      <c r="L7839" s="5" t="str">
        <f>HYPERLINK("https://maps.google.com/?q=16.8517385696729,-95.092946093254298", "🔗 Ver Mapa")</f>
        <v>🔗 Ver Mapa</v>
      </c>
    </row>
    <row r="7840" spans="1:12" ht="43.5" x14ac:dyDescent="0.35">
      <c r="A7840" s="6" t="s">
        <v>98</v>
      </c>
      <c r="B7840" s="6" t="s">
        <v>99</v>
      </c>
      <c r="C7840" s="6" t="s">
        <v>1462</v>
      </c>
      <c r="D7840" s="6" t="s">
        <v>14</v>
      </c>
      <c r="E7840" s="6" t="s">
        <v>158</v>
      </c>
      <c r="F7840" s="6" t="s">
        <v>159</v>
      </c>
      <c r="G7840" s="6" t="s">
        <v>181</v>
      </c>
      <c r="H7840" s="6" t="s">
        <v>1463</v>
      </c>
      <c r="I7840" s="6" t="s">
        <v>31</v>
      </c>
      <c r="J7840" s="6">
        <v>16.851771523484</v>
      </c>
      <c r="K7840" s="6">
        <v>-95.092290291997003</v>
      </c>
      <c r="L7840" s="6" t="str">
        <f>HYPERLINK("https://maps.google.com/?q=16.8517715234841,-95.092290291996704", "🔗 Ver Mapa")</f>
        <v>🔗 Ver Mapa</v>
      </c>
    </row>
    <row r="7841" spans="1:12" ht="43.5" x14ac:dyDescent="0.35">
      <c r="A7841" s="5" t="s">
        <v>98</v>
      </c>
      <c r="B7841" s="5" t="s">
        <v>99</v>
      </c>
      <c r="C7841" s="5" t="s">
        <v>1462</v>
      </c>
      <c r="D7841" s="5" t="s">
        <v>14</v>
      </c>
      <c r="E7841" s="5" t="s">
        <v>158</v>
      </c>
      <c r="F7841" s="5" t="s">
        <v>159</v>
      </c>
      <c r="G7841" s="5" t="s">
        <v>181</v>
      </c>
      <c r="H7841" s="5" t="s">
        <v>1463</v>
      </c>
      <c r="I7841" s="5" t="s">
        <v>31</v>
      </c>
      <c r="J7841" s="5">
        <v>16.852458317095</v>
      </c>
      <c r="K7841" s="5">
        <v>-95.092343377207001</v>
      </c>
      <c r="L7841" s="5" t="str">
        <f>HYPERLINK("https://maps.google.com/?q=16.8524583170952,-95.092343377207001", "🔗 Ver Mapa")</f>
        <v>🔗 Ver Mapa</v>
      </c>
    </row>
    <row r="7842" spans="1:12" ht="43.5" x14ac:dyDescent="0.35">
      <c r="A7842" s="6" t="s">
        <v>98</v>
      </c>
      <c r="B7842" s="6" t="s">
        <v>99</v>
      </c>
      <c r="C7842" s="6" t="s">
        <v>1462</v>
      </c>
      <c r="D7842" s="6" t="s">
        <v>14</v>
      </c>
      <c r="E7842" s="6" t="s">
        <v>158</v>
      </c>
      <c r="F7842" s="6" t="s">
        <v>159</v>
      </c>
      <c r="G7842" s="6" t="s">
        <v>181</v>
      </c>
      <c r="H7842" s="6" t="s">
        <v>1463</v>
      </c>
      <c r="I7842" s="6" t="s">
        <v>31</v>
      </c>
      <c r="J7842" s="6">
        <v>16.852521409365998</v>
      </c>
      <c r="K7842" s="6">
        <v>-95.090567142802996</v>
      </c>
      <c r="L7842" s="6" t="str">
        <f>HYPERLINK("https://maps.google.com/?q=16.8525214093663,-95.090567142802797", "🔗 Ver Mapa")</f>
        <v>🔗 Ver Mapa</v>
      </c>
    </row>
    <row r="7843" spans="1:12" ht="43.5" x14ac:dyDescent="0.35">
      <c r="A7843" s="5" t="s">
        <v>98</v>
      </c>
      <c r="B7843" s="5" t="s">
        <v>99</v>
      </c>
      <c r="C7843" s="5" t="s">
        <v>1464</v>
      </c>
      <c r="D7843" s="5" t="s">
        <v>14</v>
      </c>
      <c r="E7843" s="5" t="s">
        <v>17</v>
      </c>
      <c r="F7843" s="5" t="s">
        <v>20</v>
      </c>
      <c r="G7843" s="5" t="s">
        <v>155</v>
      </c>
      <c r="H7843" s="5" t="s">
        <v>1465</v>
      </c>
      <c r="I7843" s="5" t="s">
        <v>31</v>
      </c>
      <c r="J7843" s="5">
        <v>15.966619</v>
      </c>
      <c r="K7843" s="5">
        <v>-96.020574999999994</v>
      </c>
      <c r="L7843" s="5" t="str">
        <f>HYPERLINK("https://maps.google.com/?q=15.966619,-96.020574999999994", "🔗 Ver Mapa")</f>
        <v>🔗 Ver Mapa</v>
      </c>
    </row>
    <row r="7844" spans="1:12" ht="43.5" x14ac:dyDescent="0.35">
      <c r="A7844" s="6" t="s">
        <v>98</v>
      </c>
      <c r="B7844" s="6" t="s">
        <v>99</v>
      </c>
      <c r="C7844" s="6" t="s">
        <v>1464</v>
      </c>
      <c r="D7844" s="6" t="s">
        <v>14</v>
      </c>
      <c r="E7844" s="6" t="s">
        <v>17</v>
      </c>
      <c r="F7844" s="6" t="s">
        <v>20</v>
      </c>
      <c r="G7844" s="6" t="s">
        <v>155</v>
      </c>
      <c r="H7844" s="6" t="s">
        <v>1465</v>
      </c>
      <c r="I7844" s="6" t="s">
        <v>31</v>
      </c>
      <c r="J7844" s="6">
        <v>15.967010999999999</v>
      </c>
      <c r="K7844" s="6">
        <v>-96.021251000000007</v>
      </c>
      <c r="L7844" s="6" t="str">
        <f>HYPERLINK("https://maps.google.com/?q=15.967011,-96.021251000000007", "🔗 Ver Mapa")</f>
        <v>🔗 Ver Mapa</v>
      </c>
    </row>
    <row r="7845" spans="1:12" ht="43.5" x14ac:dyDescent="0.35">
      <c r="A7845" s="5" t="s">
        <v>98</v>
      </c>
      <c r="B7845" s="5" t="s">
        <v>99</v>
      </c>
      <c r="C7845" s="5" t="s">
        <v>1464</v>
      </c>
      <c r="D7845" s="5" t="s">
        <v>14</v>
      </c>
      <c r="E7845" s="5" t="s">
        <v>17</v>
      </c>
      <c r="F7845" s="5" t="s">
        <v>20</v>
      </c>
      <c r="G7845" s="5" t="s">
        <v>155</v>
      </c>
      <c r="H7845" s="5" t="s">
        <v>1465</v>
      </c>
      <c r="I7845" s="5" t="s">
        <v>31</v>
      </c>
      <c r="J7845" s="5">
        <v>15.968919240911999</v>
      </c>
      <c r="K7845" s="5">
        <v>-96.019972953372999</v>
      </c>
      <c r="L7845" s="5" t="str">
        <f>HYPERLINK("https://maps.google.com/?q=15.9689192409124,-96.0199729533729", "🔗 Ver Mapa")</f>
        <v>🔗 Ver Mapa</v>
      </c>
    </row>
    <row r="7846" spans="1:12" ht="43.5" x14ac:dyDescent="0.35">
      <c r="A7846" s="6" t="s">
        <v>98</v>
      </c>
      <c r="B7846" s="6" t="s">
        <v>99</v>
      </c>
      <c r="C7846" s="6" t="s">
        <v>1464</v>
      </c>
      <c r="D7846" s="6" t="s">
        <v>14</v>
      </c>
      <c r="E7846" s="6" t="s">
        <v>17</v>
      </c>
      <c r="F7846" s="6" t="s">
        <v>20</v>
      </c>
      <c r="G7846" s="6" t="s">
        <v>155</v>
      </c>
      <c r="H7846" s="6" t="s">
        <v>1465</v>
      </c>
      <c r="I7846" s="6" t="s">
        <v>31</v>
      </c>
      <c r="J7846" s="6">
        <v>15.969007</v>
      </c>
      <c r="K7846" s="6">
        <v>-96.021140000000003</v>
      </c>
      <c r="L7846" s="6" t="str">
        <f>HYPERLINK("https://maps.google.com/?q=15.969007,-96.021140000000003", "🔗 Ver Mapa")</f>
        <v>🔗 Ver Mapa</v>
      </c>
    </row>
    <row r="7847" spans="1:12" ht="43.5" x14ac:dyDescent="0.35">
      <c r="A7847" s="5" t="s">
        <v>98</v>
      </c>
      <c r="B7847" s="5" t="s">
        <v>99</v>
      </c>
      <c r="C7847" s="5" t="s">
        <v>1464</v>
      </c>
      <c r="D7847" s="5" t="s">
        <v>14</v>
      </c>
      <c r="E7847" s="5" t="s">
        <v>17</v>
      </c>
      <c r="F7847" s="5" t="s">
        <v>20</v>
      </c>
      <c r="G7847" s="5" t="s">
        <v>155</v>
      </c>
      <c r="H7847" s="5" t="s">
        <v>1465</v>
      </c>
      <c r="I7847" s="5" t="s">
        <v>31</v>
      </c>
      <c r="J7847" s="5">
        <v>15.969405411919</v>
      </c>
      <c r="K7847" s="5">
        <v>-96.020494928732006</v>
      </c>
      <c r="L7847" s="5" t="str">
        <f>HYPERLINK("https://maps.google.com/?q=15.9694054119194,-96.0204949287319", "🔗 Ver Mapa")</f>
        <v>🔗 Ver Mapa</v>
      </c>
    </row>
    <row r="7848" spans="1:12" ht="43.5" x14ac:dyDescent="0.35">
      <c r="A7848" s="6" t="s">
        <v>98</v>
      </c>
      <c r="B7848" s="6" t="s">
        <v>99</v>
      </c>
      <c r="C7848" s="6" t="s">
        <v>1464</v>
      </c>
      <c r="D7848" s="6" t="s">
        <v>14</v>
      </c>
      <c r="E7848" s="6" t="s">
        <v>17</v>
      </c>
      <c r="F7848" s="6" t="s">
        <v>20</v>
      </c>
      <c r="G7848" s="6" t="s">
        <v>155</v>
      </c>
      <c r="H7848" s="6" t="s">
        <v>1465</v>
      </c>
      <c r="I7848" s="6" t="s">
        <v>31</v>
      </c>
      <c r="J7848" s="6">
        <v>15.969606550356</v>
      </c>
      <c r="K7848" s="6">
        <v>-96.020822158231994</v>
      </c>
      <c r="L7848" s="6" t="str">
        <f>HYPERLINK("https://maps.google.com/?q=15.9696065503557,-96.0208221582317", "🔗 Ver Mapa")</f>
        <v>🔗 Ver Mapa</v>
      </c>
    </row>
    <row r="7849" spans="1:12" ht="43.5" x14ac:dyDescent="0.35">
      <c r="A7849" s="5" t="s">
        <v>98</v>
      </c>
      <c r="B7849" s="5" t="s">
        <v>99</v>
      </c>
      <c r="C7849" s="5" t="s">
        <v>1464</v>
      </c>
      <c r="D7849" s="5" t="s">
        <v>14</v>
      </c>
      <c r="E7849" s="5" t="s">
        <v>17</v>
      </c>
      <c r="F7849" s="5" t="s">
        <v>20</v>
      </c>
      <c r="G7849" s="5" t="s">
        <v>155</v>
      </c>
      <c r="H7849" s="5" t="s">
        <v>1465</v>
      </c>
      <c r="I7849" s="5" t="s">
        <v>31</v>
      </c>
      <c r="J7849" s="5">
        <v>15.970575</v>
      </c>
      <c r="K7849" s="5">
        <v>-96.018451999999996</v>
      </c>
      <c r="L7849" s="5" t="str">
        <f>HYPERLINK("https://maps.google.com/?q=15.970575,-96.018451999999996", "🔗 Ver Mapa")</f>
        <v>🔗 Ver Mapa</v>
      </c>
    </row>
    <row r="7850" spans="1:12" ht="43.5" x14ac:dyDescent="0.35">
      <c r="A7850" s="6" t="s">
        <v>98</v>
      </c>
      <c r="B7850" s="6" t="s">
        <v>99</v>
      </c>
      <c r="C7850" s="6" t="s">
        <v>1464</v>
      </c>
      <c r="D7850" s="6" t="s">
        <v>14</v>
      </c>
      <c r="E7850" s="6" t="s">
        <v>17</v>
      </c>
      <c r="F7850" s="6" t="s">
        <v>20</v>
      </c>
      <c r="G7850" s="6" t="s">
        <v>155</v>
      </c>
      <c r="H7850" s="6" t="s">
        <v>1465</v>
      </c>
      <c r="I7850" s="6" t="s">
        <v>31</v>
      </c>
      <c r="J7850" s="6">
        <v>15.970842555796001</v>
      </c>
      <c r="K7850" s="6">
        <v>-96.017861364417996</v>
      </c>
      <c r="L7850" s="6" t="str">
        <f>HYPERLINK("https://maps.google.com/?q=15.9708425557959,-96.017861364417996", "🔗 Ver Mapa")</f>
        <v>🔗 Ver Mapa</v>
      </c>
    </row>
    <row r="7851" spans="1:12" ht="43.5" x14ac:dyDescent="0.35">
      <c r="A7851" s="5" t="s">
        <v>98</v>
      </c>
      <c r="B7851" s="5" t="s">
        <v>99</v>
      </c>
      <c r="C7851" s="5" t="s">
        <v>1466</v>
      </c>
      <c r="D7851" s="5" t="s">
        <v>14</v>
      </c>
      <c r="E7851" s="5" t="s">
        <v>39</v>
      </c>
      <c r="F7851" s="5" t="s">
        <v>353</v>
      </c>
      <c r="G7851" s="5" t="s">
        <v>1467</v>
      </c>
      <c r="H7851" s="5" t="s">
        <v>1468</v>
      </c>
      <c r="I7851" s="5" t="s">
        <v>31</v>
      </c>
      <c r="J7851" s="5">
        <v>16.309762203001</v>
      </c>
      <c r="K7851" s="5">
        <v>-96.405002024007999</v>
      </c>
      <c r="L7851" s="5" t="str">
        <f>HYPERLINK("https://maps.google.com/?q=16.3097622030008,-96.4050020240077", "🔗 Ver Mapa")</f>
        <v>🔗 Ver Mapa</v>
      </c>
    </row>
    <row r="7852" spans="1:12" ht="43.5" x14ac:dyDescent="0.35">
      <c r="A7852" s="6" t="s">
        <v>98</v>
      </c>
      <c r="B7852" s="6" t="s">
        <v>99</v>
      </c>
      <c r="C7852" s="6" t="s">
        <v>1466</v>
      </c>
      <c r="D7852" s="6" t="s">
        <v>14</v>
      </c>
      <c r="E7852" s="6" t="s">
        <v>39</v>
      </c>
      <c r="F7852" s="6" t="s">
        <v>353</v>
      </c>
      <c r="G7852" s="6" t="s">
        <v>1467</v>
      </c>
      <c r="H7852" s="6" t="s">
        <v>1468</v>
      </c>
      <c r="I7852" s="6" t="s">
        <v>31</v>
      </c>
      <c r="J7852" s="6">
        <v>16.310946325646</v>
      </c>
      <c r="K7852" s="6">
        <v>-96.405519841430007</v>
      </c>
      <c r="L7852" s="6" t="str">
        <f>HYPERLINK("https://maps.google.com/?q=16.3109463256462,-96.405519841429694", "🔗 Ver Mapa")</f>
        <v>🔗 Ver Mapa</v>
      </c>
    </row>
    <row r="7853" spans="1:12" ht="43.5" x14ac:dyDescent="0.35">
      <c r="A7853" s="5" t="s">
        <v>98</v>
      </c>
      <c r="B7853" s="5" t="s">
        <v>99</v>
      </c>
      <c r="C7853" s="5" t="s">
        <v>1466</v>
      </c>
      <c r="D7853" s="5" t="s">
        <v>14</v>
      </c>
      <c r="E7853" s="5" t="s">
        <v>39</v>
      </c>
      <c r="F7853" s="5" t="s">
        <v>353</v>
      </c>
      <c r="G7853" s="5" t="s">
        <v>1467</v>
      </c>
      <c r="H7853" s="5" t="s">
        <v>1468</v>
      </c>
      <c r="I7853" s="5" t="s">
        <v>31</v>
      </c>
      <c r="J7853" s="5">
        <v>16.312128347849001</v>
      </c>
      <c r="K7853" s="5">
        <v>-96.402873928732006</v>
      </c>
      <c r="L7853" s="5" t="str">
        <f>HYPERLINK("https://maps.google.com/?q=16.3121283478491,-96.402873928732106", "🔗 Ver Mapa")</f>
        <v>🔗 Ver Mapa</v>
      </c>
    </row>
    <row r="7854" spans="1:12" ht="43.5" x14ac:dyDescent="0.35">
      <c r="A7854" s="6" t="s">
        <v>98</v>
      </c>
      <c r="B7854" s="6" t="s">
        <v>99</v>
      </c>
      <c r="C7854" s="6" t="s">
        <v>1466</v>
      </c>
      <c r="D7854" s="6" t="s">
        <v>14</v>
      </c>
      <c r="E7854" s="6" t="s">
        <v>39</v>
      </c>
      <c r="F7854" s="6" t="s">
        <v>353</v>
      </c>
      <c r="G7854" s="6" t="s">
        <v>1467</v>
      </c>
      <c r="H7854" s="6" t="s">
        <v>1468</v>
      </c>
      <c r="I7854" s="6" t="s">
        <v>31</v>
      </c>
      <c r="J7854" s="6">
        <v>16.312585604413002</v>
      </c>
      <c r="K7854" s="6">
        <v>-96.412217832612995</v>
      </c>
      <c r="L7854" s="6" t="str">
        <f>HYPERLINK("https://maps.google.com/?q=16.3125856044133,-96.412217832612995", "🔗 Ver Mapa")</f>
        <v>🔗 Ver Mapa</v>
      </c>
    </row>
    <row r="7855" spans="1:12" ht="43.5" x14ac:dyDescent="0.35">
      <c r="A7855" s="5" t="s">
        <v>98</v>
      </c>
      <c r="B7855" s="5" t="s">
        <v>99</v>
      </c>
      <c r="C7855" s="5" t="s">
        <v>1466</v>
      </c>
      <c r="D7855" s="5" t="s">
        <v>14</v>
      </c>
      <c r="E7855" s="5" t="s">
        <v>39</v>
      </c>
      <c r="F7855" s="5" t="s">
        <v>353</v>
      </c>
      <c r="G7855" s="5" t="s">
        <v>1467</v>
      </c>
      <c r="H7855" s="5" t="s">
        <v>1468</v>
      </c>
      <c r="I7855" s="5" t="s">
        <v>31</v>
      </c>
      <c r="J7855" s="5">
        <v>16.313096963549</v>
      </c>
      <c r="K7855" s="5">
        <v>-96.406682543583997</v>
      </c>
      <c r="L7855" s="5" t="str">
        <f>HYPERLINK("https://maps.google.com/?q=16.313096963549,-96.406682543583898", "🔗 Ver Mapa")</f>
        <v>🔗 Ver Mapa</v>
      </c>
    </row>
    <row r="7856" spans="1:12" ht="43.5" x14ac:dyDescent="0.35">
      <c r="A7856" s="6" t="s">
        <v>98</v>
      </c>
      <c r="B7856" s="6" t="s">
        <v>99</v>
      </c>
      <c r="C7856" s="6" t="s">
        <v>1466</v>
      </c>
      <c r="D7856" s="6" t="s">
        <v>14</v>
      </c>
      <c r="E7856" s="6" t="s">
        <v>39</v>
      </c>
      <c r="F7856" s="6" t="s">
        <v>353</v>
      </c>
      <c r="G7856" s="6" t="s">
        <v>1467</v>
      </c>
      <c r="H7856" s="6" t="s">
        <v>1468</v>
      </c>
      <c r="I7856" s="6" t="s">
        <v>31</v>
      </c>
      <c r="J7856" s="6">
        <v>16.313308596342999</v>
      </c>
      <c r="K7856" s="6">
        <v>-96.415462020831995</v>
      </c>
      <c r="L7856" s="6" t="str">
        <f>HYPERLINK("https://maps.google.com/?q=16.3133085963429,-96.415462020831995", "🔗 Ver Mapa")</f>
        <v>🔗 Ver Mapa</v>
      </c>
    </row>
    <row r="7857" spans="1:12" ht="43.5" x14ac:dyDescent="0.35">
      <c r="A7857" s="5" t="s">
        <v>98</v>
      </c>
      <c r="B7857" s="5" t="s">
        <v>99</v>
      </c>
      <c r="C7857" s="5" t="s">
        <v>1466</v>
      </c>
      <c r="D7857" s="5" t="s">
        <v>14</v>
      </c>
      <c r="E7857" s="5" t="s">
        <v>39</v>
      </c>
      <c r="F7857" s="5" t="s">
        <v>353</v>
      </c>
      <c r="G7857" s="5" t="s">
        <v>1467</v>
      </c>
      <c r="H7857" s="5" t="s">
        <v>1468</v>
      </c>
      <c r="I7857" s="5" t="s">
        <v>31</v>
      </c>
      <c r="J7857" s="5">
        <v>16.313345001704</v>
      </c>
      <c r="K7857" s="5">
        <v>-96.408091123169996</v>
      </c>
      <c r="L7857" s="5" t="str">
        <f>HYPERLINK("https://maps.google.com/?q=16.3133450017041,-96.408091123169896", "🔗 Ver Mapa")</f>
        <v>🔗 Ver Mapa</v>
      </c>
    </row>
    <row r="7858" spans="1:12" ht="43.5" x14ac:dyDescent="0.35">
      <c r="A7858" s="6" t="s">
        <v>98</v>
      </c>
      <c r="B7858" s="6" t="s">
        <v>99</v>
      </c>
      <c r="C7858" s="6" t="s">
        <v>1466</v>
      </c>
      <c r="D7858" s="6" t="s">
        <v>14</v>
      </c>
      <c r="E7858" s="6" t="s">
        <v>39</v>
      </c>
      <c r="F7858" s="6" t="s">
        <v>353</v>
      </c>
      <c r="G7858" s="6" t="s">
        <v>1467</v>
      </c>
      <c r="H7858" s="6" t="s">
        <v>1468</v>
      </c>
      <c r="I7858" s="6" t="s">
        <v>31</v>
      </c>
      <c r="J7858" s="6">
        <v>16.31356686482</v>
      </c>
      <c r="K7858" s="6">
        <v>-96.407832596602006</v>
      </c>
      <c r="L7858" s="6" t="str">
        <f>HYPERLINK("https://maps.google.com/?q=16.3135668648204,-96.407832596602205", "🔗 Ver Mapa")</f>
        <v>🔗 Ver Mapa</v>
      </c>
    </row>
    <row r="7859" spans="1:12" ht="43.5" x14ac:dyDescent="0.35">
      <c r="A7859" s="5" t="s">
        <v>98</v>
      </c>
      <c r="B7859" s="5" t="s">
        <v>99</v>
      </c>
      <c r="C7859" s="5" t="s">
        <v>1466</v>
      </c>
      <c r="D7859" s="5" t="s">
        <v>14</v>
      </c>
      <c r="E7859" s="5" t="s">
        <v>39</v>
      </c>
      <c r="F7859" s="5" t="s">
        <v>353</v>
      </c>
      <c r="G7859" s="5" t="s">
        <v>1467</v>
      </c>
      <c r="H7859" s="5" t="s">
        <v>1468</v>
      </c>
      <c r="I7859" s="5" t="s">
        <v>31</v>
      </c>
      <c r="J7859" s="5">
        <v>16.31405798306</v>
      </c>
      <c r="K7859" s="5">
        <v>-96.411345455136001</v>
      </c>
      <c r="L7859" s="5" t="str">
        <f>HYPERLINK("https://maps.google.com/?q=16.3140579830599,-96.411345455135702", "🔗 Ver Mapa")</f>
        <v>🔗 Ver Mapa</v>
      </c>
    </row>
    <row r="7860" spans="1:12" ht="43.5" x14ac:dyDescent="0.35">
      <c r="A7860" s="6" t="s">
        <v>98</v>
      </c>
      <c r="B7860" s="6" t="s">
        <v>99</v>
      </c>
      <c r="C7860" s="6" t="s">
        <v>1466</v>
      </c>
      <c r="D7860" s="6" t="s">
        <v>14</v>
      </c>
      <c r="E7860" s="6" t="s">
        <v>39</v>
      </c>
      <c r="F7860" s="6" t="s">
        <v>353</v>
      </c>
      <c r="G7860" s="6" t="s">
        <v>1467</v>
      </c>
      <c r="H7860" s="6" t="s">
        <v>1468</v>
      </c>
      <c r="I7860" s="6" t="s">
        <v>31</v>
      </c>
      <c r="J7860" s="6">
        <v>16.314953024806002</v>
      </c>
      <c r="K7860" s="6">
        <v>-96.410872644180003</v>
      </c>
      <c r="L7860" s="6" t="str">
        <f>HYPERLINK("https://maps.google.com/?q=16.3149530248057,-96.410872644180301", "🔗 Ver Mapa")</f>
        <v>🔗 Ver Mapa</v>
      </c>
    </row>
    <row r="7861" spans="1:12" ht="43.5" x14ac:dyDescent="0.35">
      <c r="A7861" s="5" t="s">
        <v>98</v>
      </c>
      <c r="B7861" s="5" t="s">
        <v>99</v>
      </c>
      <c r="C7861" s="5" t="s">
        <v>1466</v>
      </c>
      <c r="D7861" s="5" t="s">
        <v>14</v>
      </c>
      <c r="E7861" s="5" t="s">
        <v>39</v>
      </c>
      <c r="F7861" s="5" t="s">
        <v>353</v>
      </c>
      <c r="G7861" s="5" t="s">
        <v>1467</v>
      </c>
      <c r="H7861" s="5" t="s">
        <v>1468</v>
      </c>
      <c r="I7861" s="5" t="s">
        <v>31</v>
      </c>
      <c r="J7861" s="5">
        <v>16.315371538005</v>
      </c>
      <c r="K7861" s="5">
        <v>-96.409351903686996</v>
      </c>
      <c r="L7861" s="5" t="str">
        <f>HYPERLINK("https://maps.google.com/?q=16.3153715380046,-96.409351903687494", "🔗 Ver Mapa")</f>
        <v>🔗 Ver Mapa</v>
      </c>
    </row>
    <row r="7862" spans="1:12" ht="43.5" x14ac:dyDescent="0.35">
      <c r="A7862" s="6" t="s">
        <v>98</v>
      </c>
      <c r="B7862" s="6" t="s">
        <v>99</v>
      </c>
      <c r="C7862" s="6" t="s">
        <v>1466</v>
      </c>
      <c r="D7862" s="6" t="s">
        <v>14</v>
      </c>
      <c r="E7862" s="6" t="s">
        <v>39</v>
      </c>
      <c r="F7862" s="6" t="s">
        <v>353</v>
      </c>
      <c r="G7862" s="6" t="s">
        <v>1467</v>
      </c>
      <c r="H7862" s="6" t="s">
        <v>1468</v>
      </c>
      <c r="I7862" s="6" t="s">
        <v>31</v>
      </c>
      <c r="J7862" s="6">
        <v>16.315544076451001</v>
      </c>
      <c r="K7862" s="6">
        <v>-96.411253480509998</v>
      </c>
      <c r="L7862" s="6" t="str">
        <f>HYPERLINK("https://maps.google.com/?q=16.3155440764509,-96.411253480510197", "🔗 Ver Mapa")</f>
        <v>🔗 Ver Mapa</v>
      </c>
    </row>
    <row r="7863" spans="1:12" ht="43.5" x14ac:dyDescent="0.35">
      <c r="A7863" s="5" t="s">
        <v>98</v>
      </c>
      <c r="B7863" s="5" t="s">
        <v>99</v>
      </c>
      <c r="C7863" s="5" t="s">
        <v>1466</v>
      </c>
      <c r="D7863" s="5" t="s">
        <v>14</v>
      </c>
      <c r="E7863" s="5" t="s">
        <v>39</v>
      </c>
      <c r="F7863" s="5" t="s">
        <v>353</v>
      </c>
      <c r="G7863" s="5" t="s">
        <v>1467</v>
      </c>
      <c r="H7863" s="5" t="s">
        <v>1468</v>
      </c>
      <c r="I7863" s="5" t="s">
        <v>31</v>
      </c>
      <c r="J7863" s="5">
        <v>16.31569574777</v>
      </c>
      <c r="K7863" s="5">
        <v>-96.411129708003998</v>
      </c>
      <c r="L7863" s="5" t="str">
        <f>HYPERLINK("https://maps.google.com/?q=16.3156957477698,-96.411129708003898", "🔗 Ver Mapa")</f>
        <v>🔗 Ver Mapa</v>
      </c>
    </row>
    <row r="7864" spans="1:12" ht="43.5" x14ac:dyDescent="0.35">
      <c r="A7864" s="6" t="s">
        <v>98</v>
      </c>
      <c r="B7864" s="6" t="s">
        <v>99</v>
      </c>
      <c r="C7864" s="6" t="s">
        <v>1466</v>
      </c>
      <c r="D7864" s="6" t="s">
        <v>14</v>
      </c>
      <c r="E7864" s="6" t="s">
        <v>39</v>
      </c>
      <c r="F7864" s="6" t="s">
        <v>353</v>
      </c>
      <c r="G7864" s="6" t="s">
        <v>1467</v>
      </c>
      <c r="H7864" s="6" t="s">
        <v>1468</v>
      </c>
      <c r="I7864" s="6" t="s">
        <v>31</v>
      </c>
      <c r="J7864" s="6">
        <v>16.315847567079</v>
      </c>
      <c r="K7864" s="6">
        <v>-96.411996894512001</v>
      </c>
      <c r="L7864" s="6" t="str">
        <f>HYPERLINK("https://maps.google.com/?q=16.3158475670792,-96.411996894511901", "🔗 Ver Mapa")</f>
        <v>🔗 Ver Mapa</v>
      </c>
    </row>
    <row r="7865" spans="1:12" ht="43.5" x14ac:dyDescent="0.35">
      <c r="A7865" s="5" t="s">
        <v>98</v>
      </c>
      <c r="B7865" s="5" t="s">
        <v>99</v>
      </c>
      <c r="C7865" s="5" t="s">
        <v>1466</v>
      </c>
      <c r="D7865" s="5" t="s">
        <v>14</v>
      </c>
      <c r="E7865" s="5" t="s">
        <v>39</v>
      </c>
      <c r="F7865" s="5" t="s">
        <v>353</v>
      </c>
      <c r="G7865" s="5" t="s">
        <v>1467</v>
      </c>
      <c r="H7865" s="5" t="s">
        <v>1468</v>
      </c>
      <c r="I7865" s="5" t="s">
        <v>31</v>
      </c>
      <c r="J7865" s="5">
        <v>16.316215786657001</v>
      </c>
      <c r="K7865" s="5">
        <v>-96.403743000000006</v>
      </c>
      <c r="L7865" s="5" t="str">
        <f>HYPERLINK("https://maps.google.com/?q=16.3162157866574,-96.403742999999693", "🔗 Ver Mapa")</f>
        <v>🔗 Ver Mapa</v>
      </c>
    </row>
    <row r="7866" spans="1:12" ht="43.5" x14ac:dyDescent="0.35">
      <c r="A7866" s="6" t="s">
        <v>98</v>
      </c>
      <c r="B7866" s="6" t="s">
        <v>99</v>
      </c>
      <c r="C7866" s="6" t="s">
        <v>1466</v>
      </c>
      <c r="D7866" s="6" t="s">
        <v>14</v>
      </c>
      <c r="E7866" s="6" t="s">
        <v>39</v>
      </c>
      <c r="F7866" s="6" t="s">
        <v>353</v>
      </c>
      <c r="G7866" s="6" t="s">
        <v>1467</v>
      </c>
      <c r="H7866" s="6" t="s">
        <v>1468</v>
      </c>
      <c r="I7866" s="6" t="s">
        <v>31</v>
      </c>
      <c r="J7866" s="6">
        <v>16.316326102710001</v>
      </c>
      <c r="K7866" s="6">
        <v>-96.403927379132995</v>
      </c>
      <c r="L7866" s="6" t="str">
        <f>HYPERLINK("https://maps.google.com/?q=16.3163261027097,-96.403927379133194", "🔗 Ver Mapa")</f>
        <v>🔗 Ver Mapa</v>
      </c>
    </row>
    <row r="7867" spans="1:12" ht="43.5" x14ac:dyDescent="0.35">
      <c r="A7867" s="5" t="s">
        <v>98</v>
      </c>
      <c r="B7867" s="5" t="s">
        <v>99</v>
      </c>
      <c r="C7867" s="5" t="s">
        <v>1466</v>
      </c>
      <c r="D7867" s="5" t="s">
        <v>14</v>
      </c>
      <c r="E7867" s="5" t="s">
        <v>39</v>
      </c>
      <c r="F7867" s="5" t="s">
        <v>353</v>
      </c>
      <c r="G7867" s="5" t="s">
        <v>1467</v>
      </c>
      <c r="H7867" s="5" t="s">
        <v>1468</v>
      </c>
      <c r="I7867" s="5" t="s">
        <v>31</v>
      </c>
      <c r="J7867" s="5">
        <v>16.316329196177001</v>
      </c>
      <c r="K7867" s="5">
        <v>-96.402690424477001</v>
      </c>
      <c r="L7867" s="5" t="str">
        <f>HYPERLINK("https://maps.google.com/?q=16.3163291961773,-96.402690424477498", "🔗 Ver Mapa")</f>
        <v>🔗 Ver Mapa</v>
      </c>
    </row>
    <row r="7868" spans="1:12" ht="43.5" x14ac:dyDescent="0.35">
      <c r="A7868" s="6" t="s">
        <v>98</v>
      </c>
      <c r="B7868" s="6" t="s">
        <v>99</v>
      </c>
      <c r="C7868" s="6" t="s">
        <v>1466</v>
      </c>
      <c r="D7868" s="6" t="s">
        <v>14</v>
      </c>
      <c r="E7868" s="6" t="s">
        <v>39</v>
      </c>
      <c r="F7868" s="6" t="s">
        <v>353</v>
      </c>
      <c r="G7868" s="6" t="s">
        <v>1467</v>
      </c>
      <c r="H7868" s="6" t="s">
        <v>1468</v>
      </c>
      <c r="I7868" s="6" t="s">
        <v>31</v>
      </c>
      <c r="J7868" s="6">
        <v>16.316346448773999</v>
      </c>
      <c r="K7868" s="6">
        <v>-96.409558542886998</v>
      </c>
      <c r="L7868" s="6" t="str">
        <f>HYPERLINK("https://maps.google.com/?q=16.3163464487737,-96.409558542887495", "🔗 Ver Mapa")</f>
        <v>🔗 Ver Mapa</v>
      </c>
    </row>
    <row r="7869" spans="1:12" ht="43.5" x14ac:dyDescent="0.35">
      <c r="A7869" s="5" t="s">
        <v>98</v>
      </c>
      <c r="B7869" s="5" t="s">
        <v>99</v>
      </c>
      <c r="C7869" s="5" t="s">
        <v>1466</v>
      </c>
      <c r="D7869" s="5" t="s">
        <v>14</v>
      </c>
      <c r="E7869" s="5" t="s">
        <v>39</v>
      </c>
      <c r="F7869" s="5" t="s">
        <v>353</v>
      </c>
      <c r="G7869" s="5" t="s">
        <v>1467</v>
      </c>
      <c r="H7869" s="5" t="s">
        <v>1468</v>
      </c>
      <c r="I7869" s="5" t="s">
        <v>31</v>
      </c>
      <c r="J7869" s="5">
        <v>16.316390992913998</v>
      </c>
      <c r="K7869" s="5">
        <v>-96.410477758265998</v>
      </c>
      <c r="L7869" s="5" t="str">
        <f>HYPERLINK("https://maps.google.com/?q=16.3163909929144,-96.410477758266396", "🔗 Ver Mapa")</f>
        <v>🔗 Ver Mapa</v>
      </c>
    </row>
    <row r="7870" spans="1:12" ht="43.5" x14ac:dyDescent="0.35">
      <c r="A7870" s="6" t="s">
        <v>98</v>
      </c>
      <c r="B7870" s="6" t="s">
        <v>99</v>
      </c>
      <c r="C7870" s="6" t="s">
        <v>1466</v>
      </c>
      <c r="D7870" s="6" t="s">
        <v>14</v>
      </c>
      <c r="E7870" s="6" t="s">
        <v>39</v>
      </c>
      <c r="F7870" s="6" t="s">
        <v>353</v>
      </c>
      <c r="G7870" s="6" t="s">
        <v>1467</v>
      </c>
      <c r="H7870" s="6" t="s">
        <v>1468</v>
      </c>
      <c r="I7870" s="6" t="s">
        <v>31</v>
      </c>
      <c r="J7870" s="6">
        <v>16.316409098969999</v>
      </c>
      <c r="K7870" s="6">
        <v>-96.403241462634995</v>
      </c>
      <c r="L7870" s="6" t="str">
        <f>HYPERLINK("https://maps.google.com/?q=16.3164090989698,-96.403241462634895", "🔗 Ver Mapa")</f>
        <v>🔗 Ver Mapa</v>
      </c>
    </row>
    <row r="7871" spans="1:12" ht="43.5" x14ac:dyDescent="0.35">
      <c r="A7871" s="5" t="s">
        <v>98</v>
      </c>
      <c r="B7871" s="5" t="s">
        <v>99</v>
      </c>
      <c r="C7871" s="5" t="s">
        <v>1466</v>
      </c>
      <c r="D7871" s="5" t="s">
        <v>14</v>
      </c>
      <c r="E7871" s="5" t="s">
        <v>39</v>
      </c>
      <c r="F7871" s="5" t="s">
        <v>353</v>
      </c>
      <c r="G7871" s="5" t="s">
        <v>1467</v>
      </c>
      <c r="H7871" s="5" t="s">
        <v>1468</v>
      </c>
      <c r="I7871" s="5" t="s">
        <v>31</v>
      </c>
      <c r="J7871" s="5">
        <v>16.316562893139</v>
      </c>
      <c r="K7871" s="5">
        <v>-96.402913006752001</v>
      </c>
      <c r="L7871" s="5" t="str">
        <f>HYPERLINK("https://maps.google.com/?q=16.3165628931387,-96.402913006751902", "🔗 Ver Mapa")</f>
        <v>🔗 Ver Mapa</v>
      </c>
    </row>
    <row r="7872" spans="1:12" ht="43.5" x14ac:dyDescent="0.35">
      <c r="A7872" s="6" t="s">
        <v>98</v>
      </c>
      <c r="B7872" s="6" t="s">
        <v>99</v>
      </c>
      <c r="C7872" s="6" t="s">
        <v>1466</v>
      </c>
      <c r="D7872" s="6" t="s">
        <v>14</v>
      </c>
      <c r="E7872" s="6" t="s">
        <v>39</v>
      </c>
      <c r="F7872" s="6" t="s">
        <v>353</v>
      </c>
      <c r="G7872" s="6" t="s">
        <v>1467</v>
      </c>
      <c r="H7872" s="6" t="s">
        <v>1468</v>
      </c>
      <c r="I7872" s="6" t="s">
        <v>31</v>
      </c>
      <c r="J7872" s="6">
        <v>16.316581266164</v>
      </c>
      <c r="K7872" s="6">
        <v>-96.403063281163995</v>
      </c>
      <c r="L7872" s="6" t="str">
        <f>HYPERLINK("https://maps.google.com/?q=16.3165812661636,-96.403063281163895", "🔗 Ver Mapa")</f>
        <v>🔗 Ver Mapa</v>
      </c>
    </row>
    <row r="7873" spans="1:12" ht="43.5" x14ac:dyDescent="0.35">
      <c r="A7873" s="5" t="s">
        <v>98</v>
      </c>
      <c r="B7873" s="5" t="s">
        <v>99</v>
      </c>
      <c r="C7873" s="5" t="s">
        <v>1466</v>
      </c>
      <c r="D7873" s="5" t="s">
        <v>14</v>
      </c>
      <c r="E7873" s="5" t="s">
        <v>39</v>
      </c>
      <c r="F7873" s="5" t="s">
        <v>353</v>
      </c>
      <c r="G7873" s="5" t="s">
        <v>1467</v>
      </c>
      <c r="H7873" s="5" t="s">
        <v>1468</v>
      </c>
      <c r="I7873" s="5" t="s">
        <v>31</v>
      </c>
      <c r="J7873" s="5">
        <v>16.316681496935001</v>
      </c>
      <c r="K7873" s="5">
        <v>-96.413056359986001</v>
      </c>
      <c r="L7873" s="5" t="str">
        <f>HYPERLINK("https://maps.google.com/?q=16.3166814969348,-96.413056359986101", "🔗 Ver Mapa")</f>
        <v>🔗 Ver Mapa</v>
      </c>
    </row>
    <row r="7874" spans="1:12" ht="43.5" x14ac:dyDescent="0.35">
      <c r="A7874" s="6" t="s">
        <v>98</v>
      </c>
      <c r="B7874" s="6" t="s">
        <v>99</v>
      </c>
      <c r="C7874" s="6" t="s">
        <v>1466</v>
      </c>
      <c r="D7874" s="6" t="s">
        <v>14</v>
      </c>
      <c r="E7874" s="6" t="s">
        <v>39</v>
      </c>
      <c r="F7874" s="6" t="s">
        <v>353</v>
      </c>
      <c r="G7874" s="6" t="s">
        <v>1467</v>
      </c>
      <c r="H7874" s="6" t="s">
        <v>1468</v>
      </c>
      <c r="I7874" s="6" t="s">
        <v>31</v>
      </c>
      <c r="J7874" s="6">
        <v>16.316689282273</v>
      </c>
      <c r="K7874" s="6">
        <v>-96.403572391528996</v>
      </c>
      <c r="L7874" s="6" t="str">
        <f>HYPERLINK("https://maps.google.com/?q=16.3166892822726,-96.403572391529295", "🔗 Ver Mapa")</f>
        <v>🔗 Ver Mapa</v>
      </c>
    </row>
    <row r="7875" spans="1:12" ht="43.5" x14ac:dyDescent="0.35">
      <c r="A7875" s="5" t="s">
        <v>98</v>
      </c>
      <c r="B7875" s="5" t="s">
        <v>99</v>
      </c>
      <c r="C7875" s="5" t="s">
        <v>1466</v>
      </c>
      <c r="D7875" s="5" t="s">
        <v>14</v>
      </c>
      <c r="E7875" s="5" t="s">
        <v>39</v>
      </c>
      <c r="F7875" s="5" t="s">
        <v>353</v>
      </c>
      <c r="G7875" s="5" t="s">
        <v>1467</v>
      </c>
      <c r="H7875" s="5" t="s">
        <v>1468</v>
      </c>
      <c r="I7875" s="5" t="s">
        <v>31</v>
      </c>
      <c r="J7875" s="5">
        <v>16.316732541663001</v>
      </c>
      <c r="K7875" s="5">
        <v>-96.403242125581997</v>
      </c>
      <c r="L7875" s="5" t="str">
        <f>HYPERLINK("https://maps.google.com/?q=16.3167325416628,-96.403242125581997", "🔗 Ver Mapa")</f>
        <v>🔗 Ver Mapa</v>
      </c>
    </row>
    <row r="7876" spans="1:12" ht="43.5" x14ac:dyDescent="0.35">
      <c r="A7876" s="6" t="s">
        <v>98</v>
      </c>
      <c r="B7876" s="6" t="s">
        <v>99</v>
      </c>
      <c r="C7876" s="6" t="s">
        <v>1466</v>
      </c>
      <c r="D7876" s="6" t="s">
        <v>14</v>
      </c>
      <c r="E7876" s="6" t="s">
        <v>39</v>
      </c>
      <c r="F7876" s="6" t="s">
        <v>353</v>
      </c>
      <c r="G7876" s="6" t="s">
        <v>1467</v>
      </c>
      <c r="H7876" s="6" t="s">
        <v>1468</v>
      </c>
      <c r="I7876" s="6" t="s">
        <v>31</v>
      </c>
      <c r="J7876" s="6">
        <v>16.316852395478001</v>
      </c>
      <c r="K7876" s="6">
        <v>-96.405648025795003</v>
      </c>
      <c r="L7876" s="6" t="str">
        <f>HYPERLINK("https://maps.google.com/?q=16.3168523954782,-96.405648025794903", "🔗 Ver Mapa")</f>
        <v>🔗 Ver Mapa</v>
      </c>
    </row>
    <row r="7877" spans="1:12" ht="43.5" x14ac:dyDescent="0.35">
      <c r="A7877" s="5" t="s">
        <v>98</v>
      </c>
      <c r="B7877" s="5" t="s">
        <v>99</v>
      </c>
      <c r="C7877" s="5" t="s">
        <v>1466</v>
      </c>
      <c r="D7877" s="5" t="s">
        <v>14</v>
      </c>
      <c r="E7877" s="5" t="s">
        <v>39</v>
      </c>
      <c r="F7877" s="5" t="s">
        <v>353</v>
      </c>
      <c r="G7877" s="5" t="s">
        <v>1467</v>
      </c>
      <c r="H7877" s="5" t="s">
        <v>1468</v>
      </c>
      <c r="I7877" s="5" t="s">
        <v>31</v>
      </c>
      <c r="J7877" s="5">
        <v>16.317062466538001</v>
      </c>
      <c r="K7877" s="5">
        <v>-96.406043558131003</v>
      </c>
      <c r="L7877" s="5" t="str">
        <f>HYPERLINK("https://maps.google.com/?q=16.3170624665379,-96.406043558131003", "🔗 Ver Mapa")</f>
        <v>🔗 Ver Mapa</v>
      </c>
    </row>
    <row r="7878" spans="1:12" ht="43.5" x14ac:dyDescent="0.35">
      <c r="A7878" s="6" t="s">
        <v>98</v>
      </c>
      <c r="B7878" s="6" t="s">
        <v>99</v>
      </c>
      <c r="C7878" s="6" t="s">
        <v>1466</v>
      </c>
      <c r="D7878" s="6" t="s">
        <v>14</v>
      </c>
      <c r="E7878" s="6" t="s">
        <v>39</v>
      </c>
      <c r="F7878" s="6" t="s">
        <v>353</v>
      </c>
      <c r="G7878" s="6" t="s">
        <v>1467</v>
      </c>
      <c r="H7878" s="6" t="s">
        <v>1468</v>
      </c>
      <c r="I7878" s="6" t="s">
        <v>31</v>
      </c>
      <c r="J7878" s="6">
        <v>16.317294775941001</v>
      </c>
      <c r="K7878" s="6">
        <v>-96.409791740171997</v>
      </c>
      <c r="L7878" s="6" t="str">
        <f>HYPERLINK("https://maps.google.com/?q=16.3172947759412,-96.409791740172295", "🔗 Ver Mapa")</f>
        <v>🔗 Ver Mapa</v>
      </c>
    </row>
    <row r="7879" spans="1:12" ht="43.5" x14ac:dyDescent="0.35">
      <c r="A7879" s="5" t="s">
        <v>98</v>
      </c>
      <c r="B7879" s="5" t="s">
        <v>99</v>
      </c>
      <c r="C7879" s="5" t="s">
        <v>1466</v>
      </c>
      <c r="D7879" s="5" t="s">
        <v>14</v>
      </c>
      <c r="E7879" s="5" t="s">
        <v>39</v>
      </c>
      <c r="F7879" s="5" t="s">
        <v>353</v>
      </c>
      <c r="G7879" s="5" t="s">
        <v>1467</v>
      </c>
      <c r="H7879" s="5" t="s">
        <v>1468</v>
      </c>
      <c r="I7879" s="5" t="s">
        <v>31</v>
      </c>
      <c r="J7879" s="5">
        <v>16.317629750165001</v>
      </c>
      <c r="K7879" s="5">
        <v>-96.412977354987007</v>
      </c>
      <c r="L7879" s="5" t="str">
        <f>HYPERLINK("https://maps.google.com/?q=16.3176297501651,-96.412977354986893", "🔗 Ver Mapa")</f>
        <v>🔗 Ver Mapa</v>
      </c>
    </row>
    <row r="7880" spans="1:12" ht="43.5" x14ac:dyDescent="0.35">
      <c r="A7880" s="6" t="s">
        <v>98</v>
      </c>
      <c r="B7880" s="6" t="s">
        <v>99</v>
      </c>
      <c r="C7880" s="6" t="s">
        <v>1466</v>
      </c>
      <c r="D7880" s="6" t="s">
        <v>14</v>
      </c>
      <c r="E7880" s="6" t="s">
        <v>39</v>
      </c>
      <c r="F7880" s="6" t="s">
        <v>353</v>
      </c>
      <c r="G7880" s="6" t="s">
        <v>1467</v>
      </c>
      <c r="H7880" s="6" t="s">
        <v>1468</v>
      </c>
      <c r="I7880" s="6" t="s">
        <v>31</v>
      </c>
      <c r="J7880" s="6">
        <v>16.317686682133999</v>
      </c>
      <c r="K7880" s="6">
        <v>-96.405744655259994</v>
      </c>
      <c r="L7880" s="6" t="str">
        <f>HYPERLINK("https://maps.google.com/?q=16.3176866821341,-96.405744655259596", "🔗 Ver Mapa")</f>
        <v>🔗 Ver Mapa</v>
      </c>
    </row>
    <row r="7881" spans="1:12" ht="43.5" x14ac:dyDescent="0.35">
      <c r="A7881" s="5" t="s">
        <v>98</v>
      </c>
      <c r="B7881" s="5" t="s">
        <v>99</v>
      </c>
      <c r="C7881" s="5" t="s">
        <v>1466</v>
      </c>
      <c r="D7881" s="5" t="s">
        <v>14</v>
      </c>
      <c r="E7881" s="5" t="s">
        <v>39</v>
      </c>
      <c r="F7881" s="5" t="s">
        <v>353</v>
      </c>
      <c r="G7881" s="5" t="s">
        <v>1467</v>
      </c>
      <c r="H7881" s="5" t="s">
        <v>1468</v>
      </c>
      <c r="I7881" s="5" t="s">
        <v>31</v>
      </c>
      <c r="J7881" s="5">
        <v>16.317762735639</v>
      </c>
      <c r="K7881" s="5">
        <v>-96.410720395897002</v>
      </c>
      <c r="L7881" s="5" t="str">
        <f>HYPERLINK("https://maps.google.com/?q=16.3177627356388,-96.410720395896902", "🔗 Ver Mapa")</f>
        <v>🔗 Ver Mapa</v>
      </c>
    </row>
    <row r="7882" spans="1:12" ht="43.5" x14ac:dyDescent="0.35">
      <c r="A7882" s="6" t="s">
        <v>98</v>
      </c>
      <c r="B7882" s="6" t="s">
        <v>99</v>
      </c>
      <c r="C7882" s="6" t="s">
        <v>1466</v>
      </c>
      <c r="D7882" s="6" t="s">
        <v>14</v>
      </c>
      <c r="E7882" s="6" t="s">
        <v>39</v>
      </c>
      <c r="F7882" s="6" t="s">
        <v>353</v>
      </c>
      <c r="G7882" s="6" t="s">
        <v>1467</v>
      </c>
      <c r="H7882" s="6" t="s">
        <v>1468</v>
      </c>
      <c r="I7882" s="6" t="s">
        <v>31</v>
      </c>
      <c r="J7882" s="6">
        <v>16.317818018972002</v>
      </c>
      <c r="K7882" s="6">
        <v>-96.410487495701005</v>
      </c>
      <c r="L7882" s="6" t="str">
        <f>HYPERLINK("https://maps.google.com/?q=16.3178180189719,-96.410487495700806", "🔗 Ver Mapa")</f>
        <v>🔗 Ver Mapa</v>
      </c>
    </row>
    <row r="7883" spans="1:12" ht="43.5" x14ac:dyDescent="0.35">
      <c r="A7883" s="5" t="s">
        <v>98</v>
      </c>
      <c r="B7883" s="5" t="s">
        <v>99</v>
      </c>
      <c r="C7883" s="5" t="s">
        <v>1466</v>
      </c>
      <c r="D7883" s="5" t="s">
        <v>14</v>
      </c>
      <c r="E7883" s="5" t="s">
        <v>39</v>
      </c>
      <c r="F7883" s="5" t="s">
        <v>353</v>
      </c>
      <c r="G7883" s="5" t="s">
        <v>1467</v>
      </c>
      <c r="H7883" s="5" t="s">
        <v>1468</v>
      </c>
      <c r="I7883" s="5" t="s">
        <v>31</v>
      </c>
      <c r="J7883" s="5">
        <v>16.317940131741999</v>
      </c>
      <c r="K7883" s="5">
        <v>-96.409267644180005</v>
      </c>
      <c r="L7883" s="5" t="str">
        <f>HYPERLINK("https://maps.google.com/?q=16.3179401317423,-96.409267644180204", "🔗 Ver Mapa")</f>
        <v>🔗 Ver Mapa</v>
      </c>
    </row>
    <row r="7884" spans="1:12" ht="43.5" x14ac:dyDescent="0.35">
      <c r="A7884" s="6" t="s">
        <v>98</v>
      </c>
      <c r="B7884" s="6" t="s">
        <v>99</v>
      </c>
      <c r="C7884" s="6" t="s">
        <v>1466</v>
      </c>
      <c r="D7884" s="6" t="s">
        <v>14</v>
      </c>
      <c r="E7884" s="6" t="s">
        <v>39</v>
      </c>
      <c r="F7884" s="6" t="s">
        <v>353</v>
      </c>
      <c r="G7884" s="6" t="s">
        <v>1467</v>
      </c>
      <c r="H7884" s="6" t="s">
        <v>1468</v>
      </c>
      <c r="I7884" s="6" t="s">
        <v>31</v>
      </c>
      <c r="J7884" s="6">
        <v>16.317999122181</v>
      </c>
      <c r="K7884" s="6">
        <v>-96.403049737434003</v>
      </c>
      <c r="L7884" s="6" t="str">
        <f>HYPERLINK("https://maps.google.com/?q=16.3179991221808,-96.403049737434401", "🔗 Ver Mapa")</f>
        <v>🔗 Ver Mapa</v>
      </c>
    </row>
    <row r="7885" spans="1:12" ht="43.5" x14ac:dyDescent="0.35">
      <c r="A7885" s="5" t="s">
        <v>98</v>
      </c>
      <c r="B7885" s="5" t="s">
        <v>99</v>
      </c>
      <c r="C7885" s="5" t="s">
        <v>1466</v>
      </c>
      <c r="D7885" s="5" t="s">
        <v>14</v>
      </c>
      <c r="E7885" s="5" t="s">
        <v>39</v>
      </c>
      <c r="F7885" s="5" t="s">
        <v>353</v>
      </c>
      <c r="G7885" s="5" t="s">
        <v>1467</v>
      </c>
      <c r="H7885" s="5" t="s">
        <v>1468</v>
      </c>
      <c r="I7885" s="5" t="s">
        <v>31</v>
      </c>
      <c r="J7885" s="5">
        <v>16.318042074373999</v>
      </c>
      <c r="K7885" s="5">
        <v>-96.403682241734003</v>
      </c>
      <c r="L7885" s="5" t="str">
        <f>HYPERLINK("https://maps.google.com/?q=16.3180420743744,-96.403682241733605", "🔗 Ver Mapa")</f>
        <v>🔗 Ver Mapa</v>
      </c>
    </row>
    <row r="7886" spans="1:12" ht="43.5" x14ac:dyDescent="0.35">
      <c r="A7886" s="6" t="s">
        <v>98</v>
      </c>
      <c r="B7886" s="6" t="s">
        <v>99</v>
      </c>
      <c r="C7886" s="6" t="s">
        <v>1466</v>
      </c>
      <c r="D7886" s="6" t="s">
        <v>14</v>
      </c>
      <c r="E7886" s="6" t="s">
        <v>39</v>
      </c>
      <c r="F7886" s="6" t="s">
        <v>353</v>
      </c>
      <c r="G7886" s="6" t="s">
        <v>1467</v>
      </c>
      <c r="H7886" s="6" t="s">
        <v>1468</v>
      </c>
      <c r="I7886" s="6" t="s">
        <v>31</v>
      </c>
      <c r="J7886" s="6">
        <v>16.318169076922</v>
      </c>
      <c r="K7886" s="6">
        <v>-96.411358346643993</v>
      </c>
      <c r="L7886" s="6" t="str">
        <f>HYPERLINK("https://maps.google.com/?q=16.3181690769221,-96.411358346644306", "🔗 Ver Mapa")</f>
        <v>🔗 Ver Mapa</v>
      </c>
    </row>
    <row r="7887" spans="1:12" ht="43.5" x14ac:dyDescent="0.35">
      <c r="A7887" s="5" t="s">
        <v>98</v>
      </c>
      <c r="B7887" s="5" t="s">
        <v>99</v>
      </c>
      <c r="C7887" s="5" t="s">
        <v>1466</v>
      </c>
      <c r="D7887" s="5" t="s">
        <v>14</v>
      </c>
      <c r="E7887" s="5" t="s">
        <v>39</v>
      </c>
      <c r="F7887" s="5" t="s">
        <v>353</v>
      </c>
      <c r="G7887" s="5" t="s">
        <v>1467</v>
      </c>
      <c r="H7887" s="5" t="s">
        <v>1468</v>
      </c>
      <c r="I7887" s="5" t="s">
        <v>31</v>
      </c>
      <c r="J7887" s="5">
        <v>16.318248945097</v>
      </c>
      <c r="K7887" s="5">
        <v>-96.409233994109997</v>
      </c>
      <c r="L7887" s="5" t="str">
        <f>HYPERLINK("https://maps.google.com/?q=16.3182489450973,-96.409233994109698", "🔗 Ver Mapa")</f>
        <v>🔗 Ver Mapa</v>
      </c>
    </row>
    <row r="7888" spans="1:12" ht="43.5" x14ac:dyDescent="0.35">
      <c r="A7888" s="6" t="s">
        <v>98</v>
      </c>
      <c r="B7888" s="6" t="s">
        <v>99</v>
      </c>
      <c r="C7888" s="6" t="s">
        <v>1466</v>
      </c>
      <c r="D7888" s="6" t="s">
        <v>14</v>
      </c>
      <c r="E7888" s="6" t="s">
        <v>39</v>
      </c>
      <c r="F7888" s="6" t="s">
        <v>353</v>
      </c>
      <c r="G7888" s="6" t="s">
        <v>1467</v>
      </c>
      <c r="H7888" s="6" t="s">
        <v>1468</v>
      </c>
      <c r="I7888" s="6" t="s">
        <v>31</v>
      </c>
      <c r="J7888" s="6">
        <v>16.318256437951</v>
      </c>
      <c r="K7888" s="6">
        <v>-96.408158480986003</v>
      </c>
      <c r="L7888" s="6" t="str">
        <f>HYPERLINK("https://maps.google.com/?q=16.3182564379509,-96.408158480985705", "🔗 Ver Mapa")</f>
        <v>🔗 Ver Mapa</v>
      </c>
    </row>
    <row r="7889" spans="1:12" ht="43.5" x14ac:dyDescent="0.35">
      <c r="A7889" s="5" t="s">
        <v>98</v>
      </c>
      <c r="B7889" s="5" t="s">
        <v>99</v>
      </c>
      <c r="C7889" s="5" t="s">
        <v>1466</v>
      </c>
      <c r="D7889" s="5" t="s">
        <v>14</v>
      </c>
      <c r="E7889" s="5" t="s">
        <v>39</v>
      </c>
      <c r="F7889" s="5" t="s">
        <v>353</v>
      </c>
      <c r="G7889" s="5" t="s">
        <v>1467</v>
      </c>
      <c r="H7889" s="5" t="s">
        <v>1468</v>
      </c>
      <c r="I7889" s="5" t="s">
        <v>31</v>
      </c>
      <c r="J7889" s="5">
        <v>16.318300863792</v>
      </c>
      <c r="K7889" s="5">
        <v>-96.412714428241998</v>
      </c>
      <c r="L7889" s="5" t="str">
        <f>HYPERLINK("https://maps.google.com/?q=16.3183008637916,-96.412714428241699", "🔗 Ver Mapa")</f>
        <v>🔗 Ver Mapa</v>
      </c>
    </row>
    <row r="7890" spans="1:12" ht="43.5" x14ac:dyDescent="0.35">
      <c r="A7890" s="6" t="s">
        <v>98</v>
      </c>
      <c r="B7890" s="6" t="s">
        <v>99</v>
      </c>
      <c r="C7890" s="6" t="s">
        <v>1466</v>
      </c>
      <c r="D7890" s="6" t="s">
        <v>14</v>
      </c>
      <c r="E7890" s="6" t="s">
        <v>39</v>
      </c>
      <c r="F7890" s="6" t="s">
        <v>353</v>
      </c>
      <c r="G7890" s="6" t="s">
        <v>1467</v>
      </c>
      <c r="H7890" s="6" t="s">
        <v>1468</v>
      </c>
      <c r="I7890" s="6" t="s">
        <v>31</v>
      </c>
      <c r="J7890" s="6">
        <v>16.318385576712</v>
      </c>
      <c r="K7890" s="6">
        <v>-96.411773836804997</v>
      </c>
      <c r="L7890" s="6" t="str">
        <f>HYPERLINK("https://maps.google.com/?q=16.3183855767116,-96.411773836805295", "🔗 Ver Mapa")</f>
        <v>🔗 Ver Mapa</v>
      </c>
    </row>
    <row r="7891" spans="1:12" ht="43.5" x14ac:dyDescent="0.35">
      <c r="A7891" s="5" t="s">
        <v>98</v>
      </c>
      <c r="B7891" s="5" t="s">
        <v>99</v>
      </c>
      <c r="C7891" s="5" t="s">
        <v>1466</v>
      </c>
      <c r="D7891" s="5" t="s">
        <v>14</v>
      </c>
      <c r="E7891" s="5" t="s">
        <v>39</v>
      </c>
      <c r="F7891" s="5" t="s">
        <v>353</v>
      </c>
      <c r="G7891" s="5" t="s">
        <v>1467</v>
      </c>
      <c r="H7891" s="5" t="s">
        <v>1468</v>
      </c>
      <c r="I7891" s="5" t="s">
        <v>31</v>
      </c>
      <c r="J7891" s="5">
        <v>16.318413131774001</v>
      </c>
      <c r="K7891" s="5">
        <v>-96.413973842922005</v>
      </c>
      <c r="L7891" s="5" t="str">
        <f>HYPERLINK("https://maps.google.com/?q=16.3184131317735,-96.413973842922204", "🔗 Ver Mapa")</f>
        <v>🔗 Ver Mapa</v>
      </c>
    </row>
    <row r="7892" spans="1:12" ht="43.5" x14ac:dyDescent="0.35">
      <c r="A7892" s="6" t="s">
        <v>98</v>
      </c>
      <c r="B7892" s="6" t="s">
        <v>99</v>
      </c>
      <c r="C7892" s="6" t="s">
        <v>1466</v>
      </c>
      <c r="D7892" s="6" t="s">
        <v>14</v>
      </c>
      <c r="E7892" s="6" t="s">
        <v>39</v>
      </c>
      <c r="F7892" s="6" t="s">
        <v>353</v>
      </c>
      <c r="G7892" s="6" t="s">
        <v>1467</v>
      </c>
      <c r="H7892" s="6" t="s">
        <v>1468</v>
      </c>
      <c r="I7892" s="6" t="s">
        <v>31</v>
      </c>
      <c r="J7892" s="6">
        <v>16.318482234310999</v>
      </c>
      <c r="K7892" s="6">
        <v>-96.408965811911997</v>
      </c>
      <c r="L7892" s="6" t="str">
        <f>HYPERLINK("https://maps.google.com/?q=16.3184822343114,-96.408965811911798", "🔗 Ver Mapa")</f>
        <v>🔗 Ver Mapa</v>
      </c>
    </row>
    <row r="7893" spans="1:12" ht="43.5" x14ac:dyDescent="0.35">
      <c r="A7893" s="5" t="s">
        <v>98</v>
      </c>
      <c r="B7893" s="5" t="s">
        <v>99</v>
      </c>
      <c r="C7893" s="5" t="s">
        <v>1466</v>
      </c>
      <c r="D7893" s="5" t="s">
        <v>14</v>
      </c>
      <c r="E7893" s="5" t="s">
        <v>39</v>
      </c>
      <c r="F7893" s="5" t="s">
        <v>353</v>
      </c>
      <c r="G7893" s="5" t="s">
        <v>1467</v>
      </c>
      <c r="H7893" s="5" t="s">
        <v>1468</v>
      </c>
      <c r="I7893" s="5" t="s">
        <v>31</v>
      </c>
      <c r="J7893" s="5">
        <v>16.318510385654001</v>
      </c>
      <c r="K7893" s="5">
        <v>-96.413756247549998</v>
      </c>
      <c r="L7893" s="5" t="str">
        <f>HYPERLINK("https://maps.google.com/?q=16.3185103856541,-96.413756247550197", "🔗 Ver Mapa")</f>
        <v>🔗 Ver Mapa</v>
      </c>
    </row>
    <row r="7894" spans="1:12" ht="43.5" x14ac:dyDescent="0.35">
      <c r="A7894" s="6" t="s">
        <v>98</v>
      </c>
      <c r="B7894" s="6" t="s">
        <v>99</v>
      </c>
      <c r="C7894" s="6" t="s">
        <v>1466</v>
      </c>
      <c r="D7894" s="6" t="s">
        <v>14</v>
      </c>
      <c r="E7894" s="6" t="s">
        <v>39</v>
      </c>
      <c r="F7894" s="6" t="s">
        <v>353</v>
      </c>
      <c r="G7894" s="6" t="s">
        <v>1467</v>
      </c>
      <c r="H7894" s="6" t="s">
        <v>1468</v>
      </c>
      <c r="I7894" s="6" t="s">
        <v>31</v>
      </c>
      <c r="J7894" s="6">
        <v>16.318551346884998</v>
      </c>
      <c r="K7894" s="6">
        <v>-96.413150749668006</v>
      </c>
      <c r="L7894" s="6" t="str">
        <f>HYPERLINK("https://maps.google.com/?q=16.318551346885,-96.413150749668105", "🔗 Ver Mapa")</f>
        <v>🔗 Ver Mapa</v>
      </c>
    </row>
    <row r="7895" spans="1:12" ht="43.5" x14ac:dyDescent="0.35">
      <c r="A7895" s="5" t="s">
        <v>98</v>
      </c>
      <c r="B7895" s="5" t="s">
        <v>99</v>
      </c>
      <c r="C7895" s="5" t="s">
        <v>1466</v>
      </c>
      <c r="D7895" s="5" t="s">
        <v>14</v>
      </c>
      <c r="E7895" s="5" t="s">
        <v>39</v>
      </c>
      <c r="F7895" s="5" t="s">
        <v>353</v>
      </c>
      <c r="G7895" s="5" t="s">
        <v>1467</v>
      </c>
      <c r="H7895" s="5" t="s">
        <v>1468</v>
      </c>
      <c r="I7895" s="5" t="s">
        <v>31</v>
      </c>
      <c r="J7895" s="5">
        <v>16.318574765784</v>
      </c>
      <c r="K7895" s="5">
        <v>-96.405349950314999</v>
      </c>
      <c r="L7895" s="5" t="str">
        <f>HYPERLINK("https://maps.google.com/?q=16.3185747657837,-96.405349950314601", "🔗 Ver Mapa")</f>
        <v>🔗 Ver Mapa</v>
      </c>
    </row>
    <row r="7896" spans="1:12" ht="43.5" x14ac:dyDescent="0.35">
      <c r="A7896" s="6" t="s">
        <v>98</v>
      </c>
      <c r="B7896" s="6" t="s">
        <v>99</v>
      </c>
      <c r="C7896" s="6" t="s">
        <v>1466</v>
      </c>
      <c r="D7896" s="6" t="s">
        <v>14</v>
      </c>
      <c r="E7896" s="6" t="s">
        <v>39</v>
      </c>
      <c r="F7896" s="6" t="s">
        <v>353</v>
      </c>
      <c r="G7896" s="6" t="s">
        <v>1467</v>
      </c>
      <c r="H7896" s="6" t="s">
        <v>1468</v>
      </c>
      <c r="I7896" s="6" t="s">
        <v>31</v>
      </c>
      <c r="J7896" s="6">
        <v>16.318869791701999</v>
      </c>
      <c r="K7896" s="6">
        <v>-96.408737136823007</v>
      </c>
      <c r="L7896" s="6" t="str">
        <f>HYPERLINK("https://maps.google.com/?q=16.318869791702,-96.408737136822793", "🔗 Ver Mapa")</f>
        <v>🔗 Ver Mapa</v>
      </c>
    </row>
    <row r="7897" spans="1:12" ht="43.5" x14ac:dyDescent="0.35">
      <c r="A7897" s="5" t="s">
        <v>98</v>
      </c>
      <c r="B7897" s="5" t="s">
        <v>99</v>
      </c>
      <c r="C7897" s="5" t="s">
        <v>1466</v>
      </c>
      <c r="D7897" s="5" t="s">
        <v>14</v>
      </c>
      <c r="E7897" s="5" t="s">
        <v>39</v>
      </c>
      <c r="F7897" s="5" t="s">
        <v>353</v>
      </c>
      <c r="G7897" s="5" t="s">
        <v>1467</v>
      </c>
      <c r="H7897" s="5" t="s">
        <v>1468</v>
      </c>
      <c r="I7897" s="5" t="s">
        <v>31</v>
      </c>
      <c r="J7897" s="5">
        <v>16.319016021595001</v>
      </c>
      <c r="K7897" s="5">
        <v>-96.413259334987998</v>
      </c>
      <c r="L7897" s="5" t="str">
        <f>HYPERLINK("https://maps.google.com/?q=16.3190160215947,-96.413259334987501", "🔗 Ver Mapa")</f>
        <v>🔗 Ver Mapa</v>
      </c>
    </row>
    <row r="7898" spans="1:12" ht="43.5" x14ac:dyDescent="0.35">
      <c r="A7898" s="6" t="s">
        <v>98</v>
      </c>
      <c r="B7898" s="6" t="s">
        <v>99</v>
      </c>
      <c r="C7898" s="6" t="s">
        <v>1466</v>
      </c>
      <c r="D7898" s="6" t="s">
        <v>14</v>
      </c>
      <c r="E7898" s="6" t="s">
        <v>39</v>
      </c>
      <c r="F7898" s="6" t="s">
        <v>353</v>
      </c>
      <c r="G7898" s="6" t="s">
        <v>1467</v>
      </c>
      <c r="H7898" s="6" t="s">
        <v>1468</v>
      </c>
      <c r="I7898" s="6" t="s">
        <v>31</v>
      </c>
      <c r="J7898" s="6">
        <v>16.319029379810999</v>
      </c>
      <c r="K7898" s="6">
        <v>-96.410487164060996</v>
      </c>
      <c r="L7898" s="6" t="str">
        <f>HYPERLINK("https://maps.google.com/?q=16.3190293798108,-96.410487164061394", "🔗 Ver Mapa")</f>
        <v>🔗 Ver Mapa</v>
      </c>
    </row>
    <row r="7899" spans="1:12" ht="43.5" x14ac:dyDescent="0.35">
      <c r="A7899" s="5" t="s">
        <v>98</v>
      </c>
      <c r="B7899" s="5" t="s">
        <v>99</v>
      </c>
      <c r="C7899" s="5" t="s">
        <v>1466</v>
      </c>
      <c r="D7899" s="5" t="s">
        <v>14</v>
      </c>
      <c r="E7899" s="5" t="s">
        <v>39</v>
      </c>
      <c r="F7899" s="5" t="s">
        <v>353</v>
      </c>
      <c r="G7899" s="5" t="s">
        <v>1467</v>
      </c>
      <c r="H7899" s="5" t="s">
        <v>1468</v>
      </c>
      <c r="I7899" s="5" t="s">
        <v>31</v>
      </c>
      <c r="J7899" s="5">
        <v>16.319100398401002</v>
      </c>
      <c r="K7899" s="5">
        <v>-96.410058898147</v>
      </c>
      <c r="L7899" s="5" t="str">
        <f>HYPERLINK("https://maps.google.com/?q=16.3191003984005,-96.410058898147497", "🔗 Ver Mapa")</f>
        <v>🔗 Ver Mapa</v>
      </c>
    </row>
    <row r="7900" spans="1:12" ht="43.5" x14ac:dyDescent="0.35">
      <c r="A7900" s="6" t="s">
        <v>98</v>
      </c>
      <c r="B7900" s="6" t="s">
        <v>99</v>
      </c>
      <c r="C7900" s="6" t="s">
        <v>1466</v>
      </c>
      <c r="D7900" s="6" t="s">
        <v>14</v>
      </c>
      <c r="E7900" s="6" t="s">
        <v>39</v>
      </c>
      <c r="F7900" s="6" t="s">
        <v>353</v>
      </c>
      <c r="G7900" s="6" t="s">
        <v>1467</v>
      </c>
      <c r="H7900" s="6" t="s">
        <v>1468</v>
      </c>
      <c r="I7900" s="6" t="s">
        <v>31</v>
      </c>
      <c r="J7900" s="6">
        <v>16.319120323772999</v>
      </c>
      <c r="K7900" s="6">
        <v>-96.408069055224999</v>
      </c>
      <c r="L7900" s="6" t="str">
        <f>HYPERLINK("https://maps.google.com/?q=16.3191203237733,-96.408069055225297", "🔗 Ver Mapa")</f>
        <v>🔗 Ver Mapa</v>
      </c>
    </row>
    <row r="7901" spans="1:12" ht="43.5" x14ac:dyDescent="0.35">
      <c r="A7901" s="5" t="s">
        <v>98</v>
      </c>
      <c r="B7901" s="5" t="s">
        <v>99</v>
      </c>
      <c r="C7901" s="5" t="s">
        <v>1466</v>
      </c>
      <c r="D7901" s="5" t="s">
        <v>14</v>
      </c>
      <c r="E7901" s="5" t="s">
        <v>39</v>
      </c>
      <c r="F7901" s="5" t="s">
        <v>353</v>
      </c>
      <c r="G7901" s="5" t="s">
        <v>1467</v>
      </c>
      <c r="H7901" s="5" t="s">
        <v>1468</v>
      </c>
      <c r="I7901" s="5" t="s">
        <v>31</v>
      </c>
      <c r="J7901" s="5">
        <v>16.319134576702002</v>
      </c>
      <c r="K7901" s="5">
        <v>-96.406941682208995</v>
      </c>
      <c r="L7901" s="5" t="str">
        <f>HYPERLINK("https://maps.google.com/?q=16.3191345767018,-96.406941682208995", "🔗 Ver Mapa")</f>
        <v>🔗 Ver Mapa</v>
      </c>
    </row>
    <row r="7902" spans="1:12" ht="43.5" x14ac:dyDescent="0.35">
      <c r="A7902" s="6" t="s">
        <v>98</v>
      </c>
      <c r="B7902" s="6" t="s">
        <v>99</v>
      </c>
      <c r="C7902" s="6" t="s">
        <v>1466</v>
      </c>
      <c r="D7902" s="6" t="s">
        <v>14</v>
      </c>
      <c r="E7902" s="6" t="s">
        <v>39</v>
      </c>
      <c r="F7902" s="6" t="s">
        <v>353</v>
      </c>
      <c r="G7902" s="6" t="s">
        <v>1467</v>
      </c>
      <c r="H7902" s="6" t="s">
        <v>1468</v>
      </c>
      <c r="I7902" s="6" t="s">
        <v>31</v>
      </c>
      <c r="J7902" s="6">
        <v>16.319218206554002</v>
      </c>
      <c r="K7902" s="6">
        <v>-96.409609443457001</v>
      </c>
      <c r="L7902" s="6" t="str">
        <f>HYPERLINK("https://maps.google.com/?q=16.3192182065544,-96.4096094434572", "🔗 Ver Mapa")</f>
        <v>🔗 Ver Mapa</v>
      </c>
    </row>
    <row r="7903" spans="1:12" ht="43.5" x14ac:dyDescent="0.35">
      <c r="A7903" s="5" t="s">
        <v>98</v>
      </c>
      <c r="B7903" s="5" t="s">
        <v>99</v>
      </c>
      <c r="C7903" s="5" t="s">
        <v>1466</v>
      </c>
      <c r="D7903" s="5" t="s">
        <v>14</v>
      </c>
      <c r="E7903" s="5" t="s">
        <v>39</v>
      </c>
      <c r="F7903" s="5" t="s">
        <v>353</v>
      </c>
      <c r="G7903" s="5" t="s">
        <v>1467</v>
      </c>
      <c r="H7903" s="5" t="s">
        <v>1468</v>
      </c>
      <c r="I7903" s="5" t="s">
        <v>31</v>
      </c>
      <c r="J7903" s="5">
        <v>16.319247242088998</v>
      </c>
      <c r="K7903" s="5">
        <v>-96.407257046626995</v>
      </c>
      <c r="L7903" s="5" t="str">
        <f>HYPERLINK("https://maps.google.com/?q=16.3192472420885,-96.407257046626995", "🔗 Ver Mapa")</f>
        <v>🔗 Ver Mapa</v>
      </c>
    </row>
    <row r="7904" spans="1:12" ht="43.5" x14ac:dyDescent="0.35">
      <c r="A7904" s="6" t="s">
        <v>98</v>
      </c>
      <c r="B7904" s="6" t="s">
        <v>99</v>
      </c>
      <c r="C7904" s="6" t="s">
        <v>1466</v>
      </c>
      <c r="D7904" s="6" t="s">
        <v>14</v>
      </c>
      <c r="E7904" s="6" t="s">
        <v>39</v>
      </c>
      <c r="F7904" s="6" t="s">
        <v>353</v>
      </c>
      <c r="G7904" s="6" t="s">
        <v>1467</v>
      </c>
      <c r="H7904" s="6" t="s">
        <v>1468</v>
      </c>
      <c r="I7904" s="6" t="s">
        <v>31</v>
      </c>
      <c r="J7904" s="6">
        <v>16.319252480717999</v>
      </c>
      <c r="K7904" s="6">
        <v>-96.406693469906003</v>
      </c>
      <c r="L7904" s="6" t="str">
        <f>HYPERLINK("https://maps.google.com/?q=16.3192524807183,-96.406693469906102", "🔗 Ver Mapa")</f>
        <v>🔗 Ver Mapa</v>
      </c>
    </row>
    <row r="7905" spans="1:12" ht="43.5" x14ac:dyDescent="0.35">
      <c r="A7905" s="5" t="s">
        <v>98</v>
      </c>
      <c r="B7905" s="5" t="s">
        <v>99</v>
      </c>
      <c r="C7905" s="5" t="s">
        <v>1466</v>
      </c>
      <c r="D7905" s="5" t="s">
        <v>14</v>
      </c>
      <c r="E7905" s="5" t="s">
        <v>39</v>
      </c>
      <c r="F7905" s="5" t="s">
        <v>353</v>
      </c>
      <c r="G7905" s="5" t="s">
        <v>1467</v>
      </c>
      <c r="H7905" s="5" t="s">
        <v>1468</v>
      </c>
      <c r="I7905" s="5" t="s">
        <v>31</v>
      </c>
      <c r="J7905" s="5">
        <v>16.319269036779001</v>
      </c>
      <c r="K7905" s="5">
        <v>-96.405564784060999</v>
      </c>
      <c r="L7905" s="5" t="str">
        <f>HYPERLINK("https://maps.google.com/?q=16.3192690367785,-96.4055647840609", "🔗 Ver Mapa")</f>
        <v>🔗 Ver Mapa</v>
      </c>
    </row>
    <row r="7906" spans="1:12" ht="43.5" x14ac:dyDescent="0.35">
      <c r="A7906" s="6" t="s">
        <v>98</v>
      </c>
      <c r="B7906" s="6" t="s">
        <v>99</v>
      </c>
      <c r="C7906" s="6" t="s">
        <v>1466</v>
      </c>
      <c r="D7906" s="6" t="s">
        <v>14</v>
      </c>
      <c r="E7906" s="6" t="s">
        <v>39</v>
      </c>
      <c r="F7906" s="6" t="s">
        <v>353</v>
      </c>
      <c r="G7906" s="6" t="s">
        <v>1467</v>
      </c>
      <c r="H7906" s="6" t="s">
        <v>1468</v>
      </c>
      <c r="I7906" s="6" t="s">
        <v>31</v>
      </c>
      <c r="J7906" s="6">
        <v>16.319330454170998</v>
      </c>
      <c r="K7906" s="6">
        <v>-96.410004054081995</v>
      </c>
      <c r="L7906" s="6" t="str">
        <f>HYPERLINK("https://maps.google.com/?q=16.3193304541714,-96.410004054081895", "🔗 Ver Mapa")</f>
        <v>🔗 Ver Mapa</v>
      </c>
    </row>
    <row r="7907" spans="1:12" ht="43.5" x14ac:dyDescent="0.35">
      <c r="A7907" s="5" t="s">
        <v>98</v>
      </c>
      <c r="B7907" s="5" t="s">
        <v>99</v>
      </c>
      <c r="C7907" s="5" t="s">
        <v>1466</v>
      </c>
      <c r="D7907" s="5" t="s">
        <v>14</v>
      </c>
      <c r="E7907" s="5" t="s">
        <v>39</v>
      </c>
      <c r="F7907" s="5" t="s">
        <v>353</v>
      </c>
      <c r="G7907" s="5" t="s">
        <v>1467</v>
      </c>
      <c r="H7907" s="5" t="s">
        <v>1468</v>
      </c>
      <c r="I7907" s="5" t="s">
        <v>31</v>
      </c>
      <c r="J7907" s="5">
        <v>16.319368175617001</v>
      </c>
      <c r="K7907" s="5">
        <v>-96.408744533958</v>
      </c>
      <c r="L7907" s="5" t="str">
        <f>HYPERLINK("https://maps.google.com/?q=16.3193681756173,-96.408744533958199", "🔗 Ver Mapa")</f>
        <v>🔗 Ver Mapa</v>
      </c>
    </row>
    <row r="7908" spans="1:12" ht="43.5" x14ac:dyDescent="0.35">
      <c r="A7908" s="6" t="s">
        <v>98</v>
      </c>
      <c r="B7908" s="6" t="s">
        <v>99</v>
      </c>
      <c r="C7908" s="6" t="s">
        <v>1466</v>
      </c>
      <c r="D7908" s="6" t="s">
        <v>14</v>
      </c>
      <c r="E7908" s="6" t="s">
        <v>39</v>
      </c>
      <c r="F7908" s="6" t="s">
        <v>353</v>
      </c>
      <c r="G7908" s="6" t="s">
        <v>1467</v>
      </c>
      <c r="H7908" s="6" t="s">
        <v>1468</v>
      </c>
      <c r="I7908" s="6" t="s">
        <v>31</v>
      </c>
      <c r="J7908" s="6">
        <v>16.319533835282002</v>
      </c>
      <c r="K7908" s="6">
        <v>-96.408667373016002</v>
      </c>
      <c r="L7908" s="6" t="str">
        <f>HYPERLINK("https://maps.google.com/?q=16.319533835282,-96.408667373016399", "🔗 Ver Mapa")</f>
        <v>🔗 Ver Mapa</v>
      </c>
    </row>
    <row r="7909" spans="1:12" ht="43.5" x14ac:dyDescent="0.35">
      <c r="A7909" s="5" t="s">
        <v>98</v>
      </c>
      <c r="B7909" s="5" t="s">
        <v>99</v>
      </c>
      <c r="C7909" s="5" t="s">
        <v>1466</v>
      </c>
      <c r="D7909" s="5" t="s">
        <v>14</v>
      </c>
      <c r="E7909" s="5" t="s">
        <v>39</v>
      </c>
      <c r="F7909" s="5" t="s">
        <v>353</v>
      </c>
      <c r="G7909" s="5" t="s">
        <v>1467</v>
      </c>
      <c r="H7909" s="5" t="s">
        <v>1468</v>
      </c>
      <c r="I7909" s="5" t="s">
        <v>31</v>
      </c>
      <c r="J7909" s="5">
        <v>16.319581045700001</v>
      </c>
      <c r="K7909" s="5">
        <v>-96.407022699821994</v>
      </c>
      <c r="L7909" s="5" t="str">
        <f>HYPERLINK("https://maps.google.com/?q=16.3195810457001,-96.407022699821695", "🔗 Ver Mapa")</f>
        <v>🔗 Ver Mapa</v>
      </c>
    </row>
    <row r="7910" spans="1:12" ht="43.5" x14ac:dyDescent="0.35">
      <c r="A7910" s="6" t="s">
        <v>98</v>
      </c>
      <c r="B7910" s="6" t="s">
        <v>99</v>
      </c>
      <c r="C7910" s="6" t="s">
        <v>1466</v>
      </c>
      <c r="D7910" s="6" t="s">
        <v>14</v>
      </c>
      <c r="E7910" s="6" t="s">
        <v>39</v>
      </c>
      <c r="F7910" s="6" t="s">
        <v>353</v>
      </c>
      <c r="G7910" s="6" t="s">
        <v>1467</v>
      </c>
      <c r="H7910" s="6" t="s">
        <v>1468</v>
      </c>
      <c r="I7910" s="6" t="s">
        <v>31</v>
      </c>
      <c r="J7910" s="6">
        <v>16.31964648832</v>
      </c>
      <c r="K7910" s="6">
        <v>-96.408874028853006</v>
      </c>
      <c r="L7910" s="6" t="str">
        <f>HYPERLINK("https://maps.google.com/?q=16.3196464883199,-96.408874028853305", "🔗 Ver Mapa")</f>
        <v>🔗 Ver Mapa</v>
      </c>
    </row>
    <row r="7911" spans="1:12" ht="43.5" x14ac:dyDescent="0.35">
      <c r="A7911" s="5" t="s">
        <v>98</v>
      </c>
      <c r="B7911" s="5" t="s">
        <v>99</v>
      </c>
      <c r="C7911" s="5" t="s">
        <v>1466</v>
      </c>
      <c r="D7911" s="5" t="s">
        <v>14</v>
      </c>
      <c r="E7911" s="5" t="s">
        <v>39</v>
      </c>
      <c r="F7911" s="5" t="s">
        <v>353</v>
      </c>
      <c r="G7911" s="5" t="s">
        <v>1467</v>
      </c>
      <c r="H7911" s="5" t="s">
        <v>1468</v>
      </c>
      <c r="I7911" s="5" t="s">
        <v>31</v>
      </c>
      <c r="J7911" s="5">
        <v>16.319651227386</v>
      </c>
      <c r="K7911" s="5">
        <v>-96.407468212059001</v>
      </c>
      <c r="L7911" s="5" t="str">
        <f>HYPERLINK("https://maps.google.com/?q=16.3196512273863,-96.4074682120592", "🔗 Ver Mapa")</f>
        <v>🔗 Ver Mapa</v>
      </c>
    </row>
    <row r="7912" spans="1:12" ht="43.5" x14ac:dyDescent="0.35">
      <c r="A7912" s="6" t="s">
        <v>98</v>
      </c>
      <c r="B7912" s="6" t="s">
        <v>99</v>
      </c>
      <c r="C7912" s="6" t="s">
        <v>1466</v>
      </c>
      <c r="D7912" s="6" t="s">
        <v>14</v>
      </c>
      <c r="E7912" s="6" t="s">
        <v>39</v>
      </c>
      <c r="F7912" s="6" t="s">
        <v>353</v>
      </c>
      <c r="G7912" s="6" t="s">
        <v>1467</v>
      </c>
      <c r="H7912" s="6" t="s">
        <v>1468</v>
      </c>
      <c r="I7912" s="6" t="s">
        <v>31</v>
      </c>
      <c r="J7912" s="6">
        <v>16.319654939926998</v>
      </c>
      <c r="K7912" s="6">
        <v>-96.410538289319007</v>
      </c>
      <c r="L7912" s="6" t="str">
        <f>HYPERLINK("https://maps.google.com/?q=16.3196549399275,-96.410538289319405", "🔗 Ver Mapa")</f>
        <v>🔗 Ver Mapa</v>
      </c>
    </row>
    <row r="7913" spans="1:12" ht="43.5" x14ac:dyDescent="0.35">
      <c r="A7913" s="5" t="s">
        <v>98</v>
      </c>
      <c r="B7913" s="5" t="s">
        <v>99</v>
      </c>
      <c r="C7913" s="5" t="s">
        <v>1466</v>
      </c>
      <c r="D7913" s="5" t="s">
        <v>14</v>
      </c>
      <c r="E7913" s="5" t="s">
        <v>39</v>
      </c>
      <c r="F7913" s="5" t="s">
        <v>353</v>
      </c>
      <c r="G7913" s="5" t="s">
        <v>1467</v>
      </c>
      <c r="H7913" s="5" t="s">
        <v>1468</v>
      </c>
      <c r="I7913" s="5" t="s">
        <v>31</v>
      </c>
      <c r="J7913" s="5">
        <v>16.319776447386001</v>
      </c>
      <c r="K7913" s="5">
        <v>-96.410265466270005</v>
      </c>
      <c r="L7913" s="5" t="str">
        <f>HYPERLINK("https://maps.google.com/?q=16.3197764473861,-96.410265466270403", "🔗 Ver Mapa")</f>
        <v>🔗 Ver Mapa</v>
      </c>
    </row>
    <row r="7914" spans="1:12" ht="43.5" x14ac:dyDescent="0.35">
      <c r="A7914" s="6" t="s">
        <v>98</v>
      </c>
      <c r="B7914" s="6" t="s">
        <v>99</v>
      </c>
      <c r="C7914" s="6" t="s">
        <v>1466</v>
      </c>
      <c r="D7914" s="6" t="s">
        <v>14</v>
      </c>
      <c r="E7914" s="6" t="s">
        <v>39</v>
      </c>
      <c r="F7914" s="6" t="s">
        <v>353</v>
      </c>
      <c r="G7914" s="6" t="s">
        <v>1467</v>
      </c>
      <c r="H7914" s="6" t="s">
        <v>1468</v>
      </c>
      <c r="I7914" s="6" t="s">
        <v>31</v>
      </c>
      <c r="J7914" s="6">
        <v>16.319787150795001</v>
      </c>
      <c r="K7914" s="6">
        <v>-96.406738942531007</v>
      </c>
      <c r="L7914" s="6" t="str">
        <f>HYPERLINK("https://maps.google.com/?q=16.3197871507955,-96.406738942531007", "🔗 Ver Mapa")</f>
        <v>🔗 Ver Mapa</v>
      </c>
    </row>
    <row r="7915" spans="1:12" ht="43.5" x14ac:dyDescent="0.35">
      <c r="A7915" s="5" t="s">
        <v>98</v>
      </c>
      <c r="B7915" s="5" t="s">
        <v>99</v>
      </c>
      <c r="C7915" s="5" t="s">
        <v>1466</v>
      </c>
      <c r="D7915" s="5" t="s">
        <v>14</v>
      </c>
      <c r="E7915" s="5" t="s">
        <v>39</v>
      </c>
      <c r="F7915" s="5" t="s">
        <v>353</v>
      </c>
      <c r="G7915" s="5" t="s">
        <v>1467</v>
      </c>
      <c r="H7915" s="5" t="s">
        <v>1468</v>
      </c>
      <c r="I7915" s="5" t="s">
        <v>31</v>
      </c>
      <c r="J7915" s="5">
        <v>16.319857627735001</v>
      </c>
      <c r="K7915" s="5">
        <v>-96.408948253491999</v>
      </c>
      <c r="L7915" s="5" t="str">
        <f>HYPERLINK("https://maps.google.com/?q=16.3198576277348,-96.408948253492298", "🔗 Ver Mapa")</f>
        <v>🔗 Ver Mapa</v>
      </c>
    </row>
    <row r="7916" spans="1:12" ht="43.5" x14ac:dyDescent="0.35">
      <c r="A7916" s="6" t="s">
        <v>98</v>
      </c>
      <c r="B7916" s="6" t="s">
        <v>99</v>
      </c>
      <c r="C7916" s="6" t="s">
        <v>1466</v>
      </c>
      <c r="D7916" s="6" t="s">
        <v>14</v>
      </c>
      <c r="E7916" s="6" t="s">
        <v>39</v>
      </c>
      <c r="F7916" s="6" t="s">
        <v>353</v>
      </c>
      <c r="G7916" s="6" t="s">
        <v>1467</v>
      </c>
      <c r="H7916" s="6" t="s">
        <v>1468</v>
      </c>
      <c r="I7916" s="6" t="s">
        <v>31</v>
      </c>
      <c r="J7916" s="6">
        <v>16.319864743928999</v>
      </c>
      <c r="K7916" s="6">
        <v>-96.410570093253995</v>
      </c>
      <c r="L7916" s="6" t="str">
        <f>HYPERLINK("https://maps.google.com/?q=16.3198647439292,-96.410570093253995", "🔗 Ver Mapa")</f>
        <v>🔗 Ver Mapa</v>
      </c>
    </row>
    <row r="7917" spans="1:12" ht="43.5" x14ac:dyDescent="0.35">
      <c r="A7917" s="5" t="s">
        <v>98</v>
      </c>
      <c r="B7917" s="5" t="s">
        <v>99</v>
      </c>
      <c r="C7917" s="5" t="s">
        <v>1466</v>
      </c>
      <c r="D7917" s="5" t="s">
        <v>14</v>
      </c>
      <c r="E7917" s="5" t="s">
        <v>39</v>
      </c>
      <c r="F7917" s="5" t="s">
        <v>353</v>
      </c>
      <c r="G7917" s="5" t="s">
        <v>1467</v>
      </c>
      <c r="H7917" s="5" t="s">
        <v>1468</v>
      </c>
      <c r="I7917" s="5" t="s">
        <v>31</v>
      </c>
      <c r="J7917" s="5">
        <v>16.319883173240999</v>
      </c>
      <c r="K7917" s="5">
        <v>-96.403449600689001</v>
      </c>
      <c r="L7917" s="5" t="str">
        <f>HYPERLINK("https://maps.google.com/?q=16.3198831732406,-96.403449600688504", "🔗 Ver Mapa")</f>
        <v>🔗 Ver Mapa</v>
      </c>
    </row>
    <row r="7918" spans="1:12" ht="43.5" x14ac:dyDescent="0.35">
      <c r="A7918" s="6" t="s">
        <v>98</v>
      </c>
      <c r="B7918" s="6" t="s">
        <v>99</v>
      </c>
      <c r="C7918" s="6" t="s">
        <v>1466</v>
      </c>
      <c r="D7918" s="6" t="s">
        <v>14</v>
      </c>
      <c r="E7918" s="6" t="s">
        <v>39</v>
      </c>
      <c r="F7918" s="6" t="s">
        <v>353</v>
      </c>
      <c r="G7918" s="6" t="s">
        <v>1467</v>
      </c>
      <c r="H7918" s="6" t="s">
        <v>1468</v>
      </c>
      <c r="I7918" s="6" t="s">
        <v>31</v>
      </c>
      <c r="J7918" s="6">
        <v>16.319992669034001</v>
      </c>
      <c r="K7918" s="6">
        <v>-96.403745963082002</v>
      </c>
      <c r="L7918" s="6" t="str">
        <f>HYPERLINK("https://maps.google.com/?q=16.3199926690337,-96.403745963082102", "🔗 Ver Mapa")</f>
        <v>🔗 Ver Mapa</v>
      </c>
    </row>
    <row r="7919" spans="1:12" ht="43.5" x14ac:dyDescent="0.35">
      <c r="A7919" s="5" t="s">
        <v>98</v>
      </c>
      <c r="B7919" s="5" t="s">
        <v>99</v>
      </c>
      <c r="C7919" s="5" t="s">
        <v>1466</v>
      </c>
      <c r="D7919" s="5" t="s">
        <v>14</v>
      </c>
      <c r="E7919" s="5" t="s">
        <v>39</v>
      </c>
      <c r="F7919" s="5" t="s">
        <v>353</v>
      </c>
      <c r="G7919" s="5" t="s">
        <v>1467</v>
      </c>
      <c r="H7919" s="5" t="s">
        <v>1468</v>
      </c>
      <c r="I7919" s="5" t="s">
        <v>31</v>
      </c>
      <c r="J7919" s="5">
        <v>16.320001814284002</v>
      </c>
      <c r="K7919" s="5">
        <v>-96.403098113195</v>
      </c>
      <c r="L7919" s="5" t="str">
        <f>HYPERLINK("https://maps.google.com/?q=16.3200018142844,-96.403098113194702", "🔗 Ver Mapa")</f>
        <v>🔗 Ver Mapa</v>
      </c>
    </row>
    <row r="7920" spans="1:12" ht="43.5" x14ac:dyDescent="0.35">
      <c r="A7920" s="6" t="s">
        <v>98</v>
      </c>
      <c r="B7920" s="6" t="s">
        <v>99</v>
      </c>
      <c r="C7920" s="6" t="s">
        <v>1466</v>
      </c>
      <c r="D7920" s="6" t="s">
        <v>14</v>
      </c>
      <c r="E7920" s="6" t="s">
        <v>39</v>
      </c>
      <c r="F7920" s="6" t="s">
        <v>353</v>
      </c>
      <c r="G7920" s="6" t="s">
        <v>1467</v>
      </c>
      <c r="H7920" s="6" t="s">
        <v>1468</v>
      </c>
      <c r="I7920" s="6" t="s">
        <v>31</v>
      </c>
      <c r="J7920" s="6">
        <v>16.320015292977999</v>
      </c>
      <c r="K7920" s="6">
        <v>-96.408940646662003</v>
      </c>
      <c r="L7920" s="6" t="str">
        <f>HYPERLINK("https://maps.google.com/?q=16.3200152929775,-96.408940646661605", "🔗 Ver Mapa")</f>
        <v>🔗 Ver Mapa</v>
      </c>
    </row>
    <row r="7921" spans="1:12" ht="43.5" x14ac:dyDescent="0.35">
      <c r="A7921" s="5" t="s">
        <v>98</v>
      </c>
      <c r="B7921" s="5" t="s">
        <v>99</v>
      </c>
      <c r="C7921" s="5" t="s">
        <v>1466</v>
      </c>
      <c r="D7921" s="5" t="s">
        <v>14</v>
      </c>
      <c r="E7921" s="5" t="s">
        <v>39</v>
      </c>
      <c r="F7921" s="5" t="s">
        <v>353</v>
      </c>
      <c r="G7921" s="5" t="s">
        <v>1467</v>
      </c>
      <c r="H7921" s="5" t="s">
        <v>1468</v>
      </c>
      <c r="I7921" s="5" t="s">
        <v>31</v>
      </c>
      <c r="J7921" s="5">
        <v>16.320098636849998</v>
      </c>
      <c r="K7921" s="5">
        <v>-96.410276396330005</v>
      </c>
      <c r="L7921" s="5" t="str">
        <f>HYPERLINK("https://maps.google.com/?q=16.3200986368499,-96.410276396329806", "🔗 Ver Mapa")</f>
        <v>🔗 Ver Mapa</v>
      </c>
    </row>
    <row r="7922" spans="1:12" ht="43.5" x14ac:dyDescent="0.35">
      <c r="A7922" s="6" t="s">
        <v>98</v>
      </c>
      <c r="B7922" s="6" t="s">
        <v>99</v>
      </c>
      <c r="C7922" s="6" t="s">
        <v>1466</v>
      </c>
      <c r="D7922" s="6" t="s">
        <v>14</v>
      </c>
      <c r="E7922" s="6" t="s">
        <v>39</v>
      </c>
      <c r="F7922" s="6" t="s">
        <v>353</v>
      </c>
      <c r="G7922" s="6" t="s">
        <v>1467</v>
      </c>
      <c r="H7922" s="6" t="s">
        <v>1468</v>
      </c>
      <c r="I7922" s="6" t="s">
        <v>31</v>
      </c>
      <c r="J7922" s="6">
        <v>16.320172005798</v>
      </c>
      <c r="K7922" s="6">
        <v>-96.411376980322004</v>
      </c>
      <c r="L7922" s="6" t="str">
        <f>HYPERLINK("https://maps.google.com/?q=16.3201720057977,-96.411376980322004", "🔗 Ver Mapa")</f>
        <v>🔗 Ver Mapa</v>
      </c>
    </row>
    <row r="7923" spans="1:12" ht="43.5" x14ac:dyDescent="0.35">
      <c r="A7923" s="5" t="s">
        <v>98</v>
      </c>
      <c r="B7923" s="5" t="s">
        <v>99</v>
      </c>
      <c r="C7923" s="5" t="s">
        <v>1466</v>
      </c>
      <c r="D7923" s="5" t="s">
        <v>14</v>
      </c>
      <c r="E7923" s="5" t="s">
        <v>39</v>
      </c>
      <c r="F7923" s="5" t="s">
        <v>353</v>
      </c>
      <c r="G7923" s="5" t="s">
        <v>1467</v>
      </c>
      <c r="H7923" s="5" t="s">
        <v>1468</v>
      </c>
      <c r="I7923" s="5" t="s">
        <v>31</v>
      </c>
      <c r="J7923" s="5">
        <v>16.320345551414999</v>
      </c>
      <c r="K7923" s="5">
        <v>-96.403043436839994</v>
      </c>
      <c r="L7923" s="5" t="str">
        <f>HYPERLINK("https://maps.google.com/?q=16.3203455514148,-96.403043436840093", "🔗 Ver Mapa")</f>
        <v>🔗 Ver Mapa</v>
      </c>
    </row>
    <row r="7924" spans="1:12" ht="43.5" x14ac:dyDescent="0.35">
      <c r="A7924" s="6" t="s">
        <v>98</v>
      </c>
      <c r="B7924" s="6" t="s">
        <v>99</v>
      </c>
      <c r="C7924" s="6" t="s">
        <v>1466</v>
      </c>
      <c r="D7924" s="6" t="s">
        <v>14</v>
      </c>
      <c r="E7924" s="6" t="s">
        <v>39</v>
      </c>
      <c r="F7924" s="6" t="s">
        <v>353</v>
      </c>
      <c r="G7924" s="6" t="s">
        <v>1467</v>
      </c>
      <c r="H7924" s="6" t="s">
        <v>1468</v>
      </c>
      <c r="I7924" s="6" t="s">
        <v>31</v>
      </c>
      <c r="J7924" s="6">
        <v>16.320641582602999</v>
      </c>
      <c r="K7924" s="6">
        <v>-96.402943020831998</v>
      </c>
      <c r="L7924" s="6" t="str">
        <f>HYPERLINK("https://maps.google.com/?q=16.3206415826026,-96.402943020831998", "🔗 Ver Mapa")</f>
        <v>🔗 Ver Mapa</v>
      </c>
    </row>
    <row r="7925" spans="1:12" ht="43.5" x14ac:dyDescent="0.35">
      <c r="A7925" s="5" t="s">
        <v>98</v>
      </c>
      <c r="B7925" s="5" t="s">
        <v>99</v>
      </c>
      <c r="C7925" s="5" t="s">
        <v>1466</v>
      </c>
      <c r="D7925" s="5" t="s">
        <v>14</v>
      </c>
      <c r="E7925" s="5" t="s">
        <v>39</v>
      </c>
      <c r="F7925" s="5" t="s">
        <v>353</v>
      </c>
      <c r="G7925" s="5" t="s">
        <v>1467</v>
      </c>
      <c r="H7925" s="5" t="s">
        <v>1468</v>
      </c>
      <c r="I7925" s="5" t="s">
        <v>31</v>
      </c>
      <c r="J7925" s="5">
        <v>16.320688955348</v>
      </c>
      <c r="K7925" s="5">
        <v>-96.406458845404003</v>
      </c>
      <c r="L7925" s="5" t="str">
        <f>HYPERLINK("https://maps.google.com/?q=16.3206889553482,-96.406458845403606", "🔗 Ver Mapa")</f>
        <v>🔗 Ver Mapa</v>
      </c>
    </row>
    <row r="7926" spans="1:12" ht="43.5" x14ac:dyDescent="0.35">
      <c r="A7926" s="6" t="s">
        <v>98</v>
      </c>
      <c r="B7926" s="6" t="s">
        <v>99</v>
      </c>
      <c r="C7926" s="6" t="s">
        <v>1466</v>
      </c>
      <c r="D7926" s="6" t="s">
        <v>14</v>
      </c>
      <c r="E7926" s="6" t="s">
        <v>39</v>
      </c>
      <c r="F7926" s="6" t="s">
        <v>353</v>
      </c>
      <c r="G7926" s="6" t="s">
        <v>1467</v>
      </c>
      <c r="H7926" s="6" t="s">
        <v>1468</v>
      </c>
      <c r="I7926" s="6" t="s">
        <v>31</v>
      </c>
      <c r="J7926" s="6">
        <v>16.320796183742999</v>
      </c>
      <c r="K7926" s="6">
        <v>-96.402725989881006</v>
      </c>
      <c r="L7926" s="6" t="str">
        <f>HYPERLINK("https://maps.google.com/?q=16.3207961837428,-96.402725989881105", "🔗 Ver Mapa")</f>
        <v>🔗 Ver Mapa</v>
      </c>
    </row>
    <row r="7927" spans="1:12" ht="43.5" x14ac:dyDescent="0.35">
      <c r="A7927" s="5" t="s">
        <v>98</v>
      </c>
      <c r="B7927" s="5" t="s">
        <v>99</v>
      </c>
      <c r="C7927" s="5" t="s">
        <v>1466</v>
      </c>
      <c r="D7927" s="5" t="s">
        <v>14</v>
      </c>
      <c r="E7927" s="5" t="s">
        <v>39</v>
      </c>
      <c r="F7927" s="5" t="s">
        <v>353</v>
      </c>
      <c r="G7927" s="5" t="s">
        <v>1467</v>
      </c>
      <c r="H7927" s="5" t="s">
        <v>1468</v>
      </c>
      <c r="I7927" s="5" t="s">
        <v>31</v>
      </c>
      <c r="J7927" s="5">
        <v>16.321026333860999</v>
      </c>
      <c r="K7927" s="5">
        <v>-96.411101597696998</v>
      </c>
      <c r="L7927" s="5" t="str">
        <f>HYPERLINK("https://maps.google.com/?q=16.3210263338608,-96.411101597696899", "🔗 Ver Mapa")</f>
        <v>🔗 Ver Mapa</v>
      </c>
    </row>
    <row r="7928" spans="1:12" ht="43.5" x14ac:dyDescent="0.35">
      <c r="A7928" s="6" t="s">
        <v>98</v>
      </c>
      <c r="B7928" s="6" t="s">
        <v>99</v>
      </c>
      <c r="C7928" s="6" t="s">
        <v>1466</v>
      </c>
      <c r="D7928" s="6" t="s">
        <v>14</v>
      </c>
      <c r="E7928" s="6" t="s">
        <v>39</v>
      </c>
      <c r="F7928" s="6" t="s">
        <v>353</v>
      </c>
      <c r="G7928" s="6" t="s">
        <v>1467</v>
      </c>
      <c r="H7928" s="6" t="s">
        <v>1468</v>
      </c>
      <c r="I7928" s="6" t="s">
        <v>31</v>
      </c>
      <c r="J7928" s="6">
        <v>16.321441447255001</v>
      </c>
      <c r="K7928" s="6">
        <v>-96.414493851521001</v>
      </c>
      <c r="L7928" s="6" t="str">
        <f>HYPERLINK("https://maps.google.com/?q=16.321441447255,-96.414493851520604", "🔗 Ver Mapa")</f>
        <v>🔗 Ver Mapa</v>
      </c>
    </row>
    <row r="7929" spans="1:12" ht="43.5" x14ac:dyDescent="0.35">
      <c r="A7929" s="5" t="s">
        <v>98</v>
      </c>
      <c r="B7929" s="5" t="s">
        <v>99</v>
      </c>
      <c r="C7929" s="5" t="s">
        <v>1466</v>
      </c>
      <c r="D7929" s="5" t="s">
        <v>14</v>
      </c>
      <c r="E7929" s="5" t="s">
        <v>39</v>
      </c>
      <c r="F7929" s="5" t="s">
        <v>353</v>
      </c>
      <c r="G7929" s="5" t="s">
        <v>1467</v>
      </c>
      <c r="H7929" s="5" t="s">
        <v>1468</v>
      </c>
      <c r="I7929" s="5" t="s">
        <v>31</v>
      </c>
      <c r="J7929" s="5">
        <v>16.321703162376998</v>
      </c>
      <c r="K7929" s="5">
        <v>-96.414361763152996</v>
      </c>
      <c r="L7929" s="5" t="str">
        <f>HYPERLINK("https://maps.google.com/?q=16.3217031623773,-96.414361763152996", "🔗 Ver Mapa")</f>
        <v>🔗 Ver Mapa</v>
      </c>
    </row>
    <row r="7930" spans="1:12" ht="43.5" x14ac:dyDescent="0.35">
      <c r="A7930" s="6" t="s">
        <v>98</v>
      </c>
      <c r="B7930" s="6" t="s">
        <v>99</v>
      </c>
      <c r="C7930" s="6" t="s">
        <v>1466</v>
      </c>
      <c r="D7930" s="6" t="s">
        <v>14</v>
      </c>
      <c r="E7930" s="6" t="s">
        <v>39</v>
      </c>
      <c r="F7930" s="6" t="s">
        <v>353</v>
      </c>
      <c r="G7930" s="6" t="s">
        <v>1467</v>
      </c>
      <c r="H7930" s="6" t="s">
        <v>1468</v>
      </c>
      <c r="I7930" s="6" t="s">
        <v>31</v>
      </c>
      <c r="J7930" s="6">
        <v>16.321937021326001</v>
      </c>
      <c r="K7930" s="6">
        <v>-96.409022209821998</v>
      </c>
      <c r="L7930" s="6" t="str">
        <f>HYPERLINK("https://maps.google.com/?q=16.3219370213261,-96.4090222098217", "🔗 Ver Mapa")</f>
        <v>🔗 Ver Mapa</v>
      </c>
    </row>
    <row r="7931" spans="1:12" ht="43.5" x14ac:dyDescent="0.35">
      <c r="A7931" s="5" t="s">
        <v>98</v>
      </c>
      <c r="B7931" s="5" t="s">
        <v>99</v>
      </c>
      <c r="C7931" s="5" t="s">
        <v>1466</v>
      </c>
      <c r="D7931" s="5" t="s">
        <v>14</v>
      </c>
      <c r="E7931" s="5" t="s">
        <v>39</v>
      </c>
      <c r="F7931" s="5" t="s">
        <v>353</v>
      </c>
      <c r="G7931" s="5" t="s">
        <v>1467</v>
      </c>
      <c r="H7931" s="5" t="s">
        <v>1468</v>
      </c>
      <c r="I7931" s="5" t="s">
        <v>31</v>
      </c>
      <c r="J7931" s="5">
        <v>16.322383646256998</v>
      </c>
      <c r="K7931" s="5">
        <v>-96.406919213730006</v>
      </c>
      <c r="L7931" s="5" t="str">
        <f>HYPERLINK("https://maps.google.com/?q=16.3223836462567,-96.406919213729594", "🔗 Ver Mapa")</f>
        <v>🔗 Ver Mapa</v>
      </c>
    </row>
    <row r="7932" spans="1:12" ht="43.5" x14ac:dyDescent="0.35">
      <c r="A7932" s="6" t="s">
        <v>98</v>
      </c>
      <c r="B7932" s="6" t="s">
        <v>99</v>
      </c>
      <c r="C7932" s="6" t="s">
        <v>1466</v>
      </c>
      <c r="D7932" s="6" t="s">
        <v>14</v>
      </c>
      <c r="E7932" s="6" t="s">
        <v>39</v>
      </c>
      <c r="F7932" s="6" t="s">
        <v>353</v>
      </c>
      <c r="G7932" s="6" t="s">
        <v>1467</v>
      </c>
      <c r="H7932" s="6" t="s">
        <v>1468</v>
      </c>
      <c r="I7932" s="6" t="s">
        <v>31</v>
      </c>
      <c r="J7932" s="6">
        <v>16.323379807788001</v>
      </c>
      <c r="K7932" s="6">
        <v>-96.402142516705993</v>
      </c>
      <c r="L7932" s="6" t="str">
        <f>HYPERLINK("https://maps.google.com/?q=16.3233798077875,-96.402142516706405", "🔗 Ver Mapa")</f>
        <v>🔗 Ver Mapa</v>
      </c>
    </row>
    <row r="7933" spans="1:12" ht="43.5" x14ac:dyDescent="0.35">
      <c r="A7933" s="5" t="s">
        <v>98</v>
      </c>
      <c r="B7933" s="5" t="s">
        <v>99</v>
      </c>
      <c r="C7933" s="5" t="s">
        <v>1466</v>
      </c>
      <c r="D7933" s="5" t="s">
        <v>14</v>
      </c>
      <c r="E7933" s="5" t="s">
        <v>39</v>
      </c>
      <c r="F7933" s="5" t="s">
        <v>353</v>
      </c>
      <c r="G7933" s="5" t="s">
        <v>1467</v>
      </c>
      <c r="H7933" s="5" t="s">
        <v>1468</v>
      </c>
      <c r="I7933" s="5" t="s">
        <v>31</v>
      </c>
      <c r="J7933" s="5">
        <v>16.323417489440999</v>
      </c>
      <c r="K7933" s="5">
        <v>-96.403092106467994</v>
      </c>
      <c r="L7933" s="5" t="str">
        <f>HYPERLINK("https://maps.google.com/?q=16.3234174894407,-96.403092106468094", "🔗 Ver Mapa")</f>
        <v>🔗 Ver Mapa</v>
      </c>
    </row>
    <row r="7934" spans="1:12" ht="43.5" x14ac:dyDescent="0.35">
      <c r="A7934" s="6" t="s">
        <v>98</v>
      </c>
      <c r="B7934" s="6" t="s">
        <v>99</v>
      </c>
      <c r="C7934" s="6" t="s">
        <v>1466</v>
      </c>
      <c r="D7934" s="6" t="s">
        <v>14</v>
      </c>
      <c r="E7934" s="6" t="s">
        <v>39</v>
      </c>
      <c r="F7934" s="6" t="s">
        <v>353</v>
      </c>
      <c r="G7934" s="6" t="s">
        <v>1467</v>
      </c>
      <c r="H7934" s="6" t="s">
        <v>1468</v>
      </c>
      <c r="I7934" s="6" t="s">
        <v>31</v>
      </c>
      <c r="J7934" s="6">
        <v>16.323487414470002</v>
      </c>
      <c r="K7934" s="6">
        <v>-96.410173389465001</v>
      </c>
      <c r="L7934" s="6" t="str">
        <f>HYPERLINK("https://maps.google.com/?q=16.3234874144705,-96.410173389465101", "🔗 Ver Mapa")</f>
        <v>🔗 Ver Mapa</v>
      </c>
    </row>
    <row r="7935" spans="1:12" ht="43.5" x14ac:dyDescent="0.35">
      <c r="A7935" s="5" t="s">
        <v>98</v>
      </c>
      <c r="B7935" s="5" t="s">
        <v>99</v>
      </c>
      <c r="C7935" s="5" t="s">
        <v>1466</v>
      </c>
      <c r="D7935" s="5" t="s">
        <v>14</v>
      </c>
      <c r="E7935" s="5" t="s">
        <v>39</v>
      </c>
      <c r="F7935" s="5" t="s">
        <v>353</v>
      </c>
      <c r="G7935" s="5" t="s">
        <v>1467</v>
      </c>
      <c r="H7935" s="5" t="s">
        <v>1468</v>
      </c>
      <c r="I7935" s="5" t="s">
        <v>31</v>
      </c>
      <c r="J7935" s="5">
        <v>16.323591485297001</v>
      </c>
      <c r="K7935" s="5">
        <v>-96.410063555953002</v>
      </c>
      <c r="L7935" s="5" t="str">
        <f>HYPERLINK("https://maps.google.com/?q=16.323591485297,-96.4100635559534", "🔗 Ver Mapa")</f>
        <v>🔗 Ver Mapa</v>
      </c>
    </row>
    <row r="7936" spans="1:12" ht="43.5" x14ac:dyDescent="0.35">
      <c r="A7936" s="6" t="s">
        <v>98</v>
      </c>
      <c r="B7936" s="6" t="s">
        <v>99</v>
      </c>
      <c r="C7936" s="6" t="s">
        <v>1466</v>
      </c>
      <c r="D7936" s="6" t="s">
        <v>14</v>
      </c>
      <c r="E7936" s="6" t="s">
        <v>39</v>
      </c>
      <c r="F7936" s="6" t="s">
        <v>353</v>
      </c>
      <c r="G7936" s="6" t="s">
        <v>1467</v>
      </c>
      <c r="H7936" s="6" t="s">
        <v>1468</v>
      </c>
      <c r="I7936" s="6" t="s">
        <v>31</v>
      </c>
      <c r="J7936" s="6">
        <v>16.324543255971001</v>
      </c>
      <c r="K7936" s="6">
        <v>-96.407830510416005</v>
      </c>
      <c r="L7936" s="6" t="str">
        <f>HYPERLINK("https://maps.google.com/?q=16.3245432559706,-96.407830510415906", "🔗 Ver Mapa")</f>
        <v>🔗 Ver Mapa</v>
      </c>
    </row>
    <row r="7937" spans="1:12" ht="43.5" x14ac:dyDescent="0.35">
      <c r="A7937" s="5" t="s">
        <v>98</v>
      </c>
      <c r="B7937" s="5" t="s">
        <v>99</v>
      </c>
      <c r="C7937" s="5" t="s">
        <v>1466</v>
      </c>
      <c r="D7937" s="5" t="s">
        <v>14</v>
      </c>
      <c r="E7937" s="5" t="s">
        <v>39</v>
      </c>
      <c r="F7937" s="5" t="s">
        <v>353</v>
      </c>
      <c r="G7937" s="5" t="s">
        <v>1467</v>
      </c>
      <c r="H7937" s="5" t="s">
        <v>1468</v>
      </c>
      <c r="I7937" s="5" t="s">
        <v>31</v>
      </c>
      <c r="J7937" s="5">
        <v>16.324666385874998</v>
      </c>
      <c r="K7937" s="5">
        <v>-96.409862585499994</v>
      </c>
      <c r="L7937" s="5" t="str">
        <f>HYPERLINK("https://maps.google.com/?q=16.3246663858751,-96.409862585500306", "🔗 Ver Mapa")</f>
        <v>🔗 Ver Mapa</v>
      </c>
    </row>
    <row r="7938" spans="1:12" ht="43.5" x14ac:dyDescent="0.35">
      <c r="A7938" s="6" t="s">
        <v>98</v>
      </c>
      <c r="B7938" s="6" t="s">
        <v>99</v>
      </c>
      <c r="C7938" s="6" t="s">
        <v>1466</v>
      </c>
      <c r="D7938" s="6" t="s">
        <v>14</v>
      </c>
      <c r="E7938" s="6" t="s">
        <v>39</v>
      </c>
      <c r="F7938" s="6" t="s">
        <v>353</v>
      </c>
      <c r="G7938" s="6" t="s">
        <v>1467</v>
      </c>
      <c r="H7938" s="6" t="s">
        <v>1468</v>
      </c>
      <c r="I7938" s="6" t="s">
        <v>31</v>
      </c>
      <c r="J7938" s="6">
        <v>16.324894994987002</v>
      </c>
      <c r="K7938" s="6">
        <v>-96.410969975330005</v>
      </c>
      <c r="L7938" s="6" t="str">
        <f>HYPERLINK("https://maps.google.com/?q=16.324894994987,-96.410969975329806", "🔗 Ver Mapa")</f>
        <v>🔗 Ver Mapa</v>
      </c>
    </row>
    <row r="7939" spans="1:12" ht="43.5" x14ac:dyDescent="0.35">
      <c r="A7939" s="5" t="s">
        <v>98</v>
      </c>
      <c r="B7939" s="5" t="s">
        <v>99</v>
      </c>
      <c r="C7939" s="5" t="s">
        <v>1466</v>
      </c>
      <c r="D7939" s="5" t="s">
        <v>14</v>
      </c>
      <c r="E7939" s="5" t="s">
        <v>39</v>
      </c>
      <c r="F7939" s="5" t="s">
        <v>353</v>
      </c>
      <c r="G7939" s="5" t="s">
        <v>1467</v>
      </c>
      <c r="H7939" s="5" t="s">
        <v>1468</v>
      </c>
      <c r="I7939" s="5" t="s">
        <v>31</v>
      </c>
      <c r="J7939" s="5">
        <v>16.324936574062999</v>
      </c>
      <c r="K7939" s="5">
        <v>-96.411552945878995</v>
      </c>
      <c r="L7939" s="5" t="str">
        <f>HYPERLINK("https://maps.google.com/?q=16.3249365740631,-96.411552945879194", "🔗 Ver Mapa")</f>
        <v>🔗 Ver Mapa</v>
      </c>
    </row>
    <row r="7940" spans="1:12" ht="43.5" x14ac:dyDescent="0.35">
      <c r="A7940" s="6" t="s">
        <v>98</v>
      </c>
      <c r="B7940" s="6" t="s">
        <v>99</v>
      </c>
      <c r="C7940" s="6" t="s">
        <v>1466</v>
      </c>
      <c r="D7940" s="6" t="s">
        <v>14</v>
      </c>
      <c r="E7940" s="6" t="s">
        <v>39</v>
      </c>
      <c r="F7940" s="6" t="s">
        <v>353</v>
      </c>
      <c r="G7940" s="6" t="s">
        <v>1467</v>
      </c>
      <c r="H7940" s="6" t="s">
        <v>1468</v>
      </c>
      <c r="I7940" s="6" t="s">
        <v>31</v>
      </c>
      <c r="J7940" s="6">
        <v>16.324950860266998</v>
      </c>
      <c r="K7940" s="6">
        <v>-96.411790167983995</v>
      </c>
      <c r="L7940" s="6" t="str">
        <f>HYPERLINK("https://maps.google.com/?q=16.3249508602666,-96.411790167983895", "🔗 Ver Mapa")</f>
        <v>🔗 Ver Mapa</v>
      </c>
    </row>
    <row r="7941" spans="1:12" ht="43.5" x14ac:dyDescent="0.35">
      <c r="A7941" s="5" t="s">
        <v>98</v>
      </c>
      <c r="B7941" s="5" t="s">
        <v>99</v>
      </c>
      <c r="C7941" s="5" t="s">
        <v>1466</v>
      </c>
      <c r="D7941" s="5" t="s">
        <v>14</v>
      </c>
      <c r="E7941" s="5" t="s">
        <v>39</v>
      </c>
      <c r="F7941" s="5" t="s">
        <v>353</v>
      </c>
      <c r="G7941" s="5" t="s">
        <v>1467</v>
      </c>
      <c r="H7941" s="5" t="s">
        <v>1468</v>
      </c>
      <c r="I7941" s="5" t="s">
        <v>31</v>
      </c>
      <c r="J7941" s="5">
        <v>16.324955948705998</v>
      </c>
      <c r="K7941" s="5">
        <v>-96.402631036512005</v>
      </c>
      <c r="L7941" s="5" t="str">
        <f>HYPERLINK("https://maps.google.com/?q=16.3249559487059,-96.402631036512105", "🔗 Ver Mapa")</f>
        <v>🔗 Ver Mapa</v>
      </c>
    </row>
    <row r="7942" spans="1:12" ht="43.5" x14ac:dyDescent="0.35">
      <c r="A7942" s="6" t="s">
        <v>98</v>
      </c>
      <c r="B7942" s="6" t="s">
        <v>99</v>
      </c>
      <c r="C7942" s="6" t="s">
        <v>1466</v>
      </c>
      <c r="D7942" s="6" t="s">
        <v>14</v>
      </c>
      <c r="E7942" s="6" t="s">
        <v>39</v>
      </c>
      <c r="F7942" s="6" t="s">
        <v>353</v>
      </c>
      <c r="G7942" s="6" t="s">
        <v>1467</v>
      </c>
      <c r="H7942" s="6" t="s">
        <v>1468</v>
      </c>
      <c r="I7942" s="6" t="s">
        <v>31</v>
      </c>
      <c r="J7942" s="6">
        <v>16.325081326940001</v>
      </c>
      <c r="K7942" s="6">
        <v>-96.408136190914007</v>
      </c>
      <c r="L7942" s="6" t="str">
        <f>HYPERLINK("https://maps.google.com/?q=16.3250813269401,-96.408136190913893", "🔗 Ver Mapa")</f>
        <v>🔗 Ver Mapa</v>
      </c>
    </row>
    <row r="7943" spans="1:12" ht="43.5" x14ac:dyDescent="0.35">
      <c r="A7943" s="5" t="s">
        <v>98</v>
      </c>
      <c r="B7943" s="5" t="s">
        <v>99</v>
      </c>
      <c r="C7943" s="5" t="s">
        <v>1466</v>
      </c>
      <c r="D7943" s="5" t="s">
        <v>14</v>
      </c>
      <c r="E7943" s="5" t="s">
        <v>39</v>
      </c>
      <c r="F7943" s="5" t="s">
        <v>353</v>
      </c>
      <c r="G7943" s="5" t="s">
        <v>1467</v>
      </c>
      <c r="H7943" s="5" t="s">
        <v>1468</v>
      </c>
      <c r="I7943" s="5" t="s">
        <v>31</v>
      </c>
      <c r="J7943" s="5">
        <v>16.325209843444998</v>
      </c>
      <c r="K7943" s="5">
        <v>-96.402831499064007</v>
      </c>
      <c r="L7943" s="5" t="str">
        <f>HYPERLINK("https://maps.google.com/?q=16.3252098434452,-96.402831499064007", "🔗 Ver Mapa")</f>
        <v>🔗 Ver Mapa</v>
      </c>
    </row>
    <row r="7944" spans="1:12" ht="43.5" x14ac:dyDescent="0.35">
      <c r="A7944" s="6" t="s">
        <v>98</v>
      </c>
      <c r="B7944" s="6" t="s">
        <v>99</v>
      </c>
      <c r="C7944" s="6" t="s">
        <v>1466</v>
      </c>
      <c r="D7944" s="6" t="s">
        <v>14</v>
      </c>
      <c r="E7944" s="6" t="s">
        <v>39</v>
      </c>
      <c r="F7944" s="6" t="s">
        <v>353</v>
      </c>
      <c r="G7944" s="6" t="s">
        <v>1467</v>
      </c>
      <c r="H7944" s="6" t="s">
        <v>1468</v>
      </c>
      <c r="I7944" s="6" t="s">
        <v>31</v>
      </c>
      <c r="J7944" s="6">
        <v>16.325268226950001</v>
      </c>
      <c r="K7944" s="6">
        <v>-96.411703185123002</v>
      </c>
      <c r="L7944" s="6" t="str">
        <f>HYPERLINK("https://maps.google.com/?q=16.3252682269499,-96.4117031851234", "🔗 Ver Mapa")</f>
        <v>🔗 Ver Mapa</v>
      </c>
    </row>
    <row r="7945" spans="1:12" ht="43.5" x14ac:dyDescent="0.35">
      <c r="A7945" s="5" t="s">
        <v>98</v>
      </c>
      <c r="B7945" s="5" t="s">
        <v>99</v>
      </c>
      <c r="C7945" s="5" t="s">
        <v>1466</v>
      </c>
      <c r="D7945" s="5" t="s">
        <v>14</v>
      </c>
      <c r="E7945" s="5" t="s">
        <v>39</v>
      </c>
      <c r="F7945" s="5" t="s">
        <v>353</v>
      </c>
      <c r="G7945" s="5" t="s">
        <v>1467</v>
      </c>
      <c r="H7945" s="5" t="s">
        <v>1468</v>
      </c>
      <c r="I7945" s="5" t="s">
        <v>31</v>
      </c>
      <c r="J7945" s="5">
        <v>16.32530167893</v>
      </c>
      <c r="K7945" s="5">
        <v>-96.408312134358994</v>
      </c>
      <c r="L7945" s="5" t="str">
        <f>HYPERLINK("https://maps.google.com/?q=16.3253016789298,-96.408312134358596", "🔗 Ver Mapa")</f>
        <v>🔗 Ver Mapa</v>
      </c>
    </row>
    <row r="7946" spans="1:12" ht="43.5" x14ac:dyDescent="0.35">
      <c r="A7946" s="6" t="s">
        <v>98</v>
      </c>
      <c r="B7946" s="6" t="s">
        <v>99</v>
      </c>
      <c r="C7946" s="6" t="s">
        <v>1466</v>
      </c>
      <c r="D7946" s="6" t="s">
        <v>14</v>
      </c>
      <c r="E7946" s="6" t="s">
        <v>39</v>
      </c>
      <c r="F7946" s="6" t="s">
        <v>353</v>
      </c>
      <c r="G7946" s="6" t="s">
        <v>1467</v>
      </c>
      <c r="H7946" s="6" t="s">
        <v>1468</v>
      </c>
      <c r="I7946" s="6" t="s">
        <v>31</v>
      </c>
      <c r="J7946" s="6">
        <v>16.325910799729002</v>
      </c>
      <c r="K7946" s="6">
        <v>-96.409009948804993</v>
      </c>
      <c r="L7946" s="6" t="str">
        <f>HYPERLINK("https://maps.google.com/?q=16.3259107997286,-96.409009948804595", "🔗 Ver Mapa")</f>
        <v>🔗 Ver Mapa</v>
      </c>
    </row>
    <row r="7947" spans="1:12" ht="43.5" x14ac:dyDescent="0.35">
      <c r="A7947" s="5" t="s">
        <v>98</v>
      </c>
      <c r="B7947" s="5" t="s">
        <v>99</v>
      </c>
      <c r="C7947" s="5" t="s">
        <v>1466</v>
      </c>
      <c r="D7947" s="5" t="s">
        <v>14</v>
      </c>
      <c r="E7947" s="5" t="s">
        <v>39</v>
      </c>
      <c r="F7947" s="5" t="s">
        <v>353</v>
      </c>
      <c r="G7947" s="5" t="s">
        <v>1467</v>
      </c>
      <c r="H7947" s="5" t="s">
        <v>1468</v>
      </c>
      <c r="I7947" s="5" t="s">
        <v>31</v>
      </c>
      <c r="J7947" s="5">
        <v>16.326005884236</v>
      </c>
      <c r="K7947" s="5">
        <v>-96.412324322008999</v>
      </c>
      <c r="L7947" s="5" t="str">
        <f>HYPERLINK("https://maps.google.com/?q=16.3260058842359,-96.412324322009397", "🔗 Ver Mapa")</f>
        <v>🔗 Ver Mapa</v>
      </c>
    </row>
    <row r="7948" spans="1:12" ht="43.5" x14ac:dyDescent="0.35">
      <c r="A7948" s="6" t="s">
        <v>98</v>
      </c>
      <c r="B7948" s="6" t="s">
        <v>99</v>
      </c>
      <c r="C7948" s="6" t="s">
        <v>1466</v>
      </c>
      <c r="D7948" s="6" t="s">
        <v>14</v>
      </c>
      <c r="E7948" s="6" t="s">
        <v>39</v>
      </c>
      <c r="F7948" s="6" t="s">
        <v>353</v>
      </c>
      <c r="G7948" s="6" t="s">
        <v>1467</v>
      </c>
      <c r="H7948" s="6" t="s">
        <v>1468</v>
      </c>
      <c r="I7948" s="6" t="s">
        <v>31</v>
      </c>
      <c r="J7948" s="6">
        <v>16.326081181180001</v>
      </c>
      <c r="K7948" s="6">
        <v>-96.412421711579995</v>
      </c>
      <c r="L7948" s="6" t="str">
        <f>HYPERLINK("https://maps.google.com/?q=16.3260811811803,-96.412421711580095", "🔗 Ver Mapa")</f>
        <v>🔗 Ver Mapa</v>
      </c>
    </row>
    <row r="7949" spans="1:12" ht="43.5" x14ac:dyDescent="0.35">
      <c r="A7949" s="5" t="s">
        <v>98</v>
      </c>
      <c r="B7949" s="5" t="s">
        <v>99</v>
      </c>
      <c r="C7949" s="5" t="s">
        <v>1466</v>
      </c>
      <c r="D7949" s="5" t="s">
        <v>14</v>
      </c>
      <c r="E7949" s="5" t="s">
        <v>39</v>
      </c>
      <c r="F7949" s="5" t="s">
        <v>353</v>
      </c>
      <c r="G7949" s="5" t="s">
        <v>1467</v>
      </c>
      <c r="H7949" s="5" t="s">
        <v>1468</v>
      </c>
      <c r="I7949" s="5" t="s">
        <v>31</v>
      </c>
      <c r="J7949" s="5">
        <v>16.32610638773</v>
      </c>
      <c r="K7949" s="5">
        <v>-96.403854756591002</v>
      </c>
      <c r="L7949" s="5" t="str">
        <f>HYPERLINK("https://maps.google.com/?q=16.3261063877301,-96.4038547565914", "🔗 Ver Mapa")</f>
        <v>🔗 Ver Mapa</v>
      </c>
    </row>
    <row r="7950" spans="1:12" ht="58" x14ac:dyDescent="0.35">
      <c r="A7950" s="6" t="s">
        <v>98</v>
      </c>
      <c r="B7950" s="6" t="s">
        <v>99</v>
      </c>
      <c r="C7950" s="6" t="s">
        <v>1469</v>
      </c>
      <c r="D7950" s="6" t="s">
        <v>14</v>
      </c>
      <c r="E7950" s="6" t="s">
        <v>39</v>
      </c>
      <c r="F7950" s="6" t="s">
        <v>353</v>
      </c>
      <c r="G7950" s="6" t="s">
        <v>1266</v>
      </c>
      <c r="H7950" s="6" t="s">
        <v>1267</v>
      </c>
      <c r="I7950" s="6" t="s">
        <v>31</v>
      </c>
      <c r="J7950" s="6">
        <v>16.310795982759</v>
      </c>
      <c r="K7950" s="6">
        <v>-96.587103976687004</v>
      </c>
      <c r="L7950" s="6" t="str">
        <f>HYPERLINK("https://maps.google.com/?q=16.3107959827588,-96.587103976686507", "🔗 Ver Mapa")</f>
        <v>🔗 Ver Mapa</v>
      </c>
    </row>
    <row r="7951" spans="1:12" ht="58" x14ac:dyDescent="0.35">
      <c r="A7951" s="5" t="s">
        <v>98</v>
      </c>
      <c r="B7951" s="5" t="s">
        <v>99</v>
      </c>
      <c r="C7951" s="5" t="s">
        <v>1469</v>
      </c>
      <c r="D7951" s="5" t="s">
        <v>14</v>
      </c>
      <c r="E7951" s="5" t="s">
        <v>39</v>
      </c>
      <c r="F7951" s="5" t="s">
        <v>353</v>
      </c>
      <c r="G7951" s="5" t="s">
        <v>1266</v>
      </c>
      <c r="H7951" s="5" t="s">
        <v>1267</v>
      </c>
      <c r="I7951" s="5" t="s">
        <v>31</v>
      </c>
      <c r="J7951" s="5">
        <v>16.310874999999999</v>
      </c>
      <c r="K7951" s="5">
        <v>-96.585913000000005</v>
      </c>
      <c r="L7951" s="5" t="str">
        <f>HYPERLINK("https://maps.google.com/?q=16.310875,-96.585913000000005", "🔗 Ver Mapa")</f>
        <v>🔗 Ver Mapa</v>
      </c>
    </row>
    <row r="7952" spans="1:12" ht="58" x14ac:dyDescent="0.35">
      <c r="A7952" s="6" t="s">
        <v>98</v>
      </c>
      <c r="B7952" s="6" t="s">
        <v>99</v>
      </c>
      <c r="C7952" s="6" t="s">
        <v>1469</v>
      </c>
      <c r="D7952" s="6" t="s">
        <v>14</v>
      </c>
      <c r="E7952" s="6" t="s">
        <v>39</v>
      </c>
      <c r="F7952" s="6" t="s">
        <v>353</v>
      </c>
      <c r="G7952" s="6" t="s">
        <v>1266</v>
      </c>
      <c r="H7952" s="6" t="s">
        <v>1267</v>
      </c>
      <c r="I7952" s="6" t="s">
        <v>31</v>
      </c>
      <c r="J7952" s="6">
        <v>16.3109</v>
      </c>
      <c r="K7952" s="6">
        <v>-96.586107999999996</v>
      </c>
      <c r="L7952" s="6" t="str">
        <f>HYPERLINK("https://maps.google.com/?q=16.3109,-96.586107999999996", "🔗 Ver Mapa")</f>
        <v>🔗 Ver Mapa</v>
      </c>
    </row>
    <row r="7953" spans="1:12" ht="58" x14ac:dyDescent="0.35">
      <c r="A7953" s="5" t="s">
        <v>98</v>
      </c>
      <c r="B7953" s="5" t="s">
        <v>99</v>
      </c>
      <c r="C7953" s="5" t="s">
        <v>1469</v>
      </c>
      <c r="D7953" s="5" t="s">
        <v>14</v>
      </c>
      <c r="E7953" s="5" t="s">
        <v>39</v>
      </c>
      <c r="F7953" s="5" t="s">
        <v>353</v>
      </c>
      <c r="G7953" s="5" t="s">
        <v>1266</v>
      </c>
      <c r="H7953" s="5" t="s">
        <v>1267</v>
      </c>
      <c r="I7953" s="5" t="s">
        <v>31</v>
      </c>
      <c r="J7953" s="5">
        <v>16.311817000000001</v>
      </c>
      <c r="K7953" s="5">
        <v>-96.585470999999998</v>
      </c>
      <c r="L7953" s="5" t="str">
        <f>HYPERLINK("https://maps.google.com/?q=16.311817,-96.585470999999998", "🔗 Ver Mapa")</f>
        <v>🔗 Ver Mapa</v>
      </c>
    </row>
    <row r="7954" spans="1:12" ht="58" x14ac:dyDescent="0.35">
      <c r="A7954" s="6" t="s">
        <v>98</v>
      </c>
      <c r="B7954" s="6" t="s">
        <v>99</v>
      </c>
      <c r="C7954" s="6" t="s">
        <v>1469</v>
      </c>
      <c r="D7954" s="6" t="s">
        <v>14</v>
      </c>
      <c r="E7954" s="6" t="s">
        <v>39</v>
      </c>
      <c r="F7954" s="6" t="s">
        <v>353</v>
      </c>
      <c r="G7954" s="6" t="s">
        <v>1266</v>
      </c>
      <c r="H7954" s="6" t="s">
        <v>1267</v>
      </c>
      <c r="I7954" s="6" t="s">
        <v>31</v>
      </c>
      <c r="J7954" s="6">
        <v>16.311828999999999</v>
      </c>
      <c r="K7954" s="6">
        <v>-96.584838000000005</v>
      </c>
      <c r="L7954" s="6" t="str">
        <f>HYPERLINK("https://maps.google.com/?q=16.311829,-96.584838000000005", "🔗 Ver Mapa")</f>
        <v>🔗 Ver Mapa</v>
      </c>
    </row>
    <row r="7955" spans="1:12" ht="43.5" x14ac:dyDescent="0.35">
      <c r="A7955" s="5" t="s">
        <v>98</v>
      </c>
      <c r="B7955" s="5" t="s">
        <v>99</v>
      </c>
      <c r="C7955" s="5" t="s">
        <v>1470</v>
      </c>
      <c r="D7955" s="5" t="s">
        <v>14</v>
      </c>
      <c r="E7955" s="5" t="s">
        <v>17</v>
      </c>
      <c r="F7955" s="5" t="s">
        <v>20</v>
      </c>
      <c r="G7955" s="5" t="s">
        <v>77</v>
      </c>
      <c r="H7955" s="5" t="s">
        <v>1471</v>
      </c>
      <c r="I7955" s="5" t="s">
        <v>31</v>
      </c>
      <c r="J7955" s="5">
        <v>15.947234913016</v>
      </c>
      <c r="K7955" s="5">
        <v>-96.553892182054994</v>
      </c>
      <c r="L7955" s="5" t="str">
        <f>HYPERLINK("https://maps.google.com/?q=15.9472349130162,-96.553892182054597", "🔗 Ver Mapa")</f>
        <v>🔗 Ver Mapa</v>
      </c>
    </row>
    <row r="7956" spans="1:12" ht="43.5" x14ac:dyDescent="0.35">
      <c r="A7956" s="6" t="s">
        <v>98</v>
      </c>
      <c r="B7956" s="6" t="s">
        <v>99</v>
      </c>
      <c r="C7956" s="6" t="s">
        <v>1470</v>
      </c>
      <c r="D7956" s="6" t="s">
        <v>14</v>
      </c>
      <c r="E7956" s="6" t="s">
        <v>17</v>
      </c>
      <c r="F7956" s="6" t="s">
        <v>20</v>
      </c>
      <c r="G7956" s="6" t="s">
        <v>77</v>
      </c>
      <c r="H7956" s="6" t="s">
        <v>1471</v>
      </c>
      <c r="I7956" s="6" t="s">
        <v>31</v>
      </c>
      <c r="J7956" s="6">
        <v>15.947678497868001</v>
      </c>
      <c r="K7956" s="6">
        <v>-96.553790258112002</v>
      </c>
      <c r="L7956" s="6" t="str">
        <f>HYPERLINK("https://maps.google.com/?q=15.9476784978684,-96.553790258111803", "🔗 Ver Mapa")</f>
        <v>🔗 Ver Mapa</v>
      </c>
    </row>
    <row r="7957" spans="1:12" ht="43.5" x14ac:dyDescent="0.35">
      <c r="A7957" s="5" t="s">
        <v>98</v>
      </c>
      <c r="B7957" s="5" t="s">
        <v>99</v>
      </c>
      <c r="C7957" s="5" t="s">
        <v>1470</v>
      </c>
      <c r="D7957" s="5" t="s">
        <v>14</v>
      </c>
      <c r="E7957" s="5" t="s">
        <v>17</v>
      </c>
      <c r="F7957" s="5" t="s">
        <v>20</v>
      </c>
      <c r="G7957" s="5" t="s">
        <v>77</v>
      </c>
      <c r="H7957" s="5" t="s">
        <v>1471</v>
      </c>
      <c r="I7957" s="5" t="s">
        <v>31</v>
      </c>
      <c r="J7957" s="5">
        <v>15.947744265049</v>
      </c>
      <c r="K7957" s="5">
        <v>-96.553485831103998</v>
      </c>
      <c r="L7957" s="5" t="str">
        <f>HYPERLINK("https://maps.google.com/?q=15.9477442650488,-96.553485831104496", "🔗 Ver Mapa")</f>
        <v>🔗 Ver Mapa</v>
      </c>
    </row>
    <row r="7958" spans="1:12" ht="43.5" x14ac:dyDescent="0.35">
      <c r="A7958" s="6" t="s">
        <v>98</v>
      </c>
      <c r="B7958" s="6" t="s">
        <v>99</v>
      </c>
      <c r="C7958" s="6" t="s">
        <v>1470</v>
      </c>
      <c r="D7958" s="6" t="s">
        <v>14</v>
      </c>
      <c r="E7958" s="6" t="s">
        <v>17</v>
      </c>
      <c r="F7958" s="6" t="s">
        <v>20</v>
      </c>
      <c r="G7958" s="6" t="s">
        <v>77</v>
      </c>
      <c r="H7958" s="6" t="s">
        <v>1471</v>
      </c>
      <c r="I7958" s="6" t="s">
        <v>31</v>
      </c>
      <c r="J7958" s="6">
        <v>15.947810026585</v>
      </c>
      <c r="K7958" s="6">
        <v>-96.553472415523004</v>
      </c>
      <c r="L7958" s="6" t="str">
        <f>HYPERLINK("https://maps.google.com/?q=15.9478100265854,-96.553472415522506", "🔗 Ver Mapa")</f>
        <v>🔗 Ver Mapa</v>
      </c>
    </row>
    <row r="7959" spans="1:12" ht="43.5" x14ac:dyDescent="0.35">
      <c r="A7959" s="5" t="s">
        <v>98</v>
      </c>
      <c r="B7959" s="5" t="s">
        <v>99</v>
      </c>
      <c r="C7959" s="5" t="s">
        <v>1470</v>
      </c>
      <c r="D7959" s="5" t="s">
        <v>14</v>
      </c>
      <c r="E7959" s="5" t="s">
        <v>17</v>
      </c>
      <c r="F7959" s="5" t="s">
        <v>20</v>
      </c>
      <c r="G7959" s="5" t="s">
        <v>77</v>
      </c>
      <c r="H7959" s="5" t="s">
        <v>1471</v>
      </c>
      <c r="I7959" s="5" t="s">
        <v>31</v>
      </c>
      <c r="J7959" s="5">
        <v>15.9478151837</v>
      </c>
      <c r="K7959" s="5">
        <v>-96.553648101034</v>
      </c>
      <c r="L7959" s="5" t="str">
        <f>HYPERLINK("https://maps.google.com/?q=15.9478151837004,-96.553648101034", "🔗 Ver Mapa")</f>
        <v>🔗 Ver Mapa</v>
      </c>
    </row>
    <row r="7960" spans="1:12" ht="43.5" x14ac:dyDescent="0.35">
      <c r="A7960" s="6" t="s">
        <v>98</v>
      </c>
      <c r="B7960" s="6" t="s">
        <v>99</v>
      </c>
      <c r="C7960" s="6" t="s">
        <v>1470</v>
      </c>
      <c r="D7960" s="6" t="s">
        <v>14</v>
      </c>
      <c r="E7960" s="6" t="s">
        <v>17</v>
      </c>
      <c r="F7960" s="6" t="s">
        <v>20</v>
      </c>
      <c r="G7960" s="6" t="s">
        <v>77</v>
      </c>
      <c r="H7960" s="6" t="s">
        <v>1471</v>
      </c>
      <c r="I7960" s="6" t="s">
        <v>31</v>
      </c>
      <c r="J7960" s="6">
        <v>15.948114344819</v>
      </c>
      <c r="K7960" s="6">
        <v>-96.553414748850003</v>
      </c>
      <c r="L7960" s="6" t="str">
        <f>HYPERLINK("https://maps.google.com/?q=15.9481143448189,-96.553414748849804", "🔗 Ver Mapa")</f>
        <v>🔗 Ver Mapa</v>
      </c>
    </row>
    <row r="7961" spans="1:12" ht="43.5" x14ac:dyDescent="0.35">
      <c r="A7961" s="5" t="s">
        <v>98</v>
      </c>
      <c r="B7961" s="5" t="s">
        <v>99</v>
      </c>
      <c r="C7961" s="5" t="s">
        <v>1470</v>
      </c>
      <c r="D7961" s="5" t="s">
        <v>14</v>
      </c>
      <c r="E7961" s="5" t="s">
        <v>17</v>
      </c>
      <c r="F7961" s="5" t="s">
        <v>20</v>
      </c>
      <c r="G7961" s="5" t="s">
        <v>77</v>
      </c>
      <c r="H7961" s="5" t="s">
        <v>1471</v>
      </c>
      <c r="I7961" s="5" t="s">
        <v>31</v>
      </c>
      <c r="J7961" s="5">
        <v>15.948183999999999</v>
      </c>
      <c r="K7961" s="5">
        <v>-96.553160000000005</v>
      </c>
      <c r="L7961" s="5" t="str">
        <f>HYPERLINK("https://maps.google.com/?q=15.948184,-96.553160000000005", "🔗 Ver Mapa")</f>
        <v>🔗 Ver Mapa</v>
      </c>
    </row>
    <row r="7962" spans="1:12" ht="43.5" x14ac:dyDescent="0.35">
      <c r="A7962" s="6" t="s">
        <v>98</v>
      </c>
      <c r="B7962" s="6" t="s">
        <v>99</v>
      </c>
      <c r="C7962" s="6" t="s">
        <v>1470</v>
      </c>
      <c r="D7962" s="6" t="s">
        <v>14</v>
      </c>
      <c r="E7962" s="6" t="s">
        <v>17</v>
      </c>
      <c r="F7962" s="6" t="s">
        <v>20</v>
      </c>
      <c r="G7962" s="6" t="s">
        <v>77</v>
      </c>
      <c r="H7962" s="6" t="s">
        <v>1471</v>
      </c>
      <c r="I7962" s="6" t="s">
        <v>31</v>
      </c>
      <c r="J7962" s="6">
        <v>15.948286494923</v>
      </c>
      <c r="K7962" s="6">
        <v>-96.552168247458994</v>
      </c>
      <c r="L7962" s="6" t="str">
        <f>HYPERLINK("https://maps.google.com/?q=15.948286494923,-96.552168247459207", "🔗 Ver Mapa")</f>
        <v>🔗 Ver Mapa</v>
      </c>
    </row>
    <row r="7963" spans="1:12" ht="43.5" x14ac:dyDescent="0.35">
      <c r="A7963" s="5" t="s">
        <v>98</v>
      </c>
      <c r="B7963" s="5" t="s">
        <v>99</v>
      </c>
      <c r="C7963" s="5" t="s">
        <v>1470</v>
      </c>
      <c r="D7963" s="5" t="s">
        <v>14</v>
      </c>
      <c r="E7963" s="5" t="s">
        <v>17</v>
      </c>
      <c r="F7963" s="5" t="s">
        <v>20</v>
      </c>
      <c r="G7963" s="5" t="s">
        <v>77</v>
      </c>
      <c r="H7963" s="5" t="s">
        <v>1471</v>
      </c>
      <c r="I7963" s="5" t="s">
        <v>31</v>
      </c>
      <c r="J7963" s="5">
        <v>15.948345820733</v>
      </c>
      <c r="K7963" s="5">
        <v>-96.552618859999995</v>
      </c>
      <c r="L7963" s="5" t="str">
        <f>HYPERLINK("https://maps.google.com/?q=15.9483458207328,-96.552618859999995", "🔗 Ver Mapa")</f>
        <v>🔗 Ver Mapa</v>
      </c>
    </row>
    <row r="7964" spans="1:12" ht="43.5" x14ac:dyDescent="0.35">
      <c r="A7964" s="6" t="s">
        <v>98</v>
      </c>
      <c r="B7964" s="6" t="s">
        <v>99</v>
      </c>
      <c r="C7964" s="6" t="s">
        <v>1470</v>
      </c>
      <c r="D7964" s="6" t="s">
        <v>14</v>
      </c>
      <c r="E7964" s="6" t="s">
        <v>17</v>
      </c>
      <c r="F7964" s="6" t="s">
        <v>20</v>
      </c>
      <c r="G7964" s="6" t="s">
        <v>77</v>
      </c>
      <c r="H7964" s="6" t="s">
        <v>1471</v>
      </c>
      <c r="I7964" s="6" t="s">
        <v>31</v>
      </c>
      <c r="J7964" s="6">
        <v>15.94877392211</v>
      </c>
      <c r="K7964" s="6">
        <v>-96.553251857844003</v>
      </c>
      <c r="L7964" s="6" t="str">
        <f>HYPERLINK("https://maps.google.com/?q=15.9487739221102,-96.553251857844202", "🔗 Ver Mapa")</f>
        <v>🔗 Ver Mapa</v>
      </c>
    </row>
    <row r="7965" spans="1:12" ht="43.5" x14ac:dyDescent="0.35">
      <c r="A7965" s="5" t="s">
        <v>98</v>
      </c>
      <c r="B7965" s="5" t="s">
        <v>99</v>
      </c>
      <c r="C7965" s="5" t="s">
        <v>1470</v>
      </c>
      <c r="D7965" s="5" t="s">
        <v>14</v>
      </c>
      <c r="E7965" s="5" t="s">
        <v>17</v>
      </c>
      <c r="F7965" s="5" t="s">
        <v>20</v>
      </c>
      <c r="G7965" s="5" t="s">
        <v>77</v>
      </c>
      <c r="H7965" s="5" t="s">
        <v>1471</v>
      </c>
      <c r="I7965" s="5" t="s">
        <v>31</v>
      </c>
      <c r="J7965" s="5">
        <v>15.948846138712</v>
      </c>
      <c r="K7965" s="5">
        <v>-96.552928654477</v>
      </c>
      <c r="L7965" s="5" t="str">
        <f>HYPERLINK("https://maps.google.com/?q=15.9488461387116,-96.552928654477498", "🔗 Ver Mapa")</f>
        <v>🔗 Ver Mapa</v>
      </c>
    </row>
    <row r="7966" spans="1:12" ht="43.5" x14ac:dyDescent="0.35">
      <c r="A7966" s="6" t="s">
        <v>98</v>
      </c>
      <c r="B7966" s="6" t="s">
        <v>99</v>
      </c>
      <c r="C7966" s="6" t="s">
        <v>1470</v>
      </c>
      <c r="D7966" s="6" t="s">
        <v>14</v>
      </c>
      <c r="E7966" s="6" t="s">
        <v>17</v>
      </c>
      <c r="F7966" s="6" t="s">
        <v>20</v>
      </c>
      <c r="G7966" s="6" t="s">
        <v>77</v>
      </c>
      <c r="H7966" s="6" t="s">
        <v>1471</v>
      </c>
      <c r="I7966" s="6" t="s">
        <v>31</v>
      </c>
      <c r="J7966" s="6">
        <v>15.949104029327</v>
      </c>
      <c r="K7966" s="6">
        <v>-96.553418154802998</v>
      </c>
      <c r="L7966" s="6" t="str">
        <f>HYPERLINK("https://maps.google.com/?q=15.9491040293268,-96.553418154803197", "🔗 Ver Mapa")</f>
        <v>🔗 Ver Mapa</v>
      </c>
    </row>
    <row r="7967" spans="1:12" ht="43.5" x14ac:dyDescent="0.35">
      <c r="A7967" s="5" t="s">
        <v>98</v>
      </c>
      <c r="B7967" s="5" t="s">
        <v>99</v>
      </c>
      <c r="C7967" s="5" t="s">
        <v>1472</v>
      </c>
      <c r="D7967" s="5" t="s">
        <v>14</v>
      </c>
      <c r="E7967" s="5" t="s">
        <v>110</v>
      </c>
      <c r="F7967" s="5" t="s">
        <v>111</v>
      </c>
      <c r="G7967" s="5" t="s">
        <v>1473</v>
      </c>
      <c r="H7967" s="5" t="s">
        <v>1474</v>
      </c>
      <c r="I7967" s="5" t="s">
        <v>31</v>
      </c>
      <c r="J7967" s="5">
        <v>18.161432905771001</v>
      </c>
      <c r="K7967" s="5">
        <v>-96.876969302055002</v>
      </c>
      <c r="L7967" s="5" t="str">
        <f>HYPERLINK("https://maps.google.com/?q=18.1614329057711,-96.8769693020554", "🔗 Ver Mapa")</f>
        <v>🔗 Ver Mapa</v>
      </c>
    </row>
    <row r="7968" spans="1:12" ht="43.5" x14ac:dyDescent="0.35">
      <c r="A7968" s="6" t="s">
        <v>98</v>
      </c>
      <c r="B7968" s="6" t="s">
        <v>99</v>
      </c>
      <c r="C7968" s="6" t="s">
        <v>1472</v>
      </c>
      <c r="D7968" s="6" t="s">
        <v>14</v>
      </c>
      <c r="E7968" s="6" t="s">
        <v>110</v>
      </c>
      <c r="F7968" s="6" t="s">
        <v>111</v>
      </c>
      <c r="G7968" s="6" t="s">
        <v>1473</v>
      </c>
      <c r="H7968" s="6" t="s">
        <v>1474</v>
      </c>
      <c r="I7968" s="6" t="s">
        <v>31</v>
      </c>
      <c r="J7968" s="6">
        <v>18.161626987742999</v>
      </c>
      <c r="K7968" s="6">
        <v>-96.877531422703996</v>
      </c>
      <c r="L7968" s="6" t="str">
        <f>HYPERLINK("https://maps.google.com/?q=18.1616269877429,-96.877531422704195", "🔗 Ver Mapa")</f>
        <v>🔗 Ver Mapa</v>
      </c>
    </row>
    <row r="7969" spans="1:12" ht="43.5" x14ac:dyDescent="0.35">
      <c r="A7969" s="5" t="s">
        <v>98</v>
      </c>
      <c r="B7969" s="5" t="s">
        <v>99</v>
      </c>
      <c r="C7969" s="5" t="s">
        <v>1472</v>
      </c>
      <c r="D7969" s="5" t="s">
        <v>14</v>
      </c>
      <c r="E7969" s="5" t="s">
        <v>110</v>
      </c>
      <c r="F7969" s="5" t="s">
        <v>111</v>
      </c>
      <c r="G7969" s="5" t="s">
        <v>1473</v>
      </c>
      <c r="H7969" s="5" t="s">
        <v>1474</v>
      </c>
      <c r="I7969" s="5" t="s">
        <v>31</v>
      </c>
      <c r="J7969" s="5">
        <v>18.161806162318999</v>
      </c>
      <c r="K7969" s="5">
        <v>-96.877179522567999</v>
      </c>
      <c r="L7969" s="5" t="str">
        <f>HYPERLINK("https://maps.google.com/?q=18.1618061623191,-96.877179522568198", "🔗 Ver Mapa")</f>
        <v>🔗 Ver Mapa</v>
      </c>
    </row>
    <row r="7970" spans="1:12" ht="43.5" x14ac:dyDescent="0.35">
      <c r="A7970" s="6" t="s">
        <v>98</v>
      </c>
      <c r="B7970" s="6" t="s">
        <v>99</v>
      </c>
      <c r="C7970" s="6" t="s">
        <v>1472</v>
      </c>
      <c r="D7970" s="6" t="s">
        <v>14</v>
      </c>
      <c r="E7970" s="6" t="s">
        <v>110</v>
      </c>
      <c r="F7970" s="6" t="s">
        <v>111</v>
      </c>
      <c r="G7970" s="6" t="s">
        <v>1473</v>
      </c>
      <c r="H7970" s="6" t="s">
        <v>1474</v>
      </c>
      <c r="I7970" s="6" t="s">
        <v>31</v>
      </c>
      <c r="J7970" s="6">
        <v>18.161836100024999</v>
      </c>
      <c r="K7970" s="6">
        <v>-96.877085093253996</v>
      </c>
      <c r="L7970" s="6" t="str">
        <f>HYPERLINK("https://maps.google.com/?q=18.1618361000249,-96.877085093254095", "🔗 Ver Mapa")</f>
        <v>🔗 Ver Mapa</v>
      </c>
    </row>
    <row r="7971" spans="1:12" ht="43.5" x14ac:dyDescent="0.35">
      <c r="A7971" s="5" t="s">
        <v>98</v>
      </c>
      <c r="B7971" s="5" t="s">
        <v>99</v>
      </c>
      <c r="C7971" s="5" t="s">
        <v>1472</v>
      </c>
      <c r="D7971" s="5" t="s">
        <v>14</v>
      </c>
      <c r="E7971" s="5" t="s">
        <v>110</v>
      </c>
      <c r="F7971" s="5" t="s">
        <v>111</v>
      </c>
      <c r="G7971" s="5" t="s">
        <v>1473</v>
      </c>
      <c r="H7971" s="5" t="s">
        <v>1474</v>
      </c>
      <c r="I7971" s="5" t="s">
        <v>31</v>
      </c>
      <c r="J7971" s="5">
        <v>18.162035545535002</v>
      </c>
      <c r="K7971" s="5">
        <v>-96.874733741070003</v>
      </c>
      <c r="L7971" s="5" t="str">
        <f>HYPERLINK("https://maps.google.com/?q=18.1620355455354,-96.874733741069903", "🔗 Ver Mapa")</f>
        <v>🔗 Ver Mapa</v>
      </c>
    </row>
    <row r="7972" spans="1:12" ht="43.5" x14ac:dyDescent="0.35">
      <c r="A7972" s="6" t="s">
        <v>98</v>
      </c>
      <c r="B7972" s="6" t="s">
        <v>99</v>
      </c>
      <c r="C7972" s="6" t="s">
        <v>1472</v>
      </c>
      <c r="D7972" s="6" t="s">
        <v>14</v>
      </c>
      <c r="E7972" s="6" t="s">
        <v>110</v>
      </c>
      <c r="F7972" s="6" t="s">
        <v>111</v>
      </c>
      <c r="G7972" s="6" t="s">
        <v>1473</v>
      </c>
      <c r="H7972" s="6" t="s">
        <v>1474</v>
      </c>
      <c r="I7972" s="6" t="s">
        <v>31</v>
      </c>
      <c r="J7972" s="6">
        <v>18.162058225622999</v>
      </c>
      <c r="K7972" s="6">
        <v>-96.874963364417994</v>
      </c>
      <c r="L7972" s="6" t="str">
        <f>HYPERLINK("https://maps.google.com/?q=18.1620582256227,-96.874963364418093", "🔗 Ver Mapa")</f>
        <v>🔗 Ver Mapa</v>
      </c>
    </row>
    <row r="7973" spans="1:12" ht="43.5" x14ac:dyDescent="0.35">
      <c r="A7973" s="5" t="s">
        <v>98</v>
      </c>
      <c r="B7973" s="5" t="s">
        <v>99</v>
      </c>
      <c r="C7973" s="5" t="s">
        <v>1472</v>
      </c>
      <c r="D7973" s="5" t="s">
        <v>14</v>
      </c>
      <c r="E7973" s="5" t="s">
        <v>110</v>
      </c>
      <c r="F7973" s="5" t="s">
        <v>111</v>
      </c>
      <c r="G7973" s="5" t="s">
        <v>1473</v>
      </c>
      <c r="H7973" s="5" t="s">
        <v>1474</v>
      </c>
      <c r="I7973" s="5" t="s">
        <v>31</v>
      </c>
      <c r="J7973" s="5">
        <v>18.162088078359002</v>
      </c>
      <c r="K7973" s="5">
        <v>-96.874570366455998</v>
      </c>
      <c r="L7973" s="5" t="str">
        <f>HYPERLINK("https://maps.google.com/?q=18.1620880783586,-96.874570366456197", "🔗 Ver Mapa")</f>
        <v>🔗 Ver Mapa</v>
      </c>
    </row>
    <row r="7974" spans="1:12" ht="43.5" x14ac:dyDescent="0.35">
      <c r="A7974" s="6" t="s">
        <v>98</v>
      </c>
      <c r="B7974" s="6" t="s">
        <v>99</v>
      </c>
      <c r="C7974" s="6" t="s">
        <v>1472</v>
      </c>
      <c r="D7974" s="6" t="s">
        <v>14</v>
      </c>
      <c r="E7974" s="6" t="s">
        <v>110</v>
      </c>
      <c r="F7974" s="6" t="s">
        <v>111</v>
      </c>
      <c r="G7974" s="6" t="s">
        <v>1473</v>
      </c>
      <c r="H7974" s="6" t="s">
        <v>1474</v>
      </c>
      <c r="I7974" s="6" t="s">
        <v>31</v>
      </c>
      <c r="J7974" s="6">
        <v>18.162120825728</v>
      </c>
      <c r="K7974" s="6">
        <v>-96.875087428241997</v>
      </c>
      <c r="L7974" s="6" t="str">
        <f>HYPERLINK("https://maps.google.com/?q=18.1621208257282,-96.875087428241699", "🔗 Ver Mapa")</f>
        <v>🔗 Ver Mapa</v>
      </c>
    </row>
    <row r="7975" spans="1:12" ht="43.5" x14ac:dyDescent="0.35">
      <c r="A7975" s="5" t="s">
        <v>98</v>
      </c>
      <c r="B7975" s="5" t="s">
        <v>99</v>
      </c>
      <c r="C7975" s="5" t="s">
        <v>1472</v>
      </c>
      <c r="D7975" s="5" t="s">
        <v>14</v>
      </c>
      <c r="E7975" s="5" t="s">
        <v>110</v>
      </c>
      <c r="F7975" s="5" t="s">
        <v>111</v>
      </c>
      <c r="G7975" s="5" t="s">
        <v>1473</v>
      </c>
      <c r="H7975" s="5" t="s">
        <v>1474</v>
      </c>
      <c r="I7975" s="5" t="s">
        <v>31</v>
      </c>
      <c r="J7975" s="5">
        <v>18.162210642761</v>
      </c>
      <c r="K7975" s="5">
        <v>-96.873734615326995</v>
      </c>
      <c r="L7975" s="5" t="str">
        <f>HYPERLINK("https://maps.google.com/?q=18.1622106427611,-96.873734615326896", "🔗 Ver Mapa")</f>
        <v>🔗 Ver Mapa</v>
      </c>
    </row>
    <row r="7976" spans="1:12" ht="43.5" x14ac:dyDescent="0.35">
      <c r="A7976" s="6" t="s">
        <v>98</v>
      </c>
      <c r="B7976" s="6" t="s">
        <v>99</v>
      </c>
      <c r="C7976" s="6" t="s">
        <v>1472</v>
      </c>
      <c r="D7976" s="6" t="s">
        <v>14</v>
      </c>
      <c r="E7976" s="6" t="s">
        <v>110</v>
      </c>
      <c r="F7976" s="6" t="s">
        <v>111</v>
      </c>
      <c r="G7976" s="6" t="s">
        <v>1473</v>
      </c>
      <c r="H7976" s="6" t="s">
        <v>1474</v>
      </c>
      <c r="I7976" s="6" t="s">
        <v>31</v>
      </c>
      <c r="J7976" s="6">
        <v>18.162231001634002</v>
      </c>
      <c r="K7976" s="6">
        <v>-96.874240150315998</v>
      </c>
      <c r="L7976" s="6" t="str">
        <f>HYPERLINK("https://maps.google.com/?q=18.162231001634,-96.874240150316297", "🔗 Ver Mapa")</f>
        <v>🔗 Ver Mapa</v>
      </c>
    </row>
    <row r="7977" spans="1:12" ht="43.5" x14ac:dyDescent="0.35">
      <c r="A7977" s="5" t="s">
        <v>98</v>
      </c>
      <c r="B7977" s="5" t="s">
        <v>99</v>
      </c>
      <c r="C7977" s="5" t="s">
        <v>1472</v>
      </c>
      <c r="D7977" s="5" t="s">
        <v>14</v>
      </c>
      <c r="E7977" s="5" t="s">
        <v>110</v>
      </c>
      <c r="F7977" s="5" t="s">
        <v>111</v>
      </c>
      <c r="G7977" s="5" t="s">
        <v>1473</v>
      </c>
      <c r="H7977" s="5" t="s">
        <v>1474</v>
      </c>
      <c r="I7977" s="5" t="s">
        <v>31</v>
      </c>
      <c r="J7977" s="5">
        <v>18.162433612746</v>
      </c>
      <c r="K7977" s="5">
        <v>-96.873616738647996</v>
      </c>
      <c r="L7977" s="5" t="str">
        <f>HYPERLINK("https://maps.google.com/?q=18.1624336127464,-96.873616738647598", "🔗 Ver Mapa")</f>
        <v>🔗 Ver Mapa</v>
      </c>
    </row>
    <row r="7978" spans="1:12" ht="43.5" x14ac:dyDescent="0.35">
      <c r="A7978" s="6" t="s">
        <v>98</v>
      </c>
      <c r="B7978" s="6" t="s">
        <v>99</v>
      </c>
      <c r="C7978" s="6" t="s">
        <v>1472</v>
      </c>
      <c r="D7978" s="6" t="s">
        <v>14</v>
      </c>
      <c r="E7978" s="6" t="s">
        <v>110</v>
      </c>
      <c r="F7978" s="6" t="s">
        <v>111</v>
      </c>
      <c r="G7978" s="6" t="s">
        <v>1473</v>
      </c>
      <c r="H7978" s="6" t="s">
        <v>1474</v>
      </c>
      <c r="I7978" s="6" t="s">
        <v>31</v>
      </c>
      <c r="J7978" s="6">
        <v>18.162448063799999</v>
      </c>
      <c r="K7978" s="6">
        <v>-96.874422123003001</v>
      </c>
      <c r="L7978" s="6" t="str">
        <f>HYPERLINK("https://maps.google.com/?q=18.1624480638003,-96.8744221230031", "🔗 Ver Mapa")</f>
        <v>🔗 Ver Mapa</v>
      </c>
    </row>
    <row r="7979" spans="1:12" ht="43.5" x14ac:dyDescent="0.35">
      <c r="A7979" s="5" t="s">
        <v>98</v>
      </c>
      <c r="B7979" s="5" t="s">
        <v>99</v>
      </c>
      <c r="C7979" s="5" t="s">
        <v>1472</v>
      </c>
      <c r="D7979" s="5" t="s">
        <v>14</v>
      </c>
      <c r="E7979" s="5" t="s">
        <v>110</v>
      </c>
      <c r="F7979" s="5" t="s">
        <v>111</v>
      </c>
      <c r="G7979" s="5" t="s">
        <v>1473</v>
      </c>
      <c r="H7979" s="5" t="s">
        <v>1474</v>
      </c>
      <c r="I7979" s="5" t="s">
        <v>31</v>
      </c>
      <c r="J7979" s="5">
        <v>18.162494517165999</v>
      </c>
      <c r="K7979" s="5">
        <v>-96.878990816633006</v>
      </c>
      <c r="L7979" s="5" t="str">
        <f>HYPERLINK("https://maps.google.com/?q=18.1624945171661,-96.878990816633404", "🔗 Ver Mapa")</f>
        <v>🔗 Ver Mapa</v>
      </c>
    </row>
    <row r="7980" spans="1:12" ht="43.5" x14ac:dyDescent="0.35">
      <c r="A7980" s="6" t="s">
        <v>98</v>
      </c>
      <c r="B7980" s="6" t="s">
        <v>99</v>
      </c>
      <c r="C7980" s="6" t="s">
        <v>1472</v>
      </c>
      <c r="D7980" s="6" t="s">
        <v>14</v>
      </c>
      <c r="E7980" s="6" t="s">
        <v>110</v>
      </c>
      <c r="F7980" s="6" t="s">
        <v>111</v>
      </c>
      <c r="G7980" s="6" t="s">
        <v>1473</v>
      </c>
      <c r="H7980" s="6" t="s">
        <v>1474</v>
      </c>
      <c r="I7980" s="6" t="s">
        <v>31</v>
      </c>
      <c r="J7980" s="6">
        <v>18.162657050958</v>
      </c>
      <c r="K7980" s="6">
        <v>-96.873808355226998</v>
      </c>
      <c r="L7980" s="6" t="str">
        <f>HYPERLINK("https://maps.google.com/?q=18.162657050958,-96.873808355227098", "🔗 Ver Mapa")</f>
        <v>🔗 Ver Mapa</v>
      </c>
    </row>
    <row r="7981" spans="1:12" ht="43.5" x14ac:dyDescent="0.35">
      <c r="A7981" s="5" t="s">
        <v>98</v>
      </c>
      <c r="B7981" s="5" t="s">
        <v>99</v>
      </c>
      <c r="C7981" s="5" t="s">
        <v>1472</v>
      </c>
      <c r="D7981" s="5" t="s">
        <v>14</v>
      </c>
      <c r="E7981" s="5" t="s">
        <v>110</v>
      </c>
      <c r="F7981" s="5" t="s">
        <v>111</v>
      </c>
      <c r="G7981" s="5" t="s">
        <v>1473</v>
      </c>
      <c r="H7981" s="5" t="s">
        <v>1474</v>
      </c>
      <c r="I7981" s="5" t="s">
        <v>31</v>
      </c>
      <c r="J7981" s="5">
        <v>18.162906812782001</v>
      </c>
      <c r="K7981" s="5">
        <v>-96.873503475077001</v>
      </c>
      <c r="L7981" s="5" t="str">
        <f>HYPERLINK("https://maps.google.com/?q=18.1629068127824,-96.873503475076902", "🔗 Ver Mapa")</f>
        <v>🔗 Ver Mapa</v>
      </c>
    </row>
    <row r="7982" spans="1:12" ht="43.5" x14ac:dyDescent="0.35">
      <c r="A7982" s="6" t="s">
        <v>98</v>
      </c>
      <c r="B7982" s="6" t="s">
        <v>99</v>
      </c>
      <c r="C7982" s="6" t="s">
        <v>1472</v>
      </c>
      <c r="D7982" s="6" t="s">
        <v>14</v>
      </c>
      <c r="E7982" s="6" t="s">
        <v>110</v>
      </c>
      <c r="F7982" s="6" t="s">
        <v>111</v>
      </c>
      <c r="G7982" s="6" t="s">
        <v>1473</v>
      </c>
      <c r="H7982" s="6" t="s">
        <v>1474</v>
      </c>
      <c r="I7982" s="6" t="s">
        <v>31</v>
      </c>
      <c r="J7982" s="6">
        <v>18.162993915381001</v>
      </c>
      <c r="K7982" s="6">
        <v>-96.873106919020003</v>
      </c>
      <c r="L7982" s="6" t="str">
        <f>HYPERLINK("https://maps.google.com/?q=18.162993915381,-96.873106919019705", "🔗 Ver Mapa")</f>
        <v>🔗 Ver Mapa</v>
      </c>
    </row>
    <row r="7983" spans="1:12" ht="43.5" x14ac:dyDescent="0.35">
      <c r="A7983" s="5" t="s">
        <v>98</v>
      </c>
      <c r="B7983" s="5" t="s">
        <v>99</v>
      </c>
      <c r="C7983" s="5" t="s">
        <v>1472</v>
      </c>
      <c r="D7983" s="5" t="s">
        <v>14</v>
      </c>
      <c r="E7983" s="5" t="s">
        <v>110</v>
      </c>
      <c r="F7983" s="5" t="s">
        <v>111</v>
      </c>
      <c r="G7983" s="5" t="s">
        <v>1473</v>
      </c>
      <c r="H7983" s="5" t="s">
        <v>1474</v>
      </c>
      <c r="I7983" s="5" t="s">
        <v>31</v>
      </c>
      <c r="J7983" s="5">
        <v>18.163020099991002</v>
      </c>
      <c r="K7983" s="5">
        <v>-96.873286944775003</v>
      </c>
      <c r="L7983" s="5" t="str">
        <f>HYPERLINK("https://maps.google.com/?q=18.1630200999906,-96.873286944774705", "🔗 Ver Mapa")</f>
        <v>🔗 Ver Mapa</v>
      </c>
    </row>
    <row r="7984" spans="1:12" ht="43.5" x14ac:dyDescent="0.35">
      <c r="A7984" s="6" t="s">
        <v>98</v>
      </c>
      <c r="B7984" s="6" t="s">
        <v>99</v>
      </c>
      <c r="C7984" s="6" t="s">
        <v>1472</v>
      </c>
      <c r="D7984" s="6" t="s">
        <v>14</v>
      </c>
      <c r="E7984" s="6" t="s">
        <v>110</v>
      </c>
      <c r="F7984" s="6" t="s">
        <v>111</v>
      </c>
      <c r="G7984" s="6" t="s">
        <v>1473</v>
      </c>
      <c r="H7984" s="6" t="s">
        <v>1474</v>
      </c>
      <c r="I7984" s="6" t="s">
        <v>31</v>
      </c>
      <c r="J7984" s="6">
        <v>18.163023357172001</v>
      </c>
      <c r="K7984" s="6">
        <v>-96.872749134931993</v>
      </c>
      <c r="L7984" s="6" t="str">
        <f>HYPERLINK("https://maps.google.com/?q=18.163023357172,-96.872749134932207", "🔗 Ver Mapa")</f>
        <v>🔗 Ver Mapa</v>
      </c>
    </row>
    <row r="7985" spans="1:12" ht="43.5" x14ac:dyDescent="0.35">
      <c r="A7985" s="5" t="s">
        <v>98</v>
      </c>
      <c r="B7985" s="5" t="s">
        <v>99</v>
      </c>
      <c r="C7985" s="5" t="s">
        <v>1472</v>
      </c>
      <c r="D7985" s="5" t="s">
        <v>14</v>
      </c>
      <c r="E7985" s="5" t="s">
        <v>110</v>
      </c>
      <c r="F7985" s="5" t="s">
        <v>111</v>
      </c>
      <c r="G7985" s="5" t="s">
        <v>1473</v>
      </c>
      <c r="H7985" s="5" t="s">
        <v>1474</v>
      </c>
      <c r="I7985" s="5" t="s">
        <v>31</v>
      </c>
      <c r="J7985" s="5">
        <v>18.163064057</v>
      </c>
      <c r="K7985" s="5">
        <v>-96.871909056787004</v>
      </c>
      <c r="L7985" s="5" t="str">
        <f>HYPERLINK("https://maps.google.com/?q=18.1630640570001,-96.871909056787104", "🔗 Ver Mapa")</f>
        <v>🔗 Ver Mapa</v>
      </c>
    </row>
    <row r="7986" spans="1:12" ht="43.5" x14ac:dyDescent="0.35">
      <c r="A7986" s="6" t="s">
        <v>98</v>
      </c>
      <c r="B7986" s="6" t="s">
        <v>99</v>
      </c>
      <c r="C7986" s="6" t="s">
        <v>1472</v>
      </c>
      <c r="D7986" s="6" t="s">
        <v>14</v>
      </c>
      <c r="E7986" s="6" t="s">
        <v>110</v>
      </c>
      <c r="F7986" s="6" t="s">
        <v>111</v>
      </c>
      <c r="G7986" s="6" t="s">
        <v>1473</v>
      </c>
      <c r="H7986" s="6" t="s">
        <v>1474</v>
      </c>
      <c r="I7986" s="6" t="s">
        <v>31</v>
      </c>
      <c r="J7986" s="6">
        <v>18.163111565493001</v>
      </c>
      <c r="K7986" s="6">
        <v>-96.879482161590005</v>
      </c>
      <c r="L7986" s="6" t="str">
        <f>HYPERLINK("https://maps.google.com/?q=18.1631115654934,-96.879482161590104", "🔗 Ver Mapa")</f>
        <v>🔗 Ver Mapa</v>
      </c>
    </row>
    <row r="7987" spans="1:12" ht="43.5" x14ac:dyDescent="0.35">
      <c r="A7987" s="5" t="s">
        <v>98</v>
      </c>
      <c r="B7987" s="5" t="s">
        <v>99</v>
      </c>
      <c r="C7987" s="5" t="s">
        <v>1472</v>
      </c>
      <c r="D7987" s="5" t="s">
        <v>14</v>
      </c>
      <c r="E7987" s="5" t="s">
        <v>110</v>
      </c>
      <c r="F7987" s="5" t="s">
        <v>111</v>
      </c>
      <c r="G7987" s="5" t="s">
        <v>1473</v>
      </c>
      <c r="H7987" s="5" t="s">
        <v>1474</v>
      </c>
      <c r="I7987" s="5" t="s">
        <v>31</v>
      </c>
      <c r="J7987" s="5">
        <v>18.163144385948002</v>
      </c>
      <c r="K7987" s="5">
        <v>-96.873832635582005</v>
      </c>
      <c r="L7987" s="5" t="str">
        <f>HYPERLINK("https://maps.google.com/?q=18.1631443859478,-96.873832635582005", "🔗 Ver Mapa")</f>
        <v>🔗 Ver Mapa</v>
      </c>
    </row>
    <row r="7988" spans="1:12" ht="43.5" x14ac:dyDescent="0.35">
      <c r="A7988" s="6" t="s">
        <v>98</v>
      </c>
      <c r="B7988" s="6" t="s">
        <v>99</v>
      </c>
      <c r="C7988" s="6" t="s">
        <v>1472</v>
      </c>
      <c r="D7988" s="6" t="s">
        <v>14</v>
      </c>
      <c r="E7988" s="6" t="s">
        <v>110</v>
      </c>
      <c r="F7988" s="6" t="s">
        <v>111</v>
      </c>
      <c r="G7988" s="6" t="s">
        <v>1473</v>
      </c>
      <c r="H7988" s="6" t="s">
        <v>1474</v>
      </c>
      <c r="I7988" s="6" t="s">
        <v>31</v>
      </c>
      <c r="J7988" s="6">
        <v>18.163175391355999</v>
      </c>
      <c r="K7988" s="6">
        <v>-96.874023698011996</v>
      </c>
      <c r="L7988" s="6" t="str">
        <f>HYPERLINK("https://maps.google.com/?q=18.1631753913562,-96.874023698012195", "🔗 Ver Mapa")</f>
        <v>🔗 Ver Mapa</v>
      </c>
    </row>
    <row r="7989" spans="1:12" ht="43.5" x14ac:dyDescent="0.35">
      <c r="A7989" s="5" t="s">
        <v>98</v>
      </c>
      <c r="B7989" s="5" t="s">
        <v>99</v>
      </c>
      <c r="C7989" s="5" t="s">
        <v>1472</v>
      </c>
      <c r="D7989" s="5" t="s">
        <v>14</v>
      </c>
      <c r="E7989" s="5" t="s">
        <v>110</v>
      </c>
      <c r="F7989" s="5" t="s">
        <v>111</v>
      </c>
      <c r="G7989" s="5" t="s">
        <v>1473</v>
      </c>
      <c r="H7989" s="5" t="s">
        <v>1474</v>
      </c>
      <c r="I7989" s="5" t="s">
        <v>31</v>
      </c>
      <c r="J7989" s="5">
        <v>18.163202551424</v>
      </c>
      <c r="K7989" s="5">
        <v>-96.880085953372998</v>
      </c>
      <c r="L7989" s="5" t="str">
        <f>HYPERLINK("https://maps.google.com/?q=18.1632025514241,-96.880085953372998", "🔗 Ver Mapa")</f>
        <v>🔗 Ver Mapa</v>
      </c>
    </row>
    <row r="7990" spans="1:12" ht="43.5" x14ac:dyDescent="0.35">
      <c r="A7990" s="6" t="s">
        <v>98</v>
      </c>
      <c r="B7990" s="6" t="s">
        <v>99</v>
      </c>
      <c r="C7990" s="6" t="s">
        <v>1472</v>
      </c>
      <c r="D7990" s="6" t="s">
        <v>14</v>
      </c>
      <c r="E7990" s="6" t="s">
        <v>110</v>
      </c>
      <c r="F7990" s="6" t="s">
        <v>111</v>
      </c>
      <c r="G7990" s="6" t="s">
        <v>1473</v>
      </c>
      <c r="H7990" s="6" t="s">
        <v>1474</v>
      </c>
      <c r="I7990" s="6" t="s">
        <v>31</v>
      </c>
      <c r="J7990" s="6">
        <v>18.163216922825999</v>
      </c>
      <c r="K7990" s="6">
        <v>-96.871963046627002</v>
      </c>
      <c r="L7990" s="6" t="str">
        <f>HYPERLINK("https://maps.google.com/?q=18.1632169228264,-96.871963046627101", "🔗 Ver Mapa")</f>
        <v>🔗 Ver Mapa</v>
      </c>
    </row>
    <row r="7991" spans="1:12" ht="43.5" x14ac:dyDescent="0.35">
      <c r="A7991" s="5" t="s">
        <v>98</v>
      </c>
      <c r="B7991" s="5" t="s">
        <v>99</v>
      </c>
      <c r="C7991" s="5" t="s">
        <v>1472</v>
      </c>
      <c r="D7991" s="5" t="s">
        <v>14</v>
      </c>
      <c r="E7991" s="5" t="s">
        <v>110</v>
      </c>
      <c r="F7991" s="5" t="s">
        <v>111</v>
      </c>
      <c r="G7991" s="5" t="s">
        <v>1473</v>
      </c>
      <c r="H7991" s="5" t="s">
        <v>1474</v>
      </c>
      <c r="I7991" s="5" t="s">
        <v>31</v>
      </c>
      <c r="J7991" s="5">
        <v>18.163231483760001</v>
      </c>
      <c r="K7991" s="5">
        <v>-96.879324595751001</v>
      </c>
      <c r="L7991" s="5" t="str">
        <f>HYPERLINK("https://maps.google.com/?q=18.1632314837601,-96.879324595750603", "🔗 Ver Mapa")</f>
        <v>🔗 Ver Mapa</v>
      </c>
    </row>
    <row r="7992" spans="1:12" ht="43.5" x14ac:dyDescent="0.35">
      <c r="A7992" s="6" t="s">
        <v>98</v>
      </c>
      <c r="B7992" s="6" t="s">
        <v>99</v>
      </c>
      <c r="C7992" s="6" t="s">
        <v>1472</v>
      </c>
      <c r="D7992" s="6" t="s">
        <v>14</v>
      </c>
      <c r="E7992" s="6" t="s">
        <v>110</v>
      </c>
      <c r="F7992" s="6" t="s">
        <v>111</v>
      </c>
      <c r="G7992" s="6" t="s">
        <v>1473</v>
      </c>
      <c r="H7992" s="6" t="s">
        <v>1474</v>
      </c>
      <c r="I7992" s="6" t="s">
        <v>31</v>
      </c>
      <c r="J7992" s="6">
        <v>18.163275077862998</v>
      </c>
      <c r="K7992" s="6">
        <v>-96.874382347956001</v>
      </c>
      <c r="L7992" s="6" t="str">
        <f>HYPERLINK("https://maps.google.com/?q=18.1632750778631,-96.874382347956001", "🔗 Ver Mapa")</f>
        <v>🔗 Ver Mapa</v>
      </c>
    </row>
    <row r="7993" spans="1:12" ht="43.5" x14ac:dyDescent="0.35">
      <c r="A7993" s="5" t="s">
        <v>98</v>
      </c>
      <c r="B7993" s="5" t="s">
        <v>99</v>
      </c>
      <c r="C7993" s="5" t="s">
        <v>1472</v>
      </c>
      <c r="D7993" s="5" t="s">
        <v>14</v>
      </c>
      <c r="E7993" s="5" t="s">
        <v>110</v>
      </c>
      <c r="F7993" s="5" t="s">
        <v>111</v>
      </c>
      <c r="G7993" s="5" t="s">
        <v>1473</v>
      </c>
      <c r="H7993" s="5" t="s">
        <v>1474</v>
      </c>
      <c r="I7993" s="5" t="s">
        <v>31</v>
      </c>
      <c r="J7993" s="5">
        <v>18.163434352932001</v>
      </c>
      <c r="K7993" s="5">
        <v>-96.874196399998993</v>
      </c>
      <c r="L7993" s="5" t="str">
        <f>HYPERLINK("https://maps.google.com/?q=18.1634343529319,-96.874196399999207", "🔗 Ver Mapa")</f>
        <v>🔗 Ver Mapa</v>
      </c>
    </row>
    <row r="7994" spans="1:12" ht="43.5" x14ac:dyDescent="0.35">
      <c r="A7994" s="6" t="s">
        <v>98</v>
      </c>
      <c r="B7994" s="6" t="s">
        <v>99</v>
      </c>
      <c r="C7994" s="6" t="s">
        <v>1472</v>
      </c>
      <c r="D7994" s="6" t="s">
        <v>14</v>
      </c>
      <c r="E7994" s="6" t="s">
        <v>110</v>
      </c>
      <c r="F7994" s="6" t="s">
        <v>111</v>
      </c>
      <c r="G7994" s="6" t="s">
        <v>1473</v>
      </c>
      <c r="H7994" s="6" t="s">
        <v>1474</v>
      </c>
      <c r="I7994" s="6" t="s">
        <v>31</v>
      </c>
      <c r="J7994" s="6">
        <v>18.163435637071998</v>
      </c>
      <c r="K7994" s="6">
        <v>-96.874348820343002</v>
      </c>
      <c r="L7994" s="6" t="str">
        <f>HYPERLINK("https://maps.google.com/?q=18.1634356370723,-96.8743488203433", "🔗 Ver Mapa")</f>
        <v>🔗 Ver Mapa</v>
      </c>
    </row>
    <row r="7995" spans="1:12" ht="43.5" x14ac:dyDescent="0.35">
      <c r="A7995" s="5" t="s">
        <v>98</v>
      </c>
      <c r="B7995" s="5" t="s">
        <v>99</v>
      </c>
      <c r="C7995" s="5" t="s">
        <v>1472</v>
      </c>
      <c r="D7995" s="5" t="s">
        <v>14</v>
      </c>
      <c r="E7995" s="5" t="s">
        <v>110</v>
      </c>
      <c r="F7995" s="5" t="s">
        <v>111</v>
      </c>
      <c r="G7995" s="5" t="s">
        <v>1473</v>
      </c>
      <c r="H7995" s="5" t="s">
        <v>1474</v>
      </c>
      <c r="I7995" s="5" t="s">
        <v>31</v>
      </c>
      <c r="J7995" s="5">
        <v>18.163440734188001</v>
      </c>
      <c r="K7995" s="5">
        <v>-96.874520481719998</v>
      </c>
      <c r="L7995" s="5" t="str">
        <f>HYPERLINK("https://maps.google.com/?q=18.1634407341877,-96.874520481720197", "🔗 Ver Mapa")</f>
        <v>🔗 Ver Mapa</v>
      </c>
    </row>
    <row r="7996" spans="1:12" ht="43.5" x14ac:dyDescent="0.35">
      <c r="A7996" s="6" t="s">
        <v>98</v>
      </c>
      <c r="B7996" s="6" t="s">
        <v>99</v>
      </c>
      <c r="C7996" s="6" t="s">
        <v>1472</v>
      </c>
      <c r="D7996" s="6" t="s">
        <v>14</v>
      </c>
      <c r="E7996" s="6" t="s">
        <v>110</v>
      </c>
      <c r="F7996" s="6" t="s">
        <v>111</v>
      </c>
      <c r="G7996" s="6" t="s">
        <v>1473</v>
      </c>
      <c r="H7996" s="6" t="s">
        <v>1474</v>
      </c>
      <c r="I7996" s="6" t="s">
        <v>31</v>
      </c>
      <c r="J7996" s="6">
        <v>18.163445658369</v>
      </c>
      <c r="K7996" s="6">
        <v>-96.877285460387</v>
      </c>
      <c r="L7996" s="6" t="str">
        <f>HYPERLINK("https://maps.google.com/?q=18.1634456583693,-96.877285460387498", "🔗 Ver Mapa")</f>
        <v>🔗 Ver Mapa</v>
      </c>
    </row>
    <row r="7997" spans="1:12" ht="43.5" x14ac:dyDescent="0.35">
      <c r="A7997" s="5" t="s">
        <v>98</v>
      </c>
      <c r="B7997" s="5" t="s">
        <v>99</v>
      </c>
      <c r="C7997" s="5" t="s">
        <v>1472</v>
      </c>
      <c r="D7997" s="5" t="s">
        <v>14</v>
      </c>
      <c r="E7997" s="5" t="s">
        <v>110</v>
      </c>
      <c r="F7997" s="5" t="s">
        <v>111</v>
      </c>
      <c r="G7997" s="5" t="s">
        <v>1473</v>
      </c>
      <c r="H7997" s="5" t="s">
        <v>1474</v>
      </c>
      <c r="I7997" s="5" t="s">
        <v>31</v>
      </c>
      <c r="J7997" s="5">
        <v>18.163496591268999</v>
      </c>
      <c r="K7997" s="5">
        <v>-96.873400028052998</v>
      </c>
      <c r="L7997" s="5" t="str">
        <f>HYPERLINK("https://maps.google.com/?q=18.1634965912688,-96.873400028053496", "🔗 Ver Mapa")</f>
        <v>🔗 Ver Mapa</v>
      </c>
    </row>
    <row r="7998" spans="1:12" ht="43.5" x14ac:dyDescent="0.35">
      <c r="A7998" s="6" t="s">
        <v>98</v>
      </c>
      <c r="B7998" s="6" t="s">
        <v>99</v>
      </c>
      <c r="C7998" s="6" t="s">
        <v>1472</v>
      </c>
      <c r="D7998" s="6" t="s">
        <v>14</v>
      </c>
      <c r="E7998" s="6" t="s">
        <v>110</v>
      </c>
      <c r="F7998" s="6" t="s">
        <v>111</v>
      </c>
      <c r="G7998" s="6" t="s">
        <v>1473</v>
      </c>
      <c r="H7998" s="6" t="s">
        <v>1474</v>
      </c>
      <c r="I7998" s="6" t="s">
        <v>31</v>
      </c>
      <c r="J7998" s="6">
        <v>18.163571346179001</v>
      </c>
      <c r="K7998" s="6">
        <v>-96.873125735637004</v>
      </c>
      <c r="L7998" s="6" t="str">
        <f>HYPERLINK("https://maps.google.com/?q=18.1635713461787,-96.873125735636904", "🔗 Ver Mapa")</f>
        <v>🔗 Ver Mapa</v>
      </c>
    </row>
    <row r="7999" spans="1:12" ht="43.5" x14ac:dyDescent="0.35">
      <c r="A7999" s="5" t="s">
        <v>98</v>
      </c>
      <c r="B7999" s="5" t="s">
        <v>99</v>
      </c>
      <c r="C7999" s="5" t="s">
        <v>1472</v>
      </c>
      <c r="D7999" s="5" t="s">
        <v>14</v>
      </c>
      <c r="E7999" s="5" t="s">
        <v>110</v>
      </c>
      <c r="F7999" s="5" t="s">
        <v>111</v>
      </c>
      <c r="G7999" s="5" t="s">
        <v>1473</v>
      </c>
      <c r="H7999" s="5" t="s">
        <v>1474</v>
      </c>
      <c r="I7999" s="5" t="s">
        <v>31</v>
      </c>
      <c r="J7999" s="5">
        <v>18.163620871976001</v>
      </c>
      <c r="K7999" s="5">
        <v>-96.878058160701997</v>
      </c>
      <c r="L7999" s="5" t="str">
        <f>HYPERLINK("https://maps.google.com/?q=18.1636208719759,-96.878058160702395", "🔗 Ver Mapa")</f>
        <v>🔗 Ver Mapa</v>
      </c>
    </row>
    <row r="8000" spans="1:12" ht="43.5" x14ac:dyDescent="0.35">
      <c r="A8000" s="6" t="s">
        <v>98</v>
      </c>
      <c r="B8000" s="6" t="s">
        <v>99</v>
      </c>
      <c r="C8000" s="6" t="s">
        <v>1472</v>
      </c>
      <c r="D8000" s="6" t="s">
        <v>14</v>
      </c>
      <c r="E8000" s="6" t="s">
        <v>110</v>
      </c>
      <c r="F8000" s="6" t="s">
        <v>111</v>
      </c>
      <c r="G8000" s="6" t="s">
        <v>1473</v>
      </c>
      <c r="H8000" s="6" t="s">
        <v>1474</v>
      </c>
      <c r="I8000" s="6" t="s">
        <v>31</v>
      </c>
      <c r="J8000" s="6">
        <v>18.163682112044999</v>
      </c>
      <c r="K8000" s="6">
        <v>-96.877234342125007</v>
      </c>
      <c r="L8000" s="6" t="str">
        <f>HYPERLINK("https://maps.google.com/?q=18.1636821120448,-96.877234342124794", "🔗 Ver Mapa")</f>
        <v>🔗 Ver Mapa</v>
      </c>
    </row>
    <row r="8001" spans="1:12" ht="43.5" x14ac:dyDescent="0.35">
      <c r="A8001" s="5" t="s">
        <v>98</v>
      </c>
      <c r="B8001" s="5" t="s">
        <v>99</v>
      </c>
      <c r="C8001" s="5" t="s">
        <v>1472</v>
      </c>
      <c r="D8001" s="5" t="s">
        <v>14</v>
      </c>
      <c r="E8001" s="5" t="s">
        <v>110</v>
      </c>
      <c r="F8001" s="5" t="s">
        <v>111</v>
      </c>
      <c r="G8001" s="5" t="s">
        <v>1473</v>
      </c>
      <c r="H8001" s="5" t="s">
        <v>1474</v>
      </c>
      <c r="I8001" s="5" t="s">
        <v>31</v>
      </c>
      <c r="J8001" s="5">
        <v>18.163752437269</v>
      </c>
      <c r="K8001" s="5">
        <v>-96.874178119049006</v>
      </c>
      <c r="L8001" s="5" t="str">
        <f>HYPERLINK("https://maps.google.com/?q=18.1637524372688,-96.874178119049105", "🔗 Ver Mapa")</f>
        <v>🔗 Ver Mapa</v>
      </c>
    </row>
    <row r="8002" spans="1:12" ht="43.5" x14ac:dyDescent="0.35">
      <c r="A8002" s="6" t="s">
        <v>98</v>
      </c>
      <c r="B8002" s="6" t="s">
        <v>99</v>
      </c>
      <c r="C8002" s="6" t="s">
        <v>1472</v>
      </c>
      <c r="D8002" s="6" t="s">
        <v>14</v>
      </c>
      <c r="E8002" s="6" t="s">
        <v>110</v>
      </c>
      <c r="F8002" s="6" t="s">
        <v>111</v>
      </c>
      <c r="G8002" s="6" t="s">
        <v>1473</v>
      </c>
      <c r="H8002" s="6" t="s">
        <v>1474</v>
      </c>
      <c r="I8002" s="6" t="s">
        <v>31</v>
      </c>
      <c r="J8002" s="6">
        <v>18.163758539530001</v>
      </c>
      <c r="K8002" s="6">
        <v>-96.878802976686998</v>
      </c>
      <c r="L8002" s="6" t="str">
        <f>HYPERLINK("https://maps.google.com/?q=18.1637585395304,-96.8788029766866", "🔗 Ver Mapa")</f>
        <v>🔗 Ver Mapa</v>
      </c>
    </row>
    <row r="8003" spans="1:12" ht="43.5" x14ac:dyDescent="0.35">
      <c r="A8003" s="5" t="s">
        <v>98</v>
      </c>
      <c r="B8003" s="5" t="s">
        <v>99</v>
      </c>
      <c r="C8003" s="5" t="s">
        <v>1472</v>
      </c>
      <c r="D8003" s="5" t="s">
        <v>14</v>
      </c>
      <c r="E8003" s="5" t="s">
        <v>110</v>
      </c>
      <c r="F8003" s="5" t="s">
        <v>111</v>
      </c>
      <c r="G8003" s="5" t="s">
        <v>1473</v>
      </c>
      <c r="H8003" s="5" t="s">
        <v>1474</v>
      </c>
      <c r="I8003" s="5" t="s">
        <v>31</v>
      </c>
      <c r="J8003" s="5">
        <v>18.163819066316002</v>
      </c>
      <c r="K8003" s="5">
        <v>-96.878611083492004</v>
      </c>
      <c r="L8003" s="5" t="str">
        <f>HYPERLINK("https://maps.google.com/?q=18.1638190663164,-96.878611083491805", "🔗 Ver Mapa")</f>
        <v>🔗 Ver Mapa</v>
      </c>
    </row>
    <row r="8004" spans="1:12" ht="43.5" x14ac:dyDescent="0.35">
      <c r="A8004" s="6" t="s">
        <v>98</v>
      </c>
      <c r="B8004" s="6" t="s">
        <v>99</v>
      </c>
      <c r="C8004" s="6" t="s">
        <v>1472</v>
      </c>
      <c r="D8004" s="6" t="s">
        <v>14</v>
      </c>
      <c r="E8004" s="6" t="s">
        <v>110</v>
      </c>
      <c r="F8004" s="6" t="s">
        <v>111</v>
      </c>
      <c r="G8004" s="6" t="s">
        <v>1473</v>
      </c>
      <c r="H8004" s="6" t="s">
        <v>1474</v>
      </c>
      <c r="I8004" s="6" t="s">
        <v>31</v>
      </c>
      <c r="J8004" s="6">
        <v>18.16382164342</v>
      </c>
      <c r="K8004" s="6">
        <v>-96.878540023314002</v>
      </c>
      <c r="L8004" s="6" t="str">
        <f>HYPERLINK("https://maps.google.com/?q=18.1638216434197,-96.878540023313604", "🔗 Ver Mapa")</f>
        <v>🔗 Ver Mapa</v>
      </c>
    </row>
    <row r="8005" spans="1:12" ht="43.5" x14ac:dyDescent="0.35">
      <c r="A8005" s="5" t="s">
        <v>98</v>
      </c>
      <c r="B8005" s="5" t="s">
        <v>99</v>
      </c>
      <c r="C8005" s="5" t="s">
        <v>1472</v>
      </c>
      <c r="D8005" s="5" t="s">
        <v>14</v>
      </c>
      <c r="E8005" s="5" t="s">
        <v>110</v>
      </c>
      <c r="F8005" s="5" t="s">
        <v>111</v>
      </c>
      <c r="G8005" s="5" t="s">
        <v>1473</v>
      </c>
      <c r="H8005" s="5" t="s">
        <v>1474</v>
      </c>
      <c r="I8005" s="5" t="s">
        <v>31</v>
      </c>
      <c r="J8005" s="5">
        <v>18.163871035526</v>
      </c>
      <c r="K8005" s="5">
        <v>-96.879372858818996</v>
      </c>
      <c r="L8005" s="5" t="str">
        <f>HYPERLINK("https://maps.google.com/?q=18.1638710355259,-96.879372858818698", "🔗 Ver Mapa")</f>
        <v>🔗 Ver Mapa</v>
      </c>
    </row>
    <row r="8006" spans="1:12" ht="43.5" x14ac:dyDescent="0.35">
      <c r="A8006" s="6" t="s">
        <v>98</v>
      </c>
      <c r="B8006" s="6" t="s">
        <v>99</v>
      </c>
      <c r="C8006" s="6" t="s">
        <v>1472</v>
      </c>
      <c r="D8006" s="6" t="s">
        <v>14</v>
      </c>
      <c r="E8006" s="6" t="s">
        <v>110</v>
      </c>
      <c r="F8006" s="6" t="s">
        <v>111</v>
      </c>
      <c r="G8006" s="6" t="s">
        <v>1473</v>
      </c>
      <c r="H8006" s="6" t="s">
        <v>1474</v>
      </c>
      <c r="I8006" s="6" t="s">
        <v>31</v>
      </c>
      <c r="J8006" s="6">
        <v>18.163874994147999</v>
      </c>
      <c r="K8006" s="6">
        <v>-96.873911897959005</v>
      </c>
      <c r="L8006" s="6" t="str">
        <f>HYPERLINK("https://maps.google.com/?q=18.1638749941477,-96.873911897958607", "🔗 Ver Mapa")</f>
        <v>🔗 Ver Mapa</v>
      </c>
    </row>
    <row r="8007" spans="1:12" ht="43.5" x14ac:dyDescent="0.35">
      <c r="A8007" s="5" t="s">
        <v>98</v>
      </c>
      <c r="B8007" s="5" t="s">
        <v>99</v>
      </c>
      <c r="C8007" s="5" t="s">
        <v>1472</v>
      </c>
      <c r="D8007" s="5" t="s">
        <v>14</v>
      </c>
      <c r="E8007" s="5" t="s">
        <v>110</v>
      </c>
      <c r="F8007" s="5" t="s">
        <v>111</v>
      </c>
      <c r="G8007" s="5" t="s">
        <v>1473</v>
      </c>
      <c r="H8007" s="5" t="s">
        <v>1474</v>
      </c>
      <c r="I8007" s="5" t="s">
        <v>31</v>
      </c>
      <c r="J8007" s="5">
        <v>18.163949517363001</v>
      </c>
      <c r="K8007" s="5">
        <v>-96.878916492065002</v>
      </c>
      <c r="L8007" s="5" t="str">
        <f>HYPERLINK("https://maps.google.com/?q=18.1639495173629,-96.8789164920654", "🔗 Ver Mapa")</f>
        <v>🔗 Ver Mapa</v>
      </c>
    </row>
    <row r="8008" spans="1:12" ht="43.5" x14ac:dyDescent="0.35">
      <c r="A8008" s="6" t="s">
        <v>98</v>
      </c>
      <c r="B8008" s="6" t="s">
        <v>99</v>
      </c>
      <c r="C8008" s="6" t="s">
        <v>1472</v>
      </c>
      <c r="D8008" s="6" t="s">
        <v>14</v>
      </c>
      <c r="E8008" s="6" t="s">
        <v>110</v>
      </c>
      <c r="F8008" s="6" t="s">
        <v>111</v>
      </c>
      <c r="G8008" s="6" t="s">
        <v>1473</v>
      </c>
      <c r="H8008" s="6" t="s">
        <v>1474</v>
      </c>
      <c r="I8008" s="6" t="s">
        <v>31</v>
      </c>
      <c r="J8008" s="6">
        <v>18.163960437288999</v>
      </c>
      <c r="K8008" s="6">
        <v>-96.873290294477002</v>
      </c>
      <c r="L8008" s="6" t="str">
        <f>HYPERLINK("https://maps.google.com/?q=18.1639604372886,-96.873290294477499", "🔗 Ver Mapa")</f>
        <v>🔗 Ver Mapa</v>
      </c>
    </row>
    <row r="8009" spans="1:12" ht="43.5" x14ac:dyDescent="0.35">
      <c r="A8009" s="5" t="s">
        <v>98</v>
      </c>
      <c r="B8009" s="5" t="s">
        <v>99</v>
      </c>
      <c r="C8009" s="5" t="s">
        <v>1472</v>
      </c>
      <c r="D8009" s="5" t="s">
        <v>14</v>
      </c>
      <c r="E8009" s="5" t="s">
        <v>110</v>
      </c>
      <c r="F8009" s="5" t="s">
        <v>111</v>
      </c>
      <c r="G8009" s="5" t="s">
        <v>1473</v>
      </c>
      <c r="H8009" s="5" t="s">
        <v>1474</v>
      </c>
      <c r="I8009" s="5" t="s">
        <v>31</v>
      </c>
      <c r="J8009" s="5">
        <v>18.163992289802</v>
      </c>
      <c r="K8009" s="5">
        <v>-96.874267798464004</v>
      </c>
      <c r="L8009" s="5" t="str">
        <f>HYPERLINK("https://maps.google.com/?q=18.163992289802,-96.874267798463904", "🔗 Ver Mapa")</f>
        <v>🔗 Ver Mapa</v>
      </c>
    </row>
    <row r="8010" spans="1:12" ht="43.5" x14ac:dyDescent="0.35">
      <c r="A8010" s="6" t="s">
        <v>98</v>
      </c>
      <c r="B8010" s="6" t="s">
        <v>99</v>
      </c>
      <c r="C8010" s="6" t="s">
        <v>1472</v>
      </c>
      <c r="D8010" s="6" t="s">
        <v>14</v>
      </c>
      <c r="E8010" s="6" t="s">
        <v>110</v>
      </c>
      <c r="F8010" s="6" t="s">
        <v>111</v>
      </c>
      <c r="G8010" s="6" t="s">
        <v>1473</v>
      </c>
      <c r="H8010" s="6" t="s">
        <v>1474</v>
      </c>
      <c r="I8010" s="6" t="s">
        <v>31</v>
      </c>
      <c r="J8010" s="6">
        <v>18.163997206588</v>
      </c>
      <c r="K8010" s="6">
        <v>-96.878642976687004</v>
      </c>
      <c r="L8010" s="6" t="str">
        <f>HYPERLINK("https://maps.google.com/?q=18.1639972065879,-96.878642976686606", "🔗 Ver Mapa")</f>
        <v>🔗 Ver Mapa</v>
      </c>
    </row>
    <row r="8011" spans="1:12" ht="43.5" x14ac:dyDescent="0.35">
      <c r="A8011" s="5" t="s">
        <v>98</v>
      </c>
      <c r="B8011" s="5" t="s">
        <v>99</v>
      </c>
      <c r="C8011" s="5" t="s">
        <v>1472</v>
      </c>
      <c r="D8011" s="5" t="s">
        <v>14</v>
      </c>
      <c r="E8011" s="5" t="s">
        <v>110</v>
      </c>
      <c r="F8011" s="5" t="s">
        <v>111</v>
      </c>
      <c r="G8011" s="5" t="s">
        <v>1473</v>
      </c>
      <c r="H8011" s="5" t="s">
        <v>1474</v>
      </c>
      <c r="I8011" s="5" t="s">
        <v>31</v>
      </c>
      <c r="J8011" s="5">
        <v>18.164028442220001</v>
      </c>
      <c r="K8011" s="5">
        <v>-96.878719456672002</v>
      </c>
      <c r="L8011" s="5" t="str">
        <f>HYPERLINK("https://maps.google.com/?q=18.1640284422199,-96.878719456671902", "🔗 Ver Mapa")</f>
        <v>🔗 Ver Mapa</v>
      </c>
    </row>
    <row r="8012" spans="1:12" ht="43.5" x14ac:dyDescent="0.35">
      <c r="A8012" s="6" t="s">
        <v>98</v>
      </c>
      <c r="B8012" s="6" t="s">
        <v>99</v>
      </c>
      <c r="C8012" s="6" t="s">
        <v>1472</v>
      </c>
      <c r="D8012" s="6" t="s">
        <v>14</v>
      </c>
      <c r="E8012" s="6" t="s">
        <v>110</v>
      </c>
      <c r="F8012" s="6" t="s">
        <v>111</v>
      </c>
      <c r="G8012" s="6" t="s">
        <v>1473</v>
      </c>
      <c r="H8012" s="6" t="s">
        <v>1474</v>
      </c>
      <c r="I8012" s="6" t="s">
        <v>31</v>
      </c>
      <c r="J8012" s="6">
        <v>18.164112905768</v>
      </c>
      <c r="K8012" s="6">
        <v>-96.872652690807001</v>
      </c>
      <c r="L8012" s="6" t="str">
        <f>HYPERLINK("https://maps.google.com/?q=18.1641129057676,-96.872652690807399", "🔗 Ver Mapa")</f>
        <v>🔗 Ver Mapa</v>
      </c>
    </row>
    <row r="8013" spans="1:12" ht="43.5" x14ac:dyDescent="0.35">
      <c r="A8013" s="5" t="s">
        <v>98</v>
      </c>
      <c r="B8013" s="5" t="s">
        <v>99</v>
      </c>
      <c r="C8013" s="5" t="s">
        <v>1472</v>
      </c>
      <c r="D8013" s="5" t="s">
        <v>14</v>
      </c>
      <c r="E8013" s="5" t="s">
        <v>110</v>
      </c>
      <c r="F8013" s="5" t="s">
        <v>111</v>
      </c>
      <c r="G8013" s="5" t="s">
        <v>1473</v>
      </c>
      <c r="H8013" s="5" t="s">
        <v>1474</v>
      </c>
      <c r="I8013" s="5" t="s">
        <v>31</v>
      </c>
      <c r="J8013" s="5">
        <v>18.164114822011001</v>
      </c>
      <c r="K8013" s="5">
        <v>-96.872563352156007</v>
      </c>
      <c r="L8013" s="5" t="str">
        <f>HYPERLINK("https://maps.google.com/?q=18.1641148220109,-96.872563352156305", "🔗 Ver Mapa")</f>
        <v>🔗 Ver Mapa</v>
      </c>
    </row>
    <row r="8014" spans="1:12" ht="43.5" x14ac:dyDescent="0.35">
      <c r="A8014" s="6" t="s">
        <v>98</v>
      </c>
      <c r="B8014" s="6" t="s">
        <v>99</v>
      </c>
      <c r="C8014" s="6" t="s">
        <v>1472</v>
      </c>
      <c r="D8014" s="6" t="s">
        <v>14</v>
      </c>
      <c r="E8014" s="6" t="s">
        <v>110</v>
      </c>
      <c r="F8014" s="6" t="s">
        <v>111</v>
      </c>
      <c r="G8014" s="6" t="s">
        <v>1473</v>
      </c>
      <c r="H8014" s="6" t="s">
        <v>1474</v>
      </c>
      <c r="I8014" s="6" t="s">
        <v>31</v>
      </c>
      <c r="J8014" s="6">
        <v>18.164200653466999</v>
      </c>
      <c r="K8014" s="6">
        <v>-96.872732157078005</v>
      </c>
      <c r="L8014" s="6" t="str">
        <f>HYPERLINK("https://maps.google.com/?q=18.1642006534671,-96.872732157077905", "🔗 Ver Mapa")</f>
        <v>🔗 Ver Mapa</v>
      </c>
    </row>
    <row r="8015" spans="1:12" ht="43.5" x14ac:dyDescent="0.35">
      <c r="A8015" s="5" t="s">
        <v>98</v>
      </c>
      <c r="B8015" s="5" t="s">
        <v>99</v>
      </c>
      <c r="C8015" s="5" t="s">
        <v>1472</v>
      </c>
      <c r="D8015" s="5" t="s">
        <v>14</v>
      </c>
      <c r="E8015" s="5" t="s">
        <v>110</v>
      </c>
      <c r="F8015" s="5" t="s">
        <v>111</v>
      </c>
      <c r="G8015" s="5" t="s">
        <v>1473</v>
      </c>
      <c r="H8015" s="5" t="s">
        <v>1474</v>
      </c>
      <c r="I8015" s="5" t="s">
        <v>31</v>
      </c>
      <c r="J8015" s="5">
        <v>18.164315934885</v>
      </c>
      <c r="K8015" s="5">
        <v>-96.875357868717003</v>
      </c>
      <c r="L8015" s="5" t="str">
        <f>HYPERLINK("https://maps.google.com/?q=18.1643159348853,-96.875357868717202", "🔗 Ver Mapa")</f>
        <v>🔗 Ver Mapa</v>
      </c>
    </row>
    <row r="8016" spans="1:12" ht="43.5" x14ac:dyDescent="0.35">
      <c r="A8016" s="6" t="s">
        <v>98</v>
      </c>
      <c r="B8016" s="6" t="s">
        <v>99</v>
      </c>
      <c r="C8016" s="6" t="s">
        <v>1472</v>
      </c>
      <c r="D8016" s="6" t="s">
        <v>14</v>
      </c>
      <c r="E8016" s="6" t="s">
        <v>110</v>
      </c>
      <c r="F8016" s="6" t="s">
        <v>111</v>
      </c>
      <c r="G8016" s="6" t="s">
        <v>1473</v>
      </c>
      <c r="H8016" s="6" t="s">
        <v>1474</v>
      </c>
      <c r="I8016" s="6" t="s">
        <v>31</v>
      </c>
      <c r="J8016" s="6">
        <v>18.164411718012001</v>
      </c>
      <c r="K8016" s="6">
        <v>-96.880124927256006</v>
      </c>
      <c r="L8016" s="6" t="str">
        <f>HYPERLINK("https://maps.google.com/?q=18.1644117180119,-96.880124927256006", "🔗 Ver Mapa")</f>
        <v>🔗 Ver Mapa</v>
      </c>
    </row>
    <row r="8017" spans="1:12" ht="43.5" x14ac:dyDescent="0.35">
      <c r="A8017" s="5" t="s">
        <v>98</v>
      </c>
      <c r="B8017" s="5" t="s">
        <v>99</v>
      </c>
      <c r="C8017" s="5" t="s">
        <v>1472</v>
      </c>
      <c r="D8017" s="5" t="s">
        <v>14</v>
      </c>
      <c r="E8017" s="5" t="s">
        <v>110</v>
      </c>
      <c r="F8017" s="5" t="s">
        <v>111</v>
      </c>
      <c r="G8017" s="5" t="s">
        <v>1473</v>
      </c>
      <c r="H8017" s="5" t="s">
        <v>1474</v>
      </c>
      <c r="I8017" s="5" t="s">
        <v>31</v>
      </c>
      <c r="J8017" s="5">
        <v>18.164530112543002</v>
      </c>
      <c r="K8017" s="5">
        <v>-96.877772609524996</v>
      </c>
      <c r="L8017" s="5" t="str">
        <f>HYPERLINK("https://maps.google.com/?q=18.1645301125425,-96.877772609524698", "🔗 Ver Mapa")</f>
        <v>🔗 Ver Mapa</v>
      </c>
    </row>
    <row r="8018" spans="1:12" ht="43.5" x14ac:dyDescent="0.35">
      <c r="A8018" s="6" t="s">
        <v>98</v>
      </c>
      <c r="B8018" s="6" t="s">
        <v>99</v>
      </c>
      <c r="C8018" s="6" t="s">
        <v>1472</v>
      </c>
      <c r="D8018" s="6" t="s">
        <v>14</v>
      </c>
      <c r="E8018" s="6" t="s">
        <v>110</v>
      </c>
      <c r="F8018" s="6" t="s">
        <v>111</v>
      </c>
      <c r="G8018" s="6" t="s">
        <v>1473</v>
      </c>
      <c r="H8018" s="6" t="s">
        <v>1474</v>
      </c>
      <c r="I8018" s="6" t="s">
        <v>31</v>
      </c>
      <c r="J8018" s="6">
        <v>18.164567592379001</v>
      </c>
      <c r="K8018" s="6">
        <v>-96.876024508479006</v>
      </c>
      <c r="L8018" s="6" t="str">
        <f>HYPERLINK("https://maps.google.com/?q=18.1645675923788,-96.876024508479404", "🔗 Ver Mapa")</f>
        <v>🔗 Ver Mapa</v>
      </c>
    </row>
    <row r="8019" spans="1:12" ht="43.5" x14ac:dyDescent="0.35">
      <c r="A8019" s="5" t="s">
        <v>98</v>
      </c>
      <c r="B8019" s="5" t="s">
        <v>99</v>
      </c>
      <c r="C8019" s="5" t="s">
        <v>1472</v>
      </c>
      <c r="D8019" s="5" t="s">
        <v>14</v>
      </c>
      <c r="E8019" s="5" t="s">
        <v>110</v>
      </c>
      <c r="F8019" s="5" t="s">
        <v>111</v>
      </c>
      <c r="G8019" s="5" t="s">
        <v>1473</v>
      </c>
      <c r="H8019" s="5" t="s">
        <v>1474</v>
      </c>
      <c r="I8019" s="5" t="s">
        <v>31</v>
      </c>
      <c r="J8019" s="5">
        <v>18.16464834188</v>
      </c>
      <c r="K8019" s="5">
        <v>-96.878833067008003</v>
      </c>
      <c r="L8019" s="5" t="str">
        <f>HYPERLINK("https://maps.google.com/?q=18.1646483418802,-96.878833067008401", "🔗 Ver Mapa")</f>
        <v>🔗 Ver Mapa</v>
      </c>
    </row>
    <row r="8020" spans="1:12" ht="43.5" x14ac:dyDescent="0.35">
      <c r="A8020" s="6" t="s">
        <v>98</v>
      </c>
      <c r="B8020" s="6" t="s">
        <v>99</v>
      </c>
      <c r="C8020" s="6" t="s">
        <v>1472</v>
      </c>
      <c r="D8020" s="6" t="s">
        <v>14</v>
      </c>
      <c r="E8020" s="6" t="s">
        <v>110</v>
      </c>
      <c r="F8020" s="6" t="s">
        <v>111</v>
      </c>
      <c r="G8020" s="6" t="s">
        <v>1473</v>
      </c>
      <c r="H8020" s="6" t="s">
        <v>1474</v>
      </c>
      <c r="I8020" s="6" t="s">
        <v>31</v>
      </c>
      <c r="J8020" s="6">
        <v>18.165442614637001</v>
      </c>
      <c r="K8020" s="6">
        <v>-96.875734139881004</v>
      </c>
      <c r="L8020" s="6" t="str">
        <f>HYPERLINK("https://maps.google.com/?q=18.1654426146372,-96.875734139881203", "🔗 Ver Mapa")</f>
        <v>🔗 Ver Mapa</v>
      </c>
    </row>
    <row r="8021" spans="1:12" ht="43.5" x14ac:dyDescent="0.35">
      <c r="A8021" s="5" t="s">
        <v>98</v>
      </c>
      <c r="B8021" s="5" t="s">
        <v>99</v>
      </c>
      <c r="C8021" s="5" t="s">
        <v>1475</v>
      </c>
      <c r="D8021" s="5" t="s">
        <v>14</v>
      </c>
      <c r="E8021" s="5" t="s">
        <v>110</v>
      </c>
      <c r="F8021" s="5" t="s">
        <v>111</v>
      </c>
      <c r="G8021" s="5" t="s">
        <v>1473</v>
      </c>
      <c r="H8021" s="5" t="s">
        <v>1476</v>
      </c>
      <c r="I8021" s="5" t="s">
        <v>31</v>
      </c>
      <c r="J8021" s="5">
        <v>18.159369518018998</v>
      </c>
      <c r="K8021" s="5">
        <v>-96.882968284155993</v>
      </c>
      <c r="L8021" s="5" t="str">
        <f>HYPERLINK("https://maps.google.com/?q=18.1593695180188,-96.882968284155893", "🔗 Ver Mapa")</f>
        <v>🔗 Ver Mapa</v>
      </c>
    </row>
    <row r="8022" spans="1:12" ht="43.5" x14ac:dyDescent="0.35">
      <c r="A8022" s="6" t="s">
        <v>98</v>
      </c>
      <c r="B8022" s="6" t="s">
        <v>99</v>
      </c>
      <c r="C8022" s="6" t="s">
        <v>1475</v>
      </c>
      <c r="D8022" s="6" t="s">
        <v>14</v>
      </c>
      <c r="E8022" s="6" t="s">
        <v>110</v>
      </c>
      <c r="F8022" s="6" t="s">
        <v>111</v>
      </c>
      <c r="G8022" s="6" t="s">
        <v>1473</v>
      </c>
      <c r="H8022" s="6" t="s">
        <v>1476</v>
      </c>
      <c r="I8022" s="6" t="s">
        <v>31</v>
      </c>
      <c r="J8022" s="6">
        <v>18.159566100829</v>
      </c>
      <c r="K8022" s="6">
        <v>-96.884041939834006</v>
      </c>
      <c r="L8022" s="6" t="str">
        <f>HYPERLINK("https://maps.google.com/?q=18.1595661008289,-96.884041939833807", "🔗 Ver Mapa")</f>
        <v>🔗 Ver Mapa</v>
      </c>
    </row>
    <row r="8023" spans="1:12" ht="43.5" x14ac:dyDescent="0.35">
      <c r="A8023" s="5" t="s">
        <v>98</v>
      </c>
      <c r="B8023" s="5" t="s">
        <v>99</v>
      </c>
      <c r="C8023" s="5" t="s">
        <v>1475</v>
      </c>
      <c r="D8023" s="5" t="s">
        <v>14</v>
      </c>
      <c r="E8023" s="5" t="s">
        <v>110</v>
      </c>
      <c r="F8023" s="5" t="s">
        <v>111</v>
      </c>
      <c r="G8023" s="5" t="s">
        <v>1473</v>
      </c>
      <c r="H8023" s="5" t="s">
        <v>1476</v>
      </c>
      <c r="I8023" s="5" t="s">
        <v>31</v>
      </c>
      <c r="J8023" s="5">
        <v>18.160144635287001</v>
      </c>
      <c r="K8023" s="5">
        <v>-96.883025382617006</v>
      </c>
      <c r="L8023" s="5" t="str">
        <f>HYPERLINK("https://maps.google.com/?q=18.1601446352868,-96.883025382617404", "🔗 Ver Mapa")</f>
        <v>🔗 Ver Mapa</v>
      </c>
    </row>
    <row r="8024" spans="1:12" ht="43.5" x14ac:dyDescent="0.35">
      <c r="A8024" s="6" t="s">
        <v>98</v>
      </c>
      <c r="B8024" s="6" t="s">
        <v>99</v>
      </c>
      <c r="C8024" s="6" t="s">
        <v>1475</v>
      </c>
      <c r="D8024" s="6" t="s">
        <v>14</v>
      </c>
      <c r="E8024" s="6" t="s">
        <v>110</v>
      </c>
      <c r="F8024" s="6" t="s">
        <v>111</v>
      </c>
      <c r="G8024" s="6" t="s">
        <v>1473</v>
      </c>
      <c r="H8024" s="6" t="s">
        <v>1476</v>
      </c>
      <c r="I8024" s="6" t="s">
        <v>31</v>
      </c>
      <c r="J8024" s="6">
        <v>18.160736820233002</v>
      </c>
      <c r="K8024" s="6">
        <v>-96.882438766864993</v>
      </c>
      <c r="L8024" s="6" t="str">
        <f>HYPERLINK("https://maps.google.com/?q=18.1607368202328,-96.882438766864894", "🔗 Ver Mapa")</f>
        <v>🔗 Ver Mapa</v>
      </c>
    </row>
    <row r="8025" spans="1:12" ht="43.5" x14ac:dyDescent="0.35">
      <c r="A8025" s="5" t="s">
        <v>98</v>
      </c>
      <c r="B8025" s="5" t="s">
        <v>99</v>
      </c>
      <c r="C8025" s="5" t="s">
        <v>1475</v>
      </c>
      <c r="D8025" s="5" t="s">
        <v>14</v>
      </c>
      <c r="E8025" s="5" t="s">
        <v>110</v>
      </c>
      <c r="F8025" s="5" t="s">
        <v>111</v>
      </c>
      <c r="G8025" s="5" t="s">
        <v>1473</v>
      </c>
      <c r="H8025" s="5" t="s">
        <v>1476</v>
      </c>
      <c r="I8025" s="5" t="s">
        <v>31</v>
      </c>
      <c r="J8025" s="5">
        <v>18.161741412449999</v>
      </c>
      <c r="K8025" s="5">
        <v>-96.881199715836999</v>
      </c>
      <c r="L8025" s="5" t="str">
        <f>HYPERLINK("https://maps.google.com/?q=18.1617414124502,-96.881199715837099", "🔗 Ver Mapa")</f>
        <v>🔗 Ver Mapa</v>
      </c>
    </row>
    <row r="8026" spans="1:12" ht="43.5" x14ac:dyDescent="0.35">
      <c r="A8026" s="6" t="s">
        <v>98</v>
      </c>
      <c r="B8026" s="6" t="s">
        <v>99</v>
      </c>
      <c r="C8026" s="6" t="s">
        <v>1475</v>
      </c>
      <c r="D8026" s="6" t="s">
        <v>14</v>
      </c>
      <c r="E8026" s="6" t="s">
        <v>110</v>
      </c>
      <c r="F8026" s="6" t="s">
        <v>111</v>
      </c>
      <c r="G8026" s="6" t="s">
        <v>1473</v>
      </c>
      <c r="H8026" s="6" t="s">
        <v>1476</v>
      </c>
      <c r="I8026" s="6" t="s">
        <v>31</v>
      </c>
      <c r="J8026" s="6">
        <v>18.163418779794998</v>
      </c>
      <c r="K8026" s="6">
        <v>-96.881367402446998</v>
      </c>
      <c r="L8026" s="6" t="str">
        <f>HYPERLINK("https://maps.google.com/?q=18.163418779795,-96.881367402446799", "🔗 Ver Mapa")</f>
        <v>🔗 Ver Mapa</v>
      </c>
    </row>
    <row r="8027" spans="1:12" ht="43.5" x14ac:dyDescent="0.35">
      <c r="A8027" s="5" t="s">
        <v>98</v>
      </c>
      <c r="B8027" s="5" t="s">
        <v>99</v>
      </c>
      <c r="C8027" s="5" t="s">
        <v>1477</v>
      </c>
      <c r="D8027" s="5" t="s">
        <v>14</v>
      </c>
      <c r="E8027" s="5" t="s">
        <v>39</v>
      </c>
      <c r="F8027" s="5" t="s">
        <v>494</v>
      </c>
      <c r="G8027" s="5" t="s">
        <v>1478</v>
      </c>
      <c r="H8027" s="5" t="s">
        <v>1479</v>
      </c>
      <c r="I8027" s="5" t="s">
        <v>31</v>
      </c>
      <c r="J8027" s="5">
        <v>16.484602968352998</v>
      </c>
      <c r="K8027" s="5">
        <v>-97.379778314725002</v>
      </c>
      <c r="L8027" s="5" t="str">
        <f>HYPERLINK("https://maps.google.com/?q=16.4846029683535,-97.379778314725101", "🔗 Ver Mapa")</f>
        <v>🔗 Ver Mapa</v>
      </c>
    </row>
    <row r="8028" spans="1:12" ht="43.5" x14ac:dyDescent="0.35">
      <c r="A8028" s="6" t="s">
        <v>98</v>
      </c>
      <c r="B8028" s="6" t="s">
        <v>99</v>
      </c>
      <c r="C8028" s="6" t="s">
        <v>1477</v>
      </c>
      <c r="D8028" s="6" t="s">
        <v>14</v>
      </c>
      <c r="E8028" s="6" t="s">
        <v>39</v>
      </c>
      <c r="F8028" s="6" t="s">
        <v>494</v>
      </c>
      <c r="G8028" s="6" t="s">
        <v>1478</v>
      </c>
      <c r="H8028" s="6" t="s">
        <v>1479</v>
      </c>
      <c r="I8028" s="6" t="s">
        <v>31</v>
      </c>
      <c r="J8028" s="6">
        <v>16.485883382583001</v>
      </c>
      <c r="K8028" s="6">
        <v>-97.379583352208996</v>
      </c>
      <c r="L8028" s="6" t="str">
        <f>HYPERLINK("https://maps.google.com/?q=16.4858833825826,-97.379583352208996", "🔗 Ver Mapa")</f>
        <v>🔗 Ver Mapa</v>
      </c>
    </row>
    <row r="8029" spans="1:12" ht="43.5" x14ac:dyDescent="0.35">
      <c r="A8029" s="5" t="s">
        <v>98</v>
      </c>
      <c r="B8029" s="5" t="s">
        <v>99</v>
      </c>
      <c r="C8029" s="5" t="s">
        <v>1477</v>
      </c>
      <c r="D8029" s="5" t="s">
        <v>14</v>
      </c>
      <c r="E8029" s="5" t="s">
        <v>39</v>
      </c>
      <c r="F8029" s="5" t="s">
        <v>494</v>
      </c>
      <c r="G8029" s="5" t="s">
        <v>1478</v>
      </c>
      <c r="H8029" s="5" t="s">
        <v>1479</v>
      </c>
      <c r="I8029" s="5" t="s">
        <v>31</v>
      </c>
      <c r="J8029" s="5">
        <v>16.485911569279001</v>
      </c>
      <c r="K8029" s="5">
        <v>-97.378316540119002</v>
      </c>
      <c r="L8029" s="5" t="str">
        <f>HYPERLINK("https://maps.google.com/?q=16.485911569279,-97.378316540118902", "🔗 Ver Mapa")</f>
        <v>🔗 Ver Mapa</v>
      </c>
    </row>
    <row r="8030" spans="1:12" ht="43.5" x14ac:dyDescent="0.35">
      <c r="A8030" s="6" t="s">
        <v>98</v>
      </c>
      <c r="B8030" s="6" t="s">
        <v>99</v>
      </c>
      <c r="C8030" s="6" t="s">
        <v>1477</v>
      </c>
      <c r="D8030" s="6" t="s">
        <v>14</v>
      </c>
      <c r="E8030" s="6" t="s">
        <v>39</v>
      </c>
      <c r="F8030" s="6" t="s">
        <v>494</v>
      </c>
      <c r="G8030" s="6" t="s">
        <v>1478</v>
      </c>
      <c r="H8030" s="6" t="s">
        <v>1479</v>
      </c>
      <c r="I8030" s="6" t="s">
        <v>31</v>
      </c>
      <c r="J8030" s="6">
        <v>16.486393084069999</v>
      </c>
      <c r="K8030" s="6">
        <v>-97.378826834075994</v>
      </c>
      <c r="L8030" s="6" t="str">
        <f>HYPERLINK("https://maps.google.com/?q=16.4863930840704,-97.378826834075994", "🔗 Ver Mapa")</f>
        <v>🔗 Ver Mapa</v>
      </c>
    </row>
    <row r="8031" spans="1:12" ht="43.5" x14ac:dyDescent="0.35">
      <c r="A8031" s="5" t="s">
        <v>98</v>
      </c>
      <c r="B8031" s="5" t="s">
        <v>99</v>
      </c>
      <c r="C8031" s="5" t="s">
        <v>1477</v>
      </c>
      <c r="D8031" s="5" t="s">
        <v>14</v>
      </c>
      <c r="E8031" s="5" t="s">
        <v>39</v>
      </c>
      <c r="F8031" s="5" t="s">
        <v>494</v>
      </c>
      <c r="G8031" s="5" t="s">
        <v>1478</v>
      </c>
      <c r="H8031" s="5" t="s">
        <v>1479</v>
      </c>
      <c r="I8031" s="5" t="s">
        <v>31</v>
      </c>
      <c r="J8031" s="5">
        <v>16.486524671529999</v>
      </c>
      <c r="K8031" s="5">
        <v>-97.378828213798997</v>
      </c>
      <c r="L8031" s="5" t="str">
        <f>HYPERLINK("https://maps.google.com/?q=16.4865246715302,-97.378828213798897", "🔗 Ver Mapa")</f>
        <v>🔗 Ver Mapa</v>
      </c>
    </row>
    <row r="8032" spans="1:12" ht="43.5" x14ac:dyDescent="0.35">
      <c r="A8032" s="6" t="s">
        <v>98</v>
      </c>
      <c r="B8032" s="6" t="s">
        <v>99</v>
      </c>
      <c r="C8032" s="6" t="s">
        <v>1477</v>
      </c>
      <c r="D8032" s="6" t="s">
        <v>14</v>
      </c>
      <c r="E8032" s="6" t="s">
        <v>39</v>
      </c>
      <c r="F8032" s="6" t="s">
        <v>494</v>
      </c>
      <c r="G8032" s="6" t="s">
        <v>1478</v>
      </c>
      <c r="H8032" s="6" t="s">
        <v>1479</v>
      </c>
      <c r="I8032" s="6" t="s">
        <v>31</v>
      </c>
      <c r="J8032" s="6">
        <v>16.487326694505999</v>
      </c>
      <c r="K8032" s="6">
        <v>-97.376718617790999</v>
      </c>
      <c r="L8032" s="6" t="str">
        <f>HYPERLINK("https://maps.google.com/?q=16.4873266945062,-97.376718617790999", "🔗 Ver Mapa")</f>
        <v>🔗 Ver Mapa</v>
      </c>
    </row>
    <row r="8033" spans="1:12" ht="43.5" x14ac:dyDescent="0.35">
      <c r="A8033" s="5" t="s">
        <v>98</v>
      </c>
      <c r="B8033" s="5" t="s">
        <v>99</v>
      </c>
      <c r="C8033" s="5" t="s">
        <v>1477</v>
      </c>
      <c r="D8033" s="5" t="s">
        <v>14</v>
      </c>
      <c r="E8033" s="5" t="s">
        <v>39</v>
      </c>
      <c r="F8033" s="5" t="s">
        <v>494</v>
      </c>
      <c r="G8033" s="5" t="s">
        <v>1478</v>
      </c>
      <c r="H8033" s="5" t="s">
        <v>1479</v>
      </c>
      <c r="I8033" s="5" t="s">
        <v>31</v>
      </c>
      <c r="J8033" s="5">
        <v>16.487612336630001</v>
      </c>
      <c r="K8033" s="5">
        <v>-97.378241280387002</v>
      </c>
      <c r="L8033" s="5" t="str">
        <f>HYPERLINK("https://maps.google.com/?q=16.4876123366298,-97.378241280387002", "🔗 Ver Mapa")</f>
        <v>🔗 Ver Mapa</v>
      </c>
    </row>
    <row r="8034" spans="1:12" ht="43.5" x14ac:dyDescent="0.35">
      <c r="A8034" s="6" t="s">
        <v>98</v>
      </c>
      <c r="B8034" s="6" t="s">
        <v>99</v>
      </c>
      <c r="C8034" s="6" t="s">
        <v>1477</v>
      </c>
      <c r="D8034" s="6" t="s">
        <v>14</v>
      </c>
      <c r="E8034" s="6" t="s">
        <v>39</v>
      </c>
      <c r="F8034" s="6" t="s">
        <v>494</v>
      </c>
      <c r="G8034" s="6" t="s">
        <v>1478</v>
      </c>
      <c r="H8034" s="6" t="s">
        <v>1479</v>
      </c>
      <c r="I8034" s="6" t="s">
        <v>31</v>
      </c>
      <c r="J8034" s="6">
        <v>16.488103832583</v>
      </c>
      <c r="K8034" s="6">
        <v>-97.378466115582</v>
      </c>
      <c r="L8034" s="6" t="str">
        <f>HYPERLINK("https://maps.google.com/?q=16.488103832583,-97.378466115582", "🔗 Ver Mapa")</f>
        <v>🔗 Ver Mapa</v>
      </c>
    </row>
    <row r="8035" spans="1:12" ht="43.5" x14ac:dyDescent="0.35">
      <c r="A8035" s="5" t="s">
        <v>98</v>
      </c>
      <c r="B8035" s="5" t="s">
        <v>99</v>
      </c>
      <c r="C8035" s="5" t="s">
        <v>1477</v>
      </c>
      <c r="D8035" s="5" t="s">
        <v>14</v>
      </c>
      <c r="E8035" s="5" t="s">
        <v>39</v>
      </c>
      <c r="F8035" s="5" t="s">
        <v>494</v>
      </c>
      <c r="G8035" s="5" t="s">
        <v>1478</v>
      </c>
      <c r="H8035" s="5" t="s">
        <v>1479</v>
      </c>
      <c r="I8035" s="5" t="s">
        <v>31</v>
      </c>
      <c r="J8035" s="5">
        <v>16.488962589699</v>
      </c>
      <c r="K8035" s="5">
        <v>-97.385201612778999</v>
      </c>
      <c r="L8035" s="5" t="str">
        <f>HYPERLINK("https://maps.google.com/?q=16.4889625896992,-97.385201612778602", "🔗 Ver Mapa")</f>
        <v>🔗 Ver Mapa</v>
      </c>
    </row>
    <row r="8036" spans="1:12" ht="43.5" x14ac:dyDescent="0.35">
      <c r="A8036" s="6" t="s">
        <v>98</v>
      </c>
      <c r="B8036" s="6" t="s">
        <v>99</v>
      </c>
      <c r="C8036" s="6" t="s">
        <v>1477</v>
      </c>
      <c r="D8036" s="6" t="s">
        <v>14</v>
      </c>
      <c r="E8036" s="6" t="s">
        <v>39</v>
      </c>
      <c r="F8036" s="6" t="s">
        <v>494</v>
      </c>
      <c r="G8036" s="6" t="s">
        <v>1478</v>
      </c>
      <c r="H8036" s="6" t="s">
        <v>1479</v>
      </c>
      <c r="I8036" s="6" t="s">
        <v>31</v>
      </c>
      <c r="J8036" s="6">
        <v>16.490169037099001</v>
      </c>
      <c r="K8036" s="6">
        <v>-97.384433195105998</v>
      </c>
      <c r="L8036" s="6" t="str">
        <f>HYPERLINK("https://maps.google.com/?q=16.4901690370991,-97.384433195106496", "🔗 Ver Mapa")</f>
        <v>🔗 Ver Mapa</v>
      </c>
    </row>
    <row r="8037" spans="1:12" ht="43.5" x14ac:dyDescent="0.35">
      <c r="A8037" s="5" t="s">
        <v>98</v>
      </c>
      <c r="B8037" s="5" t="s">
        <v>99</v>
      </c>
      <c r="C8037" s="5" t="s">
        <v>1477</v>
      </c>
      <c r="D8037" s="5" t="s">
        <v>14</v>
      </c>
      <c r="E8037" s="5" t="s">
        <v>39</v>
      </c>
      <c r="F8037" s="5" t="s">
        <v>494</v>
      </c>
      <c r="G8037" s="5" t="s">
        <v>1478</v>
      </c>
      <c r="H8037" s="5" t="s">
        <v>1479</v>
      </c>
      <c r="I8037" s="5" t="s">
        <v>31</v>
      </c>
      <c r="J8037" s="5">
        <v>16.491086333807001</v>
      </c>
      <c r="K8037" s="5">
        <v>-97.383835847197005</v>
      </c>
      <c r="L8037" s="5" t="str">
        <f>HYPERLINK("https://maps.google.com/?q=16.4910863338069,-97.383835847196593", "🔗 Ver Mapa")</f>
        <v>🔗 Ver Mapa</v>
      </c>
    </row>
    <row r="8038" spans="1:12" ht="43.5" x14ac:dyDescent="0.35">
      <c r="A8038" s="6" t="s">
        <v>98</v>
      </c>
      <c r="B8038" s="6" t="s">
        <v>99</v>
      </c>
      <c r="C8038" s="6" t="s">
        <v>1477</v>
      </c>
      <c r="D8038" s="6" t="s">
        <v>14</v>
      </c>
      <c r="E8038" s="6" t="s">
        <v>39</v>
      </c>
      <c r="F8038" s="6" t="s">
        <v>494</v>
      </c>
      <c r="G8038" s="6" t="s">
        <v>1478</v>
      </c>
      <c r="H8038" s="6" t="s">
        <v>1479</v>
      </c>
      <c r="I8038" s="6" t="s">
        <v>31</v>
      </c>
      <c r="J8038" s="6">
        <v>16.491225214922</v>
      </c>
      <c r="K8038" s="6">
        <v>-97.382325763522005</v>
      </c>
      <c r="L8038" s="6" t="str">
        <f>HYPERLINK("https://maps.google.com/?q=16.4912252149217,-97.382325763521706", "🔗 Ver Mapa")</f>
        <v>🔗 Ver Mapa</v>
      </c>
    </row>
    <row r="8039" spans="1:12" ht="43.5" x14ac:dyDescent="0.35">
      <c r="A8039" s="5" t="s">
        <v>98</v>
      </c>
      <c r="B8039" s="5" t="s">
        <v>99</v>
      </c>
      <c r="C8039" s="5" t="s">
        <v>1477</v>
      </c>
      <c r="D8039" s="5" t="s">
        <v>14</v>
      </c>
      <c r="E8039" s="5" t="s">
        <v>39</v>
      </c>
      <c r="F8039" s="5" t="s">
        <v>494</v>
      </c>
      <c r="G8039" s="5" t="s">
        <v>1478</v>
      </c>
      <c r="H8039" s="5" t="s">
        <v>1479</v>
      </c>
      <c r="I8039" s="5" t="s">
        <v>31</v>
      </c>
      <c r="J8039" s="5">
        <v>16.491302096325001</v>
      </c>
      <c r="K8039" s="5">
        <v>-97.382175285700995</v>
      </c>
      <c r="L8039" s="5" t="str">
        <f>HYPERLINK("https://maps.google.com/?q=16.4913020963247,-97.382175285700896", "🔗 Ver Mapa")</f>
        <v>🔗 Ver Mapa</v>
      </c>
    </row>
    <row r="8040" spans="1:12" ht="43.5" x14ac:dyDescent="0.35">
      <c r="A8040" s="6" t="s">
        <v>98</v>
      </c>
      <c r="B8040" s="6" t="s">
        <v>99</v>
      </c>
      <c r="C8040" s="6" t="s">
        <v>1477</v>
      </c>
      <c r="D8040" s="6" t="s">
        <v>14</v>
      </c>
      <c r="E8040" s="6" t="s">
        <v>39</v>
      </c>
      <c r="F8040" s="6" t="s">
        <v>494</v>
      </c>
      <c r="G8040" s="6" t="s">
        <v>1478</v>
      </c>
      <c r="H8040" s="6" t="s">
        <v>1479</v>
      </c>
      <c r="I8040" s="6" t="s">
        <v>31</v>
      </c>
      <c r="J8040" s="6">
        <v>16.491892556309001</v>
      </c>
      <c r="K8040" s="6">
        <v>-97.383235590332006</v>
      </c>
      <c r="L8040" s="6" t="str">
        <f>HYPERLINK("https://maps.google.com/?q=16.4918925563091,-97.383235590331793", "🔗 Ver Mapa")</f>
        <v>🔗 Ver Mapa</v>
      </c>
    </row>
    <row r="8041" spans="1:12" ht="43.5" x14ac:dyDescent="0.35">
      <c r="A8041" s="5" t="s">
        <v>98</v>
      </c>
      <c r="B8041" s="5" t="s">
        <v>99</v>
      </c>
      <c r="C8041" s="5" t="s">
        <v>1477</v>
      </c>
      <c r="D8041" s="5" t="s">
        <v>14</v>
      </c>
      <c r="E8041" s="5" t="s">
        <v>39</v>
      </c>
      <c r="F8041" s="5" t="s">
        <v>494</v>
      </c>
      <c r="G8041" s="5" t="s">
        <v>1478</v>
      </c>
      <c r="H8041" s="5" t="s">
        <v>1479</v>
      </c>
      <c r="I8041" s="5" t="s">
        <v>31</v>
      </c>
      <c r="J8041" s="5">
        <v>16.492179102196001</v>
      </c>
      <c r="K8041" s="5">
        <v>-97.383186478498999</v>
      </c>
      <c r="L8041" s="5" t="str">
        <f>HYPERLINK("https://maps.google.com/?q=16.4921791021955,-97.383186478499198", "🔗 Ver Mapa")</f>
        <v>🔗 Ver Mapa</v>
      </c>
    </row>
    <row r="8042" spans="1:12" ht="43.5" x14ac:dyDescent="0.35">
      <c r="A8042" s="6" t="s">
        <v>98</v>
      </c>
      <c r="B8042" s="6" t="s">
        <v>99</v>
      </c>
      <c r="C8042" s="6" t="s">
        <v>1477</v>
      </c>
      <c r="D8042" s="6" t="s">
        <v>14</v>
      </c>
      <c r="E8042" s="6" t="s">
        <v>39</v>
      </c>
      <c r="F8042" s="6" t="s">
        <v>494</v>
      </c>
      <c r="G8042" s="6" t="s">
        <v>1478</v>
      </c>
      <c r="H8042" s="6" t="s">
        <v>1479</v>
      </c>
      <c r="I8042" s="6" t="s">
        <v>31</v>
      </c>
      <c r="J8042" s="6">
        <v>16.492705359992001</v>
      </c>
      <c r="K8042" s="6">
        <v>-97.382791183134998</v>
      </c>
      <c r="L8042" s="6" t="str">
        <f>HYPERLINK("https://maps.google.com/?q=16.4927053599916,-97.382791183135197", "🔗 Ver Mapa")</f>
        <v>🔗 Ver Mapa</v>
      </c>
    </row>
    <row r="8043" spans="1:12" ht="43.5" x14ac:dyDescent="0.35">
      <c r="A8043" s="5" t="s">
        <v>98</v>
      </c>
      <c r="B8043" s="5" t="s">
        <v>99</v>
      </c>
      <c r="C8043" s="5" t="s">
        <v>1477</v>
      </c>
      <c r="D8043" s="5" t="s">
        <v>14</v>
      </c>
      <c r="E8043" s="5" t="s">
        <v>39</v>
      </c>
      <c r="F8043" s="5" t="s">
        <v>494</v>
      </c>
      <c r="G8043" s="5" t="s">
        <v>1478</v>
      </c>
      <c r="H8043" s="5" t="s">
        <v>1479</v>
      </c>
      <c r="I8043" s="5" t="s">
        <v>31</v>
      </c>
      <c r="J8043" s="5">
        <v>16.493484176267</v>
      </c>
      <c r="K8043" s="5">
        <v>-97.381543636388997</v>
      </c>
      <c r="L8043" s="5" t="str">
        <f>HYPERLINK("https://maps.google.com/?q=16.493484176267,-97.381543636389296", "🔗 Ver Mapa")</f>
        <v>🔗 Ver Mapa</v>
      </c>
    </row>
    <row r="8044" spans="1:12" ht="43.5" x14ac:dyDescent="0.35">
      <c r="A8044" s="6" t="s">
        <v>98</v>
      </c>
      <c r="B8044" s="6" t="s">
        <v>99</v>
      </c>
      <c r="C8044" s="6" t="s">
        <v>1477</v>
      </c>
      <c r="D8044" s="6" t="s">
        <v>14</v>
      </c>
      <c r="E8044" s="6" t="s">
        <v>39</v>
      </c>
      <c r="F8044" s="6" t="s">
        <v>494</v>
      </c>
      <c r="G8044" s="6" t="s">
        <v>1478</v>
      </c>
      <c r="H8044" s="6" t="s">
        <v>1479</v>
      </c>
      <c r="I8044" s="6" t="s">
        <v>31</v>
      </c>
      <c r="J8044" s="6">
        <v>16.493681029427002</v>
      </c>
      <c r="K8044" s="6">
        <v>-97.376725295680998</v>
      </c>
      <c r="L8044" s="6" t="str">
        <f>HYPERLINK("https://maps.google.com/?q=16.4936810294267,-97.376725295681098", "🔗 Ver Mapa")</f>
        <v>🔗 Ver Mapa</v>
      </c>
    </row>
    <row r="8045" spans="1:12" ht="43.5" x14ac:dyDescent="0.35">
      <c r="A8045" s="5" t="s">
        <v>98</v>
      </c>
      <c r="B8045" s="5" t="s">
        <v>99</v>
      </c>
      <c r="C8045" s="5" t="s">
        <v>1477</v>
      </c>
      <c r="D8045" s="5" t="s">
        <v>14</v>
      </c>
      <c r="E8045" s="5" t="s">
        <v>39</v>
      </c>
      <c r="F8045" s="5" t="s">
        <v>494</v>
      </c>
      <c r="G8045" s="5" t="s">
        <v>1478</v>
      </c>
      <c r="H8045" s="5" t="s">
        <v>1479</v>
      </c>
      <c r="I8045" s="5" t="s">
        <v>31</v>
      </c>
      <c r="J8045" s="5">
        <v>16.494422063683</v>
      </c>
      <c r="K8045" s="5">
        <v>-97.376390244655994</v>
      </c>
      <c r="L8045" s="5" t="str">
        <f>HYPERLINK("https://maps.google.com/?q=16.4944220636834,-97.376390244655795", "🔗 Ver Mapa")</f>
        <v>🔗 Ver Mapa</v>
      </c>
    </row>
    <row r="8046" spans="1:12" ht="43.5" x14ac:dyDescent="0.35">
      <c r="A8046" s="6" t="s">
        <v>98</v>
      </c>
      <c r="B8046" s="6" t="s">
        <v>99</v>
      </c>
      <c r="C8046" s="6" t="s">
        <v>1477</v>
      </c>
      <c r="D8046" s="6" t="s">
        <v>14</v>
      </c>
      <c r="E8046" s="6" t="s">
        <v>39</v>
      </c>
      <c r="F8046" s="6" t="s">
        <v>494</v>
      </c>
      <c r="G8046" s="6" t="s">
        <v>1478</v>
      </c>
      <c r="H8046" s="6" t="s">
        <v>1479</v>
      </c>
      <c r="I8046" s="6" t="s">
        <v>31</v>
      </c>
      <c r="J8046" s="6">
        <v>16.494955324406</v>
      </c>
      <c r="K8046" s="6">
        <v>-97.377554654418006</v>
      </c>
      <c r="L8046" s="6" t="str">
        <f>HYPERLINK("https://maps.google.com/?q=16.4949553244061,-97.377554654418006", "🔗 Ver Mapa")</f>
        <v>🔗 Ver Mapa</v>
      </c>
    </row>
    <row r="8047" spans="1:12" ht="43.5" x14ac:dyDescent="0.35">
      <c r="A8047" s="5" t="s">
        <v>98</v>
      </c>
      <c r="B8047" s="5" t="s">
        <v>99</v>
      </c>
      <c r="C8047" s="5" t="s">
        <v>1477</v>
      </c>
      <c r="D8047" s="5" t="s">
        <v>14</v>
      </c>
      <c r="E8047" s="5" t="s">
        <v>39</v>
      </c>
      <c r="F8047" s="5" t="s">
        <v>494</v>
      </c>
      <c r="G8047" s="5" t="s">
        <v>1478</v>
      </c>
      <c r="H8047" s="5" t="s">
        <v>1479</v>
      </c>
      <c r="I8047" s="5" t="s">
        <v>31</v>
      </c>
      <c r="J8047" s="5">
        <v>16.494979914447001</v>
      </c>
      <c r="K8047" s="5">
        <v>-97.376866653134996</v>
      </c>
      <c r="L8047" s="5" t="str">
        <f>HYPERLINK("https://maps.google.com/?q=16.4949799144466,-97.376866653135195", "🔗 Ver Mapa")</f>
        <v>🔗 Ver Mapa</v>
      </c>
    </row>
    <row r="8048" spans="1:12" ht="43.5" x14ac:dyDescent="0.35">
      <c r="A8048" s="6" t="s">
        <v>98</v>
      </c>
      <c r="B8048" s="6" t="s">
        <v>99</v>
      </c>
      <c r="C8048" s="6" t="s">
        <v>1477</v>
      </c>
      <c r="D8048" s="6" t="s">
        <v>14</v>
      </c>
      <c r="E8048" s="6" t="s">
        <v>39</v>
      </c>
      <c r="F8048" s="6" t="s">
        <v>494</v>
      </c>
      <c r="G8048" s="6" t="s">
        <v>1478</v>
      </c>
      <c r="H8048" s="6" t="s">
        <v>1479</v>
      </c>
      <c r="I8048" s="6" t="s">
        <v>31</v>
      </c>
      <c r="J8048" s="6">
        <v>16.494991269547</v>
      </c>
      <c r="K8048" s="6">
        <v>-97.377858281203999</v>
      </c>
      <c r="L8048" s="6" t="str">
        <f>HYPERLINK("https://maps.google.com/?q=16.4949912695473,-97.377858281203899", "🔗 Ver Mapa")</f>
        <v>🔗 Ver Mapa</v>
      </c>
    </row>
    <row r="8049" spans="1:12" ht="43.5" x14ac:dyDescent="0.35">
      <c r="A8049" s="5" t="s">
        <v>98</v>
      </c>
      <c r="B8049" s="5" t="s">
        <v>99</v>
      </c>
      <c r="C8049" s="5" t="s">
        <v>1477</v>
      </c>
      <c r="D8049" s="5" t="s">
        <v>14</v>
      </c>
      <c r="E8049" s="5" t="s">
        <v>39</v>
      </c>
      <c r="F8049" s="5" t="s">
        <v>494</v>
      </c>
      <c r="G8049" s="5" t="s">
        <v>1478</v>
      </c>
      <c r="H8049" s="5" t="s">
        <v>1479</v>
      </c>
      <c r="I8049" s="5" t="s">
        <v>31</v>
      </c>
      <c r="J8049" s="5">
        <v>16.495617614454002</v>
      </c>
      <c r="K8049" s="5">
        <v>-97.377516547339994</v>
      </c>
      <c r="L8049" s="5" t="str">
        <f>HYPERLINK("https://maps.google.com/?q=16.495617614454,-97.377516547340306", "🔗 Ver Mapa")</f>
        <v>🔗 Ver Mapa</v>
      </c>
    </row>
    <row r="8050" spans="1:12" ht="43.5" x14ac:dyDescent="0.35">
      <c r="A8050" s="6" t="s">
        <v>98</v>
      </c>
      <c r="B8050" s="6" t="s">
        <v>99</v>
      </c>
      <c r="C8050" s="6" t="s">
        <v>1477</v>
      </c>
      <c r="D8050" s="6" t="s">
        <v>14</v>
      </c>
      <c r="E8050" s="6" t="s">
        <v>39</v>
      </c>
      <c r="F8050" s="6" t="s">
        <v>494</v>
      </c>
      <c r="G8050" s="6" t="s">
        <v>1478</v>
      </c>
      <c r="H8050" s="6" t="s">
        <v>1479</v>
      </c>
      <c r="I8050" s="6" t="s">
        <v>31</v>
      </c>
      <c r="J8050" s="6">
        <v>16.495860543268002</v>
      </c>
      <c r="K8050" s="6">
        <v>-97.378070175716005</v>
      </c>
      <c r="L8050" s="6" t="str">
        <f>HYPERLINK("https://maps.google.com/?q=16.4958605432685,-97.378070175716005", "🔗 Ver Mapa")</f>
        <v>🔗 Ver Mapa</v>
      </c>
    </row>
    <row r="8051" spans="1:12" ht="43.5" x14ac:dyDescent="0.35">
      <c r="A8051" s="5" t="s">
        <v>98</v>
      </c>
      <c r="B8051" s="5" t="s">
        <v>99</v>
      </c>
      <c r="C8051" s="5" t="s">
        <v>1477</v>
      </c>
      <c r="D8051" s="5" t="s">
        <v>14</v>
      </c>
      <c r="E8051" s="5" t="s">
        <v>39</v>
      </c>
      <c r="F8051" s="5" t="s">
        <v>494</v>
      </c>
      <c r="G8051" s="5" t="s">
        <v>1478</v>
      </c>
      <c r="H8051" s="5" t="s">
        <v>1479</v>
      </c>
      <c r="I8051" s="5" t="s">
        <v>31</v>
      </c>
      <c r="J8051" s="5">
        <v>16.496000814241</v>
      </c>
      <c r="K8051" s="5">
        <v>-97.376851359504997</v>
      </c>
      <c r="L8051" s="5" t="str">
        <f>HYPERLINK("https://maps.google.com/?q=16.4960008142406,-97.376851359504798", "🔗 Ver Mapa")</f>
        <v>🔗 Ver Mapa</v>
      </c>
    </row>
    <row r="8052" spans="1:12" ht="43.5" x14ac:dyDescent="0.35">
      <c r="A8052" s="6" t="s">
        <v>98</v>
      </c>
      <c r="B8052" s="6" t="s">
        <v>99</v>
      </c>
      <c r="C8052" s="6" t="s">
        <v>1477</v>
      </c>
      <c r="D8052" s="6" t="s">
        <v>14</v>
      </c>
      <c r="E8052" s="6" t="s">
        <v>39</v>
      </c>
      <c r="F8052" s="6" t="s">
        <v>494</v>
      </c>
      <c r="G8052" s="6" t="s">
        <v>1478</v>
      </c>
      <c r="H8052" s="6" t="s">
        <v>1479</v>
      </c>
      <c r="I8052" s="6" t="s">
        <v>31</v>
      </c>
      <c r="J8052" s="6">
        <v>16.496112580481</v>
      </c>
      <c r="K8052" s="6">
        <v>-97.378864109584001</v>
      </c>
      <c r="L8052" s="6" t="str">
        <f>HYPERLINK("https://maps.google.com/?q=16.4961125804811,-97.3788641095842", "🔗 Ver Mapa")</f>
        <v>🔗 Ver Mapa</v>
      </c>
    </row>
    <row r="8053" spans="1:12" ht="43.5" x14ac:dyDescent="0.35">
      <c r="A8053" s="5" t="s">
        <v>98</v>
      </c>
      <c r="B8053" s="5" t="s">
        <v>99</v>
      </c>
      <c r="C8053" s="5" t="s">
        <v>1477</v>
      </c>
      <c r="D8053" s="5" t="s">
        <v>14</v>
      </c>
      <c r="E8053" s="5" t="s">
        <v>39</v>
      </c>
      <c r="F8053" s="5" t="s">
        <v>494</v>
      </c>
      <c r="G8053" s="5" t="s">
        <v>1478</v>
      </c>
      <c r="H8053" s="5" t="s">
        <v>1479</v>
      </c>
      <c r="I8053" s="5" t="s">
        <v>31</v>
      </c>
      <c r="J8053" s="5">
        <v>16.496312002770999</v>
      </c>
      <c r="K8053" s="5">
        <v>-97.377130309242006</v>
      </c>
      <c r="L8053" s="5" t="str">
        <f>HYPERLINK("https://maps.google.com/?q=16.4963120027706,-97.377130309242204", "🔗 Ver Mapa")</f>
        <v>🔗 Ver Mapa</v>
      </c>
    </row>
    <row r="8054" spans="1:12" ht="43.5" x14ac:dyDescent="0.35">
      <c r="A8054" s="6" t="s">
        <v>98</v>
      </c>
      <c r="B8054" s="6" t="s">
        <v>99</v>
      </c>
      <c r="C8054" s="6" t="s">
        <v>1477</v>
      </c>
      <c r="D8054" s="6" t="s">
        <v>14</v>
      </c>
      <c r="E8054" s="6" t="s">
        <v>39</v>
      </c>
      <c r="F8054" s="6" t="s">
        <v>494</v>
      </c>
      <c r="G8054" s="6" t="s">
        <v>1478</v>
      </c>
      <c r="H8054" s="6" t="s">
        <v>1479</v>
      </c>
      <c r="I8054" s="6" t="s">
        <v>31</v>
      </c>
      <c r="J8054" s="6">
        <v>16.496454897924998</v>
      </c>
      <c r="K8054" s="6">
        <v>-97.373702414942997</v>
      </c>
      <c r="L8054" s="6" t="str">
        <f>HYPERLINK("https://maps.google.com/?q=16.4964548979251,-97.373702414943097", "🔗 Ver Mapa")</f>
        <v>🔗 Ver Mapa</v>
      </c>
    </row>
    <row r="8055" spans="1:12" ht="43.5" x14ac:dyDescent="0.35">
      <c r="A8055" s="5" t="s">
        <v>98</v>
      </c>
      <c r="B8055" s="5" t="s">
        <v>99</v>
      </c>
      <c r="C8055" s="5" t="s">
        <v>1477</v>
      </c>
      <c r="D8055" s="5" t="s">
        <v>14</v>
      </c>
      <c r="E8055" s="5" t="s">
        <v>39</v>
      </c>
      <c r="F8055" s="5" t="s">
        <v>494</v>
      </c>
      <c r="G8055" s="5" t="s">
        <v>1478</v>
      </c>
      <c r="H8055" s="5" t="s">
        <v>1479</v>
      </c>
      <c r="I8055" s="5" t="s">
        <v>31</v>
      </c>
      <c r="J8055" s="5">
        <v>16.496559310784001</v>
      </c>
      <c r="K8055" s="5">
        <v>-97.375616919999999</v>
      </c>
      <c r="L8055" s="5" t="str">
        <f>HYPERLINK("https://maps.google.com/?q=16.4965593107837,-97.375616919999999", "🔗 Ver Mapa")</f>
        <v>🔗 Ver Mapa</v>
      </c>
    </row>
    <row r="8056" spans="1:12" ht="43.5" x14ac:dyDescent="0.35">
      <c r="A8056" s="6" t="s">
        <v>98</v>
      </c>
      <c r="B8056" s="6" t="s">
        <v>99</v>
      </c>
      <c r="C8056" s="6" t="s">
        <v>1477</v>
      </c>
      <c r="D8056" s="6" t="s">
        <v>14</v>
      </c>
      <c r="E8056" s="6" t="s">
        <v>39</v>
      </c>
      <c r="F8056" s="6" t="s">
        <v>494</v>
      </c>
      <c r="G8056" s="6" t="s">
        <v>1478</v>
      </c>
      <c r="H8056" s="6" t="s">
        <v>1479</v>
      </c>
      <c r="I8056" s="6" t="s">
        <v>31</v>
      </c>
      <c r="J8056" s="6">
        <v>16.496578344385</v>
      </c>
      <c r="K8056" s="6">
        <v>-97.374252267790993</v>
      </c>
      <c r="L8056" s="6" t="str">
        <f>HYPERLINK("https://maps.google.com/?q=16.4965783443848,-97.374252267790993", "🔗 Ver Mapa")</f>
        <v>🔗 Ver Mapa</v>
      </c>
    </row>
    <row r="8057" spans="1:12" ht="43.5" x14ac:dyDescent="0.35">
      <c r="A8057" s="5" t="s">
        <v>98</v>
      </c>
      <c r="B8057" s="5" t="s">
        <v>99</v>
      </c>
      <c r="C8057" s="5" t="s">
        <v>1477</v>
      </c>
      <c r="D8057" s="5" t="s">
        <v>14</v>
      </c>
      <c r="E8057" s="5" t="s">
        <v>39</v>
      </c>
      <c r="F8057" s="5" t="s">
        <v>494</v>
      </c>
      <c r="G8057" s="5" t="s">
        <v>1478</v>
      </c>
      <c r="H8057" s="5" t="s">
        <v>1479</v>
      </c>
      <c r="I8057" s="5" t="s">
        <v>31</v>
      </c>
      <c r="J8057" s="5">
        <v>16.496618062584002</v>
      </c>
      <c r="K8057" s="5">
        <v>-97.379475462209001</v>
      </c>
      <c r="L8057" s="5" t="str">
        <f>HYPERLINK("https://maps.google.com/?q=16.4966180625844,-97.379475462209001", "🔗 Ver Mapa")</f>
        <v>🔗 Ver Mapa</v>
      </c>
    </row>
    <row r="8058" spans="1:12" ht="43.5" x14ac:dyDescent="0.35">
      <c r="A8058" s="6" t="s">
        <v>98</v>
      </c>
      <c r="B8058" s="6" t="s">
        <v>99</v>
      </c>
      <c r="C8058" s="6" t="s">
        <v>1477</v>
      </c>
      <c r="D8058" s="6" t="s">
        <v>14</v>
      </c>
      <c r="E8058" s="6" t="s">
        <v>39</v>
      </c>
      <c r="F8058" s="6" t="s">
        <v>494</v>
      </c>
      <c r="G8058" s="6" t="s">
        <v>1478</v>
      </c>
      <c r="H8058" s="6" t="s">
        <v>1479</v>
      </c>
      <c r="I8058" s="6" t="s">
        <v>31</v>
      </c>
      <c r="J8058" s="6">
        <v>16.496621797521001</v>
      </c>
      <c r="K8058" s="6">
        <v>-97.379132330486001</v>
      </c>
      <c r="L8058" s="6" t="str">
        <f>HYPERLINK("https://maps.google.com/?q=16.4966217975209,-97.379132330485604", "🔗 Ver Mapa")</f>
        <v>🔗 Ver Mapa</v>
      </c>
    </row>
    <row r="8059" spans="1:12" ht="43.5" x14ac:dyDescent="0.35">
      <c r="A8059" s="5" t="s">
        <v>98</v>
      </c>
      <c r="B8059" s="5" t="s">
        <v>99</v>
      </c>
      <c r="C8059" s="5" t="s">
        <v>1477</v>
      </c>
      <c r="D8059" s="5" t="s">
        <v>14</v>
      </c>
      <c r="E8059" s="5" t="s">
        <v>39</v>
      </c>
      <c r="F8059" s="5" t="s">
        <v>494</v>
      </c>
      <c r="G8059" s="5" t="s">
        <v>1478</v>
      </c>
      <c r="H8059" s="5" t="s">
        <v>1479</v>
      </c>
      <c r="I8059" s="5" t="s">
        <v>31</v>
      </c>
      <c r="J8059" s="5">
        <v>16.496702916577998</v>
      </c>
      <c r="K8059" s="5">
        <v>-97.377334157126995</v>
      </c>
      <c r="L8059" s="5" t="str">
        <f>HYPERLINK("https://maps.google.com/?q=16.4967029165784,-97.377334157127294", "🔗 Ver Mapa")</f>
        <v>🔗 Ver Mapa</v>
      </c>
    </row>
    <row r="8060" spans="1:12" ht="43.5" x14ac:dyDescent="0.35">
      <c r="A8060" s="6" t="s">
        <v>98</v>
      </c>
      <c r="B8060" s="6" t="s">
        <v>99</v>
      </c>
      <c r="C8060" s="6" t="s">
        <v>1477</v>
      </c>
      <c r="D8060" s="6" t="s">
        <v>14</v>
      </c>
      <c r="E8060" s="6" t="s">
        <v>39</v>
      </c>
      <c r="F8060" s="6" t="s">
        <v>494</v>
      </c>
      <c r="G8060" s="6" t="s">
        <v>1478</v>
      </c>
      <c r="H8060" s="6" t="s">
        <v>1479</v>
      </c>
      <c r="I8060" s="6" t="s">
        <v>31</v>
      </c>
      <c r="J8060" s="6">
        <v>16.496707859779999</v>
      </c>
      <c r="K8060" s="6">
        <v>-97.37952464</v>
      </c>
      <c r="L8060" s="6" t="str">
        <f>HYPERLINK("https://maps.google.com/?q=16.4967078597795,-97.37952464", "🔗 Ver Mapa")</f>
        <v>🔗 Ver Mapa</v>
      </c>
    </row>
    <row r="8061" spans="1:12" ht="43.5" x14ac:dyDescent="0.35">
      <c r="A8061" s="5" t="s">
        <v>98</v>
      </c>
      <c r="B8061" s="5" t="s">
        <v>99</v>
      </c>
      <c r="C8061" s="5" t="s">
        <v>1477</v>
      </c>
      <c r="D8061" s="5" t="s">
        <v>14</v>
      </c>
      <c r="E8061" s="5" t="s">
        <v>39</v>
      </c>
      <c r="F8061" s="5" t="s">
        <v>494</v>
      </c>
      <c r="G8061" s="5" t="s">
        <v>1478</v>
      </c>
      <c r="H8061" s="5" t="s">
        <v>1479</v>
      </c>
      <c r="I8061" s="5" t="s">
        <v>31</v>
      </c>
      <c r="J8061" s="5">
        <v>16.496745243873999</v>
      </c>
      <c r="K8061" s="5">
        <v>-97.379124283858999</v>
      </c>
      <c r="L8061" s="5" t="str">
        <f>HYPERLINK("https://maps.google.com/?q=16.4967452438741,-97.379124283858602", "🔗 Ver Mapa")</f>
        <v>🔗 Ver Mapa</v>
      </c>
    </row>
    <row r="8062" spans="1:12" ht="43.5" x14ac:dyDescent="0.35">
      <c r="A8062" s="6" t="s">
        <v>98</v>
      </c>
      <c r="B8062" s="6" t="s">
        <v>99</v>
      </c>
      <c r="C8062" s="6" t="s">
        <v>1477</v>
      </c>
      <c r="D8062" s="6" t="s">
        <v>14</v>
      </c>
      <c r="E8062" s="6" t="s">
        <v>39</v>
      </c>
      <c r="F8062" s="6" t="s">
        <v>494</v>
      </c>
      <c r="G8062" s="6" t="s">
        <v>1478</v>
      </c>
      <c r="H8062" s="6" t="s">
        <v>1479</v>
      </c>
      <c r="I8062" s="6" t="s">
        <v>31</v>
      </c>
      <c r="J8062" s="6">
        <v>16.496864955216999</v>
      </c>
      <c r="K8062" s="6">
        <v>-97.379145550499999</v>
      </c>
      <c r="L8062" s="6" t="str">
        <f>HYPERLINK("https://maps.google.com/?q=16.4968649552169,-97.379145550500297", "🔗 Ver Mapa")</f>
        <v>🔗 Ver Mapa</v>
      </c>
    </row>
    <row r="8063" spans="1:12" ht="43.5" x14ac:dyDescent="0.35">
      <c r="A8063" s="5" t="s">
        <v>98</v>
      </c>
      <c r="B8063" s="5" t="s">
        <v>99</v>
      </c>
      <c r="C8063" s="5" t="s">
        <v>1477</v>
      </c>
      <c r="D8063" s="5" t="s">
        <v>14</v>
      </c>
      <c r="E8063" s="5" t="s">
        <v>39</v>
      </c>
      <c r="F8063" s="5" t="s">
        <v>494</v>
      </c>
      <c r="G8063" s="5" t="s">
        <v>1478</v>
      </c>
      <c r="H8063" s="5" t="s">
        <v>1479</v>
      </c>
      <c r="I8063" s="5" t="s">
        <v>31</v>
      </c>
      <c r="J8063" s="5">
        <v>16.496934485815</v>
      </c>
      <c r="K8063" s="5">
        <v>-97.379481807795997</v>
      </c>
      <c r="L8063" s="5" t="str">
        <f>HYPERLINK("https://maps.google.com/?q=16.4969344858151,-97.379481807796097", "🔗 Ver Mapa")</f>
        <v>🔗 Ver Mapa</v>
      </c>
    </row>
    <row r="8064" spans="1:12" ht="43.5" x14ac:dyDescent="0.35">
      <c r="A8064" s="6" t="s">
        <v>98</v>
      </c>
      <c r="B8064" s="6" t="s">
        <v>99</v>
      </c>
      <c r="C8064" s="6" t="s">
        <v>1477</v>
      </c>
      <c r="D8064" s="6" t="s">
        <v>14</v>
      </c>
      <c r="E8064" s="6" t="s">
        <v>39</v>
      </c>
      <c r="F8064" s="6" t="s">
        <v>494</v>
      </c>
      <c r="G8064" s="6" t="s">
        <v>1478</v>
      </c>
      <c r="H8064" s="6" t="s">
        <v>1479</v>
      </c>
      <c r="I8064" s="6" t="s">
        <v>31</v>
      </c>
      <c r="J8064" s="6">
        <v>16.496987901309002</v>
      </c>
      <c r="K8064" s="6">
        <v>-97.380923774061003</v>
      </c>
      <c r="L8064" s="6" t="str">
        <f>HYPERLINK("https://maps.google.com/?q=16.4969879013085,-97.380923774061401", "🔗 Ver Mapa")</f>
        <v>🔗 Ver Mapa</v>
      </c>
    </row>
    <row r="8065" spans="1:12" ht="43.5" x14ac:dyDescent="0.35">
      <c r="A8065" s="5" t="s">
        <v>98</v>
      </c>
      <c r="B8065" s="5" t="s">
        <v>99</v>
      </c>
      <c r="C8065" s="5" t="s">
        <v>1477</v>
      </c>
      <c r="D8065" s="5" t="s">
        <v>14</v>
      </c>
      <c r="E8065" s="5" t="s">
        <v>39</v>
      </c>
      <c r="F8065" s="5" t="s">
        <v>494</v>
      </c>
      <c r="G8065" s="5" t="s">
        <v>1478</v>
      </c>
      <c r="H8065" s="5" t="s">
        <v>1479</v>
      </c>
      <c r="I8065" s="5" t="s">
        <v>31</v>
      </c>
      <c r="J8065" s="5">
        <v>16.497096743078998</v>
      </c>
      <c r="K8065" s="5">
        <v>-97.374359285343999</v>
      </c>
      <c r="L8065" s="5" t="str">
        <f>HYPERLINK("https://maps.google.com/?q=16.4970967430795,-97.374359285344198", "🔗 Ver Mapa")</f>
        <v>🔗 Ver Mapa</v>
      </c>
    </row>
    <row r="8066" spans="1:12" ht="43.5" x14ac:dyDescent="0.35">
      <c r="A8066" s="6" t="s">
        <v>98</v>
      </c>
      <c r="B8066" s="6" t="s">
        <v>99</v>
      </c>
      <c r="C8066" s="6" t="s">
        <v>1477</v>
      </c>
      <c r="D8066" s="6" t="s">
        <v>14</v>
      </c>
      <c r="E8066" s="6" t="s">
        <v>39</v>
      </c>
      <c r="F8066" s="6" t="s">
        <v>494</v>
      </c>
      <c r="G8066" s="6" t="s">
        <v>1478</v>
      </c>
      <c r="H8066" s="6" t="s">
        <v>1479</v>
      </c>
      <c r="I8066" s="6" t="s">
        <v>31</v>
      </c>
      <c r="J8066" s="6">
        <v>16.497204767650999</v>
      </c>
      <c r="K8066" s="6">
        <v>-97.379614259836998</v>
      </c>
      <c r="L8066" s="6" t="str">
        <f>HYPERLINK("https://maps.google.com/?q=16.4972047676514,-97.3796142598366", "🔗 Ver Mapa")</f>
        <v>🔗 Ver Mapa</v>
      </c>
    </row>
    <row r="8067" spans="1:12" ht="43.5" x14ac:dyDescent="0.35">
      <c r="A8067" s="5" t="s">
        <v>98</v>
      </c>
      <c r="B8067" s="5" t="s">
        <v>99</v>
      </c>
      <c r="C8067" s="5" t="s">
        <v>1477</v>
      </c>
      <c r="D8067" s="5" t="s">
        <v>14</v>
      </c>
      <c r="E8067" s="5" t="s">
        <v>39</v>
      </c>
      <c r="F8067" s="5" t="s">
        <v>494</v>
      </c>
      <c r="G8067" s="5" t="s">
        <v>1478</v>
      </c>
      <c r="H8067" s="5" t="s">
        <v>1479</v>
      </c>
      <c r="I8067" s="5" t="s">
        <v>31</v>
      </c>
      <c r="J8067" s="5">
        <v>16.497341072585002</v>
      </c>
      <c r="K8067" s="5">
        <v>-97.380257990000004</v>
      </c>
      <c r="L8067" s="5" t="str">
        <f>HYPERLINK("https://maps.google.com/?q=16.4973410725845,-97.380257990000004", "🔗 Ver Mapa")</f>
        <v>🔗 Ver Mapa</v>
      </c>
    </row>
    <row r="8068" spans="1:12" ht="43.5" x14ac:dyDescent="0.35">
      <c r="A8068" s="6" t="s">
        <v>98</v>
      </c>
      <c r="B8068" s="6" t="s">
        <v>99</v>
      </c>
      <c r="C8068" s="6" t="s">
        <v>1477</v>
      </c>
      <c r="D8068" s="6" t="s">
        <v>14</v>
      </c>
      <c r="E8068" s="6" t="s">
        <v>39</v>
      </c>
      <c r="F8068" s="6" t="s">
        <v>494</v>
      </c>
      <c r="G8068" s="6" t="s">
        <v>1478</v>
      </c>
      <c r="H8068" s="6" t="s">
        <v>1479</v>
      </c>
      <c r="I8068" s="6" t="s">
        <v>31</v>
      </c>
      <c r="J8068" s="6">
        <v>16.497533123711001</v>
      </c>
      <c r="K8068" s="6">
        <v>-97.373384091496007</v>
      </c>
      <c r="L8068" s="6" t="str">
        <f>HYPERLINK("https://maps.google.com/?q=16.4975331237114,-97.373384091495794", "🔗 Ver Mapa")</f>
        <v>🔗 Ver Mapa</v>
      </c>
    </row>
    <row r="8069" spans="1:12" ht="43.5" x14ac:dyDescent="0.35">
      <c r="A8069" s="5" t="s">
        <v>98</v>
      </c>
      <c r="B8069" s="5" t="s">
        <v>99</v>
      </c>
      <c r="C8069" s="5" t="s">
        <v>1477</v>
      </c>
      <c r="D8069" s="5" t="s">
        <v>14</v>
      </c>
      <c r="E8069" s="5" t="s">
        <v>39</v>
      </c>
      <c r="F8069" s="5" t="s">
        <v>494</v>
      </c>
      <c r="G8069" s="5" t="s">
        <v>1478</v>
      </c>
      <c r="H8069" s="5" t="s">
        <v>1479</v>
      </c>
      <c r="I8069" s="5" t="s">
        <v>31</v>
      </c>
      <c r="J8069" s="5">
        <v>16.497780668450002</v>
      </c>
      <c r="K8069" s="5">
        <v>-97.373123241594996</v>
      </c>
      <c r="L8069" s="5" t="str">
        <f>HYPERLINK("https://maps.google.com/?q=16.4977806684504,-97.373123241594897", "🔗 Ver Mapa")</f>
        <v>🔗 Ver Mapa</v>
      </c>
    </row>
    <row r="8070" spans="1:12" ht="43.5" x14ac:dyDescent="0.35">
      <c r="A8070" s="6" t="s">
        <v>98</v>
      </c>
      <c r="B8070" s="6" t="s">
        <v>99</v>
      </c>
      <c r="C8070" s="6" t="s">
        <v>1477</v>
      </c>
      <c r="D8070" s="6" t="s">
        <v>14</v>
      </c>
      <c r="E8070" s="6" t="s">
        <v>39</v>
      </c>
      <c r="F8070" s="6" t="s">
        <v>494</v>
      </c>
      <c r="G8070" s="6" t="s">
        <v>1478</v>
      </c>
      <c r="H8070" s="6" t="s">
        <v>1479</v>
      </c>
      <c r="I8070" s="6" t="s">
        <v>31</v>
      </c>
      <c r="J8070" s="6">
        <v>16.497887264368</v>
      </c>
      <c r="K8070" s="6">
        <v>-97.374578147671997</v>
      </c>
      <c r="L8070" s="6" t="str">
        <f>HYPERLINK("https://maps.google.com/?q=16.4978872643676,-97.374578147672096", "🔗 Ver Mapa")</f>
        <v>🔗 Ver Mapa</v>
      </c>
    </row>
    <row r="8071" spans="1:12" ht="43.5" x14ac:dyDescent="0.35">
      <c r="A8071" s="5" t="s">
        <v>98</v>
      </c>
      <c r="B8071" s="5" t="s">
        <v>99</v>
      </c>
      <c r="C8071" s="5" t="s">
        <v>1477</v>
      </c>
      <c r="D8071" s="5" t="s">
        <v>14</v>
      </c>
      <c r="E8071" s="5" t="s">
        <v>39</v>
      </c>
      <c r="F8071" s="5" t="s">
        <v>494</v>
      </c>
      <c r="G8071" s="5" t="s">
        <v>1478</v>
      </c>
      <c r="H8071" s="5" t="s">
        <v>1479</v>
      </c>
      <c r="I8071" s="5" t="s">
        <v>31</v>
      </c>
      <c r="J8071" s="5">
        <v>16.497896578489001</v>
      </c>
      <c r="K8071" s="5">
        <v>-97.379523064729995</v>
      </c>
      <c r="L8071" s="5" t="str">
        <f>HYPERLINK("https://maps.google.com/?q=16.4978965784886,-97.379523064730193", "🔗 Ver Mapa")</f>
        <v>🔗 Ver Mapa</v>
      </c>
    </row>
    <row r="8072" spans="1:12" ht="43.5" x14ac:dyDescent="0.35">
      <c r="A8072" s="6" t="s">
        <v>98</v>
      </c>
      <c r="B8072" s="6" t="s">
        <v>99</v>
      </c>
      <c r="C8072" s="6" t="s">
        <v>1477</v>
      </c>
      <c r="D8072" s="6" t="s">
        <v>14</v>
      </c>
      <c r="E8072" s="6" t="s">
        <v>39</v>
      </c>
      <c r="F8072" s="6" t="s">
        <v>494</v>
      </c>
      <c r="G8072" s="6" t="s">
        <v>1478</v>
      </c>
      <c r="H8072" s="6" t="s">
        <v>1479</v>
      </c>
      <c r="I8072" s="6" t="s">
        <v>31</v>
      </c>
      <c r="J8072" s="6">
        <v>16.498024924115001</v>
      </c>
      <c r="K8072" s="6">
        <v>-97.374007419197994</v>
      </c>
      <c r="L8072" s="6" t="str">
        <f>HYPERLINK("https://maps.google.com/?q=16.4980249241147,-97.374007419198307", "🔗 Ver Mapa")</f>
        <v>🔗 Ver Mapa</v>
      </c>
    </row>
    <row r="8073" spans="1:12" ht="43.5" x14ac:dyDescent="0.35">
      <c r="A8073" s="5" t="s">
        <v>98</v>
      </c>
      <c r="B8073" s="5" t="s">
        <v>99</v>
      </c>
      <c r="C8073" s="5" t="s">
        <v>1477</v>
      </c>
      <c r="D8073" s="5" t="s">
        <v>14</v>
      </c>
      <c r="E8073" s="5" t="s">
        <v>39</v>
      </c>
      <c r="F8073" s="5" t="s">
        <v>494</v>
      </c>
      <c r="G8073" s="5" t="s">
        <v>1478</v>
      </c>
      <c r="H8073" s="5" t="s">
        <v>1479</v>
      </c>
      <c r="I8073" s="5" t="s">
        <v>31</v>
      </c>
      <c r="J8073" s="5">
        <v>16.498323040807001</v>
      </c>
      <c r="K8073" s="5">
        <v>-97.373414229999995</v>
      </c>
      <c r="L8073" s="5" t="str">
        <f>HYPERLINK("https://maps.google.com/?q=16.4983230408074,-97.373414229999995", "🔗 Ver Mapa")</f>
        <v>🔗 Ver Mapa</v>
      </c>
    </row>
    <row r="8074" spans="1:12" ht="43.5" x14ac:dyDescent="0.35">
      <c r="A8074" s="6" t="s">
        <v>98</v>
      </c>
      <c r="B8074" s="6" t="s">
        <v>99</v>
      </c>
      <c r="C8074" s="6" t="s">
        <v>1477</v>
      </c>
      <c r="D8074" s="6" t="s">
        <v>14</v>
      </c>
      <c r="E8074" s="6" t="s">
        <v>39</v>
      </c>
      <c r="F8074" s="6" t="s">
        <v>494</v>
      </c>
      <c r="G8074" s="6" t="s">
        <v>1478</v>
      </c>
      <c r="H8074" s="6" t="s">
        <v>1479</v>
      </c>
      <c r="I8074" s="6" t="s">
        <v>31</v>
      </c>
      <c r="J8074" s="6">
        <v>16.498488971459999</v>
      </c>
      <c r="K8074" s="6">
        <v>-97.380698202898003</v>
      </c>
      <c r="L8074" s="6" t="str">
        <f>HYPERLINK("https://maps.google.com/?q=16.4984889714602,-97.380698202897506", "🔗 Ver Mapa")</f>
        <v>🔗 Ver Mapa</v>
      </c>
    </row>
    <row r="8075" spans="1:12" ht="43.5" x14ac:dyDescent="0.35">
      <c r="A8075" s="5" t="s">
        <v>98</v>
      </c>
      <c r="B8075" s="5" t="s">
        <v>99</v>
      </c>
      <c r="C8075" s="5" t="s">
        <v>1477</v>
      </c>
      <c r="D8075" s="5" t="s">
        <v>14</v>
      </c>
      <c r="E8075" s="5" t="s">
        <v>39</v>
      </c>
      <c r="F8075" s="5" t="s">
        <v>494</v>
      </c>
      <c r="G8075" s="5" t="s">
        <v>1478</v>
      </c>
      <c r="H8075" s="5" t="s">
        <v>1479</v>
      </c>
      <c r="I8075" s="5" t="s">
        <v>31</v>
      </c>
      <c r="J8075" s="5">
        <v>16.498790721189</v>
      </c>
      <c r="K8075" s="5">
        <v>-97.381318058787002</v>
      </c>
      <c r="L8075" s="5" t="str">
        <f>HYPERLINK("https://maps.google.com/?q=16.4987907211894,-97.381318058786505", "🔗 Ver Mapa")</f>
        <v>🔗 Ver Mapa</v>
      </c>
    </row>
    <row r="8076" spans="1:12" ht="43.5" x14ac:dyDescent="0.35">
      <c r="A8076" s="6" t="s">
        <v>98</v>
      </c>
      <c r="B8076" s="6" t="s">
        <v>99</v>
      </c>
      <c r="C8076" s="6" t="s">
        <v>1477</v>
      </c>
      <c r="D8076" s="6" t="s">
        <v>14</v>
      </c>
      <c r="E8076" s="6" t="s">
        <v>39</v>
      </c>
      <c r="F8076" s="6" t="s">
        <v>494</v>
      </c>
      <c r="G8076" s="6" t="s">
        <v>1478</v>
      </c>
      <c r="H8076" s="6" t="s">
        <v>1479</v>
      </c>
      <c r="I8076" s="6" t="s">
        <v>31</v>
      </c>
      <c r="J8076" s="6">
        <v>16.498979052585</v>
      </c>
      <c r="K8076" s="6">
        <v>-97.380653933134994</v>
      </c>
      <c r="L8076" s="6" t="str">
        <f>HYPERLINK("https://maps.google.com/?q=16.4989790525848,-97.380653933135207", "🔗 Ver Mapa")</f>
        <v>🔗 Ver Mapa</v>
      </c>
    </row>
    <row r="8077" spans="1:12" ht="43.5" x14ac:dyDescent="0.35">
      <c r="A8077" s="5" t="s">
        <v>98</v>
      </c>
      <c r="B8077" s="5" t="s">
        <v>99</v>
      </c>
      <c r="C8077" s="5" t="s">
        <v>1480</v>
      </c>
      <c r="D8077" s="5" t="s">
        <v>14</v>
      </c>
      <c r="E8077" s="5" t="s">
        <v>90</v>
      </c>
      <c r="F8077" s="5" t="s">
        <v>678</v>
      </c>
      <c r="G8077" s="5" t="s">
        <v>1481</v>
      </c>
      <c r="H8077" s="5" t="s">
        <v>1482</v>
      </c>
      <c r="I8077" s="5" t="s">
        <v>31</v>
      </c>
      <c r="J8077" s="5">
        <v>17.353465602819</v>
      </c>
      <c r="K8077" s="5">
        <v>-96.305245544418</v>
      </c>
      <c r="L8077" s="5" t="str">
        <f>HYPERLINK("https://maps.google.com/?q=17.353465602819,-96.305245544418", "🔗 Ver Mapa")</f>
        <v>🔗 Ver Mapa</v>
      </c>
    </row>
    <row r="8078" spans="1:12" ht="43.5" x14ac:dyDescent="0.35">
      <c r="A8078" s="6" t="s">
        <v>98</v>
      </c>
      <c r="B8078" s="6" t="s">
        <v>99</v>
      </c>
      <c r="C8078" s="6" t="s">
        <v>1480</v>
      </c>
      <c r="D8078" s="6" t="s">
        <v>14</v>
      </c>
      <c r="E8078" s="6" t="s">
        <v>90</v>
      </c>
      <c r="F8078" s="6" t="s">
        <v>678</v>
      </c>
      <c r="G8078" s="6" t="s">
        <v>1481</v>
      </c>
      <c r="H8078" s="6" t="s">
        <v>1482</v>
      </c>
      <c r="I8078" s="6" t="s">
        <v>31</v>
      </c>
      <c r="J8078" s="6">
        <v>17.353715212876001</v>
      </c>
      <c r="K8078" s="6">
        <v>-96.304887462267999</v>
      </c>
      <c r="L8078" s="6" t="str">
        <f>HYPERLINK("https://maps.google.com/?q=17.3537152128759,-96.304887462268496", "🔗 Ver Mapa")</f>
        <v>🔗 Ver Mapa</v>
      </c>
    </row>
    <row r="8079" spans="1:12" ht="43.5" x14ac:dyDescent="0.35">
      <c r="A8079" s="5" t="s">
        <v>98</v>
      </c>
      <c r="B8079" s="5" t="s">
        <v>99</v>
      </c>
      <c r="C8079" s="5" t="s">
        <v>1480</v>
      </c>
      <c r="D8079" s="5" t="s">
        <v>14</v>
      </c>
      <c r="E8079" s="5" t="s">
        <v>90</v>
      </c>
      <c r="F8079" s="5" t="s">
        <v>678</v>
      </c>
      <c r="G8079" s="5" t="s">
        <v>1481</v>
      </c>
      <c r="H8079" s="5" t="s">
        <v>1482</v>
      </c>
      <c r="I8079" s="5" t="s">
        <v>31</v>
      </c>
      <c r="J8079" s="5">
        <v>17.353879062143001</v>
      </c>
      <c r="K8079" s="5">
        <v>-96.304940441894999</v>
      </c>
      <c r="L8079" s="5" t="str">
        <f>HYPERLINK("https://maps.google.com/?q=17.3538790621433,-96.304940441894502", "🔗 Ver Mapa")</f>
        <v>🔗 Ver Mapa</v>
      </c>
    </row>
    <row r="8080" spans="1:12" ht="43.5" x14ac:dyDescent="0.35">
      <c r="A8080" s="6" t="s">
        <v>98</v>
      </c>
      <c r="B8080" s="6" t="s">
        <v>99</v>
      </c>
      <c r="C8080" s="6" t="s">
        <v>1480</v>
      </c>
      <c r="D8080" s="6" t="s">
        <v>14</v>
      </c>
      <c r="E8080" s="6" t="s">
        <v>90</v>
      </c>
      <c r="F8080" s="6" t="s">
        <v>678</v>
      </c>
      <c r="G8080" s="6" t="s">
        <v>1481</v>
      </c>
      <c r="H8080" s="6" t="s">
        <v>1482</v>
      </c>
      <c r="I8080" s="6" t="s">
        <v>31</v>
      </c>
      <c r="J8080" s="6">
        <v>17.354098324502999</v>
      </c>
      <c r="K8080" s="6">
        <v>-96.304425064417998</v>
      </c>
      <c r="L8080" s="6" t="str">
        <f>HYPERLINK("https://maps.google.com/?q=17.3540983245026,-96.304425064417998", "🔗 Ver Mapa")</f>
        <v>🔗 Ver Mapa</v>
      </c>
    </row>
    <row r="8081" spans="1:12" ht="43.5" x14ac:dyDescent="0.35">
      <c r="A8081" s="5" t="s">
        <v>98</v>
      </c>
      <c r="B8081" s="5" t="s">
        <v>99</v>
      </c>
      <c r="C8081" s="5" t="s">
        <v>1480</v>
      </c>
      <c r="D8081" s="5" t="s">
        <v>14</v>
      </c>
      <c r="E8081" s="5" t="s">
        <v>90</v>
      </c>
      <c r="F8081" s="5" t="s">
        <v>678</v>
      </c>
      <c r="G8081" s="5" t="s">
        <v>1481</v>
      </c>
      <c r="H8081" s="5" t="s">
        <v>1482</v>
      </c>
      <c r="I8081" s="5" t="s">
        <v>31</v>
      </c>
      <c r="J8081" s="5">
        <v>17.354179872699</v>
      </c>
      <c r="K8081" s="5">
        <v>-96.305280405581996</v>
      </c>
      <c r="L8081" s="5" t="str">
        <f>HYPERLINK("https://maps.google.com/?q=17.3541798726989,-96.305280405581996", "🔗 Ver Mapa")</f>
        <v>🔗 Ver Mapa</v>
      </c>
    </row>
    <row r="8082" spans="1:12" ht="43.5" x14ac:dyDescent="0.35">
      <c r="A8082" s="6" t="s">
        <v>98</v>
      </c>
      <c r="B8082" s="6" t="s">
        <v>99</v>
      </c>
      <c r="C8082" s="6" t="s">
        <v>1480</v>
      </c>
      <c r="D8082" s="6" t="s">
        <v>14</v>
      </c>
      <c r="E8082" s="6" t="s">
        <v>90</v>
      </c>
      <c r="F8082" s="6" t="s">
        <v>678</v>
      </c>
      <c r="G8082" s="6" t="s">
        <v>1481</v>
      </c>
      <c r="H8082" s="6" t="s">
        <v>1482</v>
      </c>
      <c r="I8082" s="6" t="s">
        <v>31</v>
      </c>
      <c r="J8082" s="6">
        <v>17.354202999999998</v>
      </c>
      <c r="K8082" s="6">
        <v>-96.305681000000007</v>
      </c>
      <c r="L8082" s="6" t="str">
        <f>HYPERLINK("https://maps.google.com/?q=17.354203,-96.305681000000007", "🔗 Ver Mapa")</f>
        <v>🔗 Ver Mapa</v>
      </c>
    </row>
    <row r="8083" spans="1:12" ht="43.5" x14ac:dyDescent="0.35">
      <c r="A8083" s="5" t="s">
        <v>98</v>
      </c>
      <c r="B8083" s="5" t="s">
        <v>99</v>
      </c>
      <c r="C8083" s="5" t="s">
        <v>1480</v>
      </c>
      <c r="D8083" s="5" t="s">
        <v>14</v>
      </c>
      <c r="E8083" s="5" t="s">
        <v>90</v>
      </c>
      <c r="F8083" s="5" t="s">
        <v>678</v>
      </c>
      <c r="G8083" s="5" t="s">
        <v>1481</v>
      </c>
      <c r="H8083" s="5" t="s">
        <v>1482</v>
      </c>
      <c r="I8083" s="5" t="s">
        <v>31</v>
      </c>
      <c r="J8083" s="5">
        <v>17.354229793763999</v>
      </c>
      <c r="K8083" s="5">
        <v>-96.303278144478</v>
      </c>
      <c r="L8083" s="5" t="str">
        <f>HYPERLINK("https://maps.google.com/?q=17.354229793764,-96.303278144477503", "🔗 Ver Mapa")</f>
        <v>🔗 Ver Mapa</v>
      </c>
    </row>
    <row r="8084" spans="1:12" ht="43.5" x14ac:dyDescent="0.35">
      <c r="A8084" s="6" t="s">
        <v>98</v>
      </c>
      <c r="B8084" s="6" t="s">
        <v>99</v>
      </c>
      <c r="C8084" s="6" t="s">
        <v>1480</v>
      </c>
      <c r="D8084" s="6" t="s">
        <v>14</v>
      </c>
      <c r="E8084" s="6" t="s">
        <v>90</v>
      </c>
      <c r="F8084" s="6" t="s">
        <v>678</v>
      </c>
      <c r="G8084" s="6" t="s">
        <v>1481</v>
      </c>
      <c r="H8084" s="6" t="s">
        <v>1482</v>
      </c>
      <c r="I8084" s="6" t="s">
        <v>31</v>
      </c>
      <c r="J8084" s="6">
        <v>17.354270161310001</v>
      </c>
      <c r="K8084" s="6">
        <v>-96.303683438777</v>
      </c>
      <c r="L8084" s="6" t="str">
        <f>HYPERLINK("https://maps.google.com/?q=17.35427016131,-96.303683438776602", "🔗 Ver Mapa")</f>
        <v>🔗 Ver Mapa</v>
      </c>
    </row>
    <row r="8085" spans="1:12" ht="43.5" x14ac:dyDescent="0.35">
      <c r="A8085" s="5" t="s">
        <v>98</v>
      </c>
      <c r="B8085" s="5" t="s">
        <v>99</v>
      </c>
      <c r="C8085" s="5" t="s">
        <v>1480</v>
      </c>
      <c r="D8085" s="5" t="s">
        <v>14</v>
      </c>
      <c r="E8085" s="5" t="s">
        <v>90</v>
      </c>
      <c r="F8085" s="5" t="s">
        <v>678</v>
      </c>
      <c r="G8085" s="5" t="s">
        <v>1481</v>
      </c>
      <c r="H8085" s="5" t="s">
        <v>1482</v>
      </c>
      <c r="I8085" s="5" t="s">
        <v>31</v>
      </c>
      <c r="J8085" s="5">
        <v>17.354330912588999</v>
      </c>
      <c r="K8085" s="5">
        <v>-96.304870034418002</v>
      </c>
      <c r="L8085" s="5" t="str">
        <f>HYPERLINK("https://maps.google.com/?q=17.354330912589,-96.304870034418002", "🔗 Ver Mapa")</f>
        <v>🔗 Ver Mapa</v>
      </c>
    </row>
    <row r="8086" spans="1:12" ht="43.5" x14ac:dyDescent="0.35">
      <c r="A8086" s="6" t="s">
        <v>98</v>
      </c>
      <c r="B8086" s="6" t="s">
        <v>99</v>
      </c>
      <c r="C8086" s="6" t="s">
        <v>1480</v>
      </c>
      <c r="D8086" s="6" t="s">
        <v>14</v>
      </c>
      <c r="E8086" s="6" t="s">
        <v>90</v>
      </c>
      <c r="F8086" s="6" t="s">
        <v>678</v>
      </c>
      <c r="G8086" s="6" t="s">
        <v>1481</v>
      </c>
      <c r="H8086" s="6" t="s">
        <v>1482</v>
      </c>
      <c r="I8086" s="6" t="s">
        <v>31</v>
      </c>
      <c r="J8086" s="6">
        <v>17.354333472589001</v>
      </c>
      <c r="K8086" s="6">
        <v>-96.303125253312999</v>
      </c>
      <c r="L8086" s="6" t="str">
        <f>HYPERLINK("https://maps.google.com/?q=17.354333472589,-96.303125253313496", "🔗 Ver Mapa")</f>
        <v>🔗 Ver Mapa</v>
      </c>
    </row>
    <row r="8087" spans="1:12" ht="43.5" x14ac:dyDescent="0.35">
      <c r="A8087" s="5" t="s">
        <v>98</v>
      </c>
      <c r="B8087" s="5" t="s">
        <v>99</v>
      </c>
      <c r="C8087" s="5" t="s">
        <v>1480</v>
      </c>
      <c r="D8087" s="5" t="s">
        <v>14</v>
      </c>
      <c r="E8087" s="5" t="s">
        <v>90</v>
      </c>
      <c r="F8087" s="5" t="s">
        <v>678</v>
      </c>
      <c r="G8087" s="5" t="s">
        <v>1481</v>
      </c>
      <c r="H8087" s="5" t="s">
        <v>1482</v>
      </c>
      <c r="I8087" s="5" t="s">
        <v>31</v>
      </c>
      <c r="J8087" s="5">
        <v>17.354338011376999</v>
      </c>
      <c r="K8087" s="5">
        <v>-96.304551133491998</v>
      </c>
      <c r="L8087" s="5" t="str">
        <f>HYPERLINK("https://maps.google.com/?q=17.3543380113771,-96.304551133491799", "🔗 Ver Mapa")</f>
        <v>🔗 Ver Mapa</v>
      </c>
    </row>
    <row r="8088" spans="1:12" ht="43.5" x14ac:dyDescent="0.35">
      <c r="A8088" s="6" t="s">
        <v>98</v>
      </c>
      <c r="B8088" s="6" t="s">
        <v>99</v>
      </c>
      <c r="C8088" s="6" t="s">
        <v>1480</v>
      </c>
      <c r="D8088" s="6" t="s">
        <v>14</v>
      </c>
      <c r="E8088" s="6" t="s">
        <v>90</v>
      </c>
      <c r="F8088" s="6" t="s">
        <v>678</v>
      </c>
      <c r="G8088" s="6" t="s">
        <v>1481</v>
      </c>
      <c r="H8088" s="6" t="s">
        <v>1482</v>
      </c>
      <c r="I8088" s="6" t="s">
        <v>31</v>
      </c>
      <c r="J8088" s="6">
        <v>17.354411563412</v>
      </c>
      <c r="K8088" s="6">
        <v>-96.303496736745998</v>
      </c>
      <c r="L8088" s="6" t="str">
        <f>HYPERLINK("https://maps.google.com/?q=17.3544115634116,-96.303496736745899", "🔗 Ver Mapa")</f>
        <v>🔗 Ver Mapa</v>
      </c>
    </row>
    <row r="8089" spans="1:12" ht="43.5" x14ac:dyDescent="0.35">
      <c r="A8089" s="5" t="s">
        <v>98</v>
      </c>
      <c r="B8089" s="5" t="s">
        <v>99</v>
      </c>
      <c r="C8089" s="5" t="s">
        <v>1480</v>
      </c>
      <c r="D8089" s="5" t="s">
        <v>14</v>
      </c>
      <c r="E8089" s="5" t="s">
        <v>90</v>
      </c>
      <c r="F8089" s="5" t="s">
        <v>678</v>
      </c>
      <c r="G8089" s="5" t="s">
        <v>1481</v>
      </c>
      <c r="H8089" s="5" t="s">
        <v>1482</v>
      </c>
      <c r="I8089" s="5" t="s">
        <v>31</v>
      </c>
      <c r="J8089" s="5">
        <v>17.354453802809001</v>
      </c>
      <c r="K8089" s="5">
        <v>-96.303327766627007</v>
      </c>
      <c r="L8089" s="5" t="str">
        <f>HYPERLINK("https://maps.google.com/?q=17.3544538028088,-96.303327766627007", "🔗 Ver Mapa")</f>
        <v>🔗 Ver Mapa</v>
      </c>
    </row>
    <row r="8090" spans="1:12" ht="43.5" x14ac:dyDescent="0.35">
      <c r="A8090" s="6" t="s">
        <v>98</v>
      </c>
      <c r="B8090" s="6" t="s">
        <v>99</v>
      </c>
      <c r="C8090" s="6" t="s">
        <v>1480</v>
      </c>
      <c r="D8090" s="6" t="s">
        <v>14</v>
      </c>
      <c r="E8090" s="6" t="s">
        <v>90</v>
      </c>
      <c r="F8090" s="6" t="s">
        <v>678</v>
      </c>
      <c r="G8090" s="6" t="s">
        <v>1481</v>
      </c>
      <c r="H8090" s="6" t="s">
        <v>1482</v>
      </c>
      <c r="I8090" s="6" t="s">
        <v>31</v>
      </c>
      <c r="J8090" s="6">
        <v>17.354455773026</v>
      </c>
      <c r="K8090" s="6">
        <v>-96.303641856745998</v>
      </c>
      <c r="L8090" s="6" t="str">
        <f>HYPERLINK("https://maps.google.com/?q=17.3544557730264,-96.303641856745898", "🔗 Ver Mapa")</f>
        <v>🔗 Ver Mapa</v>
      </c>
    </row>
    <row r="8091" spans="1:12" ht="43.5" x14ac:dyDescent="0.35">
      <c r="A8091" s="5" t="s">
        <v>98</v>
      </c>
      <c r="B8091" s="5" t="s">
        <v>99</v>
      </c>
      <c r="C8091" s="5" t="s">
        <v>1480</v>
      </c>
      <c r="D8091" s="5" t="s">
        <v>14</v>
      </c>
      <c r="E8091" s="5" t="s">
        <v>90</v>
      </c>
      <c r="F8091" s="5" t="s">
        <v>678</v>
      </c>
      <c r="G8091" s="5" t="s">
        <v>1481</v>
      </c>
      <c r="H8091" s="5" t="s">
        <v>1482</v>
      </c>
      <c r="I8091" s="5" t="s">
        <v>31</v>
      </c>
      <c r="J8091" s="5">
        <v>17.354496042754</v>
      </c>
      <c r="K8091" s="5">
        <v>-96.303089048836</v>
      </c>
      <c r="L8091" s="5" t="str">
        <f>HYPERLINK("https://maps.google.com/?q=17.3544960427542,-96.3030890488361", "🔗 Ver Mapa")</f>
        <v>🔗 Ver Mapa</v>
      </c>
    </row>
    <row r="8092" spans="1:12" ht="43.5" x14ac:dyDescent="0.35">
      <c r="A8092" s="6" t="s">
        <v>98</v>
      </c>
      <c r="B8092" s="6" t="s">
        <v>99</v>
      </c>
      <c r="C8092" s="6" t="s">
        <v>1480</v>
      </c>
      <c r="D8092" s="6" t="s">
        <v>14</v>
      </c>
      <c r="E8092" s="6" t="s">
        <v>90</v>
      </c>
      <c r="F8092" s="6" t="s">
        <v>678</v>
      </c>
      <c r="G8092" s="6" t="s">
        <v>1481</v>
      </c>
      <c r="H8092" s="6" t="s">
        <v>1482</v>
      </c>
      <c r="I8092" s="6" t="s">
        <v>31</v>
      </c>
      <c r="J8092" s="6">
        <v>17.354507562159998</v>
      </c>
      <c r="K8092" s="6">
        <v>-96.303731436568</v>
      </c>
      <c r="L8092" s="6" t="str">
        <f>HYPERLINK("https://maps.google.com/?q=17.3545075621603,-96.303731436567602", "🔗 Ver Mapa")</f>
        <v>🔗 Ver Mapa</v>
      </c>
    </row>
    <row r="8093" spans="1:12" ht="43.5" x14ac:dyDescent="0.35">
      <c r="A8093" s="5" t="s">
        <v>98</v>
      </c>
      <c r="B8093" s="5" t="s">
        <v>99</v>
      </c>
      <c r="C8093" s="5" t="s">
        <v>1480</v>
      </c>
      <c r="D8093" s="5" t="s">
        <v>14</v>
      </c>
      <c r="E8093" s="5" t="s">
        <v>90</v>
      </c>
      <c r="F8093" s="5" t="s">
        <v>678</v>
      </c>
      <c r="G8093" s="5" t="s">
        <v>1481</v>
      </c>
      <c r="H8093" s="5" t="s">
        <v>1482</v>
      </c>
      <c r="I8093" s="5" t="s">
        <v>31</v>
      </c>
      <c r="J8093" s="5">
        <v>17.354592052272999</v>
      </c>
      <c r="K8093" s="5">
        <v>-96.303107824418007</v>
      </c>
      <c r="L8093" s="5" t="str">
        <f>HYPERLINK("https://maps.google.com/?q=17.3545920522733,-96.303107824418007", "🔗 Ver Mapa")</f>
        <v>🔗 Ver Mapa</v>
      </c>
    </row>
    <row r="8094" spans="1:12" ht="43.5" x14ac:dyDescent="0.35">
      <c r="A8094" s="6" t="s">
        <v>98</v>
      </c>
      <c r="B8094" s="6" t="s">
        <v>99</v>
      </c>
      <c r="C8094" s="6" t="s">
        <v>1480</v>
      </c>
      <c r="D8094" s="6" t="s">
        <v>14</v>
      </c>
      <c r="E8094" s="6" t="s">
        <v>90</v>
      </c>
      <c r="F8094" s="6" t="s">
        <v>678</v>
      </c>
      <c r="G8094" s="6" t="s">
        <v>1481</v>
      </c>
      <c r="H8094" s="6" t="s">
        <v>1482</v>
      </c>
      <c r="I8094" s="6" t="s">
        <v>31</v>
      </c>
      <c r="J8094" s="6">
        <v>17.354647094895</v>
      </c>
      <c r="K8094" s="6">
        <v>-96.303947348598001</v>
      </c>
      <c r="L8094" s="6" t="str">
        <f>HYPERLINK("https://maps.google.com/?q=17.3546470948954,-96.3039473485983", "🔗 Ver Mapa")</f>
        <v>🔗 Ver Mapa</v>
      </c>
    </row>
    <row r="8095" spans="1:12" ht="43.5" x14ac:dyDescent="0.35">
      <c r="A8095" s="5" t="s">
        <v>98</v>
      </c>
      <c r="B8095" s="5" t="s">
        <v>99</v>
      </c>
      <c r="C8095" s="5" t="s">
        <v>1480</v>
      </c>
      <c r="D8095" s="5" t="s">
        <v>14</v>
      </c>
      <c r="E8095" s="5" t="s">
        <v>90</v>
      </c>
      <c r="F8095" s="5" t="s">
        <v>678</v>
      </c>
      <c r="G8095" s="5" t="s">
        <v>1481</v>
      </c>
      <c r="H8095" s="5" t="s">
        <v>1482</v>
      </c>
      <c r="I8095" s="5" t="s">
        <v>31</v>
      </c>
      <c r="J8095" s="5">
        <v>17.354665012647999</v>
      </c>
      <c r="K8095" s="5">
        <v>-96.303425664477999</v>
      </c>
      <c r="L8095" s="5" t="str">
        <f>HYPERLINK("https://maps.google.com/?q=17.3546650126478,-96.303425664477501", "🔗 Ver Mapa")</f>
        <v>🔗 Ver Mapa</v>
      </c>
    </row>
    <row r="8096" spans="1:12" ht="43.5" x14ac:dyDescent="0.35">
      <c r="A8096" s="6" t="s">
        <v>98</v>
      </c>
      <c r="B8096" s="6" t="s">
        <v>99</v>
      </c>
      <c r="C8096" s="6" t="s">
        <v>1480</v>
      </c>
      <c r="D8096" s="6" t="s">
        <v>14</v>
      </c>
      <c r="E8096" s="6" t="s">
        <v>90</v>
      </c>
      <c r="F8096" s="6" t="s">
        <v>678</v>
      </c>
      <c r="G8096" s="6" t="s">
        <v>1481</v>
      </c>
      <c r="H8096" s="6" t="s">
        <v>1482</v>
      </c>
      <c r="I8096" s="6" t="s">
        <v>31</v>
      </c>
      <c r="J8096" s="6">
        <v>17.354713649406001</v>
      </c>
      <c r="K8096" s="6">
        <v>-96.303901753491999</v>
      </c>
      <c r="L8096" s="6" t="str">
        <f>HYPERLINK("https://maps.google.com/?q=17.3547136494058,-96.3039017534918", "🔗 Ver Mapa")</f>
        <v>🔗 Ver Mapa</v>
      </c>
    </row>
    <row r="8097" spans="1:12" ht="43.5" x14ac:dyDescent="0.35">
      <c r="A8097" s="5" t="s">
        <v>98</v>
      </c>
      <c r="B8097" s="5" t="s">
        <v>99</v>
      </c>
      <c r="C8097" s="5" t="s">
        <v>1480</v>
      </c>
      <c r="D8097" s="5" t="s">
        <v>14</v>
      </c>
      <c r="E8097" s="5" t="s">
        <v>90</v>
      </c>
      <c r="F8097" s="5" t="s">
        <v>678</v>
      </c>
      <c r="G8097" s="5" t="s">
        <v>1481</v>
      </c>
      <c r="H8097" s="5" t="s">
        <v>1482</v>
      </c>
      <c r="I8097" s="5" t="s">
        <v>31</v>
      </c>
      <c r="J8097" s="5">
        <v>17.354727732596</v>
      </c>
      <c r="K8097" s="5">
        <v>-96.305503029999997</v>
      </c>
      <c r="L8097" s="5" t="str">
        <f>HYPERLINK("https://maps.google.com/?q=17.354727732596,-96.305503029999997", "🔗 Ver Mapa")</f>
        <v>🔗 Ver Mapa</v>
      </c>
    </row>
    <row r="8098" spans="1:12" ht="43.5" x14ac:dyDescent="0.35">
      <c r="A8098" s="6" t="s">
        <v>98</v>
      </c>
      <c r="B8098" s="6" t="s">
        <v>99</v>
      </c>
      <c r="C8098" s="6" t="s">
        <v>1480</v>
      </c>
      <c r="D8098" s="6" t="s">
        <v>14</v>
      </c>
      <c r="E8098" s="6" t="s">
        <v>90</v>
      </c>
      <c r="F8098" s="6" t="s">
        <v>678</v>
      </c>
      <c r="G8098" s="6" t="s">
        <v>1481</v>
      </c>
      <c r="H8098" s="6" t="s">
        <v>1482</v>
      </c>
      <c r="I8098" s="6" t="s">
        <v>31</v>
      </c>
      <c r="J8098" s="6">
        <v>17.354786612597</v>
      </c>
      <c r="K8098" s="6">
        <v>-96.303597326686003</v>
      </c>
      <c r="L8098" s="6" t="str">
        <f>HYPERLINK("https://maps.google.com/?q=17.354786612597,-96.3035973266865", "🔗 Ver Mapa")</f>
        <v>🔗 Ver Mapa</v>
      </c>
    </row>
    <row r="8099" spans="1:12" ht="43.5" x14ac:dyDescent="0.35">
      <c r="A8099" s="5" t="s">
        <v>98</v>
      </c>
      <c r="B8099" s="5" t="s">
        <v>99</v>
      </c>
      <c r="C8099" s="5" t="s">
        <v>1480</v>
      </c>
      <c r="D8099" s="5" t="s">
        <v>14</v>
      </c>
      <c r="E8099" s="5" t="s">
        <v>90</v>
      </c>
      <c r="F8099" s="5" t="s">
        <v>678</v>
      </c>
      <c r="G8099" s="5" t="s">
        <v>1481</v>
      </c>
      <c r="H8099" s="5" t="s">
        <v>1482</v>
      </c>
      <c r="I8099" s="5" t="s">
        <v>31</v>
      </c>
      <c r="J8099" s="5">
        <v>17.354817000000001</v>
      </c>
      <c r="K8099" s="5">
        <v>-96.305222000000001</v>
      </c>
      <c r="L8099" s="5" t="str">
        <f>HYPERLINK("https://maps.google.com/?q=17.354817,-96.305222000000001", "🔗 Ver Mapa")</f>
        <v>🔗 Ver Mapa</v>
      </c>
    </row>
    <row r="8100" spans="1:12" ht="43.5" x14ac:dyDescent="0.35">
      <c r="A8100" s="6" t="s">
        <v>98</v>
      </c>
      <c r="B8100" s="6" t="s">
        <v>99</v>
      </c>
      <c r="C8100" s="6" t="s">
        <v>1480</v>
      </c>
      <c r="D8100" s="6" t="s">
        <v>14</v>
      </c>
      <c r="E8100" s="6" t="s">
        <v>90</v>
      </c>
      <c r="F8100" s="6" t="s">
        <v>678</v>
      </c>
      <c r="G8100" s="6" t="s">
        <v>1481</v>
      </c>
      <c r="H8100" s="6" t="s">
        <v>1482</v>
      </c>
      <c r="I8100" s="6" t="s">
        <v>31</v>
      </c>
      <c r="J8100" s="6">
        <v>17.354832702391001</v>
      </c>
      <c r="K8100" s="6">
        <v>-96.306483378896004</v>
      </c>
      <c r="L8100" s="6" t="str">
        <f>HYPERLINK("https://maps.google.com/?q=17.354832702391,-96.306483378895507", "🔗 Ver Mapa")</f>
        <v>🔗 Ver Mapa</v>
      </c>
    </row>
    <row r="8101" spans="1:12" ht="43.5" x14ac:dyDescent="0.35">
      <c r="A8101" s="5" t="s">
        <v>98</v>
      </c>
      <c r="B8101" s="5" t="s">
        <v>99</v>
      </c>
      <c r="C8101" s="5" t="s">
        <v>1480</v>
      </c>
      <c r="D8101" s="5" t="s">
        <v>14</v>
      </c>
      <c r="E8101" s="5" t="s">
        <v>90</v>
      </c>
      <c r="F8101" s="5" t="s">
        <v>678</v>
      </c>
      <c r="G8101" s="5" t="s">
        <v>1481</v>
      </c>
      <c r="H8101" s="5" t="s">
        <v>1482</v>
      </c>
      <c r="I8101" s="5" t="s">
        <v>31</v>
      </c>
      <c r="J8101" s="5">
        <v>17.354889025281</v>
      </c>
      <c r="K8101" s="5">
        <v>-96.303861521401998</v>
      </c>
      <c r="L8101" s="5" t="str">
        <f>HYPERLINK("https://maps.google.com/?q=17.3548890252807,-96.3038615214017", "🔗 Ver Mapa")</f>
        <v>🔗 Ver Mapa</v>
      </c>
    </row>
    <row r="8102" spans="1:12" ht="43.5" x14ac:dyDescent="0.35">
      <c r="A8102" s="6" t="s">
        <v>98</v>
      </c>
      <c r="B8102" s="6" t="s">
        <v>99</v>
      </c>
      <c r="C8102" s="6" t="s">
        <v>1480</v>
      </c>
      <c r="D8102" s="6" t="s">
        <v>14</v>
      </c>
      <c r="E8102" s="6" t="s">
        <v>90</v>
      </c>
      <c r="F8102" s="6" t="s">
        <v>678</v>
      </c>
      <c r="G8102" s="6" t="s">
        <v>1481</v>
      </c>
      <c r="H8102" s="6" t="s">
        <v>1482</v>
      </c>
      <c r="I8102" s="6" t="s">
        <v>31</v>
      </c>
      <c r="J8102" s="6">
        <v>17.354896701779001</v>
      </c>
      <c r="K8102" s="6">
        <v>-96.302863744418005</v>
      </c>
      <c r="L8102" s="6" t="str">
        <f>HYPERLINK("https://maps.google.com/?q=17.3548967017795,-96.302863744418005", "🔗 Ver Mapa")</f>
        <v>🔗 Ver Mapa</v>
      </c>
    </row>
    <row r="8103" spans="1:12" ht="43.5" x14ac:dyDescent="0.35">
      <c r="A8103" s="5" t="s">
        <v>98</v>
      </c>
      <c r="B8103" s="5" t="s">
        <v>99</v>
      </c>
      <c r="C8103" s="5" t="s">
        <v>1480</v>
      </c>
      <c r="D8103" s="5" t="s">
        <v>14</v>
      </c>
      <c r="E8103" s="5" t="s">
        <v>90</v>
      </c>
      <c r="F8103" s="5" t="s">
        <v>678</v>
      </c>
      <c r="G8103" s="5" t="s">
        <v>1481</v>
      </c>
      <c r="H8103" s="5" t="s">
        <v>1482</v>
      </c>
      <c r="I8103" s="5" t="s">
        <v>31</v>
      </c>
      <c r="J8103" s="5">
        <v>17.354897982444999</v>
      </c>
      <c r="K8103" s="5">
        <v>-96.302553940058999</v>
      </c>
      <c r="L8103" s="5" t="str">
        <f>HYPERLINK("https://maps.google.com/?q=17.3548979824452,-96.302553940059497", "🔗 Ver Mapa")</f>
        <v>🔗 Ver Mapa</v>
      </c>
    </row>
    <row r="8104" spans="1:12" ht="43.5" x14ac:dyDescent="0.35">
      <c r="A8104" s="6" t="s">
        <v>98</v>
      </c>
      <c r="B8104" s="6" t="s">
        <v>99</v>
      </c>
      <c r="C8104" s="6" t="s">
        <v>1480</v>
      </c>
      <c r="D8104" s="6" t="s">
        <v>14</v>
      </c>
      <c r="E8104" s="6" t="s">
        <v>90</v>
      </c>
      <c r="F8104" s="6" t="s">
        <v>678</v>
      </c>
      <c r="G8104" s="6" t="s">
        <v>1481</v>
      </c>
      <c r="H8104" s="6" t="s">
        <v>1482</v>
      </c>
      <c r="I8104" s="6" t="s">
        <v>31</v>
      </c>
      <c r="J8104" s="6">
        <v>17.354927422292999</v>
      </c>
      <c r="K8104" s="6">
        <v>-96.302759136746005</v>
      </c>
      <c r="L8104" s="6" t="str">
        <f>HYPERLINK("https://maps.google.com/?q=17.3549274222932,-96.302759136745905", "🔗 Ver Mapa")</f>
        <v>🔗 Ver Mapa</v>
      </c>
    </row>
    <row r="8105" spans="1:12" ht="43.5" x14ac:dyDescent="0.35">
      <c r="A8105" s="5" t="s">
        <v>98</v>
      </c>
      <c r="B8105" s="5" t="s">
        <v>99</v>
      </c>
      <c r="C8105" s="5" t="s">
        <v>1480</v>
      </c>
      <c r="D8105" s="5" t="s">
        <v>14</v>
      </c>
      <c r="E8105" s="5" t="s">
        <v>90</v>
      </c>
      <c r="F8105" s="5" t="s">
        <v>678</v>
      </c>
      <c r="G8105" s="5" t="s">
        <v>1481</v>
      </c>
      <c r="H8105" s="5" t="s">
        <v>1482</v>
      </c>
      <c r="I8105" s="5" t="s">
        <v>31</v>
      </c>
      <c r="J8105" s="5">
        <v>17.354928702753</v>
      </c>
      <c r="K8105" s="5">
        <v>-96.30580746215</v>
      </c>
      <c r="L8105" s="5" t="str">
        <f>HYPERLINK("https://maps.google.com/?q=17.3549287027528,-96.305807462149602", "🔗 Ver Mapa")</f>
        <v>🔗 Ver Mapa</v>
      </c>
    </row>
    <row r="8106" spans="1:12" ht="43.5" x14ac:dyDescent="0.35">
      <c r="A8106" s="6" t="s">
        <v>98</v>
      </c>
      <c r="B8106" s="6" t="s">
        <v>99</v>
      </c>
      <c r="C8106" s="6" t="s">
        <v>1480</v>
      </c>
      <c r="D8106" s="6" t="s">
        <v>14</v>
      </c>
      <c r="E8106" s="6" t="s">
        <v>90</v>
      </c>
      <c r="F8106" s="6" t="s">
        <v>678</v>
      </c>
      <c r="G8106" s="6" t="s">
        <v>1481</v>
      </c>
      <c r="H8106" s="6" t="s">
        <v>1482</v>
      </c>
      <c r="I8106" s="6" t="s">
        <v>31</v>
      </c>
      <c r="J8106" s="6">
        <v>17.354964544078001</v>
      </c>
      <c r="K8106" s="6">
        <v>-96.302633070213005</v>
      </c>
      <c r="L8106" s="6" t="str">
        <f>HYPERLINK("https://maps.google.com/?q=17.3549645440776,-96.302633070213005", "🔗 Ver Mapa")</f>
        <v>🔗 Ver Mapa</v>
      </c>
    </row>
    <row r="8107" spans="1:12" ht="43.5" x14ac:dyDescent="0.35">
      <c r="A8107" s="5" t="s">
        <v>98</v>
      </c>
      <c r="B8107" s="5" t="s">
        <v>99</v>
      </c>
      <c r="C8107" s="5" t="s">
        <v>1480</v>
      </c>
      <c r="D8107" s="5" t="s">
        <v>14</v>
      </c>
      <c r="E8107" s="5" t="s">
        <v>90</v>
      </c>
      <c r="F8107" s="5" t="s">
        <v>678</v>
      </c>
      <c r="G8107" s="5" t="s">
        <v>1481</v>
      </c>
      <c r="H8107" s="5" t="s">
        <v>1482</v>
      </c>
      <c r="I8107" s="5" t="s">
        <v>31</v>
      </c>
      <c r="J8107" s="5">
        <v>17.354986309329998</v>
      </c>
      <c r="K8107" s="5">
        <v>-96.305589536476006</v>
      </c>
      <c r="L8107" s="5" t="str">
        <f>HYPERLINK("https://maps.google.com/?q=17.3549863093303,-96.305589536475907", "🔗 Ver Mapa")</f>
        <v>🔗 Ver Mapa</v>
      </c>
    </row>
    <row r="8108" spans="1:12" ht="43.5" x14ac:dyDescent="0.35">
      <c r="A8108" s="6" t="s">
        <v>98</v>
      </c>
      <c r="B8108" s="6" t="s">
        <v>99</v>
      </c>
      <c r="C8108" s="6" t="s">
        <v>1480</v>
      </c>
      <c r="D8108" s="6" t="s">
        <v>14</v>
      </c>
      <c r="E8108" s="6" t="s">
        <v>90</v>
      </c>
      <c r="F8108" s="6" t="s">
        <v>678</v>
      </c>
      <c r="G8108" s="6" t="s">
        <v>1481</v>
      </c>
      <c r="H8108" s="6" t="s">
        <v>1482</v>
      </c>
      <c r="I8108" s="6" t="s">
        <v>31</v>
      </c>
      <c r="J8108" s="6">
        <v>17.354996542296998</v>
      </c>
      <c r="K8108" s="6">
        <v>-96.303924548894997</v>
      </c>
      <c r="L8108" s="6" t="str">
        <f>HYPERLINK("https://maps.google.com/?q=17.3549965422973,-96.303924548895495", "🔗 Ver Mapa")</f>
        <v>🔗 Ver Mapa</v>
      </c>
    </row>
    <row r="8109" spans="1:12" ht="43.5" x14ac:dyDescent="0.35">
      <c r="A8109" s="5" t="s">
        <v>98</v>
      </c>
      <c r="B8109" s="5" t="s">
        <v>99</v>
      </c>
      <c r="C8109" s="5" t="s">
        <v>1480</v>
      </c>
      <c r="D8109" s="5" t="s">
        <v>14</v>
      </c>
      <c r="E8109" s="5" t="s">
        <v>90</v>
      </c>
      <c r="F8109" s="5" t="s">
        <v>678</v>
      </c>
      <c r="G8109" s="5" t="s">
        <v>1481</v>
      </c>
      <c r="H8109" s="5" t="s">
        <v>1482</v>
      </c>
      <c r="I8109" s="5" t="s">
        <v>31</v>
      </c>
      <c r="J8109" s="5">
        <v>17.355041342551001</v>
      </c>
      <c r="K8109" s="5">
        <v>-96.302709508896001</v>
      </c>
      <c r="L8109" s="5" t="str">
        <f>HYPERLINK("https://maps.google.com/?q=17.3550413425512,-96.302709508895504", "🔗 Ver Mapa")</f>
        <v>🔗 Ver Mapa</v>
      </c>
    </row>
    <row r="8110" spans="1:12" ht="43.5" x14ac:dyDescent="0.35">
      <c r="A8110" s="6" t="s">
        <v>98</v>
      </c>
      <c r="B8110" s="6" t="s">
        <v>99</v>
      </c>
      <c r="C8110" s="6" t="s">
        <v>1480</v>
      </c>
      <c r="D8110" s="6" t="s">
        <v>14</v>
      </c>
      <c r="E8110" s="6" t="s">
        <v>90</v>
      </c>
      <c r="F8110" s="6" t="s">
        <v>678</v>
      </c>
      <c r="G8110" s="6" t="s">
        <v>1481</v>
      </c>
      <c r="H8110" s="6" t="s">
        <v>1482</v>
      </c>
      <c r="I8110" s="6" t="s">
        <v>31</v>
      </c>
      <c r="J8110" s="6">
        <v>17.355082312452002</v>
      </c>
      <c r="K8110" s="6">
        <v>-96.302791315581999</v>
      </c>
      <c r="L8110" s="6" t="str">
        <f>HYPERLINK("https://maps.google.com/?q=17.3550823124523,-96.302791315581999", "🔗 Ver Mapa")</f>
        <v>🔗 Ver Mapa</v>
      </c>
    </row>
    <row r="8111" spans="1:12" ht="43.5" x14ac:dyDescent="0.35">
      <c r="A8111" s="5" t="s">
        <v>98</v>
      </c>
      <c r="B8111" s="5" t="s">
        <v>99</v>
      </c>
      <c r="C8111" s="5" t="s">
        <v>1480</v>
      </c>
      <c r="D8111" s="5" t="s">
        <v>14</v>
      </c>
      <c r="E8111" s="5" t="s">
        <v>90</v>
      </c>
      <c r="F8111" s="5" t="s">
        <v>678</v>
      </c>
      <c r="G8111" s="5" t="s">
        <v>1481</v>
      </c>
      <c r="H8111" s="5" t="s">
        <v>1482</v>
      </c>
      <c r="I8111" s="5" t="s">
        <v>31</v>
      </c>
      <c r="J8111" s="5">
        <v>17.355101512802001</v>
      </c>
      <c r="K8111" s="5">
        <v>-96.305682743372998</v>
      </c>
      <c r="L8111" s="5" t="str">
        <f>HYPERLINK("https://maps.google.com/?q=17.3551015128021,-96.305682743372998", "🔗 Ver Mapa")</f>
        <v>🔗 Ver Mapa</v>
      </c>
    </row>
    <row r="8112" spans="1:12" ht="43.5" x14ac:dyDescent="0.35">
      <c r="A8112" s="6" t="s">
        <v>98</v>
      </c>
      <c r="B8112" s="6" t="s">
        <v>99</v>
      </c>
      <c r="C8112" s="6" t="s">
        <v>1480</v>
      </c>
      <c r="D8112" s="6" t="s">
        <v>14</v>
      </c>
      <c r="E8112" s="6" t="s">
        <v>90</v>
      </c>
      <c r="F8112" s="6" t="s">
        <v>678</v>
      </c>
      <c r="G8112" s="6" t="s">
        <v>1481</v>
      </c>
      <c r="H8112" s="6" t="s">
        <v>1482</v>
      </c>
      <c r="I8112" s="6" t="s">
        <v>31</v>
      </c>
      <c r="J8112" s="6">
        <v>17.355104072603002</v>
      </c>
      <c r="K8112" s="6">
        <v>-96.306278192209007</v>
      </c>
      <c r="L8112" s="6" t="str">
        <f>HYPERLINK("https://maps.google.com/?q=17.3551040726026,-96.306278192209007", "🔗 Ver Mapa")</f>
        <v>🔗 Ver Mapa</v>
      </c>
    </row>
    <row r="8113" spans="1:12" ht="43.5" x14ac:dyDescent="0.35">
      <c r="A8113" s="5" t="s">
        <v>98</v>
      </c>
      <c r="B8113" s="5" t="s">
        <v>99</v>
      </c>
      <c r="C8113" s="5" t="s">
        <v>1480</v>
      </c>
      <c r="D8113" s="5" t="s">
        <v>14</v>
      </c>
      <c r="E8113" s="5" t="s">
        <v>90</v>
      </c>
      <c r="F8113" s="5" t="s">
        <v>678</v>
      </c>
      <c r="G8113" s="5" t="s">
        <v>1481</v>
      </c>
      <c r="H8113" s="5" t="s">
        <v>1482</v>
      </c>
      <c r="I8113" s="5" t="s">
        <v>31</v>
      </c>
      <c r="J8113" s="5">
        <v>17.355113032852</v>
      </c>
      <c r="K8113" s="5">
        <v>-96.305953648835995</v>
      </c>
      <c r="L8113" s="5" t="str">
        <f>HYPERLINK("https://maps.google.com/?q=17.3551130328518,-96.305953648836095", "🔗 Ver Mapa")</f>
        <v>🔗 Ver Mapa</v>
      </c>
    </row>
    <row r="8114" spans="1:12" ht="43.5" x14ac:dyDescent="0.35">
      <c r="A8114" s="6" t="s">
        <v>98</v>
      </c>
      <c r="B8114" s="6" t="s">
        <v>99</v>
      </c>
      <c r="C8114" s="6" t="s">
        <v>1480</v>
      </c>
      <c r="D8114" s="6" t="s">
        <v>14</v>
      </c>
      <c r="E8114" s="6" t="s">
        <v>90</v>
      </c>
      <c r="F8114" s="6" t="s">
        <v>678</v>
      </c>
      <c r="G8114" s="6" t="s">
        <v>1481</v>
      </c>
      <c r="H8114" s="6" t="s">
        <v>1482</v>
      </c>
      <c r="I8114" s="6" t="s">
        <v>31</v>
      </c>
      <c r="J8114" s="6">
        <v>17.355125832454</v>
      </c>
      <c r="K8114" s="6">
        <v>-96.306570551164</v>
      </c>
      <c r="L8114" s="6" t="str">
        <f>HYPERLINK("https://maps.google.com/?q=17.355125832454,-96.306570551163901", "🔗 Ver Mapa")</f>
        <v>🔗 Ver Mapa</v>
      </c>
    </row>
    <row r="8115" spans="1:12" ht="43.5" x14ac:dyDescent="0.35">
      <c r="A8115" s="5" t="s">
        <v>98</v>
      </c>
      <c r="B8115" s="5" t="s">
        <v>99</v>
      </c>
      <c r="C8115" s="5" t="s">
        <v>1480</v>
      </c>
      <c r="D8115" s="5" t="s">
        <v>14</v>
      </c>
      <c r="E8115" s="5" t="s">
        <v>90</v>
      </c>
      <c r="F8115" s="5" t="s">
        <v>678</v>
      </c>
      <c r="G8115" s="5" t="s">
        <v>1481</v>
      </c>
      <c r="H8115" s="5" t="s">
        <v>1482</v>
      </c>
      <c r="I8115" s="5" t="s">
        <v>31</v>
      </c>
      <c r="J8115" s="5">
        <v>17.355127</v>
      </c>
      <c r="K8115" s="5">
        <v>-96.304130999999998</v>
      </c>
      <c r="L8115" s="5" t="str">
        <f>HYPERLINK("https://maps.google.com/?q=17.355127,-96.304130999999998", "🔗 Ver Mapa")</f>
        <v>🔗 Ver Mapa</v>
      </c>
    </row>
    <row r="8116" spans="1:12" ht="43.5" x14ac:dyDescent="0.35">
      <c r="A8116" s="6" t="s">
        <v>98</v>
      </c>
      <c r="B8116" s="6" t="s">
        <v>99</v>
      </c>
      <c r="C8116" s="6" t="s">
        <v>1480</v>
      </c>
      <c r="D8116" s="6" t="s">
        <v>14</v>
      </c>
      <c r="E8116" s="6" t="s">
        <v>90</v>
      </c>
      <c r="F8116" s="6" t="s">
        <v>678</v>
      </c>
      <c r="G8116" s="6" t="s">
        <v>1481</v>
      </c>
      <c r="H8116" s="6" t="s">
        <v>1482</v>
      </c>
      <c r="I8116" s="6" t="s">
        <v>31</v>
      </c>
      <c r="J8116" s="6">
        <v>17.355183431619999</v>
      </c>
      <c r="K8116" s="6">
        <v>-96.304231665344005</v>
      </c>
      <c r="L8116" s="6" t="str">
        <f>HYPERLINK("https://maps.google.com/?q=17.3551834316201,-96.304231665344204", "🔗 Ver Mapa")</f>
        <v>🔗 Ver Mapa</v>
      </c>
    </row>
    <row r="8117" spans="1:12" ht="43.5" x14ac:dyDescent="0.35">
      <c r="A8117" s="5" t="s">
        <v>98</v>
      </c>
      <c r="B8117" s="5" t="s">
        <v>99</v>
      </c>
      <c r="C8117" s="5" t="s">
        <v>1480</v>
      </c>
      <c r="D8117" s="5" t="s">
        <v>14</v>
      </c>
      <c r="E8117" s="5" t="s">
        <v>90</v>
      </c>
      <c r="F8117" s="5" t="s">
        <v>678</v>
      </c>
      <c r="G8117" s="5" t="s">
        <v>1481</v>
      </c>
      <c r="H8117" s="5" t="s">
        <v>1482</v>
      </c>
      <c r="I8117" s="5" t="s">
        <v>31</v>
      </c>
      <c r="J8117" s="5">
        <v>17.355225671968999</v>
      </c>
      <c r="K8117" s="5">
        <v>-96.305698837790999</v>
      </c>
      <c r="L8117" s="5" t="str">
        <f>HYPERLINK("https://maps.google.com/?q=17.3552256719686,-96.305698837790999", "🔗 Ver Mapa")</f>
        <v>🔗 Ver Mapa</v>
      </c>
    </row>
    <row r="8118" spans="1:12" ht="43.5" x14ac:dyDescent="0.35">
      <c r="A8118" s="6" t="s">
        <v>98</v>
      </c>
      <c r="B8118" s="6" t="s">
        <v>99</v>
      </c>
      <c r="C8118" s="6" t="s">
        <v>1480</v>
      </c>
      <c r="D8118" s="6" t="s">
        <v>14</v>
      </c>
      <c r="E8118" s="6" t="s">
        <v>90</v>
      </c>
      <c r="F8118" s="6" t="s">
        <v>678</v>
      </c>
      <c r="G8118" s="6" t="s">
        <v>1481</v>
      </c>
      <c r="H8118" s="6" t="s">
        <v>1482</v>
      </c>
      <c r="I8118" s="6" t="s">
        <v>31</v>
      </c>
      <c r="J8118" s="6">
        <v>17.355242318531001</v>
      </c>
      <c r="K8118" s="6">
        <v>-96.305061807281007</v>
      </c>
      <c r="L8118" s="6" t="str">
        <f>HYPERLINK("https://maps.google.com/?q=17.355242318531,-96.305061807280893", "🔗 Ver Mapa")</f>
        <v>🔗 Ver Mapa</v>
      </c>
    </row>
    <row r="8119" spans="1:12" ht="43.5" x14ac:dyDescent="0.35">
      <c r="A8119" s="5" t="s">
        <v>98</v>
      </c>
      <c r="B8119" s="5" t="s">
        <v>99</v>
      </c>
      <c r="C8119" s="5" t="s">
        <v>1480</v>
      </c>
      <c r="D8119" s="5" t="s">
        <v>14</v>
      </c>
      <c r="E8119" s="5" t="s">
        <v>90</v>
      </c>
      <c r="F8119" s="5" t="s">
        <v>678</v>
      </c>
      <c r="G8119" s="5" t="s">
        <v>1481</v>
      </c>
      <c r="H8119" s="5" t="s">
        <v>1482</v>
      </c>
      <c r="I8119" s="5" t="s">
        <v>31</v>
      </c>
      <c r="J8119" s="5">
        <v>17.355248713142998</v>
      </c>
      <c r="K8119" s="5">
        <v>-96.305528510059005</v>
      </c>
      <c r="L8119" s="5" t="str">
        <f>HYPERLINK("https://maps.google.com/?q=17.3552487131429,-96.305528510059403", "🔗 Ver Mapa")</f>
        <v>🔗 Ver Mapa</v>
      </c>
    </row>
    <row r="8120" spans="1:12" ht="43.5" x14ac:dyDescent="0.35">
      <c r="A8120" s="6" t="s">
        <v>98</v>
      </c>
      <c r="B8120" s="6" t="s">
        <v>99</v>
      </c>
      <c r="C8120" s="6" t="s">
        <v>1480</v>
      </c>
      <c r="D8120" s="6" t="s">
        <v>14</v>
      </c>
      <c r="E8120" s="6" t="s">
        <v>90</v>
      </c>
      <c r="F8120" s="6" t="s">
        <v>678</v>
      </c>
      <c r="G8120" s="6" t="s">
        <v>1481</v>
      </c>
      <c r="H8120" s="6" t="s">
        <v>1482</v>
      </c>
      <c r="I8120" s="6" t="s">
        <v>31</v>
      </c>
      <c r="J8120" s="6">
        <v>17.355251272947001</v>
      </c>
      <c r="K8120" s="6">
        <v>-96.304082807732001</v>
      </c>
      <c r="L8120" s="6" t="str">
        <f>HYPERLINK("https://maps.google.com/?q=17.3552512729471,-96.304082807731504", "🔗 Ver Mapa")</f>
        <v>🔗 Ver Mapa</v>
      </c>
    </row>
    <row r="8121" spans="1:12" ht="43.5" x14ac:dyDescent="0.35">
      <c r="A8121" s="5" t="s">
        <v>98</v>
      </c>
      <c r="B8121" s="5" t="s">
        <v>99</v>
      </c>
      <c r="C8121" s="5" t="s">
        <v>1480</v>
      </c>
      <c r="D8121" s="5" t="s">
        <v>14</v>
      </c>
      <c r="E8121" s="5" t="s">
        <v>90</v>
      </c>
      <c r="F8121" s="5" t="s">
        <v>678</v>
      </c>
      <c r="G8121" s="5" t="s">
        <v>1481</v>
      </c>
      <c r="H8121" s="5" t="s">
        <v>1482</v>
      </c>
      <c r="I8121" s="5" t="s">
        <v>31</v>
      </c>
      <c r="J8121" s="5">
        <v>17.355294792654998</v>
      </c>
      <c r="K8121" s="5">
        <v>-96.305008167731998</v>
      </c>
      <c r="L8121" s="5" t="str">
        <f>HYPERLINK("https://maps.google.com/?q=17.3552947926545,-96.3050081677316", "🔗 Ver Mapa")</f>
        <v>🔗 Ver Mapa</v>
      </c>
    </row>
    <row r="8122" spans="1:12" ht="43.5" x14ac:dyDescent="0.35">
      <c r="A8122" s="6" t="s">
        <v>98</v>
      </c>
      <c r="B8122" s="6" t="s">
        <v>99</v>
      </c>
      <c r="C8122" s="6" t="s">
        <v>1480</v>
      </c>
      <c r="D8122" s="6" t="s">
        <v>14</v>
      </c>
      <c r="E8122" s="6" t="s">
        <v>90</v>
      </c>
      <c r="F8122" s="6" t="s">
        <v>678</v>
      </c>
      <c r="G8122" s="6" t="s">
        <v>1481</v>
      </c>
      <c r="H8122" s="6" t="s">
        <v>1482</v>
      </c>
      <c r="I8122" s="6" t="s">
        <v>31</v>
      </c>
      <c r="J8122" s="6">
        <v>17.355306312606</v>
      </c>
      <c r="K8122" s="6">
        <v>-96.306262095581999</v>
      </c>
      <c r="L8122" s="6" t="str">
        <f>HYPERLINK("https://maps.google.com/?q=17.3553063126062,-96.306262095581999", "🔗 Ver Mapa")</f>
        <v>🔗 Ver Mapa</v>
      </c>
    </row>
    <row r="8123" spans="1:12" ht="43.5" x14ac:dyDescent="0.35">
      <c r="A8123" s="5" t="s">
        <v>98</v>
      </c>
      <c r="B8123" s="5" t="s">
        <v>99</v>
      </c>
      <c r="C8123" s="5" t="s">
        <v>1480</v>
      </c>
      <c r="D8123" s="5" t="s">
        <v>14</v>
      </c>
      <c r="E8123" s="5" t="s">
        <v>90</v>
      </c>
      <c r="F8123" s="5" t="s">
        <v>678</v>
      </c>
      <c r="G8123" s="5" t="s">
        <v>1481</v>
      </c>
      <c r="H8123" s="5" t="s">
        <v>1482</v>
      </c>
      <c r="I8123" s="5" t="s">
        <v>31</v>
      </c>
      <c r="J8123" s="5">
        <v>17.355308873382</v>
      </c>
      <c r="K8123" s="5">
        <v>-96.305317960118998</v>
      </c>
      <c r="L8123" s="5" t="str">
        <f>HYPERLINK("https://maps.google.com/?q=17.355308873382,-96.305317960118899", "🔗 Ver Mapa")</f>
        <v>🔗 Ver Mapa</v>
      </c>
    </row>
    <row r="8124" spans="1:12" ht="43.5" x14ac:dyDescent="0.35">
      <c r="A8124" s="6" t="s">
        <v>98</v>
      </c>
      <c r="B8124" s="6" t="s">
        <v>99</v>
      </c>
      <c r="C8124" s="6" t="s">
        <v>1480</v>
      </c>
      <c r="D8124" s="6" t="s">
        <v>14</v>
      </c>
      <c r="E8124" s="6" t="s">
        <v>90</v>
      </c>
      <c r="F8124" s="6" t="s">
        <v>678</v>
      </c>
      <c r="G8124" s="6" t="s">
        <v>1481</v>
      </c>
      <c r="H8124" s="6" t="s">
        <v>1482</v>
      </c>
      <c r="I8124" s="6" t="s">
        <v>31</v>
      </c>
      <c r="J8124" s="6">
        <v>17.355324614053998</v>
      </c>
      <c r="K8124" s="6">
        <v>-96.305485695474999</v>
      </c>
      <c r="L8124" s="6" t="str">
        <f>HYPERLINK("https://maps.google.com/?q=17.355324614054,-96.305485695474701", "🔗 Ver Mapa")</f>
        <v>🔗 Ver Mapa</v>
      </c>
    </row>
    <row r="8125" spans="1:12" ht="43.5" x14ac:dyDescent="0.35">
      <c r="A8125" s="5" t="s">
        <v>98</v>
      </c>
      <c r="B8125" s="5" t="s">
        <v>99</v>
      </c>
      <c r="C8125" s="5" t="s">
        <v>1480</v>
      </c>
      <c r="D8125" s="5" t="s">
        <v>14</v>
      </c>
      <c r="E8125" s="5" t="s">
        <v>90</v>
      </c>
      <c r="F8125" s="5" t="s">
        <v>678</v>
      </c>
      <c r="G8125" s="5" t="s">
        <v>1481</v>
      </c>
      <c r="H8125" s="5" t="s">
        <v>1482</v>
      </c>
      <c r="I8125" s="5" t="s">
        <v>31</v>
      </c>
      <c r="J8125" s="5">
        <v>17.355325000000001</v>
      </c>
      <c r="K8125" s="5">
        <v>-96.301755999999997</v>
      </c>
      <c r="L8125" s="5" t="str">
        <f>HYPERLINK("https://maps.google.com/?q=17.355325,-96.301755999999997", "🔗 Ver Mapa")</f>
        <v>🔗 Ver Mapa</v>
      </c>
    </row>
    <row r="8126" spans="1:12" ht="43.5" x14ac:dyDescent="0.35">
      <c r="A8126" s="6" t="s">
        <v>98</v>
      </c>
      <c r="B8126" s="6" t="s">
        <v>99</v>
      </c>
      <c r="C8126" s="6" t="s">
        <v>1480</v>
      </c>
      <c r="D8126" s="6" t="s">
        <v>14</v>
      </c>
      <c r="E8126" s="6" t="s">
        <v>90</v>
      </c>
      <c r="F8126" s="6" t="s">
        <v>678</v>
      </c>
      <c r="G8126" s="6" t="s">
        <v>1481</v>
      </c>
      <c r="H8126" s="6" t="s">
        <v>1482</v>
      </c>
      <c r="I8126" s="6" t="s">
        <v>31</v>
      </c>
      <c r="J8126" s="6">
        <v>17.355326802219999</v>
      </c>
      <c r="K8126" s="6">
        <v>-96.303947347790995</v>
      </c>
      <c r="L8126" s="6" t="str">
        <f>HYPERLINK("https://maps.google.com/?q=17.3553268022205,-96.303947347790995", "🔗 Ver Mapa")</f>
        <v>🔗 Ver Mapa</v>
      </c>
    </row>
    <row r="8127" spans="1:12" ht="43.5" x14ac:dyDescent="0.35">
      <c r="A8127" s="5" t="s">
        <v>98</v>
      </c>
      <c r="B8127" s="5" t="s">
        <v>99</v>
      </c>
      <c r="C8127" s="5" t="s">
        <v>1480</v>
      </c>
      <c r="D8127" s="5" t="s">
        <v>14</v>
      </c>
      <c r="E8127" s="5" t="s">
        <v>90</v>
      </c>
      <c r="F8127" s="5" t="s">
        <v>678</v>
      </c>
      <c r="G8127" s="5" t="s">
        <v>1481</v>
      </c>
      <c r="H8127" s="5" t="s">
        <v>1482</v>
      </c>
      <c r="I8127" s="5" t="s">
        <v>31</v>
      </c>
      <c r="J8127" s="5">
        <v>17.355342162414001</v>
      </c>
      <c r="K8127" s="5">
        <v>-96.303716685582003</v>
      </c>
      <c r="L8127" s="5" t="str">
        <f>HYPERLINK("https://maps.google.com/?q=17.3553421624142,-96.303716685582003", "🔗 Ver Mapa")</f>
        <v>🔗 Ver Mapa</v>
      </c>
    </row>
    <row r="8128" spans="1:12" ht="43.5" x14ac:dyDescent="0.35">
      <c r="A8128" s="6" t="s">
        <v>98</v>
      </c>
      <c r="B8128" s="6" t="s">
        <v>99</v>
      </c>
      <c r="C8128" s="6" t="s">
        <v>1480</v>
      </c>
      <c r="D8128" s="6" t="s">
        <v>14</v>
      </c>
      <c r="E8128" s="6" t="s">
        <v>90</v>
      </c>
      <c r="F8128" s="6" t="s">
        <v>678</v>
      </c>
      <c r="G8128" s="6" t="s">
        <v>1481</v>
      </c>
      <c r="H8128" s="6" t="s">
        <v>1482</v>
      </c>
      <c r="I8128" s="6" t="s">
        <v>31</v>
      </c>
      <c r="J8128" s="6">
        <v>17.355412561799</v>
      </c>
      <c r="K8128" s="6">
        <v>-96.301656742090003</v>
      </c>
      <c r="L8128" s="6" t="str">
        <f>HYPERLINK("https://maps.google.com/?q=17.3554125617987,-96.301656742090103", "🔗 Ver Mapa")</f>
        <v>🔗 Ver Mapa</v>
      </c>
    </row>
    <row r="8129" spans="1:12" ht="43.5" x14ac:dyDescent="0.35">
      <c r="A8129" s="5" t="s">
        <v>98</v>
      </c>
      <c r="B8129" s="5" t="s">
        <v>99</v>
      </c>
      <c r="C8129" s="5" t="s">
        <v>1480</v>
      </c>
      <c r="D8129" s="5" t="s">
        <v>14</v>
      </c>
      <c r="E8129" s="5" t="s">
        <v>90</v>
      </c>
      <c r="F8129" s="5" t="s">
        <v>678</v>
      </c>
      <c r="G8129" s="5" t="s">
        <v>1481</v>
      </c>
      <c r="H8129" s="5" t="s">
        <v>1482</v>
      </c>
      <c r="I8129" s="5" t="s">
        <v>31</v>
      </c>
      <c r="J8129" s="5">
        <v>17.355424082704001</v>
      </c>
      <c r="K8129" s="5">
        <v>-96.305296505582007</v>
      </c>
      <c r="L8129" s="5" t="str">
        <f>HYPERLINK("https://maps.google.com/?q=17.3554240827035,-96.305296505582007", "🔗 Ver Mapa")</f>
        <v>🔗 Ver Mapa</v>
      </c>
    </row>
    <row r="8130" spans="1:12" ht="43.5" x14ac:dyDescent="0.35">
      <c r="A8130" s="6" t="s">
        <v>98</v>
      </c>
      <c r="B8130" s="6" t="s">
        <v>99</v>
      </c>
      <c r="C8130" s="6" t="s">
        <v>1480</v>
      </c>
      <c r="D8130" s="6" t="s">
        <v>14</v>
      </c>
      <c r="E8130" s="6" t="s">
        <v>90</v>
      </c>
      <c r="F8130" s="6" t="s">
        <v>678</v>
      </c>
      <c r="G8130" s="6" t="s">
        <v>1481</v>
      </c>
      <c r="H8130" s="6" t="s">
        <v>1482</v>
      </c>
      <c r="I8130" s="6" t="s">
        <v>31</v>
      </c>
      <c r="J8130" s="6">
        <v>17.355434321564999</v>
      </c>
      <c r="K8130" s="6">
        <v>-96.303709976687003</v>
      </c>
      <c r="L8130" s="6" t="str">
        <f>HYPERLINK("https://maps.google.com/?q=17.3554343215648,-96.303709976686505", "🔗 Ver Mapa")</f>
        <v>🔗 Ver Mapa</v>
      </c>
    </row>
    <row r="8131" spans="1:12" ht="43.5" x14ac:dyDescent="0.35">
      <c r="A8131" s="5" t="s">
        <v>98</v>
      </c>
      <c r="B8131" s="5" t="s">
        <v>99</v>
      </c>
      <c r="C8131" s="5" t="s">
        <v>1480</v>
      </c>
      <c r="D8131" s="5" t="s">
        <v>14</v>
      </c>
      <c r="E8131" s="5" t="s">
        <v>90</v>
      </c>
      <c r="F8131" s="5" t="s">
        <v>678</v>
      </c>
      <c r="G8131" s="5" t="s">
        <v>1481</v>
      </c>
      <c r="H8131" s="5" t="s">
        <v>1482</v>
      </c>
      <c r="I8131" s="5" t="s">
        <v>31</v>
      </c>
      <c r="J8131" s="5">
        <v>17.355466322750999</v>
      </c>
      <c r="K8131" s="5">
        <v>-96.304198141103996</v>
      </c>
      <c r="L8131" s="5" t="str">
        <f>HYPERLINK("https://maps.google.com/?q=17.355466322751,-96.304198141104493", "🔗 Ver Mapa")</f>
        <v>🔗 Ver Mapa</v>
      </c>
    </row>
    <row r="8132" spans="1:12" ht="43.5" x14ac:dyDescent="0.35">
      <c r="A8132" s="6" t="s">
        <v>98</v>
      </c>
      <c r="B8132" s="6" t="s">
        <v>99</v>
      </c>
      <c r="C8132" s="6" t="s">
        <v>1480</v>
      </c>
      <c r="D8132" s="6" t="s">
        <v>14</v>
      </c>
      <c r="E8132" s="6" t="s">
        <v>90</v>
      </c>
      <c r="F8132" s="6" t="s">
        <v>678</v>
      </c>
      <c r="G8132" s="6" t="s">
        <v>1481</v>
      </c>
      <c r="H8132" s="6" t="s">
        <v>1482</v>
      </c>
      <c r="I8132" s="6" t="s">
        <v>31</v>
      </c>
      <c r="J8132" s="6">
        <v>17.355471442561999</v>
      </c>
      <c r="K8132" s="6">
        <v>-96.302670618955005</v>
      </c>
      <c r="L8132" s="6" t="str">
        <f>HYPERLINK("https://maps.google.com/?q=17.3554714425618,-96.302670618954906", "🔗 Ver Mapa")</f>
        <v>🔗 Ver Mapa</v>
      </c>
    </row>
    <row r="8133" spans="1:12" ht="43.5" x14ac:dyDescent="0.35">
      <c r="A8133" s="5" t="s">
        <v>98</v>
      </c>
      <c r="B8133" s="5" t="s">
        <v>99</v>
      </c>
      <c r="C8133" s="5" t="s">
        <v>1480</v>
      </c>
      <c r="D8133" s="5" t="s">
        <v>14</v>
      </c>
      <c r="E8133" s="5" t="s">
        <v>90</v>
      </c>
      <c r="F8133" s="5" t="s">
        <v>678</v>
      </c>
      <c r="G8133" s="5" t="s">
        <v>1481</v>
      </c>
      <c r="H8133" s="5" t="s">
        <v>1482</v>
      </c>
      <c r="I8133" s="5" t="s">
        <v>31</v>
      </c>
      <c r="J8133" s="5">
        <v>17.355532882751</v>
      </c>
      <c r="K8133" s="5">
        <v>-96.304084142327994</v>
      </c>
      <c r="L8133" s="5" t="str">
        <f>HYPERLINK("https://maps.google.com/?q=17.3555328827508,-96.304084142327895", "🔗 Ver Mapa")</f>
        <v>🔗 Ver Mapa</v>
      </c>
    </row>
    <row r="8134" spans="1:12" ht="43.5" x14ac:dyDescent="0.35">
      <c r="A8134" s="6" t="s">
        <v>98</v>
      </c>
      <c r="B8134" s="6" t="s">
        <v>99</v>
      </c>
      <c r="C8134" s="6" t="s">
        <v>1480</v>
      </c>
      <c r="D8134" s="6" t="s">
        <v>14</v>
      </c>
      <c r="E8134" s="6" t="s">
        <v>90</v>
      </c>
      <c r="F8134" s="6" t="s">
        <v>678</v>
      </c>
      <c r="G8134" s="6" t="s">
        <v>1481</v>
      </c>
      <c r="H8134" s="6" t="s">
        <v>1482</v>
      </c>
      <c r="I8134" s="6" t="s">
        <v>31</v>
      </c>
      <c r="J8134" s="6">
        <v>17.355578889619</v>
      </c>
      <c r="K8134" s="6">
        <v>-96.302744920307006</v>
      </c>
      <c r="L8134" s="6" t="str">
        <f>HYPERLINK("https://maps.google.com/?q=17.3555788896186,-96.302744920307006", "🔗 Ver Mapa")</f>
        <v>🔗 Ver Mapa</v>
      </c>
    </row>
    <row r="8135" spans="1:12" ht="43.5" x14ac:dyDescent="0.35">
      <c r="A8135" s="5" t="s">
        <v>98</v>
      </c>
      <c r="B8135" s="5" t="s">
        <v>99</v>
      </c>
      <c r="C8135" s="5" t="s">
        <v>1480</v>
      </c>
      <c r="D8135" s="5" t="s">
        <v>14</v>
      </c>
      <c r="E8135" s="5" t="s">
        <v>90</v>
      </c>
      <c r="F8135" s="5" t="s">
        <v>678</v>
      </c>
      <c r="G8135" s="5" t="s">
        <v>1481</v>
      </c>
      <c r="H8135" s="5" t="s">
        <v>1482</v>
      </c>
      <c r="I8135" s="5" t="s">
        <v>31</v>
      </c>
      <c r="J8135" s="5">
        <v>17.355580242704001</v>
      </c>
      <c r="K8135" s="5">
        <v>-96.30261161</v>
      </c>
      <c r="L8135" s="5" t="str">
        <f>HYPERLINK("https://maps.google.com/?q=17.3555802427041,-96.30261161", "🔗 Ver Mapa")</f>
        <v>🔗 Ver Mapa</v>
      </c>
    </row>
    <row r="8136" spans="1:12" ht="43.5" x14ac:dyDescent="0.35">
      <c r="A8136" s="6" t="s">
        <v>98</v>
      </c>
      <c r="B8136" s="6" t="s">
        <v>99</v>
      </c>
      <c r="C8136" s="6" t="s">
        <v>1480</v>
      </c>
      <c r="D8136" s="6" t="s">
        <v>14</v>
      </c>
      <c r="E8136" s="6" t="s">
        <v>90</v>
      </c>
      <c r="F8136" s="6" t="s">
        <v>678</v>
      </c>
      <c r="G8136" s="6" t="s">
        <v>1481</v>
      </c>
      <c r="H8136" s="6" t="s">
        <v>1482</v>
      </c>
      <c r="I8136" s="6" t="s">
        <v>31</v>
      </c>
      <c r="J8136" s="6">
        <v>17.355596892009</v>
      </c>
      <c r="K8136" s="6">
        <v>-96.305696155343995</v>
      </c>
      <c r="L8136" s="6" t="str">
        <f>HYPERLINK("https://maps.google.com/?q=17.3555968920089,-96.305696155344194", "🔗 Ver Mapa")</f>
        <v>🔗 Ver Mapa</v>
      </c>
    </row>
    <row r="8137" spans="1:12" ht="43.5" x14ac:dyDescent="0.35">
      <c r="A8137" s="5" t="s">
        <v>98</v>
      </c>
      <c r="B8137" s="5" t="s">
        <v>99</v>
      </c>
      <c r="C8137" s="5" t="s">
        <v>1480</v>
      </c>
      <c r="D8137" s="5" t="s">
        <v>14</v>
      </c>
      <c r="E8137" s="5" t="s">
        <v>90</v>
      </c>
      <c r="F8137" s="5" t="s">
        <v>678</v>
      </c>
      <c r="G8137" s="5" t="s">
        <v>1481</v>
      </c>
      <c r="H8137" s="5" t="s">
        <v>1482</v>
      </c>
      <c r="I8137" s="5" t="s">
        <v>31</v>
      </c>
      <c r="J8137" s="5">
        <v>17.355651932796</v>
      </c>
      <c r="K8137" s="5">
        <v>-96.303695226746001</v>
      </c>
      <c r="L8137" s="5" t="str">
        <f>HYPERLINK("https://maps.google.com/?q=17.3556519327964,-96.303695226745901", "🔗 Ver Mapa")</f>
        <v>🔗 Ver Mapa</v>
      </c>
    </row>
    <row r="8138" spans="1:12" ht="43.5" x14ac:dyDescent="0.35">
      <c r="A8138" s="6" t="s">
        <v>98</v>
      </c>
      <c r="B8138" s="6" t="s">
        <v>99</v>
      </c>
      <c r="C8138" s="6" t="s">
        <v>1480</v>
      </c>
      <c r="D8138" s="6" t="s">
        <v>14</v>
      </c>
      <c r="E8138" s="6" t="s">
        <v>90</v>
      </c>
      <c r="F8138" s="6" t="s">
        <v>678</v>
      </c>
      <c r="G8138" s="6" t="s">
        <v>1481</v>
      </c>
      <c r="H8138" s="6" t="s">
        <v>1482</v>
      </c>
      <c r="I8138" s="6" t="s">
        <v>31</v>
      </c>
      <c r="J8138" s="6">
        <v>17.355778653202002</v>
      </c>
      <c r="K8138" s="6">
        <v>-96.302881173431999</v>
      </c>
      <c r="L8138" s="6" t="str">
        <f>HYPERLINK("https://maps.google.com/?q=17.355778653202,-96.302881173432397", "🔗 Ver Mapa")</f>
        <v>🔗 Ver Mapa</v>
      </c>
    </row>
    <row r="8139" spans="1:12" ht="43.5" x14ac:dyDescent="0.35">
      <c r="A8139" s="5" t="s">
        <v>98</v>
      </c>
      <c r="B8139" s="5" t="s">
        <v>99</v>
      </c>
      <c r="C8139" s="5" t="s">
        <v>1480</v>
      </c>
      <c r="D8139" s="5" t="s">
        <v>14</v>
      </c>
      <c r="E8139" s="5" t="s">
        <v>90</v>
      </c>
      <c r="F8139" s="5" t="s">
        <v>678</v>
      </c>
      <c r="G8139" s="5" t="s">
        <v>1481</v>
      </c>
      <c r="H8139" s="5" t="s">
        <v>1482</v>
      </c>
      <c r="I8139" s="5" t="s">
        <v>31</v>
      </c>
      <c r="J8139" s="5">
        <v>17.355797852795</v>
      </c>
      <c r="K8139" s="5">
        <v>-96.302571382208995</v>
      </c>
      <c r="L8139" s="5" t="str">
        <f>HYPERLINK("https://maps.google.com/?q=17.3557978527949,-96.302571382208995", "🔗 Ver Mapa")</f>
        <v>🔗 Ver Mapa</v>
      </c>
    </row>
    <row r="8140" spans="1:12" ht="43.5" x14ac:dyDescent="0.35">
      <c r="A8140" s="6" t="s">
        <v>98</v>
      </c>
      <c r="B8140" s="6" t="s">
        <v>99</v>
      </c>
      <c r="C8140" s="6" t="s">
        <v>1480</v>
      </c>
      <c r="D8140" s="6" t="s">
        <v>14</v>
      </c>
      <c r="E8140" s="6" t="s">
        <v>90</v>
      </c>
      <c r="F8140" s="6" t="s">
        <v>678</v>
      </c>
      <c r="G8140" s="6" t="s">
        <v>1481</v>
      </c>
      <c r="H8140" s="6" t="s">
        <v>1482</v>
      </c>
      <c r="I8140" s="6" t="s">
        <v>31</v>
      </c>
      <c r="J8140" s="6">
        <v>17.355801692570001</v>
      </c>
      <c r="K8140" s="6">
        <v>-96.305397083431998</v>
      </c>
      <c r="L8140" s="6" t="str">
        <f>HYPERLINK("https://maps.google.com/?q=17.35580169257,-96.305397083432396", "🔗 Ver Mapa")</f>
        <v>🔗 Ver Mapa</v>
      </c>
    </row>
    <row r="8141" spans="1:12" ht="43.5" x14ac:dyDescent="0.35">
      <c r="A8141" s="5" t="s">
        <v>98</v>
      </c>
      <c r="B8141" s="5" t="s">
        <v>99</v>
      </c>
      <c r="C8141" s="5" t="s">
        <v>1480</v>
      </c>
      <c r="D8141" s="5" t="s">
        <v>14</v>
      </c>
      <c r="E8141" s="5" t="s">
        <v>90</v>
      </c>
      <c r="F8141" s="5" t="s">
        <v>678</v>
      </c>
      <c r="G8141" s="5" t="s">
        <v>1481</v>
      </c>
      <c r="H8141" s="5" t="s">
        <v>1482</v>
      </c>
      <c r="I8141" s="5" t="s">
        <v>31</v>
      </c>
      <c r="J8141" s="5">
        <v>17.355818331937002</v>
      </c>
      <c r="K8141" s="5">
        <v>-96.302454700124002</v>
      </c>
      <c r="L8141" s="5" t="str">
        <f>HYPERLINK("https://maps.google.com/?q=17.3558183319368,-96.302454700123704", "🔗 Ver Mapa")</f>
        <v>🔗 Ver Mapa</v>
      </c>
    </row>
    <row r="8142" spans="1:12" ht="43.5" x14ac:dyDescent="0.35">
      <c r="A8142" s="6" t="s">
        <v>98</v>
      </c>
      <c r="B8142" s="6" t="s">
        <v>99</v>
      </c>
      <c r="C8142" s="6" t="s">
        <v>1480</v>
      </c>
      <c r="D8142" s="6" t="s">
        <v>14</v>
      </c>
      <c r="E8142" s="6" t="s">
        <v>90</v>
      </c>
      <c r="F8142" s="6" t="s">
        <v>678</v>
      </c>
      <c r="G8142" s="6" t="s">
        <v>1481</v>
      </c>
      <c r="H8142" s="6" t="s">
        <v>1482</v>
      </c>
      <c r="I8142" s="6" t="s">
        <v>31</v>
      </c>
      <c r="J8142" s="6">
        <v>17.355942501783002</v>
      </c>
      <c r="K8142" s="6">
        <v>-96.302492249013994</v>
      </c>
      <c r="L8142" s="6" t="str">
        <f>HYPERLINK("https://maps.google.com/?q=17.3559425017833,-96.302492249014406", "🔗 Ver Mapa")</f>
        <v>🔗 Ver Mapa</v>
      </c>
    </row>
    <row r="8143" spans="1:12" ht="43.5" x14ac:dyDescent="0.35">
      <c r="A8143" s="5" t="s">
        <v>98</v>
      </c>
      <c r="B8143" s="5" t="s">
        <v>99</v>
      </c>
      <c r="C8143" s="5" t="s">
        <v>1480</v>
      </c>
      <c r="D8143" s="5" t="s">
        <v>14</v>
      </c>
      <c r="E8143" s="5" t="s">
        <v>90</v>
      </c>
      <c r="F8143" s="5" t="s">
        <v>678</v>
      </c>
      <c r="G8143" s="5" t="s">
        <v>1481</v>
      </c>
      <c r="H8143" s="5" t="s">
        <v>1482</v>
      </c>
      <c r="I8143" s="5" t="s">
        <v>31</v>
      </c>
      <c r="J8143" s="5">
        <v>17.355948000000001</v>
      </c>
      <c r="K8143" s="5">
        <v>-96.302007000000003</v>
      </c>
      <c r="L8143" s="5" t="str">
        <f>HYPERLINK("https://maps.google.com/?q=17.355948,-96.302007000000003", "🔗 Ver Mapa")</f>
        <v>🔗 Ver Mapa</v>
      </c>
    </row>
    <row r="8144" spans="1:12" ht="43.5" x14ac:dyDescent="0.35">
      <c r="A8144" s="6" t="s">
        <v>98</v>
      </c>
      <c r="B8144" s="6" t="s">
        <v>99</v>
      </c>
      <c r="C8144" s="6" t="s">
        <v>1480</v>
      </c>
      <c r="D8144" s="6" t="s">
        <v>14</v>
      </c>
      <c r="E8144" s="6" t="s">
        <v>90</v>
      </c>
      <c r="F8144" s="6" t="s">
        <v>678</v>
      </c>
      <c r="G8144" s="6" t="s">
        <v>1481</v>
      </c>
      <c r="H8144" s="6" t="s">
        <v>1482</v>
      </c>
      <c r="I8144" s="6" t="s">
        <v>31</v>
      </c>
      <c r="J8144" s="6">
        <v>17.355995</v>
      </c>
      <c r="K8144" s="6">
        <v>-96.301002999999994</v>
      </c>
      <c r="L8144" s="6" t="str">
        <f>HYPERLINK("https://maps.google.com/?q=17.355995,-96.301002999999994", "🔗 Ver Mapa")</f>
        <v>🔗 Ver Mapa</v>
      </c>
    </row>
    <row r="8145" spans="1:12" ht="43.5" x14ac:dyDescent="0.35">
      <c r="A8145" s="5" t="s">
        <v>98</v>
      </c>
      <c r="B8145" s="5" t="s">
        <v>99</v>
      </c>
      <c r="C8145" s="5" t="s">
        <v>1480</v>
      </c>
      <c r="D8145" s="5" t="s">
        <v>14</v>
      </c>
      <c r="E8145" s="5" t="s">
        <v>90</v>
      </c>
      <c r="F8145" s="5" t="s">
        <v>678</v>
      </c>
      <c r="G8145" s="5" t="s">
        <v>1481</v>
      </c>
      <c r="H8145" s="5" t="s">
        <v>1482</v>
      </c>
      <c r="I8145" s="5" t="s">
        <v>31</v>
      </c>
      <c r="J8145" s="5">
        <v>17.356018021751002</v>
      </c>
      <c r="K8145" s="5">
        <v>-96.30353429582</v>
      </c>
      <c r="L8145" s="5" t="str">
        <f>HYPERLINK("https://maps.google.com/?q=17.3560180217513,-96.303534295819702", "🔗 Ver Mapa")</f>
        <v>🔗 Ver Mapa</v>
      </c>
    </row>
    <row r="8146" spans="1:12" ht="43.5" x14ac:dyDescent="0.35">
      <c r="A8146" s="6" t="s">
        <v>98</v>
      </c>
      <c r="B8146" s="6" t="s">
        <v>99</v>
      </c>
      <c r="C8146" s="6" t="s">
        <v>1480</v>
      </c>
      <c r="D8146" s="6" t="s">
        <v>14</v>
      </c>
      <c r="E8146" s="6" t="s">
        <v>90</v>
      </c>
      <c r="F8146" s="6" t="s">
        <v>678</v>
      </c>
      <c r="G8146" s="6" t="s">
        <v>1481</v>
      </c>
      <c r="H8146" s="6" t="s">
        <v>1482</v>
      </c>
      <c r="I8146" s="6" t="s">
        <v>31</v>
      </c>
      <c r="J8146" s="6">
        <v>17.356067942231999</v>
      </c>
      <c r="K8146" s="6">
        <v>-96.302705485700997</v>
      </c>
      <c r="L8146" s="6" t="str">
        <f>HYPERLINK("https://maps.google.com/?q=17.356067942232,-96.302705485700798", "🔗 Ver Mapa")</f>
        <v>🔗 Ver Mapa</v>
      </c>
    </row>
    <row r="8147" spans="1:12" ht="43.5" x14ac:dyDescent="0.35">
      <c r="A8147" s="5" t="s">
        <v>98</v>
      </c>
      <c r="B8147" s="5" t="s">
        <v>99</v>
      </c>
      <c r="C8147" s="5" t="s">
        <v>1480</v>
      </c>
      <c r="D8147" s="5" t="s">
        <v>14</v>
      </c>
      <c r="E8147" s="5" t="s">
        <v>90</v>
      </c>
      <c r="F8147" s="5" t="s">
        <v>678</v>
      </c>
      <c r="G8147" s="5" t="s">
        <v>1481</v>
      </c>
      <c r="H8147" s="5" t="s">
        <v>1482</v>
      </c>
      <c r="I8147" s="5" t="s">
        <v>31</v>
      </c>
      <c r="J8147" s="5">
        <v>17.356121000000002</v>
      </c>
      <c r="K8147" s="5">
        <v>-96.303100000000001</v>
      </c>
      <c r="L8147" s="5" t="str">
        <f>HYPERLINK("https://maps.google.com/?q=17.356121,-96.303100", "🔗 Ver Mapa")</f>
        <v>🔗 Ver Mapa</v>
      </c>
    </row>
    <row r="8148" spans="1:12" ht="43.5" x14ac:dyDescent="0.35">
      <c r="A8148" s="6" t="s">
        <v>98</v>
      </c>
      <c r="B8148" s="6" t="s">
        <v>99</v>
      </c>
      <c r="C8148" s="6" t="s">
        <v>1480</v>
      </c>
      <c r="D8148" s="6" t="s">
        <v>14</v>
      </c>
      <c r="E8148" s="6" t="s">
        <v>90</v>
      </c>
      <c r="F8148" s="6" t="s">
        <v>678</v>
      </c>
      <c r="G8148" s="6" t="s">
        <v>1481</v>
      </c>
      <c r="H8148" s="6" t="s">
        <v>1482</v>
      </c>
      <c r="I8148" s="6" t="s">
        <v>31</v>
      </c>
      <c r="J8148" s="6">
        <v>17.356195944787</v>
      </c>
      <c r="K8148" s="6">
        <v>-96.302987125938998</v>
      </c>
      <c r="L8148" s="6" t="str">
        <f>HYPERLINK("https://maps.google.com/?q=17.3561959447866,-96.3029871259386", "🔗 Ver Mapa")</f>
        <v>🔗 Ver Mapa</v>
      </c>
    </row>
    <row r="8149" spans="1:12" ht="43.5" x14ac:dyDescent="0.35">
      <c r="A8149" s="5" t="s">
        <v>98</v>
      </c>
      <c r="B8149" s="5" t="s">
        <v>99</v>
      </c>
      <c r="C8149" s="5" t="s">
        <v>1480</v>
      </c>
      <c r="D8149" s="5" t="s">
        <v>14</v>
      </c>
      <c r="E8149" s="5" t="s">
        <v>90</v>
      </c>
      <c r="F8149" s="5" t="s">
        <v>678</v>
      </c>
      <c r="G8149" s="5" t="s">
        <v>1481</v>
      </c>
      <c r="H8149" s="5" t="s">
        <v>1482</v>
      </c>
      <c r="I8149" s="5" t="s">
        <v>31</v>
      </c>
      <c r="J8149" s="5">
        <v>17.356338036792</v>
      </c>
      <c r="K8149" s="5">
        <v>-96.303130615973004</v>
      </c>
      <c r="L8149" s="5" t="str">
        <f>HYPERLINK("https://maps.google.com/?q=17.3563380367916,-96.303130615973203", "🔗 Ver Mapa")</f>
        <v>🔗 Ver Mapa</v>
      </c>
    </row>
    <row r="8150" spans="1:12" ht="43.5" x14ac:dyDescent="0.35">
      <c r="A8150" s="6" t="s">
        <v>98</v>
      </c>
      <c r="B8150" s="6" t="s">
        <v>99</v>
      </c>
      <c r="C8150" s="6" t="s">
        <v>1480</v>
      </c>
      <c r="D8150" s="6" t="s">
        <v>14</v>
      </c>
      <c r="E8150" s="6" t="s">
        <v>90</v>
      </c>
      <c r="F8150" s="6" t="s">
        <v>678</v>
      </c>
      <c r="G8150" s="6" t="s">
        <v>1481</v>
      </c>
      <c r="H8150" s="6" t="s">
        <v>1482</v>
      </c>
      <c r="I8150" s="6" t="s">
        <v>31</v>
      </c>
      <c r="J8150" s="6">
        <v>17.356372592256001</v>
      </c>
      <c r="K8150" s="6">
        <v>-96.301902167731001</v>
      </c>
      <c r="L8150" s="6" t="str">
        <f>HYPERLINK("https://maps.google.com/?q=17.3563725922565,-96.301902167731498", "🔗 Ver Mapa")</f>
        <v>🔗 Ver Mapa</v>
      </c>
    </row>
    <row r="8151" spans="1:12" ht="43.5" x14ac:dyDescent="0.35">
      <c r="A8151" s="5" t="s">
        <v>98</v>
      </c>
      <c r="B8151" s="5" t="s">
        <v>99</v>
      </c>
      <c r="C8151" s="5" t="s">
        <v>1480</v>
      </c>
      <c r="D8151" s="5" t="s">
        <v>14</v>
      </c>
      <c r="E8151" s="5" t="s">
        <v>90</v>
      </c>
      <c r="F8151" s="5" t="s">
        <v>678</v>
      </c>
      <c r="G8151" s="5" t="s">
        <v>1481</v>
      </c>
      <c r="H8151" s="5" t="s">
        <v>1482</v>
      </c>
      <c r="I8151" s="5" t="s">
        <v>31</v>
      </c>
      <c r="J8151" s="5">
        <v>17.356466032627001</v>
      </c>
      <c r="K8151" s="5">
        <v>-96.302215991105001</v>
      </c>
      <c r="L8151" s="5" t="str">
        <f>HYPERLINK("https://maps.google.com/?q=17.3564660326266,-96.302215991104504", "🔗 Ver Mapa")</f>
        <v>🔗 Ver Mapa</v>
      </c>
    </row>
    <row r="8152" spans="1:12" ht="43.5" x14ac:dyDescent="0.35">
      <c r="A8152" s="6" t="s">
        <v>98</v>
      </c>
      <c r="B8152" s="6" t="s">
        <v>99</v>
      </c>
      <c r="C8152" s="6" t="s">
        <v>1480</v>
      </c>
      <c r="D8152" s="6" t="s">
        <v>14</v>
      </c>
      <c r="E8152" s="6" t="s">
        <v>90</v>
      </c>
      <c r="F8152" s="6" t="s">
        <v>678</v>
      </c>
      <c r="G8152" s="6" t="s">
        <v>1481</v>
      </c>
      <c r="H8152" s="6" t="s">
        <v>1482</v>
      </c>
      <c r="I8152" s="6" t="s">
        <v>31</v>
      </c>
      <c r="J8152" s="6">
        <v>17.356494201905999</v>
      </c>
      <c r="K8152" s="6">
        <v>-96.302785959999994</v>
      </c>
      <c r="L8152" s="6" t="str">
        <f>HYPERLINK("https://maps.google.com/?q=17.3564942019061,-96.302785959999994", "🔗 Ver Mapa")</f>
        <v>🔗 Ver Mapa</v>
      </c>
    </row>
    <row r="8153" spans="1:12" ht="43.5" x14ac:dyDescent="0.35">
      <c r="A8153" s="5" t="s">
        <v>98</v>
      </c>
      <c r="B8153" s="5" t="s">
        <v>99</v>
      </c>
      <c r="C8153" s="5" t="s">
        <v>1480</v>
      </c>
      <c r="D8153" s="5" t="s">
        <v>14</v>
      </c>
      <c r="E8153" s="5" t="s">
        <v>90</v>
      </c>
      <c r="F8153" s="5" t="s">
        <v>678</v>
      </c>
      <c r="G8153" s="5" t="s">
        <v>1481</v>
      </c>
      <c r="H8153" s="5" t="s">
        <v>1482</v>
      </c>
      <c r="I8153" s="5" t="s">
        <v>31</v>
      </c>
      <c r="J8153" s="5">
        <v>17.356513402667002</v>
      </c>
      <c r="K8153" s="5">
        <v>-96.301916923373</v>
      </c>
      <c r="L8153" s="5" t="str">
        <f>HYPERLINK("https://maps.google.com/?q=17.3565134026675,-96.301916923373", "🔗 Ver Mapa")</f>
        <v>🔗 Ver Mapa</v>
      </c>
    </row>
    <row r="8154" spans="1:12" ht="43.5" x14ac:dyDescent="0.35">
      <c r="A8154" s="6" t="s">
        <v>98</v>
      </c>
      <c r="B8154" s="6" t="s">
        <v>99</v>
      </c>
      <c r="C8154" s="6" t="s">
        <v>1480</v>
      </c>
      <c r="D8154" s="6" t="s">
        <v>14</v>
      </c>
      <c r="E8154" s="6" t="s">
        <v>90</v>
      </c>
      <c r="F8154" s="6" t="s">
        <v>678</v>
      </c>
      <c r="G8154" s="6" t="s">
        <v>1481</v>
      </c>
      <c r="H8154" s="6" t="s">
        <v>1482</v>
      </c>
      <c r="I8154" s="6" t="s">
        <v>31</v>
      </c>
      <c r="J8154" s="6">
        <v>17.356531322668001</v>
      </c>
      <c r="K8154" s="6">
        <v>-96.303802517790999</v>
      </c>
      <c r="L8154" s="6" t="str">
        <f>HYPERLINK("https://maps.google.com/?q=17.3565313226677,-96.303802517790999", "🔗 Ver Mapa")</f>
        <v>🔗 Ver Mapa</v>
      </c>
    </row>
    <row r="8155" spans="1:12" ht="43.5" x14ac:dyDescent="0.35">
      <c r="A8155" s="5" t="s">
        <v>98</v>
      </c>
      <c r="B8155" s="5" t="s">
        <v>99</v>
      </c>
      <c r="C8155" s="5" t="s">
        <v>1480</v>
      </c>
      <c r="D8155" s="5" t="s">
        <v>14</v>
      </c>
      <c r="E8155" s="5" t="s">
        <v>90</v>
      </c>
      <c r="F8155" s="5" t="s">
        <v>678</v>
      </c>
      <c r="G8155" s="5" t="s">
        <v>1481</v>
      </c>
      <c r="H8155" s="5" t="s">
        <v>1482</v>
      </c>
      <c r="I8155" s="5" t="s">
        <v>31</v>
      </c>
      <c r="J8155" s="5">
        <v>17.356584999999999</v>
      </c>
      <c r="K8155" s="5">
        <v>-96.302531999999999</v>
      </c>
      <c r="L8155" s="5" t="str">
        <f>HYPERLINK("https://maps.google.com/?q=17.356585,-96.302531999999999", "🔗 Ver Mapa")</f>
        <v>🔗 Ver Mapa</v>
      </c>
    </row>
    <row r="8156" spans="1:12" ht="43.5" x14ac:dyDescent="0.35">
      <c r="A8156" s="6" t="s">
        <v>98</v>
      </c>
      <c r="B8156" s="6" t="s">
        <v>99</v>
      </c>
      <c r="C8156" s="6" t="s">
        <v>1480</v>
      </c>
      <c r="D8156" s="6" t="s">
        <v>14</v>
      </c>
      <c r="E8156" s="6" t="s">
        <v>90</v>
      </c>
      <c r="F8156" s="6" t="s">
        <v>678</v>
      </c>
      <c r="G8156" s="6" t="s">
        <v>1481</v>
      </c>
      <c r="H8156" s="6" t="s">
        <v>1482</v>
      </c>
      <c r="I8156" s="6" t="s">
        <v>31</v>
      </c>
      <c r="J8156" s="6">
        <v>17.356619642237</v>
      </c>
      <c r="K8156" s="6">
        <v>-96.302069809881004</v>
      </c>
      <c r="L8156" s="6" t="str">
        <f>HYPERLINK("https://maps.google.com/?q=17.3566196422372,-96.302069809881104", "🔗 Ver Mapa")</f>
        <v>🔗 Ver Mapa</v>
      </c>
    </row>
    <row r="8157" spans="1:12" ht="43.5" x14ac:dyDescent="0.35">
      <c r="A8157" s="5" t="s">
        <v>98</v>
      </c>
      <c r="B8157" s="5" t="s">
        <v>99</v>
      </c>
      <c r="C8157" s="5" t="s">
        <v>1480</v>
      </c>
      <c r="D8157" s="5" t="s">
        <v>14</v>
      </c>
      <c r="E8157" s="5" t="s">
        <v>90</v>
      </c>
      <c r="F8157" s="5" t="s">
        <v>678</v>
      </c>
      <c r="G8157" s="5" t="s">
        <v>1481</v>
      </c>
      <c r="H8157" s="5" t="s">
        <v>1482</v>
      </c>
      <c r="I8157" s="5" t="s">
        <v>31</v>
      </c>
      <c r="J8157" s="5">
        <v>17.356659322824999</v>
      </c>
      <c r="K8157" s="5">
        <v>-96.301772083372995</v>
      </c>
      <c r="L8157" s="5" t="str">
        <f>HYPERLINK("https://maps.google.com/?q=17.3566593228251,-96.301772083372995", "🔗 Ver Mapa")</f>
        <v>🔗 Ver Mapa</v>
      </c>
    </row>
    <row r="8158" spans="1:12" ht="43.5" x14ac:dyDescent="0.35">
      <c r="A8158" s="6" t="s">
        <v>98</v>
      </c>
      <c r="B8158" s="6" t="s">
        <v>99</v>
      </c>
      <c r="C8158" s="6" t="s">
        <v>1480</v>
      </c>
      <c r="D8158" s="6" t="s">
        <v>14</v>
      </c>
      <c r="E8158" s="6" t="s">
        <v>90</v>
      </c>
      <c r="F8158" s="6" t="s">
        <v>678</v>
      </c>
      <c r="G8158" s="6" t="s">
        <v>1481</v>
      </c>
      <c r="H8158" s="6" t="s">
        <v>1482</v>
      </c>
      <c r="I8158" s="6" t="s">
        <v>31</v>
      </c>
      <c r="J8158" s="6">
        <v>17.356915000000001</v>
      </c>
      <c r="K8158" s="6">
        <v>-96.302797999999996</v>
      </c>
      <c r="L8158" s="6" t="str">
        <f>HYPERLINK("https://maps.google.com/?q=17.356915,-96.302797999999996", "🔗 Ver Mapa")</f>
        <v>🔗 Ver Mapa</v>
      </c>
    </row>
    <row r="8159" spans="1:12" ht="43.5" x14ac:dyDescent="0.35">
      <c r="A8159" s="5" t="s">
        <v>98</v>
      </c>
      <c r="B8159" s="5" t="s">
        <v>99</v>
      </c>
      <c r="C8159" s="5" t="s">
        <v>1480</v>
      </c>
      <c r="D8159" s="5" t="s">
        <v>14</v>
      </c>
      <c r="E8159" s="5" t="s">
        <v>90</v>
      </c>
      <c r="F8159" s="5" t="s">
        <v>678</v>
      </c>
      <c r="G8159" s="5" t="s">
        <v>1481</v>
      </c>
      <c r="H8159" s="5" t="s">
        <v>1482</v>
      </c>
      <c r="I8159" s="5" t="s">
        <v>31</v>
      </c>
      <c r="J8159" s="5">
        <v>17.356943173228</v>
      </c>
      <c r="K8159" s="5">
        <v>-96.301191855523001</v>
      </c>
      <c r="L8159" s="5" t="str">
        <f>HYPERLINK("https://maps.google.com/?q=17.3569431732282,-96.301191855522504", "🔗 Ver Mapa")</f>
        <v>🔗 Ver Mapa</v>
      </c>
    </row>
    <row r="8160" spans="1:12" ht="43.5" x14ac:dyDescent="0.35">
      <c r="A8160" s="6" t="s">
        <v>98</v>
      </c>
      <c r="B8160" s="6" t="s">
        <v>99</v>
      </c>
      <c r="C8160" s="6" t="s">
        <v>1480</v>
      </c>
      <c r="D8160" s="6" t="s">
        <v>14</v>
      </c>
      <c r="E8160" s="6" t="s">
        <v>90</v>
      </c>
      <c r="F8160" s="6" t="s">
        <v>678</v>
      </c>
      <c r="G8160" s="6" t="s">
        <v>1481</v>
      </c>
      <c r="H8160" s="6" t="s">
        <v>1482</v>
      </c>
      <c r="I8160" s="6" t="s">
        <v>31</v>
      </c>
      <c r="J8160" s="6">
        <v>17.357136089011998</v>
      </c>
      <c r="K8160" s="6">
        <v>-96.302481485526997</v>
      </c>
      <c r="L8160" s="6" t="str">
        <f>HYPERLINK("https://maps.google.com/?q=17.3571360890121,-96.302481485527295", "🔗 Ver Mapa")</f>
        <v>🔗 Ver Mapa</v>
      </c>
    </row>
    <row r="8161" spans="1:12" ht="43.5" x14ac:dyDescent="0.35">
      <c r="A8161" s="5" t="s">
        <v>98</v>
      </c>
      <c r="B8161" s="5" t="s">
        <v>99</v>
      </c>
      <c r="C8161" s="5" t="s">
        <v>1480</v>
      </c>
      <c r="D8161" s="5" t="s">
        <v>14</v>
      </c>
      <c r="E8161" s="5" t="s">
        <v>90</v>
      </c>
      <c r="F8161" s="5" t="s">
        <v>678</v>
      </c>
      <c r="G8161" s="5" t="s">
        <v>1481</v>
      </c>
      <c r="H8161" s="5" t="s">
        <v>1482</v>
      </c>
      <c r="I8161" s="5" t="s">
        <v>31</v>
      </c>
      <c r="J8161" s="5">
        <v>17.3571802439</v>
      </c>
      <c r="K8161" s="5">
        <v>-96.301002249014005</v>
      </c>
      <c r="L8161" s="5" t="str">
        <f>HYPERLINK("https://maps.google.com/?q=17.3571802438996,-96.301002249014402", "🔗 Ver Mapa")</f>
        <v>🔗 Ver Mapa</v>
      </c>
    </row>
    <row r="8162" spans="1:12" ht="43.5" x14ac:dyDescent="0.35">
      <c r="A8162" s="6" t="s">
        <v>98</v>
      </c>
      <c r="B8162" s="6" t="s">
        <v>99</v>
      </c>
      <c r="C8162" s="6" t="s">
        <v>1480</v>
      </c>
      <c r="D8162" s="6" t="s">
        <v>14</v>
      </c>
      <c r="E8162" s="6" t="s">
        <v>90</v>
      </c>
      <c r="F8162" s="6" t="s">
        <v>678</v>
      </c>
      <c r="G8162" s="6" t="s">
        <v>1481</v>
      </c>
      <c r="H8162" s="6" t="s">
        <v>1482</v>
      </c>
      <c r="I8162" s="6" t="s">
        <v>31</v>
      </c>
      <c r="J8162" s="6">
        <v>17.357435981607999</v>
      </c>
      <c r="K8162" s="6">
        <v>-96.301097980866999</v>
      </c>
      <c r="L8162" s="6" t="str">
        <f>HYPERLINK("https://maps.google.com/?q=17.3574359816079,-96.3010979808668", "🔗 Ver Mapa")</f>
        <v>🔗 Ver Mapa</v>
      </c>
    </row>
    <row r="8163" spans="1:12" ht="43.5" x14ac:dyDescent="0.35">
      <c r="A8163" s="5" t="s">
        <v>98</v>
      </c>
      <c r="B8163" s="5" t="s">
        <v>99</v>
      </c>
      <c r="C8163" s="5" t="s">
        <v>1480</v>
      </c>
      <c r="D8163" s="5" t="s">
        <v>14</v>
      </c>
      <c r="E8163" s="5" t="s">
        <v>90</v>
      </c>
      <c r="F8163" s="5" t="s">
        <v>678</v>
      </c>
      <c r="G8163" s="5" t="s">
        <v>1481</v>
      </c>
      <c r="H8163" s="5" t="s">
        <v>1482</v>
      </c>
      <c r="I8163" s="5" t="s">
        <v>31</v>
      </c>
      <c r="J8163" s="5">
        <v>17.357663462169</v>
      </c>
      <c r="K8163" s="5">
        <v>-96.300976764417996</v>
      </c>
      <c r="L8163" s="5" t="str">
        <f>HYPERLINK("https://maps.google.com/?q=17.3576634621692,-96.300976764417996", "🔗 Ver Mapa")</f>
        <v>🔗 Ver Mapa</v>
      </c>
    </row>
    <row r="8164" spans="1:12" ht="43.5" x14ac:dyDescent="0.35">
      <c r="A8164" s="6" t="s">
        <v>98</v>
      </c>
      <c r="B8164" s="6" t="s">
        <v>99</v>
      </c>
      <c r="C8164" s="6" t="s">
        <v>1480</v>
      </c>
      <c r="D8164" s="6" t="s">
        <v>14</v>
      </c>
      <c r="E8164" s="6" t="s">
        <v>90</v>
      </c>
      <c r="F8164" s="6" t="s">
        <v>678</v>
      </c>
      <c r="G8164" s="6" t="s">
        <v>1481</v>
      </c>
      <c r="H8164" s="6" t="s">
        <v>1482</v>
      </c>
      <c r="I8164" s="6" t="s">
        <v>31</v>
      </c>
      <c r="J8164" s="6">
        <v>17.357813225533</v>
      </c>
      <c r="K8164" s="6">
        <v>-96.302583200518001</v>
      </c>
      <c r="L8164" s="6" t="str">
        <f>HYPERLINK("https://maps.google.com/?q=17.3578132255333,-96.302583200517603", "🔗 Ver Mapa")</f>
        <v>🔗 Ver Mapa</v>
      </c>
    </row>
    <row r="8165" spans="1:12" ht="43.5" x14ac:dyDescent="0.35">
      <c r="A8165" s="5" t="s">
        <v>98</v>
      </c>
      <c r="B8165" s="5" t="s">
        <v>99</v>
      </c>
      <c r="C8165" s="5" t="s">
        <v>1480</v>
      </c>
      <c r="D8165" s="5" t="s">
        <v>14</v>
      </c>
      <c r="E8165" s="5" t="s">
        <v>90</v>
      </c>
      <c r="F8165" s="5" t="s">
        <v>678</v>
      </c>
      <c r="G8165" s="5" t="s">
        <v>1481</v>
      </c>
      <c r="H8165" s="5" t="s">
        <v>1482</v>
      </c>
      <c r="I8165" s="5" t="s">
        <v>31</v>
      </c>
      <c r="J8165" s="5">
        <v>17.357888740204</v>
      </c>
      <c r="K8165" s="5">
        <v>-96.302135482778993</v>
      </c>
      <c r="L8165" s="5" t="str">
        <f>HYPERLINK("https://maps.google.com/?q=17.357888740204,-96.302135482778596", "🔗 Ver Mapa")</f>
        <v>🔗 Ver Mapa</v>
      </c>
    </row>
    <row r="8166" spans="1:12" ht="43.5" x14ac:dyDescent="0.35">
      <c r="A8166" s="6" t="s">
        <v>98</v>
      </c>
      <c r="B8166" s="6" t="s">
        <v>99</v>
      </c>
      <c r="C8166" s="6" t="s">
        <v>1480</v>
      </c>
      <c r="D8166" s="6" t="s">
        <v>14</v>
      </c>
      <c r="E8166" s="6" t="s">
        <v>90</v>
      </c>
      <c r="F8166" s="6" t="s">
        <v>678</v>
      </c>
      <c r="G8166" s="6" t="s">
        <v>1481</v>
      </c>
      <c r="H8166" s="6" t="s">
        <v>1482</v>
      </c>
      <c r="I8166" s="6" t="s">
        <v>31</v>
      </c>
      <c r="J8166" s="6">
        <v>17.358084592655</v>
      </c>
      <c r="K8166" s="6">
        <v>-96.302441254418</v>
      </c>
      <c r="L8166" s="6" t="str">
        <f>HYPERLINK("https://maps.google.com/?q=17.3580845926552,-96.302441254418", "🔗 Ver Mapa")</f>
        <v>🔗 Ver Mapa</v>
      </c>
    </row>
    <row r="8167" spans="1:12" ht="43.5" x14ac:dyDescent="0.35">
      <c r="A8167" s="5" t="s">
        <v>98</v>
      </c>
      <c r="B8167" s="5" t="s">
        <v>99</v>
      </c>
      <c r="C8167" s="5" t="s">
        <v>1483</v>
      </c>
      <c r="D8167" s="5" t="s">
        <v>14</v>
      </c>
      <c r="E8167" s="5" t="s">
        <v>140</v>
      </c>
      <c r="F8167" s="5" t="s">
        <v>141</v>
      </c>
      <c r="G8167" s="5" t="s">
        <v>261</v>
      </c>
      <c r="H8167" s="5" t="s">
        <v>1484</v>
      </c>
      <c r="I8167" s="5" t="s">
        <v>31</v>
      </c>
      <c r="J8167" s="5">
        <v>17.922659647088</v>
      </c>
      <c r="K8167" s="5">
        <v>-96.186350960069007</v>
      </c>
      <c r="L8167" s="5" t="str">
        <f>HYPERLINK("https://maps.google.com/?q=17.922659647088,-96.186350960069205", "🔗 Ver Mapa")</f>
        <v>🔗 Ver Mapa</v>
      </c>
    </row>
    <row r="8168" spans="1:12" ht="43.5" x14ac:dyDescent="0.35">
      <c r="A8168" s="6" t="s">
        <v>98</v>
      </c>
      <c r="B8168" s="6" t="s">
        <v>99</v>
      </c>
      <c r="C8168" s="6" t="s">
        <v>1483</v>
      </c>
      <c r="D8168" s="6" t="s">
        <v>14</v>
      </c>
      <c r="E8168" s="6" t="s">
        <v>140</v>
      </c>
      <c r="F8168" s="6" t="s">
        <v>141</v>
      </c>
      <c r="G8168" s="6" t="s">
        <v>261</v>
      </c>
      <c r="H8168" s="6" t="s">
        <v>1484</v>
      </c>
      <c r="I8168" s="6" t="s">
        <v>31</v>
      </c>
      <c r="J8168" s="6">
        <v>17.924259772823</v>
      </c>
      <c r="K8168" s="6">
        <v>-96.186678191165001</v>
      </c>
      <c r="L8168" s="6" t="str">
        <f>HYPERLINK("https://maps.google.com/?q=17.9242597728227,-96.186678191164702", "🔗 Ver Mapa")</f>
        <v>🔗 Ver Mapa</v>
      </c>
    </row>
    <row r="8169" spans="1:12" ht="43.5" x14ac:dyDescent="0.35">
      <c r="A8169" s="5" t="s">
        <v>98</v>
      </c>
      <c r="B8169" s="5" t="s">
        <v>99</v>
      </c>
      <c r="C8169" s="5" t="s">
        <v>1483</v>
      </c>
      <c r="D8169" s="5" t="s">
        <v>14</v>
      </c>
      <c r="E8169" s="5" t="s">
        <v>140</v>
      </c>
      <c r="F8169" s="5" t="s">
        <v>141</v>
      </c>
      <c r="G8169" s="5" t="s">
        <v>261</v>
      </c>
      <c r="H8169" s="5" t="s">
        <v>1484</v>
      </c>
      <c r="I8169" s="5" t="s">
        <v>31</v>
      </c>
      <c r="J8169" s="5">
        <v>17.924512428119002</v>
      </c>
      <c r="K8169" s="5">
        <v>-96.186502503046</v>
      </c>
      <c r="L8169" s="5" t="str">
        <f>HYPERLINK("https://maps.google.com/?q=17.9245124281187,-96.186502503046", "🔗 Ver Mapa")</f>
        <v>🔗 Ver Mapa</v>
      </c>
    </row>
    <row r="8170" spans="1:12" ht="43.5" x14ac:dyDescent="0.35">
      <c r="A8170" s="6" t="s">
        <v>98</v>
      </c>
      <c r="B8170" s="6" t="s">
        <v>99</v>
      </c>
      <c r="C8170" s="6" t="s">
        <v>1483</v>
      </c>
      <c r="D8170" s="6" t="s">
        <v>14</v>
      </c>
      <c r="E8170" s="6" t="s">
        <v>140</v>
      </c>
      <c r="F8170" s="6" t="s">
        <v>141</v>
      </c>
      <c r="G8170" s="6" t="s">
        <v>261</v>
      </c>
      <c r="H8170" s="6" t="s">
        <v>1484</v>
      </c>
      <c r="I8170" s="6" t="s">
        <v>31</v>
      </c>
      <c r="J8170" s="6">
        <v>17.924779108877999</v>
      </c>
      <c r="K8170" s="6">
        <v>-96.187061742208996</v>
      </c>
      <c r="L8170" s="6" t="str">
        <f>HYPERLINK("https://maps.google.com/?q=17.9247791088779,-96.187061742208996", "🔗 Ver Mapa")</f>
        <v>🔗 Ver Mapa</v>
      </c>
    </row>
    <row r="8171" spans="1:12" ht="43.5" x14ac:dyDescent="0.35">
      <c r="A8171" s="5" t="s">
        <v>98</v>
      </c>
      <c r="B8171" s="5" t="s">
        <v>99</v>
      </c>
      <c r="C8171" s="5" t="s">
        <v>1483</v>
      </c>
      <c r="D8171" s="5" t="s">
        <v>14</v>
      </c>
      <c r="E8171" s="5" t="s">
        <v>140</v>
      </c>
      <c r="F8171" s="5" t="s">
        <v>141</v>
      </c>
      <c r="G8171" s="5" t="s">
        <v>261</v>
      </c>
      <c r="H8171" s="5" t="s">
        <v>1484</v>
      </c>
      <c r="I8171" s="5" t="s">
        <v>31</v>
      </c>
      <c r="J8171" s="5">
        <v>17.925010071740999</v>
      </c>
      <c r="K8171" s="5">
        <v>-96.187519060262005</v>
      </c>
      <c r="L8171" s="5" t="str">
        <f>HYPERLINK("https://maps.google.com/?q=17.9250100717413,-96.187519060262403", "🔗 Ver Mapa")</f>
        <v>🔗 Ver Mapa</v>
      </c>
    </row>
    <row r="8172" spans="1:12" ht="43.5" x14ac:dyDescent="0.35">
      <c r="A8172" s="6" t="s">
        <v>98</v>
      </c>
      <c r="B8172" s="6" t="s">
        <v>99</v>
      </c>
      <c r="C8172" s="6" t="s">
        <v>1483</v>
      </c>
      <c r="D8172" s="6" t="s">
        <v>14</v>
      </c>
      <c r="E8172" s="6" t="s">
        <v>140</v>
      </c>
      <c r="F8172" s="6" t="s">
        <v>141</v>
      </c>
      <c r="G8172" s="6" t="s">
        <v>261</v>
      </c>
      <c r="H8172" s="6" t="s">
        <v>1484</v>
      </c>
      <c r="I8172" s="6" t="s">
        <v>31</v>
      </c>
      <c r="J8172" s="6">
        <v>17.925209128797999</v>
      </c>
      <c r="K8172" s="6">
        <v>-96.187792645581993</v>
      </c>
      <c r="L8172" s="6" t="str">
        <f>HYPERLINK("https://maps.google.com/?q=17.9252091287982,-96.187792645582206", "🔗 Ver Mapa")</f>
        <v>🔗 Ver Mapa</v>
      </c>
    </row>
    <row r="8173" spans="1:12" ht="43.5" x14ac:dyDescent="0.35">
      <c r="A8173" s="5" t="s">
        <v>98</v>
      </c>
      <c r="B8173" s="5" t="s">
        <v>99</v>
      </c>
      <c r="C8173" s="5" t="s">
        <v>1485</v>
      </c>
      <c r="D8173" s="5" t="s">
        <v>14</v>
      </c>
      <c r="E8173" s="5" t="s">
        <v>140</v>
      </c>
      <c r="F8173" s="5" t="s">
        <v>141</v>
      </c>
      <c r="G8173" s="5" t="s">
        <v>261</v>
      </c>
      <c r="H8173" s="5" t="s">
        <v>1486</v>
      </c>
      <c r="I8173" s="5" t="s">
        <v>31</v>
      </c>
      <c r="J8173" s="5">
        <v>17.957806265367001</v>
      </c>
      <c r="K8173" s="5">
        <v>-96.158625929500005</v>
      </c>
      <c r="L8173" s="5" t="str">
        <f>HYPERLINK("https://maps.google.com/?q=17.9578062653666,-96.158625929500303", "🔗 Ver Mapa")</f>
        <v>🔗 Ver Mapa</v>
      </c>
    </row>
    <row r="8174" spans="1:12" ht="43.5" x14ac:dyDescent="0.35">
      <c r="A8174" s="6" t="s">
        <v>98</v>
      </c>
      <c r="B8174" s="6" t="s">
        <v>99</v>
      </c>
      <c r="C8174" s="6" t="s">
        <v>1485</v>
      </c>
      <c r="D8174" s="6" t="s">
        <v>14</v>
      </c>
      <c r="E8174" s="6" t="s">
        <v>140</v>
      </c>
      <c r="F8174" s="6" t="s">
        <v>141</v>
      </c>
      <c r="G8174" s="6" t="s">
        <v>261</v>
      </c>
      <c r="H8174" s="6" t="s">
        <v>1486</v>
      </c>
      <c r="I8174" s="6" t="s">
        <v>31</v>
      </c>
      <c r="J8174" s="6">
        <v>17.958074178214002</v>
      </c>
      <c r="K8174" s="6">
        <v>-96.159336715582</v>
      </c>
      <c r="L8174" s="6" t="str">
        <f>HYPERLINK("https://maps.google.com/?q=17.9580741782142,-96.159336715582398", "🔗 Ver Mapa")</f>
        <v>🔗 Ver Mapa</v>
      </c>
    </row>
    <row r="8175" spans="1:12" ht="43.5" x14ac:dyDescent="0.35">
      <c r="A8175" s="5" t="s">
        <v>98</v>
      </c>
      <c r="B8175" s="5" t="s">
        <v>99</v>
      </c>
      <c r="C8175" s="5" t="s">
        <v>1485</v>
      </c>
      <c r="D8175" s="5" t="s">
        <v>14</v>
      </c>
      <c r="E8175" s="5" t="s">
        <v>140</v>
      </c>
      <c r="F8175" s="5" t="s">
        <v>141</v>
      </c>
      <c r="G8175" s="5" t="s">
        <v>261</v>
      </c>
      <c r="H8175" s="5" t="s">
        <v>1486</v>
      </c>
      <c r="I8175" s="5" t="s">
        <v>31</v>
      </c>
      <c r="J8175" s="5">
        <v>17.958413115468002</v>
      </c>
      <c r="K8175" s="5">
        <v>-96.158839243318994</v>
      </c>
      <c r="L8175" s="5" t="str">
        <f>HYPERLINK("https://maps.google.com/?q=17.9584131154684,-96.158839243318695", "🔗 Ver Mapa")</f>
        <v>🔗 Ver Mapa</v>
      </c>
    </row>
    <row r="8176" spans="1:12" ht="43.5" x14ac:dyDescent="0.35">
      <c r="A8176" s="6" t="s">
        <v>98</v>
      </c>
      <c r="B8176" s="6" t="s">
        <v>99</v>
      </c>
      <c r="C8176" s="6" t="s">
        <v>1485</v>
      </c>
      <c r="D8176" s="6" t="s">
        <v>14</v>
      </c>
      <c r="E8176" s="6" t="s">
        <v>140</v>
      </c>
      <c r="F8176" s="6" t="s">
        <v>141</v>
      </c>
      <c r="G8176" s="6" t="s">
        <v>261</v>
      </c>
      <c r="H8176" s="6" t="s">
        <v>1486</v>
      </c>
      <c r="I8176" s="6" t="s">
        <v>31</v>
      </c>
      <c r="J8176" s="6">
        <v>17.958694199770001</v>
      </c>
      <c r="K8176" s="6">
        <v>-96.158293335582002</v>
      </c>
      <c r="L8176" s="6" t="str">
        <f>HYPERLINK("https://maps.google.com/?q=17.9586941997701,-96.158293335582002", "🔗 Ver Mapa")</f>
        <v>🔗 Ver Mapa</v>
      </c>
    </row>
    <row r="8177" spans="1:12" ht="43.5" x14ac:dyDescent="0.35">
      <c r="A8177" s="5" t="s">
        <v>98</v>
      </c>
      <c r="B8177" s="5" t="s">
        <v>99</v>
      </c>
      <c r="C8177" s="5" t="s">
        <v>1485</v>
      </c>
      <c r="D8177" s="5" t="s">
        <v>14</v>
      </c>
      <c r="E8177" s="5" t="s">
        <v>140</v>
      </c>
      <c r="F8177" s="5" t="s">
        <v>141</v>
      </c>
      <c r="G8177" s="5" t="s">
        <v>261</v>
      </c>
      <c r="H8177" s="5" t="s">
        <v>1486</v>
      </c>
      <c r="I8177" s="5" t="s">
        <v>31</v>
      </c>
      <c r="J8177" s="5">
        <v>17.959197620049999</v>
      </c>
      <c r="K8177" s="5">
        <v>-96.158715160331994</v>
      </c>
      <c r="L8177" s="5" t="str">
        <f>HYPERLINK("https://maps.google.com/?q=17.9591976200495,-96.1587151603318", "🔗 Ver Mapa")</f>
        <v>🔗 Ver Mapa</v>
      </c>
    </row>
    <row r="8178" spans="1:12" ht="43.5" x14ac:dyDescent="0.35">
      <c r="A8178" s="6" t="s">
        <v>98</v>
      </c>
      <c r="B8178" s="6" t="s">
        <v>99</v>
      </c>
      <c r="C8178" s="6" t="s">
        <v>1485</v>
      </c>
      <c r="D8178" s="6" t="s">
        <v>14</v>
      </c>
      <c r="E8178" s="6" t="s">
        <v>140</v>
      </c>
      <c r="F8178" s="6" t="s">
        <v>141</v>
      </c>
      <c r="G8178" s="6" t="s">
        <v>261</v>
      </c>
      <c r="H8178" s="6" t="s">
        <v>1486</v>
      </c>
      <c r="I8178" s="6" t="s">
        <v>31</v>
      </c>
      <c r="J8178" s="6">
        <v>17.959622538110999</v>
      </c>
      <c r="K8178" s="6">
        <v>-96.159222799207996</v>
      </c>
      <c r="L8178" s="6" t="str">
        <f>HYPERLINK("https://maps.google.com/?q=17.959622538111,-96.159222799208294", "🔗 Ver Mapa")</f>
        <v>🔗 Ver Mapa</v>
      </c>
    </row>
    <row r="8179" spans="1:12" ht="43.5" x14ac:dyDescent="0.35">
      <c r="A8179" s="5" t="s">
        <v>98</v>
      </c>
      <c r="B8179" s="5" t="s">
        <v>99</v>
      </c>
      <c r="C8179" s="5" t="s">
        <v>1485</v>
      </c>
      <c r="D8179" s="5" t="s">
        <v>14</v>
      </c>
      <c r="E8179" s="5" t="s">
        <v>140</v>
      </c>
      <c r="F8179" s="5" t="s">
        <v>141</v>
      </c>
      <c r="G8179" s="5" t="s">
        <v>261</v>
      </c>
      <c r="H8179" s="5" t="s">
        <v>1486</v>
      </c>
      <c r="I8179" s="5" t="s">
        <v>31</v>
      </c>
      <c r="J8179" s="5">
        <v>17.961990328946001</v>
      </c>
      <c r="K8179" s="5">
        <v>-96.158748048212004</v>
      </c>
      <c r="L8179" s="5" t="str">
        <f>HYPERLINK("https://maps.google.com/?q=17.9619903289457,-96.158748048212203", "🔗 Ver Mapa")</f>
        <v>🔗 Ver Mapa</v>
      </c>
    </row>
    <row r="8180" spans="1:12" ht="43.5" x14ac:dyDescent="0.35">
      <c r="A8180" s="6" t="s">
        <v>98</v>
      </c>
      <c r="B8180" s="6" t="s">
        <v>99</v>
      </c>
      <c r="C8180" s="6" t="s">
        <v>1487</v>
      </c>
      <c r="D8180" s="6" t="s">
        <v>14</v>
      </c>
      <c r="E8180" s="6" t="s">
        <v>52</v>
      </c>
      <c r="F8180" s="6" t="s">
        <v>53</v>
      </c>
      <c r="G8180" s="6" t="s">
        <v>1126</v>
      </c>
      <c r="H8180" s="6" t="s">
        <v>1127</v>
      </c>
      <c r="I8180" s="6" t="s">
        <v>31</v>
      </c>
      <c r="J8180" s="6">
        <v>0</v>
      </c>
      <c r="K8180" s="6">
        <v>-96.310389999999998</v>
      </c>
      <c r="L8180" s="6" t="str">
        <f>HYPERLINK("https://maps.google.com/?q=0,-96.310389999999998", "🔗 Ver Mapa")</f>
        <v>🔗 Ver Mapa</v>
      </c>
    </row>
    <row r="8181" spans="1:12" ht="43.5" x14ac:dyDescent="0.35">
      <c r="A8181" s="5" t="s">
        <v>98</v>
      </c>
      <c r="B8181" s="5" t="s">
        <v>99</v>
      </c>
      <c r="C8181" s="5" t="s">
        <v>1487</v>
      </c>
      <c r="D8181" s="5" t="s">
        <v>14</v>
      </c>
      <c r="E8181" s="5" t="s">
        <v>52</v>
      </c>
      <c r="F8181" s="5" t="s">
        <v>53</v>
      </c>
      <c r="G8181" s="5" t="s">
        <v>1126</v>
      </c>
      <c r="H8181" s="5" t="s">
        <v>1127</v>
      </c>
      <c r="I8181" s="5" t="s">
        <v>31</v>
      </c>
      <c r="J8181" s="5">
        <v>16.664922000000001</v>
      </c>
      <c r="K8181" s="5">
        <v>-96.306403000000003</v>
      </c>
      <c r="L8181" s="5" t="str">
        <f>HYPERLINK("https://maps.google.com/?q=16.664922,-96.306403000000003", "🔗 Ver Mapa")</f>
        <v>🔗 Ver Mapa</v>
      </c>
    </row>
    <row r="8182" spans="1:12" ht="43.5" x14ac:dyDescent="0.35">
      <c r="A8182" s="6" t="s">
        <v>98</v>
      </c>
      <c r="B8182" s="6" t="s">
        <v>99</v>
      </c>
      <c r="C8182" s="6" t="s">
        <v>1487</v>
      </c>
      <c r="D8182" s="6" t="s">
        <v>14</v>
      </c>
      <c r="E8182" s="6" t="s">
        <v>52</v>
      </c>
      <c r="F8182" s="6" t="s">
        <v>53</v>
      </c>
      <c r="G8182" s="6" t="s">
        <v>1126</v>
      </c>
      <c r="H8182" s="6" t="s">
        <v>1127</v>
      </c>
      <c r="I8182" s="6" t="s">
        <v>31</v>
      </c>
      <c r="J8182" s="6">
        <v>16.665168999999999</v>
      </c>
      <c r="K8182" s="6">
        <v>-96.296412000000004</v>
      </c>
      <c r="L8182" s="6" t="str">
        <f>HYPERLINK("https://maps.google.com/?q=16.665169,-96.296412000000004", "🔗 Ver Mapa")</f>
        <v>🔗 Ver Mapa</v>
      </c>
    </row>
    <row r="8183" spans="1:12" ht="43.5" x14ac:dyDescent="0.35">
      <c r="A8183" s="5" t="s">
        <v>98</v>
      </c>
      <c r="B8183" s="5" t="s">
        <v>99</v>
      </c>
      <c r="C8183" s="5" t="s">
        <v>1487</v>
      </c>
      <c r="D8183" s="5" t="s">
        <v>14</v>
      </c>
      <c r="E8183" s="5" t="s">
        <v>52</v>
      </c>
      <c r="F8183" s="5" t="s">
        <v>53</v>
      </c>
      <c r="G8183" s="5" t="s">
        <v>1126</v>
      </c>
      <c r="H8183" s="5" t="s">
        <v>1127</v>
      </c>
      <c r="I8183" s="5" t="s">
        <v>31</v>
      </c>
      <c r="J8183" s="5">
        <v>16.665210999999999</v>
      </c>
      <c r="K8183" s="5">
        <v>-96.307045000000002</v>
      </c>
      <c r="L8183" s="5" t="str">
        <f>HYPERLINK("https://maps.google.com/?q=16.665211,-96.307045000000002", "🔗 Ver Mapa")</f>
        <v>🔗 Ver Mapa</v>
      </c>
    </row>
    <row r="8184" spans="1:12" ht="43.5" x14ac:dyDescent="0.35">
      <c r="A8184" s="6" t="s">
        <v>98</v>
      </c>
      <c r="B8184" s="6" t="s">
        <v>99</v>
      </c>
      <c r="C8184" s="6" t="s">
        <v>1487</v>
      </c>
      <c r="D8184" s="6" t="s">
        <v>14</v>
      </c>
      <c r="E8184" s="6" t="s">
        <v>52</v>
      </c>
      <c r="F8184" s="6" t="s">
        <v>53</v>
      </c>
      <c r="G8184" s="6" t="s">
        <v>1126</v>
      </c>
      <c r="H8184" s="6" t="s">
        <v>1127</v>
      </c>
      <c r="I8184" s="6" t="s">
        <v>31</v>
      </c>
      <c r="J8184" s="6">
        <v>16.666105000000002</v>
      </c>
      <c r="K8184" s="6">
        <v>-96.307457999999997</v>
      </c>
      <c r="L8184" s="6" t="str">
        <f>HYPERLINK("https://maps.google.com/?q=16.666105,-96.307457999999997", "🔗 Ver Mapa")</f>
        <v>🔗 Ver Mapa</v>
      </c>
    </row>
    <row r="8185" spans="1:12" ht="43.5" x14ac:dyDescent="0.35">
      <c r="A8185" s="5" t="s">
        <v>98</v>
      </c>
      <c r="B8185" s="5" t="s">
        <v>99</v>
      </c>
      <c r="C8185" s="5" t="s">
        <v>1487</v>
      </c>
      <c r="D8185" s="5" t="s">
        <v>14</v>
      </c>
      <c r="E8185" s="5" t="s">
        <v>52</v>
      </c>
      <c r="F8185" s="5" t="s">
        <v>53</v>
      </c>
      <c r="G8185" s="5" t="s">
        <v>1126</v>
      </c>
      <c r="H8185" s="5" t="s">
        <v>1127</v>
      </c>
      <c r="I8185" s="5" t="s">
        <v>31</v>
      </c>
      <c r="J8185" s="5">
        <v>16.666212000000002</v>
      </c>
      <c r="K8185" s="5">
        <v>-96.306571000000005</v>
      </c>
      <c r="L8185" s="5" t="str">
        <f>HYPERLINK("https://maps.google.com/?q=16.666212,-96.306571000000005", "🔗 Ver Mapa")</f>
        <v>🔗 Ver Mapa</v>
      </c>
    </row>
    <row r="8186" spans="1:12" ht="43.5" x14ac:dyDescent="0.35">
      <c r="A8186" s="6" t="s">
        <v>98</v>
      </c>
      <c r="B8186" s="6" t="s">
        <v>99</v>
      </c>
      <c r="C8186" s="6" t="s">
        <v>1487</v>
      </c>
      <c r="D8186" s="6" t="s">
        <v>14</v>
      </c>
      <c r="E8186" s="6" t="s">
        <v>52</v>
      </c>
      <c r="F8186" s="6" t="s">
        <v>53</v>
      </c>
      <c r="G8186" s="6" t="s">
        <v>1126</v>
      </c>
      <c r="H8186" s="6" t="s">
        <v>1127</v>
      </c>
      <c r="I8186" s="6" t="s">
        <v>31</v>
      </c>
      <c r="J8186" s="6">
        <v>16.666609000000001</v>
      </c>
      <c r="K8186" s="6">
        <v>-96.306040999999993</v>
      </c>
      <c r="L8186" s="6" t="str">
        <f>HYPERLINK("https://maps.google.com/?q=16.666609,-96.306040999999993", "🔗 Ver Mapa")</f>
        <v>🔗 Ver Mapa</v>
      </c>
    </row>
    <row r="8187" spans="1:12" ht="43.5" x14ac:dyDescent="0.35">
      <c r="A8187" s="5" t="s">
        <v>98</v>
      </c>
      <c r="B8187" s="5" t="s">
        <v>99</v>
      </c>
      <c r="C8187" s="5" t="s">
        <v>1487</v>
      </c>
      <c r="D8187" s="5" t="s">
        <v>14</v>
      </c>
      <c r="E8187" s="5" t="s">
        <v>52</v>
      </c>
      <c r="F8187" s="5" t="s">
        <v>53</v>
      </c>
      <c r="G8187" s="5" t="s">
        <v>1126</v>
      </c>
      <c r="H8187" s="5" t="s">
        <v>1127</v>
      </c>
      <c r="I8187" s="5" t="s">
        <v>31</v>
      </c>
      <c r="J8187" s="5">
        <v>16.666640000000001</v>
      </c>
      <c r="K8187" s="5">
        <v>-96.307858999999993</v>
      </c>
      <c r="L8187" s="5" t="str">
        <f>HYPERLINK("https://maps.google.com/?q=16.66664,-96.307858999999993", "🔗 Ver Mapa")</f>
        <v>🔗 Ver Mapa</v>
      </c>
    </row>
    <row r="8188" spans="1:12" ht="43.5" x14ac:dyDescent="0.35">
      <c r="A8188" s="6" t="s">
        <v>98</v>
      </c>
      <c r="B8188" s="6" t="s">
        <v>99</v>
      </c>
      <c r="C8188" s="6" t="s">
        <v>1487</v>
      </c>
      <c r="D8188" s="6" t="s">
        <v>14</v>
      </c>
      <c r="E8188" s="6" t="s">
        <v>52</v>
      </c>
      <c r="F8188" s="6" t="s">
        <v>53</v>
      </c>
      <c r="G8188" s="6" t="s">
        <v>1126</v>
      </c>
      <c r="H8188" s="6" t="s">
        <v>1127</v>
      </c>
      <c r="I8188" s="6" t="s">
        <v>31</v>
      </c>
      <c r="J8188" s="6">
        <v>16.666919</v>
      </c>
      <c r="K8188" s="6">
        <v>-96.306956999999997</v>
      </c>
      <c r="L8188" s="6" t="str">
        <f>HYPERLINK("https://maps.google.com/?q=16.666919,-96.306956999999997", "🔗 Ver Mapa")</f>
        <v>🔗 Ver Mapa</v>
      </c>
    </row>
    <row r="8189" spans="1:12" ht="43.5" x14ac:dyDescent="0.35">
      <c r="A8189" s="5" t="s">
        <v>98</v>
      </c>
      <c r="B8189" s="5" t="s">
        <v>99</v>
      </c>
      <c r="C8189" s="5" t="s">
        <v>1487</v>
      </c>
      <c r="D8189" s="5" t="s">
        <v>14</v>
      </c>
      <c r="E8189" s="5" t="s">
        <v>52</v>
      </c>
      <c r="F8189" s="5" t="s">
        <v>53</v>
      </c>
      <c r="G8189" s="5" t="s">
        <v>1126</v>
      </c>
      <c r="H8189" s="5" t="s">
        <v>1127</v>
      </c>
      <c r="I8189" s="5" t="s">
        <v>31</v>
      </c>
      <c r="J8189" s="5">
        <v>16.666972999999999</v>
      </c>
      <c r="K8189" s="5">
        <v>-96.308974000000006</v>
      </c>
      <c r="L8189" s="5" t="str">
        <f>HYPERLINK("https://maps.google.com/?q=16.666973,-96.308974000000006", "🔗 Ver Mapa")</f>
        <v>🔗 Ver Mapa</v>
      </c>
    </row>
    <row r="8190" spans="1:12" ht="43.5" x14ac:dyDescent="0.35">
      <c r="A8190" s="6" t="s">
        <v>98</v>
      </c>
      <c r="B8190" s="6" t="s">
        <v>99</v>
      </c>
      <c r="C8190" s="6" t="s">
        <v>1487</v>
      </c>
      <c r="D8190" s="6" t="s">
        <v>14</v>
      </c>
      <c r="E8190" s="6" t="s">
        <v>52</v>
      </c>
      <c r="F8190" s="6" t="s">
        <v>53</v>
      </c>
      <c r="G8190" s="6" t="s">
        <v>1126</v>
      </c>
      <c r="H8190" s="6" t="s">
        <v>1127</v>
      </c>
      <c r="I8190" s="6" t="s">
        <v>31</v>
      </c>
      <c r="J8190" s="6">
        <v>16.667041999999999</v>
      </c>
      <c r="K8190" s="6">
        <v>-96.307766000000001</v>
      </c>
      <c r="L8190" s="6" t="str">
        <f>HYPERLINK("https://maps.google.com/?q=16.667042,-96.307766000000001", "🔗 Ver Mapa")</f>
        <v>🔗 Ver Mapa</v>
      </c>
    </row>
    <row r="8191" spans="1:12" ht="43.5" x14ac:dyDescent="0.35">
      <c r="A8191" s="5" t="s">
        <v>98</v>
      </c>
      <c r="B8191" s="5" t="s">
        <v>99</v>
      </c>
      <c r="C8191" s="5" t="s">
        <v>1487</v>
      </c>
      <c r="D8191" s="5" t="s">
        <v>14</v>
      </c>
      <c r="E8191" s="5" t="s">
        <v>52</v>
      </c>
      <c r="F8191" s="5" t="s">
        <v>53</v>
      </c>
      <c r="G8191" s="5" t="s">
        <v>1126</v>
      </c>
      <c r="H8191" s="5" t="s">
        <v>1127</v>
      </c>
      <c r="I8191" s="5" t="s">
        <v>31</v>
      </c>
      <c r="J8191" s="5">
        <v>16.667162999999999</v>
      </c>
      <c r="K8191" s="5">
        <v>-96.307506000000004</v>
      </c>
      <c r="L8191" s="5" t="str">
        <f>HYPERLINK("https://maps.google.com/?q=16.667163,-96.307506000000004", "🔗 Ver Mapa")</f>
        <v>🔗 Ver Mapa</v>
      </c>
    </row>
    <row r="8192" spans="1:12" ht="43.5" x14ac:dyDescent="0.35">
      <c r="A8192" s="6" t="s">
        <v>98</v>
      </c>
      <c r="B8192" s="6" t="s">
        <v>99</v>
      </c>
      <c r="C8192" s="6" t="s">
        <v>1487</v>
      </c>
      <c r="D8192" s="6" t="s">
        <v>14</v>
      </c>
      <c r="E8192" s="6" t="s">
        <v>52</v>
      </c>
      <c r="F8192" s="6" t="s">
        <v>53</v>
      </c>
      <c r="G8192" s="6" t="s">
        <v>1126</v>
      </c>
      <c r="H8192" s="6" t="s">
        <v>1127</v>
      </c>
      <c r="I8192" s="6" t="s">
        <v>31</v>
      </c>
      <c r="J8192" s="6">
        <v>16.668168000000001</v>
      </c>
      <c r="K8192" s="6">
        <v>-96.309119999999993</v>
      </c>
      <c r="L8192" s="6" t="str">
        <f>HYPERLINK("https://maps.google.com/?q=16.668168,-96.309119999999993", "🔗 Ver Mapa")</f>
        <v>🔗 Ver Mapa</v>
      </c>
    </row>
    <row r="8193" spans="1:12" ht="43.5" x14ac:dyDescent="0.35">
      <c r="A8193" s="5" t="s">
        <v>98</v>
      </c>
      <c r="B8193" s="5" t="s">
        <v>99</v>
      </c>
      <c r="C8193" s="5" t="s">
        <v>1487</v>
      </c>
      <c r="D8193" s="5" t="s">
        <v>14</v>
      </c>
      <c r="E8193" s="5" t="s">
        <v>52</v>
      </c>
      <c r="F8193" s="5" t="s">
        <v>53</v>
      </c>
      <c r="G8193" s="5" t="s">
        <v>1126</v>
      </c>
      <c r="H8193" s="5" t="s">
        <v>1127</v>
      </c>
      <c r="I8193" s="5" t="s">
        <v>31</v>
      </c>
      <c r="J8193" s="5">
        <v>16.668574</v>
      </c>
      <c r="K8193" s="5">
        <v>-96.300512999999995</v>
      </c>
      <c r="L8193" s="5" t="str">
        <f>HYPERLINK("https://maps.google.com/?q=16.668574,-96.300512999999995", "🔗 Ver Mapa")</f>
        <v>🔗 Ver Mapa</v>
      </c>
    </row>
    <row r="8194" spans="1:12" ht="43.5" x14ac:dyDescent="0.35">
      <c r="A8194" s="6" t="s">
        <v>98</v>
      </c>
      <c r="B8194" s="6" t="s">
        <v>99</v>
      </c>
      <c r="C8194" s="6" t="s">
        <v>1487</v>
      </c>
      <c r="D8194" s="6" t="s">
        <v>14</v>
      </c>
      <c r="E8194" s="6" t="s">
        <v>52</v>
      </c>
      <c r="F8194" s="6" t="s">
        <v>53</v>
      </c>
      <c r="G8194" s="6" t="s">
        <v>1126</v>
      </c>
      <c r="H8194" s="6" t="s">
        <v>1127</v>
      </c>
      <c r="I8194" s="6" t="s">
        <v>31</v>
      </c>
      <c r="J8194" s="6">
        <v>16.669070000000001</v>
      </c>
      <c r="K8194" s="6">
        <v>-96.308723000000001</v>
      </c>
      <c r="L8194" s="6" t="str">
        <f>HYPERLINK("https://maps.google.com/?q=16.66907,-96.308723000000001", "🔗 Ver Mapa")</f>
        <v>🔗 Ver Mapa</v>
      </c>
    </row>
    <row r="8195" spans="1:12" ht="43.5" x14ac:dyDescent="0.35">
      <c r="A8195" s="5" t="s">
        <v>98</v>
      </c>
      <c r="B8195" s="5" t="s">
        <v>99</v>
      </c>
      <c r="C8195" s="5" t="s">
        <v>1487</v>
      </c>
      <c r="D8195" s="5" t="s">
        <v>14</v>
      </c>
      <c r="E8195" s="5" t="s">
        <v>52</v>
      </c>
      <c r="F8195" s="5" t="s">
        <v>53</v>
      </c>
      <c r="G8195" s="5" t="s">
        <v>1126</v>
      </c>
      <c r="H8195" s="5" t="s">
        <v>1127</v>
      </c>
      <c r="I8195" s="5" t="s">
        <v>31</v>
      </c>
      <c r="J8195" s="5">
        <v>16.669435</v>
      </c>
      <c r="K8195" s="5">
        <v>-96.3075647</v>
      </c>
      <c r="L8195" s="5" t="str">
        <f>HYPERLINK("https://maps.google.com/?q=16.669435,-96.3075647", "🔗 Ver Mapa")</f>
        <v>🔗 Ver Mapa</v>
      </c>
    </row>
    <row r="8196" spans="1:12" ht="43.5" x14ac:dyDescent="0.35">
      <c r="A8196" s="6" t="s">
        <v>98</v>
      </c>
      <c r="B8196" s="6" t="s">
        <v>99</v>
      </c>
      <c r="C8196" s="6" t="s">
        <v>1487</v>
      </c>
      <c r="D8196" s="6" t="s">
        <v>14</v>
      </c>
      <c r="E8196" s="6" t="s">
        <v>52</v>
      </c>
      <c r="F8196" s="6" t="s">
        <v>53</v>
      </c>
      <c r="G8196" s="6" t="s">
        <v>1126</v>
      </c>
      <c r="H8196" s="6" t="s">
        <v>1127</v>
      </c>
      <c r="I8196" s="6" t="s">
        <v>31</v>
      </c>
      <c r="J8196" s="6">
        <v>16.669619000000001</v>
      </c>
      <c r="K8196" s="6">
        <v>-96.310058999999995</v>
      </c>
      <c r="L8196" s="6" t="str">
        <f>HYPERLINK("https://maps.google.com/?q=16.669619,-96.310058999999995", "🔗 Ver Mapa")</f>
        <v>🔗 Ver Mapa</v>
      </c>
    </row>
    <row r="8197" spans="1:12" ht="43.5" x14ac:dyDescent="0.35">
      <c r="A8197" s="5" t="s">
        <v>98</v>
      </c>
      <c r="B8197" s="5" t="s">
        <v>99</v>
      </c>
      <c r="C8197" s="5" t="s">
        <v>1487</v>
      </c>
      <c r="D8197" s="5" t="s">
        <v>14</v>
      </c>
      <c r="E8197" s="5" t="s">
        <v>52</v>
      </c>
      <c r="F8197" s="5" t="s">
        <v>53</v>
      </c>
      <c r="G8197" s="5" t="s">
        <v>1126</v>
      </c>
      <c r="H8197" s="5" t="s">
        <v>1127</v>
      </c>
      <c r="I8197" s="5" t="s">
        <v>31</v>
      </c>
      <c r="J8197" s="5">
        <v>16.670106000000001</v>
      </c>
      <c r="K8197" s="5">
        <v>-96.308282000000005</v>
      </c>
      <c r="L8197" s="5" t="str">
        <f>HYPERLINK("https://maps.google.com/?q=16.670106,-96.308282000000005", "🔗 Ver Mapa")</f>
        <v>🔗 Ver Mapa</v>
      </c>
    </row>
    <row r="8198" spans="1:12" ht="43.5" x14ac:dyDescent="0.35">
      <c r="A8198" s="6" t="s">
        <v>98</v>
      </c>
      <c r="B8198" s="6" t="s">
        <v>99</v>
      </c>
      <c r="C8198" s="6" t="s">
        <v>1487</v>
      </c>
      <c r="D8198" s="6" t="s">
        <v>14</v>
      </c>
      <c r="E8198" s="6" t="s">
        <v>52</v>
      </c>
      <c r="F8198" s="6" t="s">
        <v>53</v>
      </c>
      <c r="G8198" s="6" t="s">
        <v>1126</v>
      </c>
      <c r="H8198" s="6" t="s">
        <v>1127</v>
      </c>
      <c r="I8198" s="6" t="s">
        <v>31</v>
      </c>
      <c r="J8198" s="6">
        <v>16.670211999999999</v>
      </c>
      <c r="K8198" s="6">
        <v>-96.308357000000001</v>
      </c>
      <c r="L8198" s="6" t="str">
        <f>HYPERLINK("https://maps.google.com/?q=16.670212,-96.308357000000001", "🔗 Ver Mapa")</f>
        <v>🔗 Ver Mapa</v>
      </c>
    </row>
    <row r="8199" spans="1:12" ht="43.5" x14ac:dyDescent="0.35">
      <c r="A8199" s="5" t="s">
        <v>98</v>
      </c>
      <c r="B8199" s="5" t="s">
        <v>99</v>
      </c>
      <c r="C8199" s="5" t="s">
        <v>1487</v>
      </c>
      <c r="D8199" s="5" t="s">
        <v>14</v>
      </c>
      <c r="E8199" s="5" t="s">
        <v>52</v>
      </c>
      <c r="F8199" s="5" t="s">
        <v>53</v>
      </c>
      <c r="G8199" s="5" t="s">
        <v>1126</v>
      </c>
      <c r="H8199" s="5" t="s">
        <v>1127</v>
      </c>
      <c r="I8199" s="5" t="s">
        <v>31</v>
      </c>
      <c r="J8199" s="5">
        <v>16.670722999999999</v>
      </c>
      <c r="K8199" s="5">
        <v>-96.309154300000003</v>
      </c>
      <c r="L8199" s="5" t="str">
        <f>HYPERLINK("https://maps.google.com/?q=16.670723,-96.309154300000003", "🔗 Ver Mapa")</f>
        <v>🔗 Ver Mapa</v>
      </c>
    </row>
    <row r="8200" spans="1:12" ht="43.5" x14ac:dyDescent="0.35">
      <c r="A8200" s="6" t="s">
        <v>98</v>
      </c>
      <c r="B8200" s="6" t="s">
        <v>99</v>
      </c>
      <c r="C8200" s="6" t="s">
        <v>1487</v>
      </c>
      <c r="D8200" s="6" t="s">
        <v>14</v>
      </c>
      <c r="E8200" s="6" t="s">
        <v>52</v>
      </c>
      <c r="F8200" s="6" t="s">
        <v>53</v>
      </c>
      <c r="G8200" s="6" t="s">
        <v>1126</v>
      </c>
      <c r="H8200" s="6" t="s">
        <v>1127</v>
      </c>
      <c r="I8200" s="6" t="s">
        <v>31</v>
      </c>
      <c r="J8200" s="6">
        <v>16.671075999999999</v>
      </c>
      <c r="K8200" s="6">
        <v>-96.309008000000006</v>
      </c>
      <c r="L8200" s="6" t="str">
        <f>HYPERLINK("https://maps.google.com/?q=16.671076,-96.309008000000006", "🔗 Ver Mapa")</f>
        <v>🔗 Ver Mapa</v>
      </c>
    </row>
    <row r="8201" spans="1:12" ht="43.5" x14ac:dyDescent="0.35">
      <c r="A8201" s="5" t="s">
        <v>98</v>
      </c>
      <c r="B8201" s="5" t="s">
        <v>99</v>
      </c>
      <c r="C8201" s="5" t="s">
        <v>1487</v>
      </c>
      <c r="D8201" s="5" t="s">
        <v>14</v>
      </c>
      <c r="E8201" s="5" t="s">
        <v>52</v>
      </c>
      <c r="F8201" s="5" t="s">
        <v>53</v>
      </c>
      <c r="G8201" s="5" t="s">
        <v>1126</v>
      </c>
      <c r="H8201" s="5" t="s">
        <v>1127</v>
      </c>
      <c r="I8201" s="5" t="s">
        <v>31</v>
      </c>
      <c r="J8201" s="5">
        <v>16.675442395274001</v>
      </c>
      <c r="K8201" s="5">
        <v>-96.310209420866997</v>
      </c>
      <c r="L8201" s="5" t="str">
        <f>HYPERLINK("https://maps.google.com/?q=16.67544239527385,-96.31020942086677", "🔗 Ver Mapa")</f>
        <v>🔗 Ver Mapa</v>
      </c>
    </row>
    <row r="8202" spans="1:12" ht="43.5" x14ac:dyDescent="0.35">
      <c r="A8202" s="6" t="s">
        <v>98</v>
      </c>
      <c r="B8202" s="6" t="s">
        <v>99</v>
      </c>
      <c r="C8202" s="6" t="s">
        <v>1487</v>
      </c>
      <c r="D8202" s="6" t="s">
        <v>14</v>
      </c>
      <c r="E8202" s="6" t="s">
        <v>52</v>
      </c>
      <c r="F8202" s="6" t="s">
        <v>53</v>
      </c>
      <c r="G8202" s="6" t="s">
        <v>1126</v>
      </c>
      <c r="H8202" s="6" t="s">
        <v>1127</v>
      </c>
      <c r="I8202" s="6" t="s">
        <v>31</v>
      </c>
      <c r="J8202" s="6">
        <v>16.676335000000002</v>
      </c>
      <c r="K8202" s="6">
        <v>-96.309617000000003</v>
      </c>
      <c r="L8202" s="6" t="str">
        <f>HYPERLINK("https://maps.google.com/?q=16.676335,-96.309617000000003", "🔗 Ver Mapa")</f>
        <v>🔗 Ver Mapa</v>
      </c>
    </row>
    <row r="8203" spans="1:12" ht="43.5" x14ac:dyDescent="0.35">
      <c r="A8203" s="5" t="s">
        <v>98</v>
      </c>
      <c r="B8203" s="5" t="s">
        <v>99</v>
      </c>
      <c r="C8203" s="5" t="s">
        <v>1487</v>
      </c>
      <c r="D8203" s="5" t="s">
        <v>14</v>
      </c>
      <c r="E8203" s="5" t="s">
        <v>52</v>
      </c>
      <c r="F8203" s="5" t="s">
        <v>53</v>
      </c>
      <c r="G8203" s="5" t="s">
        <v>1126</v>
      </c>
      <c r="H8203" s="5" t="s">
        <v>1127</v>
      </c>
      <c r="I8203" s="5" t="s">
        <v>31</v>
      </c>
      <c r="J8203" s="5">
        <v>16.676349999999999</v>
      </c>
      <c r="K8203" s="5">
        <v>-96.30865</v>
      </c>
      <c r="L8203" s="5" t="str">
        <f>HYPERLINK("https://maps.google.com/?q=16.67635,-96.30865", "🔗 Ver Mapa")</f>
        <v>🔗 Ver Mapa</v>
      </c>
    </row>
    <row r="8204" spans="1:12" ht="43.5" x14ac:dyDescent="0.35">
      <c r="A8204" s="6" t="s">
        <v>98</v>
      </c>
      <c r="B8204" s="6" t="s">
        <v>99</v>
      </c>
      <c r="C8204" s="6" t="s">
        <v>1487</v>
      </c>
      <c r="D8204" s="6" t="s">
        <v>14</v>
      </c>
      <c r="E8204" s="6" t="s">
        <v>52</v>
      </c>
      <c r="F8204" s="6" t="s">
        <v>53</v>
      </c>
      <c r="G8204" s="6" t="s">
        <v>1126</v>
      </c>
      <c r="H8204" s="6" t="s">
        <v>1127</v>
      </c>
      <c r="I8204" s="6" t="s">
        <v>31</v>
      </c>
      <c r="J8204" s="6">
        <v>16.676477999999999</v>
      </c>
      <c r="K8204" s="6">
        <v>-96.308641399999999</v>
      </c>
      <c r="L8204" s="6" t="str">
        <f>HYPERLINK("https://maps.google.com/?q=16.676478,-96.308641399999999", "🔗 Ver Mapa")</f>
        <v>🔗 Ver Mapa</v>
      </c>
    </row>
    <row r="8205" spans="1:12" ht="43.5" x14ac:dyDescent="0.35">
      <c r="A8205" s="5" t="s">
        <v>98</v>
      </c>
      <c r="B8205" s="5" t="s">
        <v>99</v>
      </c>
      <c r="C8205" s="5" t="s">
        <v>1488</v>
      </c>
      <c r="D8205" s="5" t="s">
        <v>14</v>
      </c>
      <c r="E8205" s="5" t="s">
        <v>17</v>
      </c>
      <c r="F8205" s="5" t="s">
        <v>59</v>
      </c>
      <c r="G8205" s="5" t="s">
        <v>1296</v>
      </c>
      <c r="H8205" s="5" t="s">
        <v>1297</v>
      </c>
      <c r="I8205" s="5" t="s">
        <v>31</v>
      </c>
      <c r="J8205" s="5">
        <v>16.370664999999999</v>
      </c>
      <c r="K8205" s="5">
        <v>-97.678945999999996</v>
      </c>
      <c r="L8205" s="5" t="str">
        <f>HYPERLINK("https://maps.google.com/?q=16.370665,-97.678945999999996", "🔗 Ver Mapa")</f>
        <v>🔗 Ver Mapa</v>
      </c>
    </row>
    <row r="8206" spans="1:12" ht="43.5" x14ac:dyDescent="0.35">
      <c r="A8206" s="6" t="s">
        <v>98</v>
      </c>
      <c r="B8206" s="6" t="s">
        <v>99</v>
      </c>
      <c r="C8206" s="6" t="s">
        <v>1488</v>
      </c>
      <c r="D8206" s="6" t="s">
        <v>14</v>
      </c>
      <c r="E8206" s="6" t="s">
        <v>17</v>
      </c>
      <c r="F8206" s="6" t="s">
        <v>59</v>
      </c>
      <c r="G8206" s="6" t="s">
        <v>1296</v>
      </c>
      <c r="H8206" s="6" t="s">
        <v>1297</v>
      </c>
      <c r="I8206" s="6" t="s">
        <v>31</v>
      </c>
      <c r="J8206" s="6">
        <v>16.371635000000001</v>
      </c>
      <c r="K8206" s="6">
        <v>-97.678348999999997</v>
      </c>
      <c r="L8206" s="6" t="str">
        <f>HYPERLINK("https://maps.google.com/?q=16.371635,-97.678348999999997", "🔗 Ver Mapa")</f>
        <v>🔗 Ver Mapa</v>
      </c>
    </row>
    <row r="8207" spans="1:12" ht="43.5" x14ac:dyDescent="0.35">
      <c r="A8207" s="5" t="s">
        <v>98</v>
      </c>
      <c r="B8207" s="5" t="s">
        <v>99</v>
      </c>
      <c r="C8207" s="5" t="s">
        <v>1488</v>
      </c>
      <c r="D8207" s="5" t="s">
        <v>14</v>
      </c>
      <c r="E8207" s="5" t="s">
        <v>17</v>
      </c>
      <c r="F8207" s="5" t="s">
        <v>59</v>
      </c>
      <c r="G8207" s="5" t="s">
        <v>1296</v>
      </c>
      <c r="H8207" s="5" t="s">
        <v>1297</v>
      </c>
      <c r="I8207" s="5" t="s">
        <v>31</v>
      </c>
      <c r="J8207" s="5">
        <v>16.371700000000001</v>
      </c>
      <c r="K8207" s="5">
        <v>-97.676085999999998</v>
      </c>
      <c r="L8207" s="5" t="str">
        <f>HYPERLINK("https://maps.google.com/?q=16.3717,-97.676085999999998", "🔗 Ver Mapa")</f>
        <v>🔗 Ver Mapa</v>
      </c>
    </row>
    <row r="8208" spans="1:12" ht="43.5" x14ac:dyDescent="0.35">
      <c r="A8208" s="6" t="s">
        <v>98</v>
      </c>
      <c r="B8208" s="6" t="s">
        <v>99</v>
      </c>
      <c r="C8208" s="6" t="s">
        <v>1488</v>
      </c>
      <c r="D8208" s="6" t="s">
        <v>14</v>
      </c>
      <c r="E8208" s="6" t="s">
        <v>17</v>
      </c>
      <c r="F8208" s="6" t="s">
        <v>59</v>
      </c>
      <c r="G8208" s="6" t="s">
        <v>1296</v>
      </c>
      <c r="H8208" s="6" t="s">
        <v>1297</v>
      </c>
      <c r="I8208" s="6" t="s">
        <v>31</v>
      </c>
      <c r="J8208" s="6">
        <v>16.371786</v>
      </c>
      <c r="K8208" s="6">
        <v>-97.673599999999993</v>
      </c>
      <c r="L8208" s="6" t="str">
        <f>HYPERLINK("https://maps.google.com/?q=16.371786,-97.673599999999993", "🔗 Ver Mapa")</f>
        <v>🔗 Ver Mapa</v>
      </c>
    </row>
    <row r="8209" spans="1:12" ht="43.5" x14ac:dyDescent="0.35">
      <c r="A8209" s="5" t="s">
        <v>98</v>
      </c>
      <c r="B8209" s="5" t="s">
        <v>99</v>
      </c>
      <c r="C8209" s="5" t="s">
        <v>1488</v>
      </c>
      <c r="D8209" s="5" t="s">
        <v>14</v>
      </c>
      <c r="E8209" s="5" t="s">
        <v>17</v>
      </c>
      <c r="F8209" s="5" t="s">
        <v>59</v>
      </c>
      <c r="G8209" s="5" t="s">
        <v>1296</v>
      </c>
      <c r="H8209" s="5" t="s">
        <v>1297</v>
      </c>
      <c r="I8209" s="5" t="s">
        <v>31</v>
      </c>
      <c r="J8209" s="5">
        <v>16.371860000000002</v>
      </c>
      <c r="K8209" s="5">
        <v>-97.678617000000003</v>
      </c>
      <c r="L8209" s="5" t="str">
        <f>HYPERLINK("https://maps.google.com/?q=16.37186,-97.678617000000003", "🔗 Ver Mapa")</f>
        <v>🔗 Ver Mapa</v>
      </c>
    </row>
    <row r="8210" spans="1:12" ht="43.5" x14ac:dyDescent="0.35">
      <c r="A8210" s="6" t="s">
        <v>98</v>
      </c>
      <c r="B8210" s="6" t="s">
        <v>99</v>
      </c>
      <c r="C8210" s="6" t="s">
        <v>1488</v>
      </c>
      <c r="D8210" s="6" t="s">
        <v>14</v>
      </c>
      <c r="E8210" s="6" t="s">
        <v>17</v>
      </c>
      <c r="F8210" s="6" t="s">
        <v>59</v>
      </c>
      <c r="G8210" s="6" t="s">
        <v>1296</v>
      </c>
      <c r="H8210" s="6" t="s">
        <v>1297</v>
      </c>
      <c r="I8210" s="6" t="s">
        <v>31</v>
      </c>
      <c r="J8210" s="6">
        <v>16.372102999999999</v>
      </c>
      <c r="K8210" s="6">
        <v>-97.678051999999994</v>
      </c>
      <c r="L8210" s="6" t="str">
        <f>HYPERLINK("https://maps.google.com/?q=16.372103,-97.678051999999994", "🔗 Ver Mapa")</f>
        <v>🔗 Ver Mapa</v>
      </c>
    </row>
    <row r="8211" spans="1:12" ht="43.5" x14ac:dyDescent="0.35">
      <c r="A8211" s="5" t="s">
        <v>98</v>
      </c>
      <c r="B8211" s="5" t="s">
        <v>99</v>
      </c>
      <c r="C8211" s="5" t="s">
        <v>1488</v>
      </c>
      <c r="D8211" s="5" t="s">
        <v>14</v>
      </c>
      <c r="E8211" s="5" t="s">
        <v>17</v>
      </c>
      <c r="F8211" s="5" t="s">
        <v>59</v>
      </c>
      <c r="G8211" s="5" t="s">
        <v>1296</v>
      </c>
      <c r="H8211" s="5" t="s">
        <v>1297</v>
      </c>
      <c r="I8211" s="5" t="s">
        <v>31</v>
      </c>
      <c r="J8211" s="5">
        <v>16.372140276934001</v>
      </c>
      <c r="K8211" s="5">
        <v>-97.675294462183999</v>
      </c>
      <c r="L8211" s="5" t="str">
        <f>HYPERLINK("https://maps.google.com/?q=16.3721402769336,-97.675294462184297", "🔗 Ver Mapa")</f>
        <v>🔗 Ver Mapa</v>
      </c>
    </row>
    <row r="8212" spans="1:12" ht="43.5" x14ac:dyDescent="0.35">
      <c r="A8212" s="6" t="s">
        <v>98</v>
      </c>
      <c r="B8212" s="6" t="s">
        <v>99</v>
      </c>
      <c r="C8212" s="6" t="s">
        <v>1488</v>
      </c>
      <c r="D8212" s="6" t="s">
        <v>14</v>
      </c>
      <c r="E8212" s="6" t="s">
        <v>17</v>
      </c>
      <c r="F8212" s="6" t="s">
        <v>59</v>
      </c>
      <c r="G8212" s="6" t="s">
        <v>1296</v>
      </c>
      <c r="H8212" s="6" t="s">
        <v>1297</v>
      </c>
      <c r="I8212" s="6" t="s">
        <v>31</v>
      </c>
      <c r="J8212" s="6">
        <v>16.372366</v>
      </c>
      <c r="K8212" s="6">
        <v>-97.676727999999997</v>
      </c>
      <c r="L8212" s="6" t="str">
        <f>HYPERLINK("https://maps.google.com/?q=16.372366,-97.676727999999997", "🔗 Ver Mapa")</f>
        <v>🔗 Ver Mapa</v>
      </c>
    </row>
    <row r="8213" spans="1:12" ht="43.5" x14ac:dyDescent="0.35">
      <c r="A8213" s="5" t="s">
        <v>98</v>
      </c>
      <c r="B8213" s="5" t="s">
        <v>99</v>
      </c>
      <c r="C8213" s="5" t="s">
        <v>1488</v>
      </c>
      <c r="D8213" s="5" t="s">
        <v>14</v>
      </c>
      <c r="E8213" s="5" t="s">
        <v>17</v>
      </c>
      <c r="F8213" s="5" t="s">
        <v>59</v>
      </c>
      <c r="G8213" s="5" t="s">
        <v>1296</v>
      </c>
      <c r="H8213" s="5" t="s">
        <v>1297</v>
      </c>
      <c r="I8213" s="5" t="s">
        <v>31</v>
      </c>
      <c r="J8213" s="5">
        <v>16.372568000000001</v>
      </c>
      <c r="K8213" s="5">
        <v>-97.675790000000006</v>
      </c>
      <c r="L8213" s="5" t="str">
        <f>HYPERLINK("https://maps.google.com/?q=16.372568,-97.675790000000006", "🔗 Ver Mapa")</f>
        <v>🔗 Ver Mapa</v>
      </c>
    </row>
    <row r="8214" spans="1:12" ht="43.5" x14ac:dyDescent="0.35">
      <c r="A8214" s="6" t="s">
        <v>98</v>
      </c>
      <c r="B8214" s="6" t="s">
        <v>99</v>
      </c>
      <c r="C8214" s="6" t="s">
        <v>1488</v>
      </c>
      <c r="D8214" s="6" t="s">
        <v>14</v>
      </c>
      <c r="E8214" s="6" t="s">
        <v>17</v>
      </c>
      <c r="F8214" s="6" t="s">
        <v>59</v>
      </c>
      <c r="G8214" s="6" t="s">
        <v>1296</v>
      </c>
      <c r="H8214" s="6" t="s">
        <v>1297</v>
      </c>
      <c r="I8214" s="6" t="s">
        <v>31</v>
      </c>
      <c r="J8214" s="6">
        <v>16.372727000000001</v>
      </c>
      <c r="K8214" s="6">
        <v>-97.676896999999997</v>
      </c>
      <c r="L8214" s="6" t="str">
        <f>HYPERLINK("https://maps.google.com/?q=16.372727,-97.676896999999997", "🔗 Ver Mapa")</f>
        <v>🔗 Ver Mapa</v>
      </c>
    </row>
    <row r="8215" spans="1:12" ht="43.5" x14ac:dyDescent="0.35">
      <c r="A8215" s="5" t="s">
        <v>98</v>
      </c>
      <c r="B8215" s="5" t="s">
        <v>99</v>
      </c>
      <c r="C8215" s="5" t="s">
        <v>1488</v>
      </c>
      <c r="D8215" s="5" t="s">
        <v>14</v>
      </c>
      <c r="E8215" s="5" t="s">
        <v>17</v>
      </c>
      <c r="F8215" s="5" t="s">
        <v>59</v>
      </c>
      <c r="G8215" s="5" t="s">
        <v>1296</v>
      </c>
      <c r="H8215" s="5" t="s">
        <v>1297</v>
      </c>
      <c r="I8215" s="5" t="s">
        <v>31</v>
      </c>
      <c r="J8215" s="5">
        <v>16.373073000000002</v>
      </c>
      <c r="K8215" s="5">
        <v>-97.678247999999996</v>
      </c>
      <c r="L8215" s="5" t="str">
        <f>HYPERLINK("https://maps.google.com/?q=16.373073,-97.678247999999996", "🔗 Ver Mapa")</f>
        <v>🔗 Ver Mapa</v>
      </c>
    </row>
    <row r="8216" spans="1:12" ht="43.5" x14ac:dyDescent="0.35">
      <c r="A8216" s="6" t="s">
        <v>98</v>
      </c>
      <c r="B8216" s="6" t="s">
        <v>99</v>
      </c>
      <c r="C8216" s="6" t="s">
        <v>1488</v>
      </c>
      <c r="D8216" s="6" t="s">
        <v>14</v>
      </c>
      <c r="E8216" s="6" t="s">
        <v>17</v>
      </c>
      <c r="F8216" s="6" t="s">
        <v>59</v>
      </c>
      <c r="G8216" s="6" t="s">
        <v>1296</v>
      </c>
      <c r="H8216" s="6" t="s">
        <v>1297</v>
      </c>
      <c r="I8216" s="6" t="s">
        <v>31</v>
      </c>
      <c r="J8216" s="6">
        <v>16.373156000000002</v>
      </c>
      <c r="K8216" s="6">
        <v>-97.678166000000004</v>
      </c>
      <c r="L8216" s="6" t="str">
        <f>HYPERLINK("https://maps.google.com/?q=16.373156,-97.678166000000004", "🔗 Ver Mapa")</f>
        <v>🔗 Ver Mapa</v>
      </c>
    </row>
    <row r="8217" spans="1:12" ht="43.5" x14ac:dyDescent="0.35">
      <c r="A8217" s="5" t="s">
        <v>98</v>
      </c>
      <c r="B8217" s="5" t="s">
        <v>99</v>
      </c>
      <c r="C8217" s="5" t="s">
        <v>1488</v>
      </c>
      <c r="D8217" s="5" t="s">
        <v>14</v>
      </c>
      <c r="E8217" s="5" t="s">
        <v>17</v>
      </c>
      <c r="F8217" s="5" t="s">
        <v>59</v>
      </c>
      <c r="G8217" s="5" t="s">
        <v>1296</v>
      </c>
      <c r="H8217" s="5" t="s">
        <v>1297</v>
      </c>
      <c r="I8217" s="5" t="s">
        <v>31</v>
      </c>
      <c r="J8217" s="5">
        <v>16.373169000000001</v>
      </c>
      <c r="K8217" s="5">
        <v>-97.678344999999993</v>
      </c>
      <c r="L8217" s="5" t="str">
        <f>HYPERLINK("https://maps.google.com/?q=16.373169,-97.678344999999993", "🔗 Ver Mapa")</f>
        <v>🔗 Ver Mapa</v>
      </c>
    </row>
    <row r="8218" spans="1:12" ht="43.5" x14ac:dyDescent="0.35">
      <c r="A8218" s="6" t="s">
        <v>98</v>
      </c>
      <c r="B8218" s="6" t="s">
        <v>99</v>
      </c>
      <c r="C8218" s="6" t="s">
        <v>1488</v>
      </c>
      <c r="D8218" s="6" t="s">
        <v>14</v>
      </c>
      <c r="E8218" s="6" t="s">
        <v>17</v>
      </c>
      <c r="F8218" s="6" t="s">
        <v>59</v>
      </c>
      <c r="G8218" s="6" t="s">
        <v>1296</v>
      </c>
      <c r="H8218" s="6" t="s">
        <v>1297</v>
      </c>
      <c r="I8218" s="6" t="s">
        <v>31</v>
      </c>
      <c r="J8218" s="6">
        <v>16.373211000000001</v>
      </c>
      <c r="K8218" s="6">
        <v>-97.676377000000002</v>
      </c>
      <c r="L8218" s="6" t="str">
        <f>HYPERLINK("https://maps.google.com/?q=16.373211,-97.676377000000002", "🔗 Ver Mapa")</f>
        <v>🔗 Ver Mapa</v>
      </c>
    </row>
    <row r="8219" spans="1:12" ht="43.5" x14ac:dyDescent="0.35">
      <c r="A8219" s="5" t="s">
        <v>98</v>
      </c>
      <c r="B8219" s="5" t="s">
        <v>99</v>
      </c>
      <c r="C8219" s="5" t="s">
        <v>1488</v>
      </c>
      <c r="D8219" s="5" t="s">
        <v>14</v>
      </c>
      <c r="E8219" s="5" t="s">
        <v>17</v>
      </c>
      <c r="F8219" s="5" t="s">
        <v>59</v>
      </c>
      <c r="G8219" s="5" t="s">
        <v>1296</v>
      </c>
      <c r="H8219" s="5" t="s">
        <v>1297</v>
      </c>
      <c r="I8219" s="5" t="s">
        <v>31</v>
      </c>
      <c r="J8219" s="5">
        <v>16.373280999999999</v>
      </c>
      <c r="K8219" s="5">
        <v>-97.677946000000006</v>
      </c>
      <c r="L8219" s="5" t="str">
        <f>HYPERLINK("https://maps.google.com/?q=16.373281,-97.677946000000006", "🔗 Ver Mapa")</f>
        <v>🔗 Ver Mapa</v>
      </c>
    </row>
    <row r="8220" spans="1:12" ht="43.5" x14ac:dyDescent="0.35">
      <c r="A8220" s="6" t="s">
        <v>98</v>
      </c>
      <c r="B8220" s="6" t="s">
        <v>99</v>
      </c>
      <c r="C8220" s="6" t="s">
        <v>1488</v>
      </c>
      <c r="D8220" s="6" t="s">
        <v>14</v>
      </c>
      <c r="E8220" s="6" t="s">
        <v>17</v>
      </c>
      <c r="F8220" s="6" t="s">
        <v>59</v>
      </c>
      <c r="G8220" s="6" t="s">
        <v>1296</v>
      </c>
      <c r="H8220" s="6" t="s">
        <v>1297</v>
      </c>
      <c r="I8220" s="6" t="s">
        <v>31</v>
      </c>
      <c r="J8220" s="6">
        <v>16.373311000000001</v>
      </c>
      <c r="K8220" s="6">
        <v>-97.677639999999997</v>
      </c>
      <c r="L8220" s="6" t="str">
        <f>HYPERLINK("https://maps.google.com/?q=16.373311,-97.677639999999997", "🔗 Ver Mapa")</f>
        <v>🔗 Ver Mapa</v>
      </c>
    </row>
    <row r="8221" spans="1:12" ht="43.5" x14ac:dyDescent="0.35">
      <c r="A8221" s="5" t="s">
        <v>98</v>
      </c>
      <c r="B8221" s="5" t="s">
        <v>99</v>
      </c>
      <c r="C8221" s="5" t="s">
        <v>1488</v>
      </c>
      <c r="D8221" s="5" t="s">
        <v>14</v>
      </c>
      <c r="E8221" s="5" t="s">
        <v>17</v>
      </c>
      <c r="F8221" s="5" t="s">
        <v>59</v>
      </c>
      <c r="G8221" s="5" t="s">
        <v>1296</v>
      </c>
      <c r="H8221" s="5" t="s">
        <v>1297</v>
      </c>
      <c r="I8221" s="5" t="s">
        <v>31</v>
      </c>
      <c r="J8221" s="5">
        <v>16.373335999999998</v>
      </c>
      <c r="K8221" s="5">
        <v>-97.677083999999994</v>
      </c>
      <c r="L8221" s="5" t="str">
        <f>HYPERLINK("https://maps.google.com/?q=16.373336,-97.677083999999994", "🔗 Ver Mapa")</f>
        <v>🔗 Ver Mapa</v>
      </c>
    </row>
    <row r="8222" spans="1:12" ht="43.5" x14ac:dyDescent="0.35">
      <c r="A8222" s="6" t="s">
        <v>98</v>
      </c>
      <c r="B8222" s="6" t="s">
        <v>99</v>
      </c>
      <c r="C8222" s="6" t="s">
        <v>1488</v>
      </c>
      <c r="D8222" s="6" t="s">
        <v>14</v>
      </c>
      <c r="E8222" s="6" t="s">
        <v>17</v>
      </c>
      <c r="F8222" s="6" t="s">
        <v>59</v>
      </c>
      <c r="G8222" s="6" t="s">
        <v>1296</v>
      </c>
      <c r="H8222" s="6" t="s">
        <v>1297</v>
      </c>
      <c r="I8222" s="6" t="s">
        <v>31</v>
      </c>
      <c r="J8222" s="6">
        <v>16.373557000000002</v>
      </c>
      <c r="K8222" s="6">
        <v>-97.676742000000004</v>
      </c>
      <c r="L8222" s="6" t="str">
        <f>HYPERLINK("https://maps.google.com/?q=16.373557,-97.676742000000004", "🔗 Ver Mapa")</f>
        <v>🔗 Ver Mapa</v>
      </c>
    </row>
    <row r="8223" spans="1:12" ht="43.5" x14ac:dyDescent="0.35">
      <c r="A8223" s="5" t="s">
        <v>98</v>
      </c>
      <c r="B8223" s="5" t="s">
        <v>99</v>
      </c>
      <c r="C8223" s="5" t="s">
        <v>1488</v>
      </c>
      <c r="D8223" s="5" t="s">
        <v>14</v>
      </c>
      <c r="E8223" s="5" t="s">
        <v>17</v>
      </c>
      <c r="F8223" s="5" t="s">
        <v>59</v>
      </c>
      <c r="G8223" s="5" t="s">
        <v>1296</v>
      </c>
      <c r="H8223" s="5" t="s">
        <v>1297</v>
      </c>
      <c r="I8223" s="5" t="s">
        <v>31</v>
      </c>
      <c r="J8223" s="5">
        <v>16.373584999999999</v>
      </c>
      <c r="K8223" s="5">
        <v>-97.676551099999998</v>
      </c>
      <c r="L8223" s="5" t="str">
        <f>HYPERLINK("https://maps.google.com/?q=16.373585,-97.676551099999998", "🔗 Ver Mapa")</f>
        <v>🔗 Ver Mapa</v>
      </c>
    </row>
    <row r="8224" spans="1:12" ht="43.5" x14ac:dyDescent="0.35">
      <c r="A8224" s="6" t="s">
        <v>98</v>
      </c>
      <c r="B8224" s="6" t="s">
        <v>99</v>
      </c>
      <c r="C8224" s="6" t="s">
        <v>1488</v>
      </c>
      <c r="D8224" s="6" t="s">
        <v>14</v>
      </c>
      <c r="E8224" s="6" t="s">
        <v>17</v>
      </c>
      <c r="F8224" s="6" t="s">
        <v>59</v>
      </c>
      <c r="G8224" s="6" t="s">
        <v>1296</v>
      </c>
      <c r="H8224" s="6" t="s">
        <v>1297</v>
      </c>
      <c r="I8224" s="6" t="s">
        <v>31</v>
      </c>
      <c r="J8224" s="6">
        <v>16.374002000000001</v>
      </c>
      <c r="K8224" s="6">
        <v>-97.674170000000004</v>
      </c>
      <c r="L8224" s="6" t="str">
        <f>HYPERLINK("https://maps.google.com/?q=16.374002,-97.674170000000004", "🔗 Ver Mapa")</f>
        <v>🔗 Ver Mapa</v>
      </c>
    </row>
    <row r="8225" spans="1:12" ht="43.5" x14ac:dyDescent="0.35">
      <c r="A8225" s="5" t="s">
        <v>98</v>
      </c>
      <c r="B8225" s="5" t="s">
        <v>99</v>
      </c>
      <c r="C8225" s="5" t="s">
        <v>1488</v>
      </c>
      <c r="D8225" s="5" t="s">
        <v>14</v>
      </c>
      <c r="E8225" s="5" t="s">
        <v>17</v>
      </c>
      <c r="F8225" s="5" t="s">
        <v>59</v>
      </c>
      <c r="G8225" s="5" t="s">
        <v>1296</v>
      </c>
      <c r="H8225" s="5" t="s">
        <v>1297</v>
      </c>
      <c r="I8225" s="5" t="s">
        <v>31</v>
      </c>
      <c r="J8225" s="5">
        <v>16.374811999999999</v>
      </c>
      <c r="K8225" s="5">
        <v>-97.678396000000006</v>
      </c>
      <c r="L8225" s="5" t="str">
        <f>HYPERLINK("https://maps.google.com/?q=16.374812,-97.678396000000006", "🔗 Ver Mapa")</f>
        <v>🔗 Ver Mapa</v>
      </c>
    </row>
    <row r="8226" spans="1:12" ht="43.5" x14ac:dyDescent="0.35">
      <c r="A8226" s="6" t="s">
        <v>98</v>
      </c>
      <c r="B8226" s="6" t="s">
        <v>99</v>
      </c>
      <c r="C8226" s="6" t="s">
        <v>1488</v>
      </c>
      <c r="D8226" s="6" t="s">
        <v>14</v>
      </c>
      <c r="E8226" s="6" t="s">
        <v>17</v>
      </c>
      <c r="F8226" s="6" t="s">
        <v>59</v>
      </c>
      <c r="G8226" s="6" t="s">
        <v>1296</v>
      </c>
      <c r="H8226" s="6" t="s">
        <v>1297</v>
      </c>
      <c r="I8226" s="6" t="s">
        <v>31</v>
      </c>
      <c r="J8226" s="6">
        <v>16.375143999999999</v>
      </c>
      <c r="K8226" s="6">
        <v>-97.679242000000002</v>
      </c>
      <c r="L8226" s="6" t="str">
        <f>HYPERLINK("https://maps.google.com/?q=16.375144,-97.679242000000002", "🔗 Ver Mapa")</f>
        <v>🔗 Ver Mapa</v>
      </c>
    </row>
    <row r="8227" spans="1:12" ht="43.5" x14ac:dyDescent="0.35">
      <c r="A8227" s="5" t="s">
        <v>98</v>
      </c>
      <c r="B8227" s="5" t="s">
        <v>99</v>
      </c>
      <c r="C8227" s="5" t="s">
        <v>1489</v>
      </c>
      <c r="D8227" s="5" t="s">
        <v>14</v>
      </c>
      <c r="E8227" s="5" t="s">
        <v>17</v>
      </c>
      <c r="F8227" s="5" t="s">
        <v>59</v>
      </c>
      <c r="G8227" s="5" t="s">
        <v>1296</v>
      </c>
      <c r="H8227" s="5" t="s">
        <v>1490</v>
      </c>
      <c r="I8227" s="5" t="s">
        <v>31</v>
      </c>
      <c r="J8227" s="5">
        <v>16.421759999999999</v>
      </c>
      <c r="K8227" s="5">
        <v>-97.639126000000005</v>
      </c>
      <c r="L8227" s="5" t="str">
        <f>HYPERLINK("https://maps.google.com/?q=16.42176,-97.639126000000005", "🔗 Ver Mapa")</f>
        <v>🔗 Ver Mapa</v>
      </c>
    </row>
    <row r="8228" spans="1:12" ht="43.5" x14ac:dyDescent="0.35">
      <c r="A8228" s="6" t="s">
        <v>98</v>
      </c>
      <c r="B8228" s="6" t="s">
        <v>99</v>
      </c>
      <c r="C8228" s="6" t="s">
        <v>1489</v>
      </c>
      <c r="D8228" s="6" t="s">
        <v>14</v>
      </c>
      <c r="E8228" s="6" t="s">
        <v>17</v>
      </c>
      <c r="F8228" s="6" t="s">
        <v>59</v>
      </c>
      <c r="G8228" s="6" t="s">
        <v>1296</v>
      </c>
      <c r="H8228" s="6" t="s">
        <v>1490</v>
      </c>
      <c r="I8228" s="6" t="s">
        <v>31</v>
      </c>
      <c r="J8228" s="6">
        <v>16.421831999999998</v>
      </c>
      <c r="K8228" s="6">
        <v>-97.639388999999994</v>
      </c>
      <c r="L8228" s="6" t="str">
        <f>HYPERLINK("https://maps.google.com/?q=16.421832,-97.639388999999994", "🔗 Ver Mapa")</f>
        <v>🔗 Ver Mapa</v>
      </c>
    </row>
    <row r="8229" spans="1:12" ht="43.5" x14ac:dyDescent="0.35">
      <c r="A8229" s="5" t="s">
        <v>98</v>
      </c>
      <c r="B8229" s="5" t="s">
        <v>99</v>
      </c>
      <c r="C8229" s="5" t="s">
        <v>1489</v>
      </c>
      <c r="D8229" s="5" t="s">
        <v>14</v>
      </c>
      <c r="E8229" s="5" t="s">
        <v>17</v>
      </c>
      <c r="F8229" s="5" t="s">
        <v>59</v>
      </c>
      <c r="G8229" s="5" t="s">
        <v>1296</v>
      </c>
      <c r="H8229" s="5" t="s">
        <v>1490</v>
      </c>
      <c r="I8229" s="5" t="s">
        <v>31</v>
      </c>
      <c r="J8229" s="5">
        <v>16.422592000000002</v>
      </c>
      <c r="K8229" s="5">
        <v>-97.638865999999993</v>
      </c>
      <c r="L8229" s="5" t="str">
        <f>HYPERLINK("https://maps.google.com/?q=16.422592,-97.638865999999993", "🔗 Ver Mapa")</f>
        <v>🔗 Ver Mapa</v>
      </c>
    </row>
    <row r="8230" spans="1:12" ht="43.5" x14ac:dyDescent="0.35">
      <c r="A8230" s="6" t="s">
        <v>98</v>
      </c>
      <c r="B8230" s="6" t="s">
        <v>99</v>
      </c>
      <c r="C8230" s="6" t="s">
        <v>1489</v>
      </c>
      <c r="D8230" s="6" t="s">
        <v>14</v>
      </c>
      <c r="E8230" s="6" t="s">
        <v>17</v>
      </c>
      <c r="F8230" s="6" t="s">
        <v>59</v>
      </c>
      <c r="G8230" s="6" t="s">
        <v>1296</v>
      </c>
      <c r="H8230" s="6" t="s">
        <v>1490</v>
      </c>
      <c r="I8230" s="6" t="s">
        <v>31</v>
      </c>
      <c r="J8230" s="6">
        <v>16.422706600000001</v>
      </c>
      <c r="K8230" s="6">
        <v>-97.639466999999996</v>
      </c>
      <c r="L8230" s="6" t="str">
        <f>HYPERLINK("https://maps.google.com/?q=16.4227066,-97.639466999999996", "🔗 Ver Mapa")</f>
        <v>🔗 Ver Mapa</v>
      </c>
    </row>
    <row r="8231" spans="1:12" ht="43.5" x14ac:dyDescent="0.35">
      <c r="A8231" s="5" t="s">
        <v>98</v>
      </c>
      <c r="B8231" s="5" t="s">
        <v>99</v>
      </c>
      <c r="C8231" s="5" t="s">
        <v>1489</v>
      </c>
      <c r="D8231" s="5" t="s">
        <v>14</v>
      </c>
      <c r="E8231" s="5" t="s">
        <v>17</v>
      </c>
      <c r="F8231" s="5" t="s">
        <v>59</v>
      </c>
      <c r="G8231" s="5" t="s">
        <v>1296</v>
      </c>
      <c r="H8231" s="5" t="s">
        <v>1490</v>
      </c>
      <c r="I8231" s="5" t="s">
        <v>31</v>
      </c>
      <c r="J8231" s="5">
        <v>16.422982000000001</v>
      </c>
      <c r="K8231" s="5">
        <v>-97.639453000000003</v>
      </c>
      <c r="L8231" s="5" t="str">
        <f>HYPERLINK("https://maps.google.com/?q=16.422982,-97.639453000000003", "🔗 Ver Mapa")</f>
        <v>🔗 Ver Mapa</v>
      </c>
    </row>
    <row r="8232" spans="1:12" ht="43.5" x14ac:dyDescent="0.35">
      <c r="A8232" s="6" t="s">
        <v>98</v>
      </c>
      <c r="B8232" s="6" t="s">
        <v>99</v>
      </c>
      <c r="C8232" s="6" t="s">
        <v>1489</v>
      </c>
      <c r="D8232" s="6" t="s">
        <v>14</v>
      </c>
      <c r="E8232" s="6" t="s">
        <v>17</v>
      </c>
      <c r="F8232" s="6" t="s">
        <v>59</v>
      </c>
      <c r="G8232" s="6" t="s">
        <v>1296</v>
      </c>
      <c r="H8232" s="6" t="s">
        <v>1490</v>
      </c>
      <c r="I8232" s="6" t="s">
        <v>31</v>
      </c>
      <c r="J8232" s="6">
        <v>16.423272000000001</v>
      </c>
      <c r="K8232" s="6">
        <v>-97.640159999999995</v>
      </c>
      <c r="L8232" s="6" t="str">
        <f>HYPERLINK("https://maps.google.com/?q=16.423272,-97.640159999999995", "🔗 Ver Mapa")</f>
        <v>🔗 Ver Mapa</v>
      </c>
    </row>
    <row r="8233" spans="1:12" ht="43.5" x14ac:dyDescent="0.35">
      <c r="A8233" s="5" t="s">
        <v>98</v>
      </c>
      <c r="B8233" s="5" t="s">
        <v>99</v>
      </c>
      <c r="C8233" s="5" t="s">
        <v>1489</v>
      </c>
      <c r="D8233" s="5" t="s">
        <v>14</v>
      </c>
      <c r="E8233" s="5" t="s">
        <v>17</v>
      </c>
      <c r="F8233" s="5" t="s">
        <v>59</v>
      </c>
      <c r="G8233" s="5" t="s">
        <v>1296</v>
      </c>
      <c r="H8233" s="5" t="s">
        <v>1490</v>
      </c>
      <c r="I8233" s="5" t="s">
        <v>31</v>
      </c>
      <c r="J8233" s="5">
        <v>16.423457599999999</v>
      </c>
      <c r="K8233" s="5">
        <v>-97.642899499999999</v>
      </c>
      <c r="L8233" s="5" t="str">
        <f>HYPERLINK("https://maps.google.com/?q=16.4234576,-97.642899499999999", "🔗 Ver Mapa")</f>
        <v>🔗 Ver Mapa</v>
      </c>
    </row>
    <row r="8234" spans="1:12" ht="43.5" x14ac:dyDescent="0.35">
      <c r="A8234" s="6" t="s">
        <v>98</v>
      </c>
      <c r="B8234" s="6" t="s">
        <v>99</v>
      </c>
      <c r="C8234" s="6" t="s">
        <v>1489</v>
      </c>
      <c r="D8234" s="6" t="s">
        <v>14</v>
      </c>
      <c r="E8234" s="6" t="s">
        <v>17</v>
      </c>
      <c r="F8234" s="6" t="s">
        <v>59</v>
      </c>
      <c r="G8234" s="6" t="s">
        <v>1296</v>
      </c>
      <c r="H8234" s="6" t="s">
        <v>1490</v>
      </c>
      <c r="I8234" s="6" t="s">
        <v>31</v>
      </c>
      <c r="J8234" s="6">
        <v>16.423518000000001</v>
      </c>
      <c r="K8234" s="6">
        <v>-97.640849000000003</v>
      </c>
      <c r="L8234" s="6" t="str">
        <f>HYPERLINK("https://maps.google.com/?q=16.423518,-97.640849000000003", "🔗 Ver Mapa")</f>
        <v>🔗 Ver Mapa</v>
      </c>
    </row>
    <row r="8235" spans="1:12" ht="43.5" x14ac:dyDescent="0.35">
      <c r="A8235" s="5" t="s">
        <v>98</v>
      </c>
      <c r="B8235" s="5" t="s">
        <v>99</v>
      </c>
      <c r="C8235" s="5" t="s">
        <v>1489</v>
      </c>
      <c r="D8235" s="5" t="s">
        <v>14</v>
      </c>
      <c r="E8235" s="5" t="s">
        <v>17</v>
      </c>
      <c r="F8235" s="5" t="s">
        <v>59</v>
      </c>
      <c r="G8235" s="5" t="s">
        <v>1296</v>
      </c>
      <c r="H8235" s="5" t="s">
        <v>1490</v>
      </c>
      <c r="I8235" s="5" t="s">
        <v>31</v>
      </c>
      <c r="J8235" s="5">
        <v>16.423527</v>
      </c>
      <c r="K8235" s="5">
        <v>-97.640500000000003</v>
      </c>
      <c r="L8235" s="5" t="str">
        <f>HYPERLINK("https://maps.google.com/?q=16.423527,-97.640500000000003", "🔗 Ver Mapa")</f>
        <v>🔗 Ver Mapa</v>
      </c>
    </row>
    <row r="8236" spans="1:12" ht="43.5" x14ac:dyDescent="0.35">
      <c r="A8236" s="6" t="s">
        <v>98</v>
      </c>
      <c r="B8236" s="6" t="s">
        <v>99</v>
      </c>
      <c r="C8236" s="6" t="s">
        <v>1489</v>
      </c>
      <c r="D8236" s="6" t="s">
        <v>14</v>
      </c>
      <c r="E8236" s="6" t="s">
        <v>17</v>
      </c>
      <c r="F8236" s="6" t="s">
        <v>59</v>
      </c>
      <c r="G8236" s="6" t="s">
        <v>1296</v>
      </c>
      <c r="H8236" s="6" t="s">
        <v>1490</v>
      </c>
      <c r="I8236" s="6" t="s">
        <v>31</v>
      </c>
      <c r="J8236" s="6">
        <v>16.423648</v>
      </c>
      <c r="K8236" s="6">
        <v>-97.641474000000002</v>
      </c>
      <c r="L8236" s="6" t="str">
        <f>HYPERLINK("https://maps.google.com/?q=16.423648,-97.641474000000002", "🔗 Ver Mapa")</f>
        <v>🔗 Ver Mapa</v>
      </c>
    </row>
    <row r="8237" spans="1:12" ht="43.5" x14ac:dyDescent="0.35">
      <c r="A8237" s="5" t="s">
        <v>98</v>
      </c>
      <c r="B8237" s="5" t="s">
        <v>99</v>
      </c>
      <c r="C8237" s="5" t="s">
        <v>1489</v>
      </c>
      <c r="D8237" s="5" t="s">
        <v>14</v>
      </c>
      <c r="E8237" s="5" t="s">
        <v>17</v>
      </c>
      <c r="F8237" s="5" t="s">
        <v>59</v>
      </c>
      <c r="G8237" s="5" t="s">
        <v>1296</v>
      </c>
      <c r="H8237" s="5" t="s">
        <v>1490</v>
      </c>
      <c r="I8237" s="5" t="s">
        <v>31</v>
      </c>
      <c r="J8237" s="5">
        <v>16.423884953965</v>
      </c>
      <c r="K8237" s="5">
        <v>-97.640878965593998</v>
      </c>
      <c r="L8237" s="5" t="str">
        <f>HYPERLINK("https://maps.google.com/?q=16.4238849539646,-97.640878965594098", "🔗 Ver Mapa")</f>
        <v>🔗 Ver Mapa</v>
      </c>
    </row>
    <row r="8238" spans="1:12" ht="43.5" x14ac:dyDescent="0.35">
      <c r="A8238" s="6" t="s">
        <v>98</v>
      </c>
      <c r="B8238" s="6" t="s">
        <v>99</v>
      </c>
      <c r="C8238" s="6" t="s">
        <v>1489</v>
      </c>
      <c r="D8238" s="6" t="s">
        <v>14</v>
      </c>
      <c r="E8238" s="6" t="s">
        <v>17</v>
      </c>
      <c r="F8238" s="6" t="s">
        <v>59</v>
      </c>
      <c r="G8238" s="6" t="s">
        <v>1296</v>
      </c>
      <c r="H8238" s="6" t="s">
        <v>1490</v>
      </c>
      <c r="I8238" s="6" t="s">
        <v>31</v>
      </c>
      <c r="J8238" s="6">
        <v>16.423976</v>
      </c>
      <c r="K8238" s="6">
        <v>-97.642709999999994</v>
      </c>
      <c r="L8238" s="6" t="str">
        <f>HYPERLINK("https://maps.google.com/?q=16.423976,-97.642709999999994", "🔗 Ver Mapa")</f>
        <v>🔗 Ver Mapa</v>
      </c>
    </row>
    <row r="8239" spans="1:12" ht="43.5" x14ac:dyDescent="0.35">
      <c r="A8239" s="5" t="s">
        <v>98</v>
      </c>
      <c r="B8239" s="5" t="s">
        <v>99</v>
      </c>
      <c r="C8239" s="5" t="s">
        <v>1489</v>
      </c>
      <c r="D8239" s="5" t="s">
        <v>14</v>
      </c>
      <c r="E8239" s="5" t="s">
        <v>17</v>
      </c>
      <c r="F8239" s="5" t="s">
        <v>59</v>
      </c>
      <c r="G8239" s="5" t="s">
        <v>1296</v>
      </c>
      <c r="H8239" s="5" t="s">
        <v>1490</v>
      </c>
      <c r="I8239" s="5" t="s">
        <v>31</v>
      </c>
      <c r="J8239" s="5">
        <v>16.424154000000001</v>
      </c>
      <c r="K8239" s="5">
        <v>-97.640161000000006</v>
      </c>
      <c r="L8239" s="5" t="str">
        <f>HYPERLINK("https://maps.google.com/?q=16.424154,-97.640161000000006", "🔗 Ver Mapa")</f>
        <v>🔗 Ver Mapa</v>
      </c>
    </row>
    <row r="8240" spans="1:12" ht="43.5" x14ac:dyDescent="0.35">
      <c r="A8240" s="6" t="s">
        <v>98</v>
      </c>
      <c r="B8240" s="6" t="s">
        <v>99</v>
      </c>
      <c r="C8240" s="6" t="s">
        <v>1489</v>
      </c>
      <c r="D8240" s="6" t="s">
        <v>14</v>
      </c>
      <c r="E8240" s="6" t="s">
        <v>17</v>
      </c>
      <c r="F8240" s="6" t="s">
        <v>59</v>
      </c>
      <c r="G8240" s="6" t="s">
        <v>1296</v>
      </c>
      <c r="H8240" s="6" t="s">
        <v>1490</v>
      </c>
      <c r="I8240" s="6" t="s">
        <v>31</v>
      </c>
      <c r="J8240" s="6">
        <v>16.424208</v>
      </c>
      <c r="K8240" s="6">
        <v>-97.641098</v>
      </c>
      <c r="L8240" s="6" t="str">
        <f>HYPERLINK("https://maps.google.com/?q=16.424208,-97.641098", "🔗 Ver Mapa")</f>
        <v>🔗 Ver Mapa</v>
      </c>
    </row>
    <row r="8241" spans="1:12" ht="43.5" x14ac:dyDescent="0.35">
      <c r="A8241" s="5" t="s">
        <v>98</v>
      </c>
      <c r="B8241" s="5" t="s">
        <v>99</v>
      </c>
      <c r="C8241" s="5" t="s">
        <v>1489</v>
      </c>
      <c r="D8241" s="5" t="s">
        <v>14</v>
      </c>
      <c r="E8241" s="5" t="s">
        <v>17</v>
      </c>
      <c r="F8241" s="5" t="s">
        <v>59</v>
      </c>
      <c r="G8241" s="5" t="s">
        <v>1296</v>
      </c>
      <c r="H8241" s="5" t="s">
        <v>1490</v>
      </c>
      <c r="I8241" s="5" t="s">
        <v>31</v>
      </c>
      <c r="J8241" s="5">
        <v>16.424495</v>
      </c>
      <c r="K8241" s="5">
        <v>-97.640863999999993</v>
      </c>
      <c r="L8241" s="5" t="str">
        <f>HYPERLINK("https://maps.google.com/?q=16.424495,-97.640863999999993", "🔗 Ver Mapa")</f>
        <v>🔗 Ver Mapa</v>
      </c>
    </row>
    <row r="8242" spans="1:12" ht="43.5" x14ac:dyDescent="0.35">
      <c r="A8242" s="6" t="s">
        <v>98</v>
      </c>
      <c r="B8242" s="6" t="s">
        <v>99</v>
      </c>
      <c r="C8242" s="6" t="s">
        <v>1489</v>
      </c>
      <c r="D8242" s="6" t="s">
        <v>14</v>
      </c>
      <c r="E8242" s="6" t="s">
        <v>17</v>
      </c>
      <c r="F8242" s="6" t="s">
        <v>59</v>
      </c>
      <c r="G8242" s="6" t="s">
        <v>1296</v>
      </c>
      <c r="H8242" s="6" t="s">
        <v>1490</v>
      </c>
      <c r="I8242" s="6" t="s">
        <v>31</v>
      </c>
      <c r="J8242" s="6">
        <v>16.424937</v>
      </c>
      <c r="K8242" s="6">
        <v>-97.642910000000001</v>
      </c>
      <c r="L8242" s="6" t="str">
        <f>HYPERLINK("https://maps.google.com/?q=16.424937,-97.642910000000001", "🔗 Ver Mapa")</f>
        <v>🔗 Ver Mapa</v>
      </c>
    </row>
    <row r="8243" spans="1:12" ht="43.5" x14ac:dyDescent="0.35">
      <c r="A8243" s="5" t="s">
        <v>98</v>
      </c>
      <c r="B8243" s="5" t="s">
        <v>99</v>
      </c>
      <c r="C8243" s="5" t="s">
        <v>1489</v>
      </c>
      <c r="D8243" s="5" t="s">
        <v>14</v>
      </c>
      <c r="E8243" s="5" t="s">
        <v>17</v>
      </c>
      <c r="F8243" s="5" t="s">
        <v>59</v>
      </c>
      <c r="G8243" s="5" t="s">
        <v>1296</v>
      </c>
      <c r="H8243" s="5" t="s">
        <v>1490</v>
      </c>
      <c r="I8243" s="5" t="s">
        <v>31</v>
      </c>
      <c r="J8243" s="5">
        <v>16.425024000000001</v>
      </c>
      <c r="K8243" s="5">
        <v>-97.644884000000005</v>
      </c>
      <c r="L8243" s="5" t="str">
        <f>HYPERLINK("https://maps.google.com/?q=16.425024,-97.644884000000005", "🔗 Ver Mapa")</f>
        <v>🔗 Ver Mapa</v>
      </c>
    </row>
    <row r="8244" spans="1:12" ht="43.5" x14ac:dyDescent="0.35">
      <c r="A8244" s="6" t="s">
        <v>98</v>
      </c>
      <c r="B8244" s="6" t="s">
        <v>99</v>
      </c>
      <c r="C8244" s="6" t="s">
        <v>1489</v>
      </c>
      <c r="D8244" s="6" t="s">
        <v>14</v>
      </c>
      <c r="E8244" s="6" t="s">
        <v>17</v>
      </c>
      <c r="F8244" s="6" t="s">
        <v>59</v>
      </c>
      <c r="G8244" s="6" t="s">
        <v>1296</v>
      </c>
      <c r="H8244" s="6" t="s">
        <v>1490</v>
      </c>
      <c r="I8244" s="6" t="s">
        <v>31</v>
      </c>
      <c r="J8244" s="6">
        <v>16.425113</v>
      </c>
      <c r="K8244" s="6">
        <v>-97.640990000000002</v>
      </c>
      <c r="L8244" s="6" t="str">
        <f>HYPERLINK("https://maps.google.com/?q=16.425113,-97.640990000000002", "🔗 Ver Mapa")</f>
        <v>🔗 Ver Mapa</v>
      </c>
    </row>
    <row r="8245" spans="1:12" ht="43.5" x14ac:dyDescent="0.35">
      <c r="A8245" s="5" t="s">
        <v>98</v>
      </c>
      <c r="B8245" s="5" t="s">
        <v>99</v>
      </c>
      <c r="C8245" s="5" t="s">
        <v>1489</v>
      </c>
      <c r="D8245" s="5" t="s">
        <v>14</v>
      </c>
      <c r="E8245" s="5" t="s">
        <v>17</v>
      </c>
      <c r="F8245" s="5" t="s">
        <v>59</v>
      </c>
      <c r="G8245" s="5" t="s">
        <v>1296</v>
      </c>
      <c r="H8245" s="5" t="s">
        <v>1490</v>
      </c>
      <c r="I8245" s="5" t="s">
        <v>31</v>
      </c>
      <c r="J8245" s="5">
        <v>16.425225000000001</v>
      </c>
      <c r="K8245" s="5">
        <v>-97.643523999999999</v>
      </c>
      <c r="L8245" s="5" t="str">
        <f>HYPERLINK("https://maps.google.com/?q=16.425225,-97.643523999999999", "🔗 Ver Mapa")</f>
        <v>🔗 Ver Mapa</v>
      </c>
    </row>
    <row r="8246" spans="1:12" ht="43.5" x14ac:dyDescent="0.35">
      <c r="A8246" s="6" t="s">
        <v>98</v>
      </c>
      <c r="B8246" s="6" t="s">
        <v>99</v>
      </c>
      <c r="C8246" s="6" t="s">
        <v>1489</v>
      </c>
      <c r="D8246" s="6" t="s">
        <v>14</v>
      </c>
      <c r="E8246" s="6" t="s">
        <v>17</v>
      </c>
      <c r="F8246" s="6" t="s">
        <v>59</v>
      </c>
      <c r="G8246" s="6" t="s">
        <v>1296</v>
      </c>
      <c r="H8246" s="6" t="s">
        <v>1490</v>
      </c>
      <c r="I8246" s="6" t="s">
        <v>31</v>
      </c>
      <c r="J8246" s="6">
        <v>16.425408999999998</v>
      </c>
      <c r="K8246" s="6">
        <v>-97.642083</v>
      </c>
      <c r="L8246" s="6" t="str">
        <f>HYPERLINK("https://maps.google.com/?q=16.425409,-97.642083", "🔗 Ver Mapa")</f>
        <v>🔗 Ver Mapa</v>
      </c>
    </row>
    <row r="8247" spans="1:12" ht="43.5" x14ac:dyDescent="0.35">
      <c r="A8247" s="5" t="s">
        <v>98</v>
      </c>
      <c r="B8247" s="5" t="s">
        <v>99</v>
      </c>
      <c r="C8247" s="5" t="s">
        <v>1489</v>
      </c>
      <c r="D8247" s="5" t="s">
        <v>14</v>
      </c>
      <c r="E8247" s="5" t="s">
        <v>17</v>
      </c>
      <c r="F8247" s="5" t="s">
        <v>59</v>
      </c>
      <c r="G8247" s="5" t="s">
        <v>1296</v>
      </c>
      <c r="H8247" s="5" t="s">
        <v>1490</v>
      </c>
      <c r="I8247" s="5" t="s">
        <v>31</v>
      </c>
      <c r="J8247" s="5">
        <v>16.425671000000001</v>
      </c>
      <c r="K8247" s="5">
        <v>-97.641976999999997</v>
      </c>
      <c r="L8247" s="5" t="str">
        <f>HYPERLINK("https://maps.google.com/?q=16.425671,-97.641976999999997", "🔗 Ver Mapa")</f>
        <v>🔗 Ver Mapa</v>
      </c>
    </row>
    <row r="8248" spans="1:12" ht="43.5" x14ac:dyDescent="0.35">
      <c r="A8248" s="6" t="s">
        <v>98</v>
      </c>
      <c r="B8248" s="6" t="s">
        <v>99</v>
      </c>
      <c r="C8248" s="6" t="s">
        <v>1489</v>
      </c>
      <c r="D8248" s="6" t="s">
        <v>14</v>
      </c>
      <c r="E8248" s="6" t="s">
        <v>17</v>
      </c>
      <c r="F8248" s="6" t="s">
        <v>59</v>
      </c>
      <c r="G8248" s="6" t="s">
        <v>1296</v>
      </c>
      <c r="H8248" s="6" t="s">
        <v>1490</v>
      </c>
      <c r="I8248" s="6" t="s">
        <v>31</v>
      </c>
      <c r="J8248" s="6">
        <v>16.425701</v>
      </c>
      <c r="K8248" s="6">
        <v>-97.642833999999993</v>
      </c>
      <c r="L8248" s="6" t="str">
        <f>HYPERLINK("https://maps.google.com/?q=16.425701,-97.642833999999993", "🔗 Ver Mapa")</f>
        <v>🔗 Ver Mapa</v>
      </c>
    </row>
    <row r="8249" spans="1:12" ht="43.5" x14ac:dyDescent="0.35">
      <c r="A8249" s="5" t="s">
        <v>98</v>
      </c>
      <c r="B8249" s="5" t="s">
        <v>99</v>
      </c>
      <c r="C8249" s="5" t="s">
        <v>1489</v>
      </c>
      <c r="D8249" s="5" t="s">
        <v>14</v>
      </c>
      <c r="E8249" s="5" t="s">
        <v>17</v>
      </c>
      <c r="F8249" s="5" t="s">
        <v>59</v>
      </c>
      <c r="G8249" s="5" t="s">
        <v>1296</v>
      </c>
      <c r="H8249" s="5" t="s">
        <v>1490</v>
      </c>
      <c r="I8249" s="5" t="s">
        <v>31</v>
      </c>
      <c r="J8249" s="5">
        <v>16.426036</v>
      </c>
      <c r="K8249" s="5">
        <v>-97.645156</v>
      </c>
      <c r="L8249" s="5" t="str">
        <f>HYPERLINK("https://maps.google.com/?q=16.426036,-97.645156", "🔗 Ver Mapa")</f>
        <v>🔗 Ver Mapa</v>
      </c>
    </row>
    <row r="8250" spans="1:12" ht="43.5" x14ac:dyDescent="0.35">
      <c r="A8250" s="6" t="s">
        <v>98</v>
      </c>
      <c r="B8250" s="6" t="s">
        <v>99</v>
      </c>
      <c r="C8250" s="6" t="s">
        <v>1489</v>
      </c>
      <c r="D8250" s="6" t="s">
        <v>14</v>
      </c>
      <c r="E8250" s="6" t="s">
        <v>17</v>
      </c>
      <c r="F8250" s="6" t="s">
        <v>59</v>
      </c>
      <c r="G8250" s="6" t="s">
        <v>1296</v>
      </c>
      <c r="H8250" s="6" t="s">
        <v>1490</v>
      </c>
      <c r="I8250" s="6" t="s">
        <v>31</v>
      </c>
      <c r="J8250" s="6">
        <v>16.426445000000001</v>
      </c>
      <c r="K8250" s="6">
        <v>-97.642476000000002</v>
      </c>
      <c r="L8250" s="6" t="str">
        <f>HYPERLINK("https://maps.google.com/?q=16.426445,-97.642476000000002", "🔗 Ver Mapa")</f>
        <v>🔗 Ver Mapa</v>
      </c>
    </row>
    <row r="8251" spans="1:12" ht="43.5" x14ac:dyDescent="0.35">
      <c r="A8251" s="5" t="s">
        <v>98</v>
      </c>
      <c r="B8251" s="5" t="s">
        <v>99</v>
      </c>
      <c r="C8251" s="5" t="s">
        <v>1489</v>
      </c>
      <c r="D8251" s="5" t="s">
        <v>14</v>
      </c>
      <c r="E8251" s="5" t="s">
        <v>17</v>
      </c>
      <c r="F8251" s="5" t="s">
        <v>59</v>
      </c>
      <c r="G8251" s="5" t="s">
        <v>1296</v>
      </c>
      <c r="H8251" s="5" t="s">
        <v>1490</v>
      </c>
      <c r="I8251" s="5" t="s">
        <v>31</v>
      </c>
      <c r="J8251" s="5">
        <v>16.426849000000001</v>
      </c>
      <c r="K8251" s="5">
        <v>-97.646590000000003</v>
      </c>
      <c r="L8251" s="5" t="str">
        <f>HYPERLINK("https://maps.google.com/?q=16.426849,-97.646590000000003", "🔗 Ver Mapa")</f>
        <v>🔗 Ver Mapa</v>
      </c>
    </row>
    <row r="8252" spans="1:12" ht="43.5" x14ac:dyDescent="0.35">
      <c r="A8252" s="6" t="s">
        <v>98</v>
      </c>
      <c r="B8252" s="6" t="s">
        <v>99</v>
      </c>
      <c r="C8252" s="6" t="s">
        <v>1489</v>
      </c>
      <c r="D8252" s="6" t="s">
        <v>14</v>
      </c>
      <c r="E8252" s="6" t="s">
        <v>17</v>
      </c>
      <c r="F8252" s="6" t="s">
        <v>59</v>
      </c>
      <c r="G8252" s="6" t="s">
        <v>1296</v>
      </c>
      <c r="H8252" s="6" t="s">
        <v>1490</v>
      </c>
      <c r="I8252" s="6" t="s">
        <v>31</v>
      </c>
      <c r="J8252" s="6">
        <v>16.427432</v>
      </c>
      <c r="K8252" s="6">
        <v>-97.643902999999995</v>
      </c>
      <c r="L8252" s="6" t="str">
        <f>HYPERLINK("https://maps.google.com/?q=16.427432,-97.643902999999995", "🔗 Ver Mapa")</f>
        <v>🔗 Ver Mapa</v>
      </c>
    </row>
    <row r="8253" spans="1:12" ht="43.5" x14ac:dyDescent="0.35">
      <c r="A8253" s="5" t="s">
        <v>98</v>
      </c>
      <c r="B8253" s="5" t="s">
        <v>99</v>
      </c>
      <c r="C8253" s="5" t="s">
        <v>1489</v>
      </c>
      <c r="D8253" s="5" t="s">
        <v>14</v>
      </c>
      <c r="E8253" s="5" t="s">
        <v>17</v>
      </c>
      <c r="F8253" s="5" t="s">
        <v>59</v>
      </c>
      <c r="G8253" s="5" t="s">
        <v>1296</v>
      </c>
      <c r="H8253" s="5" t="s">
        <v>1490</v>
      </c>
      <c r="I8253" s="5" t="s">
        <v>31</v>
      </c>
      <c r="J8253" s="5">
        <v>16.427526</v>
      </c>
      <c r="K8253" s="5">
        <v>-97.644754000000006</v>
      </c>
      <c r="L8253" s="5" t="str">
        <f>HYPERLINK("https://maps.google.com/?q=16.427526,-97.644754000000006", "🔗 Ver Mapa")</f>
        <v>🔗 Ver Mapa</v>
      </c>
    </row>
    <row r="8254" spans="1:12" ht="43.5" x14ac:dyDescent="0.35">
      <c r="A8254" s="6" t="s">
        <v>98</v>
      </c>
      <c r="B8254" s="6" t="s">
        <v>99</v>
      </c>
      <c r="C8254" s="6" t="s">
        <v>1489</v>
      </c>
      <c r="D8254" s="6" t="s">
        <v>14</v>
      </c>
      <c r="E8254" s="6" t="s">
        <v>17</v>
      </c>
      <c r="F8254" s="6" t="s">
        <v>59</v>
      </c>
      <c r="G8254" s="6" t="s">
        <v>1296</v>
      </c>
      <c r="H8254" s="6" t="s">
        <v>1490</v>
      </c>
      <c r="I8254" s="6" t="s">
        <v>31</v>
      </c>
      <c r="J8254" s="6">
        <v>16.427595</v>
      </c>
      <c r="K8254" s="6">
        <v>-97.646983000000006</v>
      </c>
      <c r="L8254" s="6" t="str">
        <f>HYPERLINK("https://maps.google.com/?q=16.427595,-97.646983000000006", "🔗 Ver Mapa")</f>
        <v>🔗 Ver Mapa</v>
      </c>
    </row>
    <row r="8255" spans="1:12" ht="43.5" x14ac:dyDescent="0.35">
      <c r="A8255" s="5" t="s">
        <v>98</v>
      </c>
      <c r="B8255" s="5" t="s">
        <v>99</v>
      </c>
      <c r="C8255" s="5" t="s">
        <v>1491</v>
      </c>
      <c r="D8255" s="5" t="s">
        <v>14</v>
      </c>
      <c r="E8255" s="5" t="s">
        <v>52</v>
      </c>
      <c r="F8255" s="5" t="s">
        <v>70</v>
      </c>
      <c r="G8255" s="5" t="s">
        <v>123</v>
      </c>
      <c r="H8255" s="5" t="s">
        <v>307</v>
      </c>
      <c r="I8255" s="5" t="s">
        <v>31</v>
      </c>
      <c r="J8255" s="5">
        <v>0</v>
      </c>
      <c r="K8255" s="5" t="s">
        <v>1492</v>
      </c>
      <c r="L8255" s="5" t="str">
        <f>HYPERLINK("https://maps.google.com/?q=0, -96.747942", "🔗 Ver Mapa")</f>
        <v>🔗 Ver Mapa</v>
      </c>
    </row>
    <row r="8256" spans="1:12" ht="43.5" x14ac:dyDescent="0.35">
      <c r="A8256" s="6" t="s">
        <v>98</v>
      </c>
      <c r="B8256" s="6" t="s">
        <v>99</v>
      </c>
      <c r="C8256" s="6" t="s">
        <v>1491</v>
      </c>
      <c r="D8256" s="6" t="s">
        <v>14</v>
      </c>
      <c r="E8256" s="6" t="s">
        <v>52</v>
      </c>
      <c r="F8256" s="6" t="s">
        <v>70</v>
      </c>
      <c r="G8256" s="6" t="s">
        <v>123</v>
      </c>
      <c r="H8256" s="6" t="s">
        <v>307</v>
      </c>
      <c r="I8256" s="6" t="s">
        <v>31</v>
      </c>
      <c r="J8256" s="6">
        <v>17.020620000000001</v>
      </c>
      <c r="K8256" s="6">
        <v>-96.748711999999998</v>
      </c>
      <c r="L8256" s="6" t="str">
        <f>HYPERLINK("https://maps.google.com/?q=17.02062,-96.748711999999998", "🔗 Ver Mapa")</f>
        <v>🔗 Ver Mapa</v>
      </c>
    </row>
    <row r="8257" spans="1:12" ht="43.5" x14ac:dyDescent="0.35">
      <c r="A8257" s="5" t="s">
        <v>98</v>
      </c>
      <c r="B8257" s="5" t="s">
        <v>99</v>
      </c>
      <c r="C8257" s="5" t="s">
        <v>1491</v>
      </c>
      <c r="D8257" s="5" t="s">
        <v>14</v>
      </c>
      <c r="E8257" s="5" t="s">
        <v>52</v>
      </c>
      <c r="F8257" s="5" t="s">
        <v>70</v>
      </c>
      <c r="G8257" s="5" t="s">
        <v>123</v>
      </c>
      <c r="H8257" s="5" t="s">
        <v>307</v>
      </c>
      <c r="I8257" s="5" t="s">
        <v>31</v>
      </c>
      <c r="J8257" s="5">
        <v>17.022178</v>
      </c>
      <c r="K8257" s="5">
        <v>-96.748543999999995</v>
      </c>
      <c r="L8257" s="5" t="str">
        <f>HYPERLINK("https://maps.google.com/?q=17.022178,-96.748543999999995", "🔗 Ver Mapa")</f>
        <v>🔗 Ver Mapa</v>
      </c>
    </row>
    <row r="8258" spans="1:12" ht="43.5" x14ac:dyDescent="0.35">
      <c r="A8258" s="6" t="s">
        <v>98</v>
      </c>
      <c r="B8258" s="6" t="s">
        <v>99</v>
      </c>
      <c r="C8258" s="6" t="s">
        <v>1491</v>
      </c>
      <c r="D8258" s="6" t="s">
        <v>14</v>
      </c>
      <c r="E8258" s="6" t="s">
        <v>52</v>
      </c>
      <c r="F8258" s="6" t="s">
        <v>70</v>
      </c>
      <c r="G8258" s="6" t="s">
        <v>123</v>
      </c>
      <c r="H8258" s="6" t="s">
        <v>307</v>
      </c>
      <c r="I8258" s="6" t="s">
        <v>31</v>
      </c>
      <c r="J8258" s="6">
        <v>17.022252999999999</v>
      </c>
      <c r="K8258" s="6" t="s">
        <v>1493</v>
      </c>
      <c r="L8258" s="6" t="str">
        <f>HYPERLINK("https://maps.google.com/?q=17.022253, -96.748345", "🔗 Ver Mapa")</f>
        <v>🔗 Ver Mapa</v>
      </c>
    </row>
    <row r="8259" spans="1:12" ht="43.5" x14ac:dyDescent="0.35">
      <c r="A8259" s="5" t="s">
        <v>98</v>
      </c>
      <c r="B8259" s="5" t="s">
        <v>99</v>
      </c>
      <c r="C8259" s="5" t="s">
        <v>1491</v>
      </c>
      <c r="D8259" s="5" t="s">
        <v>14</v>
      </c>
      <c r="E8259" s="5" t="s">
        <v>52</v>
      </c>
      <c r="F8259" s="5" t="s">
        <v>70</v>
      </c>
      <c r="G8259" s="5" t="s">
        <v>123</v>
      </c>
      <c r="H8259" s="5" t="s">
        <v>307</v>
      </c>
      <c r="I8259" s="5" t="s">
        <v>31</v>
      </c>
      <c r="J8259" s="5">
        <v>17.022812999999999</v>
      </c>
      <c r="K8259" s="5">
        <v>-96.748495000000005</v>
      </c>
      <c r="L8259" s="5" t="str">
        <f>HYPERLINK("https://maps.google.com/?q=17.022813,-96.748495000000005", "🔗 Ver Mapa")</f>
        <v>🔗 Ver Mapa</v>
      </c>
    </row>
    <row r="8260" spans="1:12" ht="43.5" x14ac:dyDescent="0.35">
      <c r="A8260" s="6" t="s">
        <v>98</v>
      </c>
      <c r="B8260" s="6" t="s">
        <v>99</v>
      </c>
      <c r="C8260" s="6" t="s">
        <v>1491</v>
      </c>
      <c r="D8260" s="6" t="s">
        <v>14</v>
      </c>
      <c r="E8260" s="6" t="s">
        <v>52</v>
      </c>
      <c r="F8260" s="6" t="s">
        <v>70</v>
      </c>
      <c r="G8260" s="6" t="s">
        <v>123</v>
      </c>
      <c r="H8260" s="6" t="s">
        <v>307</v>
      </c>
      <c r="I8260" s="6" t="s">
        <v>31</v>
      </c>
      <c r="J8260" s="6">
        <v>17.024518</v>
      </c>
      <c r="K8260" s="6">
        <v>-96.747245000000007</v>
      </c>
      <c r="L8260" s="6" t="str">
        <f>HYPERLINK("https://maps.google.com/?q=17.024518,-96.747245000000007", "🔗 Ver Mapa")</f>
        <v>🔗 Ver Mapa</v>
      </c>
    </row>
    <row r="8261" spans="1:12" ht="43.5" x14ac:dyDescent="0.35">
      <c r="A8261" s="5" t="s">
        <v>98</v>
      </c>
      <c r="B8261" s="5" t="s">
        <v>99</v>
      </c>
      <c r="C8261" s="5" t="s">
        <v>1491</v>
      </c>
      <c r="D8261" s="5" t="s">
        <v>14</v>
      </c>
      <c r="E8261" s="5" t="s">
        <v>52</v>
      </c>
      <c r="F8261" s="5" t="s">
        <v>70</v>
      </c>
      <c r="G8261" s="5" t="s">
        <v>123</v>
      </c>
      <c r="H8261" s="5" t="s">
        <v>307</v>
      </c>
      <c r="I8261" s="5" t="s">
        <v>31</v>
      </c>
      <c r="J8261" s="5">
        <v>17.024982999999999</v>
      </c>
      <c r="K8261" s="5">
        <v>-96.750117000000003</v>
      </c>
      <c r="L8261" s="5" t="str">
        <f>HYPERLINK("https://maps.google.com/?q=17.024983,-96.750117000000003", "🔗 Ver Mapa")</f>
        <v>🔗 Ver Mapa</v>
      </c>
    </row>
    <row r="8262" spans="1:12" ht="43.5" x14ac:dyDescent="0.35">
      <c r="A8262" s="6" t="s">
        <v>98</v>
      </c>
      <c r="B8262" s="6" t="s">
        <v>99</v>
      </c>
      <c r="C8262" s="6" t="s">
        <v>1491</v>
      </c>
      <c r="D8262" s="6" t="s">
        <v>14</v>
      </c>
      <c r="E8262" s="6" t="s">
        <v>52</v>
      </c>
      <c r="F8262" s="6" t="s">
        <v>70</v>
      </c>
      <c r="G8262" s="6" t="s">
        <v>123</v>
      </c>
      <c r="H8262" s="6" t="s">
        <v>307</v>
      </c>
      <c r="I8262" s="6" t="s">
        <v>31</v>
      </c>
      <c r="J8262" s="6">
        <v>17.025127000000001</v>
      </c>
      <c r="K8262" s="6">
        <v>-96.748188999999996</v>
      </c>
      <c r="L8262" s="6" t="str">
        <f>HYPERLINK("https://maps.google.com/?q=17.025127,-96.748188999999996", "🔗 Ver Mapa")</f>
        <v>🔗 Ver Mapa</v>
      </c>
    </row>
    <row r="8263" spans="1:12" ht="43.5" x14ac:dyDescent="0.35">
      <c r="A8263" s="5" t="s">
        <v>98</v>
      </c>
      <c r="B8263" s="5" t="s">
        <v>99</v>
      </c>
      <c r="C8263" s="5" t="s">
        <v>1491</v>
      </c>
      <c r="D8263" s="5" t="s">
        <v>14</v>
      </c>
      <c r="E8263" s="5" t="s">
        <v>52</v>
      </c>
      <c r="F8263" s="5" t="s">
        <v>70</v>
      </c>
      <c r="G8263" s="5" t="s">
        <v>123</v>
      </c>
      <c r="H8263" s="5" t="s">
        <v>307</v>
      </c>
      <c r="I8263" s="5" t="s">
        <v>31</v>
      </c>
      <c r="J8263" s="5">
        <v>17.025169999999999</v>
      </c>
      <c r="K8263" s="5">
        <v>-96.749621000000005</v>
      </c>
      <c r="L8263" s="5" t="str">
        <f>HYPERLINK("https://maps.google.com/?q=17.02517,-96.749621000000005", "🔗 Ver Mapa")</f>
        <v>🔗 Ver Mapa</v>
      </c>
    </row>
    <row r="8264" spans="1:12" ht="43.5" x14ac:dyDescent="0.35">
      <c r="A8264" s="6" t="s">
        <v>98</v>
      </c>
      <c r="B8264" s="6" t="s">
        <v>99</v>
      </c>
      <c r="C8264" s="6" t="s">
        <v>1491</v>
      </c>
      <c r="D8264" s="6" t="s">
        <v>14</v>
      </c>
      <c r="E8264" s="6" t="s">
        <v>52</v>
      </c>
      <c r="F8264" s="6" t="s">
        <v>70</v>
      </c>
      <c r="G8264" s="6" t="s">
        <v>123</v>
      </c>
      <c r="H8264" s="6" t="s">
        <v>307</v>
      </c>
      <c r="I8264" s="6" t="s">
        <v>31</v>
      </c>
      <c r="J8264" s="6">
        <v>17.025309</v>
      </c>
      <c r="K8264" s="6">
        <v>-96.747652000000002</v>
      </c>
      <c r="L8264" s="6" t="str">
        <f>HYPERLINK("https://maps.google.com/?q=17.025309,-96.747652000000002", "🔗 Ver Mapa")</f>
        <v>🔗 Ver Mapa</v>
      </c>
    </row>
    <row r="8265" spans="1:12" ht="43.5" x14ac:dyDescent="0.35">
      <c r="A8265" s="5" t="s">
        <v>98</v>
      </c>
      <c r="B8265" s="5" t="s">
        <v>99</v>
      </c>
      <c r="C8265" s="5" t="s">
        <v>1491</v>
      </c>
      <c r="D8265" s="5" t="s">
        <v>14</v>
      </c>
      <c r="E8265" s="5" t="s">
        <v>52</v>
      </c>
      <c r="F8265" s="5" t="s">
        <v>70</v>
      </c>
      <c r="G8265" s="5" t="s">
        <v>123</v>
      </c>
      <c r="H8265" s="5" t="s">
        <v>307</v>
      </c>
      <c r="I8265" s="5" t="s">
        <v>31</v>
      </c>
      <c r="J8265" s="5">
        <v>17.026610999999999</v>
      </c>
      <c r="K8265" s="5">
        <v>-96.759039000000001</v>
      </c>
      <c r="L8265" s="5" t="str">
        <f>HYPERLINK("https://maps.google.com/?q=17.026611,-96.759039000000001", "🔗 Ver Mapa")</f>
        <v>🔗 Ver Mapa</v>
      </c>
    </row>
    <row r="8266" spans="1:12" ht="43.5" x14ac:dyDescent="0.35">
      <c r="A8266" s="6" t="s">
        <v>98</v>
      </c>
      <c r="B8266" s="6" t="s">
        <v>99</v>
      </c>
      <c r="C8266" s="6" t="s">
        <v>1491</v>
      </c>
      <c r="D8266" s="6" t="s">
        <v>14</v>
      </c>
      <c r="E8266" s="6" t="s">
        <v>52</v>
      </c>
      <c r="F8266" s="6" t="s">
        <v>70</v>
      </c>
      <c r="G8266" s="6" t="s">
        <v>123</v>
      </c>
      <c r="H8266" s="6" t="s">
        <v>307</v>
      </c>
      <c r="I8266" s="6" t="s">
        <v>31</v>
      </c>
      <c r="J8266" s="6">
        <v>17.026700999999999</v>
      </c>
      <c r="K8266" s="6">
        <v>-96.759800999999996</v>
      </c>
      <c r="L8266" s="6" t="str">
        <f>HYPERLINK("https://maps.google.com/?q=17.026701,-96.759800999999996", "🔗 Ver Mapa")</f>
        <v>🔗 Ver Mapa</v>
      </c>
    </row>
    <row r="8267" spans="1:12" ht="43.5" x14ac:dyDescent="0.35">
      <c r="A8267" s="5" t="s">
        <v>98</v>
      </c>
      <c r="B8267" s="5" t="s">
        <v>99</v>
      </c>
      <c r="C8267" s="5" t="s">
        <v>1491</v>
      </c>
      <c r="D8267" s="5" t="s">
        <v>14</v>
      </c>
      <c r="E8267" s="5" t="s">
        <v>52</v>
      </c>
      <c r="F8267" s="5" t="s">
        <v>70</v>
      </c>
      <c r="G8267" s="5" t="s">
        <v>123</v>
      </c>
      <c r="H8267" s="5" t="s">
        <v>307</v>
      </c>
      <c r="I8267" s="5" t="s">
        <v>31</v>
      </c>
      <c r="J8267" s="5">
        <v>17.02684</v>
      </c>
      <c r="K8267" s="5" t="s">
        <v>1494</v>
      </c>
      <c r="L8267" s="5" t="str">
        <f>HYPERLINK("https://maps.google.com/?q=17.02684, -96.758963", "🔗 Ver Mapa")</f>
        <v>🔗 Ver Mapa</v>
      </c>
    </row>
    <row r="8268" spans="1:12" ht="43.5" x14ac:dyDescent="0.35">
      <c r="A8268" s="6" t="s">
        <v>98</v>
      </c>
      <c r="B8268" s="6" t="s">
        <v>99</v>
      </c>
      <c r="C8268" s="6" t="s">
        <v>1491</v>
      </c>
      <c r="D8268" s="6" t="s">
        <v>14</v>
      </c>
      <c r="E8268" s="6" t="s">
        <v>52</v>
      </c>
      <c r="F8268" s="6" t="s">
        <v>70</v>
      </c>
      <c r="G8268" s="6" t="s">
        <v>123</v>
      </c>
      <c r="H8268" s="6" t="s">
        <v>307</v>
      </c>
      <c r="I8268" s="6" t="s">
        <v>31</v>
      </c>
      <c r="J8268" s="6">
        <v>17.027096</v>
      </c>
      <c r="K8268" s="6">
        <v>-96.759513999999996</v>
      </c>
      <c r="L8268" s="6" t="str">
        <f>HYPERLINK("https://maps.google.com/?q=17.027096,-96.759513999999996", "🔗 Ver Mapa")</f>
        <v>🔗 Ver Mapa</v>
      </c>
    </row>
    <row r="8269" spans="1:12" ht="43.5" x14ac:dyDescent="0.35">
      <c r="A8269" s="5" t="s">
        <v>98</v>
      </c>
      <c r="B8269" s="5" t="s">
        <v>99</v>
      </c>
      <c r="C8269" s="5" t="s">
        <v>1491</v>
      </c>
      <c r="D8269" s="5" t="s">
        <v>14</v>
      </c>
      <c r="E8269" s="5" t="s">
        <v>52</v>
      </c>
      <c r="F8269" s="5" t="s">
        <v>70</v>
      </c>
      <c r="G8269" s="5" t="s">
        <v>123</v>
      </c>
      <c r="H8269" s="5" t="s">
        <v>307</v>
      </c>
      <c r="I8269" s="5" t="s">
        <v>31</v>
      </c>
      <c r="J8269" s="5">
        <v>17.027113</v>
      </c>
      <c r="K8269" s="5">
        <v>-96.759709999999998</v>
      </c>
      <c r="L8269" s="5" t="str">
        <f>HYPERLINK("https://maps.google.com/?q=17.027113,-96.759709999999998", "🔗 Ver Mapa")</f>
        <v>🔗 Ver Mapa</v>
      </c>
    </row>
    <row r="8270" spans="1:12" ht="43.5" x14ac:dyDescent="0.35">
      <c r="A8270" s="6" t="s">
        <v>98</v>
      </c>
      <c r="B8270" s="6" t="s">
        <v>99</v>
      </c>
      <c r="C8270" s="6" t="s">
        <v>1491</v>
      </c>
      <c r="D8270" s="6" t="s">
        <v>14</v>
      </c>
      <c r="E8270" s="6" t="s">
        <v>52</v>
      </c>
      <c r="F8270" s="6" t="s">
        <v>70</v>
      </c>
      <c r="G8270" s="6" t="s">
        <v>123</v>
      </c>
      <c r="H8270" s="6" t="s">
        <v>307</v>
      </c>
      <c r="I8270" s="6" t="s">
        <v>31</v>
      </c>
      <c r="J8270" s="6">
        <v>17.027283000000001</v>
      </c>
      <c r="K8270" s="6">
        <v>-96.759825000000006</v>
      </c>
      <c r="L8270" s="6" t="str">
        <f>HYPERLINK("https://maps.google.com/?q=17.027283,-96.759825000000006", "🔗 Ver Mapa")</f>
        <v>🔗 Ver Mapa</v>
      </c>
    </row>
    <row r="8271" spans="1:12" ht="43.5" x14ac:dyDescent="0.35">
      <c r="A8271" s="5" t="s">
        <v>98</v>
      </c>
      <c r="B8271" s="5" t="s">
        <v>99</v>
      </c>
      <c r="C8271" s="5" t="s">
        <v>1491</v>
      </c>
      <c r="D8271" s="5" t="s">
        <v>14</v>
      </c>
      <c r="E8271" s="5" t="s">
        <v>52</v>
      </c>
      <c r="F8271" s="5" t="s">
        <v>70</v>
      </c>
      <c r="G8271" s="5" t="s">
        <v>123</v>
      </c>
      <c r="H8271" s="5" t="s">
        <v>307</v>
      </c>
      <c r="I8271" s="5" t="s">
        <v>31</v>
      </c>
      <c r="J8271" s="5">
        <v>17.027315999999999</v>
      </c>
      <c r="K8271" s="5">
        <v>-96.759801999999993</v>
      </c>
      <c r="L8271" s="5" t="str">
        <f>HYPERLINK("https://maps.google.com/?q=17.027316,-96.759801999999993", "🔗 Ver Mapa")</f>
        <v>🔗 Ver Mapa</v>
      </c>
    </row>
    <row r="8272" spans="1:12" ht="43.5" x14ac:dyDescent="0.35">
      <c r="A8272" s="6" t="s">
        <v>98</v>
      </c>
      <c r="B8272" s="6" t="s">
        <v>99</v>
      </c>
      <c r="C8272" s="6" t="s">
        <v>1491</v>
      </c>
      <c r="D8272" s="6" t="s">
        <v>14</v>
      </c>
      <c r="E8272" s="6" t="s">
        <v>52</v>
      </c>
      <c r="F8272" s="6" t="s">
        <v>70</v>
      </c>
      <c r="G8272" s="6" t="s">
        <v>123</v>
      </c>
      <c r="H8272" s="6" t="s">
        <v>307</v>
      </c>
      <c r="I8272" s="6" t="s">
        <v>31</v>
      </c>
      <c r="J8272" s="6">
        <v>17.027321000000001</v>
      </c>
      <c r="K8272" s="6">
        <v>-96.760194999999996</v>
      </c>
      <c r="L8272" s="6" t="str">
        <f>HYPERLINK("https://maps.google.com/?q=17.027321,-96.760194999999996", "🔗 Ver Mapa")</f>
        <v>🔗 Ver Mapa</v>
      </c>
    </row>
    <row r="8273" spans="1:12" ht="43.5" x14ac:dyDescent="0.35">
      <c r="A8273" s="5" t="s">
        <v>98</v>
      </c>
      <c r="B8273" s="5" t="s">
        <v>99</v>
      </c>
      <c r="C8273" s="5" t="s">
        <v>1491</v>
      </c>
      <c r="D8273" s="5" t="s">
        <v>14</v>
      </c>
      <c r="E8273" s="5" t="s">
        <v>52</v>
      </c>
      <c r="F8273" s="5" t="s">
        <v>70</v>
      </c>
      <c r="G8273" s="5" t="s">
        <v>123</v>
      </c>
      <c r="H8273" s="5" t="s">
        <v>307</v>
      </c>
      <c r="I8273" s="5" t="s">
        <v>31</v>
      </c>
      <c r="J8273" s="5">
        <v>17.027329000000002</v>
      </c>
      <c r="K8273" s="5">
        <v>-96.760096000000004</v>
      </c>
      <c r="L8273" s="5" t="str">
        <f>HYPERLINK("https://maps.google.com/?q=17.027329,-96.760096000000004", "🔗 Ver Mapa")</f>
        <v>🔗 Ver Mapa</v>
      </c>
    </row>
    <row r="8274" spans="1:12" ht="43.5" x14ac:dyDescent="0.35">
      <c r="A8274" s="6" t="s">
        <v>98</v>
      </c>
      <c r="B8274" s="6" t="s">
        <v>99</v>
      </c>
      <c r="C8274" s="6" t="s">
        <v>1491</v>
      </c>
      <c r="D8274" s="6" t="s">
        <v>14</v>
      </c>
      <c r="E8274" s="6" t="s">
        <v>52</v>
      </c>
      <c r="F8274" s="6" t="s">
        <v>70</v>
      </c>
      <c r="G8274" s="6" t="s">
        <v>123</v>
      </c>
      <c r="H8274" s="6" t="s">
        <v>307</v>
      </c>
      <c r="I8274" s="6" t="s">
        <v>31</v>
      </c>
      <c r="J8274" s="6">
        <v>17.027365</v>
      </c>
      <c r="K8274" s="6">
        <v>-96.760383000000004</v>
      </c>
      <c r="L8274" s="6" t="str">
        <f>HYPERLINK("https://maps.google.com/?q=17.027365,-96.760383000000004", "🔗 Ver Mapa")</f>
        <v>🔗 Ver Mapa</v>
      </c>
    </row>
    <row r="8275" spans="1:12" ht="43.5" x14ac:dyDescent="0.35">
      <c r="A8275" s="5" t="s">
        <v>98</v>
      </c>
      <c r="B8275" s="5" t="s">
        <v>99</v>
      </c>
      <c r="C8275" s="5" t="s">
        <v>1491</v>
      </c>
      <c r="D8275" s="5" t="s">
        <v>14</v>
      </c>
      <c r="E8275" s="5" t="s">
        <v>52</v>
      </c>
      <c r="F8275" s="5" t="s">
        <v>70</v>
      </c>
      <c r="G8275" s="5" t="s">
        <v>123</v>
      </c>
      <c r="H8275" s="5" t="s">
        <v>307</v>
      </c>
      <c r="I8275" s="5" t="s">
        <v>31</v>
      </c>
      <c r="J8275" s="5">
        <v>17.02739</v>
      </c>
      <c r="K8275" s="5">
        <v>-96.759553999999994</v>
      </c>
      <c r="L8275" s="5" t="str">
        <f>HYPERLINK("https://maps.google.com/?q=17.02739,-96.759553999999994", "🔗 Ver Mapa")</f>
        <v>🔗 Ver Mapa</v>
      </c>
    </row>
    <row r="8276" spans="1:12" ht="43.5" x14ac:dyDescent="0.35">
      <c r="A8276" s="6" t="s">
        <v>98</v>
      </c>
      <c r="B8276" s="6" t="s">
        <v>99</v>
      </c>
      <c r="C8276" s="6" t="s">
        <v>1491</v>
      </c>
      <c r="D8276" s="6" t="s">
        <v>14</v>
      </c>
      <c r="E8276" s="6" t="s">
        <v>52</v>
      </c>
      <c r="F8276" s="6" t="s">
        <v>70</v>
      </c>
      <c r="G8276" s="6" t="s">
        <v>123</v>
      </c>
      <c r="H8276" s="6" t="s">
        <v>307</v>
      </c>
      <c r="I8276" s="6" t="s">
        <v>31</v>
      </c>
      <c r="J8276" s="6">
        <v>17.027514</v>
      </c>
      <c r="K8276" s="6">
        <v>-96.759755999999996</v>
      </c>
      <c r="L8276" s="6" t="str">
        <f>HYPERLINK("https://maps.google.com/?q=17.027514,-96.759755999999996", "🔗 Ver Mapa")</f>
        <v>🔗 Ver Mapa</v>
      </c>
    </row>
    <row r="8277" spans="1:12" ht="43.5" x14ac:dyDescent="0.35">
      <c r="A8277" s="5" t="s">
        <v>98</v>
      </c>
      <c r="B8277" s="5" t="s">
        <v>99</v>
      </c>
      <c r="C8277" s="5" t="s">
        <v>1491</v>
      </c>
      <c r="D8277" s="5" t="s">
        <v>14</v>
      </c>
      <c r="E8277" s="5" t="s">
        <v>52</v>
      </c>
      <c r="F8277" s="5" t="s">
        <v>70</v>
      </c>
      <c r="G8277" s="5" t="s">
        <v>123</v>
      </c>
      <c r="H8277" s="5" t="s">
        <v>307</v>
      </c>
      <c r="I8277" s="5" t="s">
        <v>31</v>
      </c>
      <c r="J8277" s="5">
        <v>17.027564999999999</v>
      </c>
      <c r="K8277" s="5">
        <v>-96.759486999999993</v>
      </c>
      <c r="L8277" s="5" t="str">
        <f>HYPERLINK("https://maps.google.com/?q=17.027565,-96.759486999999993", "🔗 Ver Mapa")</f>
        <v>🔗 Ver Mapa</v>
      </c>
    </row>
    <row r="8278" spans="1:12" ht="43.5" x14ac:dyDescent="0.35">
      <c r="A8278" s="6" t="s">
        <v>98</v>
      </c>
      <c r="B8278" s="6" t="s">
        <v>99</v>
      </c>
      <c r="C8278" s="6" t="s">
        <v>1491</v>
      </c>
      <c r="D8278" s="6" t="s">
        <v>14</v>
      </c>
      <c r="E8278" s="6" t="s">
        <v>52</v>
      </c>
      <c r="F8278" s="6" t="s">
        <v>70</v>
      </c>
      <c r="G8278" s="6" t="s">
        <v>123</v>
      </c>
      <c r="H8278" s="6" t="s">
        <v>307</v>
      </c>
      <c r="I8278" s="6" t="s">
        <v>31</v>
      </c>
      <c r="J8278" s="6">
        <v>17.027771999999999</v>
      </c>
      <c r="K8278" s="6">
        <v>-96.759330000000006</v>
      </c>
      <c r="L8278" s="6" t="str">
        <f>HYPERLINK("https://maps.google.com/?q=17.027772,-96.759330000000006", "🔗 Ver Mapa")</f>
        <v>🔗 Ver Mapa</v>
      </c>
    </row>
    <row r="8279" spans="1:12" ht="43.5" x14ac:dyDescent="0.35">
      <c r="A8279" s="5" t="s">
        <v>98</v>
      </c>
      <c r="B8279" s="5" t="s">
        <v>99</v>
      </c>
      <c r="C8279" s="5" t="s">
        <v>1495</v>
      </c>
      <c r="D8279" s="5" t="s">
        <v>14</v>
      </c>
      <c r="E8279" s="5" t="s">
        <v>110</v>
      </c>
      <c r="F8279" s="5" t="s">
        <v>126</v>
      </c>
      <c r="G8279" s="5" t="s">
        <v>137</v>
      </c>
      <c r="H8279" s="5" t="s">
        <v>1496</v>
      </c>
      <c r="I8279" s="5" t="s">
        <v>31</v>
      </c>
      <c r="J8279" s="5">
        <v>17.622816379608</v>
      </c>
      <c r="K8279" s="5">
        <v>-97.033169241734001</v>
      </c>
      <c r="L8279" s="5" t="str">
        <f>HYPERLINK("https://maps.google.com/?q=17.6228163796082,-97.033169241733503", "🔗 Ver Mapa")</f>
        <v>🔗 Ver Mapa</v>
      </c>
    </row>
    <row r="8280" spans="1:12" ht="43.5" x14ac:dyDescent="0.35">
      <c r="A8280" s="6" t="s">
        <v>98</v>
      </c>
      <c r="B8280" s="6" t="s">
        <v>99</v>
      </c>
      <c r="C8280" s="6" t="s">
        <v>1495</v>
      </c>
      <c r="D8280" s="6" t="s">
        <v>14</v>
      </c>
      <c r="E8280" s="6" t="s">
        <v>110</v>
      </c>
      <c r="F8280" s="6" t="s">
        <v>126</v>
      </c>
      <c r="G8280" s="6" t="s">
        <v>137</v>
      </c>
      <c r="H8280" s="6" t="s">
        <v>1496</v>
      </c>
      <c r="I8280" s="6" t="s">
        <v>31</v>
      </c>
      <c r="J8280" s="6">
        <v>17.624086741700001</v>
      </c>
      <c r="K8280" s="6">
        <v>-97.0337612398</v>
      </c>
      <c r="L8280" s="6" t="str">
        <f>HYPERLINK("https://maps.google.com/?q=17.6240867417,-97.0337612398", "🔗 Ver Mapa")</f>
        <v>🔗 Ver Mapa</v>
      </c>
    </row>
    <row r="8281" spans="1:12" ht="43.5" x14ac:dyDescent="0.35">
      <c r="A8281" s="5" t="s">
        <v>98</v>
      </c>
      <c r="B8281" s="5" t="s">
        <v>99</v>
      </c>
      <c r="C8281" s="5" t="s">
        <v>1495</v>
      </c>
      <c r="D8281" s="5" t="s">
        <v>14</v>
      </c>
      <c r="E8281" s="5" t="s">
        <v>110</v>
      </c>
      <c r="F8281" s="5" t="s">
        <v>126</v>
      </c>
      <c r="G8281" s="5" t="s">
        <v>137</v>
      </c>
      <c r="H8281" s="5" t="s">
        <v>1496</v>
      </c>
      <c r="I8281" s="5" t="s">
        <v>31</v>
      </c>
      <c r="J8281" s="5">
        <v>17.624475914184998</v>
      </c>
      <c r="K8281" s="5">
        <v>-97.033155073345995</v>
      </c>
      <c r="L8281" s="5" t="str">
        <f>HYPERLINK("https://maps.google.com/?q=17.6244759141849,-97.033155073345597", "🔗 Ver Mapa")</f>
        <v>🔗 Ver Mapa</v>
      </c>
    </row>
    <row r="8282" spans="1:12" ht="43.5" x14ac:dyDescent="0.35">
      <c r="A8282" s="6" t="s">
        <v>98</v>
      </c>
      <c r="B8282" s="6" t="s">
        <v>99</v>
      </c>
      <c r="C8282" s="6" t="s">
        <v>1495</v>
      </c>
      <c r="D8282" s="6" t="s">
        <v>14</v>
      </c>
      <c r="E8282" s="6" t="s">
        <v>110</v>
      </c>
      <c r="F8282" s="6" t="s">
        <v>126</v>
      </c>
      <c r="G8282" s="6" t="s">
        <v>137</v>
      </c>
      <c r="H8282" s="6" t="s">
        <v>1496</v>
      </c>
      <c r="I8282" s="6" t="s">
        <v>31</v>
      </c>
      <c r="J8282" s="6">
        <v>17.624580337000001</v>
      </c>
      <c r="K8282" s="6" t="s">
        <v>1497</v>
      </c>
      <c r="L8282" s="6" t="str">
        <f>HYPERLINK("https://maps.google.com/?q=17.624580337, -97.0359901011", "🔗 Ver Mapa")</f>
        <v>🔗 Ver Mapa</v>
      </c>
    </row>
    <row r="8283" spans="1:12" ht="43.5" x14ac:dyDescent="0.35">
      <c r="A8283" s="5" t="s">
        <v>98</v>
      </c>
      <c r="B8283" s="5" t="s">
        <v>99</v>
      </c>
      <c r="C8283" s="5" t="s">
        <v>1495</v>
      </c>
      <c r="D8283" s="5" t="s">
        <v>14</v>
      </c>
      <c r="E8283" s="5" t="s">
        <v>110</v>
      </c>
      <c r="F8283" s="5" t="s">
        <v>126</v>
      </c>
      <c r="G8283" s="5" t="s">
        <v>137</v>
      </c>
      <c r="H8283" s="5" t="s">
        <v>1496</v>
      </c>
      <c r="I8283" s="5" t="s">
        <v>31</v>
      </c>
      <c r="J8283" s="5">
        <v>17.624703780920001</v>
      </c>
      <c r="K8283" s="5">
        <v>-97.034847874799993</v>
      </c>
      <c r="L8283" s="5" t="str">
        <f>HYPERLINK("https://maps.google.com/?q=17.62470378092,-97.034847874799993", "🔗 Ver Mapa")</f>
        <v>🔗 Ver Mapa</v>
      </c>
    </row>
    <row r="8284" spans="1:12" ht="43.5" x14ac:dyDescent="0.35">
      <c r="A8284" s="6" t="s">
        <v>98</v>
      </c>
      <c r="B8284" s="6" t="s">
        <v>99</v>
      </c>
      <c r="C8284" s="6" t="s">
        <v>1495</v>
      </c>
      <c r="D8284" s="6" t="s">
        <v>14</v>
      </c>
      <c r="E8284" s="6" t="s">
        <v>110</v>
      </c>
      <c r="F8284" s="6" t="s">
        <v>126</v>
      </c>
      <c r="G8284" s="6" t="s">
        <v>137</v>
      </c>
      <c r="H8284" s="6" t="s">
        <v>1496</v>
      </c>
      <c r="I8284" s="6" t="s">
        <v>31</v>
      </c>
      <c r="J8284" s="6">
        <v>17.62474369489</v>
      </c>
      <c r="K8284" s="6">
        <v>-97.033726977200004</v>
      </c>
      <c r="L8284" s="6" t="str">
        <f>HYPERLINK("https://maps.google.com/?q=17.62474369489,-97.033726977200004", "🔗 Ver Mapa")</f>
        <v>🔗 Ver Mapa</v>
      </c>
    </row>
    <row r="8285" spans="1:12" ht="43.5" x14ac:dyDescent="0.35">
      <c r="A8285" s="5" t="s">
        <v>98</v>
      </c>
      <c r="B8285" s="5" t="s">
        <v>99</v>
      </c>
      <c r="C8285" s="5" t="s">
        <v>1495</v>
      </c>
      <c r="D8285" s="5" t="s">
        <v>14</v>
      </c>
      <c r="E8285" s="5" t="s">
        <v>110</v>
      </c>
      <c r="F8285" s="5" t="s">
        <v>126</v>
      </c>
      <c r="G8285" s="5" t="s">
        <v>137</v>
      </c>
      <c r="H8285" s="5" t="s">
        <v>1496</v>
      </c>
      <c r="I8285" s="5" t="s">
        <v>31</v>
      </c>
      <c r="J8285" s="5">
        <v>17.6250632301</v>
      </c>
      <c r="K8285" s="5">
        <v>-97.034252019700006</v>
      </c>
      <c r="L8285" s="5" t="str">
        <f>HYPERLINK("https://maps.google.com/?q=17.6250632301,-97.034252019700006", "🔗 Ver Mapa")</f>
        <v>🔗 Ver Mapa</v>
      </c>
    </row>
    <row r="8286" spans="1:12" ht="43.5" x14ac:dyDescent="0.35">
      <c r="A8286" s="6" t="s">
        <v>98</v>
      </c>
      <c r="B8286" s="6" t="s">
        <v>99</v>
      </c>
      <c r="C8286" s="6" t="s">
        <v>1495</v>
      </c>
      <c r="D8286" s="6" t="s">
        <v>14</v>
      </c>
      <c r="E8286" s="6" t="s">
        <v>110</v>
      </c>
      <c r="F8286" s="6" t="s">
        <v>126</v>
      </c>
      <c r="G8286" s="6" t="s">
        <v>137</v>
      </c>
      <c r="H8286" s="6" t="s">
        <v>1496</v>
      </c>
      <c r="I8286" s="6" t="s">
        <v>31</v>
      </c>
      <c r="J8286" s="6">
        <v>17.625138446600001</v>
      </c>
      <c r="K8286" s="6">
        <v>-97.035221902399996</v>
      </c>
      <c r="L8286" s="6" t="str">
        <f>HYPERLINK("https://maps.google.com/?q=17.6251384466,-97.035221902399996", "🔗 Ver Mapa")</f>
        <v>🔗 Ver Mapa</v>
      </c>
    </row>
    <row r="8287" spans="1:12" ht="43.5" x14ac:dyDescent="0.35">
      <c r="A8287" s="5" t="s">
        <v>98</v>
      </c>
      <c r="B8287" s="5" t="s">
        <v>99</v>
      </c>
      <c r="C8287" s="5" t="s">
        <v>1495</v>
      </c>
      <c r="D8287" s="5" t="s">
        <v>14</v>
      </c>
      <c r="E8287" s="5" t="s">
        <v>110</v>
      </c>
      <c r="F8287" s="5" t="s">
        <v>126</v>
      </c>
      <c r="G8287" s="5" t="s">
        <v>137</v>
      </c>
      <c r="H8287" s="5" t="s">
        <v>1496</v>
      </c>
      <c r="I8287" s="5" t="s">
        <v>31</v>
      </c>
      <c r="J8287" s="5">
        <v>17.625403234099998</v>
      </c>
      <c r="K8287" s="5">
        <v>-97.033696556099997</v>
      </c>
      <c r="L8287" s="5" t="str">
        <f>HYPERLINK("https://maps.google.com/?q=17.6254032341,-97.033696556099997", "🔗 Ver Mapa")</f>
        <v>🔗 Ver Mapa</v>
      </c>
    </row>
    <row r="8288" spans="1:12" ht="43.5" x14ac:dyDescent="0.35">
      <c r="A8288" s="6" t="s">
        <v>98</v>
      </c>
      <c r="B8288" s="6" t="s">
        <v>99</v>
      </c>
      <c r="C8288" s="6" t="s">
        <v>1495</v>
      </c>
      <c r="D8288" s="6" t="s">
        <v>14</v>
      </c>
      <c r="E8288" s="6" t="s">
        <v>110</v>
      </c>
      <c r="F8288" s="6" t="s">
        <v>126</v>
      </c>
      <c r="G8288" s="6" t="s">
        <v>137</v>
      </c>
      <c r="H8288" s="6" t="s">
        <v>1496</v>
      </c>
      <c r="I8288" s="6" t="s">
        <v>31</v>
      </c>
      <c r="J8288" s="6">
        <v>17.626598938099999</v>
      </c>
      <c r="K8288" s="6">
        <v>-97.035467400000002</v>
      </c>
      <c r="L8288" s="6" t="str">
        <f>HYPERLINK("https://maps.google.com/?q=17.6265989381,-97.035467400000002", "🔗 Ver Mapa")</f>
        <v>🔗 Ver Mapa</v>
      </c>
    </row>
    <row r="8289" spans="1:12" ht="43.5" x14ac:dyDescent="0.35">
      <c r="A8289" s="5" t="s">
        <v>98</v>
      </c>
      <c r="B8289" s="5" t="s">
        <v>99</v>
      </c>
      <c r="C8289" s="5" t="s">
        <v>1495</v>
      </c>
      <c r="D8289" s="5" t="s">
        <v>14</v>
      </c>
      <c r="E8289" s="5" t="s">
        <v>110</v>
      </c>
      <c r="F8289" s="5" t="s">
        <v>126</v>
      </c>
      <c r="G8289" s="5" t="s">
        <v>137</v>
      </c>
      <c r="H8289" s="5" t="s">
        <v>1496</v>
      </c>
      <c r="I8289" s="5" t="s">
        <v>31</v>
      </c>
      <c r="J8289" s="5">
        <v>17.62728620643</v>
      </c>
      <c r="K8289" s="5">
        <v>-97.036417951638001</v>
      </c>
      <c r="L8289" s="5" t="str">
        <f>HYPERLINK("https://maps.google.com/?q=17.6272862064302,-97.036417951638199", "🔗 Ver Mapa")</f>
        <v>🔗 Ver Mapa</v>
      </c>
    </row>
    <row r="8290" spans="1:12" ht="43.5" x14ac:dyDescent="0.35">
      <c r="A8290" s="6" t="s">
        <v>98</v>
      </c>
      <c r="B8290" s="6" t="s">
        <v>99</v>
      </c>
      <c r="C8290" s="6" t="s">
        <v>1495</v>
      </c>
      <c r="D8290" s="6" t="s">
        <v>14</v>
      </c>
      <c r="E8290" s="6" t="s">
        <v>110</v>
      </c>
      <c r="F8290" s="6" t="s">
        <v>126</v>
      </c>
      <c r="G8290" s="6" t="s">
        <v>137</v>
      </c>
      <c r="H8290" s="6" t="s">
        <v>1496</v>
      </c>
      <c r="I8290" s="6" t="s">
        <v>31</v>
      </c>
      <c r="J8290" s="6">
        <v>17.627286618528998</v>
      </c>
      <c r="K8290" s="6">
        <v>-97.034278985284999</v>
      </c>
      <c r="L8290" s="6" t="str">
        <f>HYPERLINK("https://maps.google.com/?q=17.627286618529,-97.034278985284701", "🔗 Ver Mapa")</f>
        <v>🔗 Ver Mapa</v>
      </c>
    </row>
    <row r="8291" spans="1:12" ht="43.5" x14ac:dyDescent="0.35">
      <c r="A8291" s="5" t="s">
        <v>98</v>
      </c>
      <c r="B8291" s="5" t="s">
        <v>99</v>
      </c>
      <c r="C8291" s="5" t="s">
        <v>1495</v>
      </c>
      <c r="D8291" s="5" t="s">
        <v>14</v>
      </c>
      <c r="E8291" s="5" t="s">
        <v>110</v>
      </c>
      <c r="F8291" s="5" t="s">
        <v>126</v>
      </c>
      <c r="G8291" s="5" t="s">
        <v>137</v>
      </c>
      <c r="H8291" s="5" t="s">
        <v>1496</v>
      </c>
      <c r="I8291" s="5" t="s">
        <v>31</v>
      </c>
      <c r="J8291" s="5">
        <v>17.629619855000001</v>
      </c>
      <c r="K8291" s="5">
        <v>-97.033985172300007</v>
      </c>
      <c r="L8291" s="5" t="str">
        <f>HYPERLINK("https://maps.google.com/?q=17.629619855,-97.033985172300007", "🔗 Ver Mapa")</f>
        <v>🔗 Ver Mapa</v>
      </c>
    </row>
    <row r="8292" spans="1:12" ht="43.5" x14ac:dyDescent="0.35">
      <c r="A8292" s="6" t="s">
        <v>98</v>
      </c>
      <c r="B8292" s="6" t="s">
        <v>99</v>
      </c>
      <c r="C8292" s="6" t="s">
        <v>1495</v>
      </c>
      <c r="D8292" s="6" t="s">
        <v>14</v>
      </c>
      <c r="E8292" s="6" t="s">
        <v>110</v>
      </c>
      <c r="F8292" s="6" t="s">
        <v>126</v>
      </c>
      <c r="G8292" s="6" t="s">
        <v>137</v>
      </c>
      <c r="H8292" s="6" t="s">
        <v>1496</v>
      </c>
      <c r="I8292" s="6" t="s">
        <v>31</v>
      </c>
      <c r="J8292" s="6">
        <v>17.6296492349</v>
      </c>
      <c r="K8292" s="6">
        <v>-97.034454944800004</v>
      </c>
      <c r="L8292" s="6" t="str">
        <f>HYPERLINK("https://maps.google.com/?q=17.6296492349,-97.034454944800004", "🔗 Ver Mapa")</f>
        <v>🔗 Ver Mapa</v>
      </c>
    </row>
    <row r="8293" spans="1:12" ht="43.5" x14ac:dyDescent="0.35">
      <c r="A8293" s="5" t="s">
        <v>98</v>
      </c>
      <c r="B8293" s="5" t="s">
        <v>99</v>
      </c>
      <c r="C8293" s="5" t="s">
        <v>1495</v>
      </c>
      <c r="D8293" s="5" t="s">
        <v>14</v>
      </c>
      <c r="E8293" s="5" t="s">
        <v>110</v>
      </c>
      <c r="F8293" s="5" t="s">
        <v>126</v>
      </c>
      <c r="G8293" s="5" t="s">
        <v>137</v>
      </c>
      <c r="H8293" s="5" t="s">
        <v>1496</v>
      </c>
      <c r="I8293" s="5" t="s">
        <v>31</v>
      </c>
      <c r="J8293" s="5">
        <v>17.629808008000001</v>
      </c>
      <c r="K8293" s="5">
        <v>-97.034151496299998</v>
      </c>
      <c r="L8293" s="5" t="str">
        <f>HYPERLINK("https://maps.google.com/?q=17.629808008,-97.034151496299998", "🔗 Ver Mapa")</f>
        <v>🔗 Ver Mapa</v>
      </c>
    </row>
    <row r="8294" spans="1:12" ht="43.5" x14ac:dyDescent="0.35">
      <c r="A8294" s="6" t="s">
        <v>98</v>
      </c>
      <c r="B8294" s="6" t="s">
        <v>99</v>
      </c>
      <c r="C8294" s="6" t="s">
        <v>1495</v>
      </c>
      <c r="D8294" s="6" t="s">
        <v>14</v>
      </c>
      <c r="E8294" s="6" t="s">
        <v>110</v>
      </c>
      <c r="F8294" s="6" t="s">
        <v>126</v>
      </c>
      <c r="G8294" s="6" t="s">
        <v>137</v>
      </c>
      <c r="H8294" s="6" t="s">
        <v>1496</v>
      </c>
      <c r="I8294" s="6" t="s">
        <v>31</v>
      </c>
      <c r="J8294" s="6">
        <v>17.629932643699998</v>
      </c>
      <c r="K8294" s="6">
        <v>-97.034707713000003</v>
      </c>
      <c r="L8294" s="6" t="str">
        <f>HYPERLINK("https://maps.google.com/?q=17.6299326437,-97.034707713000003", "🔗 Ver Mapa")</f>
        <v>🔗 Ver Mapa</v>
      </c>
    </row>
    <row r="8295" spans="1:12" ht="43.5" x14ac:dyDescent="0.35">
      <c r="A8295" s="5" t="s">
        <v>98</v>
      </c>
      <c r="B8295" s="5" t="s">
        <v>99</v>
      </c>
      <c r="C8295" s="5" t="s">
        <v>1495</v>
      </c>
      <c r="D8295" s="5" t="s">
        <v>14</v>
      </c>
      <c r="E8295" s="5" t="s">
        <v>110</v>
      </c>
      <c r="F8295" s="5" t="s">
        <v>126</v>
      </c>
      <c r="G8295" s="5" t="s">
        <v>137</v>
      </c>
      <c r="H8295" s="5" t="s">
        <v>1496</v>
      </c>
      <c r="I8295" s="5" t="s">
        <v>31</v>
      </c>
      <c r="J8295" s="5">
        <v>17.630038730399999</v>
      </c>
      <c r="K8295" s="5">
        <v>-97.034346571100002</v>
      </c>
      <c r="L8295" s="5" t="str">
        <f>HYPERLINK("https://maps.google.com/?q=17.6300387304,-97.034346571100002", "🔗 Ver Mapa")</f>
        <v>🔗 Ver Mapa</v>
      </c>
    </row>
    <row r="8296" spans="1:12" ht="43.5" x14ac:dyDescent="0.35">
      <c r="A8296" s="6" t="s">
        <v>98</v>
      </c>
      <c r="B8296" s="6" t="s">
        <v>99</v>
      </c>
      <c r="C8296" s="6" t="s">
        <v>1498</v>
      </c>
      <c r="D8296" s="6" t="s">
        <v>14</v>
      </c>
      <c r="E8296" s="6" t="s">
        <v>17</v>
      </c>
      <c r="F8296" s="6" t="s">
        <v>59</v>
      </c>
      <c r="G8296" s="6" t="s">
        <v>1306</v>
      </c>
      <c r="H8296" s="6" t="s">
        <v>1307</v>
      </c>
      <c r="I8296" s="6" t="s">
        <v>31</v>
      </c>
      <c r="J8296" s="6">
        <v>16.535871</v>
      </c>
      <c r="K8296" s="6">
        <v>-98.035864000000004</v>
      </c>
      <c r="L8296" s="6" t="str">
        <f>HYPERLINK("https://maps.google.com/?q=16.535871,-98.035864000000004", "🔗 Ver Mapa")</f>
        <v>🔗 Ver Mapa</v>
      </c>
    </row>
    <row r="8297" spans="1:12" ht="43.5" x14ac:dyDescent="0.35">
      <c r="A8297" s="5" t="s">
        <v>98</v>
      </c>
      <c r="B8297" s="5" t="s">
        <v>99</v>
      </c>
      <c r="C8297" s="5" t="s">
        <v>1498</v>
      </c>
      <c r="D8297" s="5" t="s">
        <v>14</v>
      </c>
      <c r="E8297" s="5" t="s">
        <v>17</v>
      </c>
      <c r="F8297" s="5" t="s">
        <v>59</v>
      </c>
      <c r="G8297" s="5" t="s">
        <v>1306</v>
      </c>
      <c r="H8297" s="5" t="s">
        <v>1307</v>
      </c>
      <c r="I8297" s="5" t="s">
        <v>31</v>
      </c>
      <c r="J8297" s="5">
        <v>16.536754999999999</v>
      </c>
      <c r="K8297" s="5">
        <v>-98.033815000000004</v>
      </c>
      <c r="L8297" s="5" t="str">
        <f>HYPERLINK("https://maps.google.com/?q=16.536755,-98.033815000000004", "🔗 Ver Mapa")</f>
        <v>🔗 Ver Mapa</v>
      </c>
    </row>
    <row r="8298" spans="1:12" ht="43.5" x14ac:dyDescent="0.35">
      <c r="A8298" s="6" t="s">
        <v>98</v>
      </c>
      <c r="B8298" s="6" t="s">
        <v>99</v>
      </c>
      <c r="C8298" s="6" t="s">
        <v>1498</v>
      </c>
      <c r="D8298" s="6" t="s">
        <v>14</v>
      </c>
      <c r="E8298" s="6" t="s">
        <v>17</v>
      </c>
      <c r="F8298" s="6" t="s">
        <v>59</v>
      </c>
      <c r="G8298" s="6" t="s">
        <v>1306</v>
      </c>
      <c r="H8298" s="6" t="s">
        <v>1307</v>
      </c>
      <c r="I8298" s="6" t="s">
        <v>31</v>
      </c>
      <c r="J8298" s="6">
        <v>16.536913999999999</v>
      </c>
      <c r="K8298" s="6">
        <v>-98.036893000000006</v>
      </c>
      <c r="L8298" s="6" t="str">
        <f>HYPERLINK("https://maps.google.com/?q=16.536914,-98.036893000000006", "🔗 Ver Mapa")</f>
        <v>🔗 Ver Mapa</v>
      </c>
    </row>
    <row r="8299" spans="1:12" ht="43.5" x14ac:dyDescent="0.35">
      <c r="A8299" s="5" t="s">
        <v>98</v>
      </c>
      <c r="B8299" s="5" t="s">
        <v>99</v>
      </c>
      <c r="C8299" s="5" t="s">
        <v>1498</v>
      </c>
      <c r="D8299" s="5" t="s">
        <v>14</v>
      </c>
      <c r="E8299" s="5" t="s">
        <v>17</v>
      </c>
      <c r="F8299" s="5" t="s">
        <v>59</v>
      </c>
      <c r="G8299" s="5" t="s">
        <v>1306</v>
      </c>
      <c r="H8299" s="5" t="s">
        <v>1307</v>
      </c>
      <c r="I8299" s="5" t="s">
        <v>31</v>
      </c>
      <c r="J8299" s="5">
        <v>16.536933999999999</v>
      </c>
      <c r="K8299" s="5">
        <v>-98.031499999999994</v>
      </c>
      <c r="L8299" s="5" t="str">
        <f>HYPERLINK("https://maps.google.com/?q=16.536934,-98.031499999999994", "🔗 Ver Mapa")</f>
        <v>🔗 Ver Mapa</v>
      </c>
    </row>
    <row r="8300" spans="1:12" ht="43.5" x14ac:dyDescent="0.35">
      <c r="A8300" s="6" t="s">
        <v>98</v>
      </c>
      <c r="B8300" s="6" t="s">
        <v>99</v>
      </c>
      <c r="C8300" s="6" t="s">
        <v>1498</v>
      </c>
      <c r="D8300" s="6" t="s">
        <v>14</v>
      </c>
      <c r="E8300" s="6" t="s">
        <v>17</v>
      </c>
      <c r="F8300" s="6" t="s">
        <v>59</v>
      </c>
      <c r="G8300" s="6" t="s">
        <v>1306</v>
      </c>
      <c r="H8300" s="6" t="s">
        <v>1307</v>
      </c>
      <c r="I8300" s="6" t="s">
        <v>31</v>
      </c>
      <c r="J8300" s="6">
        <v>16.536959</v>
      </c>
      <c r="K8300" s="6">
        <v>-98.030803000000006</v>
      </c>
      <c r="L8300" s="6" t="str">
        <f>HYPERLINK("https://maps.google.com/?q=16.536959,-98.030803000000006", "🔗 Ver Mapa")</f>
        <v>🔗 Ver Mapa</v>
      </c>
    </row>
    <row r="8301" spans="1:12" ht="43.5" x14ac:dyDescent="0.35">
      <c r="A8301" s="5" t="s">
        <v>98</v>
      </c>
      <c r="B8301" s="5" t="s">
        <v>99</v>
      </c>
      <c r="C8301" s="5" t="s">
        <v>1498</v>
      </c>
      <c r="D8301" s="5" t="s">
        <v>14</v>
      </c>
      <c r="E8301" s="5" t="s">
        <v>17</v>
      </c>
      <c r="F8301" s="5" t="s">
        <v>59</v>
      </c>
      <c r="G8301" s="5" t="s">
        <v>1306</v>
      </c>
      <c r="H8301" s="5" t="s">
        <v>1307</v>
      </c>
      <c r="I8301" s="5" t="s">
        <v>31</v>
      </c>
      <c r="J8301" s="5">
        <v>16.536968999999999</v>
      </c>
      <c r="K8301" s="5">
        <v>-98.036050000000003</v>
      </c>
      <c r="L8301" s="5" t="str">
        <f>HYPERLINK("https://maps.google.com/?q=16.536969,-98.036050000000003", "🔗 Ver Mapa")</f>
        <v>🔗 Ver Mapa</v>
      </c>
    </row>
    <row r="8302" spans="1:12" ht="43.5" x14ac:dyDescent="0.35">
      <c r="A8302" s="6" t="s">
        <v>98</v>
      </c>
      <c r="B8302" s="6" t="s">
        <v>99</v>
      </c>
      <c r="C8302" s="6" t="s">
        <v>1498</v>
      </c>
      <c r="D8302" s="6" t="s">
        <v>14</v>
      </c>
      <c r="E8302" s="6" t="s">
        <v>17</v>
      </c>
      <c r="F8302" s="6" t="s">
        <v>59</v>
      </c>
      <c r="G8302" s="6" t="s">
        <v>1306</v>
      </c>
      <c r="H8302" s="6" t="s">
        <v>1307</v>
      </c>
      <c r="I8302" s="6" t="s">
        <v>31</v>
      </c>
      <c r="J8302" s="6">
        <v>16.537178999999998</v>
      </c>
      <c r="K8302" s="6">
        <v>-98.036486999999994</v>
      </c>
      <c r="L8302" s="6" t="str">
        <f>HYPERLINK("https://maps.google.com/?q=16.537179,-98.036486999999994", "🔗 Ver Mapa")</f>
        <v>🔗 Ver Mapa</v>
      </c>
    </row>
    <row r="8303" spans="1:12" ht="43.5" x14ac:dyDescent="0.35">
      <c r="A8303" s="5" t="s">
        <v>98</v>
      </c>
      <c r="B8303" s="5" t="s">
        <v>99</v>
      </c>
      <c r="C8303" s="5" t="s">
        <v>1498</v>
      </c>
      <c r="D8303" s="5" t="s">
        <v>14</v>
      </c>
      <c r="E8303" s="5" t="s">
        <v>17</v>
      </c>
      <c r="F8303" s="5" t="s">
        <v>59</v>
      </c>
      <c r="G8303" s="5" t="s">
        <v>1306</v>
      </c>
      <c r="H8303" s="5" t="s">
        <v>1307</v>
      </c>
      <c r="I8303" s="5" t="s">
        <v>31</v>
      </c>
      <c r="J8303" s="5">
        <v>16.537797999999999</v>
      </c>
      <c r="K8303" s="5">
        <v>-98.034972999999994</v>
      </c>
      <c r="L8303" s="5" t="str">
        <f>HYPERLINK("https://maps.google.com/?q=16.537798,-98.034972999999994", "🔗 Ver Mapa")</f>
        <v>🔗 Ver Mapa</v>
      </c>
    </row>
    <row r="8304" spans="1:12" ht="43.5" x14ac:dyDescent="0.35">
      <c r="A8304" s="6" t="s">
        <v>98</v>
      </c>
      <c r="B8304" s="6" t="s">
        <v>99</v>
      </c>
      <c r="C8304" s="6" t="s">
        <v>1498</v>
      </c>
      <c r="D8304" s="6" t="s">
        <v>14</v>
      </c>
      <c r="E8304" s="6" t="s">
        <v>17</v>
      </c>
      <c r="F8304" s="6" t="s">
        <v>59</v>
      </c>
      <c r="G8304" s="6" t="s">
        <v>1306</v>
      </c>
      <c r="H8304" s="6" t="s">
        <v>1307</v>
      </c>
      <c r="I8304" s="6" t="s">
        <v>31</v>
      </c>
      <c r="J8304" s="6">
        <v>16.538228</v>
      </c>
      <c r="K8304" s="6">
        <v>-98.033304000000001</v>
      </c>
      <c r="L8304" s="6" t="str">
        <f>HYPERLINK("https://maps.google.com/?q=16.538228,-98.033304000000001", "🔗 Ver Mapa")</f>
        <v>🔗 Ver Mapa</v>
      </c>
    </row>
    <row r="8305" spans="1:12" ht="43.5" x14ac:dyDescent="0.35">
      <c r="A8305" s="5" t="s">
        <v>98</v>
      </c>
      <c r="B8305" s="5" t="s">
        <v>99</v>
      </c>
      <c r="C8305" s="5" t="s">
        <v>1498</v>
      </c>
      <c r="D8305" s="5" t="s">
        <v>14</v>
      </c>
      <c r="E8305" s="5" t="s">
        <v>17</v>
      </c>
      <c r="F8305" s="5" t="s">
        <v>59</v>
      </c>
      <c r="G8305" s="5" t="s">
        <v>1306</v>
      </c>
      <c r="H8305" s="5" t="s">
        <v>1307</v>
      </c>
      <c r="I8305" s="5" t="s">
        <v>31</v>
      </c>
      <c r="J8305" s="5">
        <v>16.538307</v>
      </c>
      <c r="K8305" s="5">
        <v>-98.035203999999993</v>
      </c>
      <c r="L8305" s="5" t="str">
        <f>HYPERLINK("https://maps.google.com/?q=16.538307,-98.035203999999993", "🔗 Ver Mapa")</f>
        <v>🔗 Ver Mapa</v>
      </c>
    </row>
    <row r="8306" spans="1:12" ht="43.5" x14ac:dyDescent="0.35">
      <c r="A8306" s="6" t="s">
        <v>98</v>
      </c>
      <c r="B8306" s="6" t="s">
        <v>99</v>
      </c>
      <c r="C8306" s="6" t="s">
        <v>1498</v>
      </c>
      <c r="D8306" s="6" t="s">
        <v>14</v>
      </c>
      <c r="E8306" s="6" t="s">
        <v>17</v>
      </c>
      <c r="F8306" s="6" t="s">
        <v>59</v>
      </c>
      <c r="G8306" s="6" t="s">
        <v>1306</v>
      </c>
      <c r="H8306" s="6" t="s">
        <v>1307</v>
      </c>
      <c r="I8306" s="6" t="s">
        <v>31</v>
      </c>
      <c r="J8306" s="6">
        <v>16.538402000000001</v>
      </c>
      <c r="K8306" s="6">
        <v>-98.034233</v>
      </c>
      <c r="L8306" s="6" t="str">
        <f>HYPERLINK("https://maps.google.com/?q=16.538402,-98.034233", "🔗 Ver Mapa")</f>
        <v>🔗 Ver Mapa</v>
      </c>
    </row>
    <row r="8307" spans="1:12" ht="43.5" x14ac:dyDescent="0.35">
      <c r="A8307" s="5" t="s">
        <v>98</v>
      </c>
      <c r="B8307" s="5" t="s">
        <v>99</v>
      </c>
      <c r="C8307" s="5" t="s">
        <v>1498</v>
      </c>
      <c r="D8307" s="5" t="s">
        <v>14</v>
      </c>
      <c r="E8307" s="5" t="s">
        <v>17</v>
      </c>
      <c r="F8307" s="5" t="s">
        <v>59</v>
      </c>
      <c r="G8307" s="5" t="s">
        <v>1306</v>
      </c>
      <c r="H8307" s="5" t="s">
        <v>1307</v>
      </c>
      <c r="I8307" s="5" t="s">
        <v>31</v>
      </c>
      <c r="J8307" s="5">
        <v>16.538495000000001</v>
      </c>
      <c r="K8307" s="5">
        <v>-98.032702999999998</v>
      </c>
      <c r="L8307" s="5" t="str">
        <f>HYPERLINK("https://maps.google.com/?q=16.538495,-98.032702999999998", "🔗 Ver Mapa")</f>
        <v>🔗 Ver Mapa</v>
      </c>
    </row>
    <row r="8308" spans="1:12" ht="43.5" x14ac:dyDescent="0.35">
      <c r="A8308" s="6" t="s">
        <v>98</v>
      </c>
      <c r="B8308" s="6" t="s">
        <v>99</v>
      </c>
      <c r="C8308" s="6" t="s">
        <v>1498</v>
      </c>
      <c r="D8308" s="6" t="s">
        <v>14</v>
      </c>
      <c r="E8308" s="6" t="s">
        <v>17</v>
      </c>
      <c r="F8308" s="6" t="s">
        <v>59</v>
      </c>
      <c r="G8308" s="6" t="s">
        <v>1306</v>
      </c>
      <c r="H8308" s="6" t="s">
        <v>1307</v>
      </c>
      <c r="I8308" s="6" t="s">
        <v>31</v>
      </c>
      <c r="J8308" s="6">
        <v>16.538554999999999</v>
      </c>
      <c r="K8308" s="6">
        <v>-98.030964999999995</v>
      </c>
      <c r="L8308" s="6" t="str">
        <f>HYPERLINK("https://maps.google.com/?q=16.538555,-98.030964999999995", "🔗 Ver Mapa")</f>
        <v>🔗 Ver Mapa</v>
      </c>
    </row>
    <row r="8309" spans="1:12" ht="43.5" x14ac:dyDescent="0.35">
      <c r="A8309" s="5" t="s">
        <v>98</v>
      </c>
      <c r="B8309" s="5" t="s">
        <v>99</v>
      </c>
      <c r="C8309" s="5" t="s">
        <v>1498</v>
      </c>
      <c r="D8309" s="5" t="s">
        <v>14</v>
      </c>
      <c r="E8309" s="5" t="s">
        <v>17</v>
      </c>
      <c r="F8309" s="5" t="s">
        <v>59</v>
      </c>
      <c r="G8309" s="5" t="s">
        <v>1306</v>
      </c>
      <c r="H8309" s="5" t="s">
        <v>1307</v>
      </c>
      <c r="I8309" s="5" t="s">
        <v>31</v>
      </c>
      <c r="J8309" s="5">
        <v>16.538736</v>
      </c>
      <c r="K8309" s="5">
        <v>-98.034558000000004</v>
      </c>
      <c r="L8309" s="5" t="str">
        <f>HYPERLINK("https://maps.google.com/?q=16.538736,-98.034558000000004", "🔗 Ver Mapa")</f>
        <v>🔗 Ver Mapa</v>
      </c>
    </row>
    <row r="8310" spans="1:12" ht="43.5" x14ac:dyDescent="0.35">
      <c r="A8310" s="6" t="s">
        <v>98</v>
      </c>
      <c r="B8310" s="6" t="s">
        <v>99</v>
      </c>
      <c r="C8310" s="6" t="s">
        <v>1498</v>
      </c>
      <c r="D8310" s="6" t="s">
        <v>14</v>
      </c>
      <c r="E8310" s="6" t="s">
        <v>17</v>
      </c>
      <c r="F8310" s="6" t="s">
        <v>59</v>
      </c>
      <c r="G8310" s="6" t="s">
        <v>1306</v>
      </c>
      <c r="H8310" s="6" t="s">
        <v>1307</v>
      </c>
      <c r="I8310" s="6" t="s">
        <v>31</v>
      </c>
      <c r="J8310" s="6">
        <v>16.538761000000001</v>
      </c>
      <c r="K8310" s="6">
        <v>-98.033294999999995</v>
      </c>
      <c r="L8310" s="6" t="str">
        <f>HYPERLINK("https://maps.google.com/?q=16.538761,-98.033294999999995", "🔗 Ver Mapa")</f>
        <v>🔗 Ver Mapa</v>
      </c>
    </row>
    <row r="8311" spans="1:12" ht="43.5" x14ac:dyDescent="0.35">
      <c r="A8311" s="5" t="s">
        <v>98</v>
      </c>
      <c r="B8311" s="5" t="s">
        <v>99</v>
      </c>
      <c r="C8311" s="5" t="s">
        <v>1498</v>
      </c>
      <c r="D8311" s="5" t="s">
        <v>14</v>
      </c>
      <c r="E8311" s="5" t="s">
        <v>17</v>
      </c>
      <c r="F8311" s="5" t="s">
        <v>59</v>
      </c>
      <c r="G8311" s="5" t="s">
        <v>1306</v>
      </c>
      <c r="H8311" s="5" t="s">
        <v>1307</v>
      </c>
      <c r="I8311" s="5" t="s">
        <v>31</v>
      </c>
      <c r="J8311" s="5">
        <v>16.538815</v>
      </c>
      <c r="K8311" s="5">
        <v>-98.037621000000001</v>
      </c>
      <c r="L8311" s="5" t="str">
        <f>HYPERLINK("https://maps.google.com/?q=16.538815,-98.037621000000001", "🔗 Ver Mapa")</f>
        <v>🔗 Ver Mapa</v>
      </c>
    </row>
    <row r="8312" spans="1:12" ht="43.5" x14ac:dyDescent="0.35">
      <c r="A8312" s="6" t="s">
        <v>98</v>
      </c>
      <c r="B8312" s="6" t="s">
        <v>99</v>
      </c>
      <c r="C8312" s="6" t="s">
        <v>1498</v>
      </c>
      <c r="D8312" s="6" t="s">
        <v>14</v>
      </c>
      <c r="E8312" s="6" t="s">
        <v>17</v>
      </c>
      <c r="F8312" s="6" t="s">
        <v>59</v>
      </c>
      <c r="G8312" s="6" t="s">
        <v>1306</v>
      </c>
      <c r="H8312" s="6" t="s">
        <v>1307</v>
      </c>
      <c r="I8312" s="6" t="s">
        <v>31</v>
      </c>
      <c r="J8312" s="6">
        <v>16.538896000000001</v>
      </c>
      <c r="K8312" s="6">
        <v>-98.030241000000004</v>
      </c>
      <c r="L8312" s="6" t="str">
        <f>HYPERLINK("https://maps.google.com/?q=16.538896,-98.030241000000004", "🔗 Ver Mapa")</f>
        <v>🔗 Ver Mapa</v>
      </c>
    </row>
    <row r="8313" spans="1:12" ht="43.5" x14ac:dyDescent="0.35">
      <c r="A8313" s="5" t="s">
        <v>98</v>
      </c>
      <c r="B8313" s="5" t="s">
        <v>99</v>
      </c>
      <c r="C8313" s="5" t="s">
        <v>1498</v>
      </c>
      <c r="D8313" s="5" t="s">
        <v>14</v>
      </c>
      <c r="E8313" s="5" t="s">
        <v>17</v>
      </c>
      <c r="F8313" s="5" t="s">
        <v>59</v>
      </c>
      <c r="G8313" s="5" t="s">
        <v>1306</v>
      </c>
      <c r="H8313" s="5" t="s">
        <v>1307</v>
      </c>
      <c r="I8313" s="5" t="s">
        <v>31</v>
      </c>
      <c r="J8313" s="5">
        <v>16.538934000000001</v>
      </c>
      <c r="K8313" s="5">
        <v>-98.03389</v>
      </c>
      <c r="L8313" s="5" t="str">
        <f>HYPERLINK("https://maps.google.com/?q=16.538934,-98.03389", "🔗 Ver Mapa")</f>
        <v>🔗 Ver Mapa</v>
      </c>
    </row>
    <row r="8314" spans="1:12" ht="43.5" x14ac:dyDescent="0.35">
      <c r="A8314" s="6" t="s">
        <v>98</v>
      </c>
      <c r="B8314" s="6" t="s">
        <v>99</v>
      </c>
      <c r="C8314" s="6" t="s">
        <v>1498</v>
      </c>
      <c r="D8314" s="6" t="s">
        <v>14</v>
      </c>
      <c r="E8314" s="6" t="s">
        <v>17</v>
      </c>
      <c r="F8314" s="6" t="s">
        <v>59</v>
      </c>
      <c r="G8314" s="6" t="s">
        <v>1306</v>
      </c>
      <c r="H8314" s="6" t="s">
        <v>1307</v>
      </c>
      <c r="I8314" s="6" t="s">
        <v>31</v>
      </c>
      <c r="J8314" s="6">
        <v>16.538944999999998</v>
      </c>
      <c r="K8314" s="6">
        <v>-98.034998999999999</v>
      </c>
      <c r="L8314" s="6" t="str">
        <f>HYPERLINK("https://maps.google.com/?q=16.538945,-98.034998999999999", "🔗 Ver Mapa")</f>
        <v>🔗 Ver Mapa</v>
      </c>
    </row>
    <row r="8315" spans="1:12" ht="43.5" x14ac:dyDescent="0.35">
      <c r="A8315" s="5" t="s">
        <v>98</v>
      </c>
      <c r="B8315" s="5" t="s">
        <v>99</v>
      </c>
      <c r="C8315" s="5" t="s">
        <v>1498</v>
      </c>
      <c r="D8315" s="5" t="s">
        <v>14</v>
      </c>
      <c r="E8315" s="5" t="s">
        <v>17</v>
      </c>
      <c r="F8315" s="5" t="s">
        <v>59</v>
      </c>
      <c r="G8315" s="5" t="s">
        <v>1306</v>
      </c>
      <c r="H8315" s="5" t="s">
        <v>1307</v>
      </c>
      <c r="I8315" s="5" t="s">
        <v>31</v>
      </c>
      <c r="J8315" s="5">
        <v>16.539027999999998</v>
      </c>
      <c r="K8315" s="5">
        <v>-98.037527999999995</v>
      </c>
      <c r="L8315" s="5" t="str">
        <f>HYPERLINK("https://maps.google.com/?q=16.539028,-98.037527999999995", "🔗 Ver Mapa")</f>
        <v>🔗 Ver Mapa</v>
      </c>
    </row>
    <row r="8316" spans="1:12" ht="43.5" x14ac:dyDescent="0.35">
      <c r="A8316" s="6" t="s">
        <v>98</v>
      </c>
      <c r="B8316" s="6" t="s">
        <v>99</v>
      </c>
      <c r="C8316" s="6" t="s">
        <v>1498</v>
      </c>
      <c r="D8316" s="6" t="s">
        <v>14</v>
      </c>
      <c r="E8316" s="6" t="s">
        <v>17</v>
      </c>
      <c r="F8316" s="6" t="s">
        <v>59</v>
      </c>
      <c r="G8316" s="6" t="s">
        <v>1306</v>
      </c>
      <c r="H8316" s="6" t="s">
        <v>1307</v>
      </c>
      <c r="I8316" s="6" t="s">
        <v>31</v>
      </c>
      <c r="J8316" s="6">
        <v>16.539207999999999</v>
      </c>
      <c r="K8316" s="6">
        <v>-98.029763000000003</v>
      </c>
      <c r="L8316" s="6" t="str">
        <f>HYPERLINK("https://maps.google.com/?q=16.539208,-98.029763000000003", "🔗 Ver Mapa")</f>
        <v>🔗 Ver Mapa</v>
      </c>
    </row>
    <row r="8317" spans="1:12" ht="43.5" x14ac:dyDescent="0.35">
      <c r="A8317" s="5" t="s">
        <v>98</v>
      </c>
      <c r="B8317" s="5" t="s">
        <v>99</v>
      </c>
      <c r="C8317" s="5" t="s">
        <v>1498</v>
      </c>
      <c r="D8317" s="5" t="s">
        <v>14</v>
      </c>
      <c r="E8317" s="5" t="s">
        <v>17</v>
      </c>
      <c r="F8317" s="5" t="s">
        <v>59</v>
      </c>
      <c r="G8317" s="5" t="s">
        <v>1306</v>
      </c>
      <c r="H8317" s="5" t="s">
        <v>1307</v>
      </c>
      <c r="I8317" s="5" t="s">
        <v>31</v>
      </c>
      <c r="J8317" s="5">
        <v>16.539223</v>
      </c>
      <c r="K8317" s="5">
        <v>-98.033625999999998</v>
      </c>
      <c r="L8317" s="5" t="str">
        <f>HYPERLINK("https://maps.google.com/?q=16.539223,-98.033625999999998", "🔗 Ver Mapa")</f>
        <v>🔗 Ver Mapa</v>
      </c>
    </row>
    <row r="8318" spans="1:12" ht="43.5" x14ac:dyDescent="0.35">
      <c r="A8318" s="6" t="s">
        <v>98</v>
      </c>
      <c r="B8318" s="6" t="s">
        <v>99</v>
      </c>
      <c r="C8318" s="6" t="s">
        <v>1498</v>
      </c>
      <c r="D8318" s="6" t="s">
        <v>14</v>
      </c>
      <c r="E8318" s="6" t="s">
        <v>17</v>
      </c>
      <c r="F8318" s="6" t="s">
        <v>59</v>
      </c>
      <c r="G8318" s="6" t="s">
        <v>1306</v>
      </c>
      <c r="H8318" s="6" t="s">
        <v>1307</v>
      </c>
      <c r="I8318" s="6" t="s">
        <v>31</v>
      </c>
      <c r="J8318" s="6">
        <v>16.539262000000001</v>
      </c>
      <c r="K8318" s="6">
        <v>-98.033116000000007</v>
      </c>
      <c r="L8318" s="6" t="str">
        <f>HYPERLINK("https://maps.google.com/?q=16.539262,-98.033116000000007", "🔗 Ver Mapa")</f>
        <v>🔗 Ver Mapa</v>
      </c>
    </row>
    <row r="8319" spans="1:12" ht="43.5" x14ac:dyDescent="0.35">
      <c r="A8319" s="5" t="s">
        <v>98</v>
      </c>
      <c r="B8319" s="5" t="s">
        <v>99</v>
      </c>
      <c r="C8319" s="5" t="s">
        <v>1498</v>
      </c>
      <c r="D8319" s="5" t="s">
        <v>14</v>
      </c>
      <c r="E8319" s="5" t="s">
        <v>17</v>
      </c>
      <c r="F8319" s="5" t="s">
        <v>59</v>
      </c>
      <c r="G8319" s="5" t="s">
        <v>1306</v>
      </c>
      <c r="H8319" s="5" t="s">
        <v>1307</v>
      </c>
      <c r="I8319" s="5" t="s">
        <v>31</v>
      </c>
      <c r="J8319" s="5">
        <v>16.539608000000001</v>
      </c>
      <c r="K8319" s="5">
        <v>-98.037023000000005</v>
      </c>
      <c r="L8319" s="5" t="str">
        <f>HYPERLINK("https://maps.google.com/?q=16.539608,-98.037023000000005", "🔗 Ver Mapa")</f>
        <v>🔗 Ver Mapa</v>
      </c>
    </row>
    <row r="8320" spans="1:12" ht="43.5" x14ac:dyDescent="0.35">
      <c r="A8320" s="6" t="s">
        <v>98</v>
      </c>
      <c r="B8320" s="6" t="s">
        <v>99</v>
      </c>
      <c r="C8320" s="6" t="s">
        <v>1498</v>
      </c>
      <c r="D8320" s="6" t="s">
        <v>14</v>
      </c>
      <c r="E8320" s="6" t="s">
        <v>17</v>
      </c>
      <c r="F8320" s="6" t="s">
        <v>59</v>
      </c>
      <c r="G8320" s="6" t="s">
        <v>1306</v>
      </c>
      <c r="H8320" s="6" t="s">
        <v>1307</v>
      </c>
      <c r="I8320" s="6" t="s">
        <v>31</v>
      </c>
      <c r="J8320" s="6">
        <v>16.539766</v>
      </c>
      <c r="K8320" s="6">
        <v>-98.033777999999998</v>
      </c>
      <c r="L8320" s="6" t="str">
        <f>HYPERLINK("https://maps.google.com/?q=16.539766,-98.033777999999998", "🔗 Ver Mapa")</f>
        <v>🔗 Ver Mapa</v>
      </c>
    </row>
    <row r="8321" spans="1:12" ht="43.5" x14ac:dyDescent="0.35">
      <c r="A8321" s="5" t="s">
        <v>98</v>
      </c>
      <c r="B8321" s="5" t="s">
        <v>99</v>
      </c>
      <c r="C8321" s="5" t="s">
        <v>1498</v>
      </c>
      <c r="D8321" s="5" t="s">
        <v>14</v>
      </c>
      <c r="E8321" s="5" t="s">
        <v>17</v>
      </c>
      <c r="F8321" s="5" t="s">
        <v>59</v>
      </c>
      <c r="G8321" s="5" t="s">
        <v>1306</v>
      </c>
      <c r="H8321" s="5" t="s">
        <v>1307</v>
      </c>
      <c r="I8321" s="5" t="s">
        <v>31</v>
      </c>
      <c r="J8321" s="5">
        <v>16.539968999999999</v>
      </c>
      <c r="K8321" s="5">
        <v>-98.033276999999998</v>
      </c>
      <c r="L8321" s="5" t="str">
        <f>HYPERLINK("https://maps.google.com/?q=16.539969,-98.033276999999998", "🔗 Ver Mapa")</f>
        <v>🔗 Ver Mapa</v>
      </c>
    </row>
    <row r="8322" spans="1:12" ht="43.5" x14ac:dyDescent="0.35">
      <c r="A8322" s="6" t="s">
        <v>98</v>
      </c>
      <c r="B8322" s="6" t="s">
        <v>99</v>
      </c>
      <c r="C8322" s="6" t="s">
        <v>1498</v>
      </c>
      <c r="D8322" s="6" t="s">
        <v>14</v>
      </c>
      <c r="E8322" s="6" t="s">
        <v>17</v>
      </c>
      <c r="F8322" s="6" t="s">
        <v>59</v>
      </c>
      <c r="G8322" s="6" t="s">
        <v>1306</v>
      </c>
      <c r="H8322" s="6" t="s">
        <v>1307</v>
      </c>
      <c r="I8322" s="6" t="s">
        <v>31</v>
      </c>
      <c r="J8322" s="6">
        <v>16.540154000000001</v>
      </c>
      <c r="K8322" s="6">
        <v>-98.033730000000006</v>
      </c>
      <c r="L8322" s="6" t="str">
        <f>HYPERLINK("https://maps.google.com/?q=16.540154,-98.033730000000006", "🔗 Ver Mapa")</f>
        <v>🔗 Ver Mapa</v>
      </c>
    </row>
    <row r="8323" spans="1:12" ht="43.5" x14ac:dyDescent="0.35">
      <c r="A8323" s="5" t="s">
        <v>98</v>
      </c>
      <c r="B8323" s="5" t="s">
        <v>99</v>
      </c>
      <c r="C8323" s="5" t="s">
        <v>1498</v>
      </c>
      <c r="D8323" s="5" t="s">
        <v>14</v>
      </c>
      <c r="E8323" s="5" t="s">
        <v>17</v>
      </c>
      <c r="F8323" s="5" t="s">
        <v>59</v>
      </c>
      <c r="G8323" s="5" t="s">
        <v>1306</v>
      </c>
      <c r="H8323" s="5" t="s">
        <v>1307</v>
      </c>
      <c r="I8323" s="5" t="s">
        <v>31</v>
      </c>
      <c r="J8323" s="5">
        <v>16.540503999999999</v>
      </c>
      <c r="K8323" s="5">
        <v>-98.034544999999994</v>
      </c>
      <c r="L8323" s="5" t="str">
        <f>HYPERLINK("https://maps.google.com/?q=16.540504,-98.034544999999994", "🔗 Ver Mapa")</f>
        <v>🔗 Ver Mapa</v>
      </c>
    </row>
    <row r="8324" spans="1:12" ht="43.5" x14ac:dyDescent="0.35">
      <c r="A8324" s="6" t="s">
        <v>98</v>
      </c>
      <c r="B8324" s="6" t="s">
        <v>99</v>
      </c>
      <c r="C8324" s="6" t="s">
        <v>1498</v>
      </c>
      <c r="D8324" s="6" t="s">
        <v>14</v>
      </c>
      <c r="E8324" s="6" t="s">
        <v>17</v>
      </c>
      <c r="F8324" s="6" t="s">
        <v>59</v>
      </c>
      <c r="G8324" s="6" t="s">
        <v>1306</v>
      </c>
      <c r="H8324" s="6" t="s">
        <v>1307</v>
      </c>
      <c r="I8324" s="6" t="s">
        <v>31</v>
      </c>
      <c r="J8324" s="6">
        <v>16.540925999999999</v>
      </c>
      <c r="K8324" s="6">
        <v>-98.034575000000004</v>
      </c>
      <c r="L8324" s="6" t="str">
        <f>HYPERLINK("https://maps.google.com/?q=16.540926,-98.034575000000004", "🔗 Ver Mapa")</f>
        <v>🔗 Ver Mapa</v>
      </c>
    </row>
    <row r="8325" spans="1:12" ht="43.5" x14ac:dyDescent="0.35">
      <c r="A8325" s="5" t="s">
        <v>98</v>
      </c>
      <c r="B8325" s="5" t="s">
        <v>99</v>
      </c>
      <c r="C8325" s="5" t="s">
        <v>1498</v>
      </c>
      <c r="D8325" s="5" t="s">
        <v>14</v>
      </c>
      <c r="E8325" s="5" t="s">
        <v>17</v>
      </c>
      <c r="F8325" s="5" t="s">
        <v>59</v>
      </c>
      <c r="G8325" s="5" t="s">
        <v>1306</v>
      </c>
      <c r="H8325" s="5" t="s">
        <v>1307</v>
      </c>
      <c r="I8325" s="5" t="s">
        <v>31</v>
      </c>
      <c r="J8325" s="5">
        <v>16.541615</v>
      </c>
      <c r="K8325" s="5">
        <v>-98.034035000000003</v>
      </c>
      <c r="L8325" s="5" t="str">
        <f>HYPERLINK("https://maps.google.com/?q=16.541615,-98.034035000000003", "🔗 Ver Mapa")</f>
        <v>🔗 Ver Mapa</v>
      </c>
    </row>
    <row r="8326" spans="1:12" ht="43.5" x14ac:dyDescent="0.35">
      <c r="A8326" s="6" t="s">
        <v>98</v>
      </c>
      <c r="B8326" s="6" t="s">
        <v>99</v>
      </c>
      <c r="C8326" s="6" t="s">
        <v>1498</v>
      </c>
      <c r="D8326" s="6" t="s">
        <v>14</v>
      </c>
      <c r="E8326" s="6" t="s">
        <v>17</v>
      </c>
      <c r="F8326" s="6" t="s">
        <v>59</v>
      </c>
      <c r="G8326" s="6" t="s">
        <v>1306</v>
      </c>
      <c r="H8326" s="6" t="s">
        <v>1307</v>
      </c>
      <c r="I8326" s="6" t="s">
        <v>31</v>
      </c>
      <c r="J8326" s="6">
        <v>16.541633000000001</v>
      </c>
      <c r="K8326" s="6">
        <v>-98.033045000000001</v>
      </c>
      <c r="L8326" s="6" t="str">
        <f>HYPERLINK("https://maps.google.com/?q=16.541633,-98.033045000000001", "🔗 Ver Mapa")</f>
        <v>🔗 Ver Mapa</v>
      </c>
    </row>
    <row r="8327" spans="1:12" ht="43.5" x14ac:dyDescent="0.35">
      <c r="A8327" s="5" t="s">
        <v>98</v>
      </c>
      <c r="B8327" s="5" t="s">
        <v>99</v>
      </c>
      <c r="C8327" s="5" t="s">
        <v>1498</v>
      </c>
      <c r="D8327" s="5" t="s">
        <v>14</v>
      </c>
      <c r="E8327" s="5" t="s">
        <v>17</v>
      </c>
      <c r="F8327" s="5" t="s">
        <v>59</v>
      </c>
      <c r="G8327" s="5" t="s">
        <v>1306</v>
      </c>
      <c r="H8327" s="5" t="s">
        <v>1307</v>
      </c>
      <c r="I8327" s="5" t="s">
        <v>31</v>
      </c>
      <c r="J8327" s="5">
        <v>16.54186</v>
      </c>
      <c r="K8327" s="5">
        <v>-98.033737000000002</v>
      </c>
      <c r="L8327" s="5" t="str">
        <f>HYPERLINK("https://maps.google.com/?q=16.54186,-98.033737000000002", "🔗 Ver Mapa")</f>
        <v>🔗 Ver Mapa</v>
      </c>
    </row>
    <row r="8328" spans="1:12" ht="43.5" x14ac:dyDescent="0.35">
      <c r="A8328" s="6" t="s">
        <v>98</v>
      </c>
      <c r="B8328" s="6" t="s">
        <v>99</v>
      </c>
      <c r="C8328" s="6" t="s">
        <v>1498</v>
      </c>
      <c r="D8328" s="6" t="s">
        <v>14</v>
      </c>
      <c r="E8328" s="6" t="s">
        <v>17</v>
      </c>
      <c r="F8328" s="6" t="s">
        <v>59</v>
      </c>
      <c r="G8328" s="6" t="s">
        <v>1306</v>
      </c>
      <c r="H8328" s="6" t="s">
        <v>1307</v>
      </c>
      <c r="I8328" s="6" t="s">
        <v>31</v>
      </c>
      <c r="J8328" s="6">
        <v>16.542138999999999</v>
      </c>
      <c r="K8328" s="6">
        <v>-98.030103999999994</v>
      </c>
      <c r="L8328" s="6" t="str">
        <f>HYPERLINK("https://maps.google.com/?q=16.542139,-98.030103999999994", "🔗 Ver Mapa")</f>
        <v>🔗 Ver Mapa</v>
      </c>
    </row>
    <row r="8329" spans="1:12" ht="43.5" x14ac:dyDescent="0.35">
      <c r="A8329" s="5" t="s">
        <v>98</v>
      </c>
      <c r="B8329" s="5" t="s">
        <v>99</v>
      </c>
      <c r="C8329" s="5" t="s">
        <v>1498</v>
      </c>
      <c r="D8329" s="5" t="s">
        <v>14</v>
      </c>
      <c r="E8329" s="5" t="s">
        <v>17</v>
      </c>
      <c r="F8329" s="5" t="s">
        <v>59</v>
      </c>
      <c r="G8329" s="5" t="s">
        <v>1306</v>
      </c>
      <c r="H8329" s="5" t="s">
        <v>1307</v>
      </c>
      <c r="I8329" s="5" t="s">
        <v>31</v>
      </c>
      <c r="J8329" s="5">
        <v>16.542176000000001</v>
      </c>
      <c r="K8329" s="5">
        <v>-98.030824999999993</v>
      </c>
      <c r="L8329" s="5" t="str">
        <f>HYPERLINK("https://maps.google.com/?q=16.542176,-98.030824999999993", "🔗 Ver Mapa")</f>
        <v>🔗 Ver Mapa</v>
      </c>
    </row>
    <row r="8330" spans="1:12" ht="43.5" x14ac:dyDescent="0.35">
      <c r="A8330" s="6" t="s">
        <v>98</v>
      </c>
      <c r="B8330" s="6" t="s">
        <v>99</v>
      </c>
      <c r="C8330" s="6" t="s">
        <v>1498</v>
      </c>
      <c r="D8330" s="6" t="s">
        <v>14</v>
      </c>
      <c r="E8330" s="6" t="s">
        <v>17</v>
      </c>
      <c r="F8330" s="6" t="s">
        <v>59</v>
      </c>
      <c r="G8330" s="6" t="s">
        <v>1306</v>
      </c>
      <c r="H8330" s="6" t="s">
        <v>1307</v>
      </c>
      <c r="I8330" s="6" t="s">
        <v>31</v>
      </c>
      <c r="J8330" s="6">
        <v>16.542468</v>
      </c>
      <c r="K8330" s="6">
        <v>-98.034571999999997</v>
      </c>
      <c r="L8330" s="6" t="str">
        <f>HYPERLINK("https://maps.google.com/?q=16.542468,-98.034571999999997", "🔗 Ver Mapa")</f>
        <v>🔗 Ver Mapa</v>
      </c>
    </row>
    <row r="8331" spans="1:12" ht="43.5" x14ac:dyDescent="0.35">
      <c r="A8331" s="5" t="s">
        <v>98</v>
      </c>
      <c r="B8331" s="5" t="s">
        <v>99</v>
      </c>
      <c r="C8331" s="5" t="s">
        <v>1499</v>
      </c>
      <c r="D8331" s="5" t="s">
        <v>14</v>
      </c>
      <c r="E8331" s="5" t="s">
        <v>16</v>
      </c>
      <c r="F8331" s="5" t="s">
        <v>21</v>
      </c>
      <c r="G8331" s="5" t="s">
        <v>922</v>
      </c>
      <c r="H8331" s="5" t="s">
        <v>1249</v>
      </c>
      <c r="I8331" s="5" t="s">
        <v>31</v>
      </c>
      <c r="J8331" s="5">
        <v>17.200771334947</v>
      </c>
      <c r="K8331" s="5">
        <v>-97.594531648835996</v>
      </c>
      <c r="L8331" s="5" t="str">
        <f>HYPERLINK("https://maps.google.com/?q=17.2007713349471,-97.594531648835996", "🔗 Ver Mapa")</f>
        <v>🔗 Ver Mapa</v>
      </c>
    </row>
    <row r="8332" spans="1:12" ht="43.5" x14ac:dyDescent="0.35">
      <c r="A8332" s="6" t="s">
        <v>98</v>
      </c>
      <c r="B8332" s="6" t="s">
        <v>99</v>
      </c>
      <c r="C8332" s="6" t="s">
        <v>1499</v>
      </c>
      <c r="D8332" s="6" t="s">
        <v>14</v>
      </c>
      <c r="E8332" s="6" t="s">
        <v>16</v>
      </c>
      <c r="F8332" s="6" t="s">
        <v>21</v>
      </c>
      <c r="G8332" s="6" t="s">
        <v>922</v>
      </c>
      <c r="H8332" s="6" t="s">
        <v>1249</v>
      </c>
      <c r="I8332" s="6" t="s">
        <v>31</v>
      </c>
      <c r="J8332" s="6">
        <v>17.203282322702002</v>
      </c>
      <c r="K8332" s="6">
        <v>-97.591397488894998</v>
      </c>
      <c r="L8332" s="6" t="str">
        <f>HYPERLINK("https://maps.google.com/?q=17.203282322702,-97.591397488895495", "🔗 Ver Mapa")</f>
        <v>🔗 Ver Mapa</v>
      </c>
    </row>
    <row r="8333" spans="1:12" ht="43.5" x14ac:dyDescent="0.35">
      <c r="A8333" s="5" t="s">
        <v>98</v>
      </c>
      <c r="B8333" s="5" t="s">
        <v>99</v>
      </c>
      <c r="C8333" s="5" t="s">
        <v>1499</v>
      </c>
      <c r="D8333" s="5" t="s">
        <v>14</v>
      </c>
      <c r="E8333" s="5" t="s">
        <v>16</v>
      </c>
      <c r="F8333" s="5" t="s">
        <v>21</v>
      </c>
      <c r="G8333" s="5" t="s">
        <v>922</v>
      </c>
      <c r="H8333" s="5" t="s">
        <v>1249</v>
      </c>
      <c r="I8333" s="5" t="s">
        <v>31</v>
      </c>
      <c r="J8333" s="5">
        <v>17.203616402251999</v>
      </c>
      <c r="K8333" s="5">
        <v>-97.596633433226003</v>
      </c>
      <c r="L8333" s="5" t="str">
        <f>HYPERLINK("https://maps.google.com/?q=17.2036164022517,-97.5966334332259", "🔗 Ver Mapa")</f>
        <v>🔗 Ver Mapa</v>
      </c>
    </row>
    <row r="8334" spans="1:12" ht="58" x14ac:dyDescent="0.35">
      <c r="A8334" s="6" t="s">
        <v>98</v>
      </c>
      <c r="B8334" s="6" t="s">
        <v>99</v>
      </c>
      <c r="C8334" s="6" t="s">
        <v>1500</v>
      </c>
      <c r="D8334" s="6" t="s">
        <v>14</v>
      </c>
      <c r="E8334" s="6" t="s">
        <v>39</v>
      </c>
      <c r="F8334" s="6" t="s">
        <v>494</v>
      </c>
      <c r="G8334" s="6" t="s">
        <v>639</v>
      </c>
      <c r="H8334" s="6" t="s">
        <v>1501</v>
      </c>
      <c r="I8334" s="6" t="s">
        <v>31</v>
      </c>
      <c r="J8334" s="6">
        <v>16.841713552150001</v>
      </c>
      <c r="K8334" s="6">
        <v>-97.203219093832999</v>
      </c>
      <c r="L8334" s="6" t="str">
        <f>HYPERLINK("https://maps.google.com/?q=16.8417135521498,-97.203219093833198", "🔗 Ver Mapa")</f>
        <v>🔗 Ver Mapa</v>
      </c>
    </row>
    <row r="8335" spans="1:12" ht="58" x14ac:dyDescent="0.35">
      <c r="A8335" s="5" t="s">
        <v>98</v>
      </c>
      <c r="B8335" s="5" t="s">
        <v>99</v>
      </c>
      <c r="C8335" s="5" t="s">
        <v>1500</v>
      </c>
      <c r="D8335" s="5" t="s">
        <v>14</v>
      </c>
      <c r="E8335" s="5" t="s">
        <v>39</v>
      </c>
      <c r="F8335" s="5" t="s">
        <v>494</v>
      </c>
      <c r="G8335" s="5" t="s">
        <v>639</v>
      </c>
      <c r="H8335" s="5" t="s">
        <v>1501</v>
      </c>
      <c r="I8335" s="5" t="s">
        <v>31</v>
      </c>
      <c r="J8335" s="5">
        <v>16.841852179058002</v>
      </c>
      <c r="K8335" s="5">
        <v>-97.203608014140002</v>
      </c>
      <c r="L8335" s="5" t="str">
        <f>HYPERLINK("https://maps.google.com/?q=16.8418521790575,-97.203608014140201", "🔗 Ver Mapa")</f>
        <v>🔗 Ver Mapa</v>
      </c>
    </row>
    <row r="8336" spans="1:12" ht="58" x14ac:dyDescent="0.35">
      <c r="A8336" s="6" t="s">
        <v>98</v>
      </c>
      <c r="B8336" s="6" t="s">
        <v>99</v>
      </c>
      <c r="C8336" s="6" t="s">
        <v>1500</v>
      </c>
      <c r="D8336" s="6" t="s">
        <v>14</v>
      </c>
      <c r="E8336" s="6" t="s">
        <v>39</v>
      </c>
      <c r="F8336" s="6" t="s">
        <v>494</v>
      </c>
      <c r="G8336" s="6" t="s">
        <v>639</v>
      </c>
      <c r="H8336" s="6" t="s">
        <v>1501</v>
      </c>
      <c r="I8336" s="6" t="s">
        <v>31</v>
      </c>
      <c r="J8336" s="6">
        <v>16.842074238615002</v>
      </c>
      <c r="K8336" s="6">
        <v>-97.202112682614995</v>
      </c>
      <c r="L8336" s="6" t="str">
        <f>HYPERLINK("https://maps.google.com/?q=16.8420742386148,-97.202112682614896", "🔗 Ver Mapa")</f>
        <v>🔗 Ver Mapa</v>
      </c>
    </row>
    <row r="8337" spans="1:12" ht="58" x14ac:dyDescent="0.35">
      <c r="A8337" s="5" t="s">
        <v>98</v>
      </c>
      <c r="B8337" s="5" t="s">
        <v>99</v>
      </c>
      <c r="C8337" s="5" t="s">
        <v>1500</v>
      </c>
      <c r="D8337" s="5" t="s">
        <v>14</v>
      </c>
      <c r="E8337" s="5" t="s">
        <v>39</v>
      </c>
      <c r="F8337" s="5" t="s">
        <v>494</v>
      </c>
      <c r="G8337" s="5" t="s">
        <v>639</v>
      </c>
      <c r="H8337" s="5" t="s">
        <v>1501</v>
      </c>
      <c r="I8337" s="5" t="s">
        <v>31</v>
      </c>
      <c r="J8337" s="5">
        <v>16.842162805649</v>
      </c>
      <c r="K8337" s="5">
        <v>-97.202008076463002</v>
      </c>
      <c r="L8337" s="5" t="str">
        <f>HYPERLINK("https://maps.google.com/?q=16.8421628056487,-97.202008076463301", "🔗 Ver Mapa")</f>
        <v>🔗 Ver Mapa</v>
      </c>
    </row>
    <row r="8338" spans="1:12" ht="58" x14ac:dyDescent="0.35">
      <c r="A8338" s="6" t="s">
        <v>98</v>
      </c>
      <c r="B8338" s="6" t="s">
        <v>99</v>
      </c>
      <c r="C8338" s="6" t="s">
        <v>1500</v>
      </c>
      <c r="D8338" s="6" t="s">
        <v>14</v>
      </c>
      <c r="E8338" s="6" t="s">
        <v>39</v>
      </c>
      <c r="F8338" s="6" t="s">
        <v>494</v>
      </c>
      <c r="G8338" s="6" t="s">
        <v>639</v>
      </c>
      <c r="H8338" s="6" t="s">
        <v>1501</v>
      </c>
      <c r="I8338" s="6" t="s">
        <v>31</v>
      </c>
      <c r="J8338" s="6">
        <v>16.842209015019002</v>
      </c>
      <c r="K8338" s="6">
        <v>-97.202344689808001</v>
      </c>
      <c r="L8338" s="6" t="str">
        <f>HYPERLINK("https://maps.google.com/?q=16.8422090150195,-97.202344689808001", "🔗 Ver Mapa")</f>
        <v>🔗 Ver Mapa</v>
      </c>
    </row>
    <row r="8339" spans="1:12" ht="58" x14ac:dyDescent="0.35">
      <c r="A8339" s="5" t="s">
        <v>98</v>
      </c>
      <c r="B8339" s="5" t="s">
        <v>99</v>
      </c>
      <c r="C8339" s="5" t="s">
        <v>1500</v>
      </c>
      <c r="D8339" s="5" t="s">
        <v>14</v>
      </c>
      <c r="E8339" s="5" t="s">
        <v>39</v>
      </c>
      <c r="F8339" s="5" t="s">
        <v>494</v>
      </c>
      <c r="G8339" s="5" t="s">
        <v>639</v>
      </c>
      <c r="H8339" s="5" t="s">
        <v>1501</v>
      </c>
      <c r="I8339" s="5" t="s">
        <v>31</v>
      </c>
      <c r="J8339" s="5">
        <v>16.842251373141</v>
      </c>
      <c r="K8339" s="5">
        <v>-97.202643756113005</v>
      </c>
      <c r="L8339" s="5" t="str">
        <f>HYPERLINK("https://maps.google.com/?q=16.8422513731412,-97.202643756113105", "🔗 Ver Mapa")</f>
        <v>🔗 Ver Mapa</v>
      </c>
    </row>
    <row r="8340" spans="1:12" ht="58" x14ac:dyDescent="0.35">
      <c r="A8340" s="6" t="s">
        <v>98</v>
      </c>
      <c r="B8340" s="6" t="s">
        <v>99</v>
      </c>
      <c r="C8340" s="6" t="s">
        <v>1500</v>
      </c>
      <c r="D8340" s="6" t="s">
        <v>14</v>
      </c>
      <c r="E8340" s="6" t="s">
        <v>39</v>
      </c>
      <c r="F8340" s="6" t="s">
        <v>494</v>
      </c>
      <c r="G8340" s="6" t="s">
        <v>639</v>
      </c>
      <c r="H8340" s="6" t="s">
        <v>1501</v>
      </c>
      <c r="I8340" s="6" t="s">
        <v>31</v>
      </c>
      <c r="J8340" s="6">
        <v>16.842541461841002</v>
      </c>
      <c r="K8340" s="6">
        <v>-97.202299092255004</v>
      </c>
      <c r="L8340" s="6" t="str">
        <f>HYPERLINK("https://maps.google.com/?q=16.842541461841,-97.202299092254705", "🔗 Ver Mapa")</f>
        <v>🔗 Ver Mapa</v>
      </c>
    </row>
    <row r="8341" spans="1:12" ht="58" x14ac:dyDescent="0.35">
      <c r="A8341" s="5" t="s">
        <v>98</v>
      </c>
      <c r="B8341" s="5" t="s">
        <v>99</v>
      </c>
      <c r="C8341" s="5" t="s">
        <v>1500</v>
      </c>
      <c r="D8341" s="5" t="s">
        <v>14</v>
      </c>
      <c r="E8341" s="5" t="s">
        <v>39</v>
      </c>
      <c r="F8341" s="5" t="s">
        <v>494</v>
      </c>
      <c r="G8341" s="5" t="s">
        <v>639</v>
      </c>
      <c r="H8341" s="5" t="s">
        <v>1501</v>
      </c>
      <c r="I8341" s="5" t="s">
        <v>31</v>
      </c>
      <c r="J8341" s="5">
        <v>16.842644148000002</v>
      </c>
      <c r="K8341" s="5">
        <v>-97.202527080021</v>
      </c>
      <c r="L8341" s="5" t="str">
        <f>HYPERLINK("https://maps.google.com/?q=16.8426441479999,-97.202527080021", "🔗 Ver Mapa")</f>
        <v>🔗 Ver Mapa</v>
      </c>
    </row>
    <row r="8342" spans="1:12" ht="58" x14ac:dyDescent="0.35">
      <c r="A8342" s="6" t="s">
        <v>98</v>
      </c>
      <c r="B8342" s="6" t="s">
        <v>99</v>
      </c>
      <c r="C8342" s="6" t="s">
        <v>1500</v>
      </c>
      <c r="D8342" s="6" t="s">
        <v>14</v>
      </c>
      <c r="E8342" s="6" t="s">
        <v>39</v>
      </c>
      <c r="F8342" s="6" t="s">
        <v>494</v>
      </c>
      <c r="G8342" s="6" t="s">
        <v>639</v>
      </c>
      <c r="H8342" s="6" t="s">
        <v>1501</v>
      </c>
      <c r="I8342" s="6" t="s">
        <v>31</v>
      </c>
      <c r="J8342" s="6">
        <v>16.842974761124001</v>
      </c>
      <c r="K8342" s="6">
        <v>-97.201388784637004</v>
      </c>
      <c r="L8342" s="6" t="str">
        <f>HYPERLINK("https://maps.google.com/?q=16.8429747611244,-97.201388784636805", "🔗 Ver Mapa")</f>
        <v>🔗 Ver Mapa</v>
      </c>
    </row>
    <row r="8343" spans="1:12" ht="58" x14ac:dyDescent="0.35">
      <c r="A8343" s="5" t="s">
        <v>98</v>
      </c>
      <c r="B8343" s="5" t="s">
        <v>99</v>
      </c>
      <c r="C8343" s="5" t="s">
        <v>1500</v>
      </c>
      <c r="D8343" s="5" t="s">
        <v>14</v>
      </c>
      <c r="E8343" s="5" t="s">
        <v>39</v>
      </c>
      <c r="F8343" s="5" t="s">
        <v>494</v>
      </c>
      <c r="G8343" s="5" t="s">
        <v>639</v>
      </c>
      <c r="H8343" s="5" t="s">
        <v>1501</v>
      </c>
      <c r="I8343" s="5" t="s">
        <v>31</v>
      </c>
      <c r="J8343" s="5">
        <v>16.842992665493</v>
      </c>
      <c r="K8343" s="5">
        <v>-97.197285603492006</v>
      </c>
      <c r="L8343" s="5" t="str">
        <f>HYPERLINK("https://maps.google.com/?q=16.8429926654933,-97.197285603491807", "🔗 Ver Mapa")</f>
        <v>🔗 Ver Mapa</v>
      </c>
    </row>
    <row r="8344" spans="1:12" ht="58" x14ac:dyDescent="0.35">
      <c r="A8344" s="6" t="s">
        <v>98</v>
      </c>
      <c r="B8344" s="6" t="s">
        <v>99</v>
      </c>
      <c r="C8344" s="6" t="s">
        <v>1500</v>
      </c>
      <c r="D8344" s="6" t="s">
        <v>14</v>
      </c>
      <c r="E8344" s="6" t="s">
        <v>39</v>
      </c>
      <c r="F8344" s="6" t="s">
        <v>494</v>
      </c>
      <c r="G8344" s="6" t="s">
        <v>639</v>
      </c>
      <c r="H8344" s="6" t="s">
        <v>1501</v>
      </c>
      <c r="I8344" s="6" t="s">
        <v>31</v>
      </c>
      <c r="J8344" s="6">
        <v>16.843026032642001</v>
      </c>
      <c r="K8344" s="6">
        <v>-97.197651724417995</v>
      </c>
      <c r="L8344" s="6" t="str">
        <f>HYPERLINK("https://maps.google.com/?q=16.8430260326419,-97.197651724417995", "🔗 Ver Mapa")</f>
        <v>🔗 Ver Mapa</v>
      </c>
    </row>
    <row r="8345" spans="1:12" ht="58" x14ac:dyDescent="0.35">
      <c r="A8345" s="5" t="s">
        <v>98</v>
      </c>
      <c r="B8345" s="5" t="s">
        <v>99</v>
      </c>
      <c r="C8345" s="5" t="s">
        <v>1500</v>
      </c>
      <c r="D8345" s="5" t="s">
        <v>14</v>
      </c>
      <c r="E8345" s="5" t="s">
        <v>39</v>
      </c>
      <c r="F8345" s="5" t="s">
        <v>494</v>
      </c>
      <c r="G8345" s="5" t="s">
        <v>639</v>
      </c>
      <c r="H8345" s="5" t="s">
        <v>1501</v>
      </c>
      <c r="I8345" s="5" t="s">
        <v>31</v>
      </c>
      <c r="J8345" s="5">
        <v>16.843115882140001</v>
      </c>
      <c r="K8345" s="5">
        <v>-97.197657087783995</v>
      </c>
      <c r="L8345" s="5" t="str">
        <f>HYPERLINK("https://maps.google.com/?q=16.8431158821396,-97.197657087784094", "🔗 Ver Mapa")</f>
        <v>🔗 Ver Mapa</v>
      </c>
    </row>
    <row r="8346" spans="1:12" ht="58" x14ac:dyDescent="0.35">
      <c r="A8346" s="6" t="s">
        <v>98</v>
      </c>
      <c r="B8346" s="6" t="s">
        <v>99</v>
      </c>
      <c r="C8346" s="6" t="s">
        <v>1500</v>
      </c>
      <c r="D8346" s="6" t="s">
        <v>14</v>
      </c>
      <c r="E8346" s="6" t="s">
        <v>39</v>
      </c>
      <c r="F8346" s="6" t="s">
        <v>494</v>
      </c>
      <c r="G8346" s="6" t="s">
        <v>639</v>
      </c>
      <c r="H8346" s="6" t="s">
        <v>1501</v>
      </c>
      <c r="I8346" s="6" t="s">
        <v>31</v>
      </c>
      <c r="J8346" s="6">
        <v>16.843223702277999</v>
      </c>
      <c r="K8346" s="6">
        <v>-97.197748282890998</v>
      </c>
      <c r="L8346" s="6" t="str">
        <f>HYPERLINK("https://maps.google.com/?q=16.8432237022777,-97.197748282890501", "🔗 Ver Mapa")</f>
        <v>🔗 Ver Mapa</v>
      </c>
    </row>
    <row r="8347" spans="1:12" ht="58" x14ac:dyDescent="0.35">
      <c r="A8347" s="5" t="s">
        <v>98</v>
      </c>
      <c r="B8347" s="5" t="s">
        <v>99</v>
      </c>
      <c r="C8347" s="5" t="s">
        <v>1500</v>
      </c>
      <c r="D8347" s="5" t="s">
        <v>14</v>
      </c>
      <c r="E8347" s="5" t="s">
        <v>39</v>
      </c>
      <c r="F8347" s="5" t="s">
        <v>494</v>
      </c>
      <c r="G8347" s="5" t="s">
        <v>639</v>
      </c>
      <c r="H8347" s="5" t="s">
        <v>1501</v>
      </c>
      <c r="I8347" s="5" t="s">
        <v>31</v>
      </c>
      <c r="J8347" s="5">
        <v>16.8434021188</v>
      </c>
      <c r="K8347" s="5">
        <v>-97.197635630112003</v>
      </c>
      <c r="L8347" s="5" t="str">
        <f>HYPERLINK("https://maps.google.com/?q=16.8434021187999,-97.197635630112003", "🔗 Ver Mapa")</f>
        <v>🔗 Ver Mapa</v>
      </c>
    </row>
    <row r="8348" spans="1:12" ht="58" x14ac:dyDescent="0.35">
      <c r="A8348" s="6" t="s">
        <v>98</v>
      </c>
      <c r="B8348" s="6" t="s">
        <v>99</v>
      </c>
      <c r="C8348" s="6" t="s">
        <v>1500</v>
      </c>
      <c r="D8348" s="6" t="s">
        <v>14</v>
      </c>
      <c r="E8348" s="6" t="s">
        <v>39</v>
      </c>
      <c r="F8348" s="6" t="s">
        <v>494</v>
      </c>
      <c r="G8348" s="6" t="s">
        <v>639</v>
      </c>
      <c r="H8348" s="6" t="s">
        <v>1501</v>
      </c>
      <c r="I8348" s="6" t="s">
        <v>31</v>
      </c>
      <c r="J8348" s="6">
        <v>16.843506088062998</v>
      </c>
      <c r="K8348" s="6">
        <v>-97.197207817774</v>
      </c>
      <c r="L8348" s="6" t="str">
        <f>HYPERLINK("https://maps.google.com/?q=16.8435060880626,-97.197207817774199", "🔗 Ver Mapa")</f>
        <v>🔗 Ver Mapa</v>
      </c>
    </row>
    <row r="8349" spans="1:12" ht="58" x14ac:dyDescent="0.35">
      <c r="A8349" s="5" t="s">
        <v>98</v>
      </c>
      <c r="B8349" s="5" t="s">
        <v>99</v>
      </c>
      <c r="C8349" s="5" t="s">
        <v>1500</v>
      </c>
      <c r="D8349" s="5" t="s">
        <v>14</v>
      </c>
      <c r="E8349" s="5" t="s">
        <v>39</v>
      </c>
      <c r="F8349" s="5" t="s">
        <v>494</v>
      </c>
      <c r="G8349" s="5" t="s">
        <v>639</v>
      </c>
      <c r="H8349" s="5" t="s">
        <v>1501</v>
      </c>
      <c r="I8349" s="5" t="s">
        <v>31</v>
      </c>
      <c r="J8349" s="5">
        <v>16.843531759476999</v>
      </c>
      <c r="K8349" s="5">
        <v>-97.197484085303003</v>
      </c>
      <c r="L8349" s="5" t="str">
        <f>HYPERLINK("https://maps.google.com/?q=16.8435317594767,-97.197484085302705", "🔗 Ver Mapa")</f>
        <v>🔗 Ver Mapa</v>
      </c>
    </row>
    <row r="8350" spans="1:12" ht="58" x14ac:dyDescent="0.35">
      <c r="A8350" s="6" t="s">
        <v>98</v>
      </c>
      <c r="B8350" s="6" t="s">
        <v>99</v>
      </c>
      <c r="C8350" s="6" t="s">
        <v>1500</v>
      </c>
      <c r="D8350" s="6" t="s">
        <v>14</v>
      </c>
      <c r="E8350" s="6" t="s">
        <v>39</v>
      </c>
      <c r="F8350" s="6" t="s">
        <v>494</v>
      </c>
      <c r="G8350" s="6" t="s">
        <v>639</v>
      </c>
      <c r="H8350" s="6" t="s">
        <v>1501</v>
      </c>
      <c r="I8350" s="6" t="s">
        <v>31</v>
      </c>
      <c r="J8350" s="6">
        <v>16.84353817733</v>
      </c>
      <c r="K8350" s="6">
        <v>-97.197650382261997</v>
      </c>
      <c r="L8350" s="6" t="str">
        <f>HYPERLINK("https://maps.google.com/?q=16.8435381773297,-97.1976503822615", "🔗 Ver Mapa")</f>
        <v>🔗 Ver Mapa</v>
      </c>
    </row>
    <row r="8351" spans="1:12" ht="58" x14ac:dyDescent="0.35">
      <c r="A8351" s="5" t="s">
        <v>98</v>
      </c>
      <c r="B8351" s="5" t="s">
        <v>99</v>
      </c>
      <c r="C8351" s="5" t="s">
        <v>1500</v>
      </c>
      <c r="D8351" s="5" t="s">
        <v>14</v>
      </c>
      <c r="E8351" s="5" t="s">
        <v>39</v>
      </c>
      <c r="F8351" s="5" t="s">
        <v>494</v>
      </c>
      <c r="G8351" s="5" t="s">
        <v>639</v>
      </c>
      <c r="H8351" s="5" t="s">
        <v>1501</v>
      </c>
      <c r="I8351" s="5" t="s">
        <v>31</v>
      </c>
      <c r="J8351" s="5">
        <v>16.843619042259</v>
      </c>
      <c r="K8351" s="5">
        <v>-97.197555163841002</v>
      </c>
      <c r="L8351" s="5" t="str">
        <f>HYPERLINK("https://maps.google.com/?q=16.8436190422586,-97.1975551638415", "🔗 Ver Mapa")</f>
        <v>🔗 Ver Mapa</v>
      </c>
    </row>
    <row r="8352" spans="1:12" ht="58" x14ac:dyDescent="0.35">
      <c r="A8352" s="6" t="s">
        <v>98</v>
      </c>
      <c r="B8352" s="6" t="s">
        <v>99</v>
      </c>
      <c r="C8352" s="6" t="s">
        <v>1500</v>
      </c>
      <c r="D8352" s="6" t="s">
        <v>14</v>
      </c>
      <c r="E8352" s="6" t="s">
        <v>39</v>
      </c>
      <c r="F8352" s="6" t="s">
        <v>494</v>
      </c>
      <c r="G8352" s="6" t="s">
        <v>639</v>
      </c>
      <c r="H8352" s="6" t="s">
        <v>1501</v>
      </c>
      <c r="I8352" s="6" t="s">
        <v>31</v>
      </c>
      <c r="J8352" s="6">
        <v>16.843696056445001</v>
      </c>
      <c r="K8352" s="6">
        <v>-97.197500849109005</v>
      </c>
      <c r="L8352" s="6" t="str">
        <f>HYPERLINK("https://maps.google.com/?q=16.8436960564445,-97.197500849109005", "🔗 Ver Mapa")</f>
        <v>🔗 Ver Mapa</v>
      </c>
    </row>
    <row r="8353" spans="1:12" ht="58" x14ac:dyDescent="0.35">
      <c r="A8353" s="5" t="s">
        <v>98</v>
      </c>
      <c r="B8353" s="5" t="s">
        <v>99</v>
      </c>
      <c r="C8353" s="5" t="s">
        <v>1500</v>
      </c>
      <c r="D8353" s="5" t="s">
        <v>14</v>
      </c>
      <c r="E8353" s="5" t="s">
        <v>39</v>
      </c>
      <c r="F8353" s="5" t="s">
        <v>494</v>
      </c>
      <c r="G8353" s="5" t="s">
        <v>639</v>
      </c>
      <c r="H8353" s="5" t="s">
        <v>1501</v>
      </c>
      <c r="I8353" s="5" t="s">
        <v>31</v>
      </c>
      <c r="J8353" s="5">
        <v>16.843738911062999</v>
      </c>
      <c r="K8353" s="5">
        <v>-97.199071527799006</v>
      </c>
      <c r="L8353" s="5" t="str">
        <f>HYPERLINK("https://maps.google.com/?q=16.8437389110632,-97.199071527798907", "🔗 Ver Mapa")</f>
        <v>🔗 Ver Mapa</v>
      </c>
    </row>
    <row r="8354" spans="1:12" ht="58" x14ac:dyDescent="0.35">
      <c r="A8354" s="6" t="s">
        <v>98</v>
      </c>
      <c r="B8354" s="6" t="s">
        <v>99</v>
      </c>
      <c r="C8354" s="6" t="s">
        <v>1500</v>
      </c>
      <c r="D8354" s="6" t="s">
        <v>14</v>
      </c>
      <c r="E8354" s="6" t="s">
        <v>39</v>
      </c>
      <c r="F8354" s="6" t="s">
        <v>494</v>
      </c>
      <c r="G8354" s="6" t="s">
        <v>639</v>
      </c>
      <c r="H8354" s="6" t="s">
        <v>1501</v>
      </c>
      <c r="I8354" s="6" t="s">
        <v>31</v>
      </c>
      <c r="J8354" s="6">
        <v>16.843846730846</v>
      </c>
      <c r="K8354" s="6">
        <v>-97.199043364603995</v>
      </c>
      <c r="L8354" s="6" t="str">
        <f>HYPERLINK("https://maps.google.com/?q=16.8438467308464,-97.199043364604293", "🔗 Ver Mapa")</f>
        <v>🔗 Ver Mapa</v>
      </c>
    </row>
    <row r="8355" spans="1:12" ht="58" x14ac:dyDescent="0.35">
      <c r="A8355" s="5" t="s">
        <v>98</v>
      </c>
      <c r="B8355" s="5" t="s">
        <v>99</v>
      </c>
      <c r="C8355" s="5" t="s">
        <v>1500</v>
      </c>
      <c r="D8355" s="5" t="s">
        <v>14</v>
      </c>
      <c r="E8355" s="5" t="s">
        <v>39</v>
      </c>
      <c r="F8355" s="5" t="s">
        <v>494</v>
      </c>
      <c r="G8355" s="5" t="s">
        <v>639</v>
      </c>
      <c r="H8355" s="5" t="s">
        <v>1501</v>
      </c>
      <c r="I8355" s="5" t="s">
        <v>31</v>
      </c>
      <c r="J8355" s="5">
        <v>16.843858966934999</v>
      </c>
      <c r="K8355" s="5">
        <v>-97.197435601370003</v>
      </c>
      <c r="L8355" s="5" t="str">
        <f>HYPERLINK("https://maps.google.com/?q=16.8438589669352,-97.197435601370103", "🔗 Ver Mapa")</f>
        <v>🔗 Ver Mapa</v>
      </c>
    </row>
    <row r="8356" spans="1:12" ht="58" x14ac:dyDescent="0.35">
      <c r="A8356" s="6" t="s">
        <v>98</v>
      </c>
      <c r="B8356" s="6" t="s">
        <v>99</v>
      </c>
      <c r="C8356" s="6" t="s">
        <v>1500</v>
      </c>
      <c r="D8356" s="6" t="s">
        <v>14</v>
      </c>
      <c r="E8356" s="6" t="s">
        <v>39</v>
      </c>
      <c r="F8356" s="6" t="s">
        <v>494</v>
      </c>
      <c r="G8356" s="6" t="s">
        <v>639</v>
      </c>
      <c r="H8356" s="6" t="s">
        <v>1501</v>
      </c>
      <c r="I8356" s="6" t="s">
        <v>31</v>
      </c>
      <c r="J8356" s="6">
        <v>16.843989263246002</v>
      </c>
      <c r="K8356" s="6">
        <v>-97.197421754095998</v>
      </c>
      <c r="L8356" s="6" t="str">
        <f>HYPERLINK("https://maps.google.com/?q=16.8439892632465,-97.197421754095501", "🔗 Ver Mapa")</f>
        <v>🔗 Ver Mapa</v>
      </c>
    </row>
    <row r="8357" spans="1:12" ht="58" x14ac:dyDescent="0.35">
      <c r="A8357" s="5" t="s">
        <v>98</v>
      </c>
      <c r="B8357" s="5" t="s">
        <v>99</v>
      </c>
      <c r="C8357" s="5" t="s">
        <v>1500</v>
      </c>
      <c r="D8357" s="5" t="s">
        <v>14</v>
      </c>
      <c r="E8357" s="5" t="s">
        <v>39</v>
      </c>
      <c r="F8357" s="5" t="s">
        <v>494</v>
      </c>
      <c r="G8357" s="5" t="s">
        <v>639</v>
      </c>
      <c r="H8357" s="5" t="s">
        <v>1501</v>
      </c>
      <c r="I8357" s="5" t="s">
        <v>31</v>
      </c>
      <c r="J8357" s="5">
        <v>16.843992472164999</v>
      </c>
      <c r="K8357" s="5">
        <v>-97.197271550390994</v>
      </c>
      <c r="L8357" s="5" t="str">
        <f>HYPERLINK("https://maps.google.com/?q=16.8439924721652,-97.197271550390795", "🔗 Ver Mapa")</f>
        <v>🔗 Ver Mapa</v>
      </c>
    </row>
    <row r="8358" spans="1:12" ht="58" x14ac:dyDescent="0.35">
      <c r="A8358" s="6" t="s">
        <v>98</v>
      </c>
      <c r="B8358" s="6" t="s">
        <v>99</v>
      </c>
      <c r="C8358" s="6" t="s">
        <v>1500</v>
      </c>
      <c r="D8358" s="6" t="s">
        <v>14</v>
      </c>
      <c r="E8358" s="6" t="s">
        <v>39</v>
      </c>
      <c r="F8358" s="6" t="s">
        <v>494</v>
      </c>
      <c r="G8358" s="6" t="s">
        <v>639</v>
      </c>
      <c r="H8358" s="6" t="s">
        <v>1501</v>
      </c>
      <c r="I8358" s="6" t="s">
        <v>31</v>
      </c>
      <c r="J8358" s="6">
        <v>16.844093232186999</v>
      </c>
      <c r="K8358" s="6">
        <v>-97.197052950355996</v>
      </c>
      <c r="L8358" s="6" t="str">
        <f>HYPERLINK("https://maps.google.com/?q=16.8440932321866,-97.197052950356095", "🔗 Ver Mapa")</f>
        <v>🔗 Ver Mapa</v>
      </c>
    </row>
    <row r="8359" spans="1:12" ht="58" x14ac:dyDescent="0.35">
      <c r="A8359" s="5" t="s">
        <v>98</v>
      </c>
      <c r="B8359" s="5" t="s">
        <v>99</v>
      </c>
      <c r="C8359" s="5" t="s">
        <v>1500</v>
      </c>
      <c r="D8359" s="5" t="s">
        <v>14</v>
      </c>
      <c r="E8359" s="5" t="s">
        <v>39</v>
      </c>
      <c r="F8359" s="5" t="s">
        <v>494</v>
      </c>
      <c r="G8359" s="5" t="s">
        <v>639</v>
      </c>
      <c r="H8359" s="5" t="s">
        <v>1501</v>
      </c>
      <c r="I8359" s="5" t="s">
        <v>31</v>
      </c>
      <c r="J8359" s="5">
        <v>16.844157410516001</v>
      </c>
      <c r="K8359" s="5">
        <v>-97.197173649761993</v>
      </c>
      <c r="L8359" s="5" t="str">
        <f>HYPERLINK("https://maps.google.com/?q=16.8441574105162,-97.197173649761694", "🔗 Ver Mapa")</f>
        <v>🔗 Ver Mapa</v>
      </c>
    </row>
    <row r="8360" spans="1:12" ht="58" x14ac:dyDescent="0.35">
      <c r="A8360" s="6" t="s">
        <v>98</v>
      </c>
      <c r="B8360" s="6" t="s">
        <v>99</v>
      </c>
      <c r="C8360" s="6" t="s">
        <v>1500</v>
      </c>
      <c r="D8360" s="6" t="s">
        <v>14</v>
      </c>
      <c r="E8360" s="6" t="s">
        <v>39</v>
      </c>
      <c r="F8360" s="6" t="s">
        <v>494</v>
      </c>
      <c r="G8360" s="6" t="s">
        <v>639</v>
      </c>
      <c r="H8360" s="6" t="s">
        <v>1501</v>
      </c>
      <c r="I8360" s="6" t="s">
        <v>31</v>
      </c>
      <c r="J8360" s="6">
        <v>16.844196986204999</v>
      </c>
      <c r="K8360" s="6">
        <v>-97.198238402379999</v>
      </c>
      <c r="L8360" s="6" t="str">
        <f>HYPERLINK("https://maps.google.com/?q=16.8441969862047,-97.198238402380397", "🔗 Ver Mapa")</f>
        <v>🔗 Ver Mapa</v>
      </c>
    </row>
    <row r="8361" spans="1:12" ht="58" x14ac:dyDescent="0.35">
      <c r="A8361" s="5" t="s">
        <v>98</v>
      </c>
      <c r="B8361" s="5" t="s">
        <v>99</v>
      </c>
      <c r="C8361" s="5" t="s">
        <v>1500</v>
      </c>
      <c r="D8361" s="5" t="s">
        <v>14</v>
      </c>
      <c r="E8361" s="5" t="s">
        <v>39</v>
      </c>
      <c r="F8361" s="5" t="s">
        <v>494</v>
      </c>
      <c r="G8361" s="5" t="s">
        <v>639</v>
      </c>
      <c r="H8361" s="5" t="s">
        <v>1501</v>
      </c>
      <c r="I8361" s="5" t="s">
        <v>31</v>
      </c>
      <c r="J8361" s="5">
        <v>16.844279349282001</v>
      </c>
      <c r="K8361" s="5">
        <v>-97.196921522113996</v>
      </c>
      <c r="L8361" s="5" t="str">
        <f>HYPERLINK("https://maps.google.com/?q=16.8442793492825,-97.196921522114394", "🔗 Ver Mapa")</f>
        <v>🔗 Ver Mapa</v>
      </c>
    </row>
    <row r="8362" spans="1:12" ht="58" x14ac:dyDescent="0.35">
      <c r="A8362" s="6" t="s">
        <v>98</v>
      </c>
      <c r="B8362" s="6" t="s">
        <v>99</v>
      </c>
      <c r="C8362" s="6" t="s">
        <v>1500</v>
      </c>
      <c r="D8362" s="6" t="s">
        <v>14</v>
      </c>
      <c r="E8362" s="6" t="s">
        <v>39</v>
      </c>
      <c r="F8362" s="6" t="s">
        <v>494</v>
      </c>
      <c r="G8362" s="6" t="s">
        <v>639</v>
      </c>
      <c r="H8362" s="6" t="s">
        <v>1501</v>
      </c>
      <c r="I8362" s="6" t="s">
        <v>31</v>
      </c>
      <c r="J8362" s="6">
        <v>16.844290834814998</v>
      </c>
      <c r="K8362" s="6">
        <v>-97.199519838895</v>
      </c>
      <c r="L8362" s="6" t="str">
        <f>HYPERLINK("https://maps.google.com/?q=16.8442908348149,-97.199519838895498", "🔗 Ver Mapa")</f>
        <v>🔗 Ver Mapa</v>
      </c>
    </row>
    <row r="8363" spans="1:12" ht="58" x14ac:dyDescent="0.35">
      <c r="A8363" s="5" t="s">
        <v>98</v>
      </c>
      <c r="B8363" s="5" t="s">
        <v>99</v>
      </c>
      <c r="C8363" s="5" t="s">
        <v>1500</v>
      </c>
      <c r="D8363" s="5" t="s">
        <v>14</v>
      </c>
      <c r="E8363" s="5" t="s">
        <v>39</v>
      </c>
      <c r="F8363" s="5" t="s">
        <v>494</v>
      </c>
      <c r="G8363" s="5" t="s">
        <v>639</v>
      </c>
      <c r="H8363" s="5" t="s">
        <v>1501</v>
      </c>
      <c r="I8363" s="5" t="s">
        <v>31</v>
      </c>
      <c r="J8363" s="5">
        <v>16.844322775641</v>
      </c>
      <c r="K8363" s="5">
        <v>-97.198167323842</v>
      </c>
      <c r="L8363" s="5" t="str">
        <f>HYPERLINK("https://maps.google.com/?q=16.8443227756412,-97.198167323841503", "🔗 Ver Mapa")</f>
        <v>🔗 Ver Mapa</v>
      </c>
    </row>
    <row r="8364" spans="1:12" ht="58" x14ac:dyDescent="0.35">
      <c r="A8364" s="6" t="s">
        <v>98</v>
      </c>
      <c r="B8364" s="6" t="s">
        <v>99</v>
      </c>
      <c r="C8364" s="6" t="s">
        <v>1500</v>
      </c>
      <c r="D8364" s="6" t="s">
        <v>14</v>
      </c>
      <c r="E8364" s="6" t="s">
        <v>39</v>
      </c>
      <c r="F8364" s="6" t="s">
        <v>494</v>
      </c>
      <c r="G8364" s="6" t="s">
        <v>639</v>
      </c>
      <c r="H8364" s="6" t="s">
        <v>1501</v>
      </c>
      <c r="I8364" s="6" t="s">
        <v>31</v>
      </c>
      <c r="J8364" s="6">
        <v>16.844340960419</v>
      </c>
      <c r="K8364" s="6">
        <v>-97.197323853466997</v>
      </c>
      <c r="L8364" s="6" t="str">
        <f>HYPERLINK("https://maps.google.com/?q=16.8443409604188,-97.1973238534665", "🔗 Ver Mapa")</f>
        <v>🔗 Ver Mapa</v>
      </c>
    </row>
    <row r="8365" spans="1:12" ht="58" x14ac:dyDescent="0.35">
      <c r="A8365" s="5" t="s">
        <v>98</v>
      </c>
      <c r="B8365" s="5" t="s">
        <v>99</v>
      </c>
      <c r="C8365" s="5" t="s">
        <v>1500</v>
      </c>
      <c r="D8365" s="5" t="s">
        <v>14</v>
      </c>
      <c r="E8365" s="5" t="s">
        <v>39</v>
      </c>
      <c r="F8365" s="5" t="s">
        <v>494</v>
      </c>
      <c r="G8365" s="5" t="s">
        <v>639</v>
      </c>
      <c r="H8365" s="5" t="s">
        <v>1501</v>
      </c>
      <c r="I8365" s="5" t="s">
        <v>31</v>
      </c>
      <c r="J8365" s="5">
        <v>16.844384534254001</v>
      </c>
      <c r="K8365" s="5">
        <v>-97.199397798085002</v>
      </c>
      <c r="L8365" s="5" t="str">
        <f>HYPERLINK("https://maps.google.com/?q=16.8443845342541,-97.199397798084604", "🔗 Ver Mapa")</f>
        <v>🔗 Ver Mapa</v>
      </c>
    </row>
    <row r="8366" spans="1:12" ht="58" x14ac:dyDescent="0.35">
      <c r="A8366" s="6" t="s">
        <v>98</v>
      </c>
      <c r="B8366" s="6" t="s">
        <v>99</v>
      </c>
      <c r="C8366" s="6" t="s">
        <v>1500</v>
      </c>
      <c r="D8366" s="6" t="s">
        <v>14</v>
      </c>
      <c r="E8366" s="6" t="s">
        <v>39</v>
      </c>
      <c r="F8366" s="6" t="s">
        <v>494</v>
      </c>
      <c r="G8366" s="6" t="s">
        <v>639</v>
      </c>
      <c r="H8366" s="6" t="s">
        <v>1501</v>
      </c>
      <c r="I8366" s="6" t="s">
        <v>31</v>
      </c>
      <c r="J8366" s="6">
        <v>16.844473857061999</v>
      </c>
      <c r="K8366" s="6">
        <v>-97.197226770304994</v>
      </c>
      <c r="L8366" s="6" t="str">
        <f>HYPERLINK("https://maps.google.com/?q=16.8444738570625,-97.197226770305207", "🔗 Ver Mapa")</f>
        <v>🔗 Ver Mapa</v>
      </c>
    </row>
    <row r="8367" spans="1:12" ht="58" x14ac:dyDescent="0.35">
      <c r="A8367" s="5" t="s">
        <v>98</v>
      </c>
      <c r="B8367" s="5" t="s">
        <v>99</v>
      </c>
      <c r="C8367" s="5" t="s">
        <v>1500</v>
      </c>
      <c r="D8367" s="5" t="s">
        <v>14</v>
      </c>
      <c r="E8367" s="5" t="s">
        <v>39</v>
      </c>
      <c r="F8367" s="5" t="s">
        <v>494</v>
      </c>
      <c r="G8367" s="5" t="s">
        <v>639</v>
      </c>
      <c r="H8367" s="5" t="s">
        <v>1501</v>
      </c>
      <c r="I8367" s="5" t="s">
        <v>31</v>
      </c>
      <c r="J8367" s="5">
        <v>16.845104521536001</v>
      </c>
      <c r="K8367" s="5">
        <v>-97.199327044952</v>
      </c>
      <c r="L8367" s="5" t="str">
        <f>HYPERLINK("https://maps.google.com/?q=16.8451045215365,-97.199327044951701", "🔗 Ver Mapa")</f>
        <v>🔗 Ver Mapa</v>
      </c>
    </row>
    <row r="8368" spans="1:12" ht="58" x14ac:dyDescent="0.35">
      <c r="A8368" s="6" t="s">
        <v>98</v>
      </c>
      <c r="B8368" s="6" t="s">
        <v>99</v>
      </c>
      <c r="C8368" s="6" t="s">
        <v>1500</v>
      </c>
      <c r="D8368" s="6" t="s">
        <v>14</v>
      </c>
      <c r="E8368" s="6" t="s">
        <v>39</v>
      </c>
      <c r="F8368" s="6" t="s">
        <v>494</v>
      </c>
      <c r="G8368" s="6" t="s">
        <v>639</v>
      </c>
      <c r="H8368" s="6" t="s">
        <v>1501</v>
      </c>
      <c r="I8368" s="6" t="s">
        <v>31</v>
      </c>
      <c r="J8368" s="6">
        <v>16.845275512000999</v>
      </c>
      <c r="K8368" s="6">
        <v>-97.199801763508006</v>
      </c>
      <c r="L8368" s="6" t="str">
        <f>HYPERLINK("https://maps.google.com/?q=16.8452755120008,-97.199801763507693", "🔗 Ver Mapa")</f>
        <v>🔗 Ver Mapa</v>
      </c>
    </row>
    <row r="8369" spans="1:12" ht="58" x14ac:dyDescent="0.35">
      <c r="A8369" s="5" t="s">
        <v>98</v>
      </c>
      <c r="B8369" s="5" t="s">
        <v>99</v>
      </c>
      <c r="C8369" s="5" t="s">
        <v>1500</v>
      </c>
      <c r="D8369" s="5" t="s">
        <v>14</v>
      </c>
      <c r="E8369" s="5" t="s">
        <v>39</v>
      </c>
      <c r="F8369" s="5" t="s">
        <v>494</v>
      </c>
      <c r="G8369" s="5" t="s">
        <v>639</v>
      </c>
      <c r="H8369" s="5" t="s">
        <v>1501</v>
      </c>
      <c r="I8369" s="5" t="s">
        <v>31</v>
      </c>
      <c r="J8369" s="5">
        <v>16.845650893807999</v>
      </c>
      <c r="K8369" s="5">
        <v>-97.202502439979</v>
      </c>
      <c r="L8369" s="5" t="str">
        <f>HYPERLINK("https://maps.google.com/?q=16.8456508938082,-97.202502439978801", "🔗 Ver Mapa")</f>
        <v>🔗 Ver Mapa</v>
      </c>
    </row>
    <row r="8370" spans="1:12" ht="58" x14ac:dyDescent="0.35">
      <c r="A8370" s="6" t="s">
        <v>98</v>
      </c>
      <c r="B8370" s="6" t="s">
        <v>99</v>
      </c>
      <c r="C8370" s="6" t="s">
        <v>1500</v>
      </c>
      <c r="D8370" s="6" t="s">
        <v>14</v>
      </c>
      <c r="E8370" s="6" t="s">
        <v>39</v>
      </c>
      <c r="F8370" s="6" t="s">
        <v>494</v>
      </c>
      <c r="G8370" s="6" t="s">
        <v>639</v>
      </c>
      <c r="H8370" s="6" t="s">
        <v>1501</v>
      </c>
      <c r="I8370" s="6" t="s">
        <v>31</v>
      </c>
      <c r="J8370" s="6">
        <v>16.845718437553</v>
      </c>
      <c r="K8370" s="6">
        <v>-97.201929624258</v>
      </c>
      <c r="L8370" s="6" t="str">
        <f>HYPERLINK("https://maps.google.com/?q=16.8457184375532,-97.201929624258497", "🔗 Ver Mapa")</f>
        <v>🔗 Ver Mapa</v>
      </c>
    </row>
    <row r="8371" spans="1:12" ht="58" x14ac:dyDescent="0.35">
      <c r="A8371" s="5" t="s">
        <v>98</v>
      </c>
      <c r="B8371" s="5" t="s">
        <v>99</v>
      </c>
      <c r="C8371" s="5" t="s">
        <v>1500</v>
      </c>
      <c r="D8371" s="5" t="s">
        <v>14</v>
      </c>
      <c r="E8371" s="5" t="s">
        <v>39</v>
      </c>
      <c r="F8371" s="5" t="s">
        <v>494</v>
      </c>
      <c r="G8371" s="5" t="s">
        <v>639</v>
      </c>
      <c r="H8371" s="5" t="s">
        <v>1501</v>
      </c>
      <c r="I8371" s="5" t="s">
        <v>31</v>
      </c>
      <c r="J8371" s="5">
        <v>16.845814704213002</v>
      </c>
      <c r="K8371" s="5">
        <v>-97.201829711973005</v>
      </c>
      <c r="L8371" s="5" t="str">
        <f>HYPERLINK("https://maps.google.com/?q=16.8458147042127,-97.201829711972707", "🔗 Ver Mapa")</f>
        <v>🔗 Ver Mapa</v>
      </c>
    </row>
    <row r="8372" spans="1:12" ht="58" x14ac:dyDescent="0.35">
      <c r="A8372" s="6" t="s">
        <v>98</v>
      </c>
      <c r="B8372" s="6" t="s">
        <v>99</v>
      </c>
      <c r="C8372" s="6" t="s">
        <v>1500</v>
      </c>
      <c r="D8372" s="6" t="s">
        <v>14</v>
      </c>
      <c r="E8372" s="6" t="s">
        <v>39</v>
      </c>
      <c r="F8372" s="6" t="s">
        <v>494</v>
      </c>
      <c r="G8372" s="6" t="s">
        <v>639</v>
      </c>
      <c r="H8372" s="6" t="s">
        <v>1501</v>
      </c>
      <c r="I8372" s="6" t="s">
        <v>31</v>
      </c>
      <c r="J8372" s="6">
        <v>16.845852104612</v>
      </c>
      <c r="K8372" s="6">
        <v>-97.201174596182994</v>
      </c>
      <c r="L8372" s="6" t="str">
        <f>HYPERLINK("https://maps.google.com/?q=16.8458521046124,-97.201174596183094", "🔗 Ver Mapa")</f>
        <v>🔗 Ver Mapa</v>
      </c>
    </row>
    <row r="8373" spans="1:12" ht="58" x14ac:dyDescent="0.35">
      <c r="A8373" s="5" t="s">
        <v>98</v>
      </c>
      <c r="B8373" s="5" t="s">
        <v>99</v>
      </c>
      <c r="C8373" s="5" t="s">
        <v>1500</v>
      </c>
      <c r="D8373" s="5" t="s">
        <v>14</v>
      </c>
      <c r="E8373" s="5" t="s">
        <v>39</v>
      </c>
      <c r="F8373" s="5" t="s">
        <v>494</v>
      </c>
      <c r="G8373" s="5" t="s">
        <v>639</v>
      </c>
      <c r="H8373" s="5" t="s">
        <v>1501</v>
      </c>
      <c r="I8373" s="5" t="s">
        <v>31</v>
      </c>
      <c r="J8373" s="5">
        <v>16.845896106978</v>
      </c>
      <c r="K8373" s="5">
        <v>-97.200084813350998</v>
      </c>
      <c r="L8373" s="5" t="str">
        <f>HYPERLINK("https://maps.google.com/?q=16.845896106978,-97.200084813351395", "🔗 Ver Mapa")</f>
        <v>🔗 Ver Mapa</v>
      </c>
    </row>
    <row r="8374" spans="1:12" ht="58" x14ac:dyDescent="0.35">
      <c r="A8374" s="6" t="s">
        <v>98</v>
      </c>
      <c r="B8374" s="6" t="s">
        <v>99</v>
      </c>
      <c r="C8374" s="6" t="s">
        <v>1500</v>
      </c>
      <c r="D8374" s="6" t="s">
        <v>14</v>
      </c>
      <c r="E8374" s="6" t="s">
        <v>39</v>
      </c>
      <c r="F8374" s="6" t="s">
        <v>494</v>
      </c>
      <c r="G8374" s="6" t="s">
        <v>639</v>
      </c>
      <c r="H8374" s="6" t="s">
        <v>1501</v>
      </c>
      <c r="I8374" s="6" t="s">
        <v>31</v>
      </c>
      <c r="J8374" s="6">
        <v>16.845934893883999</v>
      </c>
      <c r="K8374" s="6">
        <v>-97.200961360565998</v>
      </c>
      <c r="L8374" s="6" t="str">
        <f>HYPERLINK("https://maps.google.com/?q=16.845934893884,-97.200961360566495", "🔗 Ver Mapa")</f>
        <v>🔗 Ver Mapa</v>
      </c>
    </row>
    <row r="8375" spans="1:12" ht="58" x14ac:dyDescent="0.35">
      <c r="A8375" s="5" t="s">
        <v>98</v>
      </c>
      <c r="B8375" s="5" t="s">
        <v>99</v>
      </c>
      <c r="C8375" s="5" t="s">
        <v>1500</v>
      </c>
      <c r="D8375" s="5" t="s">
        <v>14</v>
      </c>
      <c r="E8375" s="5" t="s">
        <v>39</v>
      </c>
      <c r="F8375" s="5" t="s">
        <v>494</v>
      </c>
      <c r="G8375" s="5" t="s">
        <v>639</v>
      </c>
      <c r="H8375" s="5" t="s">
        <v>1501</v>
      </c>
      <c r="I8375" s="5" t="s">
        <v>31</v>
      </c>
      <c r="J8375" s="5">
        <v>16.845935897166001</v>
      </c>
      <c r="K8375" s="5">
        <v>-97.200118340963996</v>
      </c>
      <c r="L8375" s="5" t="str">
        <f>HYPERLINK("https://maps.google.com/?q=16.8459358971658,-97.200118340964096", "🔗 Ver Mapa")</f>
        <v>🔗 Ver Mapa</v>
      </c>
    </row>
    <row r="8376" spans="1:12" ht="58" x14ac:dyDescent="0.35">
      <c r="A8376" s="6" t="s">
        <v>98</v>
      </c>
      <c r="B8376" s="6" t="s">
        <v>99</v>
      </c>
      <c r="C8376" s="6" t="s">
        <v>1500</v>
      </c>
      <c r="D8376" s="6" t="s">
        <v>14</v>
      </c>
      <c r="E8376" s="6" t="s">
        <v>39</v>
      </c>
      <c r="F8376" s="6" t="s">
        <v>494</v>
      </c>
      <c r="G8376" s="6" t="s">
        <v>639</v>
      </c>
      <c r="H8376" s="6" t="s">
        <v>1501</v>
      </c>
      <c r="I8376" s="6" t="s">
        <v>31</v>
      </c>
      <c r="J8376" s="6">
        <v>16.845992373546999</v>
      </c>
      <c r="K8376" s="6">
        <v>-97.200137116427001</v>
      </c>
      <c r="L8376" s="6" t="str">
        <f>HYPERLINK("https://maps.google.com/?q=16.8459923735471,-97.2001371164272", "🔗 Ver Mapa")</f>
        <v>🔗 Ver Mapa</v>
      </c>
    </row>
    <row r="8377" spans="1:12" ht="58" x14ac:dyDescent="0.35">
      <c r="A8377" s="5" t="s">
        <v>98</v>
      </c>
      <c r="B8377" s="5" t="s">
        <v>99</v>
      </c>
      <c r="C8377" s="5" t="s">
        <v>1500</v>
      </c>
      <c r="D8377" s="5" t="s">
        <v>14</v>
      </c>
      <c r="E8377" s="5" t="s">
        <v>39</v>
      </c>
      <c r="F8377" s="5" t="s">
        <v>494</v>
      </c>
      <c r="G8377" s="5" t="s">
        <v>639</v>
      </c>
      <c r="H8377" s="5" t="s">
        <v>1501</v>
      </c>
      <c r="I8377" s="5" t="s">
        <v>31</v>
      </c>
      <c r="J8377" s="5">
        <v>16.845995220927001</v>
      </c>
      <c r="K8377" s="5">
        <v>-97.201288590066</v>
      </c>
      <c r="L8377" s="5" t="str">
        <f>HYPERLINK("https://maps.google.com/?q=16.8459952209273,-97.201288590066198", "🔗 Ver Mapa")</f>
        <v>🔗 Ver Mapa</v>
      </c>
    </row>
    <row r="8378" spans="1:12" ht="58" x14ac:dyDescent="0.35">
      <c r="A8378" s="6" t="s">
        <v>98</v>
      </c>
      <c r="B8378" s="6" t="s">
        <v>99</v>
      </c>
      <c r="C8378" s="6" t="s">
        <v>1500</v>
      </c>
      <c r="D8378" s="6" t="s">
        <v>14</v>
      </c>
      <c r="E8378" s="6" t="s">
        <v>39</v>
      </c>
      <c r="F8378" s="6" t="s">
        <v>494</v>
      </c>
      <c r="G8378" s="6" t="s">
        <v>639</v>
      </c>
      <c r="H8378" s="6" t="s">
        <v>1501</v>
      </c>
      <c r="I8378" s="6" t="s">
        <v>31</v>
      </c>
      <c r="J8378" s="6">
        <v>16.846055267678999</v>
      </c>
      <c r="K8378" s="6">
        <v>-97.200193442816001</v>
      </c>
      <c r="L8378" s="6" t="str">
        <f>HYPERLINK("https://maps.google.com/?q=16.8460552676791,-97.200193442816499", "🔗 Ver Mapa")</f>
        <v>🔗 Ver Mapa</v>
      </c>
    </row>
    <row r="8379" spans="1:12" ht="58" x14ac:dyDescent="0.35">
      <c r="A8379" s="5" t="s">
        <v>98</v>
      </c>
      <c r="B8379" s="5" t="s">
        <v>99</v>
      </c>
      <c r="C8379" s="5" t="s">
        <v>1500</v>
      </c>
      <c r="D8379" s="5" t="s">
        <v>14</v>
      </c>
      <c r="E8379" s="5" t="s">
        <v>39</v>
      </c>
      <c r="F8379" s="5" t="s">
        <v>494</v>
      </c>
      <c r="G8379" s="5" t="s">
        <v>639</v>
      </c>
      <c r="H8379" s="5" t="s">
        <v>1501</v>
      </c>
      <c r="I8379" s="5" t="s">
        <v>31</v>
      </c>
      <c r="J8379" s="5">
        <v>16.846070670321001</v>
      </c>
      <c r="K8379" s="5">
        <v>-97.200351693147994</v>
      </c>
      <c r="L8379" s="5" t="str">
        <f>HYPERLINK("https://maps.google.com/?q=16.8460706703205,-97.200351693148306", "🔗 Ver Mapa")</f>
        <v>🔗 Ver Mapa</v>
      </c>
    </row>
    <row r="8380" spans="1:12" ht="58" x14ac:dyDescent="0.35">
      <c r="A8380" s="6" t="s">
        <v>98</v>
      </c>
      <c r="B8380" s="6" t="s">
        <v>99</v>
      </c>
      <c r="C8380" s="6" t="s">
        <v>1500</v>
      </c>
      <c r="D8380" s="6" t="s">
        <v>14</v>
      </c>
      <c r="E8380" s="6" t="s">
        <v>39</v>
      </c>
      <c r="F8380" s="6" t="s">
        <v>494</v>
      </c>
      <c r="G8380" s="6" t="s">
        <v>639</v>
      </c>
      <c r="H8380" s="6" t="s">
        <v>1501</v>
      </c>
      <c r="I8380" s="6" t="s">
        <v>31</v>
      </c>
      <c r="J8380" s="6">
        <v>16.846085069680001</v>
      </c>
      <c r="K8380" s="6">
        <v>-97.201335528724002</v>
      </c>
      <c r="L8380" s="6" t="str">
        <f>HYPERLINK("https://maps.google.com/?q=16.8460850696796,-97.201335528723902", "🔗 Ver Mapa")</f>
        <v>🔗 Ver Mapa</v>
      </c>
    </row>
    <row r="8381" spans="1:12" ht="58" x14ac:dyDescent="0.35">
      <c r="A8381" s="5" t="s">
        <v>98</v>
      </c>
      <c r="B8381" s="5" t="s">
        <v>99</v>
      </c>
      <c r="C8381" s="5" t="s">
        <v>1500</v>
      </c>
      <c r="D8381" s="5" t="s">
        <v>14</v>
      </c>
      <c r="E8381" s="5" t="s">
        <v>39</v>
      </c>
      <c r="F8381" s="5" t="s">
        <v>494</v>
      </c>
      <c r="G8381" s="5" t="s">
        <v>639</v>
      </c>
      <c r="H8381" s="5" t="s">
        <v>1501</v>
      </c>
      <c r="I8381" s="5" t="s">
        <v>31</v>
      </c>
      <c r="J8381" s="5">
        <v>16.846106243407</v>
      </c>
      <c r="K8381" s="5">
        <v>-97.199608009445001</v>
      </c>
      <c r="L8381" s="5" t="str">
        <f>HYPERLINK("https://maps.google.com/?q=16.8461062434066,-97.1996080094451", "🔗 Ver Mapa")</f>
        <v>🔗 Ver Mapa</v>
      </c>
    </row>
    <row r="8382" spans="1:12" ht="58" x14ac:dyDescent="0.35">
      <c r="A8382" s="6" t="s">
        <v>98</v>
      </c>
      <c r="B8382" s="6" t="s">
        <v>99</v>
      </c>
      <c r="C8382" s="6" t="s">
        <v>1500</v>
      </c>
      <c r="D8382" s="6" t="s">
        <v>14</v>
      </c>
      <c r="E8382" s="6" t="s">
        <v>39</v>
      </c>
      <c r="F8382" s="6" t="s">
        <v>494</v>
      </c>
      <c r="G8382" s="6" t="s">
        <v>639</v>
      </c>
      <c r="H8382" s="6" t="s">
        <v>1501</v>
      </c>
      <c r="I8382" s="6" t="s">
        <v>31</v>
      </c>
      <c r="J8382" s="6">
        <v>16.846222129560999</v>
      </c>
      <c r="K8382" s="6">
        <v>-97.200248428101006</v>
      </c>
      <c r="L8382" s="6" t="str">
        <f>HYPERLINK("https://maps.google.com/?q=16.8462221295607,-97.200248428101304", "🔗 Ver Mapa")</f>
        <v>🔗 Ver Mapa</v>
      </c>
    </row>
    <row r="8383" spans="1:12" ht="58" x14ac:dyDescent="0.35">
      <c r="A8383" s="5" t="s">
        <v>98</v>
      </c>
      <c r="B8383" s="5" t="s">
        <v>99</v>
      </c>
      <c r="C8383" s="5" t="s">
        <v>1500</v>
      </c>
      <c r="D8383" s="5" t="s">
        <v>14</v>
      </c>
      <c r="E8383" s="5" t="s">
        <v>39</v>
      </c>
      <c r="F8383" s="5" t="s">
        <v>494</v>
      </c>
      <c r="G8383" s="5" t="s">
        <v>639</v>
      </c>
      <c r="H8383" s="5" t="s">
        <v>1501</v>
      </c>
      <c r="I8383" s="5" t="s">
        <v>31</v>
      </c>
      <c r="J8383" s="5">
        <v>16.846223693384999</v>
      </c>
      <c r="K8383" s="5">
        <v>-97.201234945886</v>
      </c>
      <c r="L8383" s="5" t="str">
        <f>HYPERLINK("https://maps.google.com/?q=16.8462236933852,-97.201234945885901", "🔗 Ver Mapa")</f>
        <v>🔗 Ver Mapa</v>
      </c>
    </row>
    <row r="8384" spans="1:12" ht="58" x14ac:dyDescent="0.35">
      <c r="A8384" s="6" t="s">
        <v>98</v>
      </c>
      <c r="B8384" s="6" t="s">
        <v>99</v>
      </c>
      <c r="C8384" s="6" t="s">
        <v>1500</v>
      </c>
      <c r="D8384" s="6" t="s">
        <v>14</v>
      </c>
      <c r="E8384" s="6" t="s">
        <v>39</v>
      </c>
      <c r="F8384" s="6" t="s">
        <v>494</v>
      </c>
      <c r="G8384" s="6" t="s">
        <v>639</v>
      </c>
      <c r="H8384" s="6" t="s">
        <v>1501</v>
      </c>
      <c r="I8384" s="6" t="s">
        <v>31</v>
      </c>
      <c r="J8384" s="6">
        <v>16.846235611541001</v>
      </c>
      <c r="K8384" s="6">
        <v>-97.199548330295002</v>
      </c>
      <c r="L8384" s="6" t="str">
        <f>HYPERLINK("https://maps.google.com/?q=16.8462356115407,-97.199548330294505", "🔗 Ver Mapa")</f>
        <v>🔗 Ver Mapa</v>
      </c>
    </row>
    <row r="8385" spans="1:12" ht="58" x14ac:dyDescent="0.35">
      <c r="A8385" s="5" t="s">
        <v>98</v>
      </c>
      <c r="B8385" s="5" t="s">
        <v>99</v>
      </c>
      <c r="C8385" s="5" t="s">
        <v>1500</v>
      </c>
      <c r="D8385" s="5" t="s">
        <v>14</v>
      </c>
      <c r="E8385" s="5" t="s">
        <v>39</v>
      </c>
      <c r="F8385" s="5" t="s">
        <v>494</v>
      </c>
      <c r="G8385" s="5" t="s">
        <v>639</v>
      </c>
      <c r="H8385" s="5" t="s">
        <v>1501</v>
      </c>
      <c r="I8385" s="5" t="s">
        <v>31</v>
      </c>
      <c r="J8385" s="5">
        <v>16.846273751919998</v>
      </c>
      <c r="K8385" s="5">
        <v>-97.201508531204993</v>
      </c>
      <c r="L8385" s="5" t="str">
        <f>HYPERLINK("https://maps.google.com/?q=16.8462737519205,-97.201508531205306", "🔗 Ver Mapa")</f>
        <v>🔗 Ver Mapa</v>
      </c>
    </row>
    <row r="8386" spans="1:12" ht="58" x14ac:dyDescent="0.35">
      <c r="A8386" s="6" t="s">
        <v>98</v>
      </c>
      <c r="B8386" s="6" t="s">
        <v>99</v>
      </c>
      <c r="C8386" s="6" t="s">
        <v>1500</v>
      </c>
      <c r="D8386" s="6" t="s">
        <v>14</v>
      </c>
      <c r="E8386" s="6" t="s">
        <v>39</v>
      </c>
      <c r="F8386" s="6" t="s">
        <v>494</v>
      </c>
      <c r="G8386" s="6" t="s">
        <v>639</v>
      </c>
      <c r="H8386" s="6" t="s">
        <v>1501</v>
      </c>
      <c r="I8386" s="6" t="s">
        <v>31</v>
      </c>
      <c r="J8386" s="6">
        <v>16.846383490685</v>
      </c>
      <c r="K8386" s="6">
        <v>-97.199648242579997</v>
      </c>
      <c r="L8386" s="6" t="str">
        <f>HYPERLINK("https://maps.google.com/?q=16.8463834906851,-97.199648242580295", "🔗 Ver Mapa")</f>
        <v>🔗 Ver Mapa</v>
      </c>
    </row>
    <row r="8387" spans="1:12" ht="58" x14ac:dyDescent="0.35">
      <c r="A8387" s="5" t="s">
        <v>98</v>
      </c>
      <c r="B8387" s="5" t="s">
        <v>99</v>
      </c>
      <c r="C8387" s="5" t="s">
        <v>1500</v>
      </c>
      <c r="D8387" s="5" t="s">
        <v>14</v>
      </c>
      <c r="E8387" s="5" t="s">
        <v>39</v>
      </c>
      <c r="F8387" s="5" t="s">
        <v>494</v>
      </c>
      <c r="G8387" s="5" t="s">
        <v>639</v>
      </c>
      <c r="H8387" s="5" t="s">
        <v>1501</v>
      </c>
      <c r="I8387" s="5" t="s">
        <v>31</v>
      </c>
      <c r="J8387" s="5">
        <v>16.846421726529002</v>
      </c>
      <c r="K8387" s="5">
        <v>-97.199373986709006</v>
      </c>
      <c r="L8387" s="5" t="str">
        <f>HYPERLINK("https://maps.google.com/?q=16.8464217265295,-97.199373986708594", "🔗 Ver Mapa")</f>
        <v>🔗 Ver Mapa</v>
      </c>
    </row>
    <row r="8388" spans="1:12" ht="58" x14ac:dyDescent="0.35">
      <c r="A8388" s="6" t="s">
        <v>98</v>
      </c>
      <c r="B8388" s="6" t="s">
        <v>99</v>
      </c>
      <c r="C8388" s="6" t="s">
        <v>1500</v>
      </c>
      <c r="D8388" s="6" t="s">
        <v>14</v>
      </c>
      <c r="E8388" s="6" t="s">
        <v>39</v>
      </c>
      <c r="F8388" s="6" t="s">
        <v>494</v>
      </c>
      <c r="G8388" s="6" t="s">
        <v>639</v>
      </c>
      <c r="H8388" s="6" t="s">
        <v>1501</v>
      </c>
      <c r="I8388" s="6" t="s">
        <v>31</v>
      </c>
      <c r="J8388" s="6">
        <v>16.846498013293999</v>
      </c>
      <c r="K8388" s="6">
        <v>-97.200606282150005</v>
      </c>
      <c r="L8388" s="6" t="str">
        <f>HYPERLINK("https://maps.google.com/?q=16.846498013294,-97.200606282149593", "🔗 Ver Mapa")</f>
        <v>🔗 Ver Mapa</v>
      </c>
    </row>
    <row r="8389" spans="1:12" ht="58" x14ac:dyDescent="0.35">
      <c r="A8389" s="5" t="s">
        <v>98</v>
      </c>
      <c r="B8389" s="5" t="s">
        <v>99</v>
      </c>
      <c r="C8389" s="5" t="s">
        <v>1500</v>
      </c>
      <c r="D8389" s="5" t="s">
        <v>14</v>
      </c>
      <c r="E8389" s="5" t="s">
        <v>39</v>
      </c>
      <c r="F8389" s="5" t="s">
        <v>494</v>
      </c>
      <c r="G8389" s="5" t="s">
        <v>639</v>
      </c>
      <c r="H8389" s="5" t="s">
        <v>1501</v>
      </c>
      <c r="I8389" s="5" t="s">
        <v>31</v>
      </c>
      <c r="J8389" s="5">
        <v>16.846617379796999</v>
      </c>
      <c r="K8389" s="5">
        <v>-97.200680045168994</v>
      </c>
      <c r="L8389" s="5" t="str">
        <f>HYPERLINK("https://maps.google.com/?q=16.8466173797973,-97.200680045169307", "🔗 Ver Mapa")</f>
        <v>🔗 Ver Mapa</v>
      </c>
    </row>
    <row r="8390" spans="1:12" ht="58" x14ac:dyDescent="0.35">
      <c r="A8390" s="6" t="s">
        <v>98</v>
      </c>
      <c r="B8390" s="6" t="s">
        <v>99</v>
      </c>
      <c r="C8390" s="6" t="s">
        <v>1500</v>
      </c>
      <c r="D8390" s="6" t="s">
        <v>14</v>
      </c>
      <c r="E8390" s="6" t="s">
        <v>39</v>
      </c>
      <c r="F8390" s="6" t="s">
        <v>494</v>
      </c>
      <c r="G8390" s="6" t="s">
        <v>639</v>
      </c>
      <c r="H8390" s="6" t="s">
        <v>1501</v>
      </c>
      <c r="I8390" s="6" t="s">
        <v>31</v>
      </c>
      <c r="J8390" s="6">
        <v>16.846882643781001</v>
      </c>
      <c r="K8390" s="6">
        <v>-97.201121410921999</v>
      </c>
      <c r="L8390" s="6" t="str">
        <f>HYPERLINK("https://maps.google.com/?q=16.8468826437807,-97.201121410922198", "🔗 Ver Mapa")</f>
        <v>🔗 Ver Mapa</v>
      </c>
    </row>
    <row r="8391" spans="1:12" ht="58" x14ac:dyDescent="0.35">
      <c r="A8391" s="5" t="s">
        <v>98</v>
      </c>
      <c r="B8391" s="5" t="s">
        <v>99</v>
      </c>
      <c r="C8391" s="5" t="s">
        <v>1500</v>
      </c>
      <c r="D8391" s="5" t="s">
        <v>14</v>
      </c>
      <c r="E8391" s="5" t="s">
        <v>39</v>
      </c>
      <c r="F8391" s="5" t="s">
        <v>494</v>
      </c>
      <c r="G8391" s="5" t="s">
        <v>639</v>
      </c>
      <c r="H8391" s="5" t="s">
        <v>1501</v>
      </c>
      <c r="I8391" s="5" t="s">
        <v>31</v>
      </c>
      <c r="J8391" s="5">
        <v>16.846944254069001</v>
      </c>
      <c r="K8391" s="5">
        <v>-97.201260885791001</v>
      </c>
      <c r="L8391" s="5" t="str">
        <f>HYPERLINK("https://maps.google.com/?q=16.8469442540694,-97.201260885790902", "🔗 Ver Mapa")</f>
        <v>🔗 Ver Mapa</v>
      </c>
    </row>
    <row r="8392" spans="1:12" ht="58" x14ac:dyDescent="0.35">
      <c r="A8392" s="6" t="s">
        <v>98</v>
      </c>
      <c r="B8392" s="6" t="s">
        <v>99</v>
      </c>
      <c r="C8392" s="6" t="s">
        <v>1500</v>
      </c>
      <c r="D8392" s="6" t="s">
        <v>14</v>
      </c>
      <c r="E8392" s="6" t="s">
        <v>39</v>
      </c>
      <c r="F8392" s="6" t="s">
        <v>494</v>
      </c>
      <c r="G8392" s="6" t="s">
        <v>639</v>
      </c>
      <c r="H8392" s="6" t="s">
        <v>1501</v>
      </c>
      <c r="I8392" s="6" t="s">
        <v>31</v>
      </c>
      <c r="J8392" s="6">
        <v>16.847105246243999</v>
      </c>
      <c r="K8392" s="6">
        <v>-97.200724335741995</v>
      </c>
      <c r="L8392" s="6" t="str">
        <f>HYPERLINK("https://maps.google.com/?q=16.8471052462443,-97.200724335741597", "🔗 Ver Mapa")</f>
        <v>🔗 Ver Mapa</v>
      </c>
    </row>
    <row r="8393" spans="1:12" ht="58" x14ac:dyDescent="0.35">
      <c r="A8393" s="5" t="s">
        <v>98</v>
      </c>
      <c r="B8393" s="5" t="s">
        <v>99</v>
      </c>
      <c r="C8393" s="5" t="s">
        <v>1500</v>
      </c>
      <c r="D8393" s="5" t="s">
        <v>14</v>
      </c>
      <c r="E8393" s="5" t="s">
        <v>39</v>
      </c>
      <c r="F8393" s="5" t="s">
        <v>494</v>
      </c>
      <c r="G8393" s="5" t="s">
        <v>639</v>
      </c>
      <c r="H8393" s="5" t="s">
        <v>1501</v>
      </c>
      <c r="I8393" s="5" t="s">
        <v>31</v>
      </c>
      <c r="J8393" s="5">
        <v>16.847197919749998</v>
      </c>
      <c r="K8393" s="5">
        <v>-97.202123212510003</v>
      </c>
      <c r="L8393" s="5" t="str">
        <f>HYPERLINK("https://maps.google.com/?q=16.8471979197504,-97.202123212510003", "🔗 Ver Mapa")</f>
        <v>🔗 Ver Mapa</v>
      </c>
    </row>
    <row r="8394" spans="1:12" ht="43.5" x14ac:dyDescent="0.35">
      <c r="A8394" s="6" t="s">
        <v>98</v>
      </c>
      <c r="B8394" s="6" t="s">
        <v>99</v>
      </c>
      <c r="C8394" s="6" t="s">
        <v>1502</v>
      </c>
      <c r="D8394" s="6" t="s">
        <v>14</v>
      </c>
      <c r="E8394" s="6" t="s">
        <v>39</v>
      </c>
      <c r="F8394" s="6" t="s">
        <v>353</v>
      </c>
      <c r="G8394" s="6" t="s">
        <v>1503</v>
      </c>
      <c r="H8394" s="6" t="s">
        <v>1504</v>
      </c>
      <c r="I8394" s="6" t="s">
        <v>31</v>
      </c>
      <c r="J8394" s="6">
        <v>16.089559405359999</v>
      </c>
      <c r="K8394" s="6">
        <v>-96.245142139880997</v>
      </c>
      <c r="L8394" s="6" t="str">
        <f>HYPERLINK("https://maps.google.com/?q=16.0895594053604,-96.245142139881096", "🔗 Ver Mapa")</f>
        <v>🔗 Ver Mapa</v>
      </c>
    </row>
    <row r="8395" spans="1:12" ht="43.5" x14ac:dyDescent="0.35">
      <c r="A8395" s="5" t="s">
        <v>98</v>
      </c>
      <c r="B8395" s="5" t="s">
        <v>99</v>
      </c>
      <c r="C8395" s="5" t="s">
        <v>1502</v>
      </c>
      <c r="D8395" s="5" t="s">
        <v>14</v>
      </c>
      <c r="E8395" s="5" t="s">
        <v>39</v>
      </c>
      <c r="F8395" s="5" t="s">
        <v>353</v>
      </c>
      <c r="G8395" s="5" t="s">
        <v>1503</v>
      </c>
      <c r="H8395" s="5" t="s">
        <v>1504</v>
      </c>
      <c r="I8395" s="5" t="s">
        <v>31</v>
      </c>
      <c r="J8395" s="5">
        <v>16.089741519654002</v>
      </c>
      <c r="K8395" s="5">
        <v>-96.244260116568</v>
      </c>
      <c r="L8395" s="5" t="str">
        <f>HYPERLINK("https://maps.google.com/?q=16.089741519654,-96.244260116567602", "🔗 Ver Mapa")</f>
        <v>🔗 Ver Mapa</v>
      </c>
    </row>
    <row r="8396" spans="1:12" ht="43.5" x14ac:dyDescent="0.35">
      <c r="A8396" s="6" t="s">
        <v>98</v>
      </c>
      <c r="B8396" s="6" t="s">
        <v>99</v>
      </c>
      <c r="C8396" s="6" t="s">
        <v>1502</v>
      </c>
      <c r="D8396" s="6" t="s">
        <v>14</v>
      </c>
      <c r="E8396" s="6" t="s">
        <v>39</v>
      </c>
      <c r="F8396" s="6" t="s">
        <v>353</v>
      </c>
      <c r="G8396" s="6" t="s">
        <v>1503</v>
      </c>
      <c r="H8396" s="6" t="s">
        <v>1504</v>
      </c>
      <c r="I8396" s="6" t="s">
        <v>31</v>
      </c>
      <c r="J8396" s="6">
        <v>16.089807585384001</v>
      </c>
      <c r="K8396" s="6">
        <v>-96.244393731317999</v>
      </c>
      <c r="L8396" s="6" t="str">
        <f>HYPERLINK("https://maps.google.com/?q=16.0898075853845,-96.244393731317501", "🔗 Ver Mapa")</f>
        <v>🔗 Ver Mapa</v>
      </c>
    </row>
    <row r="8397" spans="1:12" ht="43.5" x14ac:dyDescent="0.35">
      <c r="A8397" s="5" t="s">
        <v>98</v>
      </c>
      <c r="B8397" s="5" t="s">
        <v>99</v>
      </c>
      <c r="C8397" s="5" t="s">
        <v>1502</v>
      </c>
      <c r="D8397" s="5" t="s">
        <v>14</v>
      </c>
      <c r="E8397" s="5" t="s">
        <v>39</v>
      </c>
      <c r="F8397" s="5" t="s">
        <v>353</v>
      </c>
      <c r="G8397" s="5" t="s">
        <v>1503</v>
      </c>
      <c r="H8397" s="5" t="s">
        <v>1504</v>
      </c>
      <c r="I8397" s="5" t="s">
        <v>31</v>
      </c>
      <c r="J8397" s="5">
        <v>16.089833685388999</v>
      </c>
      <c r="K8397" s="5">
        <v>-96.244239836804994</v>
      </c>
      <c r="L8397" s="5" t="str">
        <f>HYPERLINK("https://maps.google.com/?q=16.0898336853891,-96.244239836805306", "🔗 Ver Mapa")</f>
        <v>🔗 Ver Mapa</v>
      </c>
    </row>
    <row r="8398" spans="1:12" ht="43.5" x14ac:dyDescent="0.35">
      <c r="A8398" s="6" t="s">
        <v>98</v>
      </c>
      <c r="B8398" s="6" t="s">
        <v>99</v>
      </c>
      <c r="C8398" s="6" t="s">
        <v>1502</v>
      </c>
      <c r="D8398" s="6" t="s">
        <v>14</v>
      </c>
      <c r="E8398" s="6" t="s">
        <v>39</v>
      </c>
      <c r="F8398" s="6" t="s">
        <v>353</v>
      </c>
      <c r="G8398" s="6" t="s">
        <v>1503</v>
      </c>
      <c r="H8398" s="6" t="s">
        <v>1504</v>
      </c>
      <c r="I8398" s="6" t="s">
        <v>31</v>
      </c>
      <c r="J8398" s="6">
        <v>16.089846645375999</v>
      </c>
      <c r="K8398" s="6">
        <v>-96.245321341104002</v>
      </c>
      <c r="L8398" s="6" t="str">
        <f>HYPERLINK("https://maps.google.com/?q=16.0898466453761,-96.2453213411045", "🔗 Ver Mapa")</f>
        <v>🔗 Ver Mapa</v>
      </c>
    </row>
    <row r="8399" spans="1:12" ht="43.5" x14ac:dyDescent="0.35">
      <c r="A8399" s="5" t="s">
        <v>98</v>
      </c>
      <c r="B8399" s="5" t="s">
        <v>99</v>
      </c>
      <c r="C8399" s="5" t="s">
        <v>1502</v>
      </c>
      <c r="D8399" s="5" t="s">
        <v>14</v>
      </c>
      <c r="E8399" s="5" t="s">
        <v>39</v>
      </c>
      <c r="F8399" s="5" t="s">
        <v>353</v>
      </c>
      <c r="G8399" s="5" t="s">
        <v>1503</v>
      </c>
      <c r="H8399" s="5" t="s">
        <v>1504</v>
      </c>
      <c r="I8399" s="5" t="s">
        <v>31</v>
      </c>
      <c r="J8399" s="5">
        <v>16.089879182501999</v>
      </c>
      <c r="K8399" s="5">
        <v>-96.244126031912003</v>
      </c>
      <c r="L8399" s="5" t="str">
        <f>HYPERLINK("https://maps.google.com/?q=16.0898791825022,-96.244126031911804", "🔗 Ver Mapa")</f>
        <v>🔗 Ver Mapa</v>
      </c>
    </row>
    <row r="8400" spans="1:12" ht="43.5" x14ac:dyDescent="0.35">
      <c r="A8400" s="6" t="s">
        <v>98</v>
      </c>
      <c r="B8400" s="6" t="s">
        <v>99</v>
      </c>
      <c r="C8400" s="6" t="s">
        <v>1502</v>
      </c>
      <c r="D8400" s="6" t="s">
        <v>14</v>
      </c>
      <c r="E8400" s="6" t="s">
        <v>39</v>
      </c>
      <c r="F8400" s="6" t="s">
        <v>353</v>
      </c>
      <c r="G8400" s="6" t="s">
        <v>1503</v>
      </c>
      <c r="H8400" s="6" t="s">
        <v>1504</v>
      </c>
      <c r="I8400" s="6" t="s">
        <v>31</v>
      </c>
      <c r="J8400" s="6">
        <v>16.089897753938001</v>
      </c>
      <c r="K8400" s="6">
        <v>-96.244304900629004</v>
      </c>
      <c r="L8400" s="6" t="str">
        <f>HYPERLINK("https://maps.google.com/?q=16.0898977539384,-96.244304900629004", "🔗 Ver Mapa")</f>
        <v>🔗 Ver Mapa</v>
      </c>
    </row>
    <row r="8401" spans="1:12" ht="43.5" x14ac:dyDescent="0.35">
      <c r="A8401" s="5" t="s">
        <v>98</v>
      </c>
      <c r="B8401" s="5" t="s">
        <v>99</v>
      </c>
      <c r="C8401" s="5" t="s">
        <v>1502</v>
      </c>
      <c r="D8401" s="5" t="s">
        <v>14</v>
      </c>
      <c r="E8401" s="5" t="s">
        <v>39</v>
      </c>
      <c r="F8401" s="5" t="s">
        <v>353</v>
      </c>
      <c r="G8401" s="5" t="s">
        <v>1503</v>
      </c>
      <c r="H8401" s="5" t="s">
        <v>1504</v>
      </c>
      <c r="I8401" s="5" t="s">
        <v>31</v>
      </c>
      <c r="J8401" s="5">
        <v>16.089915405380999</v>
      </c>
      <c r="K8401" s="5">
        <v>-96.245487131282999</v>
      </c>
      <c r="L8401" s="5" t="str">
        <f>HYPERLINK("https://maps.google.com/?q=16.0899154053812,-96.2454871312828", "🔗 Ver Mapa")</f>
        <v>🔗 Ver Mapa</v>
      </c>
    </row>
    <row r="8402" spans="1:12" ht="43.5" x14ac:dyDescent="0.35">
      <c r="A8402" s="6" t="s">
        <v>98</v>
      </c>
      <c r="B8402" s="6" t="s">
        <v>99</v>
      </c>
      <c r="C8402" s="6" t="s">
        <v>1502</v>
      </c>
      <c r="D8402" s="6" t="s">
        <v>14</v>
      </c>
      <c r="E8402" s="6" t="s">
        <v>39</v>
      </c>
      <c r="F8402" s="6" t="s">
        <v>353</v>
      </c>
      <c r="G8402" s="6" t="s">
        <v>1503</v>
      </c>
      <c r="H8402" s="6" t="s">
        <v>1504</v>
      </c>
      <c r="I8402" s="6" t="s">
        <v>31</v>
      </c>
      <c r="J8402" s="6">
        <v>16.089952262463001</v>
      </c>
      <c r="K8402" s="6">
        <v>-96.244266442956999</v>
      </c>
      <c r="L8402" s="6" t="str">
        <f>HYPERLINK("https://maps.google.com/?q=16.0899522624631,-96.244266442956899", "🔗 Ver Mapa")</f>
        <v>🔗 Ver Mapa</v>
      </c>
    </row>
    <row r="8403" spans="1:12" ht="43.5" x14ac:dyDescent="0.35">
      <c r="A8403" s="5" t="s">
        <v>98</v>
      </c>
      <c r="B8403" s="5" t="s">
        <v>99</v>
      </c>
      <c r="C8403" s="5" t="s">
        <v>1502</v>
      </c>
      <c r="D8403" s="5" t="s">
        <v>14</v>
      </c>
      <c r="E8403" s="5" t="s">
        <v>39</v>
      </c>
      <c r="F8403" s="5" t="s">
        <v>353</v>
      </c>
      <c r="G8403" s="5" t="s">
        <v>1503</v>
      </c>
      <c r="H8403" s="5" t="s">
        <v>1504</v>
      </c>
      <c r="I8403" s="5" t="s">
        <v>31</v>
      </c>
      <c r="J8403" s="5">
        <v>16.089970211120999</v>
      </c>
      <c r="K8403" s="5">
        <v>-96.243707915344004</v>
      </c>
      <c r="L8403" s="5" t="str">
        <f>HYPERLINK("https://maps.google.com/?q=16.0899702111211,-96.243707915344203", "🔗 Ver Mapa")</f>
        <v>🔗 Ver Mapa</v>
      </c>
    </row>
    <row r="8404" spans="1:12" ht="43.5" x14ac:dyDescent="0.35">
      <c r="A8404" s="6" t="s">
        <v>98</v>
      </c>
      <c r="B8404" s="6" t="s">
        <v>99</v>
      </c>
      <c r="C8404" s="6" t="s">
        <v>1502</v>
      </c>
      <c r="D8404" s="6" t="s">
        <v>14</v>
      </c>
      <c r="E8404" s="6" t="s">
        <v>39</v>
      </c>
      <c r="F8404" s="6" t="s">
        <v>353</v>
      </c>
      <c r="G8404" s="6" t="s">
        <v>1503</v>
      </c>
      <c r="H8404" s="6" t="s">
        <v>1504</v>
      </c>
      <c r="I8404" s="6" t="s">
        <v>31</v>
      </c>
      <c r="J8404" s="6">
        <v>16.090016942548001</v>
      </c>
      <c r="K8404" s="6">
        <v>-96.243766495700996</v>
      </c>
      <c r="L8404" s="6" t="str">
        <f>HYPERLINK("https://maps.google.com/?q=16.0900169425483,-96.243766495700797", "🔗 Ver Mapa")</f>
        <v>🔗 Ver Mapa</v>
      </c>
    </row>
    <row r="8405" spans="1:12" ht="43.5" x14ac:dyDescent="0.35">
      <c r="A8405" s="5" t="s">
        <v>98</v>
      </c>
      <c r="B8405" s="5" t="s">
        <v>99</v>
      </c>
      <c r="C8405" s="5" t="s">
        <v>1502</v>
      </c>
      <c r="D8405" s="5" t="s">
        <v>14</v>
      </c>
      <c r="E8405" s="5" t="s">
        <v>39</v>
      </c>
      <c r="F8405" s="5" t="s">
        <v>353</v>
      </c>
      <c r="G8405" s="5" t="s">
        <v>1503</v>
      </c>
      <c r="H8405" s="5" t="s">
        <v>1504</v>
      </c>
      <c r="I8405" s="5" t="s">
        <v>31</v>
      </c>
      <c r="J8405" s="5">
        <v>16.090101054621002</v>
      </c>
      <c r="K8405" s="5">
        <v>-96.243636618384997</v>
      </c>
      <c r="L8405" s="5" t="str">
        <f>HYPERLINK("https://maps.google.com/?q=16.0901010546208,-96.243636618385295", "🔗 Ver Mapa")</f>
        <v>🔗 Ver Mapa</v>
      </c>
    </row>
    <row r="8406" spans="1:12" ht="43.5" x14ac:dyDescent="0.35">
      <c r="A8406" s="6" t="s">
        <v>98</v>
      </c>
      <c r="B8406" s="6" t="s">
        <v>99</v>
      </c>
      <c r="C8406" s="6" t="s">
        <v>1502</v>
      </c>
      <c r="D8406" s="6" t="s">
        <v>14</v>
      </c>
      <c r="E8406" s="6" t="s">
        <v>39</v>
      </c>
      <c r="F8406" s="6" t="s">
        <v>353</v>
      </c>
      <c r="G8406" s="6" t="s">
        <v>1503</v>
      </c>
      <c r="H8406" s="6" t="s">
        <v>1504</v>
      </c>
      <c r="I8406" s="6" t="s">
        <v>31</v>
      </c>
      <c r="J8406" s="6">
        <v>16.090129942564001</v>
      </c>
      <c r="K8406" s="6">
        <v>-96.243913000000006</v>
      </c>
      <c r="L8406" s="6" t="str">
        <f>HYPERLINK("https://maps.google.com/?q=16.0901299425637,-96.243913000000006", "🔗 Ver Mapa")</f>
        <v>🔗 Ver Mapa</v>
      </c>
    </row>
    <row r="8407" spans="1:12" ht="43.5" x14ac:dyDescent="0.35">
      <c r="A8407" s="5" t="s">
        <v>98</v>
      </c>
      <c r="B8407" s="5" t="s">
        <v>99</v>
      </c>
      <c r="C8407" s="5" t="s">
        <v>1502</v>
      </c>
      <c r="D8407" s="5" t="s">
        <v>14</v>
      </c>
      <c r="E8407" s="5" t="s">
        <v>39</v>
      </c>
      <c r="F8407" s="5" t="s">
        <v>353</v>
      </c>
      <c r="G8407" s="5" t="s">
        <v>1503</v>
      </c>
      <c r="H8407" s="5" t="s">
        <v>1504</v>
      </c>
      <c r="I8407" s="5" t="s">
        <v>31</v>
      </c>
      <c r="J8407" s="5">
        <v>16.090190733930999</v>
      </c>
      <c r="K8407" s="5">
        <v>-96.243425944774998</v>
      </c>
      <c r="L8407" s="5" t="str">
        <f>HYPERLINK("https://maps.google.com/?q=16.0901907339308,-96.2434259447747", "🔗 Ver Mapa")</f>
        <v>🔗 Ver Mapa</v>
      </c>
    </row>
    <row r="8408" spans="1:12" ht="43.5" x14ac:dyDescent="0.35">
      <c r="A8408" s="6" t="s">
        <v>98</v>
      </c>
      <c r="B8408" s="6" t="s">
        <v>99</v>
      </c>
      <c r="C8408" s="6" t="s">
        <v>1502</v>
      </c>
      <c r="D8408" s="6" t="s">
        <v>14</v>
      </c>
      <c r="E8408" s="6" t="s">
        <v>39</v>
      </c>
      <c r="F8408" s="6" t="s">
        <v>353</v>
      </c>
      <c r="G8408" s="6" t="s">
        <v>1503</v>
      </c>
      <c r="H8408" s="6" t="s">
        <v>1504</v>
      </c>
      <c r="I8408" s="6" t="s">
        <v>31</v>
      </c>
      <c r="J8408" s="6">
        <v>16.090247002517</v>
      </c>
      <c r="K8408" s="6">
        <v>-96.243194052744002</v>
      </c>
      <c r="L8408" s="6" t="str">
        <f>HYPERLINK("https://maps.google.com/?q=16.0902470025172,-96.243194052744002", "🔗 Ver Mapa")</f>
        <v>🔗 Ver Mapa</v>
      </c>
    </row>
    <row r="8409" spans="1:12" ht="43.5" x14ac:dyDescent="0.35">
      <c r="A8409" s="5" t="s">
        <v>98</v>
      </c>
      <c r="B8409" s="5" t="s">
        <v>99</v>
      </c>
      <c r="C8409" s="5" t="s">
        <v>1502</v>
      </c>
      <c r="D8409" s="5" t="s">
        <v>14</v>
      </c>
      <c r="E8409" s="5" t="s">
        <v>39</v>
      </c>
      <c r="F8409" s="5" t="s">
        <v>353</v>
      </c>
      <c r="G8409" s="5" t="s">
        <v>1503</v>
      </c>
      <c r="H8409" s="5" t="s">
        <v>1504</v>
      </c>
      <c r="I8409" s="5" t="s">
        <v>31</v>
      </c>
      <c r="J8409" s="5">
        <v>16.090259599633999</v>
      </c>
      <c r="K8409" s="5">
        <v>-96.243497942293004</v>
      </c>
      <c r="L8409" s="5" t="str">
        <f>HYPERLINK("https://maps.google.com/?q=16.0902595996337,-96.243497942293203", "🔗 Ver Mapa")</f>
        <v>🔗 Ver Mapa</v>
      </c>
    </row>
    <row r="8410" spans="1:12" ht="43.5" x14ac:dyDescent="0.35">
      <c r="A8410" s="6" t="s">
        <v>98</v>
      </c>
      <c r="B8410" s="6" t="s">
        <v>99</v>
      </c>
      <c r="C8410" s="6" t="s">
        <v>1502</v>
      </c>
      <c r="D8410" s="6" t="s">
        <v>14</v>
      </c>
      <c r="E8410" s="6" t="s">
        <v>39</v>
      </c>
      <c r="F8410" s="6" t="s">
        <v>353</v>
      </c>
      <c r="G8410" s="6" t="s">
        <v>1503</v>
      </c>
      <c r="H8410" s="6" t="s">
        <v>1504</v>
      </c>
      <c r="I8410" s="6" t="s">
        <v>31</v>
      </c>
      <c r="J8410" s="6">
        <v>16.090289176769002</v>
      </c>
      <c r="K8410" s="6">
        <v>-96.243647084656004</v>
      </c>
      <c r="L8410" s="6" t="str">
        <f>HYPERLINK("https://maps.google.com/?q=16.0902891767687,-96.243647084655805", "🔗 Ver Mapa")</f>
        <v>🔗 Ver Mapa</v>
      </c>
    </row>
    <row r="8411" spans="1:12" ht="43.5" x14ac:dyDescent="0.35">
      <c r="A8411" s="5" t="s">
        <v>98</v>
      </c>
      <c r="B8411" s="5" t="s">
        <v>99</v>
      </c>
      <c r="C8411" s="5" t="s">
        <v>1502</v>
      </c>
      <c r="D8411" s="5" t="s">
        <v>14</v>
      </c>
      <c r="E8411" s="5" t="s">
        <v>39</v>
      </c>
      <c r="F8411" s="5" t="s">
        <v>353</v>
      </c>
      <c r="G8411" s="5" t="s">
        <v>1503</v>
      </c>
      <c r="H8411" s="5" t="s">
        <v>1504</v>
      </c>
      <c r="I8411" s="5" t="s">
        <v>31</v>
      </c>
      <c r="J8411" s="5">
        <v>16.090344345483999</v>
      </c>
      <c r="K8411" s="5">
        <v>-96.244389002481</v>
      </c>
      <c r="L8411" s="5" t="str">
        <f>HYPERLINK("https://maps.google.com/?q=16.0903443454837,-96.244389002481398", "🔗 Ver Mapa")</f>
        <v>🔗 Ver Mapa</v>
      </c>
    </row>
    <row r="8412" spans="1:12" ht="43.5" x14ac:dyDescent="0.35">
      <c r="A8412" s="6" t="s">
        <v>98</v>
      </c>
      <c r="B8412" s="6" t="s">
        <v>99</v>
      </c>
      <c r="C8412" s="6" t="s">
        <v>1502</v>
      </c>
      <c r="D8412" s="6" t="s">
        <v>14</v>
      </c>
      <c r="E8412" s="6" t="s">
        <v>39</v>
      </c>
      <c r="F8412" s="6" t="s">
        <v>353</v>
      </c>
      <c r="G8412" s="6" t="s">
        <v>1503</v>
      </c>
      <c r="H8412" s="6" t="s">
        <v>1504</v>
      </c>
      <c r="I8412" s="6" t="s">
        <v>31</v>
      </c>
      <c r="J8412" s="6">
        <v>16.090352351012001</v>
      </c>
      <c r="K8412" s="6">
        <v>-96.244896860118999</v>
      </c>
      <c r="L8412" s="6" t="str">
        <f>HYPERLINK("https://maps.google.com/?q=16.0903523510121,-96.244896860118899", "🔗 Ver Mapa")</f>
        <v>🔗 Ver Mapa</v>
      </c>
    </row>
    <row r="8413" spans="1:12" ht="43.5" x14ac:dyDescent="0.35">
      <c r="A8413" s="5" t="s">
        <v>98</v>
      </c>
      <c r="B8413" s="5" t="s">
        <v>99</v>
      </c>
      <c r="C8413" s="5" t="s">
        <v>1502</v>
      </c>
      <c r="D8413" s="5" t="s">
        <v>14</v>
      </c>
      <c r="E8413" s="5" t="s">
        <v>39</v>
      </c>
      <c r="F8413" s="5" t="s">
        <v>353</v>
      </c>
      <c r="G8413" s="5" t="s">
        <v>1503</v>
      </c>
      <c r="H8413" s="5" t="s">
        <v>1504</v>
      </c>
      <c r="I8413" s="5" t="s">
        <v>31</v>
      </c>
      <c r="J8413" s="5">
        <v>16.090449136816002</v>
      </c>
      <c r="K8413" s="5">
        <v>-96.243292387731998</v>
      </c>
      <c r="L8413" s="5" t="str">
        <f>HYPERLINK("https://maps.google.com/?q=16.0904491368156,-96.2432923877316", "🔗 Ver Mapa")</f>
        <v>🔗 Ver Mapa</v>
      </c>
    </row>
    <row r="8414" spans="1:12" ht="43.5" x14ac:dyDescent="0.35">
      <c r="A8414" s="6" t="s">
        <v>98</v>
      </c>
      <c r="B8414" s="6" t="s">
        <v>99</v>
      </c>
      <c r="C8414" s="6" t="s">
        <v>1502</v>
      </c>
      <c r="D8414" s="6" t="s">
        <v>14</v>
      </c>
      <c r="E8414" s="6" t="s">
        <v>39</v>
      </c>
      <c r="F8414" s="6" t="s">
        <v>353</v>
      </c>
      <c r="G8414" s="6" t="s">
        <v>1503</v>
      </c>
      <c r="H8414" s="6" t="s">
        <v>1504</v>
      </c>
      <c r="I8414" s="6" t="s">
        <v>31</v>
      </c>
      <c r="J8414" s="6">
        <v>16.090544378200001</v>
      </c>
      <c r="K8414" s="6">
        <v>-96.243485825148994</v>
      </c>
      <c r="L8414" s="6" t="str">
        <f>HYPERLINK("https://maps.google.com/?q=16.0905443782004,-96.243485825148596", "🔗 Ver Mapa")</f>
        <v>🔗 Ver Mapa</v>
      </c>
    </row>
    <row r="8415" spans="1:12" ht="43.5" x14ac:dyDescent="0.35">
      <c r="A8415" s="5" t="s">
        <v>98</v>
      </c>
      <c r="B8415" s="5" t="s">
        <v>99</v>
      </c>
      <c r="C8415" s="5" t="s">
        <v>1502</v>
      </c>
      <c r="D8415" s="5" t="s">
        <v>14</v>
      </c>
      <c r="E8415" s="5" t="s">
        <v>39</v>
      </c>
      <c r="F8415" s="5" t="s">
        <v>353</v>
      </c>
      <c r="G8415" s="5" t="s">
        <v>1503</v>
      </c>
      <c r="H8415" s="5" t="s">
        <v>1504</v>
      </c>
      <c r="I8415" s="5" t="s">
        <v>31</v>
      </c>
      <c r="J8415" s="5">
        <v>16.090552828286</v>
      </c>
      <c r="K8415" s="5">
        <v>-96.244430743551007</v>
      </c>
      <c r="L8415" s="5" t="str">
        <f>HYPERLINK("https://maps.google.com/?q=16.0905528282856,-96.244430743551305", "🔗 Ver Mapa")</f>
        <v>🔗 Ver Mapa</v>
      </c>
    </row>
    <row r="8416" spans="1:12" ht="43.5" x14ac:dyDescent="0.35">
      <c r="A8416" s="6" t="s">
        <v>98</v>
      </c>
      <c r="B8416" s="6" t="s">
        <v>99</v>
      </c>
      <c r="C8416" s="6" t="s">
        <v>1502</v>
      </c>
      <c r="D8416" s="6" t="s">
        <v>14</v>
      </c>
      <c r="E8416" s="6" t="s">
        <v>39</v>
      </c>
      <c r="F8416" s="6" t="s">
        <v>353</v>
      </c>
      <c r="G8416" s="6" t="s">
        <v>1503</v>
      </c>
      <c r="H8416" s="6" t="s">
        <v>1504</v>
      </c>
      <c r="I8416" s="6" t="s">
        <v>31</v>
      </c>
      <c r="J8416" s="6">
        <v>16.090564979042</v>
      </c>
      <c r="K8416" s="6">
        <v>-96.243289665012</v>
      </c>
      <c r="L8416" s="6" t="str">
        <f>HYPERLINK("https://maps.google.com/?q=16.0905649790416,-96.243289665012398", "🔗 Ver Mapa")</f>
        <v>🔗 Ver Mapa</v>
      </c>
    </row>
    <row r="8417" spans="1:12" ht="43.5" x14ac:dyDescent="0.35">
      <c r="A8417" s="5" t="s">
        <v>98</v>
      </c>
      <c r="B8417" s="5" t="s">
        <v>99</v>
      </c>
      <c r="C8417" s="5" t="s">
        <v>1502</v>
      </c>
      <c r="D8417" s="5" t="s">
        <v>14</v>
      </c>
      <c r="E8417" s="5" t="s">
        <v>39</v>
      </c>
      <c r="F8417" s="5" t="s">
        <v>353</v>
      </c>
      <c r="G8417" s="5" t="s">
        <v>1503</v>
      </c>
      <c r="H8417" s="5" t="s">
        <v>1504</v>
      </c>
      <c r="I8417" s="5" t="s">
        <v>31</v>
      </c>
      <c r="J8417" s="5">
        <v>16.090580812049001</v>
      </c>
      <c r="K8417" s="5">
        <v>-96.244367034392994</v>
      </c>
      <c r="L8417" s="5" t="str">
        <f>HYPERLINK("https://maps.google.com/?q=16.090580812049,-96.244367034393207", "🔗 Ver Mapa")</f>
        <v>🔗 Ver Mapa</v>
      </c>
    </row>
    <row r="8418" spans="1:12" ht="43.5" x14ac:dyDescent="0.35">
      <c r="A8418" s="6" t="s">
        <v>98</v>
      </c>
      <c r="B8418" s="6" t="s">
        <v>99</v>
      </c>
      <c r="C8418" s="6" t="s">
        <v>1502</v>
      </c>
      <c r="D8418" s="6" t="s">
        <v>14</v>
      </c>
      <c r="E8418" s="6" t="s">
        <v>39</v>
      </c>
      <c r="F8418" s="6" t="s">
        <v>353</v>
      </c>
      <c r="G8418" s="6" t="s">
        <v>1503</v>
      </c>
      <c r="H8418" s="6" t="s">
        <v>1504</v>
      </c>
      <c r="I8418" s="6" t="s">
        <v>31</v>
      </c>
      <c r="J8418" s="6">
        <v>16.090707176738999</v>
      </c>
      <c r="K8418" s="6">
        <v>-96.243319860119001</v>
      </c>
      <c r="L8418" s="6" t="str">
        <f>HYPERLINK("https://maps.google.com/?q=16.0907071767389,-96.243319860118902", "🔗 Ver Mapa")</f>
        <v>🔗 Ver Mapa</v>
      </c>
    </row>
    <row r="8419" spans="1:12" ht="43.5" x14ac:dyDescent="0.35">
      <c r="A8419" s="5" t="s">
        <v>98</v>
      </c>
      <c r="B8419" s="5" t="s">
        <v>99</v>
      </c>
      <c r="C8419" s="5" t="s">
        <v>1502</v>
      </c>
      <c r="D8419" s="5" t="s">
        <v>14</v>
      </c>
      <c r="E8419" s="5" t="s">
        <v>39</v>
      </c>
      <c r="F8419" s="5" t="s">
        <v>353</v>
      </c>
      <c r="G8419" s="5" t="s">
        <v>1503</v>
      </c>
      <c r="H8419" s="5" t="s">
        <v>1504</v>
      </c>
      <c r="I8419" s="5" t="s">
        <v>31</v>
      </c>
      <c r="J8419" s="5">
        <v>16.090763888169999</v>
      </c>
      <c r="K8419" s="5">
        <v>-96.24360864418</v>
      </c>
      <c r="L8419" s="5" t="str">
        <f>HYPERLINK("https://maps.google.com/?q=16.0907638881696,-96.243608644180298", "🔗 Ver Mapa")</f>
        <v>🔗 Ver Mapa</v>
      </c>
    </row>
    <row r="8420" spans="1:12" ht="43.5" x14ac:dyDescent="0.35">
      <c r="A8420" s="6" t="s">
        <v>98</v>
      </c>
      <c r="B8420" s="6" t="s">
        <v>99</v>
      </c>
      <c r="C8420" s="6" t="s">
        <v>1502</v>
      </c>
      <c r="D8420" s="6" t="s">
        <v>14</v>
      </c>
      <c r="E8420" s="6" t="s">
        <v>39</v>
      </c>
      <c r="F8420" s="6" t="s">
        <v>353</v>
      </c>
      <c r="G8420" s="6" t="s">
        <v>1503</v>
      </c>
      <c r="H8420" s="6" t="s">
        <v>1504</v>
      </c>
      <c r="I8420" s="6" t="s">
        <v>31</v>
      </c>
      <c r="J8420" s="6">
        <v>16.090785330993999</v>
      </c>
      <c r="K8420" s="6">
        <v>-96.243489446015005</v>
      </c>
      <c r="L8420" s="6" t="str">
        <f>HYPERLINK("https://maps.google.com/?q=16.090785330994,-96.243489446015403", "🔗 Ver Mapa")</f>
        <v>🔗 Ver Mapa</v>
      </c>
    </row>
    <row r="8421" spans="1:12" ht="43.5" x14ac:dyDescent="0.35">
      <c r="A8421" s="5" t="s">
        <v>98</v>
      </c>
      <c r="B8421" s="5" t="s">
        <v>99</v>
      </c>
      <c r="C8421" s="5" t="s">
        <v>1502</v>
      </c>
      <c r="D8421" s="5" t="s">
        <v>14</v>
      </c>
      <c r="E8421" s="5" t="s">
        <v>39</v>
      </c>
      <c r="F8421" s="5" t="s">
        <v>353</v>
      </c>
      <c r="G8421" s="5" t="s">
        <v>1503</v>
      </c>
      <c r="H8421" s="5" t="s">
        <v>1504</v>
      </c>
      <c r="I8421" s="5" t="s">
        <v>31</v>
      </c>
      <c r="J8421" s="5">
        <v>16.090933619544</v>
      </c>
      <c r="K8421" s="5">
        <v>-96.243510965029998</v>
      </c>
      <c r="L8421" s="5" t="str">
        <f>HYPERLINK("https://maps.google.com/?q=16.0909336195438,-96.243510965029699", "🔗 Ver Mapa")</f>
        <v>🔗 Ver Mapa</v>
      </c>
    </row>
    <row r="8422" spans="1:12" ht="43.5" x14ac:dyDescent="0.35">
      <c r="A8422" s="6" t="s">
        <v>98</v>
      </c>
      <c r="B8422" s="6" t="s">
        <v>99</v>
      </c>
      <c r="C8422" s="6" t="s">
        <v>1502</v>
      </c>
      <c r="D8422" s="6" t="s">
        <v>14</v>
      </c>
      <c r="E8422" s="6" t="s">
        <v>39</v>
      </c>
      <c r="F8422" s="6" t="s">
        <v>353</v>
      </c>
      <c r="G8422" s="6" t="s">
        <v>1503</v>
      </c>
      <c r="H8422" s="6" t="s">
        <v>1504</v>
      </c>
      <c r="I8422" s="6" t="s">
        <v>31</v>
      </c>
      <c r="J8422" s="6">
        <v>16.090970588501001</v>
      </c>
      <c r="K8422" s="6">
        <v>-96.243852560679002</v>
      </c>
      <c r="L8422" s="6" t="str">
        <f>HYPERLINK("https://maps.google.com/?q=16.090970588501,-96.243852560678604", "🔗 Ver Mapa")</f>
        <v>🔗 Ver Mapa</v>
      </c>
    </row>
    <row r="8423" spans="1:12" ht="43.5" x14ac:dyDescent="0.35">
      <c r="A8423" s="5" t="s">
        <v>98</v>
      </c>
      <c r="B8423" s="5" t="s">
        <v>99</v>
      </c>
      <c r="C8423" s="5" t="s">
        <v>1502</v>
      </c>
      <c r="D8423" s="5" t="s">
        <v>14</v>
      </c>
      <c r="E8423" s="5" t="s">
        <v>39</v>
      </c>
      <c r="F8423" s="5" t="s">
        <v>353</v>
      </c>
      <c r="G8423" s="5" t="s">
        <v>1503</v>
      </c>
      <c r="H8423" s="5" t="s">
        <v>1504</v>
      </c>
      <c r="I8423" s="5" t="s">
        <v>31</v>
      </c>
      <c r="J8423" s="5">
        <v>16.091017271136</v>
      </c>
      <c r="K8423" s="5">
        <v>-96.243917107968997</v>
      </c>
      <c r="L8423" s="5" t="str">
        <f>HYPERLINK("https://maps.google.com/?q=16.0910172711362,-96.243917107969295", "🔗 Ver Mapa")</f>
        <v>🔗 Ver Mapa</v>
      </c>
    </row>
    <row r="8424" spans="1:12" ht="43.5" x14ac:dyDescent="0.35">
      <c r="A8424" s="6" t="s">
        <v>98</v>
      </c>
      <c r="B8424" s="6" t="s">
        <v>99</v>
      </c>
      <c r="C8424" s="6" t="s">
        <v>1505</v>
      </c>
      <c r="D8424" s="6" t="s">
        <v>14</v>
      </c>
      <c r="E8424" s="6" t="s">
        <v>39</v>
      </c>
      <c r="F8424" s="6" t="s">
        <v>353</v>
      </c>
      <c r="G8424" s="6" t="s">
        <v>354</v>
      </c>
      <c r="H8424" s="6" t="s">
        <v>1506</v>
      </c>
      <c r="I8424" s="6" t="s">
        <v>31</v>
      </c>
      <c r="J8424" s="6">
        <v>16.197812316299999</v>
      </c>
      <c r="K8424" s="6">
        <v>-96.828376520858001</v>
      </c>
      <c r="L8424" s="6" t="str">
        <f>HYPERLINK("https://maps.google.com/?q=16.1978123163002,-96.8283765208581", "🔗 Ver Mapa")</f>
        <v>🔗 Ver Mapa</v>
      </c>
    </row>
    <row r="8425" spans="1:12" ht="43.5" x14ac:dyDescent="0.35">
      <c r="A8425" s="5" t="s">
        <v>98</v>
      </c>
      <c r="B8425" s="5" t="s">
        <v>99</v>
      </c>
      <c r="C8425" s="5" t="s">
        <v>1505</v>
      </c>
      <c r="D8425" s="5" t="s">
        <v>14</v>
      </c>
      <c r="E8425" s="5" t="s">
        <v>39</v>
      </c>
      <c r="F8425" s="5" t="s">
        <v>353</v>
      </c>
      <c r="G8425" s="5" t="s">
        <v>354</v>
      </c>
      <c r="H8425" s="5" t="s">
        <v>1506</v>
      </c>
      <c r="I8425" s="5" t="s">
        <v>31</v>
      </c>
      <c r="J8425" s="5">
        <v>16.198852752126001</v>
      </c>
      <c r="K8425" s="5">
        <v>-96.824609913364</v>
      </c>
      <c r="L8425" s="5" t="str">
        <f>HYPERLINK("https://maps.google.com/?q=16.1988527521265,-96.824609913364299", "🔗 Ver Mapa")</f>
        <v>🔗 Ver Mapa</v>
      </c>
    </row>
    <row r="8426" spans="1:12" ht="43.5" x14ac:dyDescent="0.35">
      <c r="A8426" s="6" t="s">
        <v>98</v>
      </c>
      <c r="B8426" s="6" t="s">
        <v>99</v>
      </c>
      <c r="C8426" s="6" t="s">
        <v>1505</v>
      </c>
      <c r="D8426" s="6" t="s">
        <v>14</v>
      </c>
      <c r="E8426" s="6" t="s">
        <v>39</v>
      </c>
      <c r="F8426" s="6" t="s">
        <v>353</v>
      </c>
      <c r="G8426" s="6" t="s">
        <v>354</v>
      </c>
      <c r="H8426" s="6" t="s">
        <v>1506</v>
      </c>
      <c r="I8426" s="6" t="s">
        <v>31</v>
      </c>
      <c r="J8426" s="6">
        <v>16.199884726541001</v>
      </c>
      <c r="K8426" s="6">
        <v>-96.828630163918007</v>
      </c>
      <c r="L8426" s="6" t="str">
        <f>HYPERLINK("https://maps.google.com/?q=16.1998847265414,-96.828630163917694", "🔗 Ver Mapa")</f>
        <v>🔗 Ver Mapa</v>
      </c>
    </row>
    <row r="8427" spans="1:12" ht="43.5" x14ac:dyDescent="0.35">
      <c r="A8427" s="5" t="s">
        <v>98</v>
      </c>
      <c r="B8427" s="5" t="s">
        <v>99</v>
      </c>
      <c r="C8427" s="5" t="s">
        <v>1505</v>
      </c>
      <c r="D8427" s="5" t="s">
        <v>14</v>
      </c>
      <c r="E8427" s="5" t="s">
        <v>39</v>
      </c>
      <c r="F8427" s="5" t="s">
        <v>353</v>
      </c>
      <c r="G8427" s="5" t="s">
        <v>354</v>
      </c>
      <c r="H8427" s="5" t="s">
        <v>1506</v>
      </c>
      <c r="I8427" s="5" t="s">
        <v>31</v>
      </c>
      <c r="J8427" s="5">
        <v>16.200184402369999</v>
      </c>
      <c r="K8427" s="5">
        <v>-96.828071785218</v>
      </c>
      <c r="L8427" s="5" t="str">
        <f>HYPERLINK("https://maps.google.com/?q=16.2001844023697,-96.828071785217801", "🔗 Ver Mapa")</f>
        <v>🔗 Ver Mapa</v>
      </c>
    </row>
    <row r="8428" spans="1:12" ht="43.5" x14ac:dyDescent="0.35">
      <c r="A8428" s="6" t="s">
        <v>98</v>
      </c>
      <c r="B8428" s="6" t="s">
        <v>99</v>
      </c>
      <c r="C8428" s="6" t="s">
        <v>1505</v>
      </c>
      <c r="D8428" s="6" t="s">
        <v>14</v>
      </c>
      <c r="E8428" s="6" t="s">
        <v>39</v>
      </c>
      <c r="F8428" s="6" t="s">
        <v>353</v>
      </c>
      <c r="G8428" s="6" t="s">
        <v>354</v>
      </c>
      <c r="H8428" s="6" t="s">
        <v>1506</v>
      </c>
      <c r="I8428" s="6" t="s">
        <v>31</v>
      </c>
      <c r="J8428" s="6">
        <v>16.200668305465999</v>
      </c>
      <c r="K8428" s="6">
        <v>-96.827664761803007</v>
      </c>
      <c r="L8428" s="6" t="str">
        <f>HYPERLINK("https://maps.google.com/?q=16.2006683054657,-96.827664761802794", "🔗 Ver Mapa")</f>
        <v>🔗 Ver Mapa</v>
      </c>
    </row>
    <row r="8429" spans="1:12" ht="43.5" x14ac:dyDescent="0.35">
      <c r="A8429" s="5" t="s">
        <v>98</v>
      </c>
      <c r="B8429" s="5" t="s">
        <v>99</v>
      </c>
      <c r="C8429" s="5" t="s">
        <v>1505</v>
      </c>
      <c r="D8429" s="5" t="s">
        <v>14</v>
      </c>
      <c r="E8429" s="5" t="s">
        <v>39</v>
      </c>
      <c r="F8429" s="5" t="s">
        <v>353</v>
      </c>
      <c r="G8429" s="5" t="s">
        <v>354</v>
      </c>
      <c r="H8429" s="5" t="s">
        <v>1506</v>
      </c>
      <c r="I8429" s="5" t="s">
        <v>31</v>
      </c>
      <c r="J8429" s="5">
        <v>16.201046892221999</v>
      </c>
      <c r="K8429" s="5">
        <v>-96.823667855221998</v>
      </c>
      <c r="L8429" s="5" t="str">
        <f>HYPERLINK("https://maps.google.com/?q=16.2010468922221,-96.8236678552217", "🔗 Ver Mapa")</f>
        <v>🔗 Ver Mapa</v>
      </c>
    </row>
    <row r="8430" spans="1:12" ht="43.5" x14ac:dyDescent="0.35">
      <c r="A8430" s="6" t="s">
        <v>98</v>
      </c>
      <c r="B8430" s="6" t="s">
        <v>99</v>
      </c>
      <c r="C8430" s="6" t="s">
        <v>1505</v>
      </c>
      <c r="D8430" s="6" t="s">
        <v>14</v>
      </c>
      <c r="E8430" s="6" t="s">
        <v>39</v>
      </c>
      <c r="F8430" s="6" t="s">
        <v>353</v>
      </c>
      <c r="G8430" s="6" t="s">
        <v>354</v>
      </c>
      <c r="H8430" s="6" t="s">
        <v>1506</v>
      </c>
      <c r="I8430" s="6" t="s">
        <v>31</v>
      </c>
      <c r="J8430" s="6">
        <v>16.20131037681</v>
      </c>
      <c r="K8430" s="6">
        <v>-96.828727393994996</v>
      </c>
      <c r="L8430" s="6" t="str">
        <f>HYPERLINK("https://maps.google.com/?q=16.2013103768099,-96.828727393994996", "🔗 Ver Mapa")</f>
        <v>🔗 Ver Mapa</v>
      </c>
    </row>
    <row r="8431" spans="1:12" ht="43.5" x14ac:dyDescent="0.35">
      <c r="A8431" s="5" t="s">
        <v>98</v>
      </c>
      <c r="B8431" s="5" t="s">
        <v>99</v>
      </c>
      <c r="C8431" s="5" t="s">
        <v>1505</v>
      </c>
      <c r="D8431" s="5" t="s">
        <v>14</v>
      </c>
      <c r="E8431" s="5" t="s">
        <v>39</v>
      </c>
      <c r="F8431" s="5" t="s">
        <v>353</v>
      </c>
      <c r="G8431" s="5" t="s">
        <v>354</v>
      </c>
      <c r="H8431" s="5" t="s">
        <v>1506</v>
      </c>
      <c r="I8431" s="5" t="s">
        <v>31</v>
      </c>
      <c r="J8431" s="5">
        <v>16.201793226056001</v>
      </c>
      <c r="K8431" s="5">
        <v>-96.825166961715993</v>
      </c>
      <c r="L8431" s="5" t="str">
        <f>HYPERLINK("https://maps.google.com/?q=16.2017932260557,-96.825166961716207", "🔗 Ver Mapa")</f>
        <v>🔗 Ver Mapa</v>
      </c>
    </row>
    <row r="8432" spans="1:12" ht="43.5" x14ac:dyDescent="0.35">
      <c r="A8432" s="6" t="s">
        <v>98</v>
      </c>
      <c r="B8432" s="6" t="s">
        <v>99</v>
      </c>
      <c r="C8432" s="6" t="s">
        <v>1505</v>
      </c>
      <c r="D8432" s="6" t="s">
        <v>14</v>
      </c>
      <c r="E8432" s="6" t="s">
        <v>39</v>
      </c>
      <c r="F8432" s="6" t="s">
        <v>353</v>
      </c>
      <c r="G8432" s="6" t="s">
        <v>354</v>
      </c>
      <c r="H8432" s="6" t="s">
        <v>1506</v>
      </c>
      <c r="I8432" s="6" t="s">
        <v>31</v>
      </c>
      <c r="J8432" s="6">
        <v>16.202087218555999</v>
      </c>
      <c r="K8432" s="6">
        <v>-96.825010064121003</v>
      </c>
      <c r="L8432" s="6" t="str">
        <f>HYPERLINK("https://maps.google.com/?q=16.2020872185559,-96.825010064120804", "🔗 Ver Mapa")</f>
        <v>🔗 Ver Mapa</v>
      </c>
    </row>
    <row r="8433" spans="1:12" ht="43.5" x14ac:dyDescent="0.35">
      <c r="A8433" s="5" t="s">
        <v>98</v>
      </c>
      <c r="B8433" s="5" t="s">
        <v>99</v>
      </c>
      <c r="C8433" s="5" t="s">
        <v>1505</v>
      </c>
      <c r="D8433" s="5" t="s">
        <v>14</v>
      </c>
      <c r="E8433" s="5" t="s">
        <v>39</v>
      </c>
      <c r="F8433" s="5" t="s">
        <v>353</v>
      </c>
      <c r="G8433" s="5" t="s">
        <v>354</v>
      </c>
      <c r="H8433" s="5" t="s">
        <v>1506</v>
      </c>
      <c r="I8433" s="5" t="s">
        <v>31</v>
      </c>
      <c r="J8433" s="5">
        <v>16.202295841581002</v>
      </c>
      <c r="K8433" s="5">
        <v>-96.824948949768995</v>
      </c>
      <c r="L8433" s="5" t="str">
        <f>HYPERLINK("https://maps.google.com/?q=16.202295841581,-96.824948949769094", "🔗 Ver Mapa")</f>
        <v>🔗 Ver Mapa</v>
      </c>
    </row>
    <row r="8434" spans="1:12" ht="43.5" x14ac:dyDescent="0.35">
      <c r="A8434" s="6" t="s">
        <v>98</v>
      </c>
      <c r="B8434" s="6" t="s">
        <v>99</v>
      </c>
      <c r="C8434" s="6" t="s">
        <v>1505</v>
      </c>
      <c r="D8434" s="6" t="s">
        <v>14</v>
      </c>
      <c r="E8434" s="6" t="s">
        <v>39</v>
      </c>
      <c r="F8434" s="6" t="s">
        <v>353</v>
      </c>
      <c r="G8434" s="6" t="s">
        <v>354</v>
      </c>
      <c r="H8434" s="6" t="s">
        <v>1506</v>
      </c>
      <c r="I8434" s="6" t="s">
        <v>31</v>
      </c>
      <c r="J8434" s="6">
        <v>16.202401097988002</v>
      </c>
      <c r="K8434" s="6">
        <v>-96.826190893323002</v>
      </c>
      <c r="L8434" s="6" t="str">
        <f>HYPERLINK("https://maps.google.com/?q=16.2024010979885,-96.8261908933233", "🔗 Ver Mapa")</f>
        <v>🔗 Ver Mapa</v>
      </c>
    </row>
    <row r="8435" spans="1:12" ht="43.5" x14ac:dyDescent="0.35">
      <c r="A8435" s="5" t="s">
        <v>98</v>
      </c>
      <c r="B8435" s="5" t="s">
        <v>99</v>
      </c>
      <c r="C8435" s="5" t="s">
        <v>1505</v>
      </c>
      <c r="D8435" s="5" t="s">
        <v>14</v>
      </c>
      <c r="E8435" s="5" t="s">
        <v>39</v>
      </c>
      <c r="F8435" s="5" t="s">
        <v>353</v>
      </c>
      <c r="G8435" s="5" t="s">
        <v>354</v>
      </c>
      <c r="H8435" s="5" t="s">
        <v>1506</v>
      </c>
      <c r="I8435" s="5" t="s">
        <v>31</v>
      </c>
      <c r="J8435" s="5">
        <v>16.202739794486</v>
      </c>
      <c r="K8435" s="5">
        <v>-96.828342296695993</v>
      </c>
      <c r="L8435" s="5" t="str">
        <f>HYPERLINK("https://maps.google.com/?q=16.2027397944858,-96.828342296695695", "🔗 Ver Mapa")</f>
        <v>🔗 Ver Mapa</v>
      </c>
    </row>
    <row r="8436" spans="1:12" ht="43.5" x14ac:dyDescent="0.35">
      <c r="A8436" s="6" t="s">
        <v>98</v>
      </c>
      <c r="B8436" s="6" t="s">
        <v>99</v>
      </c>
      <c r="C8436" s="6" t="s">
        <v>1505</v>
      </c>
      <c r="D8436" s="6" t="s">
        <v>14</v>
      </c>
      <c r="E8436" s="6" t="s">
        <v>39</v>
      </c>
      <c r="F8436" s="6" t="s">
        <v>353</v>
      </c>
      <c r="G8436" s="6" t="s">
        <v>354</v>
      </c>
      <c r="H8436" s="6" t="s">
        <v>1506</v>
      </c>
      <c r="I8436" s="6" t="s">
        <v>31</v>
      </c>
      <c r="J8436" s="6">
        <v>16.202876316042001</v>
      </c>
      <c r="K8436" s="6">
        <v>-96.825396186508002</v>
      </c>
      <c r="L8436" s="6" t="str">
        <f>HYPERLINK("https://maps.google.com/?q=16.202876316042,-96.825396186508101", "🔗 Ver Mapa")</f>
        <v>🔗 Ver Mapa</v>
      </c>
    </row>
    <row r="8437" spans="1:12" ht="43.5" x14ac:dyDescent="0.35">
      <c r="A8437" s="5" t="s">
        <v>98</v>
      </c>
      <c r="B8437" s="5" t="s">
        <v>99</v>
      </c>
      <c r="C8437" s="5" t="s">
        <v>1505</v>
      </c>
      <c r="D8437" s="5" t="s">
        <v>14</v>
      </c>
      <c r="E8437" s="5" t="s">
        <v>39</v>
      </c>
      <c r="F8437" s="5" t="s">
        <v>353</v>
      </c>
      <c r="G8437" s="5" t="s">
        <v>354</v>
      </c>
      <c r="H8437" s="5" t="s">
        <v>1506</v>
      </c>
      <c r="I8437" s="5" t="s">
        <v>31</v>
      </c>
      <c r="J8437" s="5">
        <v>16.203109414113001</v>
      </c>
      <c r="K8437" s="5">
        <v>-96.825676477350001</v>
      </c>
      <c r="L8437" s="5" t="str">
        <f>HYPERLINK("https://maps.google.com/?q=16.2031094141126,-96.8256764773501", "🔗 Ver Mapa")</f>
        <v>🔗 Ver Mapa</v>
      </c>
    </row>
    <row r="8438" spans="1:12" ht="43.5" x14ac:dyDescent="0.35">
      <c r="A8438" s="6" t="s">
        <v>98</v>
      </c>
      <c r="B8438" s="6" t="s">
        <v>99</v>
      </c>
      <c r="C8438" s="6" t="s">
        <v>688</v>
      </c>
      <c r="D8438" s="6" t="s">
        <v>14</v>
      </c>
      <c r="E8438" s="6" t="s">
        <v>52</v>
      </c>
      <c r="F8438" s="6" t="s">
        <v>70</v>
      </c>
      <c r="G8438" s="6" t="s">
        <v>689</v>
      </c>
      <c r="H8438" s="6" t="s">
        <v>690</v>
      </c>
      <c r="I8438" s="6" t="s">
        <v>31</v>
      </c>
      <c r="J8438" s="6">
        <v>17.060369799404999</v>
      </c>
      <c r="K8438" s="6">
        <v>-96.821571096507995</v>
      </c>
      <c r="L8438" s="6" t="str">
        <f>HYPERLINK("https://maps.google.com/?q=17.0603697994045,-96.821571096508194", "🔗 Ver Mapa")</f>
        <v>🔗 Ver Mapa</v>
      </c>
    </row>
    <row r="8439" spans="1:12" ht="43.5" x14ac:dyDescent="0.35">
      <c r="A8439" s="5" t="s">
        <v>98</v>
      </c>
      <c r="B8439" s="5" t="s">
        <v>99</v>
      </c>
      <c r="C8439" s="5" t="s">
        <v>688</v>
      </c>
      <c r="D8439" s="5" t="s">
        <v>14</v>
      </c>
      <c r="E8439" s="5" t="s">
        <v>52</v>
      </c>
      <c r="F8439" s="5" t="s">
        <v>70</v>
      </c>
      <c r="G8439" s="5" t="s">
        <v>689</v>
      </c>
      <c r="H8439" s="5" t="s">
        <v>690</v>
      </c>
      <c r="I8439" s="5" t="s">
        <v>31</v>
      </c>
      <c r="J8439" s="5">
        <v>17.060839371802999</v>
      </c>
      <c r="K8439" s="5">
        <v>-96.822337775956001</v>
      </c>
      <c r="L8439" s="5" t="str">
        <f>HYPERLINK("https://maps.google.com/?q=17.0608393718031,-96.822337775955901", "🔗 Ver Mapa")</f>
        <v>🔗 Ver Mapa</v>
      </c>
    </row>
    <row r="8440" spans="1:12" ht="43.5" x14ac:dyDescent="0.35">
      <c r="A8440" s="6" t="s">
        <v>98</v>
      </c>
      <c r="B8440" s="6" t="s">
        <v>99</v>
      </c>
      <c r="C8440" s="6" t="s">
        <v>688</v>
      </c>
      <c r="D8440" s="6" t="s">
        <v>14</v>
      </c>
      <c r="E8440" s="6" t="s">
        <v>52</v>
      </c>
      <c r="F8440" s="6" t="s">
        <v>70</v>
      </c>
      <c r="G8440" s="6" t="s">
        <v>689</v>
      </c>
      <c r="H8440" s="6" t="s">
        <v>690</v>
      </c>
      <c r="I8440" s="6" t="s">
        <v>31</v>
      </c>
      <c r="J8440" s="6">
        <v>17.060903482869001</v>
      </c>
      <c r="K8440" s="6">
        <v>-96.819121143195005</v>
      </c>
      <c r="L8440" s="6" t="str">
        <f>HYPERLINK("https://maps.google.com/?q=17.0609034828693,-96.819121143194593", "🔗 Ver Mapa")</f>
        <v>🔗 Ver Mapa</v>
      </c>
    </row>
    <row r="8441" spans="1:12" ht="43.5" x14ac:dyDescent="0.35">
      <c r="A8441" s="5" t="s">
        <v>98</v>
      </c>
      <c r="B8441" s="5" t="s">
        <v>99</v>
      </c>
      <c r="C8441" s="5" t="s">
        <v>688</v>
      </c>
      <c r="D8441" s="5" t="s">
        <v>14</v>
      </c>
      <c r="E8441" s="5" t="s">
        <v>52</v>
      </c>
      <c r="F8441" s="5" t="s">
        <v>70</v>
      </c>
      <c r="G8441" s="5" t="s">
        <v>689</v>
      </c>
      <c r="H8441" s="5" t="s">
        <v>690</v>
      </c>
      <c r="I8441" s="5" t="s">
        <v>31</v>
      </c>
      <c r="J8441" s="5">
        <v>17.061406520177002</v>
      </c>
      <c r="K8441" s="5">
        <v>-96.820512462642</v>
      </c>
      <c r="L8441" s="5" t="str">
        <f>HYPERLINK("https://maps.google.com/?q=17.0614065201765,-96.820512462642398", "🔗 Ver Mapa")</f>
        <v>🔗 Ver Mapa</v>
      </c>
    </row>
    <row r="8442" spans="1:12" ht="43.5" x14ac:dyDescent="0.35">
      <c r="A8442" s="6" t="s">
        <v>98</v>
      </c>
      <c r="B8442" s="6" t="s">
        <v>99</v>
      </c>
      <c r="C8442" s="6" t="s">
        <v>688</v>
      </c>
      <c r="D8442" s="6" t="s">
        <v>14</v>
      </c>
      <c r="E8442" s="6" t="s">
        <v>52</v>
      </c>
      <c r="F8442" s="6" t="s">
        <v>70</v>
      </c>
      <c r="G8442" s="6" t="s">
        <v>689</v>
      </c>
      <c r="H8442" s="6" t="s">
        <v>690</v>
      </c>
      <c r="I8442" s="6" t="s">
        <v>31</v>
      </c>
      <c r="J8442" s="6">
        <v>17.061548837686999</v>
      </c>
      <c r="K8442" s="6">
        <v>-96.820801470985998</v>
      </c>
      <c r="L8442" s="6" t="str">
        <f>HYPERLINK("https://maps.google.com/?q=17.0615488376868,-96.8208014709856", "🔗 Ver Mapa")</f>
        <v>🔗 Ver Mapa</v>
      </c>
    </row>
    <row r="8443" spans="1:12" ht="43.5" x14ac:dyDescent="0.35">
      <c r="A8443" s="5" t="s">
        <v>98</v>
      </c>
      <c r="B8443" s="5" t="s">
        <v>99</v>
      </c>
      <c r="C8443" s="5" t="s">
        <v>688</v>
      </c>
      <c r="D8443" s="5" t="s">
        <v>14</v>
      </c>
      <c r="E8443" s="5" t="s">
        <v>52</v>
      </c>
      <c r="F8443" s="5" t="s">
        <v>70</v>
      </c>
      <c r="G8443" s="5" t="s">
        <v>689</v>
      </c>
      <c r="H8443" s="5" t="s">
        <v>690</v>
      </c>
      <c r="I8443" s="5" t="s">
        <v>31</v>
      </c>
      <c r="J8443" s="5">
        <v>17.062777878529999</v>
      </c>
      <c r="K8443" s="5">
        <v>-96.823466990493003</v>
      </c>
      <c r="L8443" s="5" t="str">
        <f>HYPERLINK("https://maps.google.com/?q=17.06277787853,-96.823466990492804", "🔗 Ver Mapa")</f>
        <v>🔗 Ver Mapa</v>
      </c>
    </row>
    <row r="8444" spans="1:12" ht="43.5" x14ac:dyDescent="0.35">
      <c r="A8444" s="6" t="s">
        <v>98</v>
      </c>
      <c r="B8444" s="6" t="s">
        <v>99</v>
      </c>
      <c r="C8444" s="6" t="s">
        <v>1507</v>
      </c>
      <c r="D8444" s="6" t="s">
        <v>14</v>
      </c>
      <c r="E8444" s="6" t="s">
        <v>52</v>
      </c>
      <c r="F8444" s="6" t="s">
        <v>228</v>
      </c>
      <c r="G8444" s="6" t="s">
        <v>1508</v>
      </c>
      <c r="H8444" s="6" t="s">
        <v>1509</v>
      </c>
      <c r="I8444" s="6" t="s">
        <v>31</v>
      </c>
      <c r="J8444" s="6">
        <v>16.772387138839001</v>
      </c>
      <c r="K8444" s="6">
        <v>-96.660190046626994</v>
      </c>
      <c r="L8444" s="6" t="str">
        <f>HYPERLINK("https://maps.google.com/?q=16.7723871388388,-96.660190046626994", "🔗 Ver Mapa")</f>
        <v>🔗 Ver Mapa</v>
      </c>
    </row>
    <row r="8445" spans="1:12" ht="43.5" x14ac:dyDescent="0.35">
      <c r="A8445" s="5" t="s">
        <v>98</v>
      </c>
      <c r="B8445" s="5" t="s">
        <v>99</v>
      </c>
      <c r="C8445" s="5" t="s">
        <v>1507</v>
      </c>
      <c r="D8445" s="5" t="s">
        <v>14</v>
      </c>
      <c r="E8445" s="5" t="s">
        <v>52</v>
      </c>
      <c r="F8445" s="5" t="s">
        <v>228</v>
      </c>
      <c r="G8445" s="5" t="s">
        <v>1508</v>
      </c>
      <c r="H8445" s="5" t="s">
        <v>1509</v>
      </c>
      <c r="I8445" s="5" t="s">
        <v>31</v>
      </c>
      <c r="J8445" s="5">
        <v>16.773016999999999</v>
      </c>
      <c r="K8445" s="5">
        <v>-96.660683000000006</v>
      </c>
      <c r="L8445" s="5" t="str">
        <f>HYPERLINK("https://maps.google.com/?q=16.773017,-96.660683000000006", "🔗 Ver Mapa")</f>
        <v>🔗 Ver Mapa</v>
      </c>
    </row>
    <row r="8446" spans="1:12" ht="43.5" x14ac:dyDescent="0.35">
      <c r="A8446" s="6" t="s">
        <v>98</v>
      </c>
      <c r="B8446" s="6" t="s">
        <v>99</v>
      </c>
      <c r="C8446" s="6" t="s">
        <v>1507</v>
      </c>
      <c r="D8446" s="6" t="s">
        <v>14</v>
      </c>
      <c r="E8446" s="6" t="s">
        <v>52</v>
      </c>
      <c r="F8446" s="6" t="s">
        <v>228</v>
      </c>
      <c r="G8446" s="6" t="s">
        <v>1508</v>
      </c>
      <c r="H8446" s="6" t="s">
        <v>1509</v>
      </c>
      <c r="I8446" s="6" t="s">
        <v>31</v>
      </c>
      <c r="J8446" s="6">
        <v>16.773028897660001</v>
      </c>
      <c r="K8446" s="6">
        <v>-96.661187373016006</v>
      </c>
      <c r="L8446" s="6" t="str">
        <f>HYPERLINK("https://maps.google.com/?q=16.7730288976599,-96.661187373016304", "🔗 Ver Mapa")</f>
        <v>🔗 Ver Mapa</v>
      </c>
    </row>
    <row r="8447" spans="1:12" ht="43.5" x14ac:dyDescent="0.35">
      <c r="A8447" s="5" t="s">
        <v>98</v>
      </c>
      <c r="B8447" s="5" t="s">
        <v>99</v>
      </c>
      <c r="C8447" s="5" t="s">
        <v>1507</v>
      </c>
      <c r="D8447" s="5" t="s">
        <v>14</v>
      </c>
      <c r="E8447" s="5" t="s">
        <v>52</v>
      </c>
      <c r="F8447" s="5" t="s">
        <v>228</v>
      </c>
      <c r="G8447" s="5" t="s">
        <v>1508</v>
      </c>
      <c r="H8447" s="5" t="s">
        <v>1509</v>
      </c>
      <c r="I8447" s="5" t="s">
        <v>31</v>
      </c>
      <c r="J8447" s="5">
        <v>16.773144656325002</v>
      </c>
      <c r="K8447" s="5">
        <v>-96.660752371862003</v>
      </c>
      <c r="L8447" s="5" t="str">
        <f>HYPERLINK("https://maps.google.com/?q=16.7731446563247,-96.660752371862301", "🔗 Ver Mapa")</f>
        <v>🔗 Ver Mapa</v>
      </c>
    </row>
    <row r="8448" spans="1:12" ht="43.5" x14ac:dyDescent="0.35">
      <c r="A8448" s="6" t="s">
        <v>98</v>
      </c>
      <c r="B8448" s="6" t="s">
        <v>99</v>
      </c>
      <c r="C8448" s="6" t="s">
        <v>1507</v>
      </c>
      <c r="D8448" s="6" t="s">
        <v>14</v>
      </c>
      <c r="E8448" s="6" t="s">
        <v>52</v>
      </c>
      <c r="F8448" s="6" t="s">
        <v>228</v>
      </c>
      <c r="G8448" s="6" t="s">
        <v>1508</v>
      </c>
      <c r="H8448" s="6" t="s">
        <v>1509</v>
      </c>
      <c r="I8448" s="6" t="s">
        <v>31</v>
      </c>
      <c r="J8448" s="6">
        <v>16.773336570722002</v>
      </c>
      <c r="K8448" s="6">
        <v>-96.662350752150004</v>
      </c>
      <c r="L8448" s="6" t="str">
        <f>HYPERLINK("https://maps.google.com/?q=16.7733365707218,-96.662350752149607", "🔗 Ver Mapa")</f>
        <v>🔗 Ver Mapa</v>
      </c>
    </row>
    <row r="8449" spans="1:12" ht="43.5" x14ac:dyDescent="0.35">
      <c r="A8449" s="5" t="s">
        <v>98</v>
      </c>
      <c r="B8449" s="5" t="s">
        <v>99</v>
      </c>
      <c r="C8449" s="5" t="s">
        <v>1507</v>
      </c>
      <c r="D8449" s="5" t="s">
        <v>14</v>
      </c>
      <c r="E8449" s="5" t="s">
        <v>52</v>
      </c>
      <c r="F8449" s="5" t="s">
        <v>228</v>
      </c>
      <c r="G8449" s="5" t="s">
        <v>1508</v>
      </c>
      <c r="H8449" s="5" t="s">
        <v>1509</v>
      </c>
      <c r="I8449" s="5" t="s">
        <v>31</v>
      </c>
      <c r="J8449" s="5">
        <v>16.773969000000001</v>
      </c>
      <c r="K8449" s="5">
        <v>-96.661045999999999</v>
      </c>
      <c r="L8449" s="5" t="str">
        <f>HYPERLINK("https://maps.google.com/?q=16.773969,-96.661045999999999", "🔗 Ver Mapa")</f>
        <v>🔗 Ver Mapa</v>
      </c>
    </row>
    <row r="8450" spans="1:12" ht="43.5" x14ac:dyDescent="0.35">
      <c r="A8450" s="6" t="s">
        <v>98</v>
      </c>
      <c r="B8450" s="6" t="s">
        <v>99</v>
      </c>
      <c r="C8450" s="6" t="s">
        <v>1510</v>
      </c>
      <c r="D8450" s="6" t="s">
        <v>14</v>
      </c>
      <c r="E8450" s="6" t="s">
        <v>16</v>
      </c>
      <c r="F8450" s="6" t="s">
        <v>21</v>
      </c>
      <c r="G8450" s="6" t="s">
        <v>1511</v>
      </c>
      <c r="H8450" s="6" t="s">
        <v>29</v>
      </c>
      <c r="I8450" s="6" t="s">
        <v>31</v>
      </c>
      <c r="J8450" s="6">
        <v>17.145041573452001</v>
      </c>
      <c r="K8450" s="6">
        <v>-97.540872242058995</v>
      </c>
      <c r="L8450" s="6" t="str">
        <f>HYPERLINK("https://maps.google.com/?q=17.1450415734515,-97.540872242058796", "🔗 Ver Mapa")</f>
        <v>🔗 Ver Mapa</v>
      </c>
    </row>
    <row r="8451" spans="1:12" ht="43.5" x14ac:dyDescent="0.35">
      <c r="A8451" s="5" t="s">
        <v>98</v>
      </c>
      <c r="B8451" s="5" t="s">
        <v>99</v>
      </c>
      <c r="C8451" s="5" t="s">
        <v>1510</v>
      </c>
      <c r="D8451" s="5" t="s">
        <v>14</v>
      </c>
      <c r="E8451" s="5" t="s">
        <v>16</v>
      </c>
      <c r="F8451" s="5" t="s">
        <v>21</v>
      </c>
      <c r="G8451" s="5" t="s">
        <v>1511</v>
      </c>
      <c r="H8451" s="5" t="s">
        <v>29</v>
      </c>
      <c r="I8451" s="5" t="s">
        <v>31</v>
      </c>
      <c r="J8451" s="5">
        <v>17.147817957011998</v>
      </c>
      <c r="K8451" s="5">
        <v>-97.540448335934002</v>
      </c>
      <c r="L8451" s="5" t="str">
        <f>HYPERLINK("https://maps.google.com/?q=17.1478179570125,-97.540448335934002", "🔗 Ver Mapa")</f>
        <v>🔗 Ver Mapa</v>
      </c>
    </row>
    <row r="8452" spans="1:12" ht="43.5" x14ac:dyDescent="0.35">
      <c r="A8452" s="6" t="s">
        <v>98</v>
      </c>
      <c r="B8452" s="6" t="s">
        <v>99</v>
      </c>
      <c r="C8452" s="6" t="s">
        <v>1510</v>
      </c>
      <c r="D8452" s="6" t="s">
        <v>14</v>
      </c>
      <c r="E8452" s="6" t="s">
        <v>16</v>
      </c>
      <c r="F8452" s="6" t="s">
        <v>21</v>
      </c>
      <c r="G8452" s="6" t="s">
        <v>1511</v>
      </c>
      <c r="H8452" s="6" t="s">
        <v>29</v>
      </c>
      <c r="I8452" s="6" t="s">
        <v>31</v>
      </c>
      <c r="J8452" s="6">
        <v>17.148707308087001</v>
      </c>
      <c r="K8452" s="6">
        <v>-97.538629798222004</v>
      </c>
      <c r="L8452" s="6" t="str">
        <f>HYPERLINK("https://maps.google.com/?q=17.1487073080865,-97.538629798222004", "🔗 Ver Mapa")</f>
        <v>🔗 Ver Mapa</v>
      </c>
    </row>
    <row r="8453" spans="1:12" ht="43.5" x14ac:dyDescent="0.35">
      <c r="A8453" s="5" t="s">
        <v>98</v>
      </c>
      <c r="B8453" s="5" t="s">
        <v>99</v>
      </c>
      <c r="C8453" s="5" t="s">
        <v>1510</v>
      </c>
      <c r="D8453" s="5" t="s">
        <v>14</v>
      </c>
      <c r="E8453" s="5" t="s">
        <v>16</v>
      </c>
      <c r="F8453" s="5" t="s">
        <v>21</v>
      </c>
      <c r="G8453" s="5" t="s">
        <v>1511</v>
      </c>
      <c r="H8453" s="5" t="s">
        <v>29</v>
      </c>
      <c r="I8453" s="5" t="s">
        <v>31</v>
      </c>
      <c r="J8453" s="5">
        <v>17.149663285645001</v>
      </c>
      <c r="K8453" s="5">
        <v>-97.537106297790999</v>
      </c>
      <c r="L8453" s="5" t="str">
        <f>HYPERLINK("https://maps.google.com/?q=17.1496632856447,-97.537106297791496", "🔗 Ver Mapa")</f>
        <v>🔗 Ver Mapa</v>
      </c>
    </row>
    <row r="8454" spans="1:12" ht="43.5" x14ac:dyDescent="0.35">
      <c r="A8454" s="6" t="s">
        <v>98</v>
      </c>
      <c r="B8454" s="6" t="s">
        <v>99</v>
      </c>
      <c r="C8454" s="6" t="s">
        <v>1510</v>
      </c>
      <c r="D8454" s="6" t="s">
        <v>14</v>
      </c>
      <c r="E8454" s="6" t="s">
        <v>16</v>
      </c>
      <c r="F8454" s="6" t="s">
        <v>21</v>
      </c>
      <c r="G8454" s="6" t="s">
        <v>1511</v>
      </c>
      <c r="H8454" s="6" t="s">
        <v>29</v>
      </c>
      <c r="I8454" s="6" t="s">
        <v>31</v>
      </c>
      <c r="J8454" s="6">
        <v>17.149928262692999</v>
      </c>
      <c r="K8454" s="6">
        <v>-97.535742927792001</v>
      </c>
      <c r="L8454" s="6" t="str">
        <f>HYPERLINK("https://maps.google.com/?q=17.1499282626928,-97.535742927791603", "🔗 Ver Mapa")</f>
        <v>🔗 Ver Mapa</v>
      </c>
    </row>
    <row r="8455" spans="1:12" ht="43.5" x14ac:dyDescent="0.35">
      <c r="A8455" s="5" t="s">
        <v>98</v>
      </c>
      <c r="B8455" s="5" t="s">
        <v>99</v>
      </c>
      <c r="C8455" s="5" t="s">
        <v>1510</v>
      </c>
      <c r="D8455" s="5" t="s">
        <v>14</v>
      </c>
      <c r="E8455" s="5" t="s">
        <v>16</v>
      </c>
      <c r="F8455" s="5" t="s">
        <v>21</v>
      </c>
      <c r="G8455" s="5" t="s">
        <v>1511</v>
      </c>
      <c r="H8455" s="5" t="s">
        <v>29</v>
      </c>
      <c r="I8455" s="5" t="s">
        <v>31</v>
      </c>
      <c r="J8455" s="5">
        <v>17.150455722693</v>
      </c>
      <c r="K8455" s="5">
        <v>-97.535634077791002</v>
      </c>
      <c r="L8455" s="5" t="str">
        <f>HYPERLINK("https://maps.google.com/?q=17.1504557226928,-97.5356340777914", "🔗 Ver Mapa")</f>
        <v>🔗 Ver Mapa</v>
      </c>
    </row>
    <row r="8456" spans="1:12" ht="43.5" x14ac:dyDescent="0.35">
      <c r="A8456" s="6" t="s">
        <v>98</v>
      </c>
      <c r="B8456" s="6" t="s">
        <v>99</v>
      </c>
      <c r="C8456" s="6" t="s">
        <v>1512</v>
      </c>
      <c r="D8456" s="6" t="s">
        <v>14</v>
      </c>
      <c r="E8456" s="6" t="s">
        <v>16</v>
      </c>
      <c r="F8456" s="6" t="s">
        <v>21</v>
      </c>
      <c r="G8456" s="6" t="s">
        <v>1511</v>
      </c>
      <c r="H8456" s="6" t="s">
        <v>1513</v>
      </c>
      <c r="I8456" s="6" t="s">
        <v>31</v>
      </c>
      <c r="J8456" s="6">
        <v>17.148936019731</v>
      </c>
      <c r="K8456" s="6">
        <v>-97.532303895523</v>
      </c>
      <c r="L8456" s="6" t="str">
        <f>HYPERLINK("https://maps.google.com/?q=17.1489360197306,-97.532303895522901", "🔗 Ver Mapa")</f>
        <v>🔗 Ver Mapa</v>
      </c>
    </row>
    <row r="8457" spans="1:12" ht="43.5" x14ac:dyDescent="0.35">
      <c r="A8457" s="5" t="s">
        <v>98</v>
      </c>
      <c r="B8457" s="5" t="s">
        <v>99</v>
      </c>
      <c r="C8457" s="5" t="s">
        <v>1512</v>
      </c>
      <c r="D8457" s="5" t="s">
        <v>14</v>
      </c>
      <c r="E8457" s="5" t="s">
        <v>16</v>
      </c>
      <c r="F8457" s="5" t="s">
        <v>21</v>
      </c>
      <c r="G8457" s="5" t="s">
        <v>1511</v>
      </c>
      <c r="H8457" s="5" t="s">
        <v>1513</v>
      </c>
      <c r="I8457" s="5" t="s">
        <v>31</v>
      </c>
      <c r="J8457" s="5">
        <v>17.148968402691999</v>
      </c>
      <c r="K8457" s="5">
        <v>-97.531262140001004</v>
      </c>
      <c r="L8457" s="5" t="str">
        <f>HYPERLINK("https://maps.google.com/?q=17.1489684026925,-97.531262140000507", "🔗 Ver Mapa")</f>
        <v>🔗 Ver Mapa</v>
      </c>
    </row>
    <row r="8458" spans="1:12" ht="43.5" x14ac:dyDescent="0.35">
      <c r="A8458" s="6" t="s">
        <v>98</v>
      </c>
      <c r="B8458" s="6" t="s">
        <v>99</v>
      </c>
      <c r="C8458" s="6" t="s">
        <v>1512</v>
      </c>
      <c r="D8458" s="6" t="s">
        <v>14</v>
      </c>
      <c r="E8458" s="6" t="s">
        <v>16</v>
      </c>
      <c r="F8458" s="6" t="s">
        <v>21</v>
      </c>
      <c r="G8458" s="6" t="s">
        <v>1511</v>
      </c>
      <c r="H8458" s="6" t="s">
        <v>1513</v>
      </c>
      <c r="I8458" s="6" t="s">
        <v>31</v>
      </c>
      <c r="J8458" s="6">
        <v>17.150146954288001</v>
      </c>
      <c r="K8458" s="6">
        <v>-97.532765949118001</v>
      </c>
      <c r="L8458" s="6" t="str">
        <f>HYPERLINK("https://maps.google.com/?q=17.1501469542875,-97.5327659491183", "🔗 Ver Mapa")</f>
        <v>🔗 Ver Mapa</v>
      </c>
    </row>
    <row r="8459" spans="1:12" ht="43.5" x14ac:dyDescent="0.35">
      <c r="A8459" s="5" t="s">
        <v>98</v>
      </c>
      <c r="B8459" s="5" t="s">
        <v>99</v>
      </c>
      <c r="C8459" s="5" t="s">
        <v>1512</v>
      </c>
      <c r="D8459" s="5" t="s">
        <v>14</v>
      </c>
      <c r="E8459" s="5" t="s">
        <v>16</v>
      </c>
      <c r="F8459" s="5" t="s">
        <v>21</v>
      </c>
      <c r="G8459" s="5" t="s">
        <v>1511</v>
      </c>
      <c r="H8459" s="5" t="s">
        <v>1513</v>
      </c>
      <c r="I8459" s="5" t="s">
        <v>31</v>
      </c>
      <c r="J8459" s="5">
        <v>17.150553827561001</v>
      </c>
      <c r="K8459" s="5">
        <v>-97.52676050993</v>
      </c>
      <c r="L8459" s="5" t="str">
        <f>HYPERLINK("https://maps.google.com/?q=17.1505538275611,-97.526760509930199", "🔗 Ver Mapa")</f>
        <v>🔗 Ver Mapa</v>
      </c>
    </row>
    <row r="8460" spans="1:12" ht="43.5" x14ac:dyDescent="0.35">
      <c r="A8460" s="6" t="s">
        <v>98</v>
      </c>
      <c r="B8460" s="6" t="s">
        <v>99</v>
      </c>
      <c r="C8460" s="6" t="s">
        <v>1512</v>
      </c>
      <c r="D8460" s="6" t="s">
        <v>14</v>
      </c>
      <c r="E8460" s="6" t="s">
        <v>16</v>
      </c>
      <c r="F8460" s="6" t="s">
        <v>21</v>
      </c>
      <c r="G8460" s="6" t="s">
        <v>1511</v>
      </c>
      <c r="H8460" s="6" t="s">
        <v>1513</v>
      </c>
      <c r="I8460" s="6" t="s">
        <v>31</v>
      </c>
      <c r="J8460" s="6">
        <v>17.150843749757001</v>
      </c>
      <c r="K8460" s="6">
        <v>-97.530168639999999</v>
      </c>
      <c r="L8460" s="6" t="str">
        <f>HYPERLINK("https://maps.google.com/?q=17.1508437497572,-97.530168640000298", "🔗 Ver Mapa")</f>
        <v>🔗 Ver Mapa</v>
      </c>
    </row>
    <row r="8461" spans="1:12" ht="43.5" x14ac:dyDescent="0.35">
      <c r="A8461" s="5" t="s">
        <v>98</v>
      </c>
      <c r="B8461" s="5" t="s">
        <v>99</v>
      </c>
      <c r="C8461" s="5" t="s">
        <v>1512</v>
      </c>
      <c r="D8461" s="5" t="s">
        <v>14</v>
      </c>
      <c r="E8461" s="5" t="s">
        <v>16</v>
      </c>
      <c r="F8461" s="5" t="s">
        <v>21</v>
      </c>
      <c r="G8461" s="5" t="s">
        <v>1511</v>
      </c>
      <c r="H8461" s="5" t="s">
        <v>1513</v>
      </c>
      <c r="I8461" s="5" t="s">
        <v>31</v>
      </c>
      <c r="J8461" s="5">
        <v>17.150956614159998</v>
      </c>
      <c r="K8461" s="5">
        <v>-97.529552457790999</v>
      </c>
      <c r="L8461" s="5" t="str">
        <f>HYPERLINK("https://maps.google.com/?q=17.1509566141602,-97.529552457791297", "🔗 Ver Mapa")</f>
        <v>🔗 Ver Mapa</v>
      </c>
    </row>
    <row r="8462" spans="1:12" ht="43.5" x14ac:dyDescent="0.35">
      <c r="A8462" s="6" t="s">
        <v>98</v>
      </c>
      <c r="B8462" s="6" t="s">
        <v>99</v>
      </c>
      <c r="C8462" s="6" t="s">
        <v>1512</v>
      </c>
      <c r="D8462" s="6" t="s">
        <v>14</v>
      </c>
      <c r="E8462" s="6" t="s">
        <v>16</v>
      </c>
      <c r="F8462" s="6" t="s">
        <v>21</v>
      </c>
      <c r="G8462" s="6" t="s">
        <v>1511</v>
      </c>
      <c r="H8462" s="6" t="s">
        <v>1513</v>
      </c>
      <c r="I8462" s="6" t="s">
        <v>31</v>
      </c>
      <c r="J8462" s="6">
        <v>17.151058055360998</v>
      </c>
      <c r="K8462" s="6">
        <v>-97.528717038836007</v>
      </c>
      <c r="L8462" s="6" t="str">
        <f>HYPERLINK("https://maps.google.com/?q=17.1510580553612,-97.528717038836405", "🔗 Ver Mapa")</f>
        <v>🔗 Ver Mapa</v>
      </c>
    </row>
    <row r="8463" spans="1:12" ht="43.5" x14ac:dyDescent="0.35">
      <c r="A8463" s="5" t="s">
        <v>98</v>
      </c>
      <c r="B8463" s="5" t="s">
        <v>99</v>
      </c>
      <c r="C8463" s="5" t="s">
        <v>1512</v>
      </c>
      <c r="D8463" s="5" t="s">
        <v>14</v>
      </c>
      <c r="E8463" s="5" t="s">
        <v>16</v>
      </c>
      <c r="F8463" s="5" t="s">
        <v>21</v>
      </c>
      <c r="G8463" s="5" t="s">
        <v>1511</v>
      </c>
      <c r="H8463" s="5" t="s">
        <v>1513</v>
      </c>
      <c r="I8463" s="5" t="s">
        <v>31</v>
      </c>
      <c r="J8463" s="5">
        <v>17.151881425614999</v>
      </c>
      <c r="K8463" s="5">
        <v>-97.529901376686993</v>
      </c>
      <c r="L8463" s="5" t="str">
        <f>HYPERLINK("https://maps.google.com/?q=17.1518814256147,-97.529901376686894", "🔗 Ver Mapa")</f>
        <v>🔗 Ver Mapa</v>
      </c>
    </row>
    <row r="8464" spans="1:12" ht="43.5" x14ac:dyDescent="0.35">
      <c r="A8464" s="6" t="s">
        <v>98</v>
      </c>
      <c r="B8464" s="6" t="s">
        <v>99</v>
      </c>
      <c r="C8464" s="6" t="s">
        <v>1512</v>
      </c>
      <c r="D8464" s="6" t="s">
        <v>14</v>
      </c>
      <c r="E8464" s="6" t="s">
        <v>16</v>
      </c>
      <c r="F8464" s="6" t="s">
        <v>21</v>
      </c>
      <c r="G8464" s="6" t="s">
        <v>1511</v>
      </c>
      <c r="H8464" s="6" t="s">
        <v>1513</v>
      </c>
      <c r="I8464" s="6" t="s">
        <v>31</v>
      </c>
      <c r="J8464" s="6">
        <v>17.152741059783999</v>
      </c>
      <c r="K8464" s="6">
        <v>-97.528294448896006</v>
      </c>
      <c r="L8464" s="6" t="str">
        <f>HYPERLINK("https://maps.google.com/?q=17.1527410597837,-97.528294448896105", "🔗 Ver Mapa")</f>
        <v>🔗 Ver Mapa</v>
      </c>
    </row>
    <row r="8465" spans="1:12" ht="43.5" x14ac:dyDescent="0.35">
      <c r="A8465" s="5" t="s">
        <v>98</v>
      </c>
      <c r="B8465" s="5" t="s">
        <v>99</v>
      </c>
      <c r="C8465" s="5" t="s">
        <v>1512</v>
      </c>
      <c r="D8465" s="5" t="s">
        <v>14</v>
      </c>
      <c r="E8465" s="5" t="s">
        <v>16</v>
      </c>
      <c r="F8465" s="5" t="s">
        <v>21</v>
      </c>
      <c r="G8465" s="5" t="s">
        <v>1511</v>
      </c>
      <c r="H8465" s="5" t="s">
        <v>1513</v>
      </c>
      <c r="I8465" s="5" t="s">
        <v>31</v>
      </c>
      <c r="J8465" s="5">
        <v>17.153752281246</v>
      </c>
      <c r="K8465" s="5">
        <v>-97.524920783314002</v>
      </c>
      <c r="L8465" s="5" t="str">
        <f>HYPERLINK("https://maps.google.com/?q=17.1537522812456,-97.524920783314002", "🔗 Ver Mapa")</f>
        <v>🔗 Ver Mapa</v>
      </c>
    </row>
    <row r="8466" spans="1:12" ht="43.5" x14ac:dyDescent="0.35">
      <c r="A8466" s="6" t="s">
        <v>98</v>
      </c>
      <c r="B8466" s="6" t="s">
        <v>99</v>
      </c>
      <c r="C8466" s="6" t="s">
        <v>1512</v>
      </c>
      <c r="D8466" s="6" t="s">
        <v>14</v>
      </c>
      <c r="E8466" s="6" t="s">
        <v>16</v>
      </c>
      <c r="F8466" s="6" t="s">
        <v>21</v>
      </c>
      <c r="G8466" s="6" t="s">
        <v>1511</v>
      </c>
      <c r="H8466" s="6" t="s">
        <v>1513</v>
      </c>
      <c r="I8466" s="6" t="s">
        <v>31</v>
      </c>
      <c r="J8466" s="6">
        <v>17.154155780477002</v>
      </c>
      <c r="K8466" s="6">
        <v>-97.532351290031002</v>
      </c>
      <c r="L8466" s="6" t="str">
        <f>HYPERLINK("https://maps.google.com/?q=17.1541557804774,-97.532351290031102", "🔗 Ver Mapa")</f>
        <v>🔗 Ver Mapa</v>
      </c>
    </row>
    <row r="8467" spans="1:12" ht="43.5" x14ac:dyDescent="0.35">
      <c r="A8467" s="5" t="s">
        <v>98</v>
      </c>
      <c r="B8467" s="5" t="s">
        <v>99</v>
      </c>
      <c r="C8467" s="5" t="s">
        <v>1512</v>
      </c>
      <c r="D8467" s="5" t="s">
        <v>14</v>
      </c>
      <c r="E8467" s="5" t="s">
        <v>16</v>
      </c>
      <c r="F8467" s="5" t="s">
        <v>21</v>
      </c>
      <c r="G8467" s="5" t="s">
        <v>1511</v>
      </c>
      <c r="H8467" s="5" t="s">
        <v>1513</v>
      </c>
      <c r="I8467" s="5" t="s">
        <v>31</v>
      </c>
      <c r="J8467" s="5">
        <v>17.154158140058001</v>
      </c>
      <c r="K8467" s="5">
        <v>-97.533030226508998</v>
      </c>
      <c r="L8467" s="5" t="str">
        <f>HYPERLINK("https://maps.google.com/?q=17.1541581400579,-97.533030226508501", "🔗 Ver Mapa")</f>
        <v>🔗 Ver Mapa</v>
      </c>
    </row>
    <row r="8468" spans="1:12" ht="43.5" x14ac:dyDescent="0.35">
      <c r="A8468" s="6" t="s">
        <v>98</v>
      </c>
      <c r="B8468" s="6" t="s">
        <v>99</v>
      </c>
      <c r="C8468" s="6" t="s">
        <v>1512</v>
      </c>
      <c r="D8468" s="6" t="s">
        <v>14</v>
      </c>
      <c r="E8468" s="6" t="s">
        <v>16</v>
      </c>
      <c r="F8468" s="6" t="s">
        <v>21</v>
      </c>
      <c r="G8468" s="6" t="s">
        <v>1511</v>
      </c>
      <c r="H8468" s="6" t="s">
        <v>1513</v>
      </c>
      <c r="I8468" s="6" t="s">
        <v>31</v>
      </c>
      <c r="J8468" s="6">
        <v>17.154513667021</v>
      </c>
      <c r="K8468" s="6">
        <v>-97.532237735522997</v>
      </c>
      <c r="L8468" s="6" t="str">
        <f>HYPERLINK("https://maps.google.com/?q=17.1545136670212,-97.532237735522898", "🔗 Ver Mapa")</f>
        <v>🔗 Ver Mapa</v>
      </c>
    </row>
    <row r="8469" spans="1:12" ht="43.5" x14ac:dyDescent="0.35">
      <c r="A8469" s="5" t="s">
        <v>98</v>
      </c>
      <c r="B8469" s="5" t="s">
        <v>99</v>
      </c>
      <c r="C8469" s="5" t="s">
        <v>1512</v>
      </c>
      <c r="D8469" s="5" t="s">
        <v>14</v>
      </c>
      <c r="E8469" s="5" t="s">
        <v>16</v>
      </c>
      <c r="F8469" s="5" t="s">
        <v>21</v>
      </c>
      <c r="G8469" s="5" t="s">
        <v>1511</v>
      </c>
      <c r="H8469" s="5" t="s">
        <v>1513</v>
      </c>
      <c r="I8469" s="5" t="s">
        <v>31</v>
      </c>
      <c r="J8469" s="5">
        <v>17.158917139869999</v>
      </c>
      <c r="K8469" s="5">
        <v>-97.532424637790996</v>
      </c>
      <c r="L8469" s="5" t="str">
        <f>HYPERLINK("https://maps.google.com/?q=17.15891713987,-97.532424637791394", "🔗 Ver Mapa")</f>
        <v>🔗 Ver Mapa</v>
      </c>
    </row>
    <row r="8470" spans="1:12" ht="43.5" x14ac:dyDescent="0.35">
      <c r="A8470" s="6" t="s">
        <v>98</v>
      </c>
      <c r="B8470" s="6" t="s">
        <v>99</v>
      </c>
      <c r="C8470" s="6" t="s">
        <v>1514</v>
      </c>
      <c r="D8470" s="6" t="s">
        <v>14</v>
      </c>
      <c r="E8470" s="6" t="s">
        <v>16</v>
      </c>
      <c r="F8470" s="6" t="s">
        <v>21</v>
      </c>
      <c r="G8470" s="6" t="s">
        <v>1511</v>
      </c>
      <c r="H8470" s="6" t="s">
        <v>1513</v>
      </c>
      <c r="I8470" s="6" t="s">
        <v>31</v>
      </c>
      <c r="J8470" s="6">
        <v>17.148293535419</v>
      </c>
      <c r="K8470" s="6">
        <v>-97.532695882349998</v>
      </c>
      <c r="L8470" s="6" t="str">
        <f>HYPERLINK("https://maps.google.com/?q=17.1482935354188,-97.532695882350495", "🔗 Ver Mapa")</f>
        <v>🔗 Ver Mapa</v>
      </c>
    </row>
    <row r="8471" spans="1:12" ht="43.5" x14ac:dyDescent="0.35">
      <c r="A8471" s="5" t="s">
        <v>98</v>
      </c>
      <c r="B8471" s="5" t="s">
        <v>99</v>
      </c>
      <c r="C8471" s="5" t="s">
        <v>1514</v>
      </c>
      <c r="D8471" s="5" t="s">
        <v>14</v>
      </c>
      <c r="E8471" s="5" t="s">
        <v>16</v>
      </c>
      <c r="F8471" s="5" t="s">
        <v>21</v>
      </c>
      <c r="G8471" s="5" t="s">
        <v>1511</v>
      </c>
      <c r="H8471" s="5" t="s">
        <v>1513</v>
      </c>
      <c r="I8471" s="5" t="s">
        <v>31</v>
      </c>
      <c r="J8471" s="5">
        <v>17.148384332298999</v>
      </c>
      <c r="K8471" s="5">
        <v>-97.527612662463</v>
      </c>
      <c r="L8471" s="5" t="str">
        <f>HYPERLINK("https://maps.google.com/?q=17.1483843322989,-97.527612662462701", "🔗 Ver Mapa")</f>
        <v>🔗 Ver Mapa</v>
      </c>
    </row>
    <row r="8472" spans="1:12" ht="43.5" x14ac:dyDescent="0.35">
      <c r="A8472" s="6" t="s">
        <v>98</v>
      </c>
      <c r="B8472" s="6" t="s">
        <v>99</v>
      </c>
      <c r="C8472" s="6" t="s">
        <v>1514</v>
      </c>
      <c r="D8472" s="6" t="s">
        <v>14</v>
      </c>
      <c r="E8472" s="6" t="s">
        <v>16</v>
      </c>
      <c r="F8472" s="6" t="s">
        <v>21</v>
      </c>
      <c r="G8472" s="6" t="s">
        <v>1511</v>
      </c>
      <c r="H8472" s="6" t="s">
        <v>1513</v>
      </c>
      <c r="I8472" s="6" t="s">
        <v>31</v>
      </c>
      <c r="J8472" s="6">
        <v>17.148522131208999</v>
      </c>
      <c r="K8472" s="6">
        <v>-97.532214054600004</v>
      </c>
      <c r="L8472" s="6" t="str">
        <f>HYPERLINK("https://maps.google.com/?q=17.1485221312089,-97.532214054599507", "🔗 Ver Mapa")</f>
        <v>🔗 Ver Mapa</v>
      </c>
    </row>
    <row r="8473" spans="1:12" ht="43.5" x14ac:dyDescent="0.35">
      <c r="A8473" s="5" t="s">
        <v>98</v>
      </c>
      <c r="B8473" s="5" t="s">
        <v>99</v>
      </c>
      <c r="C8473" s="5" t="s">
        <v>1514</v>
      </c>
      <c r="D8473" s="5" t="s">
        <v>14</v>
      </c>
      <c r="E8473" s="5" t="s">
        <v>16</v>
      </c>
      <c r="F8473" s="5" t="s">
        <v>21</v>
      </c>
      <c r="G8473" s="5" t="s">
        <v>1511</v>
      </c>
      <c r="H8473" s="5" t="s">
        <v>1513</v>
      </c>
      <c r="I8473" s="5" t="s">
        <v>31</v>
      </c>
      <c r="J8473" s="5">
        <v>17.148695405279</v>
      </c>
      <c r="K8473" s="5">
        <v>-97.528562126685998</v>
      </c>
      <c r="L8473" s="5" t="str">
        <f>HYPERLINK("https://maps.google.com/?q=17.1486954052793,-97.528562126686296", "🔗 Ver Mapa")</f>
        <v>🔗 Ver Mapa</v>
      </c>
    </row>
    <row r="8474" spans="1:12" ht="43.5" x14ac:dyDescent="0.35">
      <c r="A8474" s="6" t="s">
        <v>98</v>
      </c>
      <c r="B8474" s="6" t="s">
        <v>99</v>
      </c>
      <c r="C8474" s="6" t="s">
        <v>1514</v>
      </c>
      <c r="D8474" s="6" t="s">
        <v>14</v>
      </c>
      <c r="E8474" s="6" t="s">
        <v>16</v>
      </c>
      <c r="F8474" s="6" t="s">
        <v>21</v>
      </c>
      <c r="G8474" s="6" t="s">
        <v>1511</v>
      </c>
      <c r="H8474" s="6" t="s">
        <v>1513</v>
      </c>
      <c r="I8474" s="6" t="s">
        <v>31</v>
      </c>
      <c r="J8474" s="6">
        <v>17.149298470007999</v>
      </c>
      <c r="K8474" s="6">
        <v>-97.532624477243999</v>
      </c>
      <c r="L8474" s="6" t="str">
        <f>HYPERLINK("https://maps.google.com/?q=17.1492984700083,-97.532624477243601", "🔗 Ver Mapa")</f>
        <v>🔗 Ver Mapa</v>
      </c>
    </row>
    <row r="8475" spans="1:12" ht="43.5" x14ac:dyDescent="0.35">
      <c r="A8475" s="5" t="s">
        <v>98</v>
      </c>
      <c r="B8475" s="5" t="s">
        <v>99</v>
      </c>
      <c r="C8475" s="5" t="s">
        <v>1514</v>
      </c>
      <c r="D8475" s="5" t="s">
        <v>14</v>
      </c>
      <c r="E8475" s="5" t="s">
        <v>16</v>
      </c>
      <c r="F8475" s="5" t="s">
        <v>21</v>
      </c>
      <c r="G8475" s="5" t="s">
        <v>1511</v>
      </c>
      <c r="H8475" s="5" t="s">
        <v>1513</v>
      </c>
      <c r="I8475" s="5" t="s">
        <v>31</v>
      </c>
      <c r="J8475" s="5">
        <v>17.150251633429001</v>
      </c>
      <c r="K8475" s="5">
        <v>-97.534105319448003</v>
      </c>
      <c r="L8475" s="5" t="str">
        <f>HYPERLINK("https://maps.google.com/?q=17.1502516334292,-97.534105319447605", "🔗 Ver Mapa")</f>
        <v>🔗 Ver Mapa</v>
      </c>
    </row>
    <row r="8476" spans="1:12" ht="43.5" x14ac:dyDescent="0.35">
      <c r="A8476" s="6" t="s">
        <v>98</v>
      </c>
      <c r="B8476" s="6" t="s">
        <v>99</v>
      </c>
      <c r="C8476" s="6" t="s">
        <v>1514</v>
      </c>
      <c r="D8476" s="6" t="s">
        <v>14</v>
      </c>
      <c r="E8476" s="6" t="s">
        <v>16</v>
      </c>
      <c r="F8476" s="6" t="s">
        <v>21</v>
      </c>
      <c r="G8476" s="6" t="s">
        <v>1511</v>
      </c>
      <c r="H8476" s="6" t="s">
        <v>1513</v>
      </c>
      <c r="I8476" s="6" t="s">
        <v>31</v>
      </c>
      <c r="J8476" s="6">
        <v>17.150260488581001</v>
      </c>
      <c r="K8476" s="6">
        <v>-97.527943025582005</v>
      </c>
      <c r="L8476" s="6" t="str">
        <f>HYPERLINK("https://maps.google.com/?q=17.1502604885807,-97.527943025581905", "🔗 Ver Mapa")</f>
        <v>🔗 Ver Mapa</v>
      </c>
    </row>
    <row r="8477" spans="1:12" ht="43.5" x14ac:dyDescent="0.35">
      <c r="A8477" s="5" t="s">
        <v>98</v>
      </c>
      <c r="B8477" s="5" t="s">
        <v>99</v>
      </c>
      <c r="C8477" s="5" t="s">
        <v>1514</v>
      </c>
      <c r="D8477" s="5" t="s">
        <v>14</v>
      </c>
      <c r="E8477" s="5" t="s">
        <v>16</v>
      </c>
      <c r="F8477" s="5" t="s">
        <v>21</v>
      </c>
      <c r="G8477" s="5" t="s">
        <v>1511</v>
      </c>
      <c r="H8477" s="5" t="s">
        <v>1513</v>
      </c>
      <c r="I8477" s="5" t="s">
        <v>31</v>
      </c>
      <c r="J8477" s="5">
        <v>17.150375188280002</v>
      </c>
      <c r="K8477" s="5">
        <v>-97.531851680000003</v>
      </c>
      <c r="L8477" s="5" t="str">
        <f>HYPERLINK("https://maps.google.com/?q=17.1503751882797,-97.531851679999704", "🔗 Ver Mapa")</f>
        <v>🔗 Ver Mapa</v>
      </c>
    </row>
    <row r="8478" spans="1:12" ht="43.5" x14ac:dyDescent="0.35">
      <c r="A8478" s="6" t="s">
        <v>98</v>
      </c>
      <c r="B8478" s="6" t="s">
        <v>99</v>
      </c>
      <c r="C8478" s="6" t="s">
        <v>1514</v>
      </c>
      <c r="D8478" s="6" t="s">
        <v>14</v>
      </c>
      <c r="E8478" s="6" t="s">
        <v>16</v>
      </c>
      <c r="F8478" s="6" t="s">
        <v>21</v>
      </c>
      <c r="G8478" s="6" t="s">
        <v>1511</v>
      </c>
      <c r="H8478" s="6" t="s">
        <v>1513</v>
      </c>
      <c r="I8478" s="6" t="s">
        <v>31</v>
      </c>
      <c r="J8478" s="6">
        <v>17.150772111609001</v>
      </c>
      <c r="K8478" s="6">
        <v>-97.531372555473993</v>
      </c>
      <c r="L8478" s="6" t="str">
        <f>HYPERLINK("https://maps.google.com/?q=17.1507721116087,-97.531372555474405", "🔗 Ver Mapa")</f>
        <v>🔗 Ver Mapa</v>
      </c>
    </row>
    <row r="8479" spans="1:12" ht="43.5" x14ac:dyDescent="0.35">
      <c r="A8479" s="5" t="s">
        <v>98</v>
      </c>
      <c r="B8479" s="5" t="s">
        <v>99</v>
      </c>
      <c r="C8479" s="5" t="s">
        <v>1514</v>
      </c>
      <c r="D8479" s="5" t="s">
        <v>14</v>
      </c>
      <c r="E8479" s="5" t="s">
        <v>16</v>
      </c>
      <c r="F8479" s="5" t="s">
        <v>21</v>
      </c>
      <c r="G8479" s="5" t="s">
        <v>1511</v>
      </c>
      <c r="H8479" s="5" t="s">
        <v>1513</v>
      </c>
      <c r="I8479" s="5" t="s">
        <v>31</v>
      </c>
      <c r="J8479" s="5">
        <v>17.150830199756999</v>
      </c>
      <c r="K8479" s="5">
        <v>-97.533926064417997</v>
      </c>
      <c r="L8479" s="5" t="str">
        <f>HYPERLINK("https://maps.google.com/?q=17.1508301997571,-97.533926064417898", "🔗 Ver Mapa")</f>
        <v>🔗 Ver Mapa</v>
      </c>
    </row>
    <row r="8480" spans="1:12" ht="43.5" x14ac:dyDescent="0.35">
      <c r="A8480" s="6" t="s">
        <v>98</v>
      </c>
      <c r="B8480" s="6" t="s">
        <v>99</v>
      </c>
      <c r="C8480" s="6" t="s">
        <v>1514</v>
      </c>
      <c r="D8480" s="6" t="s">
        <v>14</v>
      </c>
      <c r="E8480" s="6" t="s">
        <v>16</v>
      </c>
      <c r="F8480" s="6" t="s">
        <v>21</v>
      </c>
      <c r="G8480" s="6" t="s">
        <v>1511</v>
      </c>
      <c r="H8480" s="6" t="s">
        <v>1513</v>
      </c>
      <c r="I8480" s="6" t="s">
        <v>31</v>
      </c>
      <c r="J8480" s="6">
        <v>17.151454638316</v>
      </c>
      <c r="K8480" s="6">
        <v>-97.532116216933005</v>
      </c>
      <c r="L8480" s="6" t="str">
        <f>HYPERLINK("https://maps.google.com/?q=17.1514546383161,-97.532116216932707", "🔗 Ver Mapa")</f>
        <v>🔗 Ver Mapa</v>
      </c>
    </row>
    <row r="8481" spans="1:12" ht="43.5" x14ac:dyDescent="0.35">
      <c r="A8481" s="5" t="s">
        <v>98</v>
      </c>
      <c r="B8481" s="5" t="s">
        <v>99</v>
      </c>
      <c r="C8481" s="5" t="s">
        <v>1514</v>
      </c>
      <c r="D8481" s="5" t="s">
        <v>14</v>
      </c>
      <c r="E8481" s="5" t="s">
        <v>16</v>
      </c>
      <c r="F8481" s="5" t="s">
        <v>21</v>
      </c>
      <c r="G8481" s="5" t="s">
        <v>1511</v>
      </c>
      <c r="H8481" s="5" t="s">
        <v>1513</v>
      </c>
      <c r="I8481" s="5" t="s">
        <v>31</v>
      </c>
      <c r="J8481" s="5">
        <v>17.152229188318</v>
      </c>
      <c r="K8481" s="5">
        <v>-97.527375070000005</v>
      </c>
      <c r="L8481" s="5" t="str">
        <f>HYPERLINK("https://maps.google.com/?q=17.1522291883183,-97.527375069999906", "🔗 Ver Mapa")</f>
        <v>🔗 Ver Mapa</v>
      </c>
    </row>
    <row r="8482" spans="1:12" ht="43.5" x14ac:dyDescent="0.35">
      <c r="A8482" s="6" t="s">
        <v>98</v>
      </c>
      <c r="B8482" s="6" t="s">
        <v>99</v>
      </c>
      <c r="C8482" s="6" t="s">
        <v>1514</v>
      </c>
      <c r="D8482" s="6" t="s">
        <v>14</v>
      </c>
      <c r="E8482" s="6" t="s">
        <v>16</v>
      </c>
      <c r="F8482" s="6" t="s">
        <v>21</v>
      </c>
      <c r="G8482" s="6" t="s">
        <v>1511</v>
      </c>
      <c r="H8482" s="6" t="s">
        <v>1513</v>
      </c>
      <c r="I8482" s="6" t="s">
        <v>31</v>
      </c>
      <c r="J8482" s="6">
        <v>17.152517278324002</v>
      </c>
      <c r="K8482" s="6">
        <v>-97.536465126075001</v>
      </c>
      <c r="L8482" s="6" t="str">
        <f>HYPERLINK("https://maps.google.com/?q=17.1525172783244,-97.536465126074802", "🔗 Ver Mapa")</f>
        <v>🔗 Ver Mapa</v>
      </c>
    </row>
    <row r="8483" spans="1:12" ht="43.5" x14ac:dyDescent="0.35">
      <c r="A8483" s="5" t="s">
        <v>98</v>
      </c>
      <c r="B8483" s="5" t="s">
        <v>99</v>
      </c>
      <c r="C8483" s="5" t="s">
        <v>1514</v>
      </c>
      <c r="D8483" s="5" t="s">
        <v>14</v>
      </c>
      <c r="E8483" s="5" t="s">
        <v>16</v>
      </c>
      <c r="F8483" s="5" t="s">
        <v>21</v>
      </c>
      <c r="G8483" s="5" t="s">
        <v>1511</v>
      </c>
      <c r="H8483" s="5" t="s">
        <v>1513</v>
      </c>
      <c r="I8483" s="5" t="s">
        <v>31</v>
      </c>
      <c r="J8483" s="5">
        <v>17.152607325605</v>
      </c>
      <c r="K8483" s="5">
        <v>-97.533879177545003</v>
      </c>
      <c r="L8483" s="5" t="str">
        <f>HYPERLINK("https://maps.google.com/?q=17.1526073256048,-97.533879177544506", "🔗 Ver Mapa")</f>
        <v>🔗 Ver Mapa</v>
      </c>
    </row>
    <row r="8484" spans="1:12" ht="43.5" x14ac:dyDescent="0.35">
      <c r="A8484" s="6" t="s">
        <v>98</v>
      </c>
      <c r="B8484" s="6" t="s">
        <v>99</v>
      </c>
      <c r="C8484" s="6" t="s">
        <v>1514</v>
      </c>
      <c r="D8484" s="6" t="s">
        <v>14</v>
      </c>
      <c r="E8484" s="6" t="s">
        <v>16</v>
      </c>
      <c r="F8484" s="6" t="s">
        <v>21</v>
      </c>
      <c r="G8484" s="6" t="s">
        <v>1511</v>
      </c>
      <c r="H8484" s="6" t="s">
        <v>1513</v>
      </c>
      <c r="I8484" s="6" t="s">
        <v>31</v>
      </c>
      <c r="J8484" s="6">
        <v>17.153139590515998</v>
      </c>
      <c r="K8484" s="6">
        <v>-97.527606461656006</v>
      </c>
      <c r="L8484" s="6" t="str">
        <f>HYPERLINK("https://maps.google.com/?q=17.1531395905155,-97.527606461656404", "🔗 Ver Mapa")</f>
        <v>🔗 Ver Mapa</v>
      </c>
    </row>
    <row r="8485" spans="1:12" ht="43.5" x14ac:dyDescent="0.35">
      <c r="A8485" s="5" t="s">
        <v>98</v>
      </c>
      <c r="B8485" s="5" t="s">
        <v>99</v>
      </c>
      <c r="C8485" s="5" t="s">
        <v>1514</v>
      </c>
      <c r="D8485" s="5" t="s">
        <v>14</v>
      </c>
      <c r="E8485" s="5" t="s">
        <v>16</v>
      </c>
      <c r="F8485" s="5" t="s">
        <v>21</v>
      </c>
      <c r="G8485" s="5" t="s">
        <v>1511</v>
      </c>
      <c r="H8485" s="5" t="s">
        <v>1513</v>
      </c>
      <c r="I8485" s="5" t="s">
        <v>31</v>
      </c>
      <c r="J8485" s="5">
        <v>17.153482693103001</v>
      </c>
      <c r="K8485" s="5">
        <v>-97.531461929569005</v>
      </c>
      <c r="L8485" s="5" t="str">
        <f>HYPERLINK("https://maps.google.com/?q=17.1534826931027,-97.531461929568593", "🔗 Ver Mapa")</f>
        <v>🔗 Ver Mapa</v>
      </c>
    </row>
    <row r="8486" spans="1:12" ht="43.5" x14ac:dyDescent="0.35">
      <c r="A8486" s="6" t="s">
        <v>98</v>
      </c>
      <c r="B8486" s="6" t="s">
        <v>99</v>
      </c>
      <c r="C8486" s="6" t="s">
        <v>1514</v>
      </c>
      <c r="D8486" s="6" t="s">
        <v>14</v>
      </c>
      <c r="E8486" s="6" t="s">
        <v>16</v>
      </c>
      <c r="F8486" s="6" t="s">
        <v>21</v>
      </c>
      <c r="G8486" s="6" t="s">
        <v>1511</v>
      </c>
      <c r="H8486" s="6" t="s">
        <v>1513</v>
      </c>
      <c r="I8486" s="6" t="s">
        <v>31</v>
      </c>
      <c r="J8486" s="6">
        <v>17.153538451244</v>
      </c>
      <c r="K8486" s="6">
        <v>-97.529554521104004</v>
      </c>
      <c r="L8486" s="6" t="str">
        <f>HYPERLINK("https://maps.google.com/?q=17.1535384512442,-97.529554521103904", "🔗 Ver Mapa")</f>
        <v>🔗 Ver Mapa</v>
      </c>
    </row>
    <row r="8487" spans="1:12" ht="43.5" x14ac:dyDescent="0.35">
      <c r="A8487" s="5" t="s">
        <v>98</v>
      </c>
      <c r="B8487" s="5" t="s">
        <v>99</v>
      </c>
      <c r="C8487" s="5" t="s">
        <v>1514</v>
      </c>
      <c r="D8487" s="5" t="s">
        <v>14</v>
      </c>
      <c r="E8487" s="5" t="s">
        <v>16</v>
      </c>
      <c r="F8487" s="5" t="s">
        <v>21</v>
      </c>
      <c r="G8487" s="5" t="s">
        <v>1511</v>
      </c>
      <c r="H8487" s="5" t="s">
        <v>1513</v>
      </c>
      <c r="I8487" s="5" t="s">
        <v>31</v>
      </c>
      <c r="J8487" s="5">
        <v>17.154411769807002</v>
      </c>
      <c r="K8487" s="5">
        <v>-97.532477304476998</v>
      </c>
      <c r="L8487" s="5" t="str">
        <f>HYPERLINK("https://maps.google.com/?q=17.1544117698072,-97.532477304477396", "🔗 Ver Mapa")</f>
        <v>🔗 Ver Mapa</v>
      </c>
    </row>
    <row r="8488" spans="1:12" ht="43.5" x14ac:dyDescent="0.35">
      <c r="A8488" s="6" t="s">
        <v>98</v>
      </c>
      <c r="B8488" s="6" t="s">
        <v>99</v>
      </c>
      <c r="C8488" s="6" t="s">
        <v>1514</v>
      </c>
      <c r="D8488" s="6" t="s">
        <v>14</v>
      </c>
      <c r="E8488" s="6" t="s">
        <v>16</v>
      </c>
      <c r="F8488" s="6" t="s">
        <v>21</v>
      </c>
      <c r="G8488" s="6" t="s">
        <v>1511</v>
      </c>
      <c r="H8488" s="6" t="s">
        <v>1513</v>
      </c>
      <c r="I8488" s="6" t="s">
        <v>31</v>
      </c>
      <c r="J8488" s="6">
        <v>17.154488628365002</v>
      </c>
      <c r="K8488" s="6">
        <v>-97.529654725521993</v>
      </c>
      <c r="L8488" s="6" t="str">
        <f>HYPERLINK("https://maps.google.com/?q=17.1544886283655,-97.529654725522406", "🔗 Ver Mapa")</f>
        <v>🔗 Ver Mapa</v>
      </c>
    </row>
    <row r="8489" spans="1:12" ht="43.5" x14ac:dyDescent="0.35">
      <c r="A8489" s="5" t="s">
        <v>98</v>
      </c>
      <c r="B8489" s="5" t="s">
        <v>99</v>
      </c>
      <c r="C8489" s="5" t="s">
        <v>1514</v>
      </c>
      <c r="D8489" s="5" t="s">
        <v>14</v>
      </c>
      <c r="E8489" s="5" t="s">
        <v>16</v>
      </c>
      <c r="F8489" s="5" t="s">
        <v>21</v>
      </c>
      <c r="G8489" s="5" t="s">
        <v>1511</v>
      </c>
      <c r="H8489" s="5" t="s">
        <v>1513</v>
      </c>
      <c r="I8489" s="5" t="s">
        <v>31</v>
      </c>
      <c r="J8489" s="5">
        <v>17.154510515578998</v>
      </c>
      <c r="K8489" s="5">
        <v>-97.532240044418003</v>
      </c>
      <c r="L8489" s="5" t="str">
        <f>HYPERLINK("https://maps.google.com/?q=17.1545105155789,-97.532240044418003", "🔗 Ver Mapa")</f>
        <v>🔗 Ver Mapa</v>
      </c>
    </row>
    <row r="8490" spans="1:12" ht="43.5" x14ac:dyDescent="0.35">
      <c r="A8490" s="6" t="s">
        <v>98</v>
      </c>
      <c r="B8490" s="6" t="s">
        <v>99</v>
      </c>
      <c r="C8490" s="6" t="s">
        <v>1514</v>
      </c>
      <c r="D8490" s="6" t="s">
        <v>14</v>
      </c>
      <c r="E8490" s="6" t="s">
        <v>16</v>
      </c>
      <c r="F8490" s="6" t="s">
        <v>21</v>
      </c>
      <c r="G8490" s="6" t="s">
        <v>1511</v>
      </c>
      <c r="H8490" s="6" t="s">
        <v>1513</v>
      </c>
      <c r="I8490" s="6" t="s">
        <v>31</v>
      </c>
      <c r="J8490" s="6">
        <v>17.154934699969999</v>
      </c>
      <c r="K8490" s="6">
        <v>-97.532666314528001</v>
      </c>
      <c r="L8490" s="6" t="str">
        <f>HYPERLINK("https://maps.google.com/?q=17.1549346999701,-97.5326663145282", "🔗 Ver Mapa")</f>
        <v>🔗 Ver Mapa</v>
      </c>
    </row>
    <row r="8491" spans="1:12" ht="43.5" x14ac:dyDescent="0.35">
      <c r="A8491" s="5" t="s">
        <v>98</v>
      </c>
      <c r="B8491" s="5" t="s">
        <v>99</v>
      </c>
      <c r="C8491" s="5" t="s">
        <v>1514</v>
      </c>
      <c r="D8491" s="5" t="s">
        <v>14</v>
      </c>
      <c r="E8491" s="5" t="s">
        <v>16</v>
      </c>
      <c r="F8491" s="5" t="s">
        <v>21</v>
      </c>
      <c r="G8491" s="5" t="s">
        <v>1511</v>
      </c>
      <c r="H8491" s="5" t="s">
        <v>1513</v>
      </c>
      <c r="I8491" s="5" t="s">
        <v>31</v>
      </c>
      <c r="J8491" s="5">
        <v>17.155522945078999</v>
      </c>
      <c r="K8491" s="5">
        <v>-97.533610384084</v>
      </c>
      <c r="L8491" s="5" t="str">
        <f>HYPERLINK("https://maps.google.com/?q=17.155522945079,-97.5336103840841", "🔗 Ver Mapa")</f>
        <v>🔗 Ver Mapa</v>
      </c>
    </row>
    <row r="8492" spans="1:12" ht="43.5" x14ac:dyDescent="0.35">
      <c r="A8492" s="6" t="s">
        <v>98</v>
      </c>
      <c r="B8492" s="6" t="s">
        <v>99</v>
      </c>
      <c r="C8492" s="6" t="s">
        <v>1514</v>
      </c>
      <c r="D8492" s="6" t="s">
        <v>14</v>
      </c>
      <c r="E8492" s="6" t="s">
        <v>16</v>
      </c>
      <c r="F8492" s="6" t="s">
        <v>21</v>
      </c>
      <c r="G8492" s="6" t="s">
        <v>1511</v>
      </c>
      <c r="H8492" s="6" t="s">
        <v>1513</v>
      </c>
      <c r="I8492" s="6" t="s">
        <v>31</v>
      </c>
      <c r="J8492" s="6">
        <v>17.155779534676999</v>
      </c>
      <c r="K8492" s="6">
        <v>-97.534241000162993</v>
      </c>
      <c r="L8492" s="6" t="str">
        <f>HYPERLINK("https://maps.google.com/?q=17.1557795346769,-97.5342410001632", "🔗 Ver Mapa")</f>
        <v>🔗 Ver Mapa</v>
      </c>
    </row>
    <row r="8493" spans="1:12" ht="43.5" x14ac:dyDescent="0.35">
      <c r="A8493" s="5" t="s">
        <v>98</v>
      </c>
      <c r="B8493" s="5" t="s">
        <v>99</v>
      </c>
      <c r="C8493" s="5" t="s">
        <v>1514</v>
      </c>
      <c r="D8493" s="5" t="s">
        <v>14</v>
      </c>
      <c r="E8493" s="5" t="s">
        <v>16</v>
      </c>
      <c r="F8493" s="5" t="s">
        <v>21</v>
      </c>
      <c r="G8493" s="5" t="s">
        <v>1511</v>
      </c>
      <c r="H8493" s="5" t="s">
        <v>1513</v>
      </c>
      <c r="I8493" s="5" t="s">
        <v>31</v>
      </c>
      <c r="J8493" s="5">
        <v>17.156037099830002</v>
      </c>
      <c r="K8493" s="5">
        <v>-97.533597270000001</v>
      </c>
      <c r="L8493" s="5" t="str">
        <f>HYPERLINK("https://maps.google.com/?q=17.1560370998299,-97.533597269999902", "🔗 Ver Mapa")</f>
        <v>🔗 Ver Mapa</v>
      </c>
    </row>
    <row r="8494" spans="1:12" ht="43.5" x14ac:dyDescent="0.35">
      <c r="A8494" s="6" t="s">
        <v>98</v>
      </c>
      <c r="B8494" s="6" t="s">
        <v>99</v>
      </c>
      <c r="C8494" s="6" t="s">
        <v>1514</v>
      </c>
      <c r="D8494" s="6" t="s">
        <v>14</v>
      </c>
      <c r="E8494" s="6" t="s">
        <v>16</v>
      </c>
      <c r="F8494" s="6" t="s">
        <v>21</v>
      </c>
      <c r="G8494" s="6" t="s">
        <v>1511</v>
      </c>
      <c r="H8494" s="6" t="s">
        <v>1513</v>
      </c>
      <c r="I8494" s="6" t="s">
        <v>31</v>
      </c>
      <c r="J8494" s="6">
        <v>17.156570335483</v>
      </c>
      <c r="K8494" s="6">
        <v>-97.528456156513002</v>
      </c>
      <c r="L8494" s="6" t="str">
        <f>HYPERLINK("https://maps.google.com/?q=17.1565703354834,-97.528456156512704", "🔗 Ver Mapa")</f>
        <v>🔗 Ver Mapa</v>
      </c>
    </row>
    <row r="8495" spans="1:12" ht="43.5" x14ac:dyDescent="0.35">
      <c r="A8495" s="5" t="s">
        <v>98</v>
      </c>
      <c r="B8495" s="5" t="s">
        <v>99</v>
      </c>
      <c r="C8495" s="5" t="s">
        <v>1514</v>
      </c>
      <c r="D8495" s="5" t="s">
        <v>14</v>
      </c>
      <c r="E8495" s="5" t="s">
        <v>16</v>
      </c>
      <c r="F8495" s="5" t="s">
        <v>21</v>
      </c>
      <c r="G8495" s="5" t="s">
        <v>1511</v>
      </c>
      <c r="H8495" s="5" t="s">
        <v>1513</v>
      </c>
      <c r="I8495" s="5" t="s">
        <v>31</v>
      </c>
      <c r="J8495" s="5">
        <v>17.156974152000998</v>
      </c>
      <c r="K8495" s="5">
        <v>-97.527937452475001</v>
      </c>
      <c r="L8495" s="5" t="str">
        <f>HYPERLINK("https://maps.google.com/?q=17.1569741520005,-97.527937452474902", "🔗 Ver Mapa")</f>
        <v>🔗 Ver Mapa</v>
      </c>
    </row>
    <row r="8496" spans="1:12" ht="43.5" x14ac:dyDescent="0.35">
      <c r="A8496" s="6" t="s">
        <v>98</v>
      </c>
      <c r="B8496" s="6" t="s">
        <v>99</v>
      </c>
      <c r="C8496" s="6" t="s">
        <v>1514</v>
      </c>
      <c r="D8496" s="6" t="s">
        <v>14</v>
      </c>
      <c r="E8496" s="6" t="s">
        <v>16</v>
      </c>
      <c r="F8496" s="6" t="s">
        <v>21</v>
      </c>
      <c r="G8496" s="6" t="s">
        <v>1511</v>
      </c>
      <c r="H8496" s="6" t="s">
        <v>1513</v>
      </c>
      <c r="I8496" s="6" t="s">
        <v>31</v>
      </c>
      <c r="J8496" s="6">
        <v>17.157004538418001</v>
      </c>
      <c r="K8496" s="6">
        <v>-97.530630911103998</v>
      </c>
      <c r="L8496" s="6" t="str">
        <f>HYPERLINK("https://maps.google.com/?q=17.1570045384181,-97.530630911104396", "🔗 Ver Mapa")</f>
        <v>🔗 Ver Mapa</v>
      </c>
    </row>
    <row r="8497" spans="1:12" ht="43.5" x14ac:dyDescent="0.35">
      <c r="A8497" s="5" t="s">
        <v>98</v>
      </c>
      <c r="B8497" s="5" t="s">
        <v>99</v>
      </c>
      <c r="C8497" s="5" t="s">
        <v>1514</v>
      </c>
      <c r="D8497" s="5" t="s">
        <v>14</v>
      </c>
      <c r="E8497" s="5" t="s">
        <v>16</v>
      </c>
      <c r="F8497" s="5" t="s">
        <v>21</v>
      </c>
      <c r="G8497" s="5" t="s">
        <v>1511</v>
      </c>
      <c r="H8497" s="5" t="s">
        <v>1513</v>
      </c>
      <c r="I8497" s="5" t="s">
        <v>31</v>
      </c>
      <c r="J8497" s="5">
        <v>17.157741214057001</v>
      </c>
      <c r="K8497" s="5">
        <v>-97.528299622209005</v>
      </c>
      <c r="L8497" s="5" t="str">
        <f>HYPERLINK("https://maps.google.com/?q=17.1577412140566,-97.528299622209104", "🔗 Ver Mapa")</f>
        <v>🔗 Ver Mapa</v>
      </c>
    </row>
    <row r="8498" spans="1:12" ht="43.5" x14ac:dyDescent="0.35">
      <c r="A8498" s="6" t="s">
        <v>98</v>
      </c>
      <c r="B8498" s="6" t="s">
        <v>99</v>
      </c>
      <c r="C8498" s="6" t="s">
        <v>1514</v>
      </c>
      <c r="D8498" s="6" t="s">
        <v>14</v>
      </c>
      <c r="E8498" s="6" t="s">
        <v>16</v>
      </c>
      <c r="F8498" s="6" t="s">
        <v>21</v>
      </c>
      <c r="G8498" s="6" t="s">
        <v>1511</v>
      </c>
      <c r="H8498" s="6" t="s">
        <v>1513</v>
      </c>
      <c r="I8498" s="6" t="s">
        <v>31</v>
      </c>
      <c r="J8498" s="6">
        <v>17.158160052694001</v>
      </c>
      <c r="K8498" s="6">
        <v>-97.528808027791001</v>
      </c>
      <c r="L8498" s="6" t="str">
        <f>HYPERLINK("https://maps.google.com/?q=17.1581600526941,-97.528808027791001", "🔗 Ver Mapa")</f>
        <v>🔗 Ver Mapa</v>
      </c>
    </row>
    <row r="8499" spans="1:12" ht="43.5" x14ac:dyDescent="0.35">
      <c r="A8499" s="5" t="s">
        <v>98</v>
      </c>
      <c r="B8499" s="5" t="s">
        <v>99</v>
      </c>
      <c r="C8499" s="5" t="s">
        <v>1514</v>
      </c>
      <c r="D8499" s="5" t="s">
        <v>14</v>
      </c>
      <c r="E8499" s="5" t="s">
        <v>16</v>
      </c>
      <c r="F8499" s="5" t="s">
        <v>21</v>
      </c>
      <c r="G8499" s="5" t="s">
        <v>1511</v>
      </c>
      <c r="H8499" s="5" t="s">
        <v>1513</v>
      </c>
      <c r="I8499" s="5" t="s">
        <v>31</v>
      </c>
      <c r="J8499" s="5">
        <v>17.160778665493002</v>
      </c>
      <c r="K8499" s="5">
        <v>-97.532045255582005</v>
      </c>
      <c r="L8499" s="5" t="str">
        <f>HYPERLINK("https://maps.google.com/?q=17.1607786654934,-97.532045255581707", "🔗 Ver Mapa")</f>
        <v>🔗 Ver Mapa</v>
      </c>
    </row>
    <row r="8500" spans="1:12" ht="43.5" x14ac:dyDescent="0.35">
      <c r="A8500" s="6" t="s">
        <v>98</v>
      </c>
      <c r="B8500" s="6" t="s">
        <v>99</v>
      </c>
      <c r="C8500" s="6" t="s">
        <v>1515</v>
      </c>
      <c r="D8500" s="6" t="s">
        <v>14</v>
      </c>
      <c r="E8500" s="6" t="s">
        <v>16</v>
      </c>
      <c r="F8500" s="6" t="s">
        <v>21</v>
      </c>
      <c r="G8500" s="6" t="s">
        <v>1511</v>
      </c>
      <c r="H8500" s="6" t="s">
        <v>29</v>
      </c>
      <c r="I8500" s="6" t="s">
        <v>31</v>
      </c>
      <c r="J8500" s="6">
        <v>17.145380184714998</v>
      </c>
      <c r="K8500" s="6">
        <v>-97.543222226541999</v>
      </c>
      <c r="L8500" s="6" t="str">
        <f>HYPERLINK("https://maps.google.com/?q=17.1453801847151,-97.543222226542397", "🔗 Ver Mapa")</f>
        <v>🔗 Ver Mapa</v>
      </c>
    </row>
    <row r="8501" spans="1:12" ht="43.5" x14ac:dyDescent="0.35">
      <c r="A8501" s="5" t="s">
        <v>98</v>
      </c>
      <c r="B8501" s="5" t="s">
        <v>99</v>
      </c>
      <c r="C8501" s="5" t="s">
        <v>1515</v>
      </c>
      <c r="D8501" s="5" t="s">
        <v>14</v>
      </c>
      <c r="E8501" s="5" t="s">
        <v>16</v>
      </c>
      <c r="F8501" s="5" t="s">
        <v>21</v>
      </c>
      <c r="G8501" s="5" t="s">
        <v>1511</v>
      </c>
      <c r="H8501" s="5" t="s">
        <v>29</v>
      </c>
      <c r="I8501" s="5" t="s">
        <v>31</v>
      </c>
      <c r="J8501" s="5">
        <v>17.145729202441998</v>
      </c>
      <c r="K8501" s="5">
        <v>-97.541726157243005</v>
      </c>
      <c r="L8501" s="5" t="str">
        <f>HYPERLINK("https://maps.google.com/?q=17.1457292024422,-97.541726157242607", "🔗 Ver Mapa")</f>
        <v>🔗 Ver Mapa</v>
      </c>
    </row>
    <row r="8502" spans="1:12" ht="43.5" x14ac:dyDescent="0.35">
      <c r="A8502" s="6" t="s">
        <v>98</v>
      </c>
      <c r="B8502" s="6" t="s">
        <v>99</v>
      </c>
      <c r="C8502" s="6" t="s">
        <v>1515</v>
      </c>
      <c r="D8502" s="6" t="s">
        <v>14</v>
      </c>
      <c r="E8502" s="6" t="s">
        <v>16</v>
      </c>
      <c r="F8502" s="6" t="s">
        <v>21</v>
      </c>
      <c r="G8502" s="6" t="s">
        <v>1511</v>
      </c>
      <c r="H8502" s="6" t="s">
        <v>29</v>
      </c>
      <c r="I8502" s="6" t="s">
        <v>31</v>
      </c>
      <c r="J8502" s="6">
        <v>17.146094126689999</v>
      </c>
      <c r="K8502" s="6">
        <v>-97.542118357790997</v>
      </c>
      <c r="L8502" s="6" t="str">
        <f>HYPERLINK("https://maps.google.com/?q=17.1460941266897,-97.542118357790997", "🔗 Ver Mapa")</f>
        <v>🔗 Ver Mapa</v>
      </c>
    </row>
    <row r="8503" spans="1:12" ht="43.5" x14ac:dyDescent="0.35">
      <c r="A8503" s="5" t="s">
        <v>98</v>
      </c>
      <c r="B8503" s="5" t="s">
        <v>99</v>
      </c>
      <c r="C8503" s="5" t="s">
        <v>1515</v>
      </c>
      <c r="D8503" s="5" t="s">
        <v>14</v>
      </c>
      <c r="E8503" s="5" t="s">
        <v>16</v>
      </c>
      <c r="F8503" s="5" t="s">
        <v>21</v>
      </c>
      <c r="G8503" s="5" t="s">
        <v>1511</v>
      </c>
      <c r="H8503" s="5" t="s">
        <v>29</v>
      </c>
      <c r="I8503" s="5" t="s">
        <v>31</v>
      </c>
      <c r="J8503" s="5">
        <v>17.146259664689001</v>
      </c>
      <c r="K8503" s="5">
        <v>-97.540974717791002</v>
      </c>
      <c r="L8503" s="5" t="str">
        <f>HYPERLINK("https://maps.google.com/?q=17.1462596646889,-97.540974717790903", "🔗 Ver Mapa")</f>
        <v>🔗 Ver Mapa</v>
      </c>
    </row>
    <row r="8504" spans="1:12" ht="43.5" x14ac:dyDescent="0.35">
      <c r="A8504" s="6" t="s">
        <v>98</v>
      </c>
      <c r="B8504" s="6" t="s">
        <v>99</v>
      </c>
      <c r="C8504" s="6" t="s">
        <v>1515</v>
      </c>
      <c r="D8504" s="6" t="s">
        <v>14</v>
      </c>
      <c r="E8504" s="6" t="s">
        <v>16</v>
      </c>
      <c r="F8504" s="6" t="s">
        <v>21</v>
      </c>
      <c r="G8504" s="6" t="s">
        <v>1511</v>
      </c>
      <c r="H8504" s="6" t="s">
        <v>29</v>
      </c>
      <c r="I8504" s="6" t="s">
        <v>31</v>
      </c>
      <c r="J8504" s="6">
        <v>17.146465460510001</v>
      </c>
      <c r="K8504" s="6">
        <v>-97.542401195997996</v>
      </c>
      <c r="L8504" s="6" t="str">
        <f>HYPERLINK("https://maps.google.com/?q=17.1464654605101,-97.542401195997797", "🔗 Ver Mapa")</f>
        <v>🔗 Ver Mapa</v>
      </c>
    </row>
    <row r="8505" spans="1:12" ht="43.5" x14ac:dyDescent="0.35">
      <c r="A8505" s="5" t="s">
        <v>98</v>
      </c>
      <c r="B8505" s="5" t="s">
        <v>99</v>
      </c>
      <c r="C8505" s="5" t="s">
        <v>1515</v>
      </c>
      <c r="D8505" s="5" t="s">
        <v>14</v>
      </c>
      <c r="E8505" s="5" t="s">
        <v>16</v>
      </c>
      <c r="F8505" s="5" t="s">
        <v>21</v>
      </c>
      <c r="G8505" s="5" t="s">
        <v>1511</v>
      </c>
      <c r="H8505" s="5" t="s">
        <v>29</v>
      </c>
      <c r="I8505" s="5" t="s">
        <v>31</v>
      </c>
      <c r="J8505" s="5">
        <v>17.147232562888</v>
      </c>
      <c r="K8505" s="5">
        <v>-97.541917299792999</v>
      </c>
      <c r="L8505" s="5" t="str">
        <f>HYPERLINK("https://maps.google.com/?q=17.1472325628884,-97.541917299792601", "🔗 Ver Mapa")</f>
        <v>🔗 Ver Mapa</v>
      </c>
    </row>
    <row r="8506" spans="1:12" ht="43.5" x14ac:dyDescent="0.35">
      <c r="A8506" s="6" t="s">
        <v>98</v>
      </c>
      <c r="B8506" s="6" t="s">
        <v>99</v>
      </c>
      <c r="C8506" s="6" t="s">
        <v>1515</v>
      </c>
      <c r="D8506" s="6" t="s">
        <v>14</v>
      </c>
      <c r="E8506" s="6" t="s">
        <v>16</v>
      </c>
      <c r="F8506" s="6" t="s">
        <v>21</v>
      </c>
      <c r="G8506" s="6" t="s">
        <v>1511</v>
      </c>
      <c r="H8506" s="6" t="s">
        <v>29</v>
      </c>
      <c r="I8506" s="6" t="s">
        <v>31</v>
      </c>
      <c r="J8506" s="6">
        <v>17.147494203261999</v>
      </c>
      <c r="K8506" s="6">
        <v>-97.542490192290003</v>
      </c>
      <c r="L8506" s="6" t="str">
        <f>HYPERLINK("https://maps.google.com/?q=17.1474942032619,-97.542490192290003", "🔗 Ver Mapa")</f>
        <v>🔗 Ver Mapa</v>
      </c>
    </row>
    <row r="8507" spans="1:12" ht="43.5" x14ac:dyDescent="0.35">
      <c r="A8507" s="5" t="s">
        <v>98</v>
      </c>
      <c r="B8507" s="5" t="s">
        <v>99</v>
      </c>
      <c r="C8507" s="5" t="s">
        <v>1515</v>
      </c>
      <c r="D8507" s="5" t="s">
        <v>14</v>
      </c>
      <c r="E8507" s="5" t="s">
        <v>16</v>
      </c>
      <c r="F8507" s="5" t="s">
        <v>21</v>
      </c>
      <c r="G8507" s="5" t="s">
        <v>1511</v>
      </c>
      <c r="H8507" s="5" t="s">
        <v>29</v>
      </c>
      <c r="I8507" s="5" t="s">
        <v>31</v>
      </c>
      <c r="J8507" s="5">
        <v>17.148023893192999</v>
      </c>
      <c r="K8507" s="5">
        <v>-97.542366516393997</v>
      </c>
      <c r="L8507" s="5" t="str">
        <f>HYPERLINK("https://maps.google.com/?q=17.1480238931928,-97.542366516393898", "🔗 Ver Mapa")</f>
        <v>🔗 Ver Mapa</v>
      </c>
    </row>
    <row r="8508" spans="1:12" ht="43.5" x14ac:dyDescent="0.35">
      <c r="A8508" s="6" t="s">
        <v>98</v>
      </c>
      <c r="B8508" s="6" t="s">
        <v>99</v>
      </c>
      <c r="C8508" s="6" t="s">
        <v>1515</v>
      </c>
      <c r="D8508" s="6" t="s">
        <v>14</v>
      </c>
      <c r="E8508" s="6" t="s">
        <v>16</v>
      </c>
      <c r="F8508" s="6" t="s">
        <v>21</v>
      </c>
      <c r="G8508" s="6" t="s">
        <v>1511</v>
      </c>
      <c r="H8508" s="6" t="s">
        <v>29</v>
      </c>
      <c r="I8508" s="6" t="s">
        <v>31</v>
      </c>
      <c r="J8508" s="6">
        <v>17.148093475258001</v>
      </c>
      <c r="K8508" s="6">
        <v>-97.540649502209007</v>
      </c>
      <c r="L8508" s="6" t="str">
        <f>HYPERLINK("https://maps.google.com/?q=17.1480934752585,-97.540649502208893", "🔗 Ver Mapa")</f>
        <v>🔗 Ver Mapa</v>
      </c>
    </row>
    <row r="8509" spans="1:12" ht="43.5" x14ac:dyDescent="0.35">
      <c r="A8509" s="5" t="s">
        <v>98</v>
      </c>
      <c r="B8509" s="5" t="s">
        <v>99</v>
      </c>
      <c r="C8509" s="5" t="s">
        <v>1515</v>
      </c>
      <c r="D8509" s="5" t="s">
        <v>14</v>
      </c>
      <c r="E8509" s="5" t="s">
        <v>16</v>
      </c>
      <c r="F8509" s="5" t="s">
        <v>21</v>
      </c>
      <c r="G8509" s="5" t="s">
        <v>1511</v>
      </c>
      <c r="H8509" s="5" t="s">
        <v>29</v>
      </c>
      <c r="I8509" s="5" t="s">
        <v>31</v>
      </c>
      <c r="J8509" s="5">
        <v>17.148338242691999</v>
      </c>
      <c r="K8509" s="5">
        <v>-97.539218159759997</v>
      </c>
      <c r="L8509" s="5" t="str">
        <f>HYPERLINK("https://maps.google.com/?q=17.1483382426925,-97.539218159760097", "🔗 Ver Mapa")</f>
        <v>🔗 Ver Mapa</v>
      </c>
    </row>
    <row r="8510" spans="1:12" ht="43.5" x14ac:dyDescent="0.35">
      <c r="A8510" s="6" t="s">
        <v>98</v>
      </c>
      <c r="B8510" s="6" t="s">
        <v>99</v>
      </c>
      <c r="C8510" s="6" t="s">
        <v>1515</v>
      </c>
      <c r="D8510" s="6" t="s">
        <v>14</v>
      </c>
      <c r="E8510" s="6" t="s">
        <v>16</v>
      </c>
      <c r="F8510" s="6" t="s">
        <v>21</v>
      </c>
      <c r="G8510" s="6" t="s">
        <v>1511</v>
      </c>
      <c r="H8510" s="6" t="s">
        <v>29</v>
      </c>
      <c r="I8510" s="6" t="s">
        <v>31</v>
      </c>
      <c r="J8510" s="6">
        <v>17.149039119788</v>
      </c>
      <c r="K8510" s="6">
        <v>-97.540417898105005</v>
      </c>
      <c r="L8510" s="6" t="str">
        <f>HYPERLINK("https://maps.google.com/?q=17.1490391197876,-97.540417898104593", "🔗 Ver Mapa")</f>
        <v>🔗 Ver Mapa</v>
      </c>
    </row>
    <row r="8511" spans="1:12" ht="43.5" x14ac:dyDescent="0.35">
      <c r="A8511" s="5" t="s">
        <v>98</v>
      </c>
      <c r="B8511" s="5" t="s">
        <v>99</v>
      </c>
      <c r="C8511" s="5" t="s">
        <v>1515</v>
      </c>
      <c r="D8511" s="5" t="s">
        <v>14</v>
      </c>
      <c r="E8511" s="5" t="s">
        <v>16</v>
      </c>
      <c r="F8511" s="5" t="s">
        <v>21</v>
      </c>
      <c r="G8511" s="5" t="s">
        <v>1511</v>
      </c>
      <c r="H8511" s="5" t="s">
        <v>29</v>
      </c>
      <c r="I8511" s="5" t="s">
        <v>31</v>
      </c>
      <c r="J8511" s="5">
        <v>17.149274713583001</v>
      </c>
      <c r="K8511" s="5">
        <v>-97.537476479720993</v>
      </c>
      <c r="L8511" s="5" t="str">
        <f>HYPERLINK("https://maps.google.com/?q=17.1492747135831,-97.537476479721093", "🔗 Ver Mapa")</f>
        <v>🔗 Ver Mapa</v>
      </c>
    </row>
    <row r="8512" spans="1:12" ht="43.5" x14ac:dyDescent="0.35">
      <c r="A8512" s="6" t="s">
        <v>98</v>
      </c>
      <c r="B8512" s="6" t="s">
        <v>99</v>
      </c>
      <c r="C8512" s="6" t="s">
        <v>1515</v>
      </c>
      <c r="D8512" s="6" t="s">
        <v>14</v>
      </c>
      <c r="E8512" s="6" t="s">
        <v>16</v>
      </c>
      <c r="F8512" s="6" t="s">
        <v>21</v>
      </c>
      <c r="G8512" s="6" t="s">
        <v>1511</v>
      </c>
      <c r="H8512" s="6" t="s">
        <v>29</v>
      </c>
      <c r="I8512" s="6" t="s">
        <v>31</v>
      </c>
      <c r="J8512" s="6">
        <v>17.14928066565</v>
      </c>
      <c r="K8512" s="6">
        <v>-97.535379059999997</v>
      </c>
      <c r="L8512" s="6" t="str">
        <f>HYPERLINK("https://maps.google.com/?q=17.1492806656502,-97.535379059999997", "🔗 Ver Mapa")</f>
        <v>🔗 Ver Mapa</v>
      </c>
    </row>
    <row r="8513" spans="1:12" ht="43.5" x14ac:dyDescent="0.35">
      <c r="A8513" s="5" t="s">
        <v>98</v>
      </c>
      <c r="B8513" s="5" t="s">
        <v>99</v>
      </c>
      <c r="C8513" s="5" t="s">
        <v>1515</v>
      </c>
      <c r="D8513" s="5" t="s">
        <v>14</v>
      </c>
      <c r="E8513" s="5" t="s">
        <v>16</v>
      </c>
      <c r="F8513" s="5" t="s">
        <v>21</v>
      </c>
      <c r="G8513" s="5" t="s">
        <v>1511</v>
      </c>
      <c r="H8513" s="5" t="s">
        <v>29</v>
      </c>
      <c r="I8513" s="5" t="s">
        <v>31</v>
      </c>
      <c r="J8513" s="5">
        <v>17.149296901214001</v>
      </c>
      <c r="K8513" s="5">
        <v>-97.537674078896998</v>
      </c>
      <c r="L8513" s="5" t="str">
        <f>HYPERLINK("https://maps.google.com/?q=17.1492969012144,-97.537674078897297", "🔗 Ver Mapa")</f>
        <v>🔗 Ver Mapa</v>
      </c>
    </row>
    <row r="8514" spans="1:12" ht="43.5" x14ac:dyDescent="0.35">
      <c r="A8514" s="6" t="s">
        <v>98</v>
      </c>
      <c r="B8514" s="6" t="s">
        <v>99</v>
      </c>
      <c r="C8514" s="6" t="s">
        <v>1515</v>
      </c>
      <c r="D8514" s="6" t="s">
        <v>14</v>
      </c>
      <c r="E8514" s="6" t="s">
        <v>16</v>
      </c>
      <c r="F8514" s="6" t="s">
        <v>21</v>
      </c>
      <c r="G8514" s="6" t="s">
        <v>1511</v>
      </c>
      <c r="H8514" s="6" t="s">
        <v>29</v>
      </c>
      <c r="I8514" s="6" t="s">
        <v>31</v>
      </c>
      <c r="J8514" s="6">
        <v>17.149350614170999</v>
      </c>
      <c r="K8514" s="6">
        <v>-97.536720062209</v>
      </c>
      <c r="L8514" s="6" t="str">
        <f>HYPERLINK("https://maps.google.com/?q=17.149350614171,-97.5367200622089", "🔗 Ver Mapa")</f>
        <v>🔗 Ver Mapa</v>
      </c>
    </row>
    <row r="8515" spans="1:12" ht="43.5" x14ac:dyDescent="0.35">
      <c r="A8515" s="5" t="s">
        <v>98</v>
      </c>
      <c r="B8515" s="5" t="s">
        <v>99</v>
      </c>
      <c r="C8515" s="5" t="s">
        <v>1515</v>
      </c>
      <c r="D8515" s="5" t="s">
        <v>14</v>
      </c>
      <c r="E8515" s="5" t="s">
        <v>16</v>
      </c>
      <c r="F8515" s="5" t="s">
        <v>21</v>
      </c>
      <c r="G8515" s="5" t="s">
        <v>1511</v>
      </c>
      <c r="H8515" s="5" t="s">
        <v>29</v>
      </c>
      <c r="I8515" s="5" t="s">
        <v>31</v>
      </c>
      <c r="J8515" s="5">
        <v>17.149785105479999</v>
      </c>
      <c r="K8515" s="5">
        <v>-97.539452714771002</v>
      </c>
      <c r="L8515" s="5" t="str">
        <f>HYPERLINK("https://maps.google.com/?q=17.1497851054802,-97.539452714770803", "🔗 Ver Mapa")</f>
        <v>🔗 Ver Mapa</v>
      </c>
    </row>
    <row r="8516" spans="1:12" ht="43.5" x14ac:dyDescent="0.35">
      <c r="A8516" s="6" t="s">
        <v>98</v>
      </c>
      <c r="B8516" s="6" t="s">
        <v>99</v>
      </c>
      <c r="C8516" s="6" t="s">
        <v>1515</v>
      </c>
      <c r="D8516" s="6" t="s">
        <v>14</v>
      </c>
      <c r="E8516" s="6" t="s">
        <v>16</v>
      </c>
      <c r="F8516" s="6" t="s">
        <v>21</v>
      </c>
      <c r="G8516" s="6" t="s">
        <v>1511</v>
      </c>
      <c r="H8516" s="6" t="s">
        <v>29</v>
      </c>
      <c r="I8516" s="6" t="s">
        <v>31</v>
      </c>
      <c r="J8516" s="6">
        <v>17.150506202073</v>
      </c>
      <c r="K8516" s="6">
        <v>-97.536185914005003</v>
      </c>
      <c r="L8516" s="6" t="str">
        <f>HYPERLINK("https://maps.google.com/?q=17.1505062020729,-97.536185914005401", "🔗 Ver Mapa")</f>
        <v>🔗 Ver Mapa</v>
      </c>
    </row>
    <row r="8517" spans="1:12" ht="43.5" x14ac:dyDescent="0.35">
      <c r="A8517" s="5" t="s">
        <v>98</v>
      </c>
      <c r="B8517" s="5" t="s">
        <v>99</v>
      </c>
      <c r="C8517" s="5" t="s">
        <v>1515</v>
      </c>
      <c r="D8517" s="5" t="s">
        <v>14</v>
      </c>
      <c r="E8517" s="5" t="s">
        <v>16</v>
      </c>
      <c r="F8517" s="5" t="s">
        <v>21</v>
      </c>
      <c r="G8517" s="5" t="s">
        <v>1511</v>
      </c>
      <c r="H8517" s="5" t="s">
        <v>29</v>
      </c>
      <c r="I8517" s="5" t="s">
        <v>31</v>
      </c>
      <c r="J8517" s="5">
        <v>17.150557769753</v>
      </c>
      <c r="K8517" s="5">
        <v>-97.535704438893006</v>
      </c>
      <c r="L8517" s="5" t="str">
        <f>HYPERLINK("https://maps.google.com/?q=17.1505577697533,-97.535704438893205", "🔗 Ver Mapa")</f>
        <v>🔗 Ver Mapa</v>
      </c>
    </row>
    <row r="8518" spans="1:12" ht="43.5" x14ac:dyDescent="0.35">
      <c r="A8518" s="6" t="s">
        <v>98</v>
      </c>
      <c r="B8518" s="6" t="s">
        <v>99</v>
      </c>
      <c r="C8518" s="6" t="s">
        <v>1515</v>
      </c>
      <c r="D8518" s="6" t="s">
        <v>14</v>
      </c>
      <c r="E8518" s="6" t="s">
        <v>16</v>
      </c>
      <c r="F8518" s="6" t="s">
        <v>21</v>
      </c>
      <c r="G8518" s="6" t="s">
        <v>1511</v>
      </c>
      <c r="H8518" s="6" t="s">
        <v>29</v>
      </c>
      <c r="I8518" s="6" t="s">
        <v>31</v>
      </c>
      <c r="J8518" s="6">
        <v>17.150836215996001</v>
      </c>
      <c r="K8518" s="6">
        <v>-97.538042431340997</v>
      </c>
      <c r="L8518" s="6" t="str">
        <f>HYPERLINK("https://maps.google.com/?q=17.1508362159964,-97.5380424313405", "🔗 Ver Mapa")</f>
        <v>🔗 Ver Mapa</v>
      </c>
    </row>
    <row r="8519" spans="1:12" ht="43.5" x14ac:dyDescent="0.35">
      <c r="A8519" s="5" t="s">
        <v>98</v>
      </c>
      <c r="B8519" s="5" t="s">
        <v>99</v>
      </c>
      <c r="C8519" s="5" t="s">
        <v>1515</v>
      </c>
      <c r="D8519" s="5" t="s">
        <v>14</v>
      </c>
      <c r="E8519" s="5" t="s">
        <v>16</v>
      </c>
      <c r="F8519" s="5" t="s">
        <v>21</v>
      </c>
      <c r="G8519" s="5" t="s">
        <v>1511</v>
      </c>
      <c r="H8519" s="5" t="s">
        <v>29</v>
      </c>
      <c r="I8519" s="5" t="s">
        <v>31</v>
      </c>
      <c r="J8519" s="5">
        <v>17.150920555157999</v>
      </c>
      <c r="K8519" s="5">
        <v>-97.537900460429</v>
      </c>
      <c r="L8519" s="5" t="str">
        <f>HYPERLINK("https://maps.google.com/?q=17.1509205551581,-97.537900460428801", "🔗 Ver Mapa")</f>
        <v>🔗 Ver Mapa</v>
      </c>
    </row>
    <row r="8520" spans="1:12" ht="43.5" x14ac:dyDescent="0.35">
      <c r="A8520" s="6" t="s">
        <v>98</v>
      </c>
      <c r="B8520" s="6" t="s">
        <v>99</v>
      </c>
      <c r="C8520" s="6" t="s">
        <v>1516</v>
      </c>
      <c r="D8520" s="6" t="s">
        <v>14</v>
      </c>
      <c r="E8520" s="6" t="s">
        <v>52</v>
      </c>
      <c r="F8520" s="6" t="s">
        <v>53</v>
      </c>
      <c r="G8520" s="6" t="s">
        <v>374</v>
      </c>
      <c r="H8520" s="6" t="s">
        <v>375</v>
      </c>
      <c r="I8520" s="6" t="s">
        <v>31</v>
      </c>
      <c r="J8520" s="6">
        <v>16.920474562231</v>
      </c>
      <c r="K8520" s="6">
        <v>-96.606206894981995</v>
      </c>
      <c r="L8520" s="6" t="str">
        <f>HYPERLINK("https://maps.google.com/?q=16.9204745622309,-96.606206894981696", "🔗 Ver Mapa")</f>
        <v>🔗 Ver Mapa</v>
      </c>
    </row>
    <row r="8521" spans="1:12" ht="43.5" x14ac:dyDescent="0.35">
      <c r="A8521" s="5" t="s">
        <v>98</v>
      </c>
      <c r="B8521" s="5" t="s">
        <v>99</v>
      </c>
      <c r="C8521" s="5" t="s">
        <v>1516</v>
      </c>
      <c r="D8521" s="5" t="s">
        <v>14</v>
      </c>
      <c r="E8521" s="5" t="s">
        <v>52</v>
      </c>
      <c r="F8521" s="5" t="s">
        <v>53</v>
      </c>
      <c r="G8521" s="5" t="s">
        <v>374</v>
      </c>
      <c r="H8521" s="5" t="s">
        <v>375</v>
      </c>
      <c r="I8521" s="5" t="s">
        <v>31</v>
      </c>
      <c r="J8521" s="5">
        <v>16.921171132327999</v>
      </c>
      <c r="K8521" s="5">
        <v>-96.614062653614994</v>
      </c>
      <c r="L8521" s="5" t="str">
        <f>HYPERLINK("https://maps.google.com/?q=16.921171132328,-96.614062653615306", "🔗 Ver Mapa")</f>
        <v>🔗 Ver Mapa</v>
      </c>
    </row>
    <row r="8522" spans="1:12" ht="43.5" x14ac:dyDescent="0.35">
      <c r="A8522" s="6" t="s">
        <v>98</v>
      </c>
      <c r="B8522" s="6" t="s">
        <v>99</v>
      </c>
      <c r="C8522" s="6" t="s">
        <v>1516</v>
      </c>
      <c r="D8522" s="6" t="s">
        <v>14</v>
      </c>
      <c r="E8522" s="6" t="s">
        <v>52</v>
      </c>
      <c r="F8522" s="6" t="s">
        <v>53</v>
      </c>
      <c r="G8522" s="6" t="s">
        <v>374</v>
      </c>
      <c r="H8522" s="6" t="s">
        <v>375</v>
      </c>
      <c r="I8522" s="6" t="s">
        <v>31</v>
      </c>
      <c r="J8522" s="6">
        <v>16.921256738316998</v>
      </c>
      <c r="K8522" s="6">
        <v>-96.613926525131006</v>
      </c>
      <c r="L8522" s="6" t="str">
        <f>HYPERLINK("https://maps.google.com/?q=16.9212567383169,-96.613926525131205", "🔗 Ver Mapa")</f>
        <v>🔗 Ver Mapa</v>
      </c>
    </row>
    <row r="8523" spans="1:12" ht="43.5" x14ac:dyDescent="0.35">
      <c r="A8523" s="5" t="s">
        <v>98</v>
      </c>
      <c r="B8523" s="5" t="s">
        <v>99</v>
      </c>
      <c r="C8523" s="5" t="s">
        <v>1516</v>
      </c>
      <c r="D8523" s="5" t="s">
        <v>14</v>
      </c>
      <c r="E8523" s="5" t="s">
        <v>52</v>
      </c>
      <c r="F8523" s="5" t="s">
        <v>53</v>
      </c>
      <c r="G8523" s="5" t="s">
        <v>374</v>
      </c>
      <c r="H8523" s="5" t="s">
        <v>375</v>
      </c>
      <c r="I8523" s="5" t="s">
        <v>31</v>
      </c>
      <c r="J8523" s="5">
        <v>16.921503945360001</v>
      </c>
      <c r="K8523" s="5">
        <v>-96.612060250331993</v>
      </c>
      <c r="L8523" s="5" t="str">
        <f>HYPERLINK("https://maps.google.com/?q=16.9215039453603,-96.612060250331794", "🔗 Ver Mapa")</f>
        <v>🔗 Ver Mapa</v>
      </c>
    </row>
    <row r="8524" spans="1:12" ht="43.5" x14ac:dyDescent="0.35">
      <c r="A8524" s="6" t="s">
        <v>98</v>
      </c>
      <c r="B8524" s="6" t="s">
        <v>99</v>
      </c>
      <c r="C8524" s="6" t="s">
        <v>1516</v>
      </c>
      <c r="D8524" s="6" t="s">
        <v>14</v>
      </c>
      <c r="E8524" s="6" t="s">
        <v>52</v>
      </c>
      <c r="F8524" s="6" t="s">
        <v>53</v>
      </c>
      <c r="G8524" s="6" t="s">
        <v>374</v>
      </c>
      <c r="H8524" s="6" t="s">
        <v>375</v>
      </c>
      <c r="I8524" s="6" t="s">
        <v>31</v>
      </c>
      <c r="J8524" s="6">
        <v>16.922189888374</v>
      </c>
      <c r="K8524" s="6">
        <v>-96.606141332505999</v>
      </c>
      <c r="L8524" s="6" t="str">
        <f>HYPERLINK("https://maps.google.com/?q=16.9221898883738,-96.606141332506198", "🔗 Ver Mapa")</f>
        <v>🔗 Ver Mapa</v>
      </c>
    </row>
    <row r="8525" spans="1:12" ht="43.5" x14ac:dyDescent="0.35">
      <c r="A8525" s="5" t="s">
        <v>98</v>
      </c>
      <c r="B8525" s="5" t="s">
        <v>99</v>
      </c>
      <c r="C8525" s="5" t="s">
        <v>1516</v>
      </c>
      <c r="D8525" s="5" t="s">
        <v>14</v>
      </c>
      <c r="E8525" s="5" t="s">
        <v>52</v>
      </c>
      <c r="F8525" s="5" t="s">
        <v>53</v>
      </c>
      <c r="G8525" s="5" t="s">
        <v>374</v>
      </c>
      <c r="H8525" s="5" t="s">
        <v>375</v>
      </c>
      <c r="I8525" s="5" t="s">
        <v>31</v>
      </c>
      <c r="J8525" s="5">
        <v>16.923108799312001</v>
      </c>
      <c r="K8525" s="5">
        <v>-96.604433306711002</v>
      </c>
      <c r="L8525" s="5" t="str">
        <f>HYPERLINK("https://maps.google.com/?q=16.9231087993117,-96.604433306711201", "🔗 Ver Mapa")</f>
        <v>🔗 Ver Mapa</v>
      </c>
    </row>
    <row r="8526" spans="1:12" ht="43.5" x14ac:dyDescent="0.35">
      <c r="A8526" s="6" t="s">
        <v>98</v>
      </c>
      <c r="B8526" s="6" t="s">
        <v>99</v>
      </c>
      <c r="C8526" s="6" t="s">
        <v>1516</v>
      </c>
      <c r="D8526" s="6" t="s">
        <v>14</v>
      </c>
      <c r="E8526" s="6" t="s">
        <v>52</v>
      </c>
      <c r="F8526" s="6" t="s">
        <v>53</v>
      </c>
      <c r="G8526" s="6" t="s">
        <v>374</v>
      </c>
      <c r="H8526" s="6" t="s">
        <v>375</v>
      </c>
      <c r="I8526" s="6" t="s">
        <v>31</v>
      </c>
      <c r="J8526" s="6">
        <v>16.923115266892001</v>
      </c>
      <c r="K8526" s="6">
        <v>-96.605172588955</v>
      </c>
      <c r="L8526" s="6" t="str">
        <f>HYPERLINK("https://maps.google.com/?q=16.9231152668924,-96.6051725889549", "🔗 Ver Mapa")</f>
        <v>🔗 Ver Mapa</v>
      </c>
    </row>
    <row r="8527" spans="1:12" ht="43.5" x14ac:dyDescent="0.35">
      <c r="A8527" s="5" t="s">
        <v>98</v>
      </c>
      <c r="B8527" s="5" t="s">
        <v>99</v>
      </c>
      <c r="C8527" s="5" t="s">
        <v>1516</v>
      </c>
      <c r="D8527" s="5" t="s">
        <v>14</v>
      </c>
      <c r="E8527" s="5" t="s">
        <v>52</v>
      </c>
      <c r="F8527" s="5" t="s">
        <v>53</v>
      </c>
      <c r="G8527" s="5" t="s">
        <v>374</v>
      </c>
      <c r="H8527" s="5" t="s">
        <v>375</v>
      </c>
      <c r="I8527" s="5" t="s">
        <v>31</v>
      </c>
      <c r="J8527" s="5">
        <v>16.923291342089001</v>
      </c>
      <c r="K8527" s="5">
        <v>-96.607285612268001</v>
      </c>
      <c r="L8527" s="5" t="str">
        <f>HYPERLINK("https://maps.google.com/?q=16.9232913420886,-96.607285612268399", "🔗 Ver Mapa")</f>
        <v>🔗 Ver Mapa</v>
      </c>
    </row>
    <row r="8528" spans="1:12" ht="43.5" x14ac:dyDescent="0.35">
      <c r="A8528" s="6" t="s">
        <v>98</v>
      </c>
      <c r="B8528" s="6" t="s">
        <v>99</v>
      </c>
      <c r="C8528" s="6" t="s">
        <v>1516</v>
      </c>
      <c r="D8528" s="6" t="s">
        <v>14</v>
      </c>
      <c r="E8528" s="6" t="s">
        <v>52</v>
      </c>
      <c r="F8528" s="6" t="s">
        <v>53</v>
      </c>
      <c r="G8528" s="6" t="s">
        <v>374</v>
      </c>
      <c r="H8528" s="6" t="s">
        <v>375</v>
      </c>
      <c r="I8528" s="6" t="s">
        <v>31</v>
      </c>
      <c r="J8528" s="6">
        <v>16.929619004448</v>
      </c>
      <c r="K8528" s="6">
        <v>-96.597134341105004</v>
      </c>
      <c r="L8528" s="6" t="str">
        <f>HYPERLINK("https://maps.google.com/?q=16.9296190044477,-96.597134341104507", "🔗 Ver Mapa")</f>
        <v>🔗 Ver Mapa</v>
      </c>
    </row>
    <row r="8529" spans="1:12" ht="43.5" x14ac:dyDescent="0.35">
      <c r="A8529" s="5" t="s">
        <v>98</v>
      </c>
      <c r="B8529" s="5" t="s">
        <v>99</v>
      </c>
      <c r="C8529" s="5" t="s">
        <v>1516</v>
      </c>
      <c r="D8529" s="5" t="s">
        <v>14</v>
      </c>
      <c r="E8529" s="5" t="s">
        <v>52</v>
      </c>
      <c r="F8529" s="5" t="s">
        <v>53</v>
      </c>
      <c r="G8529" s="5" t="s">
        <v>374</v>
      </c>
      <c r="H8529" s="5" t="s">
        <v>375</v>
      </c>
      <c r="I8529" s="5" t="s">
        <v>31</v>
      </c>
      <c r="J8529" s="5">
        <v>16.933018035210001</v>
      </c>
      <c r="K8529" s="5">
        <v>-96.602377656414006</v>
      </c>
      <c r="L8529" s="5" t="str">
        <f>HYPERLINK("https://maps.google.com/?q=16.9330180352098,-96.602377656414106", "🔗 Ver Mapa")</f>
        <v>🔗 Ver Mapa</v>
      </c>
    </row>
    <row r="8530" spans="1:12" ht="43.5" x14ac:dyDescent="0.35">
      <c r="A8530" s="6" t="s">
        <v>98</v>
      </c>
      <c r="B8530" s="6" t="s">
        <v>99</v>
      </c>
      <c r="C8530" s="6" t="s">
        <v>1516</v>
      </c>
      <c r="D8530" s="6" t="s">
        <v>14</v>
      </c>
      <c r="E8530" s="6" t="s">
        <v>52</v>
      </c>
      <c r="F8530" s="6" t="s">
        <v>53</v>
      </c>
      <c r="G8530" s="6" t="s">
        <v>374</v>
      </c>
      <c r="H8530" s="6" t="s">
        <v>375</v>
      </c>
      <c r="I8530" s="6" t="s">
        <v>31</v>
      </c>
      <c r="J8530" s="6">
        <v>16.934696549213999</v>
      </c>
      <c r="K8530" s="6">
        <v>-96.601488209821994</v>
      </c>
      <c r="L8530" s="6" t="str">
        <f>HYPERLINK("https://maps.google.com/?q=16.9346965492137,-96.601488209821696", "🔗 Ver Mapa")</f>
        <v>🔗 Ver Mapa</v>
      </c>
    </row>
    <row r="8531" spans="1:12" ht="43.5" x14ac:dyDescent="0.35">
      <c r="A8531" s="5" t="s">
        <v>98</v>
      </c>
      <c r="B8531" s="5" t="s">
        <v>99</v>
      </c>
      <c r="C8531" s="5" t="s">
        <v>1516</v>
      </c>
      <c r="D8531" s="5" t="s">
        <v>14</v>
      </c>
      <c r="E8531" s="5" t="s">
        <v>52</v>
      </c>
      <c r="F8531" s="5" t="s">
        <v>53</v>
      </c>
      <c r="G8531" s="5" t="s">
        <v>374</v>
      </c>
      <c r="H8531" s="5" t="s">
        <v>375</v>
      </c>
      <c r="I8531" s="5" t="s">
        <v>31</v>
      </c>
      <c r="J8531" s="5">
        <v>16.935551852004</v>
      </c>
      <c r="K8531" s="5">
        <v>-96.612721428241997</v>
      </c>
      <c r="L8531" s="5" t="str">
        <f>HYPERLINK("https://maps.google.com/?q=16.9355518520038,-96.612721428241699", "🔗 Ver Mapa")</f>
        <v>🔗 Ver Mapa</v>
      </c>
    </row>
    <row r="8532" spans="1:12" ht="43.5" x14ac:dyDescent="0.35">
      <c r="A8532" s="6" t="s">
        <v>98</v>
      </c>
      <c r="B8532" s="6" t="s">
        <v>99</v>
      </c>
      <c r="C8532" s="6" t="s">
        <v>1516</v>
      </c>
      <c r="D8532" s="6" t="s">
        <v>14</v>
      </c>
      <c r="E8532" s="6" t="s">
        <v>52</v>
      </c>
      <c r="F8532" s="6" t="s">
        <v>53</v>
      </c>
      <c r="G8532" s="6" t="s">
        <v>374</v>
      </c>
      <c r="H8532" s="6" t="s">
        <v>375</v>
      </c>
      <c r="I8532" s="6" t="s">
        <v>31</v>
      </c>
      <c r="J8532" s="6">
        <v>16.935629211996002</v>
      </c>
      <c r="K8532" s="6">
        <v>-96.613807608632996</v>
      </c>
      <c r="L8532" s="6" t="str">
        <f>HYPERLINK("https://maps.google.com/?q=16.9356292119959,-96.613807608632996", "🔗 Ver Mapa")</f>
        <v>🔗 Ver Mapa</v>
      </c>
    </row>
    <row r="8533" spans="1:12" ht="43.5" x14ac:dyDescent="0.35">
      <c r="A8533" s="5" t="s">
        <v>98</v>
      </c>
      <c r="B8533" s="5" t="s">
        <v>99</v>
      </c>
      <c r="C8533" s="5" t="s">
        <v>1516</v>
      </c>
      <c r="D8533" s="5" t="s">
        <v>14</v>
      </c>
      <c r="E8533" s="5" t="s">
        <v>52</v>
      </c>
      <c r="F8533" s="5" t="s">
        <v>53</v>
      </c>
      <c r="G8533" s="5" t="s">
        <v>374</v>
      </c>
      <c r="H8533" s="5" t="s">
        <v>375</v>
      </c>
      <c r="I8533" s="5" t="s">
        <v>31</v>
      </c>
      <c r="J8533" s="5">
        <v>16.935930343814</v>
      </c>
      <c r="K8533" s="5">
        <v>-96.607637306133995</v>
      </c>
      <c r="L8533" s="5" t="str">
        <f>HYPERLINK("https://maps.google.com/?q=16.9359303438136,-96.607637306134194", "🔗 Ver Mapa")</f>
        <v>🔗 Ver Mapa</v>
      </c>
    </row>
    <row r="8534" spans="1:12" ht="43.5" x14ac:dyDescent="0.35">
      <c r="A8534" s="6" t="s">
        <v>98</v>
      </c>
      <c r="B8534" s="6" t="s">
        <v>99</v>
      </c>
      <c r="C8534" s="6" t="s">
        <v>1516</v>
      </c>
      <c r="D8534" s="6" t="s">
        <v>14</v>
      </c>
      <c r="E8534" s="6" t="s">
        <v>52</v>
      </c>
      <c r="F8534" s="6" t="s">
        <v>53</v>
      </c>
      <c r="G8534" s="6" t="s">
        <v>374</v>
      </c>
      <c r="H8534" s="6" t="s">
        <v>375</v>
      </c>
      <c r="I8534" s="6" t="s">
        <v>31</v>
      </c>
      <c r="J8534" s="6">
        <v>16.936207734341998</v>
      </c>
      <c r="K8534" s="6">
        <v>-96.608206414679998</v>
      </c>
      <c r="L8534" s="6" t="str">
        <f>HYPERLINK("https://maps.google.com/?q=16.9362077343417,-96.608206414680495", "🔗 Ver Mapa")</f>
        <v>🔗 Ver Mapa</v>
      </c>
    </row>
    <row r="8535" spans="1:12" ht="43.5" x14ac:dyDescent="0.35">
      <c r="A8535" s="5" t="s">
        <v>98</v>
      </c>
      <c r="B8535" s="5" t="s">
        <v>99</v>
      </c>
      <c r="C8535" s="5" t="s">
        <v>1516</v>
      </c>
      <c r="D8535" s="5" t="s">
        <v>14</v>
      </c>
      <c r="E8535" s="5" t="s">
        <v>52</v>
      </c>
      <c r="F8535" s="5" t="s">
        <v>53</v>
      </c>
      <c r="G8535" s="5" t="s">
        <v>374</v>
      </c>
      <c r="H8535" s="5" t="s">
        <v>375</v>
      </c>
      <c r="I8535" s="5" t="s">
        <v>31</v>
      </c>
      <c r="J8535" s="5">
        <v>16.936473446478999</v>
      </c>
      <c r="K8535" s="5">
        <v>-96.599689963044</v>
      </c>
      <c r="L8535" s="5" t="str">
        <f>HYPERLINK("https://maps.google.com/?q=16.9364734464793,-96.599689963043701", "🔗 Ver Mapa")</f>
        <v>🔗 Ver Mapa</v>
      </c>
    </row>
    <row r="8536" spans="1:12" ht="43.5" x14ac:dyDescent="0.35">
      <c r="A8536" s="6" t="s">
        <v>98</v>
      </c>
      <c r="B8536" s="6" t="s">
        <v>99</v>
      </c>
      <c r="C8536" s="6" t="s">
        <v>1516</v>
      </c>
      <c r="D8536" s="6" t="s">
        <v>14</v>
      </c>
      <c r="E8536" s="6" t="s">
        <v>52</v>
      </c>
      <c r="F8536" s="6" t="s">
        <v>53</v>
      </c>
      <c r="G8536" s="6" t="s">
        <v>374</v>
      </c>
      <c r="H8536" s="6" t="s">
        <v>375</v>
      </c>
      <c r="I8536" s="6" t="s">
        <v>31</v>
      </c>
      <c r="J8536" s="6">
        <v>16.936607963785999</v>
      </c>
      <c r="K8536" s="6">
        <v>-96.599581139880996</v>
      </c>
      <c r="L8536" s="6" t="str">
        <f>HYPERLINK("https://maps.google.com/?q=16.9366079637855,-96.599581139881096", "🔗 Ver Mapa")</f>
        <v>🔗 Ver Mapa</v>
      </c>
    </row>
    <row r="8537" spans="1:12" ht="43.5" x14ac:dyDescent="0.35">
      <c r="A8537" s="5" t="s">
        <v>98</v>
      </c>
      <c r="B8537" s="5" t="s">
        <v>99</v>
      </c>
      <c r="C8537" s="5" t="s">
        <v>1516</v>
      </c>
      <c r="D8537" s="5" t="s">
        <v>14</v>
      </c>
      <c r="E8537" s="5" t="s">
        <v>52</v>
      </c>
      <c r="F8537" s="5" t="s">
        <v>53</v>
      </c>
      <c r="G8537" s="5" t="s">
        <v>374</v>
      </c>
      <c r="H8537" s="5" t="s">
        <v>375</v>
      </c>
      <c r="I8537" s="5" t="s">
        <v>31</v>
      </c>
      <c r="J8537" s="5">
        <v>16.937551729959001</v>
      </c>
      <c r="K8537" s="5">
        <v>-96.609309626984</v>
      </c>
      <c r="L8537" s="5" t="str">
        <f>HYPERLINK("https://maps.google.com/?q=16.937551729959,-96.609309626983702", "🔗 Ver Mapa")</f>
        <v>🔗 Ver Mapa</v>
      </c>
    </row>
    <row r="8538" spans="1:12" ht="43.5" x14ac:dyDescent="0.35">
      <c r="A8538" s="6" t="s">
        <v>98</v>
      </c>
      <c r="B8538" s="6" t="s">
        <v>99</v>
      </c>
      <c r="C8538" s="6" t="s">
        <v>1516</v>
      </c>
      <c r="D8538" s="6" t="s">
        <v>14</v>
      </c>
      <c r="E8538" s="6" t="s">
        <v>52</v>
      </c>
      <c r="F8538" s="6" t="s">
        <v>53</v>
      </c>
      <c r="G8538" s="6" t="s">
        <v>374</v>
      </c>
      <c r="H8538" s="6" t="s">
        <v>375</v>
      </c>
      <c r="I8538" s="6" t="s">
        <v>31</v>
      </c>
      <c r="J8538" s="6">
        <v>16.937600017487998</v>
      </c>
      <c r="K8538" s="6">
        <v>-96.613555425759998</v>
      </c>
      <c r="L8538" s="6" t="str">
        <f>HYPERLINK("https://maps.google.com/?q=16.9376000174878,-96.613555425760296", "🔗 Ver Mapa")</f>
        <v>🔗 Ver Mapa</v>
      </c>
    </row>
    <row r="8539" spans="1:12" ht="43.5" x14ac:dyDescent="0.35">
      <c r="A8539" s="5" t="s">
        <v>98</v>
      </c>
      <c r="B8539" s="5" t="s">
        <v>99</v>
      </c>
      <c r="C8539" s="5" t="s">
        <v>1516</v>
      </c>
      <c r="D8539" s="5" t="s">
        <v>14</v>
      </c>
      <c r="E8539" s="5" t="s">
        <v>52</v>
      </c>
      <c r="F8539" s="5" t="s">
        <v>53</v>
      </c>
      <c r="G8539" s="5" t="s">
        <v>374</v>
      </c>
      <c r="H8539" s="5" t="s">
        <v>375</v>
      </c>
      <c r="I8539" s="5" t="s">
        <v>31</v>
      </c>
      <c r="J8539" s="5">
        <v>16.939399855148</v>
      </c>
      <c r="K8539" s="5">
        <v>-96.607447145997995</v>
      </c>
      <c r="L8539" s="5" t="str">
        <f>HYPERLINK("https://maps.google.com/?q=16.9393998551483,-96.607447145997995", "🔗 Ver Mapa")</f>
        <v>🔗 Ver Mapa</v>
      </c>
    </row>
    <row r="8540" spans="1:12" ht="43.5" x14ac:dyDescent="0.35">
      <c r="A8540" s="6" t="s">
        <v>98</v>
      </c>
      <c r="B8540" s="6" t="s">
        <v>99</v>
      </c>
      <c r="C8540" s="6" t="s">
        <v>1517</v>
      </c>
      <c r="D8540" s="6" t="s">
        <v>14</v>
      </c>
      <c r="E8540" s="6" t="s">
        <v>52</v>
      </c>
      <c r="F8540" s="6" t="s">
        <v>53</v>
      </c>
      <c r="G8540" s="6" t="s">
        <v>374</v>
      </c>
      <c r="H8540" s="6" t="s">
        <v>375</v>
      </c>
      <c r="I8540" s="6" t="s">
        <v>31</v>
      </c>
      <c r="J8540" s="6">
        <v>16.916499153429999</v>
      </c>
      <c r="K8540" s="6">
        <v>-96.612499457672001</v>
      </c>
      <c r="L8540" s="6" t="str">
        <f>HYPERLINK("https://maps.google.com/?q=16.91649915343,-96.612499457672101", "🔗 Ver Mapa")</f>
        <v>🔗 Ver Mapa</v>
      </c>
    </row>
    <row r="8541" spans="1:12" ht="43.5" x14ac:dyDescent="0.35">
      <c r="A8541" s="5" t="s">
        <v>98</v>
      </c>
      <c r="B8541" s="5" t="s">
        <v>99</v>
      </c>
      <c r="C8541" s="5" t="s">
        <v>1517</v>
      </c>
      <c r="D8541" s="5" t="s">
        <v>14</v>
      </c>
      <c r="E8541" s="5" t="s">
        <v>52</v>
      </c>
      <c r="F8541" s="5" t="s">
        <v>53</v>
      </c>
      <c r="G8541" s="5" t="s">
        <v>374</v>
      </c>
      <c r="H8541" s="5" t="s">
        <v>375</v>
      </c>
      <c r="I8541" s="5" t="s">
        <v>31</v>
      </c>
      <c r="J8541" s="5">
        <v>16.91702057158</v>
      </c>
      <c r="K8541" s="5">
        <v>-96.611292739915996</v>
      </c>
      <c r="L8541" s="5" t="str">
        <f>HYPERLINK("https://maps.google.com/?q=16.91702057158,-96.611292739915797", "🔗 Ver Mapa")</f>
        <v>🔗 Ver Mapa</v>
      </c>
    </row>
    <row r="8542" spans="1:12" ht="43.5" x14ac:dyDescent="0.35">
      <c r="A8542" s="6" t="s">
        <v>98</v>
      </c>
      <c r="B8542" s="6" t="s">
        <v>99</v>
      </c>
      <c r="C8542" s="6" t="s">
        <v>1517</v>
      </c>
      <c r="D8542" s="6" t="s">
        <v>14</v>
      </c>
      <c r="E8542" s="6" t="s">
        <v>52</v>
      </c>
      <c r="F8542" s="6" t="s">
        <v>53</v>
      </c>
      <c r="G8542" s="6" t="s">
        <v>374</v>
      </c>
      <c r="H8542" s="6" t="s">
        <v>375</v>
      </c>
      <c r="I8542" s="6" t="s">
        <v>31</v>
      </c>
      <c r="J8542" s="6">
        <v>16.917287246026</v>
      </c>
      <c r="K8542" s="6">
        <v>-96.611783055225004</v>
      </c>
      <c r="L8542" s="6" t="str">
        <f>HYPERLINK("https://maps.google.com/?q=16.9172872460263,-96.611783055225303", "🔗 Ver Mapa")</f>
        <v>🔗 Ver Mapa</v>
      </c>
    </row>
    <row r="8543" spans="1:12" ht="43.5" x14ac:dyDescent="0.35">
      <c r="A8543" s="5" t="s">
        <v>98</v>
      </c>
      <c r="B8543" s="5" t="s">
        <v>99</v>
      </c>
      <c r="C8543" s="5" t="s">
        <v>1517</v>
      </c>
      <c r="D8543" s="5" t="s">
        <v>14</v>
      </c>
      <c r="E8543" s="5" t="s">
        <v>52</v>
      </c>
      <c r="F8543" s="5" t="s">
        <v>53</v>
      </c>
      <c r="G8543" s="5" t="s">
        <v>374</v>
      </c>
      <c r="H8543" s="5" t="s">
        <v>375</v>
      </c>
      <c r="I8543" s="5" t="s">
        <v>31</v>
      </c>
      <c r="J8543" s="5">
        <v>16.918370747472999</v>
      </c>
      <c r="K8543" s="5">
        <v>-96.611734425760005</v>
      </c>
      <c r="L8543" s="5" t="str">
        <f>HYPERLINK("https://maps.google.com/?q=16.9183707474725,-96.611734425760304", "🔗 Ver Mapa")</f>
        <v>🔗 Ver Mapa</v>
      </c>
    </row>
    <row r="8544" spans="1:12" ht="43.5" x14ac:dyDescent="0.35">
      <c r="A8544" s="6" t="s">
        <v>98</v>
      </c>
      <c r="B8544" s="6" t="s">
        <v>99</v>
      </c>
      <c r="C8544" s="6" t="s">
        <v>1517</v>
      </c>
      <c r="D8544" s="6" t="s">
        <v>14</v>
      </c>
      <c r="E8544" s="6" t="s">
        <v>52</v>
      </c>
      <c r="F8544" s="6" t="s">
        <v>53</v>
      </c>
      <c r="G8544" s="6" t="s">
        <v>374</v>
      </c>
      <c r="H8544" s="6" t="s">
        <v>375</v>
      </c>
      <c r="I8544" s="6" t="s">
        <v>31</v>
      </c>
      <c r="J8544" s="6">
        <v>16.918891492314</v>
      </c>
      <c r="K8544" s="6">
        <v>-96.609140256448995</v>
      </c>
      <c r="L8544" s="6" t="str">
        <f>HYPERLINK("https://maps.google.com/?q=16.9188914923137,-96.609140256448697", "🔗 Ver Mapa")</f>
        <v>🔗 Ver Mapa</v>
      </c>
    </row>
    <row r="8545" spans="1:12" ht="43.5" x14ac:dyDescent="0.35">
      <c r="A8545" s="5" t="s">
        <v>98</v>
      </c>
      <c r="B8545" s="5" t="s">
        <v>99</v>
      </c>
      <c r="C8545" s="5" t="s">
        <v>1517</v>
      </c>
      <c r="D8545" s="5" t="s">
        <v>14</v>
      </c>
      <c r="E8545" s="5" t="s">
        <v>52</v>
      </c>
      <c r="F8545" s="5" t="s">
        <v>53</v>
      </c>
      <c r="G8545" s="5" t="s">
        <v>374</v>
      </c>
      <c r="H8545" s="5" t="s">
        <v>375</v>
      </c>
      <c r="I8545" s="5" t="s">
        <v>31</v>
      </c>
      <c r="J8545" s="5">
        <v>16.920275907775</v>
      </c>
      <c r="K8545" s="5">
        <v>-96.609314635581995</v>
      </c>
      <c r="L8545" s="5" t="str">
        <f>HYPERLINK("https://maps.google.com/?q=16.9202759077748,-96.609314635581995", "🔗 Ver Mapa")</f>
        <v>🔗 Ver Mapa</v>
      </c>
    </row>
    <row r="8546" spans="1:12" ht="43.5" x14ac:dyDescent="0.35">
      <c r="A8546" s="6" t="s">
        <v>98</v>
      </c>
      <c r="B8546" s="6" t="s">
        <v>99</v>
      </c>
      <c r="C8546" s="6" t="s">
        <v>1517</v>
      </c>
      <c r="D8546" s="6" t="s">
        <v>14</v>
      </c>
      <c r="E8546" s="6" t="s">
        <v>52</v>
      </c>
      <c r="F8546" s="6" t="s">
        <v>53</v>
      </c>
      <c r="G8546" s="6" t="s">
        <v>374</v>
      </c>
      <c r="H8546" s="6" t="s">
        <v>375</v>
      </c>
      <c r="I8546" s="6" t="s">
        <v>31</v>
      </c>
      <c r="J8546" s="6">
        <v>16.920770629713001</v>
      </c>
      <c r="K8546" s="6">
        <v>-96.608630391193003</v>
      </c>
      <c r="L8546" s="6" t="str">
        <f>HYPERLINK("https://maps.google.com/?q=16.9207706297132,-96.608630391192506", "🔗 Ver Mapa")</f>
        <v>🔗 Ver Mapa</v>
      </c>
    </row>
    <row r="8547" spans="1:12" ht="43.5" x14ac:dyDescent="0.35">
      <c r="A8547" s="5" t="s">
        <v>98</v>
      </c>
      <c r="B8547" s="5" t="s">
        <v>99</v>
      </c>
      <c r="C8547" s="5" t="s">
        <v>1517</v>
      </c>
      <c r="D8547" s="5" t="s">
        <v>14</v>
      </c>
      <c r="E8547" s="5" t="s">
        <v>52</v>
      </c>
      <c r="F8547" s="5" t="s">
        <v>53</v>
      </c>
      <c r="G8547" s="5" t="s">
        <v>374</v>
      </c>
      <c r="H8547" s="5" t="s">
        <v>375</v>
      </c>
      <c r="I8547" s="5" t="s">
        <v>31</v>
      </c>
      <c r="J8547" s="5">
        <v>16.920984343116</v>
      </c>
      <c r="K8547" s="5">
        <v>-96.610899523171</v>
      </c>
      <c r="L8547" s="5" t="str">
        <f>HYPERLINK("https://maps.google.com/?q=16.9209843431161,-96.610899523170701", "🔗 Ver Mapa")</f>
        <v>🔗 Ver Mapa</v>
      </c>
    </row>
    <row r="8548" spans="1:12" ht="43.5" x14ac:dyDescent="0.35">
      <c r="A8548" s="6" t="s">
        <v>98</v>
      </c>
      <c r="B8548" s="6" t="s">
        <v>99</v>
      </c>
      <c r="C8548" s="6" t="s">
        <v>1517</v>
      </c>
      <c r="D8548" s="6" t="s">
        <v>14</v>
      </c>
      <c r="E8548" s="6" t="s">
        <v>52</v>
      </c>
      <c r="F8548" s="6" t="s">
        <v>53</v>
      </c>
      <c r="G8548" s="6" t="s">
        <v>374</v>
      </c>
      <c r="H8548" s="6" t="s">
        <v>375</v>
      </c>
      <c r="I8548" s="6" t="s">
        <v>31</v>
      </c>
      <c r="J8548" s="6">
        <v>16.921187309631001</v>
      </c>
      <c r="K8548" s="6">
        <v>-96.611328250878998</v>
      </c>
      <c r="L8548" s="6" t="str">
        <f>HYPERLINK("https://maps.google.com/?q=16.9211873096315,-96.611328250878501", "🔗 Ver Mapa")</f>
        <v>🔗 Ver Mapa</v>
      </c>
    </row>
    <row r="8549" spans="1:12" ht="43.5" x14ac:dyDescent="0.35">
      <c r="A8549" s="5" t="s">
        <v>98</v>
      </c>
      <c r="B8549" s="5" t="s">
        <v>99</v>
      </c>
      <c r="C8549" s="5" t="s">
        <v>1517</v>
      </c>
      <c r="D8549" s="5" t="s">
        <v>14</v>
      </c>
      <c r="E8549" s="5" t="s">
        <v>52</v>
      </c>
      <c r="F8549" s="5" t="s">
        <v>53</v>
      </c>
      <c r="G8549" s="5" t="s">
        <v>374</v>
      </c>
      <c r="H8549" s="5" t="s">
        <v>375</v>
      </c>
      <c r="I8549" s="5" t="s">
        <v>31</v>
      </c>
      <c r="J8549" s="5">
        <v>16.921422593635</v>
      </c>
      <c r="K8549" s="5">
        <v>-96.607749931601006</v>
      </c>
      <c r="L8549" s="5" t="str">
        <f>HYPERLINK("https://maps.google.com/?q=16.9214225936354,-96.607749931600694", "🔗 Ver Mapa")</f>
        <v>🔗 Ver Mapa</v>
      </c>
    </row>
    <row r="8550" spans="1:12" ht="43.5" x14ac:dyDescent="0.35">
      <c r="A8550" s="6" t="s">
        <v>98</v>
      </c>
      <c r="B8550" s="6" t="s">
        <v>99</v>
      </c>
      <c r="C8550" s="6" t="s">
        <v>1517</v>
      </c>
      <c r="D8550" s="6" t="s">
        <v>14</v>
      </c>
      <c r="E8550" s="6" t="s">
        <v>52</v>
      </c>
      <c r="F8550" s="6" t="s">
        <v>53</v>
      </c>
      <c r="G8550" s="6" t="s">
        <v>374</v>
      </c>
      <c r="H8550" s="6" t="s">
        <v>375</v>
      </c>
      <c r="I8550" s="6" t="s">
        <v>31</v>
      </c>
      <c r="J8550" s="6">
        <v>16.921838326343</v>
      </c>
      <c r="K8550" s="6">
        <v>-96.609678279761994</v>
      </c>
      <c r="L8550" s="6" t="str">
        <f>HYPERLINK("https://maps.google.com/?q=16.9218383263429,-96.609678279762207", "🔗 Ver Mapa")</f>
        <v>🔗 Ver Mapa</v>
      </c>
    </row>
    <row r="8551" spans="1:12" ht="43.5" x14ac:dyDescent="0.35">
      <c r="A8551" s="5" t="s">
        <v>98</v>
      </c>
      <c r="B8551" s="5" t="s">
        <v>99</v>
      </c>
      <c r="C8551" s="5" t="s">
        <v>1517</v>
      </c>
      <c r="D8551" s="5" t="s">
        <v>14</v>
      </c>
      <c r="E8551" s="5" t="s">
        <v>52</v>
      </c>
      <c r="F8551" s="5" t="s">
        <v>53</v>
      </c>
      <c r="G8551" s="5" t="s">
        <v>374</v>
      </c>
      <c r="H8551" s="5" t="s">
        <v>375</v>
      </c>
      <c r="I8551" s="5" t="s">
        <v>31</v>
      </c>
      <c r="J8551" s="5">
        <v>16.922205493734001</v>
      </c>
      <c r="K8551" s="5">
        <v>-96.605567822089995</v>
      </c>
      <c r="L8551" s="5" t="str">
        <f>HYPERLINK("https://maps.google.com/?q=16.9222054937336,-96.605567822090094", "🔗 Ver Mapa")</f>
        <v>🔗 Ver Mapa</v>
      </c>
    </row>
    <row r="8552" spans="1:12" ht="43.5" x14ac:dyDescent="0.35">
      <c r="A8552" s="6" t="s">
        <v>98</v>
      </c>
      <c r="B8552" s="6" t="s">
        <v>99</v>
      </c>
      <c r="C8552" s="6" t="s">
        <v>1517</v>
      </c>
      <c r="D8552" s="6" t="s">
        <v>14</v>
      </c>
      <c r="E8552" s="6" t="s">
        <v>52</v>
      </c>
      <c r="F8552" s="6" t="s">
        <v>53</v>
      </c>
      <c r="G8552" s="6" t="s">
        <v>374</v>
      </c>
      <c r="H8552" s="6" t="s">
        <v>375</v>
      </c>
      <c r="I8552" s="6" t="s">
        <v>31</v>
      </c>
      <c r="J8552" s="6">
        <v>16.922991006587001</v>
      </c>
      <c r="K8552" s="6">
        <v>-96.608051368087004</v>
      </c>
      <c r="L8552" s="6" t="str">
        <f>HYPERLINK("https://maps.google.com/?q=16.922991006587,-96.608051368087303", "🔗 Ver Mapa")</f>
        <v>🔗 Ver Mapa</v>
      </c>
    </row>
    <row r="8553" spans="1:12" ht="43.5" x14ac:dyDescent="0.35">
      <c r="A8553" s="5" t="s">
        <v>98</v>
      </c>
      <c r="B8553" s="5" t="s">
        <v>99</v>
      </c>
      <c r="C8553" s="5" t="s">
        <v>1517</v>
      </c>
      <c r="D8553" s="5" t="s">
        <v>14</v>
      </c>
      <c r="E8553" s="5" t="s">
        <v>52</v>
      </c>
      <c r="F8553" s="5" t="s">
        <v>53</v>
      </c>
      <c r="G8553" s="5" t="s">
        <v>374</v>
      </c>
      <c r="H8553" s="5" t="s">
        <v>375</v>
      </c>
      <c r="I8553" s="5" t="s">
        <v>31</v>
      </c>
      <c r="J8553" s="5">
        <v>16.923031682047998</v>
      </c>
      <c r="K8553" s="5">
        <v>-96.609818434358999</v>
      </c>
      <c r="L8553" s="5" t="str">
        <f>HYPERLINK("https://maps.google.com/?q=16.9230316820484,-96.609818434358601", "🔗 Ver Mapa")</f>
        <v>🔗 Ver Mapa</v>
      </c>
    </row>
    <row r="8554" spans="1:12" ht="43.5" x14ac:dyDescent="0.35">
      <c r="A8554" s="6" t="s">
        <v>98</v>
      </c>
      <c r="B8554" s="6" t="s">
        <v>99</v>
      </c>
      <c r="C8554" s="6" t="s">
        <v>1517</v>
      </c>
      <c r="D8554" s="6" t="s">
        <v>14</v>
      </c>
      <c r="E8554" s="6" t="s">
        <v>52</v>
      </c>
      <c r="F8554" s="6" t="s">
        <v>53</v>
      </c>
      <c r="G8554" s="6" t="s">
        <v>374</v>
      </c>
      <c r="H8554" s="6" t="s">
        <v>375</v>
      </c>
      <c r="I8554" s="6" t="s">
        <v>31</v>
      </c>
      <c r="J8554" s="6">
        <v>16.923129492977999</v>
      </c>
      <c r="K8554" s="6">
        <v>-96.613264565641998</v>
      </c>
      <c r="L8554" s="6" t="str">
        <f>HYPERLINK("https://maps.google.com/?q=16.9231294929784,-96.613264565641501", "🔗 Ver Mapa")</f>
        <v>🔗 Ver Mapa</v>
      </c>
    </row>
    <row r="8555" spans="1:12" ht="43.5" x14ac:dyDescent="0.35">
      <c r="A8555" s="5" t="s">
        <v>98</v>
      </c>
      <c r="B8555" s="5" t="s">
        <v>99</v>
      </c>
      <c r="C8555" s="5" t="s">
        <v>1517</v>
      </c>
      <c r="D8555" s="5" t="s">
        <v>14</v>
      </c>
      <c r="E8555" s="5" t="s">
        <v>52</v>
      </c>
      <c r="F8555" s="5" t="s">
        <v>53</v>
      </c>
      <c r="G8555" s="5" t="s">
        <v>374</v>
      </c>
      <c r="H8555" s="5" t="s">
        <v>375</v>
      </c>
      <c r="I8555" s="5" t="s">
        <v>31</v>
      </c>
      <c r="J8555" s="5">
        <v>16.923162003809999</v>
      </c>
      <c r="K8555" s="5">
        <v>-96.611426163195006</v>
      </c>
      <c r="L8555" s="5" t="str">
        <f>HYPERLINK("https://maps.google.com/?q=16.9231620038103,-96.611426163194693", "🔗 Ver Mapa")</f>
        <v>🔗 Ver Mapa</v>
      </c>
    </row>
    <row r="8556" spans="1:12" ht="43.5" x14ac:dyDescent="0.35">
      <c r="A8556" s="6" t="s">
        <v>98</v>
      </c>
      <c r="B8556" s="6" t="s">
        <v>99</v>
      </c>
      <c r="C8556" s="6" t="s">
        <v>1517</v>
      </c>
      <c r="D8556" s="6" t="s">
        <v>14</v>
      </c>
      <c r="E8556" s="6" t="s">
        <v>52</v>
      </c>
      <c r="F8556" s="6" t="s">
        <v>53</v>
      </c>
      <c r="G8556" s="6" t="s">
        <v>374</v>
      </c>
      <c r="H8556" s="6" t="s">
        <v>375</v>
      </c>
      <c r="I8556" s="6" t="s">
        <v>31</v>
      </c>
      <c r="J8556" s="6">
        <v>16.9247839083</v>
      </c>
      <c r="K8556" s="6">
        <v>-96.610186938658003</v>
      </c>
      <c r="L8556" s="6" t="str">
        <f>HYPERLINK("https://maps.google.com/?q=16.9247839082996,-96.610186938657705", "🔗 Ver Mapa")</f>
        <v>🔗 Ver Mapa</v>
      </c>
    </row>
    <row r="8557" spans="1:12" ht="43.5" x14ac:dyDescent="0.35">
      <c r="A8557" s="5" t="s">
        <v>98</v>
      </c>
      <c r="B8557" s="5" t="s">
        <v>99</v>
      </c>
      <c r="C8557" s="5" t="s">
        <v>1517</v>
      </c>
      <c r="D8557" s="5" t="s">
        <v>14</v>
      </c>
      <c r="E8557" s="5" t="s">
        <v>52</v>
      </c>
      <c r="F8557" s="5" t="s">
        <v>53</v>
      </c>
      <c r="G8557" s="5" t="s">
        <v>374</v>
      </c>
      <c r="H8557" s="5" t="s">
        <v>375</v>
      </c>
      <c r="I8557" s="5" t="s">
        <v>31</v>
      </c>
      <c r="J8557" s="5">
        <v>16.924873134675</v>
      </c>
      <c r="K8557" s="5">
        <v>-96.606085203705007</v>
      </c>
      <c r="L8557" s="5" t="str">
        <f>HYPERLINK("https://maps.google.com/?q=16.9248731346753,-96.606085203704794", "🔗 Ver Mapa")</f>
        <v>🔗 Ver Mapa</v>
      </c>
    </row>
    <row r="8558" spans="1:12" ht="43.5" x14ac:dyDescent="0.35">
      <c r="A8558" s="6" t="s">
        <v>98</v>
      </c>
      <c r="B8558" s="6" t="s">
        <v>99</v>
      </c>
      <c r="C8558" s="6" t="s">
        <v>1517</v>
      </c>
      <c r="D8558" s="6" t="s">
        <v>14</v>
      </c>
      <c r="E8558" s="6" t="s">
        <v>52</v>
      </c>
      <c r="F8558" s="6" t="s">
        <v>53</v>
      </c>
      <c r="G8558" s="6" t="s">
        <v>374</v>
      </c>
      <c r="H8558" s="6" t="s">
        <v>375</v>
      </c>
      <c r="I8558" s="6" t="s">
        <v>31</v>
      </c>
      <c r="J8558" s="6">
        <v>16.925145832814</v>
      </c>
      <c r="K8558" s="6">
        <v>-96.606000568122994</v>
      </c>
      <c r="L8558" s="6" t="str">
        <f>HYPERLINK("https://maps.google.com/?q=16.9251458328138,-96.606000568122795", "🔗 Ver Mapa")</f>
        <v>🔗 Ver Mapa</v>
      </c>
    </row>
    <row r="8559" spans="1:12" ht="43.5" x14ac:dyDescent="0.35">
      <c r="A8559" s="5" t="s">
        <v>98</v>
      </c>
      <c r="B8559" s="5" t="s">
        <v>99</v>
      </c>
      <c r="C8559" s="5" t="s">
        <v>1517</v>
      </c>
      <c r="D8559" s="5" t="s">
        <v>14</v>
      </c>
      <c r="E8559" s="5" t="s">
        <v>52</v>
      </c>
      <c r="F8559" s="5" t="s">
        <v>53</v>
      </c>
      <c r="G8559" s="5" t="s">
        <v>374</v>
      </c>
      <c r="H8559" s="5" t="s">
        <v>375</v>
      </c>
      <c r="I8559" s="5" t="s">
        <v>31</v>
      </c>
      <c r="J8559" s="5">
        <v>16.925742776023</v>
      </c>
      <c r="K8559" s="5">
        <v>-96.610519635581994</v>
      </c>
      <c r="L8559" s="5" t="str">
        <f>HYPERLINK("https://maps.google.com/?q=16.9257427760231,-96.610519635581994", "🔗 Ver Mapa")</f>
        <v>🔗 Ver Mapa</v>
      </c>
    </row>
    <row r="8560" spans="1:12" ht="43.5" x14ac:dyDescent="0.35">
      <c r="A8560" s="6" t="s">
        <v>98</v>
      </c>
      <c r="B8560" s="6" t="s">
        <v>99</v>
      </c>
      <c r="C8560" s="6" t="s">
        <v>1517</v>
      </c>
      <c r="D8560" s="6" t="s">
        <v>14</v>
      </c>
      <c r="E8560" s="6" t="s">
        <v>52</v>
      </c>
      <c r="F8560" s="6" t="s">
        <v>53</v>
      </c>
      <c r="G8560" s="6" t="s">
        <v>374</v>
      </c>
      <c r="H8560" s="6" t="s">
        <v>375</v>
      </c>
      <c r="I8560" s="6" t="s">
        <v>31</v>
      </c>
      <c r="J8560" s="6">
        <v>16.926225795415</v>
      </c>
      <c r="K8560" s="6">
        <v>-96.602662961971006</v>
      </c>
      <c r="L8560" s="6" t="str">
        <f>HYPERLINK("https://maps.google.com/?q=16.926225795415,-96.602662961971305", "🔗 Ver Mapa")</f>
        <v>🔗 Ver Mapa</v>
      </c>
    </row>
    <row r="8561" spans="1:12" ht="43.5" x14ac:dyDescent="0.35">
      <c r="A8561" s="5" t="s">
        <v>98</v>
      </c>
      <c r="B8561" s="5" t="s">
        <v>99</v>
      </c>
      <c r="C8561" s="5" t="s">
        <v>1517</v>
      </c>
      <c r="D8561" s="5" t="s">
        <v>14</v>
      </c>
      <c r="E8561" s="5" t="s">
        <v>52</v>
      </c>
      <c r="F8561" s="5" t="s">
        <v>53</v>
      </c>
      <c r="G8561" s="5" t="s">
        <v>374</v>
      </c>
      <c r="H8561" s="5" t="s">
        <v>375</v>
      </c>
      <c r="I8561" s="5" t="s">
        <v>31</v>
      </c>
      <c r="J8561" s="5">
        <v>16.926228511375999</v>
      </c>
      <c r="K8561" s="5">
        <v>-96.602482895850997</v>
      </c>
      <c r="L8561" s="5" t="str">
        <f>HYPERLINK("https://maps.google.com/?q=16.9262285113763,-96.602482895850997", "🔗 Ver Mapa")</f>
        <v>🔗 Ver Mapa</v>
      </c>
    </row>
    <row r="8562" spans="1:12" ht="43.5" x14ac:dyDescent="0.35">
      <c r="A8562" s="6" t="s">
        <v>98</v>
      </c>
      <c r="B8562" s="6" t="s">
        <v>99</v>
      </c>
      <c r="C8562" s="6" t="s">
        <v>1517</v>
      </c>
      <c r="D8562" s="6" t="s">
        <v>14</v>
      </c>
      <c r="E8562" s="6" t="s">
        <v>52</v>
      </c>
      <c r="F8562" s="6" t="s">
        <v>53</v>
      </c>
      <c r="G8562" s="6" t="s">
        <v>374</v>
      </c>
      <c r="H8562" s="6" t="s">
        <v>375</v>
      </c>
      <c r="I8562" s="6" t="s">
        <v>31</v>
      </c>
      <c r="J8562" s="6">
        <v>16.926260021598999</v>
      </c>
      <c r="K8562" s="6">
        <v>-96.604287379132998</v>
      </c>
      <c r="L8562" s="6" t="str">
        <f>HYPERLINK("https://maps.google.com/?q=16.9262600215985,-96.604287379133297", "🔗 Ver Mapa")</f>
        <v>🔗 Ver Mapa</v>
      </c>
    </row>
    <row r="8563" spans="1:12" ht="43.5" x14ac:dyDescent="0.35">
      <c r="A8563" s="5" t="s">
        <v>98</v>
      </c>
      <c r="B8563" s="5" t="s">
        <v>99</v>
      </c>
      <c r="C8563" s="5" t="s">
        <v>1517</v>
      </c>
      <c r="D8563" s="5" t="s">
        <v>14</v>
      </c>
      <c r="E8563" s="5" t="s">
        <v>52</v>
      </c>
      <c r="F8563" s="5" t="s">
        <v>53</v>
      </c>
      <c r="G8563" s="5" t="s">
        <v>374</v>
      </c>
      <c r="H8563" s="5" t="s">
        <v>375</v>
      </c>
      <c r="I8563" s="5" t="s">
        <v>31</v>
      </c>
      <c r="J8563" s="5">
        <v>16.926781889605</v>
      </c>
      <c r="K8563" s="5">
        <v>-96.602204122684</v>
      </c>
      <c r="L8563" s="5" t="str">
        <f>HYPERLINK("https://maps.google.com/?q=16.9267818896053,-96.602204122684498", "🔗 Ver Mapa")</f>
        <v>🔗 Ver Mapa</v>
      </c>
    </row>
    <row r="8564" spans="1:12" ht="43.5" x14ac:dyDescent="0.35">
      <c r="A8564" s="6" t="s">
        <v>98</v>
      </c>
      <c r="B8564" s="6" t="s">
        <v>99</v>
      </c>
      <c r="C8564" s="6" t="s">
        <v>1517</v>
      </c>
      <c r="D8564" s="6" t="s">
        <v>14</v>
      </c>
      <c r="E8564" s="6" t="s">
        <v>52</v>
      </c>
      <c r="F8564" s="6" t="s">
        <v>53</v>
      </c>
      <c r="G8564" s="6" t="s">
        <v>374</v>
      </c>
      <c r="H8564" s="6" t="s">
        <v>375</v>
      </c>
      <c r="I8564" s="6" t="s">
        <v>31</v>
      </c>
      <c r="J8564" s="6">
        <v>16.927489133659002</v>
      </c>
      <c r="K8564" s="6">
        <v>-96.602964752150001</v>
      </c>
      <c r="L8564" s="6" t="str">
        <f>HYPERLINK("https://maps.google.com/?q=16.9274891336595,-96.602964752149603", "🔗 Ver Mapa")</f>
        <v>🔗 Ver Mapa</v>
      </c>
    </row>
    <row r="8565" spans="1:12" ht="43.5" x14ac:dyDescent="0.35">
      <c r="A8565" s="5" t="s">
        <v>98</v>
      </c>
      <c r="B8565" s="5" t="s">
        <v>99</v>
      </c>
      <c r="C8565" s="5" t="s">
        <v>1517</v>
      </c>
      <c r="D8565" s="5" t="s">
        <v>14</v>
      </c>
      <c r="E8565" s="5" t="s">
        <v>52</v>
      </c>
      <c r="F8565" s="5" t="s">
        <v>53</v>
      </c>
      <c r="G8565" s="5" t="s">
        <v>374</v>
      </c>
      <c r="H8565" s="5" t="s">
        <v>375</v>
      </c>
      <c r="I8565" s="5" t="s">
        <v>31</v>
      </c>
      <c r="J8565" s="5">
        <v>16.927657888608</v>
      </c>
      <c r="K8565" s="5">
        <v>-96.607846606151995</v>
      </c>
      <c r="L8565" s="5" t="str">
        <f>HYPERLINK("https://maps.google.com/?q=16.9276578886076,-96.607846606151597", "🔗 Ver Mapa")</f>
        <v>🔗 Ver Mapa</v>
      </c>
    </row>
    <row r="8566" spans="1:12" ht="43.5" x14ac:dyDescent="0.35">
      <c r="A8566" s="6" t="s">
        <v>98</v>
      </c>
      <c r="B8566" s="6" t="s">
        <v>99</v>
      </c>
      <c r="C8566" s="6" t="s">
        <v>1517</v>
      </c>
      <c r="D8566" s="6" t="s">
        <v>14</v>
      </c>
      <c r="E8566" s="6" t="s">
        <v>52</v>
      </c>
      <c r="F8566" s="6" t="s">
        <v>53</v>
      </c>
      <c r="G8566" s="6" t="s">
        <v>374</v>
      </c>
      <c r="H8566" s="6" t="s">
        <v>375</v>
      </c>
      <c r="I8566" s="6" t="s">
        <v>31</v>
      </c>
      <c r="J8566" s="6">
        <v>16.927827643592</v>
      </c>
      <c r="K8566" s="6">
        <v>-96.600386201223003</v>
      </c>
      <c r="L8566" s="6" t="str">
        <f>HYPERLINK("https://maps.google.com/?q=16.9278276435919,-96.600386201223401", "🔗 Ver Mapa")</f>
        <v>🔗 Ver Mapa</v>
      </c>
    </row>
    <row r="8567" spans="1:12" ht="43.5" x14ac:dyDescent="0.35">
      <c r="A8567" s="5" t="s">
        <v>98</v>
      </c>
      <c r="B8567" s="5" t="s">
        <v>99</v>
      </c>
      <c r="C8567" s="5" t="s">
        <v>1517</v>
      </c>
      <c r="D8567" s="5" t="s">
        <v>14</v>
      </c>
      <c r="E8567" s="5" t="s">
        <v>52</v>
      </c>
      <c r="F8567" s="5" t="s">
        <v>53</v>
      </c>
      <c r="G8567" s="5" t="s">
        <v>374</v>
      </c>
      <c r="H8567" s="5" t="s">
        <v>375</v>
      </c>
      <c r="I8567" s="5" t="s">
        <v>31</v>
      </c>
      <c r="J8567" s="5">
        <v>16.927893322545</v>
      </c>
      <c r="K8567" s="5">
        <v>-96.604062148479002</v>
      </c>
      <c r="L8567" s="5" t="str">
        <f>HYPERLINK("https://maps.google.com/?q=16.9278933225454,-96.6040621484795", "🔗 Ver Mapa")</f>
        <v>🔗 Ver Mapa</v>
      </c>
    </row>
    <row r="8568" spans="1:12" ht="43.5" x14ac:dyDescent="0.35">
      <c r="A8568" s="6" t="s">
        <v>98</v>
      </c>
      <c r="B8568" s="6" t="s">
        <v>99</v>
      </c>
      <c r="C8568" s="6" t="s">
        <v>1517</v>
      </c>
      <c r="D8568" s="6" t="s">
        <v>14</v>
      </c>
      <c r="E8568" s="6" t="s">
        <v>52</v>
      </c>
      <c r="F8568" s="6" t="s">
        <v>53</v>
      </c>
      <c r="G8568" s="6" t="s">
        <v>374</v>
      </c>
      <c r="H8568" s="6" t="s">
        <v>375</v>
      </c>
      <c r="I8568" s="6" t="s">
        <v>31</v>
      </c>
      <c r="J8568" s="6">
        <v>16.927944390343999</v>
      </c>
      <c r="K8568" s="6">
        <v>-96.604210828343</v>
      </c>
      <c r="L8568" s="6" t="str">
        <f>HYPERLINK("https://maps.google.com/?q=16.9279443903443,-96.604210828343497", "🔗 Ver Mapa")</f>
        <v>🔗 Ver Mapa</v>
      </c>
    </row>
    <row r="8569" spans="1:12" ht="43.5" x14ac:dyDescent="0.35">
      <c r="A8569" s="5" t="s">
        <v>98</v>
      </c>
      <c r="B8569" s="5" t="s">
        <v>99</v>
      </c>
      <c r="C8569" s="5" t="s">
        <v>1517</v>
      </c>
      <c r="D8569" s="5" t="s">
        <v>14</v>
      </c>
      <c r="E8569" s="5" t="s">
        <v>52</v>
      </c>
      <c r="F8569" s="5" t="s">
        <v>53</v>
      </c>
      <c r="G8569" s="5" t="s">
        <v>374</v>
      </c>
      <c r="H8569" s="5" t="s">
        <v>375</v>
      </c>
      <c r="I8569" s="5" t="s">
        <v>31</v>
      </c>
      <c r="J8569" s="5">
        <v>16.928243228541</v>
      </c>
      <c r="K8569" s="5">
        <v>-96.600350052744005</v>
      </c>
      <c r="L8569" s="5" t="str">
        <f>HYPERLINK("https://maps.google.com/?q=16.928243228541,-96.600350052744005", "🔗 Ver Mapa")</f>
        <v>🔗 Ver Mapa</v>
      </c>
    </row>
    <row r="8570" spans="1:12" ht="43.5" x14ac:dyDescent="0.35">
      <c r="A8570" s="6" t="s">
        <v>98</v>
      </c>
      <c r="B8570" s="6" t="s">
        <v>99</v>
      </c>
      <c r="C8570" s="6" t="s">
        <v>1517</v>
      </c>
      <c r="D8570" s="6" t="s">
        <v>14</v>
      </c>
      <c r="E8570" s="6" t="s">
        <v>52</v>
      </c>
      <c r="F8570" s="6" t="s">
        <v>53</v>
      </c>
      <c r="G8570" s="6" t="s">
        <v>374</v>
      </c>
      <c r="H8570" s="6" t="s">
        <v>375</v>
      </c>
      <c r="I8570" s="6" t="s">
        <v>31</v>
      </c>
      <c r="J8570" s="6">
        <v>16.928280474746</v>
      </c>
      <c r="K8570" s="6">
        <v>-96.610634101852</v>
      </c>
      <c r="L8570" s="6" t="str">
        <f>HYPERLINK("https://maps.google.com/?q=16.9282804747464,-96.610634101852398", "🔗 Ver Mapa")</f>
        <v>🔗 Ver Mapa</v>
      </c>
    </row>
    <row r="8571" spans="1:12" ht="43.5" x14ac:dyDescent="0.35">
      <c r="A8571" s="5" t="s">
        <v>98</v>
      </c>
      <c r="B8571" s="5" t="s">
        <v>99</v>
      </c>
      <c r="C8571" s="5" t="s">
        <v>1517</v>
      </c>
      <c r="D8571" s="5" t="s">
        <v>14</v>
      </c>
      <c r="E8571" s="5" t="s">
        <v>52</v>
      </c>
      <c r="F8571" s="5" t="s">
        <v>53</v>
      </c>
      <c r="G8571" s="5" t="s">
        <v>374</v>
      </c>
      <c r="H8571" s="5" t="s">
        <v>375</v>
      </c>
      <c r="I8571" s="5" t="s">
        <v>31</v>
      </c>
      <c r="J8571" s="5">
        <v>16.928815867760001</v>
      </c>
      <c r="K8571" s="5">
        <v>-96.600280868716993</v>
      </c>
      <c r="L8571" s="5" t="str">
        <f>HYPERLINK("https://maps.google.com/?q=16.9288158677605,-96.600280868717107", "🔗 Ver Mapa")</f>
        <v>🔗 Ver Mapa</v>
      </c>
    </row>
    <row r="8572" spans="1:12" ht="43.5" x14ac:dyDescent="0.35">
      <c r="A8572" s="6" t="s">
        <v>98</v>
      </c>
      <c r="B8572" s="6" t="s">
        <v>99</v>
      </c>
      <c r="C8572" s="6" t="s">
        <v>1517</v>
      </c>
      <c r="D8572" s="6" t="s">
        <v>14</v>
      </c>
      <c r="E8572" s="6" t="s">
        <v>52</v>
      </c>
      <c r="F8572" s="6" t="s">
        <v>53</v>
      </c>
      <c r="G8572" s="6" t="s">
        <v>374</v>
      </c>
      <c r="H8572" s="6" t="s">
        <v>375</v>
      </c>
      <c r="I8572" s="6" t="s">
        <v>31</v>
      </c>
      <c r="J8572" s="6">
        <v>16.929031058317999</v>
      </c>
      <c r="K8572" s="6">
        <v>-96.600703504299005</v>
      </c>
      <c r="L8572" s="6" t="str">
        <f>HYPERLINK("https://maps.google.com/?q=16.9290310583184,-96.600703504299204", "🔗 Ver Mapa")</f>
        <v>🔗 Ver Mapa</v>
      </c>
    </row>
    <row r="8573" spans="1:12" ht="43.5" x14ac:dyDescent="0.35">
      <c r="A8573" s="5" t="s">
        <v>98</v>
      </c>
      <c r="B8573" s="5" t="s">
        <v>99</v>
      </c>
      <c r="C8573" s="5" t="s">
        <v>1517</v>
      </c>
      <c r="D8573" s="5" t="s">
        <v>14</v>
      </c>
      <c r="E8573" s="5" t="s">
        <v>52</v>
      </c>
      <c r="F8573" s="5" t="s">
        <v>53</v>
      </c>
      <c r="G8573" s="5" t="s">
        <v>374</v>
      </c>
      <c r="H8573" s="5" t="s">
        <v>375</v>
      </c>
      <c r="I8573" s="5" t="s">
        <v>31</v>
      </c>
      <c r="J8573" s="5">
        <v>16.929065605215001</v>
      </c>
      <c r="K8573" s="5">
        <v>-96.597729868716996</v>
      </c>
      <c r="L8573" s="5" t="str">
        <f>HYPERLINK("https://maps.google.com/?q=16.9290656052154,-96.597729868717195", "🔗 Ver Mapa")</f>
        <v>🔗 Ver Mapa</v>
      </c>
    </row>
    <row r="8574" spans="1:12" ht="43.5" x14ac:dyDescent="0.35">
      <c r="A8574" s="6" t="s">
        <v>98</v>
      </c>
      <c r="B8574" s="6" t="s">
        <v>99</v>
      </c>
      <c r="C8574" s="6" t="s">
        <v>1517</v>
      </c>
      <c r="D8574" s="6" t="s">
        <v>14</v>
      </c>
      <c r="E8574" s="6" t="s">
        <v>52</v>
      </c>
      <c r="F8574" s="6" t="s">
        <v>53</v>
      </c>
      <c r="G8574" s="6" t="s">
        <v>374</v>
      </c>
      <c r="H8574" s="6" t="s">
        <v>375</v>
      </c>
      <c r="I8574" s="6" t="s">
        <v>31</v>
      </c>
      <c r="J8574" s="6">
        <v>16.929419823699</v>
      </c>
      <c r="K8574" s="6">
        <v>-96.601920560178002</v>
      </c>
      <c r="L8574" s="6" t="str">
        <f>HYPERLINK("https://maps.google.com/?q=16.9294198236989,-96.601920560178499", "🔗 Ver Mapa")</f>
        <v>🔗 Ver Mapa</v>
      </c>
    </row>
    <row r="8575" spans="1:12" ht="43.5" x14ac:dyDescent="0.35">
      <c r="A8575" s="5" t="s">
        <v>98</v>
      </c>
      <c r="B8575" s="5" t="s">
        <v>99</v>
      </c>
      <c r="C8575" s="5" t="s">
        <v>1517</v>
      </c>
      <c r="D8575" s="5" t="s">
        <v>14</v>
      </c>
      <c r="E8575" s="5" t="s">
        <v>52</v>
      </c>
      <c r="F8575" s="5" t="s">
        <v>53</v>
      </c>
      <c r="G8575" s="5" t="s">
        <v>374</v>
      </c>
      <c r="H8575" s="5" t="s">
        <v>375</v>
      </c>
      <c r="I8575" s="5" t="s">
        <v>31</v>
      </c>
      <c r="J8575" s="5">
        <v>16.930164813344</v>
      </c>
      <c r="K8575" s="5">
        <v>-96.605102303075995</v>
      </c>
      <c r="L8575" s="5" t="str">
        <f>HYPERLINK("https://maps.google.com/?q=16.9301648133444,-96.605102303075697", "🔗 Ver Mapa")</f>
        <v>🔗 Ver Mapa</v>
      </c>
    </row>
    <row r="8576" spans="1:12" ht="43.5" x14ac:dyDescent="0.35">
      <c r="A8576" s="6" t="s">
        <v>98</v>
      </c>
      <c r="B8576" s="6" t="s">
        <v>99</v>
      </c>
      <c r="C8576" s="6" t="s">
        <v>1517</v>
      </c>
      <c r="D8576" s="6" t="s">
        <v>14</v>
      </c>
      <c r="E8576" s="6" t="s">
        <v>52</v>
      </c>
      <c r="F8576" s="6" t="s">
        <v>53</v>
      </c>
      <c r="G8576" s="6" t="s">
        <v>374</v>
      </c>
      <c r="H8576" s="6" t="s">
        <v>375</v>
      </c>
      <c r="I8576" s="6" t="s">
        <v>31</v>
      </c>
      <c r="J8576" s="6">
        <v>16.930178664271999</v>
      </c>
      <c r="K8576" s="6">
        <v>-96.60067293006</v>
      </c>
      <c r="L8576" s="6" t="str">
        <f>HYPERLINK("https://maps.google.com/?q=16.9301786642721,-96.600672930059503", "🔗 Ver Mapa")</f>
        <v>🔗 Ver Mapa</v>
      </c>
    </row>
    <row r="8577" spans="1:12" ht="43.5" x14ac:dyDescent="0.35">
      <c r="A8577" s="5" t="s">
        <v>98</v>
      </c>
      <c r="B8577" s="5" t="s">
        <v>99</v>
      </c>
      <c r="C8577" s="5" t="s">
        <v>1517</v>
      </c>
      <c r="D8577" s="5" t="s">
        <v>14</v>
      </c>
      <c r="E8577" s="5" t="s">
        <v>52</v>
      </c>
      <c r="F8577" s="5" t="s">
        <v>53</v>
      </c>
      <c r="G8577" s="5" t="s">
        <v>374</v>
      </c>
      <c r="H8577" s="5" t="s">
        <v>375</v>
      </c>
      <c r="I8577" s="5" t="s">
        <v>31</v>
      </c>
      <c r="J8577" s="5">
        <v>16.930314209096</v>
      </c>
      <c r="K8577" s="5">
        <v>-96.600789330024995</v>
      </c>
      <c r="L8577" s="5" t="str">
        <f>HYPERLINK("https://maps.google.com/?q=16.9303142090963,-96.600789330024796", "🔗 Ver Mapa")</f>
        <v>🔗 Ver Mapa</v>
      </c>
    </row>
    <row r="8578" spans="1:12" ht="43.5" x14ac:dyDescent="0.35">
      <c r="A8578" s="6" t="s">
        <v>98</v>
      </c>
      <c r="B8578" s="6" t="s">
        <v>99</v>
      </c>
      <c r="C8578" s="6" t="s">
        <v>1517</v>
      </c>
      <c r="D8578" s="6" t="s">
        <v>14</v>
      </c>
      <c r="E8578" s="6" t="s">
        <v>52</v>
      </c>
      <c r="F8578" s="6" t="s">
        <v>53</v>
      </c>
      <c r="G8578" s="6" t="s">
        <v>374</v>
      </c>
      <c r="H8578" s="6" t="s">
        <v>375</v>
      </c>
      <c r="I8578" s="6" t="s">
        <v>31</v>
      </c>
      <c r="J8578" s="6">
        <v>16.931128870756002</v>
      </c>
      <c r="K8578" s="6">
        <v>-96.605314093253995</v>
      </c>
      <c r="L8578" s="6" t="str">
        <f>HYPERLINK("https://maps.google.com/?q=16.9311288707564,-96.605314093254094", "🔗 Ver Mapa")</f>
        <v>🔗 Ver Mapa</v>
      </c>
    </row>
    <row r="8579" spans="1:12" ht="43.5" x14ac:dyDescent="0.35">
      <c r="A8579" s="5" t="s">
        <v>98</v>
      </c>
      <c r="B8579" s="5" t="s">
        <v>99</v>
      </c>
      <c r="C8579" s="5" t="s">
        <v>1517</v>
      </c>
      <c r="D8579" s="5" t="s">
        <v>14</v>
      </c>
      <c r="E8579" s="5" t="s">
        <v>52</v>
      </c>
      <c r="F8579" s="5" t="s">
        <v>53</v>
      </c>
      <c r="G8579" s="5" t="s">
        <v>374</v>
      </c>
      <c r="H8579" s="5" t="s">
        <v>375</v>
      </c>
      <c r="I8579" s="5" t="s">
        <v>31</v>
      </c>
      <c r="J8579" s="5">
        <v>16.931171886445</v>
      </c>
      <c r="K8579" s="5">
        <v>-96.601944274222006</v>
      </c>
      <c r="L8579" s="5" t="str">
        <f>HYPERLINK("https://maps.google.com/?q=16.931171886445,-96.601944274222404", "🔗 Ver Mapa")</f>
        <v>🔗 Ver Mapa</v>
      </c>
    </row>
    <row r="8580" spans="1:12" ht="43.5" x14ac:dyDescent="0.35">
      <c r="A8580" s="6" t="s">
        <v>98</v>
      </c>
      <c r="B8580" s="6" t="s">
        <v>99</v>
      </c>
      <c r="C8580" s="6" t="s">
        <v>1517</v>
      </c>
      <c r="D8580" s="6" t="s">
        <v>14</v>
      </c>
      <c r="E8580" s="6" t="s">
        <v>52</v>
      </c>
      <c r="F8580" s="6" t="s">
        <v>53</v>
      </c>
      <c r="G8580" s="6" t="s">
        <v>374</v>
      </c>
      <c r="H8580" s="6" t="s">
        <v>375</v>
      </c>
      <c r="I8580" s="6" t="s">
        <v>31</v>
      </c>
      <c r="J8580" s="6">
        <v>16.931287889943999</v>
      </c>
      <c r="K8580" s="6">
        <v>-96.602640271843001</v>
      </c>
      <c r="L8580" s="6" t="str">
        <f>HYPERLINK("https://maps.google.com/?q=16.9312878899439,-96.602640271843498", "🔗 Ver Mapa")</f>
        <v>🔗 Ver Mapa</v>
      </c>
    </row>
    <row r="8581" spans="1:12" ht="43.5" x14ac:dyDescent="0.35">
      <c r="A8581" s="5" t="s">
        <v>98</v>
      </c>
      <c r="B8581" s="5" t="s">
        <v>99</v>
      </c>
      <c r="C8581" s="5" t="s">
        <v>1517</v>
      </c>
      <c r="D8581" s="5" t="s">
        <v>14</v>
      </c>
      <c r="E8581" s="5" t="s">
        <v>52</v>
      </c>
      <c r="F8581" s="5" t="s">
        <v>53</v>
      </c>
      <c r="G8581" s="5" t="s">
        <v>374</v>
      </c>
      <c r="H8581" s="5" t="s">
        <v>375</v>
      </c>
      <c r="I8581" s="5" t="s">
        <v>31</v>
      </c>
      <c r="J8581" s="5">
        <v>16.931628925864999</v>
      </c>
      <c r="K8581" s="5">
        <v>-96.602272906745995</v>
      </c>
      <c r="L8581" s="5" t="str">
        <f>HYPERLINK("https://maps.google.com/?q=16.9316289258649,-96.602272906745895", "🔗 Ver Mapa")</f>
        <v>🔗 Ver Mapa</v>
      </c>
    </row>
    <row r="8582" spans="1:12" ht="43.5" x14ac:dyDescent="0.35">
      <c r="A8582" s="6" t="s">
        <v>98</v>
      </c>
      <c r="B8582" s="6" t="s">
        <v>99</v>
      </c>
      <c r="C8582" s="6" t="s">
        <v>1517</v>
      </c>
      <c r="D8582" s="6" t="s">
        <v>14</v>
      </c>
      <c r="E8582" s="6" t="s">
        <v>52</v>
      </c>
      <c r="F8582" s="6" t="s">
        <v>53</v>
      </c>
      <c r="G8582" s="6" t="s">
        <v>374</v>
      </c>
      <c r="H8582" s="6" t="s">
        <v>375</v>
      </c>
      <c r="I8582" s="6" t="s">
        <v>31</v>
      </c>
      <c r="J8582" s="6">
        <v>16.932638227883</v>
      </c>
      <c r="K8582" s="6">
        <v>-96.603857565640993</v>
      </c>
      <c r="L8582" s="6" t="str">
        <f>HYPERLINK("https://maps.google.com/?q=16.9326382278827,-96.603857565641405", "🔗 Ver Mapa")</f>
        <v>🔗 Ver Mapa</v>
      </c>
    </row>
    <row r="8583" spans="1:12" ht="43.5" x14ac:dyDescent="0.35">
      <c r="A8583" s="5" t="s">
        <v>98</v>
      </c>
      <c r="B8583" s="5" t="s">
        <v>99</v>
      </c>
      <c r="C8583" s="5" t="s">
        <v>1517</v>
      </c>
      <c r="D8583" s="5" t="s">
        <v>14</v>
      </c>
      <c r="E8583" s="5" t="s">
        <v>52</v>
      </c>
      <c r="F8583" s="5" t="s">
        <v>53</v>
      </c>
      <c r="G8583" s="5" t="s">
        <v>374</v>
      </c>
      <c r="H8583" s="5" t="s">
        <v>375</v>
      </c>
      <c r="I8583" s="5" t="s">
        <v>31</v>
      </c>
      <c r="J8583" s="5">
        <v>16.932881890063999</v>
      </c>
      <c r="K8583" s="5">
        <v>-96.601741271164002</v>
      </c>
      <c r="L8583" s="5" t="str">
        <f>HYPERLINK("https://maps.google.com/?q=16.9328818900637,-96.601741271163903", "🔗 Ver Mapa")</f>
        <v>🔗 Ver Mapa</v>
      </c>
    </row>
    <row r="8584" spans="1:12" ht="43.5" x14ac:dyDescent="0.35">
      <c r="A8584" s="6" t="s">
        <v>98</v>
      </c>
      <c r="B8584" s="6" t="s">
        <v>99</v>
      </c>
      <c r="C8584" s="6" t="s">
        <v>1517</v>
      </c>
      <c r="D8584" s="6" t="s">
        <v>14</v>
      </c>
      <c r="E8584" s="6" t="s">
        <v>52</v>
      </c>
      <c r="F8584" s="6" t="s">
        <v>53</v>
      </c>
      <c r="G8584" s="6" t="s">
        <v>374</v>
      </c>
      <c r="H8584" s="6" t="s">
        <v>375</v>
      </c>
      <c r="I8584" s="6" t="s">
        <v>31</v>
      </c>
      <c r="J8584" s="6">
        <v>16.933035134505001</v>
      </c>
      <c r="K8584" s="6">
        <v>-96.601498303075999</v>
      </c>
      <c r="L8584" s="6" t="str">
        <f>HYPERLINK("https://maps.google.com/?q=16.933035134505,-96.6014983030759", "🔗 Ver Mapa")</f>
        <v>🔗 Ver Mapa</v>
      </c>
    </row>
    <row r="8585" spans="1:12" ht="43.5" x14ac:dyDescent="0.35">
      <c r="A8585" s="5" t="s">
        <v>98</v>
      </c>
      <c r="B8585" s="5" t="s">
        <v>99</v>
      </c>
      <c r="C8585" s="5" t="s">
        <v>1517</v>
      </c>
      <c r="D8585" s="5" t="s">
        <v>14</v>
      </c>
      <c r="E8585" s="5" t="s">
        <v>52</v>
      </c>
      <c r="F8585" s="5" t="s">
        <v>53</v>
      </c>
      <c r="G8585" s="5" t="s">
        <v>374</v>
      </c>
      <c r="H8585" s="5" t="s">
        <v>375</v>
      </c>
      <c r="I8585" s="5" t="s">
        <v>31</v>
      </c>
      <c r="J8585" s="5">
        <v>16.933408477429001</v>
      </c>
      <c r="K8585" s="5">
        <v>-96.602268898147997</v>
      </c>
      <c r="L8585" s="5" t="str">
        <f>HYPERLINK("https://maps.google.com/?q=16.9334084774286,-96.602268898147599", "🔗 Ver Mapa")</f>
        <v>🔗 Ver Mapa</v>
      </c>
    </row>
    <row r="8586" spans="1:12" ht="43.5" x14ac:dyDescent="0.35">
      <c r="A8586" s="6" t="s">
        <v>98</v>
      </c>
      <c r="B8586" s="6" t="s">
        <v>99</v>
      </c>
      <c r="C8586" s="6" t="s">
        <v>1517</v>
      </c>
      <c r="D8586" s="6" t="s">
        <v>14</v>
      </c>
      <c r="E8586" s="6" t="s">
        <v>52</v>
      </c>
      <c r="F8586" s="6" t="s">
        <v>53</v>
      </c>
      <c r="G8586" s="6" t="s">
        <v>374</v>
      </c>
      <c r="H8586" s="6" t="s">
        <v>375</v>
      </c>
      <c r="I8586" s="6" t="s">
        <v>31</v>
      </c>
      <c r="J8586" s="6">
        <v>16.933433546149999</v>
      </c>
      <c r="K8586" s="6">
        <v>-96.598195944775</v>
      </c>
      <c r="L8586" s="6" t="str">
        <f>HYPERLINK("https://maps.google.com/?q=16.9334335461501,-96.598195944774702", "🔗 Ver Mapa")</f>
        <v>🔗 Ver Mapa</v>
      </c>
    </row>
    <row r="8587" spans="1:12" ht="43.5" x14ac:dyDescent="0.35">
      <c r="A8587" s="5" t="s">
        <v>98</v>
      </c>
      <c r="B8587" s="5" t="s">
        <v>99</v>
      </c>
      <c r="C8587" s="5" t="s">
        <v>1517</v>
      </c>
      <c r="D8587" s="5" t="s">
        <v>14</v>
      </c>
      <c r="E8587" s="5" t="s">
        <v>52</v>
      </c>
      <c r="F8587" s="5" t="s">
        <v>53</v>
      </c>
      <c r="G8587" s="5" t="s">
        <v>374</v>
      </c>
      <c r="H8587" s="5" t="s">
        <v>375</v>
      </c>
      <c r="I8587" s="5" t="s">
        <v>31</v>
      </c>
      <c r="J8587" s="5">
        <v>16.934447696947</v>
      </c>
      <c r="K8587" s="5">
        <v>-96.606745126033005</v>
      </c>
      <c r="L8587" s="5" t="str">
        <f>HYPERLINK("https://maps.google.com/?q=16.934447696947,-96.606745126032607", "🔗 Ver Mapa")</f>
        <v>🔗 Ver Mapa</v>
      </c>
    </row>
    <row r="8588" spans="1:12" ht="43.5" x14ac:dyDescent="0.35">
      <c r="A8588" s="6" t="s">
        <v>98</v>
      </c>
      <c r="B8588" s="6" t="s">
        <v>99</v>
      </c>
      <c r="C8588" s="6" t="s">
        <v>1517</v>
      </c>
      <c r="D8588" s="6" t="s">
        <v>14</v>
      </c>
      <c r="E8588" s="6" t="s">
        <v>52</v>
      </c>
      <c r="F8588" s="6" t="s">
        <v>53</v>
      </c>
      <c r="G8588" s="6" t="s">
        <v>374</v>
      </c>
      <c r="H8588" s="6" t="s">
        <v>375</v>
      </c>
      <c r="I8588" s="6" t="s">
        <v>31</v>
      </c>
      <c r="J8588" s="6">
        <v>16.934641417413001</v>
      </c>
      <c r="K8588" s="6">
        <v>-96.606616384096</v>
      </c>
      <c r="L8588" s="6" t="str">
        <f>HYPERLINK("https://maps.google.com/?q=16.9346414174126,-96.6066163840961", "🔗 Ver Mapa")</f>
        <v>🔗 Ver Mapa</v>
      </c>
    </row>
    <row r="8589" spans="1:12" ht="43.5" x14ac:dyDescent="0.35">
      <c r="A8589" s="5" t="s">
        <v>98</v>
      </c>
      <c r="B8589" s="5" t="s">
        <v>99</v>
      </c>
      <c r="C8589" s="5" t="s">
        <v>1517</v>
      </c>
      <c r="D8589" s="5" t="s">
        <v>14</v>
      </c>
      <c r="E8589" s="5" t="s">
        <v>52</v>
      </c>
      <c r="F8589" s="5" t="s">
        <v>53</v>
      </c>
      <c r="G8589" s="5" t="s">
        <v>374</v>
      </c>
      <c r="H8589" s="5" t="s">
        <v>375</v>
      </c>
      <c r="I8589" s="5" t="s">
        <v>31</v>
      </c>
      <c r="J8589" s="5">
        <v>16.936331029748001</v>
      </c>
      <c r="K8589" s="5">
        <v>-96.607926972111002</v>
      </c>
      <c r="L8589" s="5" t="str">
        <f>HYPERLINK("https://maps.google.com/?q=16.9363310297483,-96.607926972110903", "🔗 Ver Mapa")</f>
        <v>🔗 Ver Mapa</v>
      </c>
    </row>
    <row r="8590" spans="1:12" ht="43.5" x14ac:dyDescent="0.35">
      <c r="A8590" s="6" t="s">
        <v>98</v>
      </c>
      <c r="B8590" s="6" t="s">
        <v>99</v>
      </c>
      <c r="C8590" s="6" t="s">
        <v>1518</v>
      </c>
      <c r="D8590" s="6" t="s">
        <v>14</v>
      </c>
      <c r="E8590" s="6" t="s">
        <v>110</v>
      </c>
      <c r="F8590" s="6" t="s">
        <v>126</v>
      </c>
      <c r="G8590" s="6" t="s">
        <v>1519</v>
      </c>
      <c r="H8590" s="6" t="s">
        <v>1520</v>
      </c>
      <c r="I8590" s="6" t="s">
        <v>31</v>
      </c>
      <c r="J8590" s="6">
        <v>17.881101497957999</v>
      </c>
      <c r="K8590" s="6">
        <v>-96.725142269578996</v>
      </c>
      <c r="L8590" s="6" t="str">
        <f>HYPERLINK("https://maps.google.com/?q=17.8811014979582,-96.725142269579194", "🔗 Ver Mapa")</f>
        <v>🔗 Ver Mapa</v>
      </c>
    </row>
    <row r="8591" spans="1:12" ht="43.5" x14ac:dyDescent="0.35">
      <c r="A8591" s="5" t="s">
        <v>98</v>
      </c>
      <c r="B8591" s="5" t="s">
        <v>99</v>
      </c>
      <c r="C8591" s="5" t="s">
        <v>1518</v>
      </c>
      <c r="D8591" s="5" t="s">
        <v>14</v>
      </c>
      <c r="E8591" s="5" t="s">
        <v>110</v>
      </c>
      <c r="F8591" s="5" t="s">
        <v>126</v>
      </c>
      <c r="G8591" s="5" t="s">
        <v>1519</v>
      </c>
      <c r="H8591" s="5" t="s">
        <v>1520</v>
      </c>
      <c r="I8591" s="5" t="s">
        <v>31</v>
      </c>
      <c r="J8591" s="5">
        <v>17.881167999999999</v>
      </c>
      <c r="K8591" s="5">
        <v>-96.724975000000001</v>
      </c>
      <c r="L8591" s="5" t="str">
        <f>HYPERLINK("https://maps.google.com/?q=17.881168,-96.724975000000001", "🔗 Ver Mapa")</f>
        <v>🔗 Ver Mapa</v>
      </c>
    </row>
    <row r="8592" spans="1:12" ht="43.5" x14ac:dyDescent="0.35">
      <c r="A8592" s="6" t="s">
        <v>98</v>
      </c>
      <c r="B8592" s="6" t="s">
        <v>99</v>
      </c>
      <c r="C8592" s="6" t="s">
        <v>1518</v>
      </c>
      <c r="D8592" s="6" t="s">
        <v>14</v>
      </c>
      <c r="E8592" s="6" t="s">
        <v>110</v>
      </c>
      <c r="F8592" s="6" t="s">
        <v>126</v>
      </c>
      <c r="G8592" s="6" t="s">
        <v>1519</v>
      </c>
      <c r="H8592" s="6" t="s">
        <v>1520</v>
      </c>
      <c r="I8592" s="6" t="s">
        <v>31</v>
      </c>
      <c r="J8592" s="6">
        <v>17.881369744166999</v>
      </c>
      <c r="K8592" s="6">
        <v>-96.726045369120996</v>
      </c>
      <c r="L8592" s="6" t="str">
        <f>HYPERLINK("https://maps.google.com/?q=17.881369744167,-96.726045369120598", "🔗 Ver Mapa")</f>
        <v>🔗 Ver Mapa</v>
      </c>
    </row>
    <row r="8593" spans="1:12" ht="43.5" x14ac:dyDescent="0.35">
      <c r="A8593" s="5" t="s">
        <v>98</v>
      </c>
      <c r="B8593" s="5" t="s">
        <v>99</v>
      </c>
      <c r="C8593" s="5" t="s">
        <v>1518</v>
      </c>
      <c r="D8593" s="5" t="s">
        <v>14</v>
      </c>
      <c r="E8593" s="5" t="s">
        <v>110</v>
      </c>
      <c r="F8593" s="5" t="s">
        <v>126</v>
      </c>
      <c r="G8593" s="5" t="s">
        <v>1519</v>
      </c>
      <c r="H8593" s="5" t="s">
        <v>1520</v>
      </c>
      <c r="I8593" s="5" t="s">
        <v>31</v>
      </c>
      <c r="J8593" s="5">
        <v>17.881603665551999</v>
      </c>
      <c r="K8593" s="5">
        <v>-96.725904615697004</v>
      </c>
      <c r="L8593" s="5" t="str">
        <f>HYPERLINK("https://maps.google.com/?q=17.8816036655518,-96.725904615696905", "🔗 Ver Mapa")</f>
        <v>🔗 Ver Mapa</v>
      </c>
    </row>
    <row r="8594" spans="1:12" ht="43.5" x14ac:dyDescent="0.35">
      <c r="A8594" s="6" t="s">
        <v>98</v>
      </c>
      <c r="B8594" s="6" t="s">
        <v>99</v>
      </c>
      <c r="C8594" s="6" t="s">
        <v>1518</v>
      </c>
      <c r="D8594" s="6" t="s">
        <v>14</v>
      </c>
      <c r="E8594" s="6" t="s">
        <v>110</v>
      </c>
      <c r="F8594" s="6" t="s">
        <v>126</v>
      </c>
      <c r="G8594" s="6" t="s">
        <v>1519</v>
      </c>
      <c r="H8594" s="6" t="s">
        <v>1520</v>
      </c>
      <c r="I8594" s="6" t="s">
        <v>31</v>
      </c>
      <c r="J8594" s="6">
        <v>17.881754561156999</v>
      </c>
      <c r="K8594" s="6">
        <v>-96.726644506710002</v>
      </c>
      <c r="L8594" s="6" t="str">
        <f>HYPERLINK("https://maps.google.com/?q=17.8817545611571,-96.726644506709604", "🔗 Ver Mapa")</f>
        <v>🔗 Ver Mapa</v>
      </c>
    </row>
    <row r="8595" spans="1:12" ht="43.5" x14ac:dyDescent="0.35">
      <c r="A8595" s="5" t="s">
        <v>98</v>
      </c>
      <c r="B8595" s="5" t="s">
        <v>99</v>
      </c>
      <c r="C8595" s="5" t="s">
        <v>1518</v>
      </c>
      <c r="D8595" s="5" t="s">
        <v>14</v>
      </c>
      <c r="E8595" s="5" t="s">
        <v>110</v>
      </c>
      <c r="F8595" s="5" t="s">
        <v>126</v>
      </c>
      <c r="G8595" s="5" t="s">
        <v>1519</v>
      </c>
      <c r="H8595" s="5" t="s">
        <v>1520</v>
      </c>
      <c r="I8595" s="5" t="s">
        <v>31</v>
      </c>
      <c r="J8595" s="5">
        <v>17.881806027542002</v>
      </c>
      <c r="K8595" s="5">
        <v>-96.724266532268999</v>
      </c>
      <c r="L8595" s="5" t="str">
        <f>HYPERLINK("https://maps.google.com/?q=17.8818060275421,-96.724266532268501", "🔗 Ver Mapa")</f>
        <v>🔗 Ver Mapa</v>
      </c>
    </row>
    <row r="8596" spans="1:12" ht="43.5" x14ac:dyDescent="0.35">
      <c r="A8596" s="6" t="s">
        <v>98</v>
      </c>
      <c r="B8596" s="6" t="s">
        <v>99</v>
      </c>
      <c r="C8596" s="6" t="s">
        <v>1518</v>
      </c>
      <c r="D8596" s="6" t="s">
        <v>14</v>
      </c>
      <c r="E8596" s="6" t="s">
        <v>110</v>
      </c>
      <c r="F8596" s="6" t="s">
        <v>126</v>
      </c>
      <c r="G8596" s="6" t="s">
        <v>1519</v>
      </c>
      <c r="H8596" s="6" t="s">
        <v>1520</v>
      </c>
      <c r="I8596" s="6" t="s">
        <v>31</v>
      </c>
      <c r="J8596" s="6">
        <v>17.881906856497999</v>
      </c>
      <c r="K8596" s="6">
        <v>-96.726790487732003</v>
      </c>
      <c r="L8596" s="6" t="str">
        <f>HYPERLINK("https://maps.google.com/?q=17.8819068564979,-96.726790487731506", "🔗 Ver Mapa")</f>
        <v>🔗 Ver Mapa</v>
      </c>
    </row>
    <row r="8597" spans="1:12" ht="43.5" x14ac:dyDescent="0.35">
      <c r="A8597" s="5" t="s">
        <v>98</v>
      </c>
      <c r="B8597" s="5" t="s">
        <v>99</v>
      </c>
      <c r="C8597" s="5" t="s">
        <v>1518</v>
      </c>
      <c r="D8597" s="5" t="s">
        <v>14</v>
      </c>
      <c r="E8597" s="5" t="s">
        <v>110</v>
      </c>
      <c r="F8597" s="5" t="s">
        <v>126</v>
      </c>
      <c r="G8597" s="5" t="s">
        <v>1519</v>
      </c>
      <c r="H8597" s="5" t="s">
        <v>1520</v>
      </c>
      <c r="I8597" s="5" t="s">
        <v>31</v>
      </c>
      <c r="J8597" s="5">
        <v>17.881961100464999</v>
      </c>
      <c r="K8597" s="5">
        <v>-96.724357725523006</v>
      </c>
      <c r="L8597" s="5" t="str">
        <f>HYPERLINK("https://maps.google.com/?q=17.8819611004646,-96.724357725522594", "🔗 Ver Mapa")</f>
        <v>🔗 Ver Mapa</v>
      </c>
    </row>
    <row r="8598" spans="1:12" ht="43.5" x14ac:dyDescent="0.35">
      <c r="A8598" s="6" t="s">
        <v>98</v>
      </c>
      <c r="B8598" s="6" t="s">
        <v>99</v>
      </c>
      <c r="C8598" s="6" t="s">
        <v>1518</v>
      </c>
      <c r="D8598" s="6" t="s">
        <v>14</v>
      </c>
      <c r="E8598" s="6" t="s">
        <v>110</v>
      </c>
      <c r="F8598" s="6" t="s">
        <v>126</v>
      </c>
      <c r="G8598" s="6" t="s">
        <v>1519</v>
      </c>
      <c r="H8598" s="6" t="s">
        <v>1520</v>
      </c>
      <c r="I8598" s="6" t="s">
        <v>31</v>
      </c>
      <c r="J8598" s="6">
        <v>17.882405895717</v>
      </c>
      <c r="K8598" s="6">
        <v>-96.727403371777996</v>
      </c>
      <c r="L8598" s="6" t="str">
        <f>HYPERLINK("https://maps.google.com/?q=17.8824058957173,-96.727403371777996", "🔗 Ver Mapa")</f>
        <v>🔗 Ver Mapa</v>
      </c>
    </row>
    <row r="8599" spans="1:12" ht="43.5" x14ac:dyDescent="0.35">
      <c r="A8599" s="5" t="s">
        <v>98</v>
      </c>
      <c r="B8599" s="5" t="s">
        <v>99</v>
      </c>
      <c r="C8599" s="5" t="s">
        <v>1518</v>
      </c>
      <c r="D8599" s="5" t="s">
        <v>14</v>
      </c>
      <c r="E8599" s="5" t="s">
        <v>110</v>
      </c>
      <c r="F8599" s="5" t="s">
        <v>126</v>
      </c>
      <c r="G8599" s="5" t="s">
        <v>1519</v>
      </c>
      <c r="H8599" s="5" t="s">
        <v>1520</v>
      </c>
      <c r="I8599" s="5" t="s">
        <v>31</v>
      </c>
      <c r="J8599" s="5">
        <v>17.882802193593999</v>
      </c>
      <c r="K8599" s="5">
        <v>-96.728092702327999</v>
      </c>
      <c r="L8599" s="5" t="str">
        <f>HYPERLINK("https://maps.google.com/?q=17.8828021935938,-96.728092702327899", "🔗 Ver Mapa")</f>
        <v>🔗 Ver Mapa</v>
      </c>
    </row>
    <row r="8600" spans="1:12" ht="43.5" x14ac:dyDescent="0.35">
      <c r="A8600" s="6" t="s">
        <v>98</v>
      </c>
      <c r="B8600" s="6" t="s">
        <v>99</v>
      </c>
      <c r="C8600" s="6" t="s">
        <v>1518</v>
      </c>
      <c r="D8600" s="6" t="s">
        <v>14</v>
      </c>
      <c r="E8600" s="6" t="s">
        <v>110</v>
      </c>
      <c r="F8600" s="6" t="s">
        <v>126</v>
      </c>
      <c r="G8600" s="6" t="s">
        <v>1519</v>
      </c>
      <c r="H8600" s="6" t="s">
        <v>1520</v>
      </c>
      <c r="I8600" s="6" t="s">
        <v>31</v>
      </c>
      <c r="J8600" s="6">
        <v>17.883215082349999</v>
      </c>
      <c r="K8600" s="6">
        <v>-96.728356900628995</v>
      </c>
      <c r="L8600" s="6" t="str">
        <f>HYPERLINK("https://maps.google.com/?q=17.8832150823502,-96.728356900628896", "🔗 Ver Mapa")</f>
        <v>🔗 Ver Mapa</v>
      </c>
    </row>
    <row r="8601" spans="1:12" ht="43.5" x14ac:dyDescent="0.35">
      <c r="A8601" s="5" t="s">
        <v>98</v>
      </c>
      <c r="B8601" s="5" t="s">
        <v>99</v>
      </c>
      <c r="C8601" s="5" t="s">
        <v>1518</v>
      </c>
      <c r="D8601" s="5" t="s">
        <v>14</v>
      </c>
      <c r="E8601" s="5" t="s">
        <v>110</v>
      </c>
      <c r="F8601" s="5" t="s">
        <v>126</v>
      </c>
      <c r="G8601" s="5" t="s">
        <v>1519</v>
      </c>
      <c r="H8601" s="5" t="s">
        <v>1520</v>
      </c>
      <c r="I8601" s="5" t="s">
        <v>31</v>
      </c>
      <c r="J8601" s="5">
        <v>17.883953779127999</v>
      </c>
      <c r="K8601" s="5">
        <v>-96.727297725232006</v>
      </c>
      <c r="L8601" s="5" t="str">
        <f>HYPERLINK("https://maps.google.com/?q=17.8839537791279,-96.727297725232106", "🔗 Ver Mapa")</f>
        <v>🔗 Ver Mapa</v>
      </c>
    </row>
    <row r="8602" spans="1:12" ht="43.5" x14ac:dyDescent="0.35">
      <c r="A8602" s="6" t="s">
        <v>98</v>
      </c>
      <c r="B8602" s="6" t="s">
        <v>99</v>
      </c>
      <c r="C8602" s="6" t="s">
        <v>1518</v>
      </c>
      <c r="D8602" s="6" t="s">
        <v>14</v>
      </c>
      <c r="E8602" s="6" t="s">
        <v>110</v>
      </c>
      <c r="F8602" s="6" t="s">
        <v>126</v>
      </c>
      <c r="G8602" s="6" t="s">
        <v>1519</v>
      </c>
      <c r="H8602" s="6" t="s">
        <v>1520</v>
      </c>
      <c r="I8602" s="6" t="s">
        <v>31</v>
      </c>
      <c r="J8602" s="6">
        <v>17.884275687098999</v>
      </c>
      <c r="K8602" s="6">
        <v>-96.726825354240006</v>
      </c>
      <c r="L8602" s="6" t="str">
        <f>HYPERLINK("https://maps.google.com/?q=17.8842756870988,-96.726825354239693", "🔗 Ver Mapa")</f>
        <v>🔗 Ver Mapa</v>
      </c>
    </row>
    <row r="8603" spans="1:12" ht="43.5" x14ac:dyDescent="0.35">
      <c r="A8603" s="5" t="s">
        <v>98</v>
      </c>
      <c r="B8603" s="5" t="s">
        <v>99</v>
      </c>
      <c r="C8603" s="5" t="s">
        <v>1518</v>
      </c>
      <c r="D8603" s="5" t="s">
        <v>14</v>
      </c>
      <c r="E8603" s="5" t="s">
        <v>110</v>
      </c>
      <c r="F8603" s="5" t="s">
        <v>126</v>
      </c>
      <c r="G8603" s="5" t="s">
        <v>1519</v>
      </c>
      <c r="H8603" s="5" t="s">
        <v>1520</v>
      </c>
      <c r="I8603" s="5" t="s">
        <v>31</v>
      </c>
      <c r="J8603" s="5">
        <v>17.884287172674998</v>
      </c>
      <c r="K8603" s="5">
        <v>-96.727086871113997</v>
      </c>
      <c r="L8603" s="5" t="str">
        <f>HYPERLINK("https://maps.google.com/?q=17.884287172675,-96.727086871114395", "🔗 Ver Mapa")</f>
        <v>🔗 Ver Mapa</v>
      </c>
    </row>
    <row r="8604" spans="1:12" ht="43.5" x14ac:dyDescent="0.35">
      <c r="A8604" s="6" t="s">
        <v>98</v>
      </c>
      <c r="B8604" s="6" t="s">
        <v>99</v>
      </c>
      <c r="C8604" s="6" t="s">
        <v>1518</v>
      </c>
      <c r="D8604" s="6" t="s">
        <v>14</v>
      </c>
      <c r="E8604" s="6" t="s">
        <v>110</v>
      </c>
      <c r="F8604" s="6" t="s">
        <v>126</v>
      </c>
      <c r="G8604" s="6" t="s">
        <v>1519</v>
      </c>
      <c r="H8604" s="6" t="s">
        <v>1520</v>
      </c>
      <c r="I8604" s="6" t="s">
        <v>31</v>
      </c>
      <c r="J8604" s="6">
        <v>17.884913833559999</v>
      </c>
      <c r="K8604" s="6">
        <v>-96.727797654417998</v>
      </c>
      <c r="L8604" s="6" t="str">
        <f>HYPERLINK("https://maps.google.com/?q=17.8849138335603,-96.727797654417998", "🔗 Ver Mapa")</f>
        <v>🔗 Ver Mapa</v>
      </c>
    </row>
    <row r="8605" spans="1:12" ht="43.5" x14ac:dyDescent="0.35">
      <c r="A8605" s="5" t="s">
        <v>98</v>
      </c>
      <c r="B8605" s="5" t="s">
        <v>99</v>
      </c>
      <c r="C8605" s="5" t="s">
        <v>1518</v>
      </c>
      <c r="D8605" s="5" t="s">
        <v>14</v>
      </c>
      <c r="E8605" s="5" t="s">
        <v>110</v>
      </c>
      <c r="F8605" s="5" t="s">
        <v>126</v>
      </c>
      <c r="G8605" s="5" t="s">
        <v>1519</v>
      </c>
      <c r="H8605" s="5" t="s">
        <v>1520</v>
      </c>
      <c r="I8605" s="5" t="s">
        <v>31</v>
      </c>
      <c r="J8605" s="5">
        <v>17.884947023563001</v>
      </c>
      <c r="K8605" s="5">
        <v>-96.724953174359001</v>
      </c>
      <c r="L8605" s="5" t="str">
        <f>HYPERLINK("https://maps.google.com/?q=17.8849470235629,-96.724953174358603", "🔗 Ver Mapa")</f>
        <v>🔗 Ver Mapa</v>
      </c>
    </row>
    <row r="8606" spans="1:12" ht="43.5" x14ac:dyDescent="0.35">
      <c r="A8606" s="6" t="s">
        <v>98</v>
      </c>
      <c r="B8606" s="6" t="s">
        <v>99</v>
      </c>
      <c r="C8606" s="6" t="s">
        <v>1518</v>
      </c>
      <c r="D8606" s="6" t="s">
        <v>14</v>
      </c>
      <c r="E8606" s="6" t="s">
        <v>110</v>
      </c>
      <c r="F8606" s="6" t="s">
        <v>126</v>
      </c>
      <c r="G8606" s="6" t="s">
        <v>1519</v>
      </c>
      <c r="H8606" s="6" t="s">
        <v>1520</v>
      </c>
      <c r="I8606" s="6" t="s">
        <v>31</v>
      </c>
      <c r="J8606" s="6">
        <v>17.885190789525002</v>
      </c>
      <c r="K8606" s="6">
        <v>-96.728124883253997</v>
      </c>
      <c r="L8606" s="6" t="str">
        <f>HYPERLINK("https://maps.google.com/?q=17.8851907895249,-96.728124883254097", "🔗 Ver Mapa")</f>
        <v>🔗 Ver Mapa</v>
      </c>
    </row>
    <row r="8607" spans="1:12" ht="43.5" x14ac:dyDescent="0.35">
      <c r="A8607" s="5" t="s">
        <v>98</v>
      </c>
      <c r="B8607" s="5" t="s">
        <v>99</v>
      </c>
      <c r="C8607" s="5" t="s">
        <v>1518</v>
      </c>
      <c r="D8607" s="5" t="s">
        <v>14</v>
      </c>
      <c r="E8607" s="5" t="s">
        <v>110</v>
      </c>
      <c r="F8607" s="5" t="s">
        <v>126</v>
      </c>
      <c r="G8607" s="5" t="s">
        <v>1519</v>
      </c>
      <c r="H8607" s="5" t="s">
        <v>1520</v>
      </c>
      <c r="I8607" s="5" t="s">
        <v>31</v>
      </c>
      <c r="J8607" s="5">
        <v>17.8862169286</v>
      </c>
      <c r="K8607" s="5">
        <v>-96.725021570173993</v>
      </c>
      <c r="L8607" s="5" t="str">
        <f>HYPERLINK("https://maps.google.com/?q=17.8862169286002,-96.725021570173595", "🔗 Ver Mapa")</f>
        <v>🔗 Ver Mapa</v>
      </c>
    </row>
    <row r="8608" spans="1:12" ht="43.5" x14ac:dyDescent="0.35">
      <c r="A8608" s="6" t="s">
        <v>98</v>
      </c>
      <c r="B8608" s="6" t="s">
        <v>99</v>
      </c>
      <c r="C8608" s="6" t="s">
        <v>1518</v>
      </c>
      <c r="D8608" s="6" t="s">
        <v>14</v>
      </c>
      <c r="E8608" s="6" t="s">
        <v>110</v>
      </c>
      <c r="F8608" s="6" t="s">
        <v>126</v>
      </c>
      <c r="G8608" s="6" t="s">
        <v>1519</v>
      </c>
      <c r="H8608" s="6" t="s">
        <v>1520</v>
      </c>
      <c r="I8608" s="6" t="s">
        <v>31</v>
      </c>
      <c r="J8608" s="6">
        <v>17.886366259959001</v>
      </c>
      <c r="K8608" s="6">
        <v>-96.724140461223001</v>
      </c>
      <c r="L8608" s="6" t="str">
        <f>HYPERLINK("https://maps.google.com/?q=17.886366259959,-96.724140461223399", "🔗 Ver Mapa")</f>
        <v>🔗 Ver Mapa</v>
      </c>
    </row>
    <row r="8609" spans="1:12" ht="43.5" x14ac:dyDescent="0.35">
      <c r="A8609" s="5" t="s">
        <v>98</v>
      </c>
      <c r="B8609" s="5" t="s">
        <v>99</v>
      </c>
      <c r="C8609" s="5" t="s">
        <v>1518</v>
      </c>
      <c r="D8609" s="5" t="s">
        <v>14</v>
      </c>
      <c r="E8609" s="5" t="s">
        <v>110</v>
      </c>
      <c r="F8609" s="5" t="s">
        <v>126</v>
      </c>
      <c r="G8609" s="5" t="s">
        <v>1519</v>
      </c>
      <c r="H8609" s="5" t="s">
        <v>1520</v>
      </c>
      <c r="I8609" s="5" t="s">
        <v>31</v>
      </c>
      <c r="J8609" s="5">
        <v>17.886386029021001</v>
      </c>
      <c r="K8609" s="5">
        <v>-96.726547233804993</v>
      </c>
      <c r="L8609" s="5" t="str">
        <f>HYPERLINK("https://maps.google.com/?q=17.8863860290212,-96.726547233805405", "🔗 Ver Mapa")</f>
        <v>🔗 Ver Mapa</v>
      </c>
    </row>
    <row r="8610" spans="1:12" ht="43.5" x14ac:dyDescent="0.35">
      <c r="A8610" s="6" t="s">
        <v>98</v>
      </c>
      <c r="B8610" s="6" t="s">
        <v>99</v>
      </c>
      <c r="C8610" s="6" t="s">
        <v>1518</v>
      </c>
      <c r="D8610" s="6" t="s">
        <v>14</v>
      </c>
      <c r="E8610" s="6" t="s">
        <v>110</v>
      </c>
      <c r="F8610" s="6" t="s">
        <v>126</v>
      </c>
      <c r="G8610" s="6" t="s">
        <v>1519</v>
      </c>
      <c r="H8610" s="6" t="s">
        <v>1520</v>
      </c>
      <c r="I8610" s="6" t="s">
        <v>31</v>
      </c>
      <c r="J8610" s="6">
        <v>17.886691706604999</v>
      </c>
      <c r="K8610" s="6">
        <v>-96.724745302645005</v>
      </c>
      <c r="L8610" s="6" t="str">
        <f>HYPERLINK("https://maps.google.com/?q=17.8866917066048,-96.724745302645104", "🔗 Ver Mapa")</f>
        <v>🔗 Ver Mapa</v>
      </c>
    </row>
    <row r="8611" spans="1:12" ht="43.5" x14ac:dyDescent="0.35">
      <c r="A8611" s="5" t="s">
        <v>98</v>
      </c>
      <c r="B8611" s="5" t="s">
        <v>99</v>
      </c>
      <c r="C8611" s="5" t="s">
        <v>1518</v>
      </c>
      <c r="D8611" s="5" t="s">
        <v>14</v>
      </c>
      <c r="E8611" s="5" t="s">
        <v>110</v>
      </c>
      <c r="F8611" s="5" t="s">
        <v>126</v>
      </c>
      <c r="G8611" s="5" t="s">
        <v>1519</v>
      </c>
      <c r="H8611" s="5" t="s">
        <v>1520</v>
      </c>
      <c r="I8611" s="5" t="s">
        <v>31</v>
      </c>
      <c r="J8611" s="5">
        <v>17.886940065491999</v>
      </c>
      <c r="K8611" s="5">
        <v>-96.724702365701006</v>
      </c>
      <c r="L8611" s="5" t="str">
        <f>HYPERLINK("https://maps.google.com/?q=17.8869400654916,-96.724702365700907", "🔗 Ver Mapa")</f>
        <v>🔗 Ver Mapa</v>
      </c>
    </row>
    <row r="8612" spans="1:12" ht="43.5" x14ac:dyDescent="0.35">
      <c r="A8612" s="6" t="s">
        <v>98</v>
      </c>
      <c r="B8612" s="6" t="s">
        <v>99</v>
      </c>
      <c r="C8612" s="6" t="s">
        <v>1518</v>
      </c>
      <c r="D8612" s="6" t="s">
        <v>14</v>
      </c>
      <c r="E8612" s="6" t="s">
        <v>110</v>
      </c>
      <c r="F8612" s="6" t="s">
        <v>126</v>
      </c>
      <c r="G8612" s="6" t="s">
        <v>1519</v>
      </c>
      <c r="H8612" s="6" t="s">
        <v>1520</v>
      </c>
      <c r="I8612" s="6" t="s">
        <v>31</v>
      </c>
      <c r="J8612" s="6">
        <v>17.887679547503001</v>
      </c>
      <c r="K8612" s="6">
        <v>-96.725136901164007</v>
      </c>
      <c r="L8612" s="6" t="str">
        <f>HYPERLINK("https://maps.google.com/?q=17.8876795475034,-96.725136901163907", "🔗 Ver Mapa")</f>
        <v>🔗 Ver Mapa</v>
      </c>
    </row>
    <row r="8613" spans="1:12" ht="43.5" x14ac:dyDescent="0.35">
      <c r="A8613" s="5" t="s">
        <v>98</v>
      </c>
      <c r="B8613" s="5" t="s">
        <v>99</v>
      </c>
      <c r="C8613" s="5" t="s">
        <v>1518</v>
      </c>
      <c r="D8613" s="5" t="s">
        <v>14</v>
      </c>
      <c r="E8613" s="5" t="s">
        <v>110</v>
      </c>
      <c r="F8613" s="5" t="s">
        <v>126</v>
      </c>
      <c r="G8613" s="5" t="s">
        <v>1519</v>
      </c>
      <c r="H8613" s="5" t="s">
        <v>1520</v>
      </c>
      <c r="I8613" s="5" t="s">
        <v>31</v>
      </c>
      <c r="J8613" s="5">
        <v>17.888279394666</v>
      </c>
      <c r="K8613" s="5">
        <v>-96.723255336923998</v>
      </c>
      <c r="L8613" s="5" t="str">
        <f>HYPERLINK("https://maps.google.com/?q=17.8882793946656,-96.723255336924197", "🔗 Ver Mapa")</f>
        <v>🔗 Ver Mapa</v>
      </c>
    </row>
    <row r="8614" spans="1:12" ht="43.5" x14ac:dyDescent="0.35">
      <c r="A8614" s="6" t="s">
        <v>98</v>
      </c>
      <c r="B8614" s="6" t="s">
        <v>99</v>
      </c>
      <c r="C8614" s="6" t="s">
        <v>1518</v>
      </c>
      <c r="D8614" s="6" t="s">
        <v>14</v>
      </c>
      <c r="E8614" s="6" t="s">
        <v>110</v>
      </c>
      <c r="F8614" s="6" t="s">
        <v>126</v>
      </c>
      <c r="G8614" s="6" t="s">
        <v>1519</v>
      </c>
      <c r="H8614" s="6" t="s">
        <v>1520</v>
      </c>
      <c r="I8614" s="6" t="s">
        <v>31</v>
      </c>
      <c r="J8614" s="6">
        <v>17.890229527662001</v>
      </c>
      <c r="K8614" s="6">
        <v>-96.726716724417997</v>
      </c>
      <c r="L8614" s="6" t="str">
        <f>HYPERLINK("https://maps.google.com/?q=17.8902295276625,-96.726716724418097", "🔗 Ver Mapa")</f>
        <v>🔗 Ver Mapa</v>
      </c>
    </row>
    <row r="8615" spans="1:12" ht="43.5" x14ac:dyDescent="0.35">
      <c r="A8615" s="5" t="s">
        <v>98</v>
      </c>
      <c r="B8615" s="5" t="s">
        <v>99</v>
      </c>
      <c r="C8615" s="5" t="s">
        <v>1518</v>
      </c>
      <c r="D8615" s="5" t="s">
        <v>14</v>
      </c>
      <c r="E8615" s="5" t="s">
        <v>110</v>
      </c>
      <c r="F8615" s="5" t="s">
        <v>126</v>
      </c>
      <c r="G8615" s="5" t="s">
        <v>1519</v>
      </c>
      <c r="H8615" s="5" t="s">
        <v>1520</v>
      </c>
      <c r="I8615" s="5" t="s">
        <v>31</v>
      </c>
      <c r="J8615" s="5">
        <v>17.891075399556001</v>
      </c>
      <c r="K8615" s="5">
        <v>-96.724085744701</v>
      </c>
      <c r="L8615" s="5" t="str">
        <f>HYPERLINK("https://maps.google.com/?q=17.8910753995565,-96.724085744700801", "🔗 Ver Mapa")</f>
        <v>🔗 Ver Mapa</v>
      </c>
    </row>
    <row r="8616" spans="1:12" ht="43.5" x14ac:dyDescent="0.35">
      <c r="A8616" s="6" t="s">
        <v>98</v>
      </c>
      <c r="B8616" s="6" t="s">
        <v>99</v>
      </c>
      <c r="C8616" s="6" t="s">
        <v>1521</v>
      </c>
      <c r="D8616" s="6" t="s">
        <v>14</v>
      </c>
      <c r="E8616" s="6" t="s">
        <v>110</v>
      </c>
      <c r="F8616" s="6" t="s">
        <v>126</v>
      </c>
      <c r="G8616" s="6" t="s">
        <v>1519</v>
      </c>
      <c r="H8616" s="6" t="s">
        <v>1522</v>
      </c>
      <c r="I8616" s="6" t="s">
        <v>31</v>
      </c>
      <c r="J8616" s="6">
        <v>17.894516505456</v>
      </c>
      <c r="K8616" s="6">
        <v>-96.710854241597005</v>
      </c>
      <c r="L8616" s="6" t="str">
        <f>HYPERLINK("https://maps.google.com/?q=17.8945165054559,-96.710854241597403", "🔗 Ver Mapa")</f>
        <v>🔗 Ver Mapa</v>
      </c>
    </row>
    <row r="8617" spans="1:12" ht="43.5" x14ac:dyDescent="0.35">
      <c r="A8617" s="5" t="s">
        <v>98</v>
      </c>
      <c r="B8617" s="5" t="s">
        <v>99</v>
      </c>
      <c r="C8617" s="5" t="s">
        <v>1521</v>
      </c>
      <c r="D8617" s="5" t="s">
        <v>14</v>
      </c>
      <c r="E8617" s="5" t="s">
        <v>110</v>
      </c>
      <c r="F8617" s="5" t="s">
        <v>126</v>
      </c>
      <c r="G8617" s="5" t="s">
        <v>1519</v>
      </c>
      <c r="H8617" s="5" t="s">
        <v>1522</v>
      </c>
      <c r="I8617" s="5" t="s">
        <v>31</v>
      </c>
      <c r="J8617" s="5">
        <v>17.895284793045999</v>
      </c>
      <c r="K8617" s="5">
        <v>-96.710292988836002</v>
      </c>
      <c r="L8617" s="5" t="str">
        <f>HYPERLINK("https://maps.google.com/?q=17.8952847930464,-96.710292988836102", "🔗 Ver Mapa")</f>
        <v>🔗 Ver Mapa</v>
      </c>
    </row>
    <row r="8618" spans="1:12" ht="43.5" x14ac:dyDescent="0.35">
      <c r="A8618" s="6" t="s">
        <v>98</v>
      </c>
      <c r="B8618" s="6" t="s">
        <v>99</v>
      </c>
      <c r="C8618" s="6" t="s">
        <v>1521</v>
      </c>
      <c r="D8618" s="6" t="s">
        <v>14</v>
      </c>
      <c r="E8618" s="6" t="s">
        <v>110</v>
      </c>
      <c r="F8618" s="6" t="s">
        <v>126</v>
      </c>
      <c r="G8618" s="6" t="s">
        <v>1519</v>
      </c>
      <c r="H8618" s="6" t="s">
        <v>1522</v>
      </c>
      <c r="I8618" s="6" t="s">
        <v>31</v>
      </c>
      <c r="J8618" s="6">
        <v>17.895302655260998</v>
      </c>
      <c r="K8618" s="6">
        <v>-96.710889782150005</v>
      </c>
      <c r="L8618" s="6" t="str">
        <f>HYPERLINK("https://maps.google.com/?q=17.8953026552605,-96.710889782149593", "🔗 Ver Mapa")</f>
        <v>🔗 Ver Mapa</v>
      </c>
    </row>
    <row r="8619" spans="1:12" ht="43.5" x14ac:dyDescent="0.35">
      <c r="A8619" s="5" t="s">
        <v>98</v>
      </c>
      <c r="B8619" s="5" t="s">
        <v>99</v>
      </c>
      <c r="C8619" s="5" t="s">
        <v>1521</v>
      </c>
      <c r="D8619" s="5" t="s">
        <v>14</v>
      </c>
      <c r="E8619" s="5" t="s">
        <v>110</v>
      </c>
      <c r="F8619" s="5" t="s">
        <v>126</v>
      </c>
      <c r="G8619" s="5" t="s">
        <v>1519</v>
      </c>
      <c r="H8619" s="5" t="s">
        <v>1522</v>
      </c>
      <c r="I8619" s="5" t="s">
        <v>31</v>
      </c>
      <c r="J8619" s="5">
        <v>17.895481330618001</v>
      </c>
      <c r="K8619" s="5">
        <v>-96.710889784477999</v>
      </c>
      <c r="L8619" s="5" t="str">
        <f>HYPERLINK("https://maps.google.com/?q=17.8954813306178,-96.710889784477502", "🔗 Ver Mapa")</f>
        <v>🔗 Ver Mapa</v>
      </c>
    </row>
    <row r="8620" spans="1:12" ht="43.5" x14ac:dyDescent="0.35">
      <c r="A8620" s="6" t="s">
        <v>98</v>
      </c>
      <c r="B8620" s="6" t="s">
        <v>99</v>
      </c>
      <c r="C8620" s="6" t="s">
        <v>1521</v>
      </c>
      <c r="D8620" s="6" t="s">
        <v>14</v>
      </c>
      <c r="E8620" s="6" t="s">
        <v>110</v>
      </c>
      <c r="F8620" s="6" t="s">
        <v>126</v>
      </c>
      <c r="G8620" s="6" t="s">
        <v>1519</v>
      </c>
      <c r="H8620" s="6" t="s">
        <v>1522</v>
      </c>
      <c r="I8620" s="6" t="s">
        <v>31</v>
      </c>
      <c r="J8620" s="6">
        <v>17.895930833485998</v>
      </c>
      <c r="K8620" s="6">
        <v>-96.711336481442004</v>
      </c>
      <c r="L8620" s="6" t="str">
        <f>HYPERLINK("https://maps.google.com/?q=17.8959308334857,-96.711336481442302", "🔗 Ver Mapa")</f>
        <v>🔗 Ver Mapa</v>
      </c>
    </row>
    <row r="8621" spans="1:12" ht="43.5" x14ac:dyDescent="0.35">
      <c r="A8621" s="5" t="s">
        <v>98</v>
      </c>
      <c r="B8621" s="5" t="s">
        <v>99</v>
      </c>
      <c r="C8621" s="5" t="s">
        <v>1521</v>
      </c>
      <c r="D8621" s="5" t="s">
        <v>14</v>
      </c>
      <c r="E8621" s="5" t="s">
        <v>110</v>
      </c>
      <c r="F8621" s="5" t="s">
        <v>126</v>
      </c>
      <c r="G8621" s="5" t="s">
        <v>1519</v>
      </c>
      <c r="H8621" s="5" t="s">
        <v>1522</v>
      </c>
      <c r="I8621" s="5" t="s">
        <v>31</v>
      </c>
      <c r="J8621" s="5">
        <v>17.896375937247001</v>
      </c>
      <c r="K8621" s="5">
        <v>-96.711769523659996</v>
      </c>
      <c r="L8621" s="5" t="str">
        <f>HYPERLINK("https://maps.google.com/?q=17.8963759372468,-96.711769523660294", "🔗 Ver Mapa")</f>
        <v>🔗 Ver Mapa</v>
      </c>
    </row>
    <row r="8622" spans="1:12" ht="43.5" x14ac:dyDescent="0.35">
      <c r="A8622" s="6" t="s">
        <v>98</v>
      </c>
      <c r="B8622" s="6" t="s">
        <v>99</v>
      </c>
      <c r="C8622" s="6" t="s">
        <v>1521</v>
      </c>
      <c r="D8622" s="6" t="s">
        <v>14</v>
      </c>
      <c r="E8622" s="6" t="s">
        <v>110</v>
      </c>
      <c r="F8622" s="6" t="s">
        <v>126</v>
      </c>
      <c r="G8622" s="6" t="s">
        <v>1519</v>
      </c>
      <c r="H8622" s="6" t="s">
        <v>1522</v>
      </c>
      <c r="I8622" s="6" t="s">
        <v>31</v>
      </c>
      <c r="J8622" s="6">
        <v>17.897352257057999</v>
      </c>
      <c r="K8622" s="6">
        <v>-96.711840622615</v>
      </c>
      <c r="L8622" s="6" t="str">
        <f>HYPERLINK("https://maps.google.com/?q=17.8973522570578,-96.711840622615199", "🔗 Ver Mapa")</f>
        <v>🔗 Ver Mapa</v>
      </c>
    </row>
    <row r="8623" spans="1:12" ht="43.5" x14ac:dyDescent="0.35">
      <c r="A8623" s="5" t="s">
        <v>98</v>
      </c>
      <c r="B8623" s="5" t="s">
        <v>99</v>
      </c>
      <c r="C8623" s="5" t="s">
        <v>1521</v>
      </c>
      <c r="D8623" s="5" t="s">
        <v>14</v>
      </c>
      <c r="E8623" s="5" t="s">
        <v>110</v>
      </c>
      <c r="F8623" s="5" t="s">
        <v>126</v>
      </c>
      <c r="G8623" s="5" t="s">
        <v>1519</v>
      </c>
      <c r="H8623" s="5" t="s">
        <v>1522</v>
      </c>
      <c r="I8623" s="5" t="s">
        <v>31</v>
      </c>
      <c r="J8623" s="5">
        <v>17.897510506604998</v>
      </c>
      <c r="K8623" s="5">
        <v>-96.711996190738006</v>
      </c>
      <c r="L8623" s="5" t="str">
        <f>HYPERLINK("https://maps.google.com/?q=17.8975105066045,-96.711996190738006", "🔗 Ver Mapa")</f>
        <v>🔗 Ver Mapa</v>
      </c>
    </row>
    <row r="8624" spans="1:12" ht="43.5" x14ac:dyDescent="0.35">
      <c r="A8624" s="6" t="s">
        <v>98</v>
      </c>
      <c r="B8624" s="6" t="s">
        <v>99</v>
      </c>
      <c r="C8624" s="6" t="s">
        <v>1521</v>
      </c>
      <c r="D8624" s="6" t="s">
        <v>14</v>
      </c>
      <c r="E8624" s="6" t="s">
        <v>110</v>
      </c>
      <c r="F8624" s="6" t="s">
        <v>126</v>
      </c>
      <c r="G8624" s="6" t="s">
        <v>1519</v>
      </c>
      <c r="H8624" s="6" t="s">
        <v>1522</v>
      </c>
      <c r="I8624" s="6" t="s">
        <v>31</v>
      </c>
      <c r="J8624" s="6">
        <v>17.898596344645</v>
      </c>
      <c r="K8624" s="6">
        <v>-96.709589887711005</v>
      </c>
      <c r="L8624" s="6" t="str">
        <f>HYPERLINK("https://maps.google.com/?q=17.8985963446448,-96.709589887710806", "🔗 Ver Mapa")</f>
        <v>🔗 Ver Mapa</v>
      </c>
    </row>
    <row r="8625" spans="1:12" ht="43.5" x14ac:dyDescent="0.35">
      <c r="A8625" s="5" t="s">
        <v>98</v>
      </c>
      <c r="B8625" s="5" t="s">
        <v>99</v>
      </c>
      <c r="C8625" s="5" t="s">
        <v>1521</v>
      </c>
      <c r="D8625" s="5" t="s">
        <v>14</v>
      </c>
      <c r="E8625" s="5" t="s">
        <v>110</v>
      </c>
      <c r="F8625" s="5" t="s">
        <v>126</v>
      </c>
      <c r="G8625" s="5" t="s">
        <v>1519</v>
      </c>
      <c r="H8625" s="5" t="s">
        <v>1522</v>
      </c>
      <c r="I8625" s="5" t="s">
        <v>31</v>
      </c>
      <c r="J8625" s="5">
        <v>17.898744796561001</v>
      </c>
      <c r="K8625" s="5">
        <v>-96.715110021680999</v>
      </c>
      <c r="L8625" s="5" t="str">
        <f>HYPERLINK("https://maps.google.com/?q=17.8987447965607,-96.715110021681497", "🔗 Ver Mapa")</f>
        <v>🔗 Ver Mapa</v>
      </c>
    </row>
    <row r="8626" spans="1:12" ht="43.5" x14ac:dyDescent="0.35">
      <c r="A8626" s="6" t="s">
        <v>98</v>
      </c>
      <c r="B8626" s="6" t="s">
        <v>99</v>
      </c>
      <c r="C8626" s="6" t="s">
        <v>1521</v>
      </c>
      <c r="D8626" s="6" t="s">
        <v>14</v>
      </c>
      <c r="E8626" s="6" t="s">
        <v>110</v>
      </c>
      <c r="F8626" s="6" t="s">
        <v>126</v>
      </c>
      <c r="G8626" s="6" t="s">
        <v>1519</v>
      </c>
      <c r="H8626" s="6" t="s">
        <v>1522</v>
      </c>
      <c r="I8626" s="6" t="s">
        <v>31</v>
      </c>
      <c r="J8626" s="6">
        <v>17.898755453246999</v>
      </c>
      <c r="K8626" s="6">
        <v>-96.714859591104997</v>
      </c>
      <c r="L8626" s="6" t="str">
        <f>HYPERLINK("https://maps.google.com/?q=17.8987554532467,-96.714859591104599", "🔗 Ver Mapa")</f>
        <v>🔗 Ver Mapa</v>
      </c>
    </row>
    <row r="8627" spans="1:12" ht="43.5" x14ac:dyDescent="0.35">
      <c r="A8627" s="5" t="s">
        <v>98</v>
      </c>
      <c r="B8627" s="5" t="s">
        <v>99</v>
      </c>
      <c r="C8627" s="5" t="s">
        <v>1521</v>
      </c>
      <c r="D8627" s="5" t="s">
        <v>14</v>
      </c>
      <c r="E8627" s="5" t="s">
        <v>110</v>
      </c>
      <c r="F8627" s="5" t="s">
        <v>126</v>
      </c>
      <c r="G8627" s="5" t="s">
        <v>1519</v>
      </c>
      <c r="H8627" s="5" t="s">
        <v>1522</v>
      </c>
      <c r="I8627" s="5" t="s">
        <v>31</v>
      </c>
      <c r="J8627" s="5">
        <v>17.899123932931001</v>
      </c>
      <c r="K8627" s="5">
        <v>-96.714727193124006</v>
      </c>
      <c r="L8627" s="5" t="str">
        <f>HYPERLINK("https://maps.google.com/?q=17.8991239329312,-96.714727193123693", "🔗 Ver Mapa")</f>
        <v>🔗 Ver Mapa</v>
      </c>
    </row>
    <row r="8628" spans="1:12" ht="43.5" x14ac:dyDescent="0.35">
      <c r="A8628" s="6" t="s">
        <v>98</v>
      </c>
      <c r="B8628" s="6" t="s">
        <v>99</v>
      </c>
      <c r="C8628" s="6" t="s">
        <v>1521</v>
      </c>
      <c r="D8628" s="6" t="s">
        <v>14</v>
      </c>
      <c r="E8628" s="6" t="s">
        <v>110</v>
      </c>
      <c r="F8628" s="6" t="s">
        <v>126</v>
      </c>
      <c r="G8628" s="6" t="s">
        <v>1519</v>
      </c>
      <c r="H8628" s="6" t="s">
        <v>1522</v>
      </c>
      <c r="I8628" s="6" t="s">
        <v>31</v>
      </c>
      <c r="J8628" s="6">
        <v>17.899187620178001</v>
      </c>
      <c r="K8628" s="6">
        <v>-96.713826136175996</v>
      </c>
      <c r="L8628" s="6" t="str">
        <f>HYPERLINK("https://maps.google.com/?q=17.8991876201784,-96.713826136176493", "🔗 Ver Mapa")</f>
        <v>🔗 Ver Mapa</v>
      </c>
    </row>
    <row r="8629" spans="1:12" ht="43.5" x14ac:dyDescent="0.35">
      <c r="A8629" s="5" t="s">
        <v>98</v>
      </c>
      <c r="B8629" s="5" t="s">
        <v>99</v>
      </c>
      <c r="C8629" s="5" t="s">
        <v>1521</v>
      </c>
      <c r="D8629" s="5" t="s">
        <v>14</v>
      </c>
      <c r="E8629" s="5" t="s">
        <v>110</v>
      </c>
      <c r="F8629" s="5" t="s">
        <v>126</v>
      </c>
      <c r="G8629" s="5" t="s">
        <v>1519</v>
      </c>
      <c r="H8629" s="5" t="s">
        <v>1522</v>
      </c>
      <c r="I8629" s="5" t="s">
        <v>31</v>
      </c>
      <c r="J8629" s="5">
        <v>17.899467638097001</v>
      </c>
      <c r="K8629" s="5">
        <v>-96.714770229549003</v>
      </c>
      <c r="L8629" s="5" t="str">
        <f>HYPERLINK("https://maps.google.com/?q=17.8994676380974,-96.714770229549302", "🔗 Ver Mapa")</f>
        <v>🔗 Ver Mapa</v>
      </c>
    </row>
    <row r="8630" spans="1:12" ht="43.5" x14ac:dyDescent="0.35">
      <c r="A8630" s="6" t="s">
        <v>98</v>
      </c>
      <c r="B8630" s="6" t="s">
        <v>99</v>
      </c>
      <c r="C8630" s="6" t="s">
        <v>1521</v>
      </c>
      <c r="D8630" s="6" t="s">
        <v>14</v>
      </c>
      <c r="E8630" s="6" t="s">
        <v>110</v>
      </c>
      <c r="F8630" s="6" t="s">
        <v>126</v>
      </c>
      <c r="G8630" s="6" t="s">
        <v>1519</v>
      </c>
      <c r="H8630" s="6" t="s">
        <v>1522</v>
      </c>
      <c r="I8630" s="6" t="s">
        <v>31</v>
      </c>
      <c r="J8630" s="6">
        <v>17.899500851887002</v>
      </c>
      <c r="K8630" s="6">
        <v>-96.713949099448001</v>
      </c>
      <c r="L8630" s="6" t="str">
        <f>HYPERLINK("https://maps.google.com/?q=17.8995008518868,-96.713949099447703", "🔗 Ver Mapa")</f>
        <v>🔗 Ver Mapa</v>
      </c>
    </row>
    <row r="8631" spans="1:12" ht="43.5" x14ac:dyDescent="0.35">
      <c r="A8631" s="5" t="s">
        <v>98</v>
      </c>
      <c r="B8631" s="5" t="s">
        <v>99</v>
      </c>
      <c r="C8631" s="5" t="s">
        <v>1521</v>
      </c>
      <c r="D8631" s="5" t="s">
        <v>14</v>
      </c>
      <c r="E8631" s="5" t="s">
        <v>110</v>
      </c>
      <c r="F8631" s="5" t="s">
        <v>126</v>
      </c>
      <c r="G8631" s="5" t="s">
        <v>1519</v>
      </c>
      <c r="H8631" s="5" t="s">
        <v>1522</v>
      </c>
      <c r="I8631" s="5" t="s">
        <v>31</v>
      </c>
      <c r="J8631" s="5">
        <v>17.899633916347</v>
      </c>
      <c r="K8631" s="5">
        <v>-96.713818674541997</v>
      </c>
      <c r="L8631" s="5" t="str">
        <f>HYPERLINK("https://maps.google.com/?q=17.8996339163472,-96.713818674542296", "🔗 Ver Mapa")</f>
        <v>🔗 Ver Mapa</v>
      </c>
    </row>
    <row r="8632" spans="1:12" ht="43.5" x14ac:dyDescent="0.35">
      <c r="A8632" s="6" t="s">
        <v>98</v>
      </c>
      <c r="B8632" s="6" t="s">
        <v>99</v>
      </c>
      <c r="C8632" s="6" t="s">
        <v>1521</v>
      </c>
      <c r="D8632" s="6" t="s">
        <v>14</v>
      </c>
      <c r="E8632" s="6" t="s">
        <v>110</v>
      </c>
      <c r="F8632" s="6" t="s">
        <v>126</v>
      </c>
      <c r="G8632" s="6" t="s">
        <v>1519</v>
      </c>
      <c r="H8632" s="6" t="s">
        <v>1522</v>
      </c>
      <c r="I8632" s="6" t="s">
        <v>31</v>
      </c>
      <c r="J8632" s="6">
        <v>17.899634086148001</v>
      </c>
      <c r="K8632" s="6">
        <v>-96.714463363788994</v>
      </c>
      <c r="L8632" s="6" t="str">
        <f>HYPERLINK("https://maps.google.com/?q=17.8996340861482,-96.714463363788994", "🔗 Ver Mapa")</f>
        <v>🔗 Ver Mapa</v>
      </c>
    </row>
    <row r="8633" spans="1:12" ht="43.5" x14ac:dyDescent="0.35">
      <c r="A8633" s="5" t="s">
        <v>98</v>
      </c>
      <c r="B8633" s="5" t="s">
        <v>99</v>
      </c>
      <c r="C8633" s="5" t="s">
        <v>1521</v>
      </c>
      <c r="D8633" s="5" t="s">
        <v>14</v>
      </c>
      <c r="E8633" s="5" t="s">
        <v>110</v>
      </c>
      <c r="F8633" s="5" t="s">
        <v>126</v>
      </c>
      <c r="G8633" s="5" t="s">
        <v>1519</v>
      </c>
      <c r="H8633" s="5" t="s">
        <v>1522</v>
      </c>
      <c r="I8633" s="5" t="s">
        <v>31</v>
      </c>
      <c r="J8633" s="5">
        <v>17.899715987069001</v>
      </c>
      <c r="K8633" s="5">
        <v>-96.713903787850001</v>
      </c>
      <c r="L8633" s="5" t="str">
        <f>HYPERLINK("https://maps.google.com/?q=17.899715987069,-96.713903787850498", "🔗 Ver Mapa")</f>
        <v>🔗 Ver Mapa</v>
      </c>
    </row>
    <row r="8634" spans="1:12" ht="43.5" x14ac:dyDescent="0.35">
      <c r="A8634" s="6" t="s">
        <v>98</v>
      </c>
      <c r="B8634" s="6" t="s">
        <v>99</v>
      </c>
      <c r="C8634" s="6" t="s">
        <v>1521</v>
      </c>
      <c r="D8634" s="6" t="s">
        <v>14</v>
      </c>
      <c r="E8634" s="6" t="s">
        <v>110</v>
      </c>
      <c r="F8634" s="6" t="s">
        <v>126</v>
      </c>
      <c r="G8634" s="6" t="s">
        <v>1519</v>
      </c>
      <c r="H8634" s="6" t="s">
        <v>1522</v>
      </c>
      <c r="I8634" s="6" t="s">
        <v>31</v>
      </c>
      <c r="J8634" s="6">
        <v>17.899770981677001</v>
      </c>
      <c r="K8634" s="6">
        <v>-96.714330446171999</v>
      </c>
      <c r="L8634" s="6" t="str">
        <f>HYPERLINK("https://maps.google.com/?q=17.8997709816767,-96.714330446171601", "🔗 Ver Mapa")</f>
        <v>🔗 Ver Mapa</v>
      </c>
    </row>
    <row r="8635" spans="1:12" ht="43.5" x14ac:dyDescent="0.35">
      <c r="A8635" s="5" t="s">
        <v>98</v>
      </c>
      <c r="B8635" s="5" t="s">
        <v>99</v>
      </c>
      <c r="C8635" s="5" t="s">
        <v>1521</v>
      </c>
      <c r="D8635" s="5" t="s">
        <v>14</v>
      </c>
      <c r="E8635" s="5" t="s">
        <v>110</v>
      </c>
      <c r="F8635" s="5" t="s">
        <v>126</v>
      </c>
      <c r="G8635" s="5" t="s">
        <v>1519</v>
      </c>
      <c r="H8635" s="5" t="s">
        <v>1522</v>
      </c>
      <c r="I8635" s="5" t="s">
        <v>31</v>
      </c>
      <c r="J8635" s="5">
        <v>17.899885075688999</v>
      </c>
      <c r="K8635" s="5">
        <v>-96.715476138954998</v>
      </c>
      <c r="L8635" s="5" t="str">
        <f>HYPERLINK("https://maps.google.com/?q=17.8998850756886,-96.715476138954998", "🔗 Ver Mapa")</f>
        <v>🔗 Ver Mapa</v>
      </c>
    </row>
    <row r="8636" spans="1:12" ht="43.5" x14ac:dyDescent="0.35">
      <c r="A8636" s="6" t="s">
        <v>98</v>
      </c>
      <c r="B8636" s="6" t="s">
        <v>99</v>
      </c>
      <c r="C8636" s="6" t="s">
        <v>1521</v>
      </c>
      <c r="D8636" s="6" t="s">
        <v>14</v>
      </c>
      <c r="E8636" s="6" t="s">
        <v>110</v>
      </c>
      <c r="F8636" s="6" t="s">
        <v>126</v>
      </c>
      <c r="G8636" s="6" t="s">
        <v>1519</v>
      </c>
      <c r="H8636" s="6" t="s">
        <v>1522</v>
      </c>
      <c r="I8636" s="6" t="s">
        <v>31</v>
      </c>
      <c r="J8636" s="6">
        <v>17.900112838072001</v>
      </c>
      <c r="K8636" s="6">
        <v>-96.713411245521996</v>
      </c>
      <c r="L8636" s="6" t="str">
        <f>HYPERLINK("https://maps.google.com/?q=17.9001128380717,-96.713411245522494", "🔗 Ver Mapa")</f>
        <v>🔗 Ver Mapa</v>
      </c>
    </row>
    <row r="8637" spans="1:12" ht="43.5" x14ac:dyDescent="0.35">
      <c r="A8637" s="5" t="s">
        <v>98</v>
      </c>
      <c r="B8637" s="5" t="s">
        <v>99</v>
      </c>
      <c r="C8637" s="5" t="s">
        <v>1521</v>
      </c>
      <c r="D8637" s="5" t="s">
        <v>14</v>
      </c>
      <c r="E8637" s="5" t="s">
        <v>110</v>
      </c>
      <c r="F8637" s="5" t="s">
        <v>126</v>
      </c>
      <c r="G8637" s="5" t="s">
        <v>1519</v>
      </c>
      <c r="H8637" s="5" t="s">
        <v>1522</v>
      </c>
      <c r="I8637" s="5" t="s">
        <v>31</v>
      </c>
      <c r="J8637" s="5">
        <v>17.900177966143001</v>
      </c>
      <c r="K8637" s="5">
        <v>-96.715817451148993</v>
      </c>
      <c r="L8637" s="5" t="str">
        <f>HYPERLINK("https://maps.google.com/?q=17.9001779661432,-96.715817451149306", "🔗 Ver Mapa")</f>
        <v>🔗 Ver Mapa</v>
      </c>
    </row>
    <row r="8638" spans="1:12" ht="43.5" x14ac:dyDescent="0.35">
      <c r="A8638" s="6" t="s">
        <v>98</v>
      </c>
      <c r="B8638" s="6" t="s">
        <v>99</v>
      </c>
      <c r="C8638" s="6" t="s">
        <v>1521</v>
      </c>
      <c r="D8638" s="6" t="s">
        <v>14</v>
      </c>
      <c r="E8638" s="6" t="s">
        <v>110</v>
      </c>
      <c r="F8638" s="6" t="s">
        <v>126</v>
      </c>
      <c r="G8638" s="6" t="s">
        <v>1519</v>
      </c>
      <c r="H8638" s="6" t="s">
        <v>1522</v>
      </c>
      <c r="I8638" s="6" t="s">
        <v>31</v>
      </c>
      <c r="J8638" s="6">
        <v>17.900325360448001</v>
      </c>
      <c r="K8638" s="6">
        <v>-96.715865059940995</v>
      </c>
      <c r="L8638" s="6" t="str">
        <f>HYPERLINK("https://maps.google.com/?q=17.9003253604483,-96.715865059940597", "🔗 Ver Mapa")</f>
        <v>🔗 Ver Mapa</v>
      </c>
    </row>
    <row r="8639" spans="1:12" ht="43.5" x14ac:dyDescent="0.35">
      <c r="A8639" s="5" t="s">
        <v>98</v>
      </c>
      <c r="B8639" s="5" t="s">
        <v>99</v>
      </c>
      <c r="C8639" s="5" t="s">
        <v>1521</v>
      </c>
      <c r="D8639" s="5" t="s">
        <v>14</v>
      </c>
      <c r="E8639" s="5" t="s">
        <v>110</v>
      </c>
      <c r="F8639" s="5" t="s">
        <v>126</v>
      </c>
      <c r="G8639" s="5" t="s">
        <v>1519</v>
      </c>
      <c r="H8639" s="5" t="s">
        <v>1522</v>
      </c>
      <c r="I8639" s="5" t="s">
        <v>31</v>
      </c>
      <c r="J8639" s="5">
        <v>17.900692268461999</v>
      </c>
      <c r="K8639" s="5">
        <v>-96.715711502388004</v>
      </c>
      <c r="L8639" s="5" t="str">
        <f>HYPERLINK("https://maps.google.com/?q=17.9006922684622,-96.715711502387506", "🔗 Ver Mapa")</f>
        <v>🔗 Ver Mapa</v>
      </c>
    </row>
    <row r="8640" spans="1:12" ht="43.5" x14ac:dyDescent="0.35">
      <c r="A8640" s="6" t="s">
        <v>98</v>
      </c>
      <c r="B8640" s="6" t="s">
        <v>99</v>
      </c>
      <c r="C8640" s="6" t="s">
        <v>1523</v>
      </c>
      <c r="D8640" s="6" t="s">
        <v>14</v>
      </c>
      <c r="E8640" s="6" t="s">
        <v>158</v>
      </c>
      <c r="F8640" s="6" t="s">
        <v>159</v>
      </c>
      <c r="G8640" s="6" t="s">
        <v>1012</v>
      </c>
      <c r="H8640" s="6" t="s">
        <v>1027</v>
      </c>
      <c r="I8640" s="6" t="s">
        <v>31</v>
      </c>
      <c r="J8640" s="6">
        <v>16.273697098627</v>
      </c>
      <c r="K8640" s="6">
        <v>-94.532309321311999</v>
      </c>
      <c r="L8640" s="6" t="str">
        <f>HYPERLINK("https://maps.google.com/?q=16.2736970986269,-94.532309321312397", "🔗 Ver Mapa")</f>
        <v>🔗 Ver Mapa</v>
      </c>
    </row>
    <row r="8641" spans="1:12" ht="43.5" x14ac:dyDescent="0.35">
      <c r="A8641" s="5" t="s">
        <v>98</v>
      </c>
      <c r="B8641" s="5" t="s">
        <v>99</v>
      </c>
      <c r="C8641" s="5" t="s">
        <v>1523</v>
      </c>
      <c r="D8641" s="5" t="s">
        <v>14</v>
      </c>
      <c r="E8641" s="5" t="s">
        <v>158</v>
      </c>
      <c r="F8641" s="5" t="s">
        <v>159</v>
      </c>
      <c r="G8641" s="5" t="s">
        <v>1012</v>
      </c>
      <c r="H8641" s="5" t="s">
        <v>1027</v>
      </c>
      <c r="I8641" s="5" t="s">
        <v>31</v>
      </c>
      <c r="J8641" s="5">
        <v>16.273722996747001</v>
      </c>
      <c r="K8641" s="5">
        <v>-94.531454558896002</v>
      </c>
      <c r="L8641" s="5" t="str">
        <f>HYPERLINK("https://maps.google.com/?q=16.2737229967466,-94.531454558895504", "🔗 Ver Mapa")</f>
        <v>🔗 Ver Mapa</v>
      </c>
    </row>
    <row r="8642" spans="1:12" ht="43.5" x14ac:dyDescent="0.35">
      <c r="A8642" s="6" t="s">
        <v>98</v>
      </c>
      <c r="B8642" s="6" t="s">
        <v>99</v>
      </c>
      <c r="C8642" s="6" t="s">
        <v>1523</v>
      </c>
      <c r="D8642" s="6" t="s">
        <v>14</v>
      </c>
      <c r="E8642" s="6" t="s">
        <v>158</v>
      </c>
      <c r="F8642" s="6" t="s">
        <v>159</v>
      </c>
      <c r="G8642" s="6" t="s">
        <v>1012</v>
      </c>
      <c r="H8642" s="6" t="s">
        <v>1027</v>
      </c>
      <c r="I8642" s="6" t="s">
        <v>31</v>
      </c>
      <c r="J8642" s="6">
        <v>16.273764425690999</v>
      </c>
      <c r="K8642" s="6">
        <v>-94.531734149447999</v>
      </c>
      <c r="L8642" s="6" t="str">
        <f>HYPERLINK("https://maps.google.com/?q=16.2737644256905,-94.531734149447701", "🔗 Ver Mapa")</f>
        <v>🔗 Ver Mapa</v>
      </c>
    </row>
    <row r="8643" spans="1:12" ht="43.5" x14ac:dyDescent="0.35">
      <c r="A8643" s="5" t="s">
        <v>98</v>
      </c>
      <c r="B8643" s="5" t="s">
        <v>99</v>
      </c>
      <c r="C8643" s="5" t="s">
        <v>1523</v>
      </c>
      <c r="D8643" s="5" t="s">
        <v>14</v>
      </c>
      <c r="E8643" s="5" t="s">
        <v>158</v>
      </c>
      <c r="F8643" s="5" t="s">
        <v>159</v>
      </c>
      <c r="G8643" s="5" t="s">
        <v>1012</v>
      </c>
      <c r="H8643" s="5" t="s">
        <v>1027</v>
      </c>
      <c r="I8643" s="5" t="s">
        <v>31</v>
      </c>
      <c r="J8643" s="5">
        <v>16.274018742458999</v>
      </c>
      <c r="K8643" s="5">
        <v>-94.532679991945997</v>
      </c>
      <c r="L8643" s="5" t="str">
        <f>HYPERLINK("https://maps.google.com/?q=16.274018742459,-94.532679991946196", "🔗 Ver Mapa")</f>
        <v>🔗 Ver Mapa</v>
      </c>
    </row>
    <row r="8644" spans="1:12" ht="43.5" x14ac:dyDescent="0.35">
      <c r="A8644" s="6" t="s">
        <v>98</v>
      </c>
      <c r="B8644" s="6" t="s">
        <v>99</v>
      </c>
      <c r="C8644" s="6" t="s">
        <v>1523</v>
      </c>
      <c r="D8644" s="6" t="s">
        <v>14</v>
      </c>
      <c r="E8644" s="6" t="s">
        <v>158</v>
      </c>
      <c r="F8644" s="6" t="s">
        <v>159</v>
      </c>
      <c r="G8644" s="6" t="s">
        <v>1012</v>
      </c>
      <c r="H8644" s="6" t="s">
        <v>1027</v>
      </c>
      <c r="I8644" s="6" t="s">
        <v>31</v>
      </c>
      <c r="J8644" s="6">
        <v>16.274022530692999</v>
      </c>
      <c r="K8644" s="6">
        <v>-94.533250269196003</v>
      </c>
      <c r="L8644" s="6" t="str">
        <f>HYPERLINK("https://maps.google.com/?q=16.2740225306934,-94.533250269195506", "🔗 Ver Mapa")</f>
        <v>🔗 Ver Mapa</v>
      </c>
    </row>
    <row r="8645" spans="1:12" ht="43.5" x14ac:dyDescent="0.35">
      <c r="A8645" s="5" t="s">
        <v>98</v>
      </c>
      <c r="B8645" s="5" t="s">
        <v>99</v>
      </c>
      <c r="C8645" s="5" t="s">
        <v>1523</v>
      </c>
      <c r="D8645" s="5" t="s">
        <v>14</v>
      </c>
      <c r="E8645" s="5" t="s">
        <v>158</v>
      </c>
      <c r="F8645" s="5" t="s">
        <v>159</v>
      </c>
      <c r="G8645" s="5" t="s">
        <v>1012</v>
      </c>
      <c r="H8645" s="5" t="s">
        <v>1027</v>
      </c>
      <c r="I8645" s="5" t="s">
        <v>31</v>
      </c>
      <c r="J8645" s="5">
        <v>16.274052151854001</v>
      </c>
      <c r="K8645" s="5">
        <v>-94.532163571262998</v>
      </c>
      <c r="L8645" s="5" t="str">
        <f>HYPERLINK("https://maps.google.com/?q=16.2740521518541,-94.532163571263396", "🔗 Ver Mapa")</f>
        <v>🔗 Ver Mapa</v>
      </c>
    </row>
    <row r="8646" spans="1:12" ht="43.5" x14ac:dyDescent="0.35">
      <c r="A8646" s="6" t="s">
        <v>98</v>
      </c>
      <c r="B8646" s="6" t="s">
        <v>99</v>
      </c>
      <c r="C8646" s="6" t="s">
        <v>1523</v>
      </c>
      <c r="D8646" s="6" t="s">
        <v>14</v>
      </c>
      <c r="E8646" s="6" t="s">
        <v>158</v>
      </c>
      <c r="F8646" s="6" t="s">
        <v>159</v>
      </c>
      <c r="G8646" s="6" t="s">
        <v>1012</v>
      </c>
      <c r="H8646" s="6" t="s">
        <v>1027</v>
      </c>
      <c r="I8646" s="6" t="s">
        <v>31</v>
      </c>
      <c r="J8646" s="6">
        <v>16.274141681035999</v>
      </c>
      <c r="K8646" s="6">
        <v>-94.532397690612001</v>
      </c>
      <c r="L8646" s="6" t="str">
        <f>HYPERLINK("https://maps.google.com/?q=16.2741416810359,-94.532397690611703", "🔗 Ver Mapa")</f>
        <v>🔗 Ver Mapa</v>
      </c>
    </row>
    <row r="8647" spans="1:12" ht="43.5" x14ac:dyDescent="0.35">
      <c r="A8647" s="5" t="s">
        <v>98</v>
      </c>
      <c r="B8647" s="5" t="s">
        <v>99</v>
      </c>
      <c r="C8647" s="5" t="s">
        <v>1523</v>
      </c>
      <c r="D8647" s="5" t="s">
        <v>14</v>
      </c>
      <c r="E8647" s="5" t="s">
        <v>158</v>
      </c>
      <c r="F8647" s="5" t="s">
        <v>159</v>
      </c>
      <c r="G8647" s="5" t="s">
        <v>1012</v>
      </c>
      <c r="H8647" s="5" t="s">
        <v>1027</v>
      </c>
      <c r="I8647" s="5" t="s">
        <v>31</v>
      </c>
      <c r="J8647" s="5">
        <v>16.274155167162</v>
      </c>
      <c r="K8647" s="5">
        <v>-94.531976633799999</v>
      </c>
      <c r="L8647" s="5" t="str">
        <f>HYPERLINK("https://maps.google.com/?q=16.2741551671619,-94.531976633800198", "🔗 Ver Mapa")</f>
        <v>🔗 Ver Mapa</v>
      </c>
    </row>
    <row r="8648" spans="1:12" ht="43.5" x14ac:dyDescent="0.35">
      <c r="A8648" s="6" t="s">
        <v>98</v>
      </c>
      <c r="B8648" s="6" t="s">
        <v>99</v>
      </c>
      <c r="C8648" s="6" t="s">
        <v>1523</v>
      </c>
      <c r="D8648" s="6" t="s">
        <v>14</v>
      </c>
      <c r="E8648" s="6" t="s">
        <v>158</v>
      </c>
      <c r="F8648" s="6" t="s">
        <v>159</v>
      </c>
      <c r="G8648" s="6" t="s">
        <v>1012</v>
      </c>
      <c r="H8648" s="6" t="s">
        <v>1027</v>
      </c>
      <c r="I8648" s="6" t="s">
        <v>31</v>
      </c>
      <c r="J8648" s="6">
        <v>16.274267194650001</v>
      </c>
      <c r="K8648" s="6">
        <v>-94.532194851469995</v>
      </c>
      <c r="L8648" s="6" t="str">
        <f>HYPERLINK("https://maps.google.com/?q=16.2742671946498,-94.532194851469598", "🔗 Ver Mapa")</f>
        <v>🔗 Ver Mapa</v>
      </c>
    </row>
    <row r="8649" spans="1:12" ht="43.5" x14ac:dyDescent="0.35">
      <c r="A8649" s="5" t="s">
        <v>98</v>
      </c>
      <c r="B8649" s="5" t="s">
        <v>99</v>
      </c>
      <c r="C8649" s="5" t="s">
        <v>1523</v>
      </c>
      <c r="D8649" s="5" t="s">
        <v>14</v>
      </c>
      <c r="E8649" s="5" t="s">
        <v>158</v>
      </c>
      <c r="F8649" s="5" t="s">
        <v>159</v>
      </c>
      <c r="G8649" s="5" t="s">
        <v>1012</v>
      </c>
      <c r="H8649" s="5" t="s">
        <v>1027</v>
      </c>
      <c r="I8649" s="5" t="s">
        <v>31</v>
      </c>
      <c r="J8649" s="5">
        <v>16.275600468697998</v>
      </c>
      <c r="K8649" s="5">
        <v>-94.530978945640996</v>
      </c>
      <c r="L8649" s="5" t="str">
        <f>HYPERLINK("https://maps.google.com/?q=16.2756004686977,-94.530978945641394", "🔗 Ver Mapa")</f>
        <v>🔗 Ver Mapa</v>
      </c>
    </row>
    <row r="8650" spans="1:12" ht="43.5" x14ac:dyDescent="0.35">
      <c r="A8650" s="6" t="s">
        <v>98</v>
      </c>
      <c r="B8650" s="6" t="s">
        <v>99</v>
      </c>
      <c r="C8650" s="6" t="s">
        <v>1523</v>
      </c>
      <c r="D8650" s="6" t="s">
        <v>14</v>
      </c>
      <c r="E8650" s="6" t="s">
        <v>158</v>
      </c>
      <c r="F8650" s="6" t="s">
        <v>159</v>
      </c>
      <c r="G8650" s="6" t="s">
        <v>1012</v>
      </c>
      <c r="H8650" s="6" t="s">
        <v>1027</v>
      </c>
      <c r="I8650" s="6" t="s">
        <v>31</v>
      </c>
      <c r="J8650" s="6">
        <v>16.275883504987</v>
      </c>
      <c r="K8650" s="6">
        <v>-94.532159501652004</v>
      </c>
      <c r="L8650" s="6" t="str">
        <f>HYPERLINK("https://maps.google.com/?q=16.2758835049872,-94.532159501651606", "🔗 Ver Mapa")</f>
        <v>🔗 Ver Mapa</v>
      </c>
    </row>
    <row r="8651" spans="1:12" ht="43.5" x14ac:dyDescent="0.35">
      <c r="A8651" s="5" t="s">
        <v>98</v>
      </c>
      <c r="B8651" s="5" t="s">
        <v>99</v>
      </c>
      <c r="C8651" s="5" t="s">
        <v>1523</v>
      </c>
      <c r="D8651" s="5" t="s">
        <v>14</v>
      </c>
      <c r="E8651" s="5" t="s">
        <v>158</v>
      </c>
      <c r="F8651" s="5" t="s">
        <v>159</v>
      </c>
      <c r="G8651" s="5" t="s">
        <v>1012</v>
      </c>
      <c r="H8651" s="5" t="s">
        <v>1027</v>
      </c>
      <c r="I8651" s="5" t="s">
        <v>31</v>
      </c>
      <c r="J8651" s="5">
        <v>16.276216735413001</v>
      </c>
      <c r="K8651" s="5">
        <v>-94.531601130159004</v>
      </c>
      <c r="L8651" s="5" t="str">
        <f>HYPERLINK("https://maps.google.com/?q=16.2762167354135,-94.531601130158705", "🔗 Ver Mapa")</f>
        <v>🔗 Ver Mapa</v>
      </c>
    </row>
    <row r="8652" spans="1:12" ht="58" x14ac:dyDescent="0.35">
      <c r="A8652" s="6" t="s">
        <v>98</v>
      </c>
      <c r="B8652" s="6" t="s">
        <v>99</v>
      </c>
      <c r="C8652" s="6" t="s">
        <v>1524</v>
      </c>
      <c r="D8652" s="6" t="s">
        <v>14</v>
      </c>
      <c r="E8652" s="6" t="s">
        <v>16</v>
      </c>
      <c r="F8652" s="6" t="s">
        <v>21</v>
      </c>
      <c r="G8652" s="6" t="s">
        <v>699</v>
      </c>
      <c r="H8652" s="6" t="s">
        <v>1525</v>
      </c>
      <c r="I8652" s="6" t="s">
        <v>31</v>
      </c>
      <c r="J8652" s="6">
        <v>17.031359683468001</v>
      </c>
      <c r="K8652" s="6">
        <v>-97.802649092218005</v>
      </c>
      <c r="L8652" s="6" t="str">
        <f>HYPERLINK("https://maps.google.com/?q=17.0313596834679,-97.802649092217706", "🔗 Ver Mapa")</f>
        <v>🔗 Ver Mapa</v>
      </c>
    </row>
    <row r="8653" spans="1:12" ht="58" x14ac:dyDescent="0.35">
      <c r="A8653" s="5" t="s">
        <v>98</v>
      </c>
      <c r="B8653" s="5" t="s">
        <v>99</v>
      </c>
      <c r="C8653" s="5" t="s">
        <v>1524</v>
      </c>
      <c r="D8653" s="5" t="s">
        <v>14</v>
      </c>
      <c r="E8653" s="5" t="s">
        <v>16</v>
      </c>
      <c r="F8653" s="5" t="s">
        <v>21</v>
      </c>
      <c r="G8653" s="5" t="s">
        <v>699</v>
      </c>
      <c r="H8653" s="5" t="s">
        <v>1525</v>
      </c>
      <c r="I8653" s="5" t="s">
        <v>31</v>
      </c>
      <c r="J8653" s="5">
        <v>17.031454042954</v>
      </c>
      <c r="K8653" s="5">
        <v>-97.803674175205998</v>
      </c>
      <c r="L8653" s="5" t="str">
        <f>HYPERLINK("https://maps.google.com/?q=17.0314540429538,-97.803674175206297", "🔗 Ver Mapa")</f>
        <v>🔗 Ver Mapa</v>
      </c>
    </row>
    <row r="8654" spans="1:12" ht="58" x14ac:dyDescent="0.35">
      <c r="A8654" s="6" t="s">
        <v>98</v>
      </c>
      <c r="B8654" s="6" t="s">
        <v>99</v>
      </c>
      <c r="C8654" s="6" t="s">
        <v>1524</v>
      </c>
      <c r="D8654" s="6" t="s">
        <v>14</v>
      </c>
      <c r="E8654" s="6" t="s">
        <v>16</v>
      </c>
      <c r="F8654" s="6" t="s">
        <v>21</v>
      </c>
      <c r="G8654" s="6" t="s">
        <v>699</v>
      </c>
      <c r="H8654" s="6" t="s">
        <v>1525</v>
      </c>
      <c r="I8654" s="6" t="s">
        <v>31</v>
      </c>
      <c r="J8654" s="6">
        <v>17.032183207999999</v>
      </c>
      <c r="K8654" s="6">
        <v>-97.802932831999996</v>
      </c>
      <c r="L8654" s="6" t="str">
        <f>HYPERLINK("https://maps.google.com/?q=17.032183208,-97.802932832", "🔗 Ver Mapa")</f>
        <v>🔗 Ver Mapa</v>
      </c>
    </row>
    <row r="8655" spans="1:12" ht="58" x14ac:dyDescent="0.35">
      <c r="A8655" s="5" t="s">
        <v>98</v>
      </c>
      <c r="B8655" s="5" t="s">
        <v>99</v>
      </c>
      <c r="C8655" s="5" t="s">
        <v>1524</v>
      </c>
      <c r="D8655" s="5" t="s">
        <v>14</v>
      </c>
      <c r="E8655" s="5" t="s">
        <v>16</v>
      </c>
      <c r="F8655" s="5" t="s">
        <v>21</v>
      </c>
      <c r="G8655" s="5" t="s">
        <v>699</v>
      </c>
      <c r="H8655" s="5" t="s">
        <v>1525</v>
      </c>
      <c r="I8655" s="5" t="s">
        <v>31</v>
      </c>
      <c r="J8655" s="5">
        <v>17.032344218778999</v>
      </c>
      <c r="K8655" s="5">
        <v>-97.804013362321996</v>
      </c>
      <c r="L8655" s="5" t="str">
        <f>HYPERLINK("https://maps.google.com/?q=17.0323442187793,-97.804013362322394", "🔗 Ver Mapa")</f>
        <v>🔗 Ver Mapa</v>
      </c>
    </row>
    <row r="8656" spans="1:12" ht="58" x14ac:dyDescent="0.35">
      <c r="A8656" s="6" t="s">
        <v>98</v>
      </c>
      <c r="B8656" s="6" t="s">
        <v>99</v>
      </c>
      <c r="C8656" s="6" t="s">
        <v>1524</v>
      </c>
      <c r="D8656" s="6" t="s">
        <v>14</v>
      </c>
      <c r="E8656" s="6" t="s">
        <v>16</v>
      </c>
      <c r="F8656" s="6" t="s">
        <v>21</v>
      </c>
      <c r="G8656" s="6" t="s">
        <v>699</v>
      </c>
      <c r="H8656" s="6" t="s">
        <v>1525</v>
      </c>
      <c r="I8656" s="6" t="s">
        <v>31</v>
      </c>
      <c r="J8656" s="6">
        <v>17.032436006228998</v>
      </c>
      <c r="K8656" s="6">
        <v>-97.808174711454996</v>
      </c>
      <c r="L8656" s="6" t="str">
        <f>HYPERLINK("https://maps.google.com/?q=17.0324360062285,-97.808174711454598", "🔗 Ver Mapa")</f>
        <v>🔗 Ver Mapa</v>
      </c>
    </row>
    <row r="8657" spans="1:12" ht="58" x14ac:dyDescent="0.35">
      <c r="A8657" s="5" t="s">
        <v>98</v>
      </c>
      <c r="B8657" s="5" t="s">
        <v>99</v>
      </c>
      <c r="C8657" s="5" t="s">
        <v>1524</v>
      </c>
      <c r="D8657" s="5" t="s">
        <v>14</v>
      </c>
      <c r="E8657" s="5" t="s">
        <v>16</v>
      </c>
      <c r="F8657" s="5" t="s">
        <v>21</v>
      </c>
      <c r="G8657" s="5" t="s">
        <v>699</v>
      </c>
      <c r="H8657" s="5" t="s">
        <v>1525</v>
      </c>
      <c r="I8657" s="5" t="s">
        <v>31</v>
      </c>
      <c r="J8657" s="5">
        <v>17.032513909315</v>
      </c>
      <c r="K8657" s="5">
        <v>-97.803672199746003</v>
      </c>
      <c r="L8657" s="5" t="str">
        <f>HYPERLINK("https://maps.google.com/?q=17.0325139093154,-97.803672199745805", "🔗 Ver Mapa")</f>
        <v>🔗 Ver Mapa</v>
      </c>
    </row>
    <row r="8658" spans="1:12" ht="58" x14ac:dyDescent="0.35">
      <c r="A8658" s="6" t="s">
        <v>98</v>
      </c>
      <c r="B8658" s="6" t="s">
        <v>99</v>
      </c>
      <c r="C8658" s="6" t="s">
        <v>1524</v>
      </c>
      <c r="D8658" s="6" t="s">
        <v>14</v>
      </c>
      <c r="E8658" s="6" t="s">
        <v>16</v>
      </c>
      <c r="F8658" s="6" t="s">
        <v>21</v>
      </c>
      <c r="G8658" s="6" t="s">
        <v>699</v>
      </c>
      <c r="H8658" s="6" t="s">
        <v>1525</v>
      </c>
      <c r="I8658" s="6" t="s">
        <v>31</v>
      </c>
      <c r="J8658" s="6">
        <v>17.033305494899999</v>
      </c>
      <c r="K8658" s="6">
        <v>-97.805169865181</v>
      </c>
      <c r="L8658" s="6" t="str">
        <f>HYPERLINK("https://maps.google.com/?q=17.0333054948995,-97.805169865180602", "🔗 Ver Mapa")</f>
        <v>🔗 Ver Mapa</v>
      </c>
    </row>
    <row r="8659" spans="1:12" ht="58" x14ac:dyDescent="0.35">
      <c r="A8659" s="5" t="s">
        <v>98</v>
      </c>
      <c r="B8659" s="5" t="s">
        <v>99</v>
      </c>
      <c r="C8659" s="5" t="s">
        <v>1524</v>
      </c>
      <c r="D8659" s="5" t="s">
        <v>14</v>
      </c>
      <c r="E8659" s="5" t="s">
        <v>16</v>
      </c>
      <c r="F8659" s="5" t="s">
        <v>21</v>
      </c>
      <c r="G8659" s="5" t="s">
        <v>699</v>
      </c>
      <c r="H8659" s="5" t="s">
        <v>1525</v>
      </c>
      <c r="I8659" s="5" t="s">
        <v>31</v>
      </c>
      <c r="J8659" s="5">
        <v>17.033326463588001</v>
      </c>
      <c r="K8659" s="5">
        <v>-97.807102054333996</v>
      </c>
      <c r="L8659" s="5" t="str">
        <f>HYPERLINK("https://maps.google.com/?q=17.033326463588065,-97.80710205433394", "🔗 Ver Mapa")</f>
        <v>🔗 Ver Mapa</v>
      </c>
    </row>
    <row r="8660" spans="1:12" ht="58" x14ac:dyDescent="0.35">
      <c r="A8660" s="6" t="s">
        <v>98</v>
      </c>
      <c r="B8660" s="6" t="s">
        <v>99</v>
      </c>
      <c r="C8660" s="6" t="s">
        <v>1524</v>
      </c>
      <c r="D8660" s="6" t="s">
        <v>14</v>
      </c>
      <c r="E8660" s="6" t="s">
        <v>16</v>
      </c>
      <c r="F8660" s="6" t="s">
        <v>21</v>
      </c>
      <c r="G8660" s="6" t="s">
        <v>699</v>
      </c>
      <c r="H8660" s="6" t="s">
        <v>1525</v>
      </c>
      <c r="I8660" s="6" t="s">
        <v>31</v>
      </c>
      <c r="J8660" s="6">
        <v>17.034054348209999</v>
      </c>
      <c r="K8660" s="6">
        <v>-97.804637446691004</v>
      </c>
      <c r="L8660" s="6" t="str">
        <f>HYPERLINK("https://maps.google.com/?q=17.03405434821,-97.804637446691402", "🔗 Ver Mapa")</f>
        <v>🔗 Ver Mapa</v>
      </c>
    </row>
    <row r="8661" spans="1:12" ht="58" x14ac:dyDescent="0.35">
      <c r="A8661" s="5" t="s">
        <v>98</v>
      </c>
      <c r="B8661" s="5" t="s">
        <v>99</v>
      </c>
      <c r="C8661" s="5" t="s">
        <v>1524</v>
      </c>
      <c r="D8661" s="5" t="s">
        <v>14</v>
      </c>
      <c r="E8661" s="5" t="s">
        <v>16</v>
      </c>
      <c r="F8661" s="5" t="s">
        <v>21</v>
      </c>
      <c r="G8661" s="5" t="s">
        <v>699</v>
      </c>
      <c r="H8661" s="5" t="s">
        <v>1525</v>
      </c>
      <c r="I8661" s="5" t="s">
        <v>31</v>
      </c>
      <c r="J8661" s="5">
        <v>17.03424740725</v>
      </c>
      <c r="K8661" s="5">
        <v>-97.804954835656005</v>
      </c>
      <c r="L8661" s="5" t="str">
        <f>HYPERLINK("https://maps.google.com/?q=17.0342474072496,-97.804954835655906", "🔗 Ver Mapa")</f>
        <v>🔗 Ver Mapa</v>
      </c>
    </row>
    <row r="8662" spans="1:12" ht="58" x14ac:dyDescent="0.35">
      <c r="A8662" s="6" t="s">
        <v>98</v>
      </c>
      <c r="B8662" s="6" t="s">
        <v>99</v>
      </c>
      <c r="C8662" s="6" t="s">
        <v>1526</v>
      </c>
      <c r="D8662" s="6" t="s">
        <v>14</v>
      </c>
      <c r="E8662" s="6" t="s">
        <v>39</v>
      </c>
      <c r="F8662" s="6" t="s">
        <v>353</v>
      </c>
      <c r="G8662" s="6" t="s">
        <v>1527</v>
      </c>
      <c r="H8662" s="6" t="s">
        <v>1528</v>
      </c>
      <c r="I8662" s="6" t="s">
        <v>31</v>
      </c>
      <c r="J8662" s="6">
        <v>16.275257691861</v>
      </c>
      <c r="K8662" s="6">
        <v>-96.300459615470004</v>
      </c>
      <c r="L8662" s="6" t="str">
        <f>HYPERLINK("https://maps.google.com/?q=16.2752576918606,-96.300459615470103", "🔗 Ver Mapa")</f>
        <v>🔗 Ver Mapa</v>
      </c>
    </row>
    <row r="8663" spans="1:12" ht="58" x14ac:dyDescent="0.35">
      <c r="A8663" s="5" t="s">
        <v>98</v>
      </c>
      <c r="B8663" s="5" t="s">
        <v>99</v>
      </c>
      <c r="C8663" s="5" t="s">
        <v>1526</v>
      </c>
      <c r="D8663" s="5" t="s">
        <v>14</v>
      </c>
      <c r="E8663" s="5" t="s">
        <v>39</v>
      </c>
      <c r="F8663" s="5" t="s">
        <v>353</v>
      </c>
      <c r="G8663" s="5" t="s">
        <v>1527</v>
      </c>
      <c r="H8663" s="5" t="s">
        <v>1528</v>
      </c>
      <c r="I8663" s="5" t="s">
        <v>31</v>
      </c>
      <c r="J8663" s="5">
        <v>16.275492101070999</v>
      </c>
      <c r="K8663" s="5">
        <v>-96.301937187066997</v>
      </c>
      <c r="L8663" s="5" t="str">
        <f>HYPERLINK("https://maps.google.com/?q=16.2754921010714,-96.301937187067495", "🔗 Ver Mapa")</f>
        <v>🔗 Ver Mapa</v>
      </c>
    </row>
    <row r="8664" spans="1:12" ht="58" x14ac:dyDescent="0.35">
      <c r="A8664" s="6" t="s">
        <v>98</v>
      </c>
      <c r="B8664" s="6" t="s">
        <v>99</v>
      </c>
      <c r="C8664" s="6" t="s">
        <v>1526</v>
      </c>
      <c r="D8664" s="6" t="s">
        <v>14</v>
      </c>
      <c r="E8664" s="6" t="s">
        <v>39</v>
      </c>
      <c r="F8664" s="6" t="s">
        <v>353</v>
      </c>
      <c r="G8664" s="6" t="s">
        <v>1527</v>
      </c>
      <c r="H8664" s="6" t="s">
        <v>1528</v>
      </c>
      <c r="I8664" s="6" t="s">
        <v>31</v>
      </c>
      <c r="J8664" s="6">
        <v>16.275610323045001</v>
      </c>
      <c r="K8664" s="6">
        <v>-96.30030471101</v>
      </c>
      <c r="L8664" s="6" t="str">
        <f>HYPERLINK("https://maps.google.com/?q=16.2756103230452,-96.300304711010497", "🔗 Ver Mapa")</f>
        <v>🔗 Ver Mapa</v>
      </c>
    </row>
    <row r="8665" spans="1:12" ht="58" x14ac:dyDescent="0.35">
      <c r="A8665" s="5" t="s">
        <v>98</v>
      </c>
      <c r="B8665" s="5" t="s">
        <v>99</v>
      </c>
      <c r="C8665" s="5" t="s">
        <v>1526</v>
      </c>
      <c r="D8665" s="5" t="s">
        <v>14</v>
      </c>
      <c r="E8665" s="5" t="s">
        <v>39</v>
      </c>
      <c r="F8665" s="5" t="s">
        <v>353</v>
      </c>
      <c r="G8665" s="5" t="s">
        <v>1527</v>
      </c>
      <c r="H8665" s="5" t="s">
        <v>1528</v>
      </c>
      <c r="I8665" s="5" t="s">
        <v>31</v>
      </c>
      <c r="J8665" s="5">
        <v>16.275664289508999</v>
      </c>
      <c r="K8665" s="5">
        <v>-96.304308680313994</v>
      </c>
      <c r="L8665" s="5" t="str">
        <f>HYPERLINK("https://maps.google.com/?q=16.2756642895093,-96.304308680313895", "🔗 Ver Mapa")</f>
        <v>🔗 Ver Mapa</v>
      </c>
    </row>
    <row r="8666" spans="1:12" ht="58" x14ac:dyDescent="0.35">
      <c r="A8666" s="6" t="s">
        <v>98</v>
      </c>
      <c r="B8666" s="6" t="s">
        <v>99</v>
      </c>
      <c r="C8666" s="6" t="s">
        <v>1526</v>
      </c>
      <c r="D8666" s="6" t="s">
        <v>14</v>
      </c>
      <c r="E8666" s="6" t="s">
        <v>39</v>
      </c>
      <c r="F8666" s="6" t="s">
        <v>353</v>
      </c>
      <c r="G8666" s="6" t="s">
        <v>1527</v>
      </c>
      <c r="H8666" s="6" t="s">
        <v>1528</v>
      </c>
      <c r="I8666" s="6" t="s">
        <v>31</v>
      </c>
      <c r="J8666" s="6">
        <v>16.275908707386002</v>
      </c>
      <c r="K8666" s="6">
        <v>-96.305384668087001</v>
      </c>
      <c r="L8666" s="6" t="str">
        <f>HYPERLINK("https://maps.google.com/?q=16.275908707386,-96.305384668086603", "🔗 Ver Mapa")</f>
        <v>🔗 Ver Mapa</v>
      </c>
    </row>
    <row r="8667" spans="1:12" ht="58" x14ac:dyDescent="0.35">
      <c r="A8667" s="5" t="s">
        <v>98</v>
      </c>
      <c r="B8667" s="5" t="s">
        <v>99</v>
      </c>
      <c r="C8667" s="5" t="s">
        <v>1526</v>
      </c>
      <c r="D8667" s="5" t="s">
        <v>14</v>
      </c>
      <c r="E8667" s="5" t="s">
        <v>39</v>
      </c>
      <c r="F8667" s="5" t="s">
        <v>353</v>
      </c>
      <c r="G8667" s="5" t="s">
        <v>1527</v>
      </c>
      <c r="H8667" s="5" t="s">
        <v>1528</v>
      </c>
      <c r="I8667" s="5" t="s">
        <v>31</v>
      </c>
      <c r="J8667" s="5">
        <v>16.275961493912</v>
      </c>
      <c r="K8667" s="5">
        <v>-96.304492162852995</v>
      </c>
      <c r="L8667" s="5" t="str">
        <f>HYPERLINK("https://maps.google.com/?q=16.2759614939116,-96.304492162853407", "🔗 Ver Mapa")</f>
        <v>🔗 Ver Mapa</v>
      </c>
    </row>
    <row r="8668" spans="1:12" ht="58" x14ac:dyDescent="0.35">
      <c r="A8668" s="6" t="s">
        <v>98</v>
      </c>
      <c r="B8668" s="6" t="s">
        <v>99</v>
      </c>
      <c r="C8668" s="6" t="s">
        <v>1526</v>
      </c>
      <c r="D8668" s="6" t="s">
        <v>14</v>
      </c>
      <c r="E8668" s="6" t="s">
        <v>39</v>
      </c>
      <c r="F8668" s="6" t="s">
        <v>353</v>
      </c>
      <c r="G8668" s="6" t="s">
        <v>1527</v>
      </c>
      <c r="H8668" s="6" t="s">
        <v>1528</v>
      </c>
      <c r="I8668" s="6" t="s">
        <v>31</v>
      </c>
      <c r="J8668" s="6">
        <v>16.276378332036</v>
      </c>
      <c r="K8668" s="6">
        <v>-96.301354266022997</v>
      </c>
      <c r="L8668" s="6" t="str">
        <f>HYPERLINK("https://maps.google.com/?q=16.2763783320359,-96.301354266023296", "🔗 Ver Mapa")</f>
        <v>🔗 Ver Mapa</v>
      </c>
    </row>
    <row r="8669" spans="1:12" ht="58" x14ac:dyDescent="0.35">
      <c r="A8669" s="5" t="s">
        <v>98</v>
      </c>
      <c r="B8669" s="5" t="s">
        <v>99</v>
      </c>
      <c r="C8669" s="5" t="s">
        <v>1526</v>
      </c>
      <c r="D8669" s="5" t="s">
        <v>14</v>
      </c>
      <c r="E8669" s="5" t="s">
        <v>39</v>
      </c>
      <c r="F8669" s="5" t="s">
        <v>353</v>
      </c>
      <c r="G8669" s="5" t="s">
        <v>1527</v>
      </c>
      <c r="H8669" s="5" t="s">
        <v>1528</v>
      </c>
      <c r="I8669" s="5" t="s">
        <v>31</v>
      </c>
      <c r="J8669" s="5">
        <v>16.276761016817002</v>
      </c>
      <c r="K8669" s="5">
        <v>-96.307076239089</v>
      </c>
      <c r="L8669" s="5" t="str">
        <f>HYPERLINK("https://maps.google.com/?q=16.2767610168168,-96.307076239089099", "🔗 Ver Mapa")</f>
        <v>🔗 Ver Mapa</v>
      </c>
    </row>
    <row r="8670" spans="1:12" ht="58" x14ac:dyDescent="0.35">
      <c r="A8670" s="6" t="s">
        <v>98</v>
      </c>
      <c r="B8670" s="6" t="s">
        <v>99</v>
      </c>
      <c r="C8670" s="6" t="s">
        <v>1526</v>
      </c>
      <c r="D8670" s="6" t="s">
        <v>14</v>
      </c>
      <c r="E8670" s="6" t="s">
        <v>39</v>
      </c>
      <c r="F8670" s="6" t="s">
        <v>353</v>
      </c>
      <c r="G8670" s="6" t="s">
        <v>1527</v>
      </c>
      <c r="H8670" s="6" t="s">
        <v>1528</v>
      </c>
      <c r="I8670" s="6" t="s">
        <v>31</v>
      </c>
      <c r="J8670" s="6">
        <v>16.277406810378</v>
      </c>
      <c r="K8670" s="6">
        <v>-96.302943686058995</v>
      </c>
      <c r="L8670" s="6" t="str">
        <f>HYPERLINK("https://maps.google.com/?q=16.2774068103783,-96.302943686059393", "🔗 Ver Mapa")</f>
        <v>🔗 Ver Mapa</v>
      </c>
    </row>
    <row r="8671" spans="1:12" ht="58" x14ac:dyDescent="0.35">
      <c r="A8671" s="5" t="s">
        <v>98</v>
      </c>
      <c r="B8671" s="5" t="s">
        <v>99</v>
      </c>
      <c r="C8671" s="5" t="s">
        <v>1526</v>
      </c>
      <c r="D8671" s="5" t="s">
        <v>14</v>
      </c>
      <c r="E8671" s="5" t="s">
        <v>39</v>
      </c>
      <c r="F8671" s="5" t="s">
        <v>353</v>
      </c>
      <c r="G8671" s="5" t="s">
        <v>1527</v>
      </c>
      <c r="H8671" s="5" t="s">
        <v>1528</v>
      </c>
      <c r="I8671" s="5" t="s">
        <v>31</v>
      </c>
      <c r="J8671" s="5">
        <v>16.277512535201001</v>
      </c>
      <c r="K8671" s="5">
        <v>-96.306569596686003</v>
      </c>
      <c r="L8671" s="5" t="str">
        <f>HYPERLINK("https://maps.google.com/?q=16.2775125352013,-96.306569596686401", "🔗 Ver Mapa")</f>
        <v>🔗 Ver Mapa</v>
      </c>
    </row>
    <row r="8672" spans="1:12" ht="58" x14ac:dyDescent="0.35">
      <c r="A8672" s="6" t="s">
        <v>98</v>
      </c>
      <c r="B8672" s="6" t="s">
        <v>99</v>
      </c>
      <c r="C8672" s="6" t="s">
        <v>1526</v>
      </c>
      <c r="D8672" s="6" t="s">
        <v>14</v>
      </c>
      <c r="E8672" s="6" t="s">
        <v>39</v>
      </c>
      <c r="F8672" s="6" t="s">
        <v>353</v>
      </c>
      <c r="G8672" s="6" t="s">
        <v>1527</v>
      </c>
      <c r="H8672" s="6" t="s">
        <v>1528</v>
      </c>
      <c r="I8672" s="6" t="s">
        <v>31</v>
      </c>
      <c r="J8672" s="6">
        <v>16.278463088133002</v>
      </c>
      <c r="K8672" s="6">
        <v>-96.301863744952996</v>
      </c>
      <c r="L8672" s="6" t="str">
        <f>HYPERLINK("https://maps.google.com/?q=16.2784630881335,-96.301863744952897", "🔗 Ver Mapa")</f>
        <v>🔗 Ver Mapa</v>
      </c>
    </row>
    <row r="8673" spans="1:12" ht="58" x14ac:dyDescent="0.35">
      <c r="A8673" s="5" t="s">
        <v>98</v>
      </c>
      <c r="B8673" s="5" t="s">
        <v>99</v>
      </c>
      <c r="C8673" s="5" t="s">
        <v>1526</v>
      </c>
      <c r="D8673" s="5" t="s">
        <v>14</v>
      </c>
      <c r="E8673" s="5" t="s">
        <v>39</v>
      </c>
      <c r="F8673" s="5" t="s">
        <v>353</v>
      </c>
      <c r="G8673" s="5" t="s">
        <v>1527</v>
      </c>
      <c r="H8673" s="5" t="s">
        <v>1528</v>
      </c>
      <c r="I8673" s="5" t="s">
        <v>31</v>
      </c>
      <c r="J8673" s="5">
        <v>16.278817458159999</v>
      </c>
      <c r="K8673" s="5">
        <v>-96.298864421500994</v>
      </c>
      <c r="L8673" s="5" t="str">
        <f>HYPERLINK("https://maps.google.com/?q=16.2788174581605,-96.298864421501094", "🔗 Ver Mapa")</f>
        <v>🔗 Ver Mapa</v>
      </c>
    </row>
    <row r="8674" spans="1:12" ht="58" x14ac:dyDescent="0.35">
      <c r="A8674" s="6" t="s">
        <v>98</v>
      </c>
      <c r="B8674" s="6" t="s">
        <v>99</v>
      </c>
      <c r="C8674" s="6" t="s">
        <v>1526</v>
      </c>
      <c r="D8674" s="6" t="s">
        <v>14</v>
      </c>
      <c r="E8674" s="6" t="s">
        <v>39</v>
      </c>
      <c r="F8674" s="6" t="s">
        <v>353</v>
      </c>
      <c r="G8674" s="6" t="s">
        <v>1527</v>
      </c>
      <c r="H8674" s="6" t="s">
        <v>1528</v>
      </c>
      <c r="I8674" s="6" t="s">
        <v>31</v>
      </c>
      <c r="J8674" s="6">
        <v>16.278922230132</v>
      </c>
      <c r="K8674" s="6">
        <v>-96.299920820338002</v>
      </c>
      <c r="L8674" s="6" t="str">
        <f>HYPERLINK("https://maps.google.com/?q=16.2789222301322,-96.299920820337704", "🔗 Ver Mapa")</f>
        <v>🔗 Ver Mapa</v>
      </c>
    </row>
    <row r="8675" spans="1:12" ht="58" x14ac:dyDescent="0.35">
      <c r="A8675" s="5" t="s">
        <v>98</v>
      </c>
      <c r="B8675" s="5" t="s">
        <v>99</v>
      </c>
      <c r="C8675" s="5" t="s">
        <v>1526</v>
      </c>
      <c r="D8675" s="5" t="s">
        <v>14</v>
      </c>
      <c r="E8675" s="5" t="s">
        <v>39</v>
      </c>
      <c r="F8675" s="5" t="s">
        <v>353</v>
      </c>
      <c r="G8675" s="5" t="s">
        <v>1527</v>
      </c>
      <c r="H8675" s="5" t="s">
        <v>1528</v>
      </c>
      <c r="I8675" s="5" t="s">
        <v>31</v>
      </c>
      <c r="J8675" s="5">
        <v>16.279878595399001</v>
      </c>
      <c r="K8675" s="5">
        <v>-96.300143722417999</v>
      </c>
      <c r="L8675" s="5" t="str">
        <f>HYPERLINK("https://maps.google.com/?q=16.2798785953995,-96.300143722417999", "🔗 Ver Mapa")</f>
        <v>🔗 Ver Mapa</v>
      </c>
    </row>
    <row r="8676" spans="1:12" ht="58" x14ac:dyDescent="0.35">
      <c r="A8676" s="6" t="s">
        <v>98</v>
      </c>
      <c r="B8676" s="6" t="s">
        <v>99</v>
      </c>
      <c r="C8676" s="6" t="s">
        <v>1526</v>
      </c>
      <c r="D8676" s="6" t="s">
        <v>14</v>
      </c>
      <c r="E8676" s="6" t="s">
        <v>39</v>
      </c>
      <c r="F8676" s="6" t="s">
        <v>353</v>
      </c>
      <c r="G8676" s="6" t="s">
        <v>1527</v>
      </c>
      <c r="H8676" s="6" t="s">
        <v>1528</v>
      </c>
      <c r="I8676" s="6" t="s">
        <v>31</v>
      </c>
      <c r="J8676" s="6">
        <v>16.280076965700999</v>
      </c>
      <c r="K8676" s="6">
        <v>-96.299493007750996</v>
      </c>
      <c r="L8676" s="6" t="str">
        <f>HYPERLINK("https://maps.google.com/?q=16.2800769657011,-96.299493007751195", "🔗 Ver Mapa")</f>
        <v>🔗 Ver Mapa</v>
      </c>
    </row>
    <row r="8677" spans="1:12" ht="43.5" x14ac:dyDescent="0.35">
      <c r="A8677" s="5" t="s">
        <v>98</v>
      </c>
      <c r="B8677" s="5" t="s">
        <v>99</v>
      </c>
      <c r="C8677" s="5" t="s">
        <v>1529</v>
      </c>
      <c r="D8677" s="5" t="s">
        <v>14</v>
      </c>
      <c r="E8677" s="5" t="s">
        <v>39</v>
      </c>
      <c r="F8677" s="5" t="s">
        <v>353</v>
      </c>
      <c r="G8677" s="5" t="s">
        <v>717</v>
      </c>
      <c r="H8677" s="5" t="s">
        <v>1530</v>
      </c>
      <c r="I8677" s="5" t="s">
        <v>31</v>
      </c>
      <c r="J8677" s="5">
        <v>16.181298999999999</v>
      </c>
      <c r="K8677" s="5">
        <v>-96.625179000000003</v>
      </c>
      <c r="L8677" s="5" t="str">
        <f>HYPERLINK("https://maps.google.com/?q=16.181299,-96.625179000000003", "🔗 Ver Mapa")</f>
        <v>🔗 Ver Mapa</v>
      </c>
    </row>
    <row r="8678" spans="1:12" ht="43.5" x14ac:dyDescent="0.35">
      <c r="A8678" s="6" t="s">
        <v>98</v>
      </c>
      <c r="B8678" s="6" t="s">
        <v>99</v>
      </c>
      <c r="C8678" s="6" t="s">
        <v>1529</v>
      </c>
      <c r="D8678" s="6" t="s">
        <v>14</v>
      </c>
      <c r="E8678" s="6" t="s">
        <v>39</v>
      </c>
      <c r="F8678" s="6" t="s">
        <v>353</v>
      </c>
      <c r="G8678" s="6" t="s">
        <v>717</v>
      </c>
      <c r="H8678" s="6" t="s">
        <v>1530</v>
      </c>
      <c r="I8678" s="6" t="s">
        <v>31</v>
      </c>
      <c r="J8678" s="6">
        <v>16.182399594254001</v>
      </c>
      <c r="K8678" s="6">
        <v>-96.624029930058995</v>
      </c>
      <c r="L8678" s="6" t="str">
        <f>HYPERLINK("https://maps.google.com/?q=16.1823995942543,-96.624029930059393", "🔗 Ver Mapa")</f>
        <v>🔗 Ver Mapa</v>
      </c>
    </row>
    <row r="8679" spans="1:12" ht="43.5" x14ac:dyDescent="0.35">
      <c r="A8679" s="5" t="s">
        <v>98</v>
      </c>
      <c r="B8679" s="5" t="s">
        <v>99</v>
      </c>
      <c r="C8679" s="5" t="s">
        <v>1529</v>
      </c>
      <c r="D8679" s="5" t="s">
        <v>14</v>
      </c>
      <c r="E8679" s="5" t="s">
        <v>39</v>
      </c>
      <c r="F8679" s="5" t="s">
        <v>353</v>
      </c>
      <c r="G8679" s="5" t="s">
        <v>717</v>
      </c>
      <c r="H8679" s="5" t="s">
        <v>1530</v>
      </c>
      <c r="I8679" s="5" t="s">
        <v>31</v>
      </c>
      <c r="J8679" s="5">
        <v>16.182690866434001</v>
      </c>
      <c r="K8679" s="5">
        <v>-96.623835177909996</v>
      </c>
      <c r="L8679" s="5" t="str">
        <f>HYPERLINK("https://maps.google.com/?q=16.1826908664339,-96.623835177909797", "🔗 Ver Mapa")</f>
        <v>🔗 Ver Mapa</v>
      </c>
    </row>
    <row r="8680" spans="1:12" ht="43.5" x14ac:dyDescent="0.35">
      <c r="A8680" s="6" t="s">
        <v>98</v>
      </c>
      <c r="B8680" s="6" t="s">
        <v>99</v>
      </c>
      <c r="C8680" s="6" t="s">
        <v>1529</v>
      </c>
      <c r="D8680" s="6" t="s">
        <v>14</v>
      </c>
      <c r="E8680" s="6" t="s">
        <v>39</v>
      </c>
      <c r="F8680" s="6" t="s">
        <v>353</v>
      </c>
      <c r="G8680" s="6" t="s">
        <v>717</v>
      </c>
      <c r="H8680" s="6" t="s">
        <v>1530</v>
      </c>
      <c r="I8680" s="6" t="s">
        <v>31</v>
      </c>
      <c r="J8680" s="6">
        <v>16.184096</v>
      </c>
      <c r="K8680" s="6">
        <v>-96.626384999999999</v>
      </c>
      <c r="L8680" s="6" t="str">
        <f>HYPERLINK("https://maps.google.com/?q=16.184096,-96.626384999999999", "🔗 Ver Mapa")</f>
        <v>🔗 Ver Mapa</v>
      </c>
    </row>
    <row r="8681" spans="1:12" ht="43.5" x14ac:dyDescent="0.35">
      <c r="A8681" s="5" t="s">
        <v>98</v>
      </c>
      <c r="B8681" s="5" t="s">
        <v>99</v>
      </c>
      <c r="C8681" s="5" t="s">
        <v>1529</v>
      </c>
      <c r="D8681" s="5" t="s">
        <v>14</v>
      </c>
      <c r="E8681" s="5" t="s">
        <v>39</v>
      </c>
      <c r="F8681" s="5" t="s">
        <v>353</v>
      </c>
      <c r="G8681" s="5" t="s">
        <v>717</v>
      </c>
      <c r="H8681" s="5" t="s">
        <v>1530</v>
      </c>
      <c r="I8681" s="5" t="s">
        <v>31</v>
      </c>
      <c r="J8681" s="5">
        <v>16.184197782264999</v>
      </c>
      <c r="K8681" s="5">
        <v>-96.623993428242002</v>
      </c>
      <c r="L8681" s="5" t="str">
        <f>HYPERLINK("https://maps.google.com/?q=16.1841977822652,-96.623993428241604", "🔗 Ver Mapa")</f>
        <v>🔗 Ver Mapa</v>
      </c>
    </row>
    <row r="8682" spans="1:12" ht="43.5" x14ac:dyDescent="0.35">
      <c r="A8682" s="6" t="s">
        <v>98</v>
      </c>
      <c r="B8682" s="6" t="s">
        <v>99</v>
      </c>
      <c r="C8682" s="6" t="s">
        <v>1529</v>
      </c>
      <c r="D8682" s="6" t="s">
        <v>14</v>
      </c>
      <c r="E8682" s="6" t="s">
        <v>39</v>
      </c>
      <c r="F8682" s="6" t="s">
        <v>353</v>
      </c>
      <c r="G8682" s="6" t="s">
        <v>717</v>
      </c>
      <c r="H8682" s="6" t="s">
        <v>1530</v>
      </c>
      <c r="I8682" s="6" t="s">
        <v>31</v>
      </c>
      <c r="J8682" s="6">
        <v>16.184318000000001</v>
      </c>
      <c r="K8682" s="6">
        <v>-96.623215999999999</v>
      </c>
      <c r="L8682" s="6" t="str">
        <f>HYPERLINK("https://maps.google.com/?q=16.184318,-96.623215999999999", "🔗 Ver Mapa")</f>
        <v>🔗 Ver Mapa</v>
      </c>
    </row>
    <row r="8683" spans="1:12" ht="43.5" x14ac:dyDescent="0.35">
      <c r="A8683" s="5" t="s">
        <v>98</v>
      </c>
      <c r="B8683" s="5" t="s">
        <v>99</v>
      </c>
      <c r="C8683" s="5" t="s">
        <v>1529</v>
      </c>
      <c r="D8683" s="5" t="s">
        <v>14</v>
      </c>
      <c r="E8683" s="5" t="s">
        <v>39</v>
      </c>
      <c r="F8683" s="5" t="s">
        <v>353</v>
      </c>
      <c r="G8683" s="5" t="s">
        <v>717</v>
      </c>
      <c r="H8683" s="5" t="s">
        <v>1530</v>
      </c>
      <c r="I8683" s="5" t="s">
        <v>31</v>
      </c>
      <c r="J8683" s="5">
        <v>16.184486</v>
      </c>
      <c r="K8683" s="5">
        <v>-96.614784999999998</v>
      </c>
      <c r="L8683" s="5" t="str">
        <f>HYPERLINK("https://maps.google.com/?q=16.184486,-96.614784999999998", "🔗 Ver Mapa")</f>
        <v>🔗 Ver Mapa</v>
      </c>
    </row>
    <row r="8684" spans="1:12" ht="43.5" x14ac:dyDescent="0.35">
      <c r="A8684" s="6" t="s">
        <v>98</v>
      </c>
      <c r="B8684" s="6" t="s">
        <v>99</v>
      </c>
      <c r="C8684" s="6" t="s">
        <v>1529</v>
      </c>
      <c r="D8684" s="6" t="s">
        <v>14</v>
      </c>
      <c r="E8684" s="6" t="s">
        <v>39</v>
      </c>
      <c r="F8684" s="6" t="s">
        <v>353</v>
      </c>
      <c r="G8684" s="6" t="s">
        <v>717</v>
      </c>
      <c r="H8684" s="6" t="s">
        <v>1530</v>
      </c>
      <c r="I8684" s="6" t="s">
        <v>31</v>
      </c>
      <c r="J8684" s="6">
        <v>16.184610049581998</v>
      </c>
      <c r="K8684" s="6">
        <v>-96.624848504298996</v>
      </c>
      <c r="L8684" s="6" t="str">
        <f>HYPERLINK("https://maps.google.com/?q=16.1846100495821,-96.624848504299095", "🔗 Ver Mapa")</f>
        <v>🔗 Ver Mapa</v>
      </c>
    </row>
    <row r="8685" spans="1:12" ht="43.5" x14ac:dyDescent="0.35">
      <c r="A8685" s="5" t="s">
        <v>98</v>
      </c>
      <c r="B8685" s="5" t="s">
        <v>99</v>
      </c>
      <c r="C8685" s="5" t="s">
        <v>1529</v>
      </c>
      <c r="D8685" s="5" t="s">
        <v>14</v>
      </c>
      <c r="E8685" s="5" t="s">
        <v>39</v>
      </c>
      <c r="F8685" s="5" t="s">
        <v>353</v>
      </c>
      <c r="G8685" s="5" t="s">
        <v>717</v>
      </c>
      <c r="H8685" s="5" t="s">
        <v>1530</v>
      </c>
      <c r="I8685" s="5" t="s">
        <v>31</v>
      </c>
      <c r="J8685" s="5">
        <v>16.184749379599001</v>
      </c>
      <c r="K8685" s="5">
        <v>-96.625714364418002</v>
      </c>
      <c r="L8685" s="5" t="str">
        <f>HYPERLINK("https://maps.google.com/?q=16.1847493795991,-96.625714364418002", "🔗 Ver Mapa")</f>
        <v>🔗 Ver Mapa</v>
      </c>
    </row>
    <row r="8686" spans="1:12" ht="43.5" x14ac:dyDescent="0.35">
      <c r="A8686" s="6" t="s">
        <v>98</v>
      </c>
      <c r="B8686" s="6" t="s">
        <v>99</v>
      </c>
      <c r="C8686" s="6" t="s">
        <v>1529</v>
      </c>
      <c r="D8686" s="6" t="s">
        <v>14</v>
      </c>
      <c r="E8686" s="6" t="s">
        <v>39</v>
      </c>
      <c r="F8686" s="6" t="s">
        <v>353</v>
      </c>
      <c r="G8686" s="6" t="s">
        <v>717</v>
      </c>
      <c r="H8686" s="6" t="s">
        <v>1530</v>
      </c>
      <c r="I8686" s="6" t="s">
        <v>31</v>
      </c>
      <c r="J8686" s="6">
        <v>16.185174714582001</v>
      </c>
      <c r="K8686" s="6">
        <v>-96.621408387732004</v>
      </c>
      <c r="L8686" s="6" t="str">
        <f>HYPERLINK("https://maps.google.com/?q=16.1851747145817,-96.621408387731506", "🔗 Ver Mapa")</f>
        <v>🔗 Ver Mapa</v>
      </c>
    </row>
    <row r="8687" spans="1:12" ht="43.5" x14ac:dyDescent="0.35">
      <c r="A8687" s="5" t="s">
        <v>98</v>
      </c>
      <c r="B8687" s="5" t="s">
        <v>99</v>
      </c>
      <c r="C8687" s="5" t="s">
        <v>1529</v>
      </c>
      <c r="D8687" s="5" t="s">
        <v>14</v>
      </c>
      <c r="E8687" s="5" t="s">
        <v>39</v>
      </c>
      <c r="F8687" s="5" t="s">
        <v>353</v>
      </c>
      <c r="G8687" s="5" t="s">
        <v>717</v>
      </c>
      <c r="H8687" s="5" t="s">
        <v>1530</v>
      </c>
      <c r="I8687" s="5" t="s">
        <v>31</v>
      </c>
      <c r="J8687" s="5">
        <v>16.185427657148001</v>
      </c>
      <c r="K8687" s="5">
        <v>-96.617150169138</v>
      </c>
      <c r="L8687" s="5" t="str">
        <f>HYPERLINK("https://maps.google.com/?q=16.1854276571481,-96.617150169138299", "🔗 Ver Mapa")</f>
        <v>🔗 Ver Mapa</v>
      </c>
    </row>
    <row r="8688" spans="1:12" ht="43.5" x14ac:dyDescent="0.35">
      <c r="A8688" s="6" t="s">
        <v>98</v>
      </c>
      <c r="B8688" s="6" t="s">
        <v>99</v>
      </c>
      <c r="C8688" s="6" t="s">
        <v>1529</v>
      </c>
      <c r="D8688" s="6" t="s">
        <v>14</v>
      </c>
      <c r="E8688" s="6" t="s">
        <v>39</v>
      </c>
      <c r="F8688" s="6" t="s">
        <v>353</v>
      </c>
      <c r="G8688" s="6" t="s">
        <v>717</v>
      </c>
      <c r="H8688" s="6" t="s">
        <v>1530</v>
      </c>
      <c r="I8688" s="6" t="s">
        <v>31</v>
      </c>
      <c r="J8688" s="6">
        <v>16.185493531506001</v>
      </c>
      <c r="K8688" s="6">
        <v>-96.617490930059006</v>
      </c>
      <c r="L8688" s="6" t="str">
        <f>HYPERLINK("https://maps.google.com/?q=16.1854935315057,-96.617490930059404", "🔗 Ver Mapa")</f>
        <v>🔗 Ver Mapa</v>
      </c>
    </row>
    <row r="8689" spans="1:12" ht="43.5" x14ac:dyDescent="0.35">
      <c r="A8689" s="5" t="s">
        <v>98</v>
      </c>
      <c r="B8689" s="5" t="s">
        <v>99</v>
      </c>
      <c r="C8689" s="5" t="s">
        <v>1529</v>
      </c>
      <c r="D8689" s="5" t="s">
        <v>14</v>
      </c>
      <c r="E8689" s="5" t="s">
        <v>39</v>
      </c>
      <c r="F8689" s="5" t="s">
        <v>353</v>
      </c>
      <c r="G8689" s="5" t="s">
        <v>717</v>
      </c>
      <c r="H8689" s="5" t="s">
        <v>1530</v>
      </c>
      <c r="I8689" s="5" t="s">
        <v>31</v>
      </c>
      <c r="J8689" s="5">
        <v>16.185945562802999</v>
      </c>
      <c r="K8689" s="5">
        <v>-96.616797860118993</v>
      </c>
      <c r="L8689" s="5" t="str">
        <f>HYPERLINK("https://maps.google.com/?q=16.1859455628034,-96.616797860118794", "🔗 Ver Mapa")</f>
        <v>🔗 Ver Mapa</v>
      </c>
    </row>
    <row r="8690" spans="1:12" ht="43.5" x14ac:dyDescent="0.35">
      <c r="A8690" s="6" t="s">
        <v>98</v>
      </c>
      <c r="B8690" s="6" t="s">
        <v>99</v>
      </c>
      <c r="C8690" s="6" t="s">
        <v>1529</v>
      </c>
      <c r="D8690" s="6" t="s">
        <v>14</v>
      </c>
      <c r="E8690" s="6" t="s">
        <v>39</v>
      </c>
      <c r="F8690" s="6" t="s">
        <v>353</v>
      </c>
      <c r="G8690" s="6" t="s">
        <v>717</v>
      </c>
      <c r="H8690" s="6" t="s">
        <v>1530</v>
      </c>
      <c r="I8690" s="6" t="s">
        <v>31</v>
      </c>
      <c r="J8690" s="6">
        <v>16.186753599008</v>
      </c>
      <c r="K8690" s="6">
        <v>-96.616785492298007</v>
      </c>
      <c r="L8690" s="6" t="str">
        <f>HYPERLINK("https://maps.google.com/?q=16.1867535990079,-96.616785492298007", "🔗 Ver Mapa")</f>
        <v>🔗 Ver Mapa</v>
      </c>
    </row>
    <row r="8691" spans="1:12" ht="43.5" x14ac:dyDescent="0.35">
      <c r="A8691" s="5" t="s">
        <v>98</v>
      </c>
      <c r="B8691" s="5" t="s">
        <v>99</v>
      </c>
      <c r="C8691" s="5" t="s">
        <v>1529</v>
      </c>
      <c r="D8691" s="5" t="s">
        <v>14</v>
      </c>
      <c r="E8691" s="5" t="s">
        <v>39</v>
      </c>
      <c r="F8691" s="5" t="s">
        <v>353</v>
      </c>
      <c r="G8691" s="5" t="s">
        <v>717</v>
      </c>
      <c r="H8691" s="5" t="s">
        <v>1530</v>
      </c>
      <c r="I8691" s="5" t="s">
        <v>31</v>
      </c>
      <c r="J8691" s="5">
        <v>16.187553049056</v>
      </c>
      <c r="K8691" s="5">
        <v>-96.615083668655004</v>
      </c>
      <c r="L8691" s="5" t="str">
        <f>HYPERLINK("https://maps.google.com/?q=16.1875530490564,-96.615083668654606", "🔗 Ver Mapa")</f>
        <v>🔗 Ver Mapa</v>
      </c>
    </row>
    <row r="8692" spans="1:12" ht="43.5" x14ac:dyDescent="0.35">
      <c r="A8692" s="6" t="s">
        <v>98</v>
      </c>
      <c r="B8692" s="6" t="s">
        <v>99</v>
      </c>
      <c r="C8692" s="6" t="s">
        <v>1529</v>
      </c>
      <c r="D8692" s="6" t="s">
        <v>14</v>
      </c>
      <c r="E8692" s="6" t="s">
        <v>39</v>
      </c>
      <c r="F8692" s="6" t="s">
        <v>353</v>
      </c>
      <c r="G8692" s="6" t="s">
        <v>717</v>
      </c>
      <c r="H8692" s="6" t="s">
        <v>1530</v>
      </c>
      <c r="I8692" s="6" t="s">
        <v>31</v>
      </c>
      <c r="J8692" s="6">
        <v>16.187841259397999</v>
      </c>
      <c r="K8692" s="6">
        <v>-96.618334364418004</v>
      </c>
      <c r="L8692" s="6" t="str">
        <f>HYPERLINK("https://maps.google.com/?q=16.1878412593977,-96.618334364418004", "🔗 Ver Mapa")</f>
        <v>🔗 Ver Mapa</v>
      </c>
    </row>
    <row r="8693" spans="1:12" ht="43.5" x14ac:dyDescent="0.35">
      <c r="A8693" s="5" t="s">
        <v>98</v>
      </c>
      <c r="B8693" s="5" t="s">
        <v>99</v>
      </c>
      <c r="C8693" s="5" t="s">
        <v>1529</v>
      </c>
      <c r="D8693" s="5" t="s">
        <v>14</v>
      </c>
      <c r="E8693" s="5" t="s">
        <v>39</v>
      </c>
      <c r="F8693" s="5" t="s">
        <v>353</v>
      </c>
      <c r="G8693" s="5" t="s">
        <v>717</v>
      </c>
      <c r="H8693" s="5" t="s">
        <v>1530</v>
      </c>
      <c r="I8693" s="5" t="s">
        <v>31</v>
      </c>
      <c r="J8693" s="5">
        <v>16.188185458254001</v>
      </c>
      <c r="K8693" s="5">
        <v>-96.611616831315999</v>
      </c>
      <c r="L8693" s="5" t="str">
        <f>HYPERLINK("https://maps.google.com/?q=16.1881854582542,-96.611616831316496", "🔗 Ver Mapa")</f>
        <v>🔗 Ver Mapa</v>
      </c>
    </row>
    <row r="8694" spans="1:12" ht="43.5" x14ac:dyDescent="0.35">
      <c r="A8694" s="6" t="s">
        <v>98</v>
      </c>
      <c r="B8694" s="6" t="s">
        <v>99</v>
      </c>
      <c r="C8694" s="6" t="s">
        <v>1529</v>
      </c>
      <c r="D8694" s="6" t="s">
        <v>14</v>
      </c>
      <c r="E8694" s="6" t="s">
        <v>39</v>
      </c>
      <c r="F8694" s="6" t="s">
        <v>353</v>
      </c>
      <c r="G8694" s="6" t="s">
        <v>717</v>
      </c>
      <c r="H8694" s="6" t="s">
        <v>1530</v>
      </c>
      <c r="I8694" s="6" t="s">
        <v>31</v>
      </c>
      <c r="J8694" s="6">
        <v>16.188209758763001</v>
      </c>
      <c r="K8694" s="6">
        <v>-96.618144329044</v>
      </c>
      <c r="L8694" s="6" t="str">
        <f>HYPERLINK("https://maps.google.com/?q=16.1882097587625,-96.618144329043901", "🔗 Ver Mapa")</f>
        <v>🔗 Ver Mapa</v>
      </c>
    </row>
    <row r="8695" spans="1:12" ht="43.5" x14ac:dyDescent="0.35">
      <c r="A8695" s="5" t="s">
        <v>98</v>
      </c>
      <c r="B8695" s="5" t="s">
        <v>99</v>
      </c>
      <c r="C8695" s="5" t="s">
        <v>1531</v>
      </c>
      <c r="D8695" s="5" t="s">
        <v>14</v>
      </c>
      <c r="E8695" s="5" t="s">
        <v>39</v>
      </c>
      <c r="F8695" s="5" t="s">
        <v>353</v>
      </c>
      <c r="G8695" s="5" t="s">
        <v>717</v>
      </c>
      <c r="H8695" s="5" t="s">
        <v>1532</v>
      </c>
      <c r="I8695" s="5" t="s">
        <v>31</v>
      </c>
      <c r="J8695" s="5">
        <v>16.14162782723</v>
      </c>
      <c r="K8695" s="5">
        <v>-96.608365814476997</v>
      </c>
      <c r="L8695" s="5" t="str">
        <f>HYPERLINK("https://maps.google.com/?q=16.1416278272298,-96.608365814477395", "🔗 Ver Mapa")</f>
        <v>🔗 Ver Mapa</v>
      </c>
    </row>
    <row r="8696" spans="1:12" ht="43.5" x14ac:dyDescent="0.35">
      <c r="A8696" s="6" t="s">
        <v>98</v>
      </c>
      <c r="B8696" s="6" t="s">
        <v>99</v>
      </c>
      <c r="C8696" s="6" t="s">
        <v>1531</v>
      </c>
      <c r="D8696" s="6" t="s">
        <v>14</v>
      </c>
      <c r="E8696" s="6" t="s">
        <v>39</v>
      </c>
      <c r="F8696" s="6" t="s">
        <v>353</v>
      </c>
      <c r="G8696" s="6" t="s">
        <v>717</v>
      </c>
      <c r="H8696" s="6" t="s">
        <v>1532</v>
      </c>
      <c r="I8696" s="6" t="s">
        <v>31</v>
      </c>
      <c r="J8696" s="6">
        <v>16.142485373258001</v>
      </c>
      <c r="K8696" s="6">
        <v>-96.606072626984002</v>
      </c>
      <c r="L8696" s="6" t="str">
        <f>HYPERLINK("https://maps.google.com/?q=16.1424853732581,-96.606072626984002", "🔗 Ver Mapa")</f>
        <v>🔗 Ver Mapa</v>
      </c>
    </row>
    <row r="8697" spans="1:12" ht="43.5" x14ac:dyDescent="0.35">
      <c r="A8697" s="5" t="s">
        <v>98</v>
      </c>
      <c r="B8697" s="5" t="s">
        <v>99</v>
      </c>
      <c r="C8697" s="5" t="s">
        <v>1531</v>
      </c>
      <c r="D8697" s="5" t="s">
        <v>14</v>
      </c>
      <c r="E8697" s="5" t="s">
        <v>39</v>
      </c>
      <c r="F8697" s="5" t="s">
        <v>353</v>
      </c>
      <c r="G8697" s="5" t="s">
        <v>717</v>
      </c>
      <c r="H8697" s="5" t="s">
        <v>1532</v>
      </c>
      <c r="I8697" s="5" t="s">
        <v>31</v>
      </c>
      <c r="J8697" s="5">
        <v>16.145040613927002</v>
      </c>
      <c r="K8697" s="5">
        <v>-96.607141154595993</v>
      </c>
      <c r="L8697" s="5" t="str">
        <f>HYPERLINK("https://maps.google.com/?q=16.1450406139272,-96.607141154596306", "🔗 Ver Mapa")</f>
        <v>🔗 Ver Mapa</v>
      </c>
    </row>
    <row r="8698" spans="1:12" ht="43.5" x14ac:dyDescent="0.35">
      <c r="A8698" s="6" t="s">
        <v>98</v>
      </c>
      <c r="B8698" s="6" t="s">
        <v>99</v>
      </c>
      <c r="C8698" s="6" t="s">
        <v>1531</v>
      </c>
      <c r="D8698" s="6" t="s">
        <v>14</v>
      </c>
      <c r="E8698" s="6" t="s">
        <v>39</v>
      </c>
      <c r="F8698" s="6" t="s">
        <v>353</v>
      </c>
      <c r="G8698" s="6" t="s">
        <v>717</v>
      </c>
      <c r="H8698" s="6" t="s">
        <v>1532</v>
      </c>
      <c r="I8698" s="6" t="s">
        <v>31</v>
      </c>
      <c r="J8698" s="6">
        <v>16.146201999999999</v>
      </c>
      <c r="K8698" s="6">
        <v>-96.608039000000005</v>
      </c>
      <c r="L8698" s="6" t="str">
        <f>HYPERLINK("https://maps.google.com/?q=16.146202,-96.608039000000005", "🔗 Ver Mapa")</f>
        <v>🔗 Ver Mapa</v>
      </c>
    </row>
    <row r="8699" spans="1:12" ht="43.5" x14ac:dyDescent="0.35">
      <c r="A8699" s="5" t="s">
        <v>98</v>
      </c>
      <c r="B8699" s="5" t="s">
        <v>99</v>
      </c>
      <c r="C8699" s="5" t="s">
        <v>1531</v>
      </c>
      <c r="D8699" s="5" t="s">
        <v>14</v>
      </c>
      <c r="E8699" s="5" t="s">
        <v>39</v>
      </c>
      <c r="F8699" s="5" t="s">
        <v>353</v>
      </c>
      <c r="G8699" s="5" t="s">
        <v>717</v>
      </c>
      <c r="H8699" s="5" t="s">
        <v>1532</v>
      </c>
      <c r="I8699" s="5" t="s">
        <v>31</v>
      </c>
      <c r="J8699" s="5">
        <v>16.146866934826999</v>
      </c>
      <c r="K8699" s="5">
        <v>-96.607048209821997</v>
      </c>
      <c r="L8699" s="5" t="str">
        <f>HYPERLINK("https://maps.google.com/?q=16.1468669348274,-96.607048209821698", "🔗 Ver Mapa")</f>
        <v>🔗 Ver Mapa</v>
      </c>
    </row>
    <row r="8700" spans="1:12" ht="43.5" x14ac:dyDescent="0.35">
      <c r="A8700" s="6" t="s">
        <v>98</v>
      </c>
      <c r="B8700" s="6" t="s">
        <v>99</v>
      </c>
      <c r="C8700" s="6" t="s">
        <v>1531</v>
      </c>
      <c r="D8700" s="6" t="s">
        <v>14</v>
      </c>
      <c r="E8700" s="6" t="s">
        <v>39</v>
      </c>
      <c r="F8700" s="6" t="s">
        <v>353</v>
      </c>
      <c r="G8700" s="6" t="s">
        <v>717</v>
      </c>
      <c r="H8700" s="6" t="s">
        <v>1532</v>
      </c>
      <c r="I8700" s="6" t="s">
        <v>31</v>
      </c>
      <c r="J8700" s="6">
        <v>16.148795</v>
      </c>
      <c r="K8700" s="6">
        <v>-96.607552999999996</v>
      </c>
      <c r="L8700" s="6" t="str">
        <f>HYPERLINK("https://maps.google.com/?q=16.148795,-96.607552999999996", "🔗 Ver Mapa")</f>
        <v>🔗 Ver Mapa</v>
      </c>
    </row>
    <row r="8701" spans="1:12" ht="43.5" x14ac:dyDescent="0.35">
      <c r="A8701" s="5" t="s">
        <v>98</v>
      </c>
      <c r="B8701" s="5" t="s">
        <v>99</v>
      </c>
      <c r="C8701" s="5" t="s">
        <v>1531</v>
      </c>
      <c r="D8701" s="5" t="s">
        <v>14</v>
      </c>
      <c r="E8701" s="5" t="s">
        <v>39</v>
      </c>
      <c r="F8701" s="5" t="s">
        <v>353</v>
      </c>
      <c r="G8701" s="5" t="s">
        <v>717</v>
      </c>
      <c r="H8701" s="5" t="s">
        <v>1532</v>
      </c>
      <c r="I8701" s="5" t="s">
        <v>31</v>
      </c>
      <c r="J8701" s="5">
        <v>16.149425000000001</v>
      </c>
      <c r="K8701" s="5">
        <v>-96.607445999999996</v>
      </c>
      <c r="L8701" s="5" t="str">
        <f>HYPERLINK("https://maps.google.com/?q=16.149425,-96.607445999999996", "🔗 Ver Mapa")</f>
        <v>🔗 Ver Mapa</v>
      </c>
    </row>
    <row r="8702" spans="1:12" ht="43.5" x14ac:dyDescent="0.35">
      <c r="A8702" s="6" t="s">
        <v>98</v>
      </c>
      <c r="B8702" s="6" t="s">
        <v>99</v>
      </c>
      <c r="C8702" s="6" t="s">
        <v>1531</v>
      </c>
      <c r="D8702" s="6" t="s">
        <v>14</v>
      </c>
      <c r="E8702" s="6" t="s">
        <v>39</v>
      </c>
      <c r="F8702" s="6" t="s">
        <v>353</v>
      </c>
      <c r="G8702" s="6" t="s">
        <v>717</v>
      </c>
      <c r="H8702" s="6" t="s">
        <v>1532</v>
      </c>
      <c r="I8702" s="6" t="s">
        <v>31</v>
      </c>
      <c r="J8702" s="6">
        <v>16.149478103406999</v>
      </c>
      <c r="K8702" s="6">
        <v>-96.607637294477001</v>
      </c>
      <c r="L8702" s="6" t="str">
        <f>HYPERLINK("https://maps.google.com/?q=16.1494781034068,-96.607637294477399", "🔗 Ver Mapa")</f>
        <v>🔗 Ver Mapa</v>
      </c>
    </row>
    <row r="8703" spans="1:12" ht="43.5" x14ac:dyDescent="0.35">
      <c r="A8703" s="5" t="s">
        <v>98</v>
      </c>
      <c r="B8703" s="5" t="s">
        <v>99</v>
      </c>
      <c r="C8703" s="5" t="s">
        <v>1531</v>
      </c>
      <c r="D8703" s="5" t="s">
        <v>14</v>
      </c>
      <c r="E8703" s="5" t="s">
        <v>39</v>
      </c>
      <c r="F8703" s="5" t="s">
        <v>353</v>
      </c>
      <c r="G8703" s="5" t="s">
        <v>717</v>
      </c>
      <c r="H8703" s="5" t="s">
        <v>1532</v>
      </c>
      <c r="I8703" s="5" t="s">
        <v>31</v>
      </c>
      <c r="J8703" s="5">
        <v>16.150633499099001</v>
      </c>
      <c r="K8703" s="5">
        <v>-96.605365415074004</v>
      </c>
      <c r="L8703" s="5" t="str">
        <f>HYPERLINK("https://maps.google.com/?q=16.1506334990994,-96.605365415073607", "🔗 Ver Mapa")</f>
        <v>🔗 Ver Mapa</v>
      </c>
    </row>
    <row r="8704" spans="1:12" ht="43.5" x14ac:dyDescent="0.35">
      <c r="A8704" s="6" t="s">
        <v>98</v>
      </c>
      <c r="B8704" s="6" t="s">
        <v>99</v>
      </c>
      <c r="C8704" s="6" t="s">
        <v>1531</v>
      </c>
      <c r="D8704" s="6" t="s">
        <v>14</v>
      </c>
      <c r="E8704" s="6" t="s">
        <v>39</v>
      </c>
      <c r="F8704" s="6" t="s">
        <v>353</v>
      </c>
      <c r="G8704" s="6" t="s">
        <v>717</v>
      </c>
      <c r="H8704" s="6" t="s">
        <v>1532</v>
      </c>
      <c r="I8704" s="6" t="s">
        <v>31</v>
      </c>
      <c r="J8704" s="6">
        <v>16.150921679915001</v>
      </c>
      <c r="K8704" s="6">
        <v>-96.606151612269002</v>
      </c>
      <c r="L8704" s="6" t="str">
        <f>HYPERLINK("https://maps.google.com/?q=16.150921679915,-96.606151612268505", "🔗 Ver Mapa")</f>
        <v>🔗 Ver Mapa</v>
      </c>
    </row>
    <row r="8705" spans="1:12" ht="43.5" x14ac:dyDescent="0.35">
      <c r="A8705" s="5" t="s">
        <v>98</v>
      </c>
      <c r="B8705" s="5" t="s">
        <v>99</v>
      </c>
      <c r="C8705" s="5" t="s">
        <v>1531</v>
      </c>
      <c r="D8705" s="5" t="s">
        <v>14</v>
      </c>
      <c r="E8705" s="5" t="s">
        <v>39</v>
      </c>
      <c r="F8705" s="5" t="s">
        <v>353</v>
      </c>
      <c r="G8705" s="5" t="s">
        <v>717</v>
      </c>
      <c r="H8705" s="5" t="s">
        <v>1532</v>
      </c>
      <c r="I8705" s="5" t="s">
        <v>31</v>
      </c>
      <c r="J8705" s="5">
        <v>16.15183</v>
      </c>
      <c r="K8705" s="5">
        <v>-96.607207000000002</v>
      </c>
      <c r="L8705" s="5" t="str">
        <f>HYPERLINK("https://maps.google.com/?q=16.15183,-96.607207000000002", "🔗 Ver Mapa")</f>
        <v>🔗 Ver Mapa</v>
      </c>
    </row>
    <row r="8706" spans="1:12" ht="43.5" x14ac:dyDescent="0.35">
      <c r="A8706" s="6" t="s">
        <v>98</v>
      </c>
      <c r="B8706" s="6" t="s">
        <v>99</v>
      </c>
      <c r="C8706" s="6" t="s">
        <v>1531</v>
      </c>
      <c r="D8706" s="6" t="s">
        <v>14</v>
      </c>
      <c r="E8706" s="6" t="s">
        <v>39</v>
      </c>
      <c r="F8706" s="6" t="s">
        <v>353</v>
      </c>
      <c r="G8706" s="6" t="s">
        <v>717</v>
      </c>
      <c r="H8706" s="6" t="s">
        <v>1532</v>
      </c>
      <c r="I8706" s="6" t="s">
        <v>31</v>
      </c>
      <c r="J8706" s="6">
        <v>16.152100542526998</v>
      </c>
      <c r="K8706" s="6">
        <v>-96.604042278658</v>
      </c>
      <c r="L8706" s="6" t="str">
        <f>HYPERLINK("https://maps.google.com/?q=16.1521005425274,-96.604042278657701", "🔗 Ver Mapa")</f>
        <v>🔗 Ver Mapa</v>
      </c>
    </row>
    <row r="8707" spans="1:12" ht="43.5" x14ac:dyDescent="0.35">
      <c r="A8707" s="5" t="s">
        <v>98</v>
      </c>
      <c r="B8707" s="5" t="s">
        <v>99</v>
      </c>
      <c r="C8707" s="5" t="s">
        <v>1531</v>
      </c>
      <c r="D8707" s="5" t="s">
        <v>14</v>
      </c>
      <c r="E8707" s="5" t="s">
        <v>39</v>
      </c>
      <c r="F8707" s="5" t="s">
        <v>353</v>
      </c>
      <c r="G8707" s="5" t="s">
        <v>717</v>
      </c>
      <c r="H8707" s="5" t="s">
        <v>1532</v>
      </c>
      <c r="I8707" s="5" t="s">
        <v>31</v>
      </c>
      <c r="J8707" s="5">
        <v>16.155438712887001</v>
      </c>
      <c r="K8707" s="5">
        <v>-96.606613638062996</v>
      </c>
      <c r="L8707" s="5" t="str">
        <f>HYPERLINK("https://maps.google.com/?q=16.1554387128868,-96.606613638063294", "🔗 Ver Mapa")</f>
        <v>🔗 Ver Mapa</v>
      </c>
    </row>
    <row r="8708" spans="1:12" ht="43.5" x14ac:dyDescent="0.35">
      <c r="A8708" s="6" t="s">
        <v>98</v>
      </c>
      <c r="B8708" s="6" t="s">
        <v>99</v>
      </c>
      <c r="C8708" s="6" t="s">
        <v>1533</v>
      </c>
      <c r="D8708" s="6" t="s">
        <v>14</v>
      </c>
      <c r="E8708" s="6" t="s">
        <v>52</v>
      </c>
      <c r="F8708" s="6" t="s">
        <v>70</v>
      </c>
      <c r="G8708" s="6" t="s">
        <v>689</v>
      </c>
      <c r="H8708" s="6" t="s">
        <v>690</v>
      </c>
      <c r="I8708" s="6" t="s">
        <v>31</v>
      </c>
      <c r="J8708" s="6">
        <v>17.054768658419</v>
      </c>
      <c r="K8708" s="6">
        <v>-96.822387300868002</v>
      </c>
      <c r="L8708" s="6" t="str">
        <f>HYPERLINK("https://maps.google.com/?q=17.0547686584186,-96.822387300868201", "🔗 Ver Mapa")</f>
        <v>🔗 Ver Mapa</v>
      </c>
    </row>
    <row r="8709" spans="1:12" ht="43.5" x14ac:dyDescent="0.35">
      <c r="A8709" s="5" t="s">
        <v>98</v>
      </c>
      <c r="B8709" s="5" t="s">
        <v>99</v>
      </c>
      <c r="C8709" s="5" t="s">
        <v>1533</v>
      </c>
      <c r="D8709" s="5" t="s">
        <v>14</v>
      </c>
      <c r="E8709" s="5" t="s">
        <v>52</v>
      </c>
      <c r="F8709" s="5" t="s">
        <v>70</v>
      </c>
      <c r="G8709" s="5" t="s">
        <v>689</v>
      </c>
      <c r="H8709" s="5" t="s">
        <v>690</v>
      </c>
      <c r="I8709" s="5" t="s">
        <v>31</v>
      </c>
      <c r="J8709" s="5">
        <v>17.055667891169001</v>
      </c>
      <c r="K8709" s="5">
        <v>-96.828617317554006</v>
      </c>
      <c r="L8709" s="5" t="str">
        <f>HYPERLINK("https://maps.google.com/?q=17.0556678911695,-96.828617317553693", "🔗 Ver Mapa")</f>
        <v>🔗 Ver Mapa</v>
      </c>
    </row>
    <row r="8710" spans="1:12" ht="43.5" x14ac:dyDescent="0.35">
      <c r="A8710" s="6" t="s">
        <v>98</v>
      </c>
      <c r="B8710" s="6" t="s">
        <v>99</v>
      </c>
      <c r="C8710" s="6" t="s">
        <v>1533</v>
      </c>
      <c r="D8710" s="6" t="s">
        <v>14</v>
      </c>
      <c r="E8710" s="6" t="s">
        <v>52</v>
      </c>
      <c r="F8710" s="6" t="s">
        <v>70</v>
      </c>
      <c r="G8710" s="6" t="s">
        <v>689</v>
      </c>
      <c r="H8710" s="6" t="s">
        <v>690</v>
      </c>
      <c r="I8710" s="6" t="s">
        <v>31</v>
      </c>
      <c r="J8710" s="6">
        <v>17.055770460485999</v>
      </c>
      <c r="K8710" s="6">
        <v>-96.825961930320005</v>
      </c>
      <c r="L8710" s="6" t="str">
        <f>HYPERLINK("https://maps.google.com/?q=17.0557704604864,-96.825961930320304", "🔗 Ver Mapa")</f>
        <v>🔗 Ver Mapa</v>
      </c>
    </row>
    <row r="8711" spans="1:12" ht="43.5" x14ac:dyDescent="0.35">
      <c r="A8711" s="5" t="s">
        <v>98</v>
      </c>
      <c r="B8711" s="5" t="s">
        <v>99</v>
      </c>
      <c r="C8711" s="5" t="s">
        <v>1533</v>
      </c>
      <c r="D8711" s="5" t="s">
        <v>14</v>
      </c>
      <c r="E8711" s="5" t="s">
        <v>52</v>
      </c>
      <c r="F8711" s="5" t="s">
        <v>70</v>
      </c>
      <c r="G8711" s="5" t="s">
        <v>689</v>
      </c>
      <c r="H8711" s="5" t="s">
        <v>690</v>
      </c>
      <c r="I8711" s="5" t="s">
        <v>31</v>
      </c>
      <c r="J8711" s="5">
        <v>17.055815658433001</v>
      </c>
      <c r="K8711" s="5">
        <v>-96.820580166661998</v>
      </c>
      <c r="L8711" s="5" t="str">
        <f>HYPERLINK("https://maps.google.com/?q=17.055815658433,-96.820580166662396", "🔗 Ver Mapa")</f>
        <v>🔗 Ver Mapa</v>
      </c>
    </row>
    <row r="8712" spans="1:12" ht="43.5" x14ac:dyDescent="0.35">
      <c r="A8712" s="6" t="s">
        <v>98</v>
      </c>
      <c r="B8712" s="6" t="s">
        <v>99</v>
      </c>
      <c r="C8712" s="6" t="s">
        <v>1533</v>
      </c>
      <c r="D8712" s="6" t="s">
        <v>14</v>
      </c>
      <c r="E8712" s="6" t="s">
        <v>52</v>
      </c>
      <c r="F8712" s="6" t="s">
        <v>70</v>
      </c>
      <c r="G8712" s="6" t="s">
        <v>689</v>
      </c>
      <c r="H8712" s="6" t="s">
        <v>690</v>
      </c>
      <c r="I8712" s="6" t="s">
        <v>31</v>
      </c>
      <c r="J8712" s="6">
        <v>17.055854269337999</v>
      </c>
      <c r="K8712" s="6">
        <v>-96.825578251105</v>
      </c>
      <c r="L8712" s="6" t="str">
        <f>HYPERLINK("https://maps.google.com/?q=17.0558542693383,-96.825578251104503", "🔗 Ver Mapa")</f>
        <v>🔗 Ver Mapa</v>
      </c>
    </row>
    <row r="8713" spans="1:12" ht="43.5" x14ac:dyDescent="0.35">
      <c r="A8713" s="5" t="s">
        <v>98</v>
      </c>
      <c r="B8713" s="5" t="s">
        <v>99</v>
      </c>
      <c r="C8713" s="5" t="s">
        <v>1533</v>
      </c>
      <c r="D8713" s="5" t="s">
        <v>14</v>
      </c>
      <c r="E8713" s="5" t="s">
        <v>52</v>
      </c>
      <c r="F8713" s="5" t="s">
        <v>70</v>
      </c>
      <c r="G8713" s="5" t="s">
        <v>689</v>
      </c>
      <c r="H8713" s="5" t="s">
        <v>690</v>
      </c>
      <c r="I8713" s="5" t="s">
        <v>31</v>
      </c>
      <c r="J8713" s="5">
        <v>17.055908929649</v>
      </c>
      <c r="K8713" s="5">
        <v>-96.828960640000005</v>
      </c>
      <c r="L8713" s="5" t="str">
        <f>HYPERLINK("https://maps.google.com/?q=17.0559089296488,-96.828960640000005", "🔗 Ver Mapa")</f>
        <v>🔗 Ver Mapa</v>
      </c>
    </row>
    <row r="8714" spans="1:12" ht="43.5" x14ac:dyDescent="0.35">
      <c r="A8714" s="6" t="s">
        <v>98</v>
      </c>
      <c r="B8714" s="6" t="s">
        <v>99</v>
      </c>
      <c r="C8714" s="6" t="s">
        <v>1533</v>
      </c>
      <c r="D8714" s="6" t="s">
        <v>14</v>
      </c>
      <c r="E8714" s="6" t="s">
        <v>52</v>
      </c>
      <c r="F8714" s="6" t="s">
        <v>70</v>
      </c>
      <c r="G8714" s="6" t="s">
        <v>689</v>
      </c>
      <c r="H8714" s="6" t="s">
        <v>690</v>
      </c>
      <c r="I8714" s="6" t="s">
        <v>31</v>
      </c>
      <c r="J8714" s="6">
        <v>17.055978164191998</v>
      </c>
      <c r="K8714" s="6">
        <v>-96.821241242453993</v>
      </c>
      <c r="L8714" s="6" t="str">
        <f>HYPERLINK("https://maps.google.com/?q=17.0559781641915,-96.821241242454207", "🔗 Ver Mapa")</f>
        <v>🔗 Ver Mapa</v>
      </c>
    </row>
    <row r="8715" spans="1:12" ht="43.5" x14ac:dyDescent="0.35">
      <c r="A8715" s="5" t="s">
        <v>98</v>
      </c>
      <c r="B8715" s="5" t="s">
        <v>99</v>
      </c>
      <c r="C8715" s="5" t="s">
        <v>1533</v>
      </c>
      <c r="D8715" s="5" t="s">
        <v>14</v>
      </c>
      <c r="E8715" s="5" t="s">
        <v>52</v>
      </c>
      <c r="F8715" s="5" t="s">
        <v>70</v>
      </c>
      <c r="G8715" s="5" t="s">
        <v>689</v>
      </c>
      <c r="H8715" s="5" t="s">
        <v>690</v>
      </c>
      <c r="I8715" s="5" t="s">
        <v>31</v>
      </c>
      <c r="J8715" s="5">
        <v>17.056007454806998</v>
      </c>
      <c r="K8715" s="5">
        <v>-96.827112529632998</v>
      </c>
      <c r="L8715" s="5" t="str">
        <f>HYPERLINK("https://maps.google.com/?q=17.0560074548066,-96.827112529632501", "🔗 Ver Mapa")</f>
        <v>🔗 Ver Mapa</v>
      </c>
    </row>
    <row r="8716" spans="1:12" ht="43.5" x14ac:dyDescent="0.35">
      <c r="A8716" s="6" t="s">
        <v>98</v>
      </c>
      <c r="B8716" s="6" t="s">
        <v>99</v>
      </c>
      <c r="C8716" s="6" t="s">
        <v>1533</v>
      </c>
      <c r="D8716" s="6" t="s">
        <v>14</v>
      </c>
      <c r="E8716" s="6" t="s">
        <v>52</v>
      </c>
      <c r="F8716" s="6" t="s">
        <v>70</v>
      </c>
      <c r="G8716" s="6" t="s">
        <v>689</v>
      </c>
      <c r="H8716" s="6" t="s">
        <v>690</v>
      </c>
      <c r="I8716" s="6" t="s">
        <v>31</v>
      </c>
      <c r="J8716" s="6">
        <v>17.056084822995999</v>
      </c>
      <c r="K8716" s="6">
        <v>-96.824189782090997</v>
      </c>
      <c r="L8716" s="6" t="str">
        <f>HYPERLINK("https://maps.google.com/?q=17.0560848229958,-96.824189782091196", "🔗 Ver Mapa")</f>
        <v>🔗 Ver Mapa</v>
      </c>
    </row>
    <row r="8717" spans="1:12" ht="43.5" x14ac:dyDescent="0.35">
      <c r="A8717" s="5" t="s">
        <v>98</v>
      </c>
      <c r="B8717" s="5" t="s">
        <v>99</v>
      </c>
      <c r="C8717" s="5" t="s">
        <v>1533</v>
      </c>
      <c r="D8717" s="5" t="s">
        <v>14</v>
      </c>
      <c r="E8717" s="5" t="s">
        <v>52</v>
      </c>
      <c r="F8717" s="5" t="s">
        <v>70</v>
      </c>
      <c r="G8717" s="5" t="s">
        <v>689</v>
      </c>
      <c r="H8717" s="5" t="s">
        <v>690</v>
      </c>
      <c r="I8717" s="5" t="s">
        <v>31</v>
      </c>
      <c r="J8717" s="5">
        <v>17.056104280557001</v>
      </c>
      <c r="K8717" s="5">
        <v>-96.823325757790997</v>
      </c>
      <c r="L8717" s="5" t="str">
        <f>HYPERLINK("https://maps.google.com/?q=17.0561042805571,-96.823325757791395", "🔗 Ver Mapa")</f>
        <v>🔗 Ver Mapa</v>
      </c>
    </row>
    <row r="8718" spans="1:12" ht="43.5" x14ac:dyDescent="0.35">
      <c r="A8718" s="6" t="s">
        <v>98</v>
      </c>
      <c r="B8718" s="6" t="s">
        <v>99</v>
      </c>
      <c r="C8718" s="6" t="s">
        <v>1533</v>
      </c>
      <c r="D8718" s="6" t="s">
        <v>14</v>
      </c>
      <c r="E8718" s="6" t="s">
        <v>52</v>
      </c>
      <c r="F8718" s="6" t="s">
        <v>70</v>
      </c>
      <c r="G8718" s="6" t="s">
        <v>689</v>
      </c>
      <c r="H8718" s="6" t="s">
        <v>690</v>
      </c>
      <c r="I8718" s="6" t="s">
        <v>31</v>
      </c>
      <c r="J8718" s="6">
        <v>17.056273201153001</v>
      </c>
      <c r="K8718" s="6">
        <v>-96.818955797791006</v>
      </c>
      <c r="L8718" s="6" t="str">
        <f>HYPERLINK("https://maps.google.com/?q=17.056273201153,-96.818955797791205", "🔗 Ver Mapa")</f>
        <v>🔗 Ver Mapa</v>
      </c>
    </row>
    <row r="8719" spans="1:12" ht="43.5" x14ac:dyDescent="0.35">
      <c r="A8719" s="5" t="s">
        <v>98</v>
      </c>
      <c r="B8719" s="5" t="s">
        <v>99</v>
      </c>
      <c r="C8719" s="5" t="s">
        <v>1533</v>
      </c>
      <c r="D8719" s="5" t="s">
        <v>14</v>
      </c>
      <c r="E8719" s="5" t="s">
        <v>52</v>
      </c>
      <c r="F8719" s="5" t="s">
        <v>70</v>
      </c>
      <c r="G8719" s="5" t="s">
        <v>689</v>
      </c>
      <c r="H8719" s="5" t="s">
        <v>690</v>
      </c>
      <c r="I8719" s="5" t="s">
        <v>31</v>
      </c>
      <c r="J8719" s="5">
        <v>17.056414076778001</v>
      </c>
      <c r="K8719" s="5">
        <v>-96.821210887703003</v>
      </c>
      <c r="L8719" s="5" t="str">
        <f>HYPERLINK("https://maps.google.com/?q=17.0564140767784,-96.821210887702506", "🔗 Ver Mapa")</f>
        <v>🔗 Ver Mapa</v>
      </c>
    </row>
    <row r="8720" spans="1:12" ht="43.5" x14ac:dyDescent="0.35">
      <c r="A8720" s="6" t="s">
        <v>98</v>
      </c>
      <c r="B8720" s="6" t="s">
        <v>99</v>
      </c>
      <c r="C8720" s="6" t="s">
        <v>1533</v>
      </c>
      <c r="D8720" s="6" t="s">
        <v>14</v>
      </c>
      <c r="E8720" s="6" t="s">
        <v>52</v>
      </c>
      <c r="F8720" s="6" t="s">
        <v>70</v>
      </c>
      <c r="G8720" s="6" t="s">
        <v>689</v>
      </c>
      <c r="H8720" s="6" t="s">
        <v>690</v>
      </c>
      <c r="I8720" s="6" t="s">
        <v>31</v>
      </c>
      <c r="J8720" s="6">
        <v>17.056591952272999</v>
      </c>
      <c r="K8720" s="6">
        <v>-96.817727445383994</v>
      </c>
      <c r="L8720" s="6" t="str">
        <f>HYPERLINK("https://maps.google.com/?q=17.0565919522733,-96.817727445384094", "🔗 Ver Mapa")</f>
        <v>🔗 Ver Mapa</v>
      </c>
    </row>
    <row r="8721" spans="1:12" ht="43.5" x14ac:dyDescent="0.35">
      <c r="A8721" s="5" t="s">
        <v>98</v>
      </c>
      <c r="B8721" s="5" t="s">
        <v>99</v>
      </c>
      <c r="C8721" s="5" t="s">
        <v>1533</v>
      </c>
      <c r="D8721" s="5" t="s">
        <v>14</v>
      </c>
      <c r="E8721" s="5" t="s">
        <v>52</v>
      </c>
      <c r="F8721" s="5" t="s">
        <v>70</v>
      </c>
      <c r="G8721" s="5" t="s">
        <v>689</v>
      </c>
      <c r="H8721" s="5" t="s">
        <v>690</v>
      </c>
      <c r="I8721" s="5" t="s">
        <v>31</v>
      </c>
      <c r="J8721" s="5">
        <v>17.056601785744</v>
      </c>
      <c r="K8721" s="5">
        <v>-96.820650999989994</v>
      </c>
      <c r="L8721" s="5" t="str">
        <f>HYPERLINK("https://maps.google.com/?q=17.0566017857443,-96.820650999990306", "🔗 Ver Mapa")</f>
        <v>🔗 Ver Mapa</v>
      </c>
    </row>
    <row r="8722" spans="1:12" ht="43.5" x14ac:dyDescent="0.35">
      <c r="A8722" s="6" t="s">
        <v>98</v>
      </c>
      <c r="B8722" s="6" t="s">
        <v>99</v>
      </c>
      <c r="C8722" s="6" t="s">
        <v>1533</v>
      </c>
      <c r="D8722" s="6" t="s">
        <v>14</v>
      </c>
      <c r="E8722" s="6" t="s">
        <v>52</v>
      </c>
      <c r="F8722" s="6" t="s">
        <v>70</v>
      </c>
      <c r="G8722" s="6" t="s">
        <v>689</v>
      </c>
      <c r="H8722" s="6" t="s">
        <v>690</v>
      </c>
      <c r="I8722" s="6" t="s">
        <v>31</v>
      </c>
      <c r="J8722" s="6">
        <v>17.056650139026001</v>
      </c>
      <c r="K8722" s="6">
        <v>-96.818099199128</v>
      </c>
      <c r="L8722" s="6" t="str">
        <f>HYPERLINK("https://maps.google.com/?q=17.0566501390262,-96.818099199127602", "🔗 Ver Mapa")</f>
        <v>🔗 Ver Mapa</v>
      </c>
    </row>
    <row r="8723" spans="1:12" ht="43.5" x14ac:dyDescent="0.35">
      <c r="A8723" s="5" t="s">
        <v>98</v>
      </c>
      <c r="B8723" s="5" t="s">
        <v>99</v>
      </c>
      <c r="C8723" s="5" t="s">
        <v>1533</v>
      </c>
      <c r="D8723" s="5" t="s">
        <v>14</v>
      </c>
      <c r="E8723" s="5" t="s">
        <v>52</v>
      </c>
      <c r="F8723" s="5" t="s">
        <v>70</v>
      </c>
      <c r="G8723" s="5" t="s">
        <v>689</v>
      </c>
      <c r="H8723" s="5" t="s">
        <v>690</v>
      </c>
      <c r="I8723" s="5" t="s">
        <v>31</v>
      </c>
      <c r="J8723" s="5">
        <v>17.056656459772999</v>
      </c>
      <c r="K8723" s="5">
        <v>-96.823756198835994</v>
      </c>
      <c r="L8723" s="5" t="str">
        <f>HYPERLINK("https://maps.google.com/?q=17.0566564597733,-96.823756198836193", "🔗 Ver Mapa")</f>
        <v>🔗 Ver Mapa</v>
      </c>
    </row>
    <row r="8724" spans="1:12" ht="43.5" x14ac:dyDescent="0.35">
      <c r="A8724" s="6" t="s">
        <v>98</v>
      </c>
      <c r="B8724" s="6" t="s">
        <v>99</v>
      </c>
      <c r="C8724" s="6" t="s">
        <v>1533</v>
      </c>
      <c r="D8724" s="6" t="s">
        <v>14</v>
      </c>
      <c r="E8724" s="6" t="s">
        <v>52</v>
      </c>
      <c r="F8724" s="6" t="s">
        <v>70</v>
      </c>
      <c r="G8724" s="6" t="s">
        <v>689</v>
      </c>
      <c r="H8724" s="6" t="s">
        <v>690</v>
      </c>
      <c r="I8724" s="6" t="s">
        <v>31</v>
      </c>
      <c r="J8724" s="6">
        <v>17.057145000984999</v>
      </c>
      <c r="K8724" s="6">
        <v>-96.821002012031002</v>
      </c>
      <c r="L8724" s="6" t="str">
        <f>HYPERLINK("https://maps.google.com/?q=17.0571450009848,-96.821002012031002", "🔗 Ver Mapa")</f>
        <v>🔗 Ver Mapa</v>
      </c>
    </row>
    <row r="8725" spans="1:12" ht="43.5" x14ac:dyDescent="0.35">
      <c r="A8725" s="5" t="s">
        <v>98</v>
      </c>
      <c r="B8725" s="5" t="s">
        <v>99</v>
      </c>
      <c r="C8725" s="5" t="s">
        <v>1533</v>
      </c>
      <c r="D8725" s="5" t="s">
        <v>14</v>
      </c>
      <c r="E8725" s="5" t="s">
        <v>52</v>
      </c>
      <c r="F8725" s="5" t="s">
        <v>70</v>
      </c>
      <c r="G8725" s="5" t="s">
        <v>689</v>
      </c>
      <c r="H8725" s="5" t="s">
        <v>690</v>
      </c>
      <c r="I8725" s="5" t="s">
        <v>31</v>
      </c>
      <c r="J8725" s="5">
        <v>17.057285663774</v>
      </c>
      <c r="K8725" s="5">
        <v>-96.819084967088003</v>
      </c>
      <c r="L8725" s="5" t="str">
        <f>HYPERLINK("https://maps.google.com/?q=17.0572856637738,-96.819084967088102", "🔗 Ver Mapa")</f>
        <v>🔗 Ver Mapa</v>
      </c>
    </row>
    <row r="8726" spans="1:12" ht="43.5" x14ac:dyDescent="0.35">
      <c r="A8726" s="6" t="s">
        <v>98</v>
      </c>
      <c r="B8726" s="6" t="s">
        <v>99</v>
      </c>
      <c r="C8726" s="6" t="s">
        <v>1533</v>
      </c>
      <c r="D8726" s="6" t="s">
        <v>14</v>
      </c>
      <c r="E8726" s="6" t="s">
        <v>52</v>
      </c>
      <c r="F8726" s="6" t="s">
        <v>70</v>
      </c>
      <c r="G8726" s="6" t="s">
        <v>689</v>
      </c>
      <c r="H8726" s="6" t="s">
        <v>690</v>
      </c>
      <c r="I8726" s="6" t="s">
        <v>31</v>
      </c>
      <c r="J8726" s="6">
        <v>17.057359938604002</v>
      </c>
      <c r="K8726" s="6">
        <v>-96.822128950378001</v>
      </c>
      <c r="L8726" s="6" t="str">
        <f>HYPERLINK("https://maps.google.com/?q=17.0573599386038,-96.822128950378101", "🔗 Ver Mapa")</f>
        <v>🔗 Ver Mapa</v>
      </c>
    </row>
    <row r="8727" spans="1:12" ht="43.5" x14ac:dyDescent="0.35">
      <c r="A8727" s="5" t="s">
        <v>98</v>
      </c>
      <c r="B8727" s="5" t="s">
        <v>99</v>
      </c>
      <c r="C8727" s="5" t="s">
        <v>1533</v>
      </c>
      <c r="D8727" s="5" t="s">
        <v>14</v>
      </c>
      <c r="E8727" s="5" t="s">
        <v>52</v>
      </c>
      <c r="F8727" s="5" t="s">
        <v>70</v>
      </c>
      <c r="G8727" s="5" t="s">
        <v>689</v>
      </c>
      <c r="H8727" s="5" t="s">
        <v>690</v>
      </c>
      <c r="I8727" s="5" t="s">
        <v>31</v>
      </c>
      <c r="J8727" s="5">
        <v>17.057642819554001</v>
      </c>
      <c r="K8727" s="5">
        <v>-96.821806608445002</v>
      </c>
      <c r="L8727" s="5" t="str">
        <f>HYPERLINK("https://maps.google.com/?q=17.0576428195536,-96.8218066084453", "🔗 Ver Mapa")</f>
        <v>🔗 Ver Mapa</v>
      </c>
    </row>
    <row r="8728" spans="1:12" ht="43.5" x14ac:dyDescent="0.35">
      <c r="A8728" s="6" t="s">
        <v>98</v>
      </c>
      <c r="B8728" s="6" t="s">
        <v>99</v>
      </c>
      <c r="C8728" s="6" t="s">
        <v>1533</v>
      </c>
      <c r="D8728" s="6" t="s">
        <v>14</v>
      </c>
      <c r="E8728" s="6" t="s">
        <v>52</v>
      </c>
      <c r="F8728" s="6" t="s">
        <v>70</v>
      </c>
      <c r="G8728" s="6" t="s">
        <v>689</v>
      </c>
      <c r="H8728" s="6" t="s">
        <v>690</v>
      </c>
      <c r="I8728" s="6" t="s">
        <v>31</v>
      </c>
      <c r="J8728" s="6">
        <v>17.057878257733002</v>
      </c>
      <c r="K8728" s="6">
        <v>-96.826004845664002</v>
      </c>
      <c r="L8728" s="6" t="str">
        <f>HYPERLINK("https://maps.google.com/?q=17.0578782577326,-96.826004845664499", "🔗 Ver Mapa")</f>
        <v>🔗 Ver Mapa</v>
      </c>
    </row>
    <row r="8729" spans="1:12" ht="43.5" x14ac:dyDescent="0.35">
      <c r="A8729" s="5" t="s">
        <v>98</v>
      </c>
      <c r="B8729" s="5" t="s">
        <v>99</v>
      </c>
      <c r="C8729" s="5" t="s">
        <v>1533</v>
      </c>
      <c r="D8729" s="5" t="s">
        <v>14</v>
      </c>
      <c r="E8729" s="5" t="s">
        <v>52</v>
      </c>
      <c r="F8729" s="5" t="s">
        <v>70</v>
      </c>
      <c r="G8729" s="5" t="s">
        <v>689</v>
      </c>
      <c r="H8729" s="5" t="s">
        <v>690</v>
      </c>
      <c r="I8729" s="5" t="s">
        <v>31</v>
      </c>
      <c r="J8729" s="5">
        <v>17.057950384247999</v>
      </c>
      <c r="K8729" s="5">
        <v>-96.823105995777993</v>
      </c>
      <c r="L8729" s="5" t="str">
        <f>HYPERLINK("https://maps.google.com/?q=17.057950384248,-96.823105995778107", "🔗 Ver Mapa")</f>
        <v>🔗 Ver Mapa</v>
      </c>
    </row>
    <row r="8730" spans="1:12" ht="43.5" x14ac:dyDescent="0.35">
      <c r="A8730" s="6" t="s">
        <v>98</v>
      </c>
      <c r="B8730" s="6" t="s">
        <v>99</v>
      </c>
      <c r="C8730" s="6" t="s">
        <v>1533</v>
      </c>
      <c r="D8730" s="6" t="s">
        <v>14</v>
      </c>
      <c r="E8730" s="6" t="s">
        <v>52</v>
      </c>
      <c r="F8730" s="6" t="s">
        <v>70</v>
      </c>
      <c r="G8730" s="6" t="s">
        <v>689</v>
      </c>
      <c r="H8730" s="6" t="s">
        <v>690</v>
      </c>
      <c r="I8730" s="6" t="s">
        <v>31</v>
      </c>
      <c r="J8730" s="6">
        <v>17.058092455337</v>
      </c>
      <c r="K8730" s="6">
        <v>-96.825045683184996</v>
      </c>
      <c r="L8730" s="6" t="str">
        <f>HYPERLINK("https://maps.google.com/?q=17.0580924553369,-96.825045683185195", "🔗 Ver Mapa")</f>
        <v>🔗 Ver Mapa</v>
      </c>
    </row>
    <row r="8731" spans="1:12" ht="43.5" x14ac:dyDescent="0.35">
      <c r="A8731" s="5" t="s">
        <v>98</v>
      </c>
      <c r="B8731" s="5" t="s">
        <v>99</v>
      </c>
      <c r="C8731" s="5" t="s">
        <v>1533</v>
      </c>
      <c r="D8731" s="5" t="s">
        <v>14</v>
      </c>
      <c r="E8731" s="5" t="s">
        <v>52</v>
      </c>
      <c r="F8731" s="5" t="s">
        <v>70</v>
      </c>
      <c r="G8731" s="5" t="s">
        <v>689</v>
      </c>
      <c r="H8731" s="5" t="s">
        <v>690</v>
      </c>
      <c r="I8731" s="5" t="s">
        <v>31</v>
      </c>
      <c r="J8731" s="5">
        <v>17.058204916883</v>
      </c>
      <c r="K8731" s="5">
        <v>-96.823760647086999</v>
      </c>
      <c r="L8731" s="5" t="str">
        <f>HYPERLINK("https://maps.google.com/?q=17.058204916883,-96.823760647086502", "🔗 Ver Mapa")</f>
        <v>🔗 Ver Mapa</v>
      </c>
    </row>
    <row r="8732" spans="1:12" ht="43.5" x14ac:dyDescent="0.35">
      <c r="A8732" s="6" t="s">
        <v>98</v>
      </c>
      <c r="B8732" s="6" t="s">
        <v>99</v>
      </c>
      <c r="C8732" s="6" t="s">
        <v>1533</v>
      </c>
      <c r="D8732" s="6" t="s">
        <v>14</v>
      </c>
      <c r="E8732" s="6" t="s">
        <v>52</v>
      </c>
      <c r="F8732" s="6" t="s">
        <v>70</v>
      </c>
      <c r="G8732" s="6" t="s">
        <v>689</v>
      </c>
      <c r="H8732" s="6" t="s">
        <v>690</v>
      </c>
      <c r="I8732" s="6" t="s">
        <v>31</v>
      </c>
      <c r="J8732" s="6">
        <v>17.058706881656001</v>
      </c>
      <c r="K8732" s="6">
        <v>-96.824526239999997</v>
      </c>
      <c r="L8732" s="6" t="str">
        <f>HYPERLINK("https://maps.google.com/?q=17.0587068816562,-96.824526240000395", "🔗 Ver Mapa")</f>
        <v>🔗 Ver Mapa</v>
      </c>
    </row>
    <row r="8733" spans="1:12" ht="43.5" x14ac:dyDescent="0.35">
      <c r="A8733" s="5" t="s">
        <v>98</v>
      </c>
      <c r="B8733" s="5" t="s">
        <v>99</v>
      </c>
      <c r="C8733" s="5" t="s">
        <v>1533</v>
      </c>
      <c r="D8733" s="5" t="s">
        <v>14</v>
      </c>
      <c r="E8733" s="5" t="s">
        <v>52</v>
      </c>
      <c r="F8733" s="5" t="s">
        <v>70</v>
      </c>
      <c r="G8733" s="5" t="s">
        <v>689</v>
      </c>
      <c r="H8733" s="5" t="s">
        <v>690</v>
      </c>
      <c r="I8733" s="5" t="s">
        <v>31</v>
      </c>
      <c r="J8733" s="5">
        <v>17.059324270579999</v>
      </c>
      <c r="K8733" s="5">
        <v>-96.822073593314002</v>
      </c>
      <c r="L8733" s="5" t="str">
        <f>HYPERLINK("https://maps.google.com/?q=17.0593242705798,-96.822073593314101", "🔗 Ver Mapa")</f>
        <v>🔗 Ver Mapa</v>
      </c>
    </row>
    <row r="8734" spans="1:12" ht="43.5" x14ac:dyDescent="0.35">
      <c r="A8734" s="6" t="s">
        <v>98</v>
      </c>
      <c r="B8734" s="6" t="s">
        <v>99</v>
      </c>
      <c r="C8734" s="6" t="s">
        <v>1533</v>
      </c>
      <c r="D8734" s="6" t="s">
        <v>14</v>
      </c>
      <c r="E8734" s="6" t="s">
        <v>52</v>
      </c>
      <c r="F8734" s="6" t="s">
        <v>70</v>
      </c>
      <c r="G8734" s="6" t="s">
        <v>689</v>
      </c>
      <c r="H8734" s="6" t="s">
        <v>690</v>
      </c>
      <c r="I8734" s="6" t="s">
        <v>31</v>
      </c>
      <c r="J8734" s="6">
        <v>17.060871648502999</v>
      </c>
      <c r="K8734" s="6">
        <v>-96.824654491811998</v>
      </c>
      <c r="L8734" s="6" t="str">
        <f>HYPERLINK("https://maps.google.com/?q=17.0608716485033,-96.824654491811998", "🔗 Ver Mapa")</f>
        <v>🔗 Ver Mapa</v>
      </c>
    </row>
    <row r="8735" spans="1:12" ht="43.5" x14ac:dyDescent="0.35">
      <c r="A8735" s="5" t="s">
        <v>98</v>
      </c>
      <c r="B8735" s="5" t="s">
        <v>99</v>
      </c>
      <c r="C8735" s="5" t="s">
        <v>1533</v>
      </c>
      <c r="D8735" s="5" t="s">
        <v>14</v>
      </c>
      <c r="E8735" s="5" t="s">
        <v>52</v>
      </c>
      <c r="F8735" s="5" t="s">
        <v>70</v>
      </c>
      <c r="G8735" s="5" t="s">
        <v>689</v>
      </c>
      <c r="H8735" s="5" t="s">
        <v>690</v>
      </c>
      <c r="I8735" s="5" t="s">
        <v>31</v>
      </c>
      <c r="J8735" s="5">
        <v>17.062354848910001</v>
      </c>
      <c r="K8735" s="5">
        <v>-96.819437976686999</v>
      </c>
      <c r="L8735" s="5" t="str">
        <f>HYPERLINK("https://maps.google.com/?q=17.0623548489098,-96.819437976686501", "🔗 Ver Mapa")</f>
        <v>🔗 Ver Mapa</v>
      </c>
    </row>
    <row r="8736" spans="1:12" ht="43.5" x14ac:dyDescent="0.35">
      <c r="A8736" s="6" t="s">
        <v>98</v>
      </c>
      <c r="B8736" s="6" t="s">
        <v>99</v>
      </c>
      <c r="C8736" s="6" t="s">
        <v>1534</v>
      </c>
      <c r="D8736" s="6" t="s">
        <v>14</v>
      </c>
      <c r="E8736" s="6" t="s">
        <v>16</v>
      </c>
      <c r="F8736" s="6" t="s">
        <v>21</v>
      </c>
      <c r="G8736" s="6" t="s">
        <v>235</v>
      </c>
      <c r="H8736" s="6" t="s">
        <v>1535</v>
      </c>
      <c r="I8736" s="6" t="s">
        <v>31</v>
      </c>
      <c r="J8736" s="6">
        <v>17.268662197516001</v>
      </c>
      <c r="K8736" s="6">
        <v>-97.717575417174999</v>
      </c>
      <c r="L8736" s="6" t="str">
        <f>HYPERLINK("https://maps.google.com/?q=17.2686621975159,-97.717575417174999", "🔗 Ver Mapa")</f>
        <v>🔗 Ver Mapa</v>
      </c>
    </row>
    <row r="8737" spans="1:12" ht="43.5" x14ac:dyDescent="0.35">
      <c r="A8737" s="5" t="s">
        <v>98</v>
      </c>
      <c r="B8737" s="5" t="s">
        <v>99</v>
      </c>
      <c r="C8737" s="5" t="s">
        <v>1534</v>
      </c>
      <c r="D8737" s="5" t="s">
        <v>14</v>
      </c>
      <c r="E8737" s="5" t="s">
        <v>16</v>
      </c>
      <c r="F8737" s="5" t="s">
        <v>21</v>
      </c>
      <c r="G8737" s="5" t="s">
        <v>235</v>
      </c>
      <c r="H8737" s="5" t="s">
        <v>1535</v>
      </c>
      <c r="I8737" s="5" t="s">
        <v>31</v>
      </c>
      <c r="J8737" s="5">
        <v>17.269516390385999</v>
      </c>
      <c r="K8737" s="5">
        <v>-97.725619616016999</v>
      </c>
      <c r="L8737" s="5" t="str">
        <f>HYPERLINK("https://maps.google.com/?q=17.2695163903865,-97.725619616016502", "🔗 Ver Mapa")</f>
        <v>🔗 Ver Mapa</v>
      </c>
    </row>
    <row r="8738" spans="1:12" ht="43.5" x14ac:dyDescent="0.35">
      <c r="A8738" s="6" t="s">
        <v>98</v>
      </c>
      <c r="B8738" s="6" t="s">
        <v>99</v>
      </c>
      <c r="C8738" s="6" t="s">
        <v>1534</v>
      </c>
      <c r="D8738" s="6" t="s">
        <v>14</v>
      </c>
      <c r="E8738" s="6" t="s">
        <v>16</v>
      </c>
      <c r="F8738" s="6" t="s">
        <v>21</v>
      </c>
      <c r="G8738" s="6" t="s">
        <v>235</v>
      </c>
      <c r="H8738" s="6" t="s">
        <v>1535</v>
      </c>
      <c r="I8738" s="6" t="s">
        <v>31</v>
      </c>
      <c r="J8738" s="6">
        <v>17.269942257977998</v>
      </c>
      <c r="K8738" s="6">
        <v>-97.726142394625995</v>
      </c>
      <c r="L8738" s="6" t="str">
        <f>HYPERLINK("https://maps.google.com/?q=17.2699422579785,-97.726142394625697", "🔗 Ver Mapa")</f>
        <v>🔗 Ver Mapa</v>
      </c>
    </row>
    <row r="8739" spans="1:12" ht="43.5" x14ac:dyDescent="0.35">
      <c r="A8739" s="5" t="s">
        <v>98</v>
      </c>
      <c r="B8739" s="5" t="s">
        <v>99</v>
      </c>
      <c r="C8739" s="5" t="s">
        <v>1534</v>
      </c>
      <c r="D8739" s="5" t="s">
        <v>14</v>
      </c>
      <c r="E8739" s="5" t="s">
        <v>16</v>
      </c>
      <c r="F8739" s="5" t="s">
        <v>21</v>
      </c>
      <c r="G8739" s="5" t="s">
        <v>235</v>
      </c>
      <c r="H8739" s="5" t="s">
        <v>1535</v>
      </c>
      <c r="I8739" s="5" t="s">
        <v>31</v>
      </c>
      <c r="J8739" s="5">
        <v>17.271554038310001</v>
      </c>
      <c r="K8739" s="5">
        <v>-97.719824518546005</v>
      </c>
      <c r="L8739" s="5" t="str">
        <f>HYPERLINK("https://maps.google.com/?q=17.2715540383096,-97.719824518546403", "🔗 Ver Mapa")</f>
        <v>🔗 Ver Mapa</v>
      </c>
    </row>
    <row r="8740" spans="1:12" ht="43.5" x14ac:dyDescent="0.35">
      <c r="A8740" s="6" t="s">
        <v>98</v>
      </c>
      <c r="B8740" s="6" t="s">
        <v>99</v>
      </c>
      <c r="C8740" s="6" t="s">
        <v>1534</v>
      </c>
      <c r="D8740" s="6" t="s">
        <v>14</v>
      </c>
      <c r="E8740" s="6" t="s">
        <v>16</v>
      </c>
      <c r="F8740" s="6" t="s">
        <v>21</v>
      </c>
      <c r="G8740" s="6" t="s">
        <v>235</v>
      </c>
      <c r="H8740" s="6" t="s">
        <v>1535</v>
      </c>
      <c r="I8740" s="6" t="s">
        <v>31</v>
      </c>
      <c r="J8740" s="6">
        <v>17.272022609467001</v>
      </c>
      <c r="K8740" s="6">
        <v>-97.719632077537</v>
      </c>
      <c r="L8740" s="6" t="str">
        <f>HYPERLINK("https://maps.google.com/?q=17.272022609467,-97.719632077537199", "🔗 Ver Mapa")</f>
        <v>🔗 Ver Mapa</v>
      </c>
    </row>
    <row r="8741" spans="1:12" ht="43.5" x14ac:dyDescent="0.35">
      <c r="A8741" s="5" t="s">
        <v>98</v>
      </c>
      <c r="B8741" s="5" t="s">
        <v>99</v>
      </c>
      <c r="C8741" s="5" t="s">
        <v>1536</v>
      </c>
      <c r="D8741" s="5" t="s">
        <v>14</v>
      </c>
      <c r="E8741" s="5" t="s">
        <v>140</v>
      </c>
      <c r="F8741" s="5" t="s">
        <v>141</v>
      </c>
      <c r="G8741" s="5" t="s">
        <v>187</v>
      </c>
      <c r="H8741" s="5" t="s">
        <v>188</v>
      </c>
      <c r="I8741" s="5" t="s">
        <v>31</v>
      </c>
      <c r="J8741" s="5">
        <v>18.060370092846</v>
      </c>
      <c r="K8741" s="5">
        <v>-96.124837846627003</v>
      </c>
      <c r="L8741" s="5" t="str">
        <f>HYPERLINK("https://maps.google.com/?q=18.0603700928456,-96.124837846627102", "🔗 Ver Mapa")</f>
        <v>🔗 Ver Mapa</v>
      </c>
    </row>
    <row r="8742" spans="1:12" ht="43.5" x14ac:dyDescent="0.35">
      <c r="A8742" s="6" t="s">
        <v>98</v>
      </c>
      <c r="B8742" s="6" t="s">
        <v>99</v>
      </c>
      <c r="C8742" s="6" t="s">
        <v>1536</v>
      </c>
      <c r="D8742" s="6" t="s">
        <v>14</v>
      </c>
      <c r="E8742" s="6" t="s">
        <v>140</v>
      </c>
      <c r="F8742" s="6" t="s">
        <v>141</v>
      </c>
      <c r="G8742" s="6" t="s">
        <v>187</v>
      </c>
      <c r="H8742" s="6" t="s">
        <v>188</v>
      </c>
      <c r="I8742" s="6" t="s">
        <v>31</v>
      </c>
      <c r="J8742" s="6">
        <v>18.060627731884001</v>
      </c>
      <c r="K8742" s="6">
        <v>-96.134943170195996</v>
      </c>
      <c r="L8742" s="6" t="str">
        <f>HYPERLINK("https://maps.google.com/?q=18.060627731884,-96.134943170196394", "🔗 Ver Mapa")</f>
        <v>🔗 Ver Mapa</v>
      </c>
    </row>
    <row r="8743" spans="1:12" ht="43.5" x14ac:dyDescent="0.35">
      <c r="A8743" s="5" t="s">
        <v>98</v>
      </c>
      <c r="B8743" s="5" t="s">
        <v>99</v>
      </c>
      <c r="C8743" s="5" t="s">
        <v>1536</v>
      </c>
      <c r="D8743" s="5" t="s">
        <v>14</v>
      </c>
      <c r="E8743" s="5" t="s">
        <v>140</v>
      </c>
      <c r="F8743" s="5" t="s">
        <v>141</v>
      </c>
      <c r="G8743" s="5" t="s">
        <v>187</v>
      </c>
      <c r="H8743" s="5" t="s">
        <v>188</v>
      </c>
      <c r="I8743" s="5" t="s">
        <v>31</v>
      </c>
      <c r="J8743" s="5">
        <v>18.060896908170999</v>
      </c>
      <c r="K8743" s="5">
        <v>-96.125335631010998</v>
      </c>
      <c r="L8743" s="5" t="str">
        <f>HYPERLINK("https://maps.google.com/?q=18.0608969081713,-96.125335631010699", "🔗 Ver Mapa")</f>
        <v>🔗 Ver Mapa</v>
      </c>
    </row>
    <row r="8744" spans="1:12" ht="43.5" x14ac:dyDescent="0.35">
      <c r="A8744" s="6" t="s">
        <v>98</v>
      </c>
      <c r="B8744" s="6" t="s">
        <v>99</v>
      </c>
      <c r="C8744" s="6" t="s">
        <v>1536</v>
      </c>
      <c r="D8744" s="6" t="s">
        <v>14</v>
      </c>
      <c r="E8744" s="6" t="s">
        <v>140</v>
      </c>
      <c r="F8744" s="6" t="s">
        <v>141</v>
      </c>
      <c r="G8744" s="6" t="s">
        <v>187</v>
      </c>
      <c r="H8744" s="6" t="s">
        <v>188</v>
      </c>
      <c r="I8744" s="6" t="s">
        <v>31</v>
      </c>
      <c r="J8744" s="6">
        <v>18.060903050446001</v>
      </c>
      <c r="K8744" s="6">
        <v>-96.126338544231999</v>
      </c>
      <c r="L8744" s="6" t="str">
        <f>HYPERLINK("https://maps.google.com/?q=18.0609030504456,-96.126338544232297", "🔗 Ver Mapa")</f>
        <v>🔗 Ver Mapa</v>
      </c>
    </row>
    <row r="8745" spans="1:12" ht="43.5" x14ac:dyDescent="0.35">
      <c r="A8745" s="5" t="s">
        <v>98</v>
      </c>
      <c r="B8745" s="5" t="s">
        <v>99</v>
      </c>
      <c r="C8745" s="5" t="s">
        <v>1536</v>
      </c>
      <c r="D8745" s="5" t="s">
        <v>14</v>
      </c>
      <c r="E8745" s="5" t="s">
        <v>140</v>
      </c>
      <c r="F8745" s="5" t="s">
        <v>141</v>
      </c>
      <c r="G8745" s="5" t="s">
        <v>187</v>
      </c>
      <c r="H8745" s="5" t="s">
        <v>188</v>
      </c>
      <c r="I8745" s="5" t="s">
        <v>31</v>
      </c>
      <c r="J8745" s="5">
        <v>18.060931330750002</v>
      </c>
      <c r="K8745" s="5">
        <v>-96.126030321751003</v>
      </c>
      <c r="L8745" s="5" t="str">
        <f>HYPERLINK("https://maps.google.com/?q=18.0609313307503,-96.126030321750505", "🔗 Ver Mapa")</f>
        <v>🔗 Ver Mapa</v>
      </c>
    </row>
    <row r="8746" spans="1:12" ht="43.5" x14ac:dyDescent="0.35">
      <c r="A8746" s="6" t="s">
        <v>98</v>
      </c>
      <c r="B8746" s="6" t="s">
        <v>99</v>
      </c>
      <c r="C8746" s="6" t="s">
        <v>1536</v>
      </c>
      <c r="D8746" s="6" t="s">
        <v>14</v>
      </c>
      <c r="E8746" s="6" t="s">
        <v>140</v>
      </c>
      <c r="F8746" s="6" t="s">
        <v>141</v>
      </c>
      <c r="G8746" s="6" t="s">
        <v>187</v>
      </c>
      <c r="H8746" s="6" t="s">
        <v>188</v>
      </c>
      <c r="I8746" s="6" t="s">
        <v>31</v>
      </c>
      <c r="J8746" s="6">
        <v>18.061090479012002</v>
      </c>
      <c r="K8746" s="6">
        <v>-96.126062276704005</v>
      </c>
      <c r="L8746" s="6" t="str">
        <f>HYPERLINK("https://maps.google.com/?q=18.0610904790125,-96.126062276703806", "🔗 Ver Mapa")</f>
        <v>🔗 Ver Mapa</v>
      </c>
    </row>
    <row r="8747" spans="1:12" ht="43.5" x14ac:dyDescent="0.35">
      <c r="A8747" s="5" t="s">
        <v>98</v>
      </c>
      <c r="B8747" s="5" t="s">
        <v>99</v>
      </c>
      <c r="C8747" s="5" t="s">
        <v>1536</v>
      </c>
      <c r="D8747" s="5" t="s">
        <v>14</v>
      </c>
      <c r="E8747" s="5" t="s">
        <v>140</v>
      </c>
      <c r="F8747" s="5" t="s">
        <v>141</v>
      </c>
      <c r="G8747" s="5" t="s">
        <v>187</v>
      </c>
      <c r="H8747" s="5" t="s">
        <v>188</v>
      </c>
      <c r="I8747" s="5" t="s">
        <v>31</v>
      </c>
      <c r="J8747" s="5">
        <v>18.066029459441001</v>
      </c>
      <c r="K8747" s="5">
        <v>-96.124764274309001</v>
      </c>
      <c r="L8747" s="5" t="str">
        <f>HYPERLINK("https://maps.google.com/?q=18.0660294594414,-96.1247642743092", "🔗 Ver Mapa")</f>
        <v>🔗 Ver Mapa</v>
      </c>
    </row>
    <row r="8748" spans="1:12" ht="43.5" x14ac:dyDescent="0.35">
      <c r="A8748" s="6" t="s">
        <v>98</v>
      </c>
      <c r="B8748" s="6" t="s">
        <v>99</v>
      </c>
      <c r="C8748" s="6" t="s">
        <v>1536</v>
      </c>
      <c r="D8748" s="6" t="s">
        <v>14</v>
      </c>
      <c r="E8748" s="6" t="s">
        <v>140</v>
      </c>
      <c r="F8748" s="6" t="s">
        <v>141</v>
      </c>
      <c r="G8748" s="6" t="s">
        <v>187</v>
      </c>
      <c r="H8748" s="6" t="s">
        <v>188</v>
      </c>
      <c r="I8748" s="6" t="s">
        <v>31</v>
      </c>
      <c r="J8748" s="6">
        <v>18.068659739449998</v>
      </c>
      <c r="K8748" s="6">
        <v>-96.124501417825996</v>
      </c>
      <c r="L8748" s="6" t="str">
        <f>HYPERLINK("https://maps.google.com/?q=18.0686597394505,-96.124501417825897", "🔗 Ver Mapa")</f>
        <v>🔗 Ver Mapa</v>
      </c>
    </row>
    <row r="8749" spans="1:12" ht="43.5" x14ac:dyDescent="0.35">
      <c r="A8749" s="5" t="s">
        <v>98</v>
      </c>
      <c r="B8749" s="5" t="s">
        <v>99</v>
      </c>
      <c r="C8749" s="5" t="s">
        <v>1536</v>
      </c>
      <c r="D8749" s="5" t="s">
        <v>14</v>
      </c>
      <c r="E8749" s="5" t="s">
        <v>140</v>
      </c>
      <c r="F8749" s="5" t="s">
        <v>141</v>
      </c>
      <c r="G8749" s="5" t="s">
        <v>187</v>
      </c>
      <c r="H8749" s="5" t="s">
        <v>188</v>
      </c>
      <c r="I8749" s="5" t="s">
        <v>31</v>
      </c>
      <c r="J8749" s="5">
        <v>18.070335707695001</v>
      </c>
      <c r="K8749" s="5">
        <v>-96.125666376248006</v>
      </c>
      <c r="L8749" s="5" t="str">
        <f>HYPERLINK("https://maps.google.com/?q=18.070335707695,-96.125666376248205", "🔗 Ver Mapa")</f>
        <v>🔗 Ver Mapa</v>
      </c>
    </row>
    <row r="8750" spans="1:12" ht="43.5" x14ac:dyDescent="0.35">
      <c r="A8750" s="6" t="s">
        <v>98</v>
      </c>
      <c r="B8750" s="6" t="s">
        <v>99</v>
      </c>
      <c r="C8750" s="6" t="s">
        <v>1536</v>
      </c>
      <c r="D8750" s="6" t="s">
        <v>14</v>
      </c>
      <c r="E8750" s="6" t="s">
        <v>140</v>
      </c>
      <c r="F8750" s="6" t="s">
        <v>141</v>
      </c>
      <c r="G8750" s="6" t="s">
        <v>187</v>
      </c>
      <c r="H8750" s="6" t="s">
        <v>188</v>
      </c>
      <c r="I8750" s="6" t="s">
        <v>31</v>
      </c>
      <c r="J8750" s="6">
        <v>18.076384331101</v>
      </c>
      <c r="K8750" s="6">
        <v>-96.127643385701006</v>
      </c>
      <c r="L8750" s="6" t="str">
        <f>HYPERLINK("https://maps.google.com/?q=18.0763843311013,-96.127643385700907", "🔗 Ver Mapa")</f>
        <v>🔗 Ver Mapa</v>
      </c>
    </row>
    <row r="8751" spans="1:12" ht="43.5" x14ac:dyDescent="0.35">
      <c r="A8751" s="5" t="s">
        <v>98</v>
      </c>
      <c r="B8751" s="5" t="s">
        <v>99</v>
      </c>
      <c r="C8751" s="5" t="s">
        <v>1536</v>
      </c>
      <c r="D8751" s="5" t="s">
        <v>14</v>
      </c>
      <c r="E8751" s="5" t="s">
        <v>140</v>
      </c>
      <c r="F8751" s="5" t="s">
        <v>141</v>
      </c>
      <c r="G8751" s="5" t="s">
        <v>187</v>
      </c>
      <c r="H8751" s="5" t="s">
        <v>188</v>
      </c>
      <c r="I8751" s="5" t="s">
        <v>31</v>
      </c>
      <c r="J8751" s="5">
        <v>18.077184615330999</v>
      </c>
      <c r="K8751" s="5">
        <v>-96.127283547166996</v>
      </c>
      <c r="L8751" s="5" t="str">
        <f>HYPERLINK("https://maps.google.com/?q=18.0771846153311,-96.127283547167394", "🔗 Ver Mapa")</f>
        <v>🔗 Ver Mapa</v>
      </c>
    </row>
    <row r="8752" spans="1:12" ht="43.5" x14ac:dyDescent="0.35">
      <c r="A8752" s="6" t="s">
        <v>98</v>
      </c>
      <c r="B8752" s="6" t="s">
        <v>99</v>
      </c>
      <c r="C8752" s="6" t="s">
        <v>1536</v>
      </c>
      <c r="D8752" s="6" t="s">
        <v>14</v>
      </c>
      <c r="E8752" s="6" t="s">
        <v>140</v>
      </c>
      <c r="F8752" s="6" t="s">
        <v>141</v>
      </c>
      <c r="G8752" s="6" t="s">
        <v>187</v>
      </c>
      <c r="H8752" s="6" t="s">
        <v>188</v>
      </c>
      <c r="I8752" s="6" t="s">
        <v>31</v>
      </c>
      <c r="J8752" s="6">
        <v>18.077498182448</v>
      </c>
      <c r="K8752" s="6">
        <v>-96.127077295047002</v>
      </c>
      <c r="L8752" s="6" t="str">
        <f>HYPERLINK("https://maps.google.com/?q=18.0774981824484,-96.127077295047002", "🔗 Ver Mapa")</f>
        <v>🔗 Ver Mapa</v>
      </c>
    </row>
    <row r="8753" spans="1:12" ht="43.5" x14ac:dyDescent="0.35">
      <c r="A8753" s="5" t="s">
        <v>98</v>
      </c>
      <c r="B8753" s="5" t="s">
        <v>99</v>
      </c>
      <c r="C8753" s="5" t="s">
        <v>1536</v>
      </c>
      <c r="D8753" s="5" t="s">
        <v>14</v>
      </c>
      <c r="E8753" s="5" t="s">
        <v>140</v>
      </c>
      <c r="F8753" s="5" t="s">
        <v>141</v>
      </c>
      <c r="G8753" s="5" t="s">
        <v>187</v>
      </c>
      <c r="H8753" s="5" t="s">
        <v>188</v>
      </c>
      <c r="I8753" s="5" t="s">
        <v>31</v>
      </c>
      <c r="J8753" s="5">
        <v>18.077559377852001</v>
      </c>
      <c r="K8753" s="5">
        <v>-96.126801027517999</v>
      </c>
      <c r="L8753" s="5" t="str">
        <f>HYPERLINK("https://maps.google.com/?q=18.0775593778517,-96.126801027518198", "🔗 Ver Mapa")</f>
        <v>🔗 Ver Mapa</v>
      </c>
    </row>
    <row r="8754" spans="1:12" ht="43.5" x14ac:dyDescent="0.35">
      <c r="A8754" s="6" t="s">
        <v>98</v>
      </c>
      <c r="B8754" s="6" t="s">
        <v>99</v>
      </c>
      <c r="C8754" s="6" t="s">
        <v>1536</v>
      </c>
      <c r="D8754" s="6" t="s">
        <v>14</v>
      </c>
      <c r="E8754" s="6" t="s">
        <v>140</v>
      </c>
      <c r="F8754" s="6" t="s">
        <v>141</v>
      </c>
      <c r="G8754" s="6" t="s">
        <v>187</v>
      </c>
      <c r="H8754" s="6" t="s">
        <v>188</v>
      </c>
      <c r="I8754" s="6" t="s">
        <v>31</v>
      </c>
      <c r="J8754" s="6">
        <v>18.077945296789999</v>
      </c>
      <c r="K8754" s="6">
        <v>-96.126561252612007</v>
      </c>
      <c r="L8754" s="6" t="str">
        <f>HYPERLINK("https://maps.google.com/?q=18.0779452967903,-96.126561252612206", "🔗 Ver Mapa")</f>
        <v>🔗 Ver Mapa</v>
      </c>
    </row>
    <row r="8755" spans="1:12" ht="43.5" x14ac:dyDescent="0.35">
      <c r="A8755" s="5" t="s">
        <v>516</v>
      </c>
      <c r="B8755" s="5" t="s">
        <v>517</v>
      </c>
      <c r="C8755" s="5" t="s">
        <v>1537</v>
      </c>
      <c r="D8755" s="5" t="s">
        <v>13</v>
      </c>
      <c r="E8755" s="5" t="s">
        <v>90</v>
      </c>
      <c r="F8755" s="5" t="s">
        <v>678</v>
      </c>
      <c r="G8755" s="5" t="s">
        <v>1538</v>
      </c>
      <c r="H8755" s="5" t="s">
        <v>1539</v>
      </c>
      <c r="I8755" s="5" t="s">
        <v>32</v>
      </c>
      <c r="J8755" s="5">
        <v>17.202202</v>
      </c>
      <c r="K8755" s="5">
        <v>-96.254007999999999</v>
      </c>
      <c r="L8755" s="5" t="str">
        <f>HYPERLINK("https://maps.google.com/?q=17.202202,-96.254007999999999", "🔗 Ver Mapa")</f>
        <v>🔗 Ver Mapa</v>
      </c>
    </row>
    <row r="8756" spans="1:12" ht="43.5" x14ac:dyDescent="0.35">
      <c r="A8756" s="6" t="s">
        <v>516</v>
      </c>
      <c r="B8756" s="6" t="s">
        <v>517</v>
      </c>
      <c r="C8756" s="6" t="s">
        <v>1537</v>
      </c>
      <c r="D8756" s="6" t="s">
        <v>13</v>
      </c>
      <c r="E8756" s="6" t="s">
        <v>90</v>
      </c>
      <c r="F8756" s="6" t="s">
        <v>678</v>
      </c>
      <c r="G8756" s="6" t="s">
        <v>1538</v>
      </c>
      <c r="H8756" s="6" t="s">
        <v>1539</v>
      </c>
      <c r="I8756" s="6" t="s">
        <v>32</v>
      </c>
      <c r="J8756" s="6">
        <v>17.202286999999998</v>
      </c>
      <c r="K8756" s="6">
        <v>-96.254037999999994</v>
      </c>
      <c r="L8756" s="6" t="str">
        <f>HYPERLINK("https://maps.google.com/?q=17.202287,-96.254037999999994", "🔗 Ver Mapa")</f>
        <v>🔗 Ver Mapa</v>
      </c>
    </row>
    <row r="8757" spans="1:12" ht="43.5" x14ac:dyDescent="0.35">
      <c r="A8757" s="5" t="s">
        <v>516</v>
      </c>
      <c r="B8757" s="5" t="s">
        <v>517</v>
      </c>
      <c r="C8757" s="5" t="s">
        <v>1537</v>
      </c>
      <c r="D8757" s="5" t="s">
        <v>13</v>
      </c>
      <c r="E8757" s="5" t="s">
        <v>90</v>
      </c>
      <c r="F8757" s="5" t="s">
        <v>678</v>
      </c>
      <c r="G8757" s="5" t="s">
        <v>1538</v>
      </c>
      <c r="H8757" s="5" t="s">
        <v>1539</v>
      </c>
      <c r="I8757" s="5" t="s">
        <v>32</v>
      </c>
      <c r="J8757" s="5">
        <v>17.202362999999998</v>
      </c>
      <c r="K8757" s="5">
        <v>-96.254355000000004</v>
      </c>
      <c r="L8757" s="5" t="str">
        <f>HYPERLINK("https://maps.google.com/?q=17.202363,-96.254355000000004", "🔗 Ver Mapa")</f>
        <v>🔗 Ver Mapa</v>
      </c>
    </row>
    <row r="8758" spans="1:12" ht="43.5" x14ac:dyDescent="0.35">
      <c r="A8758" s="6" t="s">
        <v>516</v>
      </c>
      <c r="B8758" s="6" t="s">
        <v>517</v>
      </c>
      <c r="C8758" s="6" t="s">
        <v>1537</v>
      </c>
      <c r="D8758" s="6" t="s">
        <v>13</v>
      </c>
      <c r="E8758" s="6" t="s">
        <v>90</v>
      </c>
      <c r="F8758" s="6" t="s">
        <v>678</v>
      </c>
      <c r="G8758" s="6" t="s">
        <v>1538</v>
      </c>
      <c r="H8758" s="6" t="s">
        <v>1539</v>
      </c>
      <c r="I8758" s="6" t="s">
        <v>32</v>
      </c>
      <c r="J8758" s="6">
        <v>17.202461</v>
      </c>
      <c r="K8758" s="6">
        <v>-96.254018000000002</v>
      </c>
      <c r="L8758" s="6" t="str">
        <f>HYPERLINK("https://maps.google.com/?q=17.202461,-96.254018000000002", "🔗 Ver Mapa")</f>
        <v>🔗 Ver Mapa</v>
      </c>
    </row>
    <row r="8759" spans="1:12" ht="43.5" x14ac:dyDescent="0.35">
      <c r="A8759" s="5" t="s">
        <v>516</v>
      </c>
      <c r="B8759" s="5" t="s">
        <v>517</v>
      </c>
      <c r="C8759" s="5" t="s">
        <v>1537</v>
      </c>
      <c r="D8759" s="5" t="s">
        <v>13</v>
      </c>
      <c r="E8759" s="5" t="s">
        <v>90</v>
      </c>
      <c r="F8759" s="5" t="s">
        <v>678</v>
      </c>
      <c r="G8759" s="5" t="s">
        <v>1538</v>
      </c>
      <c r="H8759" s="5" t="s">
        <v>1539</v>
      </c>
      <c r="I8759" s="5" t="s">
        <v>32</v>
      </c>
      <c r="J8759" s="5">
        <v>17.202981000000001</v>
      </c>
      <c r="K8759" s="5">
        <v>-96.254627999999997</v>
      </c>
      <c r="L8759" s="5" t="str">
        <f>HYPERLINK("https://maps.google.com/?q=17.202981,-96.254627999999997", "🔗 Ver Mapa")</f>
        <v>🔗 Ver Mapa</v>
      </c>
    </row>
    <row r="8760" spans="1:12" ht="43.5" x14ac:dyDescent="0.35">
      <c r="A8760" s="6" t="s">
        <v>516</v>
      </c>
      <c r="B8760" s="6" t="s">
        <v>517</v>
      </c>
      <c r="C8760" s="6" t="s">
        <v>1537</v>
      </c>
      <c r="D8760" s="6" t="s">
        <v>13</v>
      </c>
      <c r="E8760" s="6" t="s">
        <v>90</v>
      </c>
      <c r="F8760" s="6" t="s">
        <v>678</v>
      </c>
      <c r="G8760" s="6" t="s">
        <v>1538</v>
      </c>
      <c r="H8760" s="6" t="s">
        <v>1539</v>
      </c>
      <c r="I8760" s="6" t="s">
        <v>32</v>
      </c>
      <c r="J8760" s="6">
        <v>17.203005999999998</v>
      </c>
      <c r="K8760" s="6">
        <v>-96.253692000000001</v>
      </c>
      <c r="L8760" s="6" t="str">
        <f>HYPERLINK("https://maps.google.com/?q=17.203006,-96.253692000000001", "🔗 Ver Mapa")</f>
        <v>🔗 Ver Mapa</v>
      </c>
    </row>
    <row r="8761" spans="1:12" ht="43.5" x14ac:dyDescent="0.35">
      <c r="A8761" s="5" t="s">
        <v>516</v>
      </c>
      <c r="B8761" s="5" t="s">
        <v>517</v>
      </c>
      <c r="C8761" s="5" t="s">
        <v>1537</v>
      </c>
      <c r="D8761" s="5" t="s">
        <v>13</v>
      </c>
      <c r="E8761" s="5" t="s">
        <v>90</v>
      </c>
      <c r="F8761" s="5" t="s">
        <v>678</v>
      </c>
      <c r="G8761" s="5" t="s">
        <v>1538</v>
      </c>
      <c r="H8761" s="5" t="s">
        <v>1539</v>
      </c>
      <c r="I8761" s="5" t="s">
        <v>32</v>
      </c>
      <c r="J8761" s="5">
        <v>17.203313999999999</v>
      </c>
      <c r="K8761" s="5">
        <v>-96.253597999999997</v>
      </c>
      <c r="L8761" s="5" t="str">
        <f>HYPERLINK("https://maps.google.com/?q=17.203314,-96.253597999999997", "🔗 Ver Mapa")</f>
        <v>🔗 Ver Mapa</v>
      </c>
    </row>
    <row r="8762" spans="1:12" ht="43.5" x14ac:dyDescent="0.35">
      <c r="A8762" s="6" t="s">
        <v>516</v>
      </c>
      <c r="B8762" s="6" t="s">
        <v>517</v>
      </c>
      <c r="C8762" s="6" t="s">
        <v>1537</v>
      </c>
      <c r="D8762" s="6" t="s">
        <v>13</v>
      </c>
      <c r="E8762" s="6" t="s">
        <v>90</v>
      </c>
      <c r="F8762" s="6" t="s">
        <v>678</v>
      </c>
      <c r="G8762" s="6" t="s">
        <v>1538</v>
      </c>
      <c r="H8762" s="6" t="s">
        <v>1539</v>
      </c>
      <c r="I8762" s="6" t="s">
        <v>32</v>
      </c>
      <c r="J8762" s="6">
        <v>17.203562999999999</v>
      </c>
      <c r="K8762" s="6">
        <v>-96.253647999999998</v>
      </c>
      <c r="L8762" s="6" t="str">
        <f>HYPERLINK("https://maps.google.com/?q=17.203563,-96.253647999999998", "🔗 Ver Mapa")</f>
        <v>🔗 Ver Mapa</v>
      </c>
    </row>
    <row r="8763" spans="1:12" ht="43.5" x14ac:dyDescent="0.35">
      <c r="A8763" s="5" t="s">
        <v>516</v>
      </c>
      <c r="B8763" s="5" t="s">
        <v>517</v>
      </c>
      <c r="C8763" s="5" t="s">
        <v>1537</v>
      </c>
      <c r="D8763" s="5" t="s">
        <v>13</v>
      </c>
      <c r="E8763" s="5" t="s">
        <v>90</v>
      </c>
      <c r="F8763" s="5" t="s">
        <v>678</v>
      </c>
      <c r="G8763" s="5" t="s">
        <v>1538</v>
      </c>
      <c r="H8763" s="5" t="s">
        <v>1539</v>
      </c>
      <c r="I8763" s="5" t="s">
        <v>32</v>
      </c>
      <c r="J8763" s="5">
        <v>17.203707999999999</v>
      </c>
      <c r="K8763" s="5">
        <v>-96.254926999999995</v>
      </c>
      <c r="L8763" s="5" t="str">
        <f>HYPERLINK("https://maps.google.com/?q=17.203708,-96.254926999999995", "🔗 Ver Mapa")</f>
        <v>🔗 Ver Mapa</v>
      </c>
    </row>
    <row r="8764" spans="1:12" ht="43.5" x14ac:dyDescent="0.35">
      <c r="A8764" s="6" t="s">
        <v>516</v>
      </c>
      <c r="B8764" s="6" t="s">
        <v>517</v>
      </c>
      <c r="C8764" s="6" t="s">
        <v>1537</v>
      </c>
      <c r="D8764" s="6" t="s">
        <v>13</v>
      </c>
      <c r="E8764" s="6" t="s">
        <v>90</v>
      </c>
      <c r="F8764" s="6" t="s">
        <v>678</v>
      </c>
      <c r="G8764" s="6" t="s">
        <v>1538</v>
      </c>
      <c r="H8764" s="6" t="s">
        <v>1539</v>
      </c>
      <c r="I8764" s="6" t="s">
        <v>32</v>
      </c>
      <c r="J8764" s="6">
        <v>17.203958</v>
      </c>
      <c r="K8764" s="6">
        <v>-96.253628000000006</v>
      </c>
      <c r="L8764" s="6" t="str">
        <f>HYPERLINK("https://maps.google.com/?q=17.203958,-96.253628000000006", "🔗 Ver Mapa")</f>
        <v>🔗 Ver Mapa</v>
      </c>
    </row>
    <row r="8765" spans="1:12" ht="43.5" x14ac:dyDescent="0.35">
      <c r="A8765" s="5" t="s">
        <v>516</v>
      </c>
      <c r="B8765" s="5" t="s">
        <v>517</v>
      </c>
      <c r="C8765" s="5" t="s">
        <v>1537</v>
      </c>
      <c r="D8765" s="5" t="s">
        <v>13</v>
      </c>
      <c r="E8765" s="5" t="s">
        <v>90</v>
      </c>
      <c r="F8765" s="5" t="s">
        <v>678</v>
      </c>
      <c r="G8765" s="5" t="s">
        <v>1538</v>
      </c>
      <c r="H8765" s="5" t="s">
        <v>1539</v>
      </c>
      <c r="I8765" s="5" t="s">
        <v>32</v>
      </c>
      <c r="J8765" s="5">
        <v>17.204357999999999</v>
      </c>
      <c r="K8765" s="5">
        <v>-96.254954999999995</v>
      </c>
      <c r="L8765" s="5" t="str">
        <f>HYPERLINK("https://maps.google.com/?q=17.204358,-96.254954999999995", "🔗 Ver Mapa")</f>
        <v>🔗 Ver Mapa</v>
      </c>
    </row>
    <row r="8766" spans="1:12" ht="43.5" x14ac:dyDescent="0.35">
      <c r="A8766" s="6" t="s">
        <v>516</v>
      </c>
      <c r="B8766" s="6" t="s">
        <v>517</v>
      </c>
      <c r="C8766" s="6" t="s">
        <v>1537</v>
      </c>
      <c r="D8766" s="6" t="s">
        <v>13</v>
      </c>
      <c r="E8766" s="6" t="s">
        <v>90</v>
      </c>
      <c r="F8766" s="6" t="s">
        <v>678</v>
      </c>
      <c r="G8766" s="6" t="s">
        <v>1538</v>
      </c>
      <c r="H8766" s="6" t="s">
        <v>1539</v>
      </c>
      <c r="I8766" s="6" t="s">
        <v>32</v>
      </c>
      <c r="J8766" s="6">
        <v>17.204445</v>
      </c>
      <c r="K8766" s="6">
        <v>-96.253266999999994</v>
      </c>
      <c r="L8766" s="6" t="str">
        <f>HYPERLINK("https://maps.google.com/?q=17.204445,-96.253266999999994", "🔗 Ver Mapa")</f>
        <v>🔗 Ver Mapa</v>
      </c>
    </row>
    <row r="8767" spans="1:12" ht="43.5" x14ac:dyDescent="0.35">
      <c r="A8767" s="5" t="s">
        <v>516</v>
      </c>
      <c r="B8767" s="5" t="s">
        <v>517</v>
      </c>
      <c r="C8767" s="5" t="s">
        <v>1537</v>
      </c>
      <c r="D8767" s="5" t="s">
        <v>13</v>
      </c>
      <c r="E8767" s="5" t="s">
        <v>90</v>
      </c>
      <c r="F8767" s="5" t="s">
        <v>678</v>
      </c>
      <c r="G8767" s="5" t="s">
        <v>1538</v>
      </c>
      <c r="H8767" s="5" t="s">
        <v>1539</v>
      </c>
      <c r="I8767" s="5" t="s">
        <v>32</v>
      </c>
      <c r="J8767" s="5">
        <v>17.204543999999999</v>
      </c>
      <c r="K8767" s="5">
        <v>-96.253214999999997</v>
      </c>
      <c r="L8767" s="5" t="str">
        <f>HYPERLINK("https://maps.google.com/?q=17.204544,-96.253214999999997", "🔗 Ver Mapa")</f>
        <v>🔗 Ver Mapa</v>
      </c>
    </row>
    <row r="8768" spans="1:12" ht="43.5" x14ac:dyDescent="0.35">
      <c r="A8768" s="6" t="s">
        <v>516</v>
      </c>
      <c r="B8768" s="6" t="s">
        <v>517</v>
      </c>
      <c r="C8768" s="6" t="s">
        <v>1537</v>
      </c>
      <c r="D8768" s="6" t="s">
        <v>13</v>
      </c>
      <c r="E8768" s="6" t="s">
        <v>90</v>
      </c>
      <c r="F8768" s="6" t="s">
        <v>678</v>
      </c>
      <c r="G8768" s="6" t="s">
        <v>1538</v>
      </c>
      <c r="H8768" s="6" t="s">
        <v>1539</v>
      </c>
      <c r="I8768" s="6" t="s">
        <v>32</v>
      </c>
      <c r="J8768" s="6">
        <v>17.204975000000001</v>
      </c>
      <c r="K8768" s="6">
        <v>-96.253079999999997</v>
      </c>
      <c r="L8768" s="6" t="str">
        <f>HYPERLINK("https://maps.google.com/?q=17.204975,-96.253079999999997", "🔗 Ver Mapa")</f>
        <v>🔗 Ver Mapa</v>
      </c>
    </row>
    <row r="8769" spans="1:12" ht="43.5" x14ac:dyDescent="0.35">
      <c r="A8769" s="5" t="s">
        <v>516</v>
      </c>
      <c r="B8769" s="5" t="s">
        <v>517</v>
      </c>
      <c r="C8769" s="5" t="s">
        <v>1537</v>
      </c>
      <c r="D8769" s="5" t="s">
        <v>13</v>
      </c>
      <c r="E8769" s="5" t="s">
        <v>90</v>
      </c>
      <c r="F8769" s="5" t="s">
        <v>678</v>
      </c>
      <c r="G8769" s="5" t="s">
        <v>1538</v>
      </c>
      <c r="H8769" s="5" t="s">
        <v>1539</v>
      </c>
      <c r="I8769" s="5" t="s">
        <v>32</v>
      </c>
      <c r="J8769" s="5">
        <v>17.204999999999998</v>
      </c>
      <c r="K8769" s="5">
        <v>-96.255002000000005</v>
      </c>
      <c r="L8769" s="5" t="str">
        <f>HYPERLINK("https://maps.google.com/?q=17.205,-96.255002000000005", "🔗 Ver Mapa")</f>
        <v>🔗 Ver Mapa</v>
      </c>
    </row>
    <row r="8770" spans="1:12" ht="43.5" x14ac:dyDescent="0.35">
      <c r="A8770" s="6" t="s">
        <v>516</v>
      </c>
      <c r="B8770" s="6" t="s">
        <v>517</v>
      </c>
      <c r="C8770" s="6" t="s">
        <v>1537</v>
      </c>
      <c r="D8770" s="6" t="s">
        <v>13</v>
      </c>
      <c r="E8770" s="6" t="s">
        <v>90</v>
      </c>
      <c r="F8770" s="6" t="s">
        <v>678</v>
      </c>
      <c r="G8770" s="6" t="s">
        <v>1538</v>
      </c>
      <c r="H8770" s="6" t="s">
        <v>1539</v>
      </c>
      <c r="I8770" s="6" t="s">
        <v>32</v>
      </c>
      <c r="J8770" s="6">
        <v>17.205587000000001</v>
      </c>
      <c r="K8770" s="6">
        <v>-96.252973999999995</v>
      </c>
      <c r="L8770" s="6" t="str">
        <f>HYPERLINK("https://maps.google.com/?q=17.205587,-96.252973999999995", "🔗 Ver Mapa")</f>
        <v>🔗 Ver Mapa</v>
      </c>
    </row>
    <row r="8771" spans="1:12" ht="43.5" x14ac:dyDescent="0.35">
      <c r="A8771" s="5" t="s">
        <v>516</v>
      </c>
      <c r="B8771" s="5" t="s">
        <v>517</v>
      </c>
      <c r="C8771" s="5" t="s">
        <v>1537</v>
      </c>
      <c r="D8771" s="5" t="s">
        <v>13</v>
      </c>
      <c r="E8771" s="5" t="s">
        <v>90</v>
      </c>
      <c r="F8771" s="5" t="s">
        <v>678</v>
      </c>
      <c r="G8771" s="5" t="s">
        <v>1538</v>
      </c>
      <c r="H8771" s="5" t="s">
        <v>1539</v>
      </c>
      <c r="I8771" s="5" t="s">
        <v>32</v>
      </c>
      <c r="J8771" s="5">
        <v>17.205742999999998</v>
      </c>
      <c r="K8771" s="5">
        <v>-96.255160000000004</v>
      </c>
      <c r="L8771" s="5" t="str">
        <f>HYPERLINK("https://maps.google.com/?q=17.205743,-96.255160000000004", "🔗 Ver Mapa")</f>
        <v>🔗 Ver Mapa</v>
      </c>
    </row>
    <row r="8772" spans="1:12" ht="43.5" x14ac:dyDescent="0.35">
      <c r="A8772" s="6" t="s">
        <v>516</v>
      </c>
      <c r="B8772" s="6" t="s">
        <v>517</v>
      </c>
      <c r="C8772" s="6" t="s">
        <v>1537</v>
      </c>
      <c r="D8772" s="6" t="s">
        <v>13</v>
      </c>
      <c r="E8772" s="6" t="s">
        <v>90</v>
      </c>
      <c r="F8772" s="6" t="s">
        <v>678</v>
      </c>
      <c r="G8772" s="6" t="s">
        <v>1538</v>
      </c>
      <c r="H8772" s="6" t="s">
        <v>1539</v>
      </c>
      <c r="I8772" s="6" t="s">
        <v>32</v>
      </c>
      <c r="J8772" s="6">
        <v>17.206064999999999</v>
      </c>
      <c r="K8772" s="6">
        <v>-96.252707999999998</v>
      </c>
      <c r="L8772" s="6" t="str">
        <f>HYPERLINK("https://maps.google.com/?q=17.206065,-96.252707999999998", "🔗 Ver Mapa")</f>
        <v>🔗 Ver Mapa</v>
      </c>
    </row>
    <row r="8773" spans="1:12" ht="43.5" x14ac:dyDescent="0.35">
      <c r="A8773" s="5" t="s">
        <v>516</v>
      </c>
      <c r="B8773" s="5" t="s">
        <v>517</v>
      </c>
      <c r="C8773" s="5" t="s">
        <v>1537</v>
      </c>
      <c r="D8773" s="5" t="s">
        <v>13</v>
      </c>
      <c r="E8773" s="5" t="s">
        <v>90</v>
      </c>
      <c r="F8773" s="5" t="s">
        <v>678</v>
      </c>
      <c r="G8773" s="5" t="s">
        <v>1538</v>
      </c>
      <c r="H8773" s="5" t="s">
        <v>1539</v>
      </c>
      <c r="I8773" s="5" t="s">
        <v>32</v>
      </c>
      <c r="J8773" s="5">
        <v>17.206285999999999</v>
      </c>
      <c r="K8773" s="5">
        <v>-96.255284000000003</v>
      </c>
      <c r="L8773" s="5" t="str">
        <f>HYPERLINK("https://maps.google.com/?q=17.206286,-96.255284000000003", "🔗 Ver Mapa")</f>
        <v>🔗 Ver Mapa</v>
      </c>
    </row>
    <row r="8774" spans="1:12" ht="43.5" x14ac:dyDescent="0.35">
      <c r="A8774" s="6" t="s">
        <v>516</v>
      </c>
      <c r="B8774" s="6" t="s">
        <v>517</v>
      </c>
      <c r="C8774" s="6" t="s">
        <v>1537</v>
      </c>
      <c r="D8774" s="6" t="s">
        <v>13</v>
      </c>
      <c r="E8774" s="6" t="s">
        <v>90</v>
      </c>
      <c r="F8774" s="6" t="s">
        <v>678</v>
      </c>
      <c r="G8774" s="6" t="s">
        <v>1538</v>
      </c>
      <c r="H8774" s="6" t="s">
        <v>1539</v>
      </c>
      <c r="I8774" s="6" t="s">
        <v>32</v>
      </c>
      <c r="J8774" s="6">
        <v>17.206727000000001</v>
      </c>
      <c r="K8774" s="6">
        <v>-96.252195</v>
      </c>
      <c r="L8774" s="6" t="str">
        <f>HYPERLINK("https://maps.google.com/?q=17.206727,-96.252195", "🔗 Ver Mapa")</f>
        <v>🔗 Ver Mapa</v>
      </c>
    </row>
    <row r="8775" spans="1:12" ht="43.5" x14ac:dyDescent="0.35">
      <c r="A8775" s="5" t="s">
        <v>516</v>
      </c>
      <c r="B8775" s="5" t="s">
        <v>517</v>
      </c>
      <c r="C8775" s="5" t="s">
        <v>1537</v>
      </c>
      <c r="D8775" s="5" t="s">
        <v>13</v>
      </c>
      <c r="E8775" s="5" t="s">
        <v>90</v>
      </c>
      <c r="F8775" s="5" t="s">
        <v>678</v>
      </c>
      <c r="G8775" s="5" t="s">
        <v>1538</v>
      </c>
      <c r="H8775" s="5" t="s">
        <v>1539</v>
      </c>
      <c r="I8775" s="5" t="s">
        <v>32</v>
      </c>
      <c r="J8775" s="5">
        <v>17.207311000000001</v>
      </c>
      <c r="K8775" s="5">
        <v>-96.251990000000006</v>
      </c>
      <c r="L8775" s="5" t="str">
        <f>HYPERLINK("https://maps.google.com/?q=17.207311,-96.251990000000006", "🔗 Ver Mapa")</f>
        <v>🔗 Ver Mapa</v>
      </c>
    </row>
    <row r="8776" spans="1:12" ht="43.5" x14ac:dyDescent="0.35">
      <c r="A8776" s="6" t="s">
        <v>516</v>
      </c>
      <c r="B8776" s="6" t="s">
        <v>517</v>
      </c>
      <c r="C8776" s="6" t="s">
        <v>1537</v>
      </c>
      <c r="D8776" s="6" t="s">
        <v>13</v>
      </c>
      <c r="E8776" s="6" t="s">
        <v>90</v>
      </c>
      <c r="F8776" s="6" t="s">
        <v>678</v>
      </c>
      <c r="G8776" s="6" t="s">
        <v>1538</v>
      </c>
      <c r="H8776" s="6" t="s">
        <v>1539</v>
      </c>
      <c r="I8776" s="6" t="s">
        <v>32</v>
      </c>
      <c r="J8776" s="6">
        <v>17.207446999999998</v>
      </c>
      <c r="K8776" s="6">
        <v>-96.251856000000004</v>
      </c>
      <c r="L8776" s="6" t="str">
        <f>HYPERLINK("https://maps.google.com/?q=17.207447,-96.251856000000004", "🔗 Ver Mapa")</f>
        <v>🔗 Ver Mapa</v>
      </c>
    </row>
    <row r="8777" spans="1:12" ht="43.5" x14ac:dyDescent="0.35">
      <c r="A8777" s="5" t="s">
        <v>516</v>
      </c>
      <c r="B8777" s="5" t="s">
        <v>517</v>
      </c>
      <c r="C8777" s="5" t="s">
        <v>1537</v>
      </c>
      <c r="D8777" s="5" t="s">
        <v>13</v>
      </c>
      <c r="E8777" s="5" t="s">
        <v>90</v>
      </c>
      <c r="F8777" s="5" t="s">
        <v>678</v>
      </c>
      <c r="G8777" s="5" t="s">
        <v>1538</v>
      </c>
      <c r="H8777" s="5" t="s">
        <v>1539</v>
      </c>
      <c r="I8777" s="5" t="s">
        <v>32</v>
      </c>
      <c r="J8777" s="5">
        <v>17.207687</v>
      </c>
      <c r="K8777" s="5">
        <v>-96.25179</v>
      </c>
      <c r="L8777" s="5" t="str">
        <f>HYPERLINK("https://maps.google.com/?q=17.207687,-96.25179", "🔗 Ver Mapa")</f>
        <v>🔗 Ver Mapa</v>
      </c>
    </row>
    <row r="8778" spans="1:12" ht="43.5" x14ac:dyDescent="0.35">
      <c r="A8778" s="6" t="s">
        <v>516</v>
      </c>
      <c r="B8778" s="6" t="s">
        <v>517</v>
      </c>
      <c r="C8778" s="6" t="s">
        <v>1537</v>
      </c>
      <c r="D8778" s="6" t="s">
        <v>13</v>
      </c>
      <c r="E8778" s="6" t="s">
        <v>90</v>
      </c>
      <c r="F8778" s="6" t="s">
        <v>678</v>
      </c>
      <c r="G8778" s="6" t="s">
        <v>1538</v>
      </c>
      <c r="H8778" s="6" t="s">
        <v>1539</v>
      </c>
      <c r="I8778" s="6" t="s">
        <v>32</v>
      </c>
      <c r="J8778" s="6">
        <v>17.207782000000002</v>
      </c>
      <c r="K8778" s="6">
        <v>-96.251801</v>
      </c>
      <c r="L8778" s="6" t="str">
        <f>HYPERLINK("https://maps.google.com/?q=17.207782,-96.251801", "🔗 Ver Mapa")</f>
        <v>🔗 Ver Mapa</v>
      </c>
    </row>
    <row r="8779" spans="1:12" ht="43.5" x14ac:dyDescent="0.35">
      <c r="A8779" s="5" t="s">
        <v>516</v>
      </c>
      <c r="B8779" s="5" t="s">
        <v>517</v>
      </c>
      <c r="C8779" s="5" t="s">
        <v>1537</v>
      </c>
      <c r="D8779" s="5" t="s">
        <v>13</v>
      </c>
      <c r="E8779" s="5" t="s">
        <v>90</v>
      </c>
      <c r="F8779" s="5" t="s">
        <v>678</v>
      </c>
      <c r="G8779" s="5" t="s">
        <v>1538</v>
      </c>
      <c r="H8779" s="5" t="s">
        <v>1539</v>
      </c>
      <c r="I8779" s="5" t="s">
        <v>32</v>
      </c>
      <c r="J8779" s="5">
        <v>17.208159999999999</v>
      </c>
      <c r="K8779" s="5">
        <v>-96.252155999999999</v>
      </c>
      <c r="L8779" s="5" t="str">
        <f>HYPERLINK("https://maps.google.com/?q=17.20816,-96.252155999999999", "🔗 Ver Mapa")</f>
        <v>🔗 Ver Mapa</v>
      </c>
    </row>
    <row r="8780" spans="1:12" ht="43.5" x14ac:dyDescent="0.35">
      <c r="A8780" s="6" t="s">
        <v>516</v>
      </c>
      <c r="B8780" s="6" t="s">
        <v>517</v>
      </c>
      <c r="C8780" s="6" t="s">
        <v>1537</v>
      </c>
      <c r="D8780" s="6" t="s">
        <v>13</v>
      </c>
      <c r="E8780" s="6" t="s">
        <v>90</v>
      </c>
      <c r="F8780" s="6" t="s">
        <v>678</v>
      </c>
      <c r="G8780" s="6" t="s">
        <v>1538</v>
      </c>
      <c r="H8780" s="6" t="s">
        <v>1539</v>
      </c>
      <c r="I8780" s="6" t="s">
        <v>32</v>
      </c>
      <c r="J8780" s="6">
        <v>17.208977000000001</v>
      </c>
      <c r="K8780" s="6">
        <v>-96.252521999999999</v>
      </c>
      <c r="L8780" s="6" t="str">
        <f>HYPERLINK("https://maps.google.com/?q=17.208977,-96.252521999999999", "🔗 Ver Mapa")</f>
        <v>🔗 Ver Mapa</v>
      </c>
    </row>
    <row r="8781" spans="1:12" ht="43.5" x14ac:dyDescent="0.35">
      <c r="A8781" s="5" t="s">
        <v>516</v>
      </c>
      <c r="B8781" s="5" t="s">
        <v>517</v>
      </c>
      <c r="C8781" s="5" t="s">
        <v>1537</v>
      </c>
      <c r="D8781" s="5" t="s">
        <v>13</v>
      </c>
      <c r="E8781" s="5" t="s">
        <v>90</v>
      </c>
      <c r="F8781" s="5" t="s">
        <v>678</v>
      </c>
      <c r="G8781" s="5" t="s">
        <v>1538</v>
      </c>
      <c r="H8781" s="5" t="s">
        <v>1539</v>
      </c>
      <c r="I8781" s="5" t="s">
        <v>32</v>
      </c>
      <c r="J8781" s="5">
        <v>17.209237999999999</v>
      </c>
      <c r="K8781" s="5">
        <v>-96.252522999999997</v>
      </c>
      <c r="L8781" s="5" t="str">
        <f>HYPERLINK("https://maps.google.com/?q=17.209238,-96.252522999999997", "🔗 Ver Mapa")</f>
        <v>🔗 Ver Mapa</v>
      </c>
    </row>
    <row r="8782" spans="1:12" ht="43.5" x14ac:dyDescent="0.35">
      <c r="A8782" s="6" t="s">
        <v>516</v>
      </c>
      <c r="B8782" s="6" t="s">
        <v>517</v>
      </c>
      <c r="C8782" s="6" t="s">
        <v>1537</v>
      </c>
      <c r="D8782" s="6" t="s">
        <v>13</v>
      </c>
      <c r="E8782" s="6" t="s">
        <v>90</v>
      </c>
      <c r="F8782" s="6" t="s">
        <v>678</v>
      </c>
      <c r="G8782" s="6" t="s">
        <v>1538</v>
      </c>
      <c r="H8782" s="6" t="s">
        <v>1539</v>
      </c>
      <c r="I8782" s="6" t="s">
        <v>32</v>
      </c>
      <c r="J8782" s="6">
        <v>17.209522</v>
      </c>
      <c r="K8782" s="6">
        <v>-96.252472999999995</v>
      </c>
      <c r="L8782" s="6" t="str">
        <f>HYPERLINK("https://maps.google.com/?q=17.209522,-96.252472999999995", "🔗 Ver Mapa")</f>
        <v>🔗 Ver Mapa</v>
      </c>
    </row>
    <row r="8783" spans="1:12" ht="43.5" x14ac:dyDescent="0.35">
      <c r="A8783" s="5" t="s">
        <v>516</v>
      </c>
      <c r="B8783" s="5" t="s">
        <v>517</v>
      </c>
      <c r="C8783" s="5" t="s">
        <v>1537</v>
      </c>
      <c r="D8783" s="5" t="s">
        <v>13</v>
      </c>
      <c r="E8783" s="5" t="s">
        <v>90</v>
      </c>
      <c r="F8783" s="5" t="s">
        <v>678</v>
      </c>
      <c r="G8783" s="5" t="s">
        <v>1538</v>
      </c>
      <c r="H8783" s="5" t="s">
        <v>1539</v>
      </c>
      <c r="I8783" s="5" t="s">
        <v>32</v>
      </c>
      <c r="J8783" s="5">
        <v>17.209781</v>
      </c>
      <c r="K8783" s="5">
        <v>-96.252266000000006</v>
      </c>
      <c r="L8783" s="5" t="str">
        <f>HYPERLINK("https://maps.google.com/?q=17.209781,-96.252266000000006", "🔗 Ver Mapa")</f>
        <v>🔗 Ver Mapa</v>
      </c>
    </row>
    <row r="8784" spans="1:12" ht="43.5" x14ac:dyDescent="0.35">
      <c r="A8784" s="6" t="s">
        <v>516</v>
      </c>
      <c r="B8784" s="6" t="s">
        <v>517</v>
      </c>
      <c r="C8784" s="6" t="s">
        <v>1537</v>
      </c>
      <c r="D8784" s="6" t="s">
        <v>13</v>
      </c>
      <c r="E8784" s="6" t="s">
        <v>90</v>
      </c>
      <c r="F8784" s="6" t="s">
        <v>678</v>
      </c>
      <c r="G8784" s="6" t="s">
        <v>1538</v>
      </c>
      <c r="H8784" s="6" t="s">
        <v>1539</v>
      </c>
      <c r="I8784" s="6" t="s">
        <v>32</v>
      </c>
      <c r="J8784" s="6">
        <v>17.210135000000001</v>
      </c>
      <c r="K8784" s="6">
        <v>-96.252082999999999</v>
      </c>
      <c r="L8784" s="6" t="str">
        <f>HYPERLINK("https://maps.google.com/?q=17.210135,-96.252082999999999", "🔗 Ver Mapa")</f>
        <v>🔗 Ver Mapa</v>
      </c>
    </row>
    <row r="8785" spans="1:12" ht="43.5" x14ac:dyDescent="0.35">
      <c r="A8785" s="5" t="s">
        <v>516</v>
      </c>
      <c r="B8785" s="5" t="s">
        <v>517</v>
      </c>
      <c r="C8785" s="5" t="s">
        <v>1537</v>
      </c>
      <c r="D8785" s="5" t="s">
        <v>13</v>
      </c>
      <c r="E8785" s="5" t="s">
        <v>90</v>
      </c>
      <c r="F8785" s="5" t="s">
        <v>678</v>
      </c>
      <c r="G8785" s="5" t="s">
        <v>1538</v>
      </c>
      <c r="H8785" s="5" t="s">
        <v>1539</v>
      </c>
      <c r="I8785" s="5" t="s">
        <v>32</v>
      </c>
      <c r="J8785" s="5">
        <v>17.210477999999998</v>
      </c>
      <c r="K8785" s="5">
        <v>-96.251741999999993</v>
      </c>
      <c r="L8785" s="5" t="str">
        <f>HYPERLINK("https://maps.google.com/?q=17.210478,-96.251741999999993", "🔗 Ver Mapa")</f>
        <v>🔗 Ver Mapa</v>
      </c>
    </row>
    <row r="8786" spans="1:12" ht="43.5" x14ac:dyDescent="0.35">
      <c r="A8786" s="6" t="s">
        <v>516</v>
      </c>
      <c r="B8786" s="6" t="s">
        <v>517</v>
      </c>
      <c r="C8786" s="6" t="s">
        <v>1537</v>
      </c>
      <c r="D8786" s="6" t="s">
        <v>13</v>
      </c>
      <c r="E8786" s="6" t="s">
        <v>90</v>
      </c>
      <c r="F8786" s="6" t="s">
        <v>678</v>
      </c>
      <c r="G8786" s="6" t="s">
        <v>1538</v>
      </c>
      <c r="H8786" s="6" t="s">
        <v>1539</v>
      </c>
      <c r="I8786" s="6" t="s">
        <v>32</v>
      </c>
      <c r="J8786" s="6">
        <v>17.210591999999998</v>
      </c>
      <c r="K8786" s="6">
        <v>-96.251723999999996</v>
      </c>
      <c r="L8786" s="6" t="str">
        <f>HYPERLINK("https://maps.google.com/?q=17.210592,-96.251723999999996", "🔗 Ver Mapa")</f>
        <v>🔗 Ver Mapa</v>
      </c>
    </row>
    <row r="8787" spans="1:12" ht="43.5" x14ac:dyDescent="0.35">
      <c r="A8787" s="5" t="s">
        <v>516</v>
      </c>
      <c r="B8787" s="5" t="s">
        <v>517</v>
      </c>
      <c r="C8787" s="5" t="s">
        <v>1537</v>
      </c>
      <c r="D8787" s="5" t="s">
        <v>13</v>
      </c>
      <c r="E8787" s="5" t="s">
        <v>90</v>
      </c>
      <c r="F8787" s="5" t="s">
        <v>678</v>
      </c>
      <c r="G8787" s="5" t="s">
        <v>1538</v>
      </c>
      <c r="H8787" s="5" t="s">
        <v>1539</v>
      </c>
      <c r="I8787" s="5" t="s">
        <v>32</v>
      </c>
      <c r="J8787" s="5">
        <v>17.210885000000001</v>
      </c>
      <c r="K8787" s="5">
        <v>-96.251737000000006</v>
      </c>
      <c r="L8787" s="5" t="str">
        <f>HYPERLINK("https://maps.google.com/?q=17.210885,-96.251737000000006", "🔗 Ver Mapa")</f>
        <v>🔗 Ver Mapa</v>
      </c>
    </row>
    <row r="8788" spans="1:12" ht="43.5" x14ac:dyDescent="0.35">
      <c r="A8788" s="6" t="s">
        <v>516</v>
      </c>
      <c r="B8788" s="6" t="s">
        <v>517</v>
      </c>
      <c r="C8788" s="6" t="s">
        <v>1537</v>
      </c>
      <c r="D8788" s="6" t="s">
        <v>13</v>
      </c>
      <c r="E8788" s="6" t="s">
        <v>90</v>
      </c>
      <c r="F8788" s="6" t="s">
        <v>678</v>
      </c>
      <c r="G8788" s="6" t="s">
        <v>1538</v>
      </c>
      <c r="H8788" s="6" t="s">
        <v>1539</v>
      </c>
      <c r="I8788" s="6" t="s">
        <v>32</v>
      </c>
      <c r="J8788" s="6">
        <v>17.211779</v>
      </c>
      <c r="K8788" s="6">
        <v>-96.251277999999999</v>
      </c>
      <c r="L8788" s="6" t="str">
        <f>HYPERLINK("https://maps.google.com/?q=17.211779,-96.251277999999999", "🔗 Ver Mapa")</f>
        <v>🔗 Ver Mapa</v>
      </c>
    </row>
    <row r="8789" spans="1:12" ht="43.5" x14ac:dyDescent="0.35">
      <c r="A8789" s="5" t="s">
        <v>516</v>
      </c>
      <c r="B8789" s="5" t="s">
        <v>517</v>
      </c>
      <c r="C8789" s="5" t="s">
        <v>1537</v>
      </c>
      <c r="D8789" s="5" t="s">
        <v>13</v>
      </c>
      <c r="E8789" s="5" t="s">
        <v>90</v>
      </c>
      <c r="F8789" s="5" t="s">
        <v>678</v>
      </c>
      <c r="G8789" s="5" t="s">
        <v>1538</v>
      </c>
      <c r="H8789" s="5" t="s">
        <v>1539</v>
      </c>
      <c r="I8789" s="5" t="s">
        <v>32</v>
      </c>
      <c r="J8789" s="5">
        <v>17.212043999999999</v>
      </c>
      <c r="K8789" s="5">
        <v>-96.250975999999994</v>
      </c>
      <c r="L8789" s="5" t="str">
        <f>HYPERLINK("https://maps.google.com/?q=17.212044,-96.250975999999994", "🔗 Ver Mapa")</f>
        <v>🔗 Ver Mapa</v>
      </c>
    </row>
    <row r="8790" spans="1:12" ht="43.5" x14ac:dyDescent="0.35">
      <c r="A8790" s="6" t="s">
        <v>516</v>
      </c>
      <c r="B8790" s="6" t="s">
        <v>517</v>
      </c>
      <c r="C8790" s="6" t="s">
        <v>1537</v>
      </c>
      <c r="D8790" s="6" t="s">
        <v>13</v>
      </c>
      <c r="E8790" s="6" t="s">
        <v>90</v>
      </c>
      <c r="F8790" s="6" t="s">
        <v>678</v>
      </c>
      <c r="G8790" s="6" t="s">
        <v>1538</v>
      </c>
      <c r="H8790" s="6" t="s">
        <v>1539</v>
      </c>
      <c r="I8790" s="6" t="s">
        <v>32</v>
      </c>
      <c r="J8790" s="6">
        <v>17.212461000000001</v>
      </c>
      <c r="K8790" s="6">
        <v>-96.250330000000005</v>
      </c>
      <c r="L8790" s="6" t="str">
        <f>HYPERLINK("https://maps.google.com/?q=17.212461,-96.250330000000005", "🔗 Ver Mapa")</f>
        <v>🔗 Ver Mapa</v>
      </c>
    </row>
    <row r="8791" spans="1:12" ht="43.5" x14ac:dyDescent="0.35">
      <c r="A8791" s="5" t="s">
        <v>516</v>
      </c>
      <c r="B8791" s="5" t="s">
        <v>517</v>
      </c>
      <c r="C8791" s="5" t="s">
        <v>1537</v>
      </c>
      <c r="D8791" s="5" t="s">
        <v>13</v>
      </c>
      <c r="E8791" s="5" t="s">
        <v>90</v>
      </c>
      <c r="F8791" s="5" t="s">
        <v>678</v>
      </c>
      <c r="G8791" s="5" t="s">
        <v>1538</v>
      </c>
      <c r="H8791" s="5" t="s">
        <v>1539</v>
      </c>
      <c r="I8791" s="5" t="s">
        <v>32</v>
      </c>
      <c r="J8791" s="5">
        <v>17.212558000000001</v>
      </c>
      <c r="K8791" s="5">
        <v>-96.250331000000003</v>
      </c>
      <c r="L8791" s="5" t="str">
        <f>HYPERLINK("https://maps.google.com/?q=17.212558,-96.250331000000003", "🔗 Ver Mapa")</f>
        <v>🔗 Ver Mapa</v>
      </c>
    </row>
    <row r="8792" spans="1:12" ht="43.5" x14ac:dyDescent="0.35">
      <c r="A8792" s="6" t="s">
        <v>516</v>
      </c>
      <c r="B8792" s="6" t="s">
        <v>517</v>
      </c>
      <c r="C8792" s="6" t="s">
        <v>1537</v>
      </c>
      <c r="D8792" s="6" t="s">
        <v>13</v>
      </c>
      <c r="E8792" s="6" t="s">
        <v>90</v>
      </c>
      <c r="F8792" s="6" t="s">
        <v>678</v>
      </c>
      <c r="G8792" s="6" t="s">
        <v>1538</v>
      </c>
      <c r="H8792" s="6" t="s">
        <v>1539</v>
      </c>
      <c r="I8792" s="6" t="s">
        <v>32</v>
      </c>
      <c r="J8792" s="6">
        <v>17.212966000000002</v>
      </c>
      <c r="K8792" s="6">
        <v>-96.250493000000006</v>
      </c>
      <c r="L8792" s="6" t="str">
        <f>HYPERLINK("https://maps.google.com/?q=17.212966,-96.250493000000006", "🔗 Ver Mapa")</f>
        <v>🔗 Ver Mapa</v>
      </c>
    </row>
    <row r="8793" spans="1:12" ht="43.5" x14ac:dyDescent="0.35">
      <c r="A8793" s="5" t="s">
        <v>516</v>
      </c>
      <c r="B8793" s="5" t="s">
        <v>517</v>
      </c>
      <c r="C8793" s="5" t="s">
        <v>1537</v>
      </c>
      <c r="D8793" s="5" t="s">
        <v>13</v>
      </c>
      <c r="E8793" s="5" t="s">
        <v>90</v>
      </c>
      <c r="F8793" s="5" t="s">
        <v>678</v>
      </c>
      <c r="G8793" s="5" t="s">
        <v>1538</v>
      </c>
      <c r="H8793" s="5" t="s">
        <v>1539</v>
      </c>
      <c r="I8793" s="5" t="s">
        <v>32</v>
      </c>
      <c r="J8793" s="5">
        <v>17.213011000000002</v>
      </c>
      <c r="K8793" s="5">
        <v>-96.249482999999998</v>
      </c>
      <c r="L8793" s="5" t="str">
        <f>HYPERLINK("https://maps.google.com/?q=17.213011,-96.249482999999998", "🔗 Ver Mapa")</f>
        <v>🔗 Ver Mapa</v>
      </c>
    </row>
    <row r="8794" spans="1:12" ht="43.5" x14ac:dyDescent="0.35">
      <c r="A8794" s="6" t="s">
        <v>516</v>
      </c>
      <c r="B8794" s="6" t="s">
        <v>517</v>
      </c>
      <c r="C8794" s="6" t="s">
        <v>1537</v>
      </c>
      <c r="D8794" s="6" t="s">
        <v>13</v>
      </c>
      <c r="E8794" s="6" t="s">
        <v>90</v>
      </c>
      <c r="F8794" s="6" t="s">
        <v>678</v>
      </c>
      <c r="G8794" s="6" t="s">
        <v>1538</v>
      </c>
      <c r="H8794" s="6" t="s">
        <v>1539</v>
      </c>
      <c r="I8794" s="6" t="s">
        <v>32</v>
      </c>
      <c r="J8794" s="6">
        <v>17.21311</v>
      </c>
      <c r="K8794" s="6">
        <v>-96.250156000000004</v>
      </c>
      <c r="L8794" s="6" t="str">
        <f>HYPERLINK("https://maps.google.com/?q=17.21311,-96.250156000000004", "🔗 Ver Mapa")</f>
        <v>🔗 Ver Mapa</v>
      </c>
    </row>
    <row r="8795" spans="1:12" ht="43.5" x14ac:dyDescent="0.35">
      <c r="A8795" s="5" t="s">
        <v>516</v>
      </c>
      <c r="B8795" s="5" t="s">
        <v>517</v>
      </c>
      <c r="C8795" s="5" t="s">
        <v>1537</v>
      </c>
      <c r="D8795" s="5" t="s">
        <v>13</v>
      </c>
      <c r="E8795" s="5" t="s">
        <v>90</v>
      </c>
      <c r="F8795" s="5" t="s">
        <v>678</v>
      </c>
      <c r="G8795" s="5" t="s">
        <v>1538</v>
      </c>
      <c r="H8795" s="5" t="s">
        <v>1539</v>
      </c>
      <c r="I8795" s="5" t="s">
        <v>32</v>
      </c>
      <c r="J8795" s="5">
        <v>17.213235999999998</v>
      </c>
      <c r="K8795" s="5">
        <v>-96.249250000000004</v>
      </c>
      <c r="L8795" s="5" t="str">
        <f>HYPERLINK("https://maps.google.com/?q=17.213236,-96.249250000000004", "🔗 Ver Mapa")</f>
        <v>🔗 Ver Mapa</v>
      </c>
    </row>
    <row r="8796" spans="1:12" ht="43.5" x14ac:dyDescent="0.35">
      <c r="A8796" s="6" t="s">
        <v>516</v>
      </c>
      <c r="B8796" s="6" t="s">
        <v>517</v>
      </c>
      <c r="C8796" s="6" t="s">
        <v>1537</v>
      </c>
      <c r="D8796" s="6" t="s">
        <v>13</v>
      </c>
      <c r="E8796" s="6" t="s">
        <v>90</v>
      </c>
      <c r="F8796" s="6" t="s">
        <v>678</v>
      </c>
      <c r="G8796" s="6" t="s">
        <v>1538</v>
      </c>
      <c r="H8796" s="6" t="s">
        <v>1539</v>
      </c>
      <c r="I8796" s="6" t="s">
        <v>32</v>
      </c>
      <c r="J8796" s="6">
        <v>17.213242000000001</v>
      </c>
      <c r="K8796" s="6">
        <v>-96.250369000000006</v>
      </c>
      <c r="L8796" s="6" t="str">
        <f>HYPERLINK("https://maps.google.com/?q=17.213242,-96.250369000000006", "🔗 Ver Mapa")</f>
        <v>🔗 Ver Mapa</v>
      </c>
    </row>
    <row r="8797" spans="1:12" ht="43.5" x14ac:dyDescent="0.35">
      <c r="A8797" s="5" t="s">
        <v>516</v>
      </c>
      <c r="B8797" s="5" t="s">
        <v>517</v>
      </c>
      <c r="C8797" s="5" t="s">
        <v>1537</v>
      </c>
      <c r="D8797" s="5" t="s">
        <v>13</v>
      </c>
      <c r="E8797" s="5" t="s">
        <v>90</v>
      </c>
      <c r="F8797" s="5" t="s">
        <v>678</v>
      </c>
      <c r="G8797" s="5" t="s">
        <v>1538</v>
      </c>
      <c r="H8797" s="5" t="s">
        <v>1539</v>
      </c>
      <c r="I8797" s="5" t="s">
        <v>32</v>
      </c>
      <c r="J8797" s="5">
        <v>17.213246999999999</v>
      </c>
      <c r="K8797" s="5">
        <v>-96.250653</v>
      </c>
      <c r="L8797" s="5" t="str">
        <f>HYPERLINK("https://maps.google.com/?q=17.213247,-96.250653", "🔗 Ver Mapa")</f>
        <v>🔗 Ver Mapa</v>
      </c>
    </row>
    <row r="8798" spans="1:12" ht="43.5" x14ac:dyDescent="0.35">
      <c r="A8798" s="6" t="s">
        <v>516</v>
      </c>
      <c r="B8798" s="6" t="s">
        <v>517</v>
      </c>
      <c r="C8798" s="6" t="s">
        <v>1537</v>
      </c>
      <c r="D8798" s="6" t="s">
        <v>13</v>
      </c>
      <c r="E8798" s="6" t="s">
        <v>90</v>
      </c>
      <c r="F8798" s="6" t="s">
        <v>678</v>
      </c>
      <c r="G8798" s="6" t="s">
        <v>1538</v>
      </c>
      <c r="H8798" s="6" t="s">
        <v>1539</v>
      </c>
      <c r="I8798" s="6" t="s">
        <v>32</v>
      </c>
      <c r="J8798" s="6">
        <v>17.213305999999999</v>
      </c>
      <c r="K8798" s="6">
        <v>-96.250609999999995</v>
      </c>
      <c r="L8798" s="6" t="str">
        <f>HYPERLINK("https://maps.google.com/?q=17.213306,-96.250609999999995", "🔗 Ver Mapa")</f>
        <v>🔗 Ver Mapa</v>
      </c>
    </row>
    <row r="8799" spans="1:12" ht="43.5" x14ac:dyDescent="0.35">
      <c r="A8799" s="5" t="s">
        <v>516</v>
      </c>
      <c r="B8799" s="5" t="s">
        <v>517</v>
      </c>
      <c r="C8799" s="5" t="s">
        <v>1537</v>
      </c>
      <c r="D8799" s="5" t="s">
        <v>13</v>
      </c>
      <c r="E8799" s="5" t="s">
        <v>90</v>
      </c>
      <c r="F8799" s="5" t="s">
        <v>678</v>
      </c>
      <c r="G8799" s="5" t="s">
        <v>1538</v>
      </c>
      <c r="H8799" s="5" t="s">
        <v>1539</v>
      </c>
      <c r="I8799" s="5" t="s">
        <v>32</v>
      </c>
      <c r="J8799" s="5">
        <v>17.213512000000001</v>
      </c>
      <c r="K8799" s="5">
        <v>-96.249168999999995</v>
      </c>
      <c r="L8799" s="5" t="str">
        <f>HYPERLINK("https://maps.google.com/?q=17.213512,-96.249168999999995", "🔗 Ver Mapa")</f>
        <v>🔗 Ver Mapa</v>
      </c>
    </row>
    <row r="8800" spans="1:12" ht="43.5" x14ac:dyDescent="0.35">
      <c r="A8800" s="6" t="s">
        <v>516</v>
      </c>
      <c r="B8800" s="6" t="s">
        <v>517</v>
      </c>
      <c r="C8800" s="6" t="s">
        <v>1537</v>
      </c>
      <c r="D8800" s="6" t="s">
        <v>13</v>
      </c>
      <c r="E8800" s="6" t="s">
        <v>90</v>
      </c>
      <c r="F8800" s="6" t="s">
        <v>678</v>
      </c>
      <c r="G8800" s="6" t="s">
        <v>1538</v>
      </c>
      <c r="H8800" s="6" t="s">
        <v>1539</v>
      </c>
      <c r="I8800" s="6" t="s">
        <v>32</v>
      </c>
      <c r="J8800" s="6">
        <v>17.213726999999999</v>
      </c>
      <c r="K8800" s="6">
        <v>-96.249171000000004</v>
      </c>
      <c r="L8800" s="6" t="str">
        <f>HYPERLINK("https://maps.google.com/?q=17.213727,-96.249171000000004", "🔗 Ver Mapa")</f>
        <v>🔗 Ver Mapa</v>
      </c>
    </row>
    <row r="8801" spans="1:12" ht="43.5" x14ac:dyDescent="0.35">
      <c r="A8801" s="5" t="s">
        <v>516</v>
      </c>
      <c r="B8801" s="5" t="s">
        <v>517</v>
      </c>
      <c r="C8801" s="5" t="s">
        <v>1537</v>
      </c>
      <c r="D8801" s="5" t="s">
        <v>13</v>
      </c>
      <c r="E8801" s="5" t="s">
        <v>90</v>
      </c>
      <c r="F8801" s="5" t="s">
        <v>678</v>
      </c>
      <c r="G8801" s="5" t="s">
        <v>1538</v>
      </c>
      <c r="H8801" s="5" t="s">
        <v>1539</v>
      </c>
      <c r="I8801" s="5" t="s">
        <v>32</v>
      </c>
      <c r="J8801" s="5">
        <v>17.213812999999998</v>
      </c>
      <c r="K8801" s="5">
        <v>-96.249121000000002</v>
      </c>
      <c r="L8801" s="5" t="str">
        <f>HYPERLINK("https://maps.google.com/?q=17.213813,-96.249121000000002", "🔗 Ver Mapa")</f>
        <v>🔗 Ver Mapa</v>
      </c>
    </row>
    <row r="8802" spans="1:12" ht="43.5" x14ac:dyDescent="0.35">
      <c r="A8802" s="6" t="s">
        <v>516</v>
      </c>
      <c r="B8802" s="6" t="s">
        <v>517</v>
      </c>
      <c r="C8802" s="6" t="s">
        <v>1537</v>
      </c>
      <c r="D8802" s="6" t="s">
        <v>13</v>
      </c>
      <c r="E8802" s="6" t="s">
        <v>90</v>
      </c>
      <c r="F8802" s="6" t="s">
        <v>678</v>
      </c>
      <c r="G8802" s="6" t="s">
        <v>1538</v>
      </c>
      <c r="H8802" s="6" t="s">
        <v>1539</v>
      </c>
      <c r="I8802" s="6" t="s">
        <v>32</v>
      </c>
      <c r="J8802" s="6">
        <v>17.213940999999998</v>
      </c>
      <c r="K8802" s="6">
        <v>-96.248983999999993</v>
      </c>
      <c r="L8802" s="6" t="str">
        <f>HYPERLINK("https://maps.google.com/?q=17.213941,-96.248983999999993", "🔗 Ver Mapa")</f>
        <v>🔗 Ver Mapa</v>
      </c>
    </row>
    <row r="8803" spans="1:12" ht="43.5" x14ac:dyDescent="0.35">
      <c r="A8803" s="5" t="s">
        <v>516</v>
      </c>
      <c r="B8803" s="5" t="s">
        <v>517</v>
      </c>
      <c r="C8803" s="5" t="s">
        <v>1537</v>
      </c>
      <c r="D8803" s="5" t="s">
        <v>13</v>
      </c>
      <c r="E8803" s="5" t="s">
        <v>90</v>
      </c>
      <c r="F8803" s="5" t="s">
        <v>678</v>
      </c>
      <c r="G8803" s="5" t="s">
        <v>1538</v>
      </c>
      <c r="H8803" s="5" t="s">
        <v>1539</v>
      </c>
      <c r="I8803" s="5" t="s">
        <v>32</v>
      </c>
      <c r="J8803" s="5">
        <v>17.214072000000002</v>
      </c>
      <c r="K8803" s="5">
        <v>-96.248956000000007</v>
      </c>
      <c r="L8803" s="5" t="str">
        <f>HYPERLINK("https://maps.google.com/?q=17.214072,-96.248956000000007", "🔗 Ver Mapa")</f>
        <v>🔗 Ver Mapa</v>
      </c>
    </row>
    <row r="8804" spans="1:12" ht="43.5" x14ac:dyDescent="0.35">
      <c r="A8804" s="6" t="s">
        <v>516</v>
      </c>
      <c r="B8804" s="6" t="s">
        <v>517</v>
      </c>
      <c r="C8804" s="6" t="s">
        <v>1537</v>
      </c>
      <c r="D8804" s="6" t="s">
        <v>13</v>
      </c>
      <c r="E8804" s="6" t="s">
        <v>90</v>
      </c>
      <c r="F8804" s="6" t="s">
        <v>678</v>
      </c>
      <c r="G8804" s="6" t="s">
        <v>1538</v>
      </c>
      <c r="H8804" s="6" t="s">
        <v>1539</v>
      </c>
      <c r="I8804" s="6" t="s">
        <v>32</v>
      </c>
      <c r="J8804" s="6">
        <v>17.214424000000001</v>
      </c>
      <c r="K8804" s="6">
        <v>-96.248986000000002</v>
      </c>
      <c r="L8804" s="6" t="str">
        <f>HYPERLINK("https://maps.google.com/?q=17.214424,-96.248986000000002", "🔗 Ver Mapa")</f>
        <v>🔗 Ver Mapa</v>
      </c>
    </row>
    <row r="8805" spans="1:12" ht="43.5" x14ac:dyDescent="0.35">
      <c r="A8805" s="5" t="s">
        <v>516</v>
      </c>
      <c r="B8805" s="5" t="s">
        <v>517</v>
      </c>
      <c r="C8805" s="5" t="s">
        <v>1537</v>
      </c>
      <c r="D8805" s="5" t="s">
        <v>13</v>
      </c>
      <c r="E8805" s="5" t="s">
        <v>90</v>
      </c>
      <c r="F8805" s="5" t="s">
        <v>678</v>
      </c>
      <c r="G8805" s="5" t="s">
        <v>1538</v>
      </c>
      <c r="H8805" s="5" t="s">
        <v>1539</v>
      </c>
      <c r="I8805" s="5" t="s">
        <v>32</v>
      </c>
      <c r="J8805" s="5">
        <v>17.214572</v>
      </c>
      <c r="K8805" s="5">
        <v>-96.249185999999995</v>
      </c>
      <c r="L8805" s="5" t="str">
        <f>HYPERLINK("https://maps.google.com/?q=17.214572,-96.249185999999995", "🔗 Ver Mapa")</f>
        <v>🔗 Ver Mapa</v>
      </c>
    </row>
    <row r="8806" spans="1:12" ht="43.5" x14ac:dyDescent="0.35">
      <c r="A8806" s="6" t="s">
        <v>516</v>
      </c>
      <c r="B8806" s="6" t="s">
        <v>517</v>
      </c>
      <c r="C8806" s="6" t="s">
        <v>1537</v>
      </c>
      <c r="D8806" s="6" t="s">
        <v>13</v>
      </c>
      <c r="E8806" s="6" t="s">
        <v>90</v>
      </c>
      <c r="F8806" s="6" t="s">
        <v>678</v>
      </c>
      <c r="G8806" s="6" t="s">
        <v>1538</v>
      </c>
      <c r="H8806" s="6" t="s">
        <v>1539</v>
      </c>
      <c r="I8806" s="6" t="s">
        <v>32</v>
      </c>
      <c r="J8806" s="6">
        <v>17.214668</v>
      </c>
      <c r="K8806" s="6">
        <v>-96.249268000000001</v>
      </c>
      <c r="L8806" s="6" t="str">
        <f>HYPERLINK("https://maps.google.com/?q=17.214668,-96.249268000000001", "🔗 Ver Mapa")</f>
        <v>🔗 Ver Mapa</v>
      </c>
    </row>
    <row r="8807" spans="1:12" ht="43.5" x14ac:dyDescent="0.35">
      <c r="A8807" s="5" t="s">
        <v>516</v>
      </c>
      <c r="B8807" s="5" t="s">
        <v>517</v>
      </c>
      <c r="C8807" s="5" t="s">
        <v>1537</v>
      </c>
      <c r="D8807" s="5" t="s">
        <v>13</v>
      </c>
      <c r="E8807" s="5" t="s">
        <v>90</v>
      </c>
      <c r="F8807" s="5" t="s">
        <v>678</v>
      </c>
      <c r="G8807" s="5" t="s">
        <v>1538</v>
      </c>
      <c r="H8807" s="5" t="s">
        <v>1539</v>
      </c>
      <c r="I8807" s="5" t="s">
        <v>32</v>
      </c>
      <c r="J8807" s="5">
        <v>17.214790000000001</v>
      </c>
      <c r="K8807" s="5">
        <v>-96.249268999999998</v>
      </c>
      <c r="L8807" s="5" t="str">
        <f>HYPERLINK("https://maps.google.com/?q=17.21479,-96.249268999999998", "🔗 Ver Mapa")</f>
        <v>🔗 Ver Mapa</v>
      </c>
    </row>
    <row r="8808" spans="1:12" ht="43.5" x14ac:dyDescent="0.35">
      <c r="A8808" s="6" t="s">
        <v>516</v>
      </c>
      <c r="B8808" s="6" t="s">
        <v>517</v>
      </c>
      <c r="C8808" s="6" t="s">
        <v>1537</v>
      </c>
      <c r="D8808" s="6" t="s">
        <v>13</v>
      </c>
      <c r="E8808" s="6" t="s">
        <v>90</v>
      </c>
      <c r="F8808" s="6" t="s">
        <v>678</v>
      </c>
      <c r="G8808" s="6" t="s">
        <v>1538</v>
      </c>
      <c r="H8808" s="6" t="s">
        <v>1539</v>
      </c>
      <c r="I8808" s="6" t="s">
        <v>32</v>
      </c>
      <c r="J8808" s="6">
        <v>17.215055</v>
      </c>
      <c r="K8808" s="6">
        <v>-96.249184</v>
      </c>
      <c r="L8808" s="6" t="str">
        <f>HYPERLINK("https://maps.google.com/?q=17.215055,-96.249184", "🔗 Ver Mapa")</f>
        <v>🔗 Ver Mapa</v>
      </c>
    </row>
    <row r="8809" spans="1:12" ht="43.5" x14ac:dyDescent="0.35">
      <c r="A8809" s="5" t="s">
        <v>516</v>
      </c>
      <c r="B8809" s="5" t="s">
        <v>517</v>
      </c>
      <c r="C8809" s="5" t="s">
        <v>1537</v>
      </c>
      <c r="D8809" s="5" t="s">
        <v>13</v>
      </c>
      <c r="E8809" s="5" t="s">
        <v>90</v>
      </c>
      <c r="F8809" s="5" t="s">
        <v>678</v>
      </c>
      <c r="G8809" s="5" t="s">
        <v>1538</v>
      </c>
      <c r="H8809" s="5" t="s">
        <v>1539</v>
      </c>
      <c r="I8809" s="5" t="s">
        <v>32</v>
      </c>
      <c r="J8809" s="5">
        <v>17.215221</v>
      </c>
      <c r="K8809" s="5">
        <v>-96.249167</v>
      </c>
      <c r="L8809" s="5" t="str">
        <f>HYPERLINK("https://maps.google.com/?q=17.215221,-96.249167", "🔗 Ver Mapa")</f>
        <v>🔗 Ver Mapa</v>
      </c>
    </row>
    <row r="8810" spans="1:12" ht="43.5" x14ac:dyDescent="0.35">
      <c r="A8810" s="6" t="s">
        <v>516</v>
      </c>
      <c r="B8810" s="6" t="s">
        <v>517</v>
      </c>
      <c r="C8810" s="6" t="s">
        <v>1537</v>
      </c>
      <c r="D8810" s="6" t="s">
        <v>13</v>
      </c>
      <c r="E8810" s="6" t="s">
        <v>90</v>
      </c>
      <c r="F8810" s="6" t="s">
        <v>678</v>
      </c>
      <c r="G8810" s="6" t="s">
        <v>1538</v>
      </c>
      <c r="H8810" s="6" t="s">
        <v>1539</v>
      </c>
      <c r="I8810" s="6" t="s">
        <v>32</v>
      </c>
      <c r="J8810" s="6">
        <v>17.215716</v>
      </c>
      <c r="K8810" s="6">
        <v>-96.248385999999996</v>
      </c>
      <c r="L8810" s="6" t="str">
        <f>HYPERLINK("https://maps.google.com/?q=17.215716,-96.248385999999996", "🔗 Ver Mapa")</f>
        <v>🔗 Ver Mapa</v>
      </c>
    </row>
    <row r="8811" spans="1:12" ht="43.5" x14ac:dyDescent="0.35">
      <c r="A8811" s="5" t="s">
        <v>516</v>
      </c>
      <c r="B8811" s="5" t="s">
        <v>517</v>
      </c>
      <c r="C8811" s="5" t="s">
        <v>1537</v>
      </c>
      <c r="D8811" s="5" t="s">
        <v>13</v>
      </c>
      <c r="E8811" s="5" t="s">
        <v>90</v>
      </c>
      <c r="F8811" s="5" t="s">
        <v>678</v>
      </c>
      <c r="G8811" s="5" t="s">
        <v>1538</v>
      </c>
      <c r="H8811" s="5" t="s">
        <v>1539</v>
      </c>
      <c r="I8811" s="5" t="s">
        <v>32</v>
      </c>
      <c r="J8811" s="5">
        <v>17.215726</v>
      </c>
      <c r="K8811" s="5">
        <v>-96.248642000000004</v>
      </c>
      <c r="L8811" s="5" t="str">
        <f>HYPERLINK("https://maps.google.com/?q=17.215726,-96.248642000000004", "🔗 Ver Mapa")</f>
        <v>🔗 Ver Mapa</v>
      </c>
    </row>
    <row r="8812" spans="1:12" ht="43.5" x14ac:dyDescent="0.35">
      <c r="A8812" s="6" t="s">
        <v>516</v>
      </c>
      <c r="B8812" s="6" t="s">
        <v>517</v>
      </c>
      <c r="C8812" s="6" t="s">
        <v>1537</v>
      </c>
      <c r="D8812" s="6" t="s">
        <v>13</v>
      </c>
      <c r="E8812" s="6" t="s">
        <v>90</v>
      </c>
      <c r="F8812" s="6" t="s">
        <v>678</v>
      </c>
      <c r="G8812" s="6" t="s">
        <v>1538</v>
      </c>
      <c r="H8812" s="6" t="s">
        <v>1539</v>
      </c>
      <c r="I8812" s="6" t="s">
        <v>32</v>
      </c>
      <c r="J8812" s="6">
        <v>17.215775000000001</v>
      </c>
      <c r="K8812" s="6">
        <v>-96.248395000000002</v>
      </c>
      <c r="L8812" s="6" t="str">
        <f>HYPERLINK("https://maps.google.com/?q=17.215775,-96.248395000000002", "🔗 Ver Mapa")</f>
        <v>🔗 Ver Mapa</v>
      </c>
    </row>
    <row r="8813" spans="1:12" ht="43.5" x14ac:dyDescent="0.35">
      <c r="A8813" s="5" t="s">
        <v>516</v>
      </c>
      <c r="B8813" s="5" t="s">
        <v>517</v>
      </c>
      <c r="C8813" s="5" t="s">
        <v>1537</v>
      </c>
      <c r="D8813" s="5" t="s">
        <v>13</v>
      </c>
      <c r="E8813" s="5" t="s">
        <v>90</v>
      </c>
      <c r="F8813" s="5" t="s">
        <v>678</v>
      </c>
      <c r="G8813" s="5" t="s">
        <v>1538</v>
      </c>
      <c r="H8813" s="5" t="s">
        <v>1539</v>
      </c>
      <c r="I8813" s="5" t="s">
        <v>32</v>
      </c>
      <c r="J8813" s="5">
        <v>17.215800000000002</v>
      </c>
      <c r="K8813" s="5">
        <v>-96.247121000000007</v>
      </c>
      <c r="L8813" s="5" t="str">
        <f>HYPERLINK("https://maps.google.com/?q=17.2158,-96.247121000000007", "🔗 Ver Mapa")</f>
        <v>🔗 Ver Mapa</v>
      </c>
    </row>
    <row r="8814" spans="1:12" ht="43.5" x14ac:dyDescent="0.35">
      <c r="A8814" s="6" t="s">
        <v>516</v>
      </c>
      <c r="B8814" s="6" t="s">
        <v>517</v>
      </c>
      <c r="C8814" s="6" t="s">
        <v>1537</v>
      </c>
      <c r="D8814" s="6" t="s">
        <v>13</v>
      </c>
      <c r="E8814" s="6" t="s">
        <v>90</v>
      </c>
      <c r="F8814" s="6" t="s">
        <v>678</v>
      </c>
      <c r="G8814" s="6" t="s">
        <v>1538</v>
      </c>
      <c r="H8814" s="6" t="s">
        <v>1539</v>
      </c>
      <c r="I8814" s="6" t="s">
        <v>32</v>
      </c>
      <c r="J8814" s="6">
        <v>17.215821999999999</v>
      </c>
      <c r="K8814" s="6">
        <v>-96.249354999999994</v>
      </c>
      <c r="L8814" s="6" t="str">
        <f>HYPERLINK("https://maps.google.com/?q=17.215822,-96.249354999999994", "🔗 Ver Mapa")</f>
        <v>🔗 Ver Mapa</v>
      </c>
    </row>
    <row r="8815" spans="1:12" ht="43.5" x14ac:dyDescent="0.35">
      <c r="A8815" s="5" t="s">
        <v>516</v>
      </c>
      <c r="B8815" s="5" t="s">
        <v>517</v>
      </c>
      <c r="C8815" s="5" t="s">
        <v>1537</v>
      </c>
      <c r="D8815" s="5" t="s">
        <v>13</v>
      </c>
      <c r="E8815" s="5" t="s">
        <v>90</v>
      </c>
      <c r="F8815" s="5" t="s">
        <v>678</v>
      </c>
      <c r="G8815" s="5" t="s">
        <v>1538</v>
      </c>
      <c r="H8815" s="5" t="s">
        <v>1539</v>
      </c>
      <c r="I8815" s="5" t="s">
        <v>32</v>
      </c>
      <c r="J8815" s="5">
        <v>17.215845000000002</v>
      </c>
      <c r="K8815" s="5">
        <v>-96.246951999999993</v>
      </c>
      <c r="L8815" s="5" t="str">
        <f>HYPERLINK("https://maps.google.com/?q=17.215845,-96.246951999999993", "🔗 Ver Mapa")</f>
        <v>🔗 Ver Mapa</v>
      </c>
    </row>
    <row r="8816" spans="1:12" ht="43.5" x14ac:dyDescent="0.35">
      <c r="A8816" s="6" t="s">
        <v>516</v>
      </c>
      <c r="B8816" s="6" t="s">
        <v>517</v>
      </c>
      <c r="C8816" s="6" t="s">
        <v>1537</v>
      </c>
      <c r="D8816" s="6" t="s">
        <v>13</v>
      </c>
      <c r="E8816" s="6" t="s">
        <v>90</v>
      </c>
      <c r="F8816" s="6" t="s">
        <v>678</v>
      </c>
      <c r="G8816" s="6" t="s">
        <v>1538</v>
      </c>
      <c r="H8816" s="6" t="s">
        <v>1539</v>
      </c>
      <c r="I8816" s="6" t="s">
        <v>32</v>
      </c>
      <c r="J8816" s="6">
        <v>17.215910000000001</v>
      </c>
      <c r="K8816" s="6">
        <v>-96.247467999999998</v>
      </c>
      <c r="L8816" s="6" t="str">
        <f>HYPERLINK("https://maps.google.com/?q=17.21591,-96.247467999999998", "🔗 Ver Mapa")</f>
        <v>🔗 Ver Mapa</v>
      </c>
    </row>
    <row r="8817" spans="1:12" ht="43.5" x14ac:dyDescent="0.35">
      <c r="A8817" s="5" t="s">
        <v>516</v>
      </c>
      <c r="B8817" s="5" t="s">
        <v>517</v>
      </c>
      <c r="C8817" s="5" t="s">
        <v>1537</v>
      </c>
      <c r="D8817" s="5" t="s">
        <v>13</v>
      </c>
      <c r="E8817" s="5" t="s">
        <v>90</v>
      </c>
      <c r="F8817" s="5" t="s">
        <v>678</v>
      </c>
      <c r="G8817" s="5" t="s">
        <v>1538</v>
      </c>
      <c r="H8817" s="5" t="s">
        <v>1539</v>
      </c>
      <c r="I8817" s="5" t="s">
        <v>32</v>
      </c>
      <c r="J8817" s="5">
        <v>17.215910000000001</v>
      </c>
      <c r="K8817" s="5">
        <v>-96.248889000000005</v>
      </c>
      <c r="L8817" s="5" t="str">
        <f>HYPERLINK("https://maps.google.com/?q=17.21591,-96.248889000000005", "🔗 Ver Mapa")</f>
        <v>🔗 Ver Mapa</v>
      </c>
    </row>
    <row r="8818" spans="1:12" ht="43.5" x14ac:dyDescent="0.35">
      <c r="A8818" s="6" t="s">
        <v>516</v>
      </c>
      <c r="B8818" s="6" t="s">
        <v>517</v>
      </c>
      <c r="C8818" s="6" t="s">
        <v>1537</v>
      </c>
      <c r="D8818" s="6" t="s">
        <v>13</v>
      </c>
      <c r="E8818" s="6" t="s">
        <v>90</v>
      </c>
      <c r="F8818" s="6" t="s">
        <v>678</v>
      </c>
      <c r="G8818" s="6" t="s">
        <v>1538</v>
      </c>
      <c r="H8818" s="6" t="s">
        <v>1539</v>
      </c>
      <c r="I8818" s="6" t="s">
        <v>32</v>
      </c>
      <c r="J8818" s="6">
        <v>17.215924999999999</v>
      </c>
      <c r="K8818" s="6">
        <v>-96.246872999999994</v>
      </c>
      <c r="L8818" s="6" t="str">
        <f>HYPERLINK("https://maps.google.com/?q=17.215925,-96.246872999999994", "🔗 Ver Mapa")</f>
        <v>🔗 Ver Mapa</v>
      </c>
    </row>
    <row r="8819" spans="1:12" ht="43.5" x14ac:dyDescent="0.35">
      <c r="A8819" s="5" t="s">
        <v>516</v>
      </c>
      <c r="B8819" s="5" t="s">
        <v>517</v>
      </c>
      <c r="C8819" s="5" t="s">
        <v>1537</v>
      </c>
      <c r="D8819" s="5" t="s">
        <v>13</v>
      </c>
      <c r="E8819" s="5" t="s">
        <v>90</v>
      </c>
      <c r="F8819" s="5" t="s">
        <v>678</v>
      </c>
      <c r="G8819" s="5" t="s">
        <v>1538</v>
      </c>
      <c r="H8819" s="5" t="s">
        <v>1539</v>
      </c>
      <c r="I8819" s="5" t="s">
        <v>32</v>
      </c>
      <c r="J8819" s="5">
        <v>17.215959000000002</v>
      </c>
      <c r="K8819" s="5">
        <v>-96.248137</v>
      </c>
      <c r="L8819" s="5" t="str">
        <f>HYPERLINK("https://maps.google.com/?q=17.215959,-96.248137", "🔗 Ver Mapa")</f>
        <v>🔗 Ver Mapa</v>
      </c>
    </row>
    <row r="8820" spans="1:12" ht="43.5" x14ac:dyDescent="0.35">
      <c r="A8820" s="6" t="s">
        <v>516</v>
      </c>
      <c r="B8820" s="6" t="s">
        <v>517</v>
      </c>
      <c r="C8820" s="6" t="s">
        <v>1537</v>
      </c>
      <c r="D8820" s="6" t="s">
        <v>13</v>
      </c>
      <c r="E8820" s="6" t="s">
        <v>90</v>
      </c>
      <c r="F8820" s="6" t="s">
        <v>678</v>
      </c>
      <c r="G8820" s="6" t="s">
        <v>1538</v>
      </c>
      <c r="H8820" s="6" t="s">
        <v>1539</v>
      </c>
      <c r="I8820" s="6" t="s">
        <v>32</v>
      </c>
      <c r="J8820" s="6">
        <v>17.215966999999999</v>
      </c>
      <c r="K8820" s="6">
        <v>-96.248626000000002</v>
      </c>
      <c r="L8820" s="6" t="str">
        <f>HYPERLINK("https://maps.google.com/?q=17.215967,-96.248626000000002", "🔗 Ver Mapa")</f>
        <v>🔗 Ver Mapa</v>
      </c>
    </row>
    <row r="8821" spans="1:12" ht="43.5" x14ac:dyDescent="0.35">
      <c r="A8821" s="5" t="s">
        <v>516</v>
      </c>
      <c r="B8821" s="5" t="s">
        <v>517</v>
      </c>
      <c r="C8821" s="5" t="s">
        <v>1537</v>
      </c>
      <c r="D8821" s="5" t="s">
        <v>13</v>
      </c>
      <c r="E8821" s="5" t="s">
        <v>90</v>
      </c>
      <c r="F8821" s="5" t="s">
        <v>678</v>
      </c>
      <c r="G8821" s="5" t="s">
        <v>1538</v>
      </c>
      <c r="H8821" s="5" t="s">
        <v>1539</v>
      </c>
      <c r="I8821" s="5" t="s">
        <v>32</v>
      </c>
      <c r="J8821" s="5">
        <v>17.21602</v>
      </c>
      <c r="K8821" s="5">
        <v>-96.248501000000005</v>
      </c>
      <c r="L8821" s="5" t="str">
        <f>HYPERLINK("https://maps.google.com/?q=17.21602,-96.248501000000005", "🔗 Ver Mapa")</f>
        <v>🔗 Ver Mapa</v>
      </c>
    </row>
    <row r="8822" spans="1:12" ht="43.5" x14ac:dyDescent="0.35">
      <c r="A8822" s="6" t="s">
        <v>516</v>
      </c>
      <c r="B8822" s="6" t="s">
        <v>517</v>
      </c>
      <c r="C8822" s="6" t="s">
        <v>1537</v>
      </c>
      <c r="D8822" s="6" t="s">
        <v>13</v>
      </c>
      <c r="E8822" s="6" t="s">
        <v>90</v>
      </c>
      <c r="F8822" s="6" t="s">
        <v>678</v>
      </c>
      <c r="G8822" s="6" t="s">
        <v>1538</v>
      </c>
      <c r="H8822" s="6" t="s">
        <v>1539</v>
      </c>
      <c r="I8822" s="6" t="s">
        <v>32</v>
      </c>
      <c r="J8822" s="6">
        <v>17.216038999999999</v>
      </c>
      <c r="K8822" s="6">
        <v>-96.248065999999994</v>
      </c>
      <c r="L8822" s="6" t="str">
        <f>HYPERLINK("https://maps.google.com/?q=17.216039,-96.248065999999994", "🔗 Ver Mapa")</f>
        <v>🔗 Ver Mapa</v>
      </c>
    </row>
    <row r="8823" spans="1:12" ht="43.5" x14ac:dyDescent="0.35">
      <c r="A8823" s="5" t="s">
        <v>516</v>
      </c>
      <c r="B8823" s="5" t="s">
        <v>517</v>
      </c>
      <c r="C8823" s="5" t="s">
        <v>1537</v>
      </c>
      <c r="D8823" s="5" t="s">
        <v>13</v>
      </c>
      <c r="E8823" s="5" t="s">
        <v>90</v>
      </c>
      <c r="F8823" s="5" t="s">
        <v>678</v>
      </c>
      <c r="G8823" s="5" t="s">
        <v>1538</v>
      </c>
      <c r="H8823" s="5" t="s">
        <v>1539</v>
      </c>
      <c r="I8823" s="5" t="s">
        <v>32</v>
      </c>
      <c r="J8823" s="5">
        <v>17.216055000000001</v>
      </c>
      <c r="K8823" s="5">
        <v>-96.248947000000001</v>
      </c>
      <c r="L8823" s="5" t="str">
        <f>HYPERLINK("https://maps.google.com/?q=17.216055,-96.248947000000001", "🔗 Ver Mapa")</f>
        <v>🔗 Ver Mapa</v>
      </c>
    </row>
    <row r="8824" spans="1:12" ht="43.5" x14ac:dyDescent="0.35">
      <c r="A8824" s="6" t="s">
        <v>516</v>
      </c>
      <c r="B8824" s="6" t="s">
        <v>517</v>
      </c>
      <c r="C8824" s="6" t="s">
        <v>1537</v>
      </c>
      <c r="D8824" s="6" t="s">
        <v>13</v>
      </c>
      <c r="E8824" s="6" t="s">
        <v>90</v>
      </c>
      <c r="F8824" s="6" t="s">
        <v>678</v>
      </c>
      <c r="G8824" s="6" t="s">
        <v>1538</v>
      </c>
      <c r="H8824" s="6" t="s">
        <v>1539</v>
      </c>
      <c r="I8824" s="6" t="s">
        <v>32</v>
      </c>
      <c r="J8824" s="6">
        <v>17.216058</v>
      </c>
      <c r="K8824" s="6">
        <v>-96.247677999999993</v>
      </c>
      <c r="L8824" s="6" t="str">
        <f>HYPERLINK("https://maps.google.com/?q=17.216058,-96.247677999999993", "🔗 Ver Mapa")</f>
        <v>🔗 Ver Mapa</v>
      </c>
    </row>
    <row r="8825" spans="1:12" ht="43.5" x14ac:dyDescent="0.35">
      <c r="A8825" s="5" t="s">
        <v>516</v>
      </c>
      <c r="B8825" s="5" t="s">
        <v>517</v>
      </c>
      <c r="C8825" s="5" t="s">
        <v>1537</v>
      </c>
      <c r="D8825" s="5" t="s">
        <v>13</v>
      </c>
      <c r="E8825" s="5" t="s">
        <v>90</v>
      </c>
      <c r="F8825" s="5" t="s">
        <v>678</v>
      </c>
      <c r="G8825" s="5" t="s">
        <v>1538</v>
      </c>
      <c r="H8825" s="5" t="s">
        <v>1539</v>
      </c>
      <c r="I8825" s="5" t="s">
        <v>32</v>
      </c>
      <c r="J8825" s="5">
        <v>17.216082</v>
      </c>
      <c r="K8825" s="5">
        <v>-96.247945999999999</v>
      </c>
      <c r="L8825" s="5" t="str">
        <f>HYPERLINK("https://maps.google.com/?q=17.216082,-96.247945999999999", "🔗 Ver Mapa")</f>
        <v>🔗 Ver Mapa</v>
      </c>
    </row>
    <row r="8826" spans="1:12" ht="43.5" x14ac:dyDescent="0.35">
      <c r="A8826" s="6" t="s">
        <v>516</v>
      </c>
      <c r="B8826" s="6" t="s">
        <v>517</v>
      </c>
      <c r="C8826" s="6" t="s">
        <v>1537</v>
      </c>
      <c r="D8826" s="6" t="s">
        <v>13</v>
      </c>
      <c r="E8826" s="6" t="s">
        <v>90</v>
      </c>
      <c r="F8826" s="6" t="s">
        <v>678</v>
      </c>
      <c r="G8826" s="6" t="s">
        <v>1538</v>
      </c>
      <c r="H8826" s="6" t="s">
        <v>1539</v>
      </c>
      <c r="I8826" s="6" t="s">
        <v>32</v>
      </c>
      <c r="J8826" s="6">
        <v>17.216100999999998</v>
      </c>
      <c r="K8826" s="6">
        <v>-96.249409</v>
      </c>
      <c r="L8826" s="6" t="str">
        <f>HYPERLINK("https://maps.google.com/?q=17.216101,-96.249409", "🔗 Ver Mapa")</f>
        <v>🔗 Ver Mapa</v>
      </c>
    </row>
    <row r="8827" spans="1:12" ht="43.5" x14ac:dyDescent="0.35">
      <c r="A8827" s="5" t="s">
        <v>516</v>
      </c>
      <c r="B8827" s="5" t="s">
        <v>517</v>
      </c>
      <c r="C8827" s="5" t="s">
        <v>1537</v>
      </c>
      <c r="D8827" s="5" t="s">
        <v>13</v>
      </c>
      <c r="E8827" s="5" t="s">
        <v>90</v>
      </c>
      <c r="F8827" s="5" t="s">
        <v>678</v>
      </c>
      <c r="G8827" s="5" t="s">
        <v>1538</v>
      </c>
      <c r="H8827" s="5" t="s">
        <v>1539</v>
      </c>
      <c r="I8827" s="5" t="s">
        <v>32</v>
      </c>
      <c r="J8827" s="5">
        <v>17.216177999999999</v>
      </c>
      <c r="K8827" s="5">
        <v>-96.246364999999997</v>
      </c>
      <c r="L8827" s="5" t="str">
        <f>HYPERLINK("https://maps.google.com/?q=17.216178,-96.246364999999997", "🔗 Ver Mapa")</f>
        <v>🔗 Ver Mapa</v>
      </c>
    </row>
    <row r="8828" spans="1:12" ht="43.5" x14ac:dyDescent="0.35">
      <c r="A8828" s="6" t="s">
        <v>516</v>
      </c>
      <c r="B8828" s="6" t="s">
        <v>517</v>
      </c>
      <c r="C8828" s="6" t="s">
        <v>1537</v>
      </c>
      <c r="D8828" s="6" t="s">
        <v>13</v>
      </c>
      <c r="E8828" s="6" t="s">
        <v>90</v>
      </c>
      <c r="F8828" s="6" t="s">
        <v>678</v>
      </c>
      <c r="G8828" s="6" t="s">
        <v>1538</v>
      </c>
      <c r="H8828" s="6" t="s">
        <v>1539</v>
      </c>
      <c r="I8828" s="6" t="s">
        <v>32</v>
      </c>
      <c r="J8828" s="6">
        <v>17.216190999999998</v>
      </c>
      <c r="K8828" s="6">
        <v>-96.249446000000006</v>
      </c>
      <c r="L8828" s="6" t="str">
        <f>HYPERLINK("https://maps.google.com/?q=17.216191,-96.249446000000006", "🔗 Ver Mapa")</f>
        <v>🔗 Ver Mapa</v>
      </c>
    </row>
    <row r="8829" spans="1:12" ht="43.5" x14ac:dyDescent="0.35">
      <c r="A8829" s="5" t="s">
        <v>516</v>
      </c>
      <c r="B8829" s="5" t="s">
        <v>517</v>
      </c>
      <c r="C8829" s="5" t="s">
        <v>1537</v>
      </c>
      <c r="D8829" s="5" t="s">
        <v>13</v>
      </c>
      <c r="E8829" s="5" t="s">
        <v>90</v>
      </c>
      <c r="F8829" s="5" t="s">
        <v>678</v>
      </c>
      <c r="G8829" s="5" t="s">
        <v>1538</v>
      </c>
      <c r="H8829" s="5" t="s">
        <v>1539</v>
      </c>
      <c r="I8829" s="5" t="s">
        <v>32</v>
      </c>
      <c r="J8829" s="5">
        <v>17.216218000000001</v>
      </c>
      <c r="K8829" s="5">
        <v>-96.249272000000005</v>
      </c>
      <c r="L8829" s="5" t="str">
        <f>HYPERLINK("https://maps.google.com/?q=17.216218,-96.249272000000005", "🔗 Ver Mapa")</f>
        <v>🔗 Ver Mapa</v>
      </c>
    </row>
    <row r="8830" spans="1:12" ht="43.5" x14ac:dyDescent="0.35">
      <c r="A8830" s="6" t="s">
        <v>516</v>
      </c>
      <c r="B8830" s="6" t="s">
        <v>517</v>
      </c>
      <c r="C8830" s="6" t="s">
        <v>1537</v>
      </c>
      <c r="D8830" s="6" t="s">
        <v>13</v>
      </c>
      <c r="E8830" s="6" t="s">
        <v>90</v>
      </c>
      <c r="F8830" s="6" t="s">
        <v>678</v>
      </c>
      <c r="G8830" s="6" t="s">
        <v>1538</v>
      </c>
      <c r="H8830" s="6" t="s">
        <v>1539</v>
      </c>
      <c r="I8830" s="6" t="s">
        <v>32</v>
      </c>
      <c r="J8830" s="6">
        <v>17.216373999999998</v>
      </c>
      <c r="K8830" s="6">
        <v>-96.246108000000007</v>
      </c>
      <c r="L8830" s="6" t="str">
        <f>HYPERLINK("https://maps.google.com/?q=17.216374,-96.246108000000007", "🔗 Ver Mapa")</f>
        <v>🔗 Ver Mapa</v>
      </c>
    </row>
    <row r="8831" spans="1:12" ht="43.5" x14ac:dyDescent="0.35">
      <c r="A8831" s="5" t="s">
        <v>516</v>
      </c>
      <c r="B8831" s="5" t="s">
        <v>517</v>
      </c>
      <c r="C8831" s="5" t="s">
        <v>1537</v>
      </c>
      <c r="D8831" s="5" t="s">
        <v>13</v>
      </c>
      <c r="E8831" s="5" t="s">
        <v>90</v>
      </c>
      <c r="F8831" s="5" t="s">
        <v>678</v>
      </c>
      <c r="G8831" s="5" t="s">
        <v>1538</v>
      </c>
      <c r="H8831" s="5" t="s">
        <v>1539</v>
      </c>
      <c r="I8831" s="5" t="s">
        <v>32</v>
      </c>
      <c r="J8831" s="5">
        <v>17.216387000000001</v>
      </c>
      <c r="K8831" s="5">
        <v>-96.244536999999994</v>
      </c>
      <c r="L8831" s="5" t="str">
        <f>HYPERLINK("https://maps.google.com/?q=17.216387,-96.244536999999994", "🔗 Ver Mapa")</f>
        <v>🔗 Ver Mapa</v>
      </c>
    </row>
    <row r="8832" spans="1:12" ht="43.5" x14ac:dyDescent="0.35">
      <c r="A8832" s="6" t="s">
        <v>516</v>
      </c>
      <c r="B8832" s="6" t="s">
        <v>517</v>
      </c>
      <c r="C8832" s="6" t="s">
        <v>1537</v>
      </c>
      <c r="D8832" s="6" t="s">
        <v>13</v>
      </c>
      <c r="E8832" s="6" t="s">
        <v>90</v>
      </c>
      <c r="F8832" s="6" t="s">
        <v>678</v>
      </c>
      <c r="G8832" s="6" t="s">
        <v>1538</v>
      </c>
      <c r="H8832" s="6" t="s">
        <v>1539</v>
      </c>
      <c r="I8832" s="6" t="s">
        <v>32</v>
      </c>
      <c r="J8832" s="6">
        <v>17.216398000000002</v>
      </c>
      <c r="K8832" s="6">
        <v>-96.243926000000002</v>
      </c>
      <c r="L8832" s="6" t="str">
        <f>HYPERLINK("https://maps.google.com/?q=17.216398,-96.243926000000002", "🔗 Ver Mapa")</f>
        <v>🔗 Ver Mapa</v>
      </c>
    </row>
    <row r="8833" spans="1:12" ht="43.5" x14ac:dyDescent="0.35">
      <c r="A8833" s="5" t="s">
        <v>516</v>
      </c>
      <c r="B8833" s="5" t="s">
        <v>517</v>
      </c>
      <c r="C8833" s="5" t="s">
        <v>1537</v>
      </c>
      <c r="D8833" s="5" t="s">
        <v>13</v>
      </c>
      <c r="E8833" s="5" t="s">
        <v>90</v>
      </c>
      <c r="F8833" s="5" t="s">
        <v>678</v>
      </c>
      <c r="G8833" s="5" t="s">
        <v>1538</v>
      </c>
      <c r="H8833" s="5" t="s">
        <v>1539</v>
      </c>
      <c r="I8833" s="5" t="s">
        <v>32</v>
      </c>
      <c r="J8833" s="5">
        <v>17.216438</v>
      </c>
      <c r="K8833" s="5">
        <v>-96.249267000000003</v>
      </c>
      <c r="L8833" s="5" t="str">
        <f>HYPERLINK("https://maps.google.com/?q=17.216438,-96.249267000000003", "🔗 Ver Mapa")</f>
        <v>🔗 Ver Mapa</v>
      </c>
    </row>
    <row r="8834" spans="1:12" ht="43.5" x14ac:dyDescent="0.35">
      <c r="A8834" s="6" t="s">
        <v>516</v>
      </c>
      <c r="B8834" s="6" t="s">
        <v>517</v>
      </c>
      <c r="C8834" s="6" t="s">
        <v>1537</v>
      </c>
      <c r="D8834" s="6" t="s">
        <v>13</v>
      </c>
      <c r="E8834" s="6" t="s">
        <v>90</v>
      </c>
      <c r="F8834" s="6" t="s">
        <v>678</v>
      </c>
      <c r="G8834" s="6" t="s">
        <v>1538</v>
      </c>
      <c r="H8834" s="6" t="s">
        <v>1539</v>
      </c>
      <c r="I8834" s="6" t="s">
        <v>32</v>
      </c>
      <c r="J8834" s="6">
        <v>17.216450999999999</v>
      </c>
      <c r="K8834" s="6">
        <v>-96.249381999999997</v>
      </c>
      <c r="L8834" s="6" t="str">
        <f>HYPERLINK("https://maps.google.com/?q=17.216451,-96.249381999999997", "🔗 Ver Mapa")</f>
        <v>🔗 Ver Mapa</v>
      </c>
    </row>
    <row r="8835" spans="1:12" ht="43.5" x14ac:dyDescent="0.35">
      <c r="A8835" s="5" t="s">
        <v>516</v>
      </c>
      <c r="B8835" s="5" t="s">
        <v>517</v>
      </c>
      <c r="C8835" s="5" t="s">
        <v>1537</v>
      </c>
      <c r="D8835" s="5" t="s">
        <v>13</v>
      </c>
      <c r="E8835" s="5" t="s">
        <v>90</v>
      </c>
      <c r="F8835" s="5" t="s">
        <v>678</v>
      </c>
      <c r="G8835" s="5" t="s">
        <v>1538</v>
      </c>
      <c r="H8835" s="5" t="s">
        <v>1539</v>
      </c>
      <c r="I8835" s="5" t="s">
        <v>32</v>
      </c>
      <c r="J8835" s="5">
        <v>17.216466</v>
      </c>
      <c r="K8835" s="5">
        <v>-96.245920999999996</v>
      </c>
      <c r="L8835" s="5" t="str">
        <f>HYPERLINK("https://maps.google.com/?q=17.216466,-96.245920999999996", "🔗 Ver Mapa")</f>
        <v>🔗 Ver Mapa</v>
      </c>
    </row>
    <row r="8836" spans="1:12" ht="43.5" x14ac:dyDescent="0.35">
      <c r="A8836" s="6" t="s">
        <v>516</v>
      </c>
      <c r="B8836" s="6" t="s">
        <v>517</v>
      </c>
      <c r="C8836" s="6" t="s">
        <v>1537</v>
      </c>
      <c r="D8836" s="6" t="s">
        <v>13</v>
      </c>
      <c r="E8836" s="6" t="s">
        <v>90</v>
      </c>
      <c r="F8836" s="6" t="s">
        <v>678</v>
      </c>
      <c r="G8836" s="6" t="s">
        <v>1538</v>
      </c>
      <c r="H8836" s="6" t="s">
        <v>1539</v>
      </c>
      <c r="I8836" s="6" t="s">
        <v>32</v>
      </c>
      <c r="J8836" s="6">
        <v>17.216470000000001</v>
      </c>
      <c r="K8836" s="6">
        <v>-96.245654999999999</v>
      </c>
      <c r="L8836" s="6" t="str">
        <f>HYPERLINK("https://maps.google.com/?q=17.21647,-96.245654999999999", "🔗 Ver Mapa")</f>
        <v>🔗 Ver Mapa</v>
      </c>
    </row>
    <row r="8837" spans="1:12" ht="43.5" x14ac:dyDescent="0.35">
      <c r="A8837" s="5" t="s">
        <v>516</v>
      </c>
      <c r="B8837" s="5" t="s">
        <v>517</v>
      </c>
      <c r="C8837" s="5" t="s">
        <v>1537</v>
      </c>
      <c r="D8837" s="5" t="s">
        <v>13</v>
      </c>
      <c r="E8837" s="5" t="s">
        <v>90</v>
      </c>
      <c r="F8837" s="5" t="s">
        <v>678</v>
      </c>
      <c r="G8837" s="5" t="s">
        <v>1538</v>
      </c>
      <c r="H8837" s="5" t="s">
        <v>1539</v>
      </c>
      <c r="I8837" s="5" t="s">
        <v>32</v>
      </c>
      <c r="J8837" s="5">
        <v>17.216531</v>
      </c>
      <c r="K8837" s="5">
        <v>-96.245526999999996</v>
      </c>
      <c r="L8837" s="5" t="str">
        <f>HYPERLINK("https://maps.google.com/?q=17.216531,-96.245526999999996", "🔗 Ver Mapa")</f>
        <v>🔗 Ver Mapa</v>
      </c>
    </row>
    <row r="8838" spans="1:12" ht="43.5" x14ac:dyDescent="0.35">
      <c r="A8838" s="6" t="s">
        <v>516</v>
      </c>
      <c r="B8838" s="6" t="s">
        <v>517</v>
      </c>
      <c r="C8838" s="6" t="s">
        <v>1537</v>
      </c>
      <c r="D8838" s="6" t="s">
        <v>13</v>
      </c>
      <c r="E8838" s="6" t="s">
        <v>90</v>
      </c>
      <c r="F8838" s="6" t="s">
        <v>678</v>
      </c>
      <c r="G8838" s="6" t="s">
        <v>1538</v>
      </c>
      <c r="H8838" s="6" t="s">
        <v>1539</v>
      </c>
      <c r="I8838" s="6" t="s">
        <v>32</v>
      </c>
      <c r="J8838" s="6">
        <v>17.2166</v>
      </c>
      <c r="K8838" s="6">
        <v>-96.243885000000006</v>
      </c>
      <c r="L8838" s="6" t="str">
        <f>HYPERLINK("https://maps.google.com/?q=17.2166,-96.243885000000006", "🔗 Ver Mapa")</f>
        <v>🔗 Ver Mapa</v>
      </c>
    </row>
    <row r="8839" spans="1:12" ht="43.5" x14ac:dyDescent="0.35">
      <c r="A8839" s="5" t="s">
        <v>516</v>
      </c>
      <c r="B8839" s="5" t="s">
        <v>517</v>
      </c>
      <c r="C8839" s="5" t="s">
        <v>1537</v>
      </c>
      <c r="D8839" s="5" t="s">
        <v>13</v>
      </c>
      <c r="E8839" s="5" t="s">
        <v>90</v>
      </c>
      <c r="F8839" s="5" t="s">
        <v>678</v>
      </c>
      <c r="G8839" s="5" t="s">
        <v>1538</v>
      </c>
      <c r="H8839" s="5" t="s">
        <v>1539</v>
      </c>
      <c r="I8839" s="5" t="s">
        <v>32</v>
      </c>
      <c r="J8839" s="5">
        <v>17.216615999999998</v>
      </c>
      <c r="K8839" s="5">
        <v>-96.245119000000003</v>
      </c>
      <c r="L8839" s="5" t="str">
        <f>HYPERLINK("https://maps.google.com/?q=17.216616,-96.245119000000003", "🔗 Ver Mapa")</f>
        <v>🔗 Ver Mapa</v>
      </c>
    </row>
    <row r="8840" spans="1:12" ht="43.5" x14ac:dyDescent="0.35">
      <c r="A8840" s="6" t="s">
        <v>516</v>
      </c>
      <c r="B8840" s="6" t="s">
        <v>517</v>
      </c>
      <c r="C8840" s="6" t="s">
        <v>1537</v>
      </c>
      <c r="D8840" s="6" t="s">
        <v>13</v>
      </c>
      <c r="E8840" s="6" t="s">
        <v>90</v>
      </c>
      <c r="F8840" s="6" t="s">
        <v>678</v>
      </c>
      <c r="G8840" s="6" t="s">
        <v>1538</v>
      </c>
      <c r="H8840" s="6" t="s">
        <v>1539</v>
      </c>
      <c r="I8840" s="6" t="s">
        <v>32</v>
      </c>
      <c r="J8840" s="6">
        <v>17.217115</v>
      </c>
      <c r="K8840" s="6">
        <v>-96.243962999999994</v>
      </c>
      <c r="L8840" s="6" t="str">
        <f>HYPERLINK("https://maps.google.com/?q=17.217115,-96.243962999999994", "🔗 Ver Mapa")</f>
        <v>🔗 Ver Mapa</v>
      </c>
    </row>
    <row r="8841" spans="1:12" ht="43.5" x14ac:dyDescent="0.35">
      <c r="A8841" s="5" t="s">
        <v>516</v>
      </c>
      <c r="B8841" s="5" t="s">
        <v>517</v>
      </c>
      <c r="C8841" s="5" t="s">
        <v>1537</v>
      </c>
      <c r="D8841" s="5" t="s">
        <v>13</v>
      </c>
      <c r="E8841" s="5" t="s">
        <v>90</v>
      </c>
      <c r="F8841" s="5" t="s">
        <v>678</v>
      </c>
      <c r="G8841" s="5" t="s">
        <v>1538</v>
      </c>
      <c r="H8841" s="5" t="s">
        <v>1539</v>
      </c>
      <c r="I8841" s="5" t="s">
        <v>32</v>
      </c>
      <c r="J8841" s="5">
        <v>17.217376999999999</v>
      </c>
      <c r="K8841" s="5">
        <v>-96.244107999999997</v>
      </c>
      <c r="L8841" s="5" t="str">
        <f>HYPERLINK("https://maps.google.com/?q=17.217377,-96.244107999999997", "🔗 Ver Mapa")</f>
        <v>🔗 Ver Mapa</v>
      </c>
    </row>
    <row r="8842" spans="1:12" ht="43.5" x14ac:dyDescent="0.35">
      <c r="A8842" s="6" t="s">
        <v>516</v>
      </c>
      <c r="B8842" s="6" t="s">
        <v>517</v>
      </c>
      <c r="C8842" s="6" t="s">
        <v>1537</v>
      </c>
      <c r="D8842" s="6" t="s">
        <v>13</v>
      </c>
      <c r="E8842" s="6" t="s">
        <v>90</v>
      </c>
      <c r="F8842" s="6" t="s">
        <v>678</v>
      </c>
      <c r="G8842" s="6" t="s">
        <v>1538</v>
      </c>
      <c r="H8842" s="6" t="s">
        <v>1539</v>
      </c>
      <c r="I8842" s="6" t="s">
        <v>32</v>
      </c>
      <c r="J8842" s="6">
        <v>17.217573000000002</v>
      </c>
      <c r="K8842" s="6">
        <v>-96.244145000000003</v>
      </c>
      <c r="L8842" s="6" t="str">
        <f>HYPERLINK("https://maps.google.com/?q=17.217573,-96.244145000000003", "🔗 Ver Mapa")</f>
        <v>🔗 Ver Mapa</v>
      </c>
    </row>
    <row r="8843" spans="1:12" ht="43.5" x14ac:dyDescent="0.35">
      <c r="A8843" s="5" t="s">
        <v>516</v>
      </c>
      <c r="B8843" s="5" t="s">
        <v>517</v>
      </c>
      <c r="C8843" s="5" t="s">
        <v>1537</v>
      </c>
      <c r="D8843" s="5" t="s">
        <v>13</v>
      </c>
      <c r="E8843" s="5" t="s">
        <v>90</v>
      </c>
      <c r="F8843" s="5" t="s">
        <v>678</v>
      </c>
      <c r="G8843" s="5" t="s">
        <v>1538</v>
      </c>
      <c r="H8843" s="5" t="s">
        <v>1539</v>
      </c>
      <c r="I8843" s="5" t="s">
        <v>32</v>
      </c>
      <c r="J8843" s="5">
        <v>17.217797999999998</v>
      </c>
      <c r="K8843" s="5">
        <v>-96.243919000000005</v>
      </c>
      <c r="L8843" s="5" t="str">
        <f>HYPERLINK("https://maps.google.com/?q=17.217798,-96.243919000000005", "🔗 Ver Mapa")</f>
        <v>🔗 Ver Mapa</v>
      </c>
    </row>
    <row r="8844" spans="1:12" ht="43.5" x14ac:dyDescent="0.35">
      <c r="A8844" s="6" t="s">
        <v>516</v>
      </c>
      <c r="B8844" s="6" t="s">
        <v>517</v>
      </c>
      <c r="C8844" s="6" t="s">
        <v>1537</v>
      </c>
      <c r="D8844" s="6" t="s">
        <v>13</v>
      </c>
      <c r="E8844" s="6" t="s">
        <v>90</v>
      </c>
      <c r="F8844" s="6" t="s">
        <v>678</v>
      </c>
      <c r="G8844" s="6" t="s">
        <v>1538</v>
      </c>
      <c r="H8844" s="6" t="s">
        <v>1539</v>
      </c>
      <c r="I8844" s="6" t="s">
        <v>32</v>
      </c>
      <c r="J8844" s="6">
        <v>17.218007</v>
      </c>
      <c r="K8844" s="6">
        <v>-96.243842999999998</v>
      </c>
      <c r="L8844" s="6" t="str">
        <f>HYPERLINK("https://maps.google.com/?q=17.218007,-96.243842999999998", "🔗 Ver Mapa")</f>
        <v>🔗 Ver Mapa</v>
      </c>
    </row>
    <row r="8845" spans="1:12" ht="43.5" x14ac:dyDescent="0.35">
      <c r="A8845" s="5" t="s">
        <v>516</v>
      </c>
      <c r="B8845" s="5" t="s">
        <v>517</v>
      </c>
      <c r="C8845" s="5" t="s">
        <v>1537</v>
      </c>
      <c r="D8845" s="5" t="s">
        <v>13</v>
      </c>
      <c r="E8845" s="5" t="s">
        <v>90</v>
      </c>
      <c r="F8845" s="5" t="s">
        <v>678</v>
      </c>
      <c r="G8845" s="5" t="s">
        <v>1538</v>
      </c>
      <c r="H8845" s="5" t="s">
        <v>1539</v>
      </c>
      <c r="I8845" s="5" t="s">
        <v>32</v>
      </c>
      <c r="J8845" s="5">
        <v>17.218202000000002</v>
      </c>
      <c r="K8845" s="5">
        <v>-96.243893999999997</v>
      </c>
      <c r="L8845" s="5" t="str">
        <f>HYPERLINK("https://maps.google.com/?q=17.218202,-96.243893999999997", "🔗 Ver Mapa")</f>
        <v>🔗 Ver Mapa</v>
      </c>
    </row>
    <row r="8846" spans="1:12" ht="43.5" x14ac:dyDescent="0.35">
      <c r="A8846" s="6" t="s">
        <v>516</v>
      </c>
      <c r="B8846" s="6" t="s">
        <v>517</v>
      </c>
      <c r="C8846" s="6" t="s">
        <v>1537</v>
      </c>
      <c r="D8846" s="6" t="s">
        <v>13</v>
      </c>
      <c r="E8846" s="6" t="s">
        <v>90</v>
      </c>
      <c r="F8846" s="6" t="s">
        <v>678</v>
      </c>
      <c r="G8846" s="6" t="s">
        <v>1538</v>
      </c>
      <c r="H8846" s="6" t="s">
        <v>1539</v>
      </c>
      <c r="I8846" s="6" t="s">
        <v>32</v>
      </c>
      <c r="J8846" s="6">
        <v>17.218340000000001</v>
      </c>
      <c r="K8846" s="6">
        <v>-96.243866999999995</v>
      </c>
      <c r="L8846" s="6" t="str">
        <f>HYPERLINK("https://maps.google.com/?q=17.21834,-96.243866999999995", "🔗 Ver Mapa")</f>
        <v>🔗 Ver Mapa</v>
      </c>
    </row>
    <row r="8847" spans="1:12" ht="43.5" x14ac:dyDescent="0.35">
      <c r="A8847" s="5" t="s">
        <v>516</v>
      </c>
      <c r="B8847" s="5" t="s">
        <v>517</v>
      </c>
      <c r="C8847" s="5" t="s">
        <v>1537</v>
      </c>
      <c r="D8847" s="5" t="s">
        <v>13</v>
      </c>
      <c r="E8847" s="5" t="s">
        <v>90</v>
      </c>
      <c r="F8847" s="5" t="s">
        <v>678</v>
      </c>
      <c r="G8847" s="5" t="s">
        <v>1538</v>
      </c>
      <c r="H8847" s="5" t="s">
        <v>1539</v>
      </c>
      <c r="I8847" s="5" t="s">
        <v>32</v>
      </c>
      <c r="J8847" s="5">
        <v>17.218451999999999</v>
      </c>
      <c r="K8847" s="5">
        <v>-96.243883999999994</v>
      </c>
      <c r="L8847" s="5" t="str">
        <f>HYPERLINK("https://maps.google.com/?q=17.218452,-96.243883999999994", "🔗 Ver Mapa")</f>
        <v>🔗 Ver Mapa</v>
      </c>
    </row>
    <row r="8848" spans="1:12" ht="43.5" x14ac:dyDescent="0.35">
      <c r="A8848" s="6" t="s">
        <v>516</v>
      </c>
      <c r="B8848" s="6" t="s">
        <v>517</v>
      </c>
      <c r="C8848" s="6" t="s">
        <v>1537</v>
      </c>
      <c r="D8848" s="6" t="s">
        <v>13</v>
      </c>
      <c r="E8848" s="6" t="s">
        <v>90</v>
      </c>
      <c r="F8848" s="6" t="s">
        <v>678</v>
      </c>
      <c r="G8848" s="6" t="s">
        <v>1538</v>
      </c>
      <c r="H8848" s="6" t="s">
        <v>1539</v>
      </c>
      <c r="I8848" s="6" t="s">
        <v>32</v>
      </c>
      <c r="J8848" s="6">
        <v>17.218647000000001</v>
      </c>
      <c r="K8848" s="6">
        <v>-96.242744000000002</v>
      </c>
      <c r="L8848" s="6" t="str">
        <f>HYPERLINK("https://maps.google.com/?q=17.218647,-96.242744000000002", "🔗 Ver Mapa")</f>
        <v>🔗 Ver Mapa</v>
      </c>
    </row>
    <row r="8849" spans="1:12" ht="43.5" x14ac:dyDescent="0.35">
      <c r="A8849" s="5" t="s">
        <v>516</v>
      </c>
      <c r="B8849" s="5" t="s">
        <v>517</v>
      </c>
      <c r="C8849" s="5" t="s">
        <v>1537</v>
      </c>
      <c r="D8849" s="5" t="s">
        <v>13</v>
      </c>
      <c r="E8849" s="5" t="s">
        <v>90</v>
      </c>
      <c r="F8849" s="5" t="s">
        <v>678</v>
      </c>
      <c r="G8849" s="5" t="s">
        <v>1538</v>
      </c>
      <c r="H8849" s="5" t="s">
        <v>1539</v>
      </c>
      <c r="I8849" s="5" t="s">
        <v>32</v>
      </c>
      <c r="J8849" s="5">
        <v>17.218684</v>
      </c>
      <c r="K8849" s="5">
        <v>-96.240415999999996</v>
      </c>
      <c r="L8849" s="5" t="str">
        <f>HYPERLINK("https://maps.google.com/?q=17.218684,-96.240415999999996", "🔗 Ver Mapa")</f>
        <v>🔗 Ver Mapa</v>
      </c>
    </row>
    <row r="8850" spans="1:12" ht="43.5" x14ac:dyDescent="0.35">
      <c r="A8850" s="6" t="s">
        <v>516</v>
      </c>
      <c r="B8850" s="6" t="s">
        <v>517</v>
      </c>
      <c r="C8850" s="6" t="s">
        <v>1537</v>
      </c>
      <c r="D8850" s="6" t="s">
        <v>13</v>
      </c>
      <c r="E8850" s="6" t="s">
        <v>90</v>
      </c>
      <c r="F8850" s="6" t="s">
        <v>678</v>
      </c>
      <c r="G8850" s="6" t="s">
        <v>1538</v>
      </c>
      <c r="H8850" s="6" t="s">
        <v>1539</v>
      </c>
      <c r="I8850" s="6" t="s">
        <v>32</v>
      </c>
      <c r="J8850" s="6">
        <v>17.218729</v>
      </c>
      <c r="K8850" s="6">
        <v>-96.243986000000007</v>
      </c>
      <c r="L8850" s="6" t="str">
        <f>HYPERLINK("https://maps.google.com/?q=17.218729,-96.243986000000007", "🔗 Ver Mapa")</f>
        <v>🔗 Ver Mapa</v>
      </c>
    </row>
    <row r="8851" spans="1:12" ht="43.5" x14ac:dyDescent="0.35">
      <c r="A8851" s="5" t="s">
        <v>516</v>
      </c>
      <c r="B8851" s="5" t="s">
        <v>517</v>
      </c>
      <c r="C8851" s="5" t="s">
        <v>1537</v>
      </c>
      <c r="D8851" s="5" t="s">
        <v>13</v>
      </c>
      <c r="E8851" s="5" t="s">
        <v>90</v>
      </c>
      <c r="F8851" s="5" t="s">
        <v>678</v>
      </c>
      <c r="G8851" s="5" t="s">
        <v>1538</v>
      </c>
      <c r="H8851" s="5" t="s">
        <v>1539</v>
      </c>
      <c r="I8851" s="5" t="s">
        <v>32</v>
      </c>
      <c r="J8851" s="5">
        <v>17.218769999999999</v>
      </c>
      <c r="K8851" s="5">
        <v>-96.242608000000004</v>
      </c>
      <c r="L8851" s="5" t="str">
        <f>HYPERLINK("https://maps.google.com/?q=17.21877,-96.242608000000004", "🔗 Ver Mapa")</f>
        <v>🔗 Ver Mapa</v>
      </c>
    </row>
    <row r="8852" spans="1:12" ht="43.5" x14ac:dyDescent="0.35">
      <c r="A8852" s="6" t="s">
        <v>516</v>
      </c>
      <c r="B8852" s="6" t="s">
        <v>517</v>
      </c>
      <c r="C8852" s="6" t="s">
        <v>1537</v>
      </c>
      <c r="D8852" s="6" t="s">
        <v>13</v>
      </c>
      <c r="E8852" s="6" t="s">
        <v>90</v>
      </c>
      <c r="F8852" s="6" t="s">
        <v>678</v>
      </c>
      <c r="G8852" s="6" t="s">
        <v>1538</v>
      </c>
      <c r="H8852" s="6" t="s">
        <v>1539</v>
      </c>
      <c r="I8852" s="6" t="s">
        <v>32</v>
      </c>
      <c r="J8852" s="6">
        <v>17.218809</v>
      </c>
      <c r="K8852" s="6">
        <v>-96.243983</v>
      </c>
      <c r="L8852" s="6" t="str">
        <f>HYPERLINK("https://maps.google.com/?q=17.218809,-96.243983", "🔗 Ver Mapa")</f>
        <v>🔗 Ver Mapa</v>
      </c>
    </row>
    <row r="8853" spans="1:12" ht="43.5" x14ac:dyDescent="0.35">
      <c r="A8853" s="5" t="s">
        <v>516</v>
      </c>
      <c r="B8853" s="5" t="s">
        <v>517</v>
      </c>
      <c r="C8853" s="5" t="s">
        <v>1537</v>
      </c>
      <c r="D8853" s="5" t="s">
        <v>13</v>
      </c>
      <c r="E8853" s="5" t="s">
        <v>90</v>
      </c>
      <c r="F8853" s="5" t="s">
        <v>678</v>
      </c>
      <c r="G8853" s="5" t="s">
        <v>1538</v>
      </c>
      <c r="H8853" s="5" t="s">
        <v>1539</v>
      </c>
      <c r="I8853" s="5" t="s">
        <v>32</v>
      </c>
      <c r="J8853" s="5">
        <v>17.218892</v>
      </c>
      <c r="K8853" s="5">
        <v>-96.242322999999999</v>
      </c>
      <c r="L8853" s="5" t="str">
        <f>HYPERLINK("https://maps.google.com/?q=17.218892,-96.242322999999999", "🔗 Ver Mapa")</f>
        <v>🔗 Ver Mapa</v>
      </c>
    </row>
    <row r="8854" spans="1:12" ht="43.5" x14ac:dyDescent="0.35">
      <c r="A8854" s="6" t="s">
        <v>516</v>
      </c>
      <c r="B8854" s="6" t="s">
        <v>517</v>
      </c>
      <c r="C8854" s="6" t="s">
        <v>1537</v>
      </c>
      <c r="D8854" s="6" t="s">
        <v>13</v>
      </c>
      <c r="E8854" s="6" t="s">
        <v>90</v>
      </c>
      <c r="F8854" s="6" t="s">
        <v>678</v>
      </c>
      <c r="G8854" s="6" t="s">
        <v>1538</v>
      </c>
      <c r="H8854" s="6" t="s">
        <v>1539</v>
      </c>
      <c r="I8854" s="6" t="s">
        <v>32</v>
      </c>
      <c r="J8854" s="6">
        <v>17.218959000000002</v>
      </c>
      <c r="K8854" s="6">
        <v>-96.240160000000003</v>
      </c>
      <c r="L8854" s="6" t="str">
        <f>HYPERLINK("https://maps.google.com/?q=17.218959,-96.240160000000003", "🔗 Ver Mapa")</f>
        <v>🔗 Ver Mapa</v>
      </c>
    </row>
    <row r="8855" spans="1:12" ht="43.5" x14ac:dyDescent="0.35">
      <c r="A8855" s="5" t="s">
        <v>516</v>
      </c>
      <c r="B8855" s="5" t="s">
        <v>517</v>
      </c>
      <c r="C8855" s="5" t="s">
        <v>1537</v>
      </c>
      <c r="D8855" s="5" t="s">
        <v>13</v>
      </c>
      <c r="E8855" s="5" t="s">
        <v>90</v>
      </c>
      <c r="F8855" s="5" t="s">
        <v>678</v>
      </c>
      <c r="G8855" s="5" t="s">
        <v>1538</v>
      </c>
      <c r="H8855" s="5" t="s">
        <v>1539</v>
      </c>
      <c r="I8855" s="5" t="s">
        <v>32</v>
      </c>
      <c r="J8855" s="5">
        <v>17.218996000000001</v>
      </c>
      <c r="K8855" s="5">
        <v>-96.243916999999996</v>
      </c>
      <c r="L8855" s="5" t="str">
        <f>HYPERLINK("https://maps.google.com/?q=17.218996,-96.243916999999996", "🔗 Ver Mapa")</f>
        <v>🔗 Ver Mapa</v>
      </c>
    </row>
    <row r="8856" spans="1:12" ht="43.5" x14ac:dyDescent="0.35">
      <c r="A8856" s="6" t="s">
        <v>516</v>
      </c>
      <c r="B8856" s="6" t="s">
        <v>517</v>
      </c>
      <c r="C8856" s="6" t="s">
        <v>1537</v>
      </c>
      <c r="D8856" s="6" t="s">
        <v>13</v>
      </c>
      <c r="E8856" s="6" t="s">
        <v>90</v>
      </c>
      <c r="F8856" s="6" t="s">
        <v>678</v>
      </c>
      <c r="G8856" s="6" t="s">
        <v>1538</v>
      </c>
      <c r="H8856" s="6" t="s">
        <v>1539</v>
      </c>
      <c r="I8856" s="6" t="s">
        <v>32</v>
      </c>
      <c r="J8856" s="6">
        <v>17.219128000000001</v>
      </c>
      <c r="K8856" s="6">
        <v>-96.243823000000006</v>
      </c>
      <c r="L8856" s="6" t="str">
        <f>HYPERLINK("https://maps.google.com/?q=17.219128,-96.243823000000006", "🔗 Ver Mapa")</f>
        <v>🔗 Ver Mapa</v>
      </c>
    </row>
    <row r="8857" spans="1:12" ht="43.5" x14ac:dyDescent="0.35">
      <c r="A8857" s="5" t="s">
        <v>516</v>
      </c>
      <c r="B8857" s="5" t="s">
        <v>517</v>
      </c>
      <c r="C8857" s="5" t="s">
        <v>1537</v>
      </c>
      <c r="D8857" s="5" t="s">
        <v>13</v>
      </c>
      <c r="E8857" s="5" t="s">
        <v>90</v>
      </c>
      <c r="F8857" s="5" t="s">
        <v>678</v>
      </c>
      <c r="G8857" s="5" t="s">
        <v>1538</v>
      </c>
      <c r="H8857" s="5" t="s">
        <v>1539</v>
      </c>
      <c r="I8857" s="5" t="s">
        <v>32</v>
      </c>
      <c r="J8857" s="5">
        <v>17.219477000000001</v>
      </c>
      <c r="K8857" s="5">
        <v>-96.239985000000004</v>
      </c>
      <c r="L8857" s="5" t="str">
        <f>HYPERLINK("https://maps.google.com/?q=17.219477,-96.239985000000004", "🔗 Ver Mapa")</f>
        <v>🔗 Ver Mapa</v>
      </c>
    </row>
    <row r="8858" spans="1:12" ht="43.5" x14ac:dyDescent="0.35">
      <c r="A8858" s="6" t="s">
        <v>516</v>
      </c>
      <c r="B8858" s="6" t="s">
        <v>517</v>
      </c>
      <c r="C8858" s="6" t="s">
        <v>1537</v>
      </c>
      <c r="D8858" s="6" t="s">
        <v>13</v>
      </c>
      <c r="E8858" s="6" t="s">
        <v>90</v>
      </c>
      <c r="F8858" s="6" t="s">
        <v>678</v>
      </c>
      <c r="G8858" s="6" t="s">
        <v>1538</v>
      </c>
      <c r="H8858" s="6" t="s">
        <v>1539</v>
      </c>
      <c r="I8858" s="6" t="s">
        <v>32</v>
      </c>
      <c r="J8858" s="6">
        <v>17.219633000000002</v>
      </c>
      <c r="K8858" s="6">
        <v>-96.242969000000002</v>
      </c>
      <c r="L8858" s="6" t="str">
        <f>HYPERLINK("https://maps.google.com/?q=17.219633,-96.242969000000002", "🔗 Ver Mapa")</f>
        <v>🔗 Ver Mapa</v>
      </c>
    </row>
    <row r="8859" spans="1:12" ht="43.5" x14ac:dyDescent="0.35">
      <c r="A8859" s="5" t="s">
        <v>516</v>
      </c>
      <c r="B8859" s="5" t="s">
        <v>517</v>
      </c>
      <c r="C8859" s="5" t="s">
        <v>1537</v>
      </c>
      <c r="D8859" s="5" t="s">
        <v>13</v>
      </c>
      <c r="E8859" s="5" t="s">
        <v>90</v>
      </c>
      <c r="F8859" s="5" t="s">
        <v>678</v>
      </c>
      <c r="G8859" s="5" t="s">
        <v>1538</v>
      </c>
      <c r="H8859" s="5" t="s">
        <v>1539</v>
      </c>
      <c r="I8859" s="5" t="s">
        <v>32</v>
      </c>
      <c r="J8859" s="5">
        <v>17.219776</v>
      </c>
      <c r="K8859" s="5">
        <v>-96.240020999999999</v>
      </c>
      <c r="L8859" s="5" t="str">
        <f>HYPERLINK("https://maps.google.com/?q=17.219776,-96.240020999999999", "🔗 Ver Mapa")</f>
        <v>🔗 Ver Mapa</v>
      </c>
    </row>
    <row r="8860" spans="1:12" ht="43.5" x14ac:dyDescent="0.35">
      <c r="A8860" s="6" t="s">
        <v>516</v>
      </c>
      <c r="B8860" s="6" t="s">
        <v>517</v>
      </c>
      <c r="C8860" s="6" t="s">
        <v>1537</v>
      </c>
      <c r="D8860" s="6" t="s">
        <v>13</v>
      </c>
      <c r="E8860" s="6" t="s">
        <v>90</v>
      </c>
      <c r="F8860" s="6" t="s">
        <v>678</v>
      </c>
      <c r="G8860" s="6" t="s">
        <v>1538</v>
      </c>
      <c r="H8860" s="6" t="s">
        <v>1539</v>
      </c>
      <c r="I8860" s="6" t="s">
        <v>32</v>
      </c>
      <c r="J8860" s="6">
        <v>17.219902000000001</v>
      </c>
      <c r="K8860" s="6">
        <v>-96.243251999999998</v>
      </c>
      <c r="L8860" s="6" t="str">
        <f>HYPERLINK("https://maps.google.com/?q=17.219902,-96.243251999999998", "🔗 Ver Mapa")</f>
        <v>🔗 Ver Mapa</v>
      </c>
    </row>
    <row r="8861" spans="1:12" ht="43.5" x14ac:dyDescent="0.35">
      <c r="A8861" s="5" t="s">
        <v>516</v>
      </c>
      <c r="B8861" s="5" t="s">
        <v>517</v>
      </c>
      <c r="C8861" s="5" t="s">
        <v>1537</v>
      </c>
      <c r="D8861" s="5" t="s">
        <v>13</v>
      </c>
      <c r="E8861" s="5" t="s">
        <v>90</v>
      </c>
      <c r="F8861" s="5" t="s">
        <v>678</v>
      </c>
      <c r="G8861" s="5" t="s">
        <v>1538</v>
      </c>
      <c r="H8861" s="5" t="s">
        <v>1539</v>
      </c>
      <c r="I8861" s="5" t="s">
        <v>32</v>
      </c>
      <c r="J8861" s="5">
        <v>17.220034999999999</v>
      </c>
      <c r="K8861" s="5">
        <v>-96.243352999999999</v>
      </c>
      <c r="L8861" s="5" t="str">
        <f>HYPERLINK("https://maps.google.com/?q=17.220035,-96.243352999999999", "🔗 Ver Mapa")</f>
        <v>🔗 Ver Mapa</v>
      </c>
    </row>
    <row r="8862" spans="1:12" ht="43.5" x14ac:dyDescent="0.35">
      <c r="A8862" s="6" t="s">
        <v>516</v>
      </c>
      <c r="B8862" s="6" t="s">
        <v>517</v>
      </c>
      <c r="C8862" s="6" t="s">
        <v>1537</v>
      </c>
      <c r="D8862" s="6" t="s">
        <v>13</v>
      </c>
      <c r="E8862" s="6" t="s">
        <v>90</v>
      </c>
      <c r="F8862" s="6" t="s">
        <v>678</v>
      </c>
      <c r="G8862" s="6" t="s">
        <v>1538</v>
      </c>
      <c r="H8862" s="6" t="s">
        <v>1539</v>
      </c>
      <c r="I8862" s="6" t="s">
        <v>32</v>
      </c>
      <c r="J8862" s="6">
        <v>17.220253</v>
      </c>
      <c r="K8862" s="6">
        <v>-96.243385000000004</v>
      </c>
      <c r="L8862" s="6" t="str">
        <f>HYPERLINK("https://maps.google.com/?q=17.220253,-96.243385000000004", "🔗 Ver Mapa")</f>
        <v>🔗 Ver Mapa</v>
      </c>
    </row>
    <row r="8863" spans="1:12" ht="43.5" x14ac:dyDescent="0.35">
      <c r="A8863" s="5" t="s">
        <v>516</v>
      </c>
      <c r="B8863" s="5" t="s">
        <v>517</v>
      </c>
      <c r="C8863" s="5" t="s">
        <v>1537</v>
      </c>
      <c r="D8863" s="5" t="s">
        <v>13</v>
      </c>
      <c r="E8863" s="5" t="s">
        <v>90</v>
      </c>
      <c r="F8863" s="5" t="s">
        <v>678</v>
      </c>
      <c r="G8863" s="5" t="s">
        <v>1538</v>
      </c>
      <c r="H8863" s="5" t="s">
        <v>1539</v>
      </c>
      <c r="I8863" s="5" t="s">
        <v>32</v>
      </c>
      <c r="J8863" s="5">
        <v>17.220405</v>
      </c>
      <c r="K8863" s="5">
        <v>-96.240435000000005</v>
      </c>
      <c r="L8863" s="5" t="str">
        <f>HYPERLINK("https://maps.google.com/?q=17.220405,-96.240435000000005", "🔗 Ver Mapa")</f>
        <v>🔗 Ver Mapa</v>
      </c>
    </row>
    <row r="8864" spans="1:12" ht="43.5" x14ac:dyDescent="0.35">
      <c r="A8864" s="6" t="s">
        <v>516</v>
      </c>
      <c r="B8864" s="6" t="s">
        <v>517</v>
      </c>
      <c r="C8864" s="6" t="s">
        <v>1537</v>
      </c>
      <c r="D8864" s="6" t="s">
        <v>13</v>
      </c>
      <c r="E8864" s="6" t="s">
        <v>90</v>
      </c>
      <c r="F8864" s="6" t="s">
        <v>678</v>
      </c>
      <c r="G8864" s="6" t="s">
        <v>1538</v>
      </c>
      <c r="H8864" s="6" t="s">
        <v>1539</v>
      </c>
      <c r="I8864" s="6" t="s">
        <v>32</v>
      </c>
      <c r="J8864" s="6">
        <v>17.220465999999998</v>
      </c>
      <c r="K8864" s="6">
        <v>-96.243380000000002</v>
      </c>
      <c r="L8864" s="6" t="str">
        <f>HYPERLINK("https://maps.google.com/?q=17.220466,-96.243380000000002", "🔗 Ver Mapa")</f>
        <v>🔗 Ver Mapa</v>
      </c>
    </row>
    <row r="8865" spans="1:12" ht="43.5" x14ac:dyDescent="0.35">
      <c r="A8865" s="5" t="s">
        <v>516</v>
      </c>
      <c r="B8865" s="5" t="s">
        <v>517</v>
      </c>
      <c r="C8865" s="5" t="s">
        <v>1537</v>
      </c>
      <c r="D8865" s="5" t="s">
        <v>13</v>
      </c>
      <c r="E8865" s="5" t="s">
        <v>90</v>
      </c>
      <c r="F8865" s="5" t="s">
        <v>678</v>
      </c>
      <c r="G8865" s="5" t="s">
        <v>1538</v>
      </c>
      <c r="H8865" s="5" t="s">
        <v>1539</v>
      </c>
      <c r="I8865" s="5" t="s">
        <v>32</v>
      </c>
      <c r="J8865" s="5">
        <v>17.220904999999998</v>
      </c>
      <c r="K8865" s="5">
        <v>-96.243442000000002</v>
      </c>
      <c r="L8865" s="5" t="str">
        <f>HYPERLINK("https://maps.google.com/?q=17.220905,-96.243442000000002", "🔗 Ver Mapa")</f>
        <v>🔗 Ver Mapa</v>
      </c>
    </row>
    <row r="8866" spans="1:12" ht="43.5" x14ac:dyDescent="0.35">
      <c r="A8866" s="6" t="s">
        <v>516</v>
      </c>
      <c r="B8866" s="6" t="s">
        <v>517</v>
      </c>
      <c r="C8866" s="6" t="s">
        <v>1537</v>
      </c>
      <c r="D8866" s="6" t="s">
        <v>13</v>
      </c>
      <c r="E8866" s="6" t="s">
        <v>90</v>
      </c>
      <c r="F8866" s="6" t="s">
        <v>678</v>
      </c>
      <c r="G8866" s="6" t="s">
        <v>1538</v>
      </c>
      <c r="H8866" s="6" t="s">
        <v>1539</v>
      </c>
      <c r="I8866" s="6" t="s">
        <v>32</v>
      </c>
      <c r="J8866" s="6">
        <v>17.221152</v>
      </c>
      <c r="K8866" s="6">
        <v>-96.243694000000005</v>
      </c>
      <c r="L8866" s="6" t="str">
        <f>HYPERLINK("https://maps.google.com/?q=17.221152,-96.243694000000005", "🔗 Ver Mapa")</f>
        <v>🔗 Ver Mapa</v>
      </c>
    </row>
    <row r="8867" spans="1:12" ht="43.5" x14ac:dyDescent="0.35">
      <c r="A8867" s="5" t="s">
        <v>516</v>
      </c>
      <c r="B8867" s="5" t="s">
        <v>517</v>
      </c>
      <c r="C8867" s="5" t="s">
        <v>1537</v>
      </c>
      <c r="D8867" s="5" t="s">
        <v>13</v>
      </c>
      <c r="E8867" s="5" t="s">
        <v>90</v>
      </c>
      <c r="F8867" s="5" t="s">
        <v>678</v>
      </c>
      <c r="G8867" s="5" t="s">
        <v>1538</v>
      </c>
      <c r="H8867" s="5" t="s">
        <v>1539</v>
      </c>
      <c r="I8867" s="5" t="s">
        <v>32</v>
      </c>
      <c r="J8867" s="5">
        <v>17.221506999999999</v>
      </c>
      <c r="K8867" s="5">
        <v>-96.243832999999995</v>
      </c>
      <c r="L8867" s="5" t="str">
        <f>HYPERLINK("https://maps.google.com/?q=17.221507,-96.243832999999995", "🔗 Ver Mapa")</f>
        <v>🔗 Ver Mapa</v>
      </c>
    </row>
    <row r="8868" spans="1:12" ht="43.5" x14ac:dyDescent="0.35">
      <c r="A8868" s="6" t="s">
        <v>516</v>
      </c>
      <c r="B8868" s="6" t="s">
        <v>517</v>
      </c>
      <c r="C8868" s="6" t="s">
        <v>1537</v>
      </c>
      <c r="D8868" s="6" t="s">
        <v>13</v>
      </c>
      <c r="E8868" s="6" t="s">
        <v>90</v>
      </c>
      <c r="F8868" s="6" t="s">
        <v>678</v>
      </c>
      <c r="G8868" s="6" t="s">
        <v>1538</v>
      </c>
      <c r="H8868" s="6" t="s">
        <v>1539</v>
      </c>
      <c r="I8868" s="6" t="s">
        <v>32</v>
      </c>
      <c r="J8868" s="6">
        <v>17.221603999999999</v>
      </c>
      <c r="K8868" s="6">
        <v>-96.244031000000007</v>
      </c>
      <c r="L8868" s="6" t="str">
        <f>HYPERLINK("https://maps.google.com/?q=17.221604,-96.244031000000007", "🔗 Ver Mapa")</f>
        <v>🔗 Ver Mapa</v>
      </c>
    </row>
    <row r="8869" spans="1:12" ht="43.5" x14ac:dyDescent="0.35">
      <c r="A8869" s="5" t="s">
        <v>516</v>
      </c>
      <c r="B8869" s="5" t="s">
        <v>517</v>
      </c>
      <c r="C8869" s="5" t="s">
        <v>1537</v>
      </c>
      <c r="D8869" s="5" t="s">
        <v>13</v>
      </c>
      <c r="E8869" s="5" t="s">
        <v>90</v>
      </c>
      <c r="F8869" s="5" t="s">
        <v>678</v>
      </c>
      <c r="G8869" s="5" t="s">
        <v>1538</v>
      </c>
      <c r="H8869" s="5" t="s">
        <v>1539</v>
      </c>
      <c r="I8869" s="5" t="s">
        <v>32</v>
      </c>
      <c r="J8869" s="5">
        <v>17.221625</v>
      </c>
      <c r="K8869" s="5">
        <v>-96.244176999999993</v>
      </c>
      <c r="L8869" s="5" t="str">
        <f>HYPERLINK("https://maps.google.com/?q=17.221625,-96.244176999999993", "🔗 Ver Mapa")</f>
        <v>🔗 Ver Mapa</v>
      </c>
    </row>
    <row r="8870" spans="1:12" ht="43.5" x14ac:dyDescent="0.35">
      <c r="A8870" s="6" t="s">
        <v>516</v>
      </c>
      <c r="B8870" s="6" t="s">
        <v>517</v>
      </c>
      <c r="C8870" s="6" t="s">
        <v>1537</v>
      </c>
      <c r="D8870" s="6" t="s">
        <v>13</v>
      </c>
      <c r="E8870" s="6" t="s">
        <v>90</v>
      </c>
      <c r="F8870" s="6" t="s">
        <v>678</v>
      </c>
      <c r="G8870" s="6" t="s">
        <v>1538</v>
      </c>
      <c r="H8870" s="6" t="s">
        <v>1539</v>
      </c>
      <c r="I8870" s="6" t="s">
        <v>32</v>
      </c>
      <c r="J8870" s="6">
        <v>17.221786999999999</v>
      </c>
      <c r="K8870" s="6">
        <v>-96.244527000000005</v>
      </c>
      <c r="L8870" s="6" t="str">
        <f>HYPERLINK("https://maps.google.com/?q=17.221787,-96.244527000000005", "🔗 Ver Mapa")</f>
        <v>🔗 Ver Mapa</v>
      </c>
    </row>
    <row r="8871" spans="1:12" ht="43.5" x14ac:dyDescent="0.35">
      <c r="A8871" s="5" t="s">
        <v>516</v>
      </c>
      <c r="B8871" s="5" t="s">
        <v>517</v>
      </c>
      <c r="C8871" s="5" t="s">
        <v>1537</v>
      </c>
      <c r="D8871" s="5" t="s">
        <v>13</v>
      </c>
      <c r="E8871" s="5" t="s">
        <v>90</v>
      </c>
      <c r="F8871" s="5" t="s">
        <v>678</v>
      </c>
      <c r="G8871" s="5" t="s">
        <v>1538</v>
      </c>
      <c r="H8871" s="5" t="s">
        <v>1539</v>
      </c>
      <c r="I8871" s="5" t="s">
        <v>32</v>
      </c>
      <c r="J8871" s="5">
        <v>17.222020000000001</v>
      </c>
      <c r="K8871" s="5">
        <v>-96.243669999999995</v>
      </c>
      <c r="L8871" s="5" t="str">
        <f>HYPERLINK("https://maps.google.com/?q=17.22202,-96.243669999999995", "🔗 Ver Mapa")</f>
        <v>🔗 Ver Mapa</v>
      </c>
    </row>
    <row r="8872" spans="1:12" ht="43.5" x14ac:dyDescent="0.35">
      <c r="A8872" s="6" t="s">
        <v>516</v>
      </c>
      <c r="B8872" s="6" t="s">
        <v>517</v>
      </c>
      <c r="C8872" s="6" t="s">
        <v>1537</v>
      </c>
      <c r="D8872" s="6" t="s">
        <v>13</v>
      </c>
      <c r="E8872" s="6" t="s">
        <v>90</v>
      </c>
      <c r="F8872" s="6" t="s">
        <v>678</v>
      </c>
      <c r="G8872" s="6" t="s">
        <v>1538</v>
      </c>
      <c r="H8872" s="6" t="s">
        <v>1539</v>
      </c>
      <c r="I8872" s="6" t="s">
        <v>32</v>
      </c>
      <c r="J8872" s="6">
        <v>17.222187999999999</v>
      </c>
      <c r="K8872" s="6">
        <v>-96.244617000000005</v>
      </c>
      <c r="L8872" s="6" t="str">
        <f>HYPERLINK("https://maps.google.com/?q=17.222188,-96.244617000000005", "🔗 Ver Mapa")</f>
        <v>🔗 Ver Mapa</v>
      </c>
    </row>
    <row r="8873" spans="1:12" ht="43.5" x14ac:dyDescent="0.35">
      <c r="A8873" s="5" t="s">
        <v>516</v>
      </c>
      <c r="B8873" s="5" t="s">
        <v>517</v>
      </c>
      <c r="C8873" s="5" t="s">
        <v>1537</v>
      </c>
      <c r="D8873" s="5" t="s">
        <v>13</v>
      </c>
      <c r="E8873" s="5" t="s">
        <v>90</v>
      </c>
      <c r="F8873" s="5" t="s">
        <v>678</v>
      </c>
      <c r="G8873" s="5" t="s">
        <v>1538</v>
      </c>
      <c r="H8873" s="5" t="s">
        <v>1539</v>
      </c>
      <c r="I8873" s="5" t="s">
        <v>32</v>
      </c>
      <c r="J8873" s="5">
        <v>17.222480999999998</v>
      </c>
      <c r="K8873" s="5">
        <v>-96.242587999999998</v>
      </c>
      <c r="L8873" s="5" t="str">
        <f>HYPERLINK("https://maps.google.com/?q=17.222481,-96.242587999999998", "🔗 Ver Mapa")</f>
        <v>🔗 Ver Mapa</v>
      </c>
    </row>
    <row r="8874" spans="1:12" ht="43.5" x14ac:dyDescent="0.35">
      <c r="A8874" s="6" t="s">
        <v>516</v>
      </c>
      <c r="B8874" s="6" t="s">
        <v>517</v>
      </c>
      <c r="C8874" s="6" t="s">
        <v>1537</v>
      </c>
      <c r="D8874" s="6" t="s">
        <v>13</v>
      </c>
      <c r="E8874" s="6" t="s">
        <v>90</v>
      </c>
      <c r="F8874" s="6" t="s">
        <v>678</v>
      </c>
      <c r="G8874" s="6" t="s">
        <v>1538</v>
      </c>
      <c r="H8874" s="6" t="s">
        <v>1539</v>
      </c>
      <c r="I8874" s="6" t="s">
        <v>32</v>
      </c>
      <c r="J8874" s="6">
        <v>17.222619000000002</v>
      </c>
      <c r="K8874" s="6">
        <v>-96.243744000000007</v>
      </c>
      <c r="L8874" s="6" t="str">
        <f>HYPERLINK("https://maps.google.com/?q=17.222619,-96.243744000000007", "🔗 Ver Mapa")</f>
        <v>🔗 Ver Mapa</v>
      </c>
    </row>
    <row r="8875" spans="1:12" ht="43.5" x14ac:dyDescent="0.35">
      <c r="A8875" s="5" t="s">
        <v>516</v>
      </c>
      <c r="B8875" s="5" t="s">
        <v>517</v>
      </c>
      <c r="C8875" s="5" t="s">
        <v>1537</v>
      </c>
      <c r="D8875" s="5" t="s">
        <v>13</v>
      </c>
      <c r="E8875" s="5" t="s">
        <v>90</v>
      </c>
      <c r="F8875" s="5" t="s">
        <v>678</v>
      </c>
      <c r="G8875" s="5" t="s">
        <v>1538</v>
      </c>
      <c r="H8875" s="5" t="s">
        <v>1539</v>
      </c>
      <c r="I8875" s="5" t="s">
        <v>32</v>
      </c>
      <c r="J8875" s="5">
        <v>17.222909999999999</v>
      </c>
      <c r="K8875" s="5">
        <v>-96.242069999999998</v>
      </c>
      <c r="L8875" s="5" t="str">
        <f>HYPERLINK("https://maps.google.com/?q=17.22291,-96.242069999999998", "🔗 Ver Mapa")</f>
        <v>🔗 Ver Mapa</v>
      </c>
    </row>
    <row r="8876" spans="1:12" ht="43.5" x14ac:dyDescent="0.35">
      <c r="A8876" s="6" t="s">
        <v>516</v>
      </c>
      <c r="B8876" s="6" t="s">
        <v>517</v>
      </c>
      <c r="C8876" s="6" t="s">
        <v>1537</v>
      </c>
      <c r="D8876" s="6" t="s">
        <v>13</v>
      </c>
      <c r="E8876" s="6" t="s">
        <v>90</v>
      </c>
      <c r="F8876" s="6" t="s">
        <v>678</v>
      </c>
      <c r="G8876" s="6" t="s">
        <v>1538</v>
      </c>
      <c r="H8876" s="6" t="s">
        <v>1539</v>
      </c>
      <c r="I8876" s="6" t="s">
        <v>32</v>
      </c>
      <c r="J8876" s="6">
        <v>17.222995000000001</v>
      </c>
      <c r="K8876" s="6">
        <v>-96.243052000000006</v>
      </c>
      <c r="L8876" s="6" t="str">
        <f>HYPERLINK("https://maps.google.com/?q=17.222995,-96.243052000000006", "🔗 Ver Mapa")</f>
        <v>🔗 Ver Mapa</v>
      </c>
    </row>
    <row r="8877" spans="1:12" ht="43.5" x14ac:dyDescent="0.35">
      <c r="A8877" s="5" t="s">
        <v>516</v>
      </c>
      <c r="B8877" s="5" t="s">
        <v>517</v>
      </c>
      <c r="C8877" s="5" t="s">
        <v>1540</v>
      </c>
      <c r="D8877" s="5" t="s">
        <v>13</v>
      </c>
      <c r="E8877" s="5" t="s">
        <v>90</v>
      </c>
      <c r="F8877" s="5" t="s">
        <v>678</v>
      </c>
      <c r="G8877" s="5" t="s">
        <v>1541</v>
      </c>
      <c r="H8877" s="5" t="s">
        <v>1542</v>
      </c>
      <c r="I8877" s="5" t="s">
        <v>32</v>
      </c>
      <c r="J8877" s="5">
        <v>17.377944919000001</v>
      </c>
      <c r="K8877" s="5">
        <v>-96.160129870000006</v>
      </c>
      <c r="L8877" s="5" t="str">
        <f>HYPERLINK("https://maps.google.com/?q=17.377944919,-96.160129870000006", "🔗 Ver Mapa")</f>
        <v>🔗 Ver Mapa</v>
      </c>
    </row>
    <row r="8878" spans="1:12" ht="43.5" x14ac:dyDescent="0.35">
      <c r="A8878" s="6" t="s">
        <v>516</v>
      </c>
      <c r="B8878" s="6" t="s">
        <v>517</v>
      </c>
      <c r="C8878" s="6" t="s">
        <v>1540</v>
      </c>
      <c r="D8878" s="6" t="s">
        <v>13</v>
      </c>
      <c r="E8878" s="6" t="s">
        <v>90</v>
      </c>
      <c r="F8878" s="6" t="s">
        <v>678</v>
      </c>
      <c r="G8878" s="6" t="s">
        <v>1541</v>
      </c>
      <c r="H8878" s="6" t="s">
        <v>1542</v>
      </c>
      <c r="I8878" s="6" t="s">
        <v>32</v>
      </c>
      <c r="J8878" s="6">
        <v>17.37853767</v>
      </c>
      <c r="K8878" s="6">
        <v>-96.160448649000003</v>
      </c>
      <c r="L8878" s="6" t="str">
        <f>HYPERLINK("https://maps.google.com/?q=17.37853767,-96.160448649000003", "🔗 Ver Mapa")</f>
        <v>🔗 Ver Mapa</v>
      </c>
    </row>
    <row r="8879" spans="1:12" ht="43.5" x14ac:dyDescent="0.35">
      <c r="A8879" s="5" t="s">
        <v>516</v>
      </c>
      <c r="B8879" s="5" t="s">
        <v>517</v>
      </c>
      <c r="C8879" s="5" t="s">
        <v>1540</v>
      </c>
      <c r="D8879" s="5" t="s">
        <v>13</v>
      </c>
      <c r="E8879" s="5" t="s">
        <v>90</v>
      </c>
      <c r="F8879" s="5" t="s">
        <v>678</v>
      </c>
      <c r="G8879" s="5" t="s">
        <v>1541</v>
      </c>
      <c r="H8879" s="5" t="s">
        <v>1542</v>
      </c>
      <c r="I8879" s="5" t="s">
        <v>32</v>
      </c>
      <c r="J8879" s="5">
        <v>17.378733298</v>
      </c>
      <c r="K8879" s="5">
        <v>-96.160495754999999</v>
      </c>
      <c r="L8879" s="5" t="str">
        <f>HYPERLINK("https://maps.google.com/?q=17.378733298,-96.160495754999999", "🔗 Ver Mapa")</f>
        <v>🔗 Ver Mapa</v>
      </c>
    </row>
    <row r="8880" spans="1:12" ht="43.5" x14ac:dyDescent="0.35">
      <c r="A8880" s="6" t="s">
        <v>516</v>
      </c>
      <c r="B8880" s="6" t="s">
        <v>517</v>
      </c>
      <c r="C8880" s="6" t="s">
        <v>1540</v>
      </c>
      <c r="D8880" s="6" t="s">
        <v>13</v>
      </c>
      <c r="E8880" s="6" t="s">
        <v>90</v>
      </c>
      <c r="F8880" s="6" t="s">
        <v>678</v>
      </c>
      <c r="G8880" s="6" t="s">
        <v>1541</v>
      </c>
      <c r="H8880" s="6" t="s">
        <v>1542</v>
      </c>
      <c r="I8880" s="6" t="s">
        <v>32</v>
      </c>
      <c r="J8880" s="6">
        <v>17.378840012000001</v>
      </c>
      <c r="K8880" s="6">
        <v>-96.160405425999997</v>
      </c>
      <c r="L8880" s="6" t="str">
        <f>HYPERLINK("https://maps.google.com/?q=17.378840012,-96.160405425999997", "🔗 Ver Mapa")</f>
        <v>🔗 Ver Mapa</v>
      </c>
    </row>
    <row r="8881" spans="1:12" ht="43.5" x14ac:dyDescent="0.35">
      <c r="A8881" s="5" t="s">
        <v>516</v>
      </c>
      <c r="B8881" s="5" t="s">
        <v>517</v>
      </c>
      <c r="C8881" s="5" t="s">
        <v>1540</v>
      </c>
      <c r="D8881" s="5" t="s">
        <v>13</v>
      </c>
      <c r="E8881" s="5" t="s">
        <v>90</v>
      </c>
      <c r="F8881" s="5" t="s">
        <v>678</v>
      </c>
      <c r="G8881" s="5" t="s">
        <v>1541</v>
      </c>
      <c r="H8881" s="5" t="s">
        <v>1542</v>
      </c>
      <c r="I8881" s="5" t="s">
        <v>32</v>
      </c>
      <c r="J8881" s="5">
        <v>17.379017465</v>
      </c>
      <c r="K8881" s="5">
        <v>-96.160177833000006</v>
      </c>
      <c r="L8881" s="5" t="str">
        <f>HYPERLINK("https://maps.google.com/?q=17.379017465,-96.160177833000006", "🔗 Ver Mapa")</f>
        <v>🔗 Ver Mapa</v>
      </c>
    </row>
    <row r="8882" spans="1:12" ht="43.5" x14ac:dyDescent="0.35">
      <c r="A8882" s="6" t="s">
        <v>516</v>
      </c>
      <c r="B8882" s="6" t="s">
        <v>517</v>
      </c>
      <c r="C8882" s="6" t="s">
        <v>1540</v>
      </c>
      <c r="D8882" s="6" t="s">
        <v>13</v>
      </c>
      <c r="E8882" s="6" t="s">
        <v>90</v>
      </c>
      <c r="F8882" s="6" t="s">
        <v>678</v>
      </c>
      <c r="G8882" s="6" t="s">
        <v>1541</v>
      </c>
      <c r="H8882" s="6" t="s">
        <v>1542</v>
      </c>
      <c r="I8882" s="6" t="s">
        <v>32</v>
      </c>
      <c r="J8882" s="6">
        <v>17.379108656</v>
      </c>
      <c r="K8882" s="6">
        <v>-96.161846714999996</v>
      </c>
      <c r="L8882" s="6" t="str">
        <f>HYPERLINK("https://maps.google.com/?q=17.379108656,-96.161846714999996", "🔗 Ver Mapa")</f>
        <v>🔗 Ver Mapa</v>
      </c>
    </row>
    <row r="8883" spans="1:12" ht="43.5" x14ac:dyDescent="0.35">
      <c r="A8883" s="5" t="s">
        <v>516</v>
      </c>
      <c r="B8883" s="5" t="s">
        <v>517</v>
      </c>
      <c r="C8883" s="5" t="s">
        <v>1540</v>
      </c>
      <c r="D8883" s="5" t="s">
        <v>13</v>
      </c>
      <c r="E8883" s="5" t="s">
        <v>90</v>
      </c>
      <c r="F8883" s="5" t="s">
        <v>678</v>
      </c>
      <c r="G8883" s="5" t="s">
        <v>1541</v>
      </c>
      <c r="H8883" s="5" t="s">
        <v>1542</v>
      </c>
      <c r="I8883" s="5" t="s">
        <v>32</v>
      </c>
      <c r="J8883" s="5">
        <v>17.379155397000002</v>
      </c>
      <c r="K8883" s="5">
        <v>-96.159965048999993</v>
      </c>
      <c r="L8883" s="5" t="str">
        <f>HYPERLINK("https://maps.google.com/?q=17.379155397,-96.159965048999993", "🔗 Ver Mapa")</f>
        <v>🔗 Ver Mapa</v>
      </c>
    </row>
    <row r="8884" spans="1:12" ht="43.5" x14ac:dyDescent="0.35">
      <c r="A8884" s="6" t="s">
        <v>516</v>
      </c>
      <c r="B8884" s="6" t="s">
        <v>517</v>
      </c>
      <c r="C8884" s="6" t="s">
        <v>1540</v>
      </c>
      <c r="D8884" s="6" t="s">
        <v>13</v>
      </c>
      <c r="E8884" s="6" t="s">
        <v>90</v>
      </c>
      <c r="F8884" s="6" t="s">
        <v>678</v>
      </c>
      <c r="G8884" s="6" t="s">
        <v>1541</v>
      </c>
      <c r="H8884" s="6" t="s">
        <v>1542</v>
      </c>
      <c r="I8884" s="6" t="s">
        <v>32</v>
      </c>
      <c r="J8884" s="6">
        <v>17.379257505000002</v>
      </c>
      <c r="K8884" s="6">
        <v>-96.161830030999994</v>
      </c>
      <c r="L8884" s="6" t="str">
        <f>HYPERLINK("https://maps.google.com/?q=17.379257505,-96.161830030999994", "🔗 Ver Mapa")</f>
        <v>🔗 Ver Mapa</v>
      </c>
    </row>
    <row r="8885" spans="1:12" ht="43.5" x14ac:dyDescent="0.35">
      <c r="A8885" s="5" t="s">
        <v>516</v>
      </c>
      <c r="B8885" s="5" t="s">
        <v>517</v>
      </c>
      <c r="C8885" s="5" t="s">
        <v>1540</v>
      </c>
      <c r="D8885" s="5" t="s">
        <v>13</v>
      </c>
      <c r="E8885" s="5" t="s">
        <v>90</v>
      </c>
      <c r="F8885" s="5" t="s">
        <v>678</v>
      </c>
      <c r="G8885" s="5" t="s">
        <v>1541</v>
      </c>
      <c r="H8885" s="5" t="s">
        <v>1542</v>
      </c>
      <c r="I8885" s="5" t="s">
        <v>32</v>
      </c>
      <c r="J8885" s="5">
        <v>17.379319838000001</v>
      </c>
      <c r="K8885" s="5">
        <v>-96.159984422999997</v>
      </c>
      <c r="L8885" s="5" t="str">
        <f>HYPERLINK("https://maps.google.com/?q=17.379319838,-96.159984422999997", "🔗 Ver Mapa")</f>
        <v>🔗 Ver Mapa</v>
      </c>
    </row>
    <row r="8886" spans="1:12" ht="43.5" x14ac:dyDescent="0.35">
      <c r="A8886" s="6" t="s">
        <v>516</v>
      </c>
      <c r="B8886" s="6" t="s">
        <v>517</v>
      </c>
      <c r="C8886" s="6" t="s">
        <v>1540</v>
      </c>
      <c r="D8886" s="6" t="s">
        <v>13</v>
      </c>
      <c r="E8886" s="6" t="s">
        <v>90</v>
      </c>
      <c r="F8886" s="6" t="s">
        <v>678</v>
      </c>
      <c r="G8886" s="6" t="s">
        <v>1541</v>
      </c>
      <c r="H8886" s="6" t="s">
        <v>1542</v>
      </c>
      <c r="I8886" s="6" t="s">
        <v>32</v>
      </c>
      <c r="J8886" s="6">
        <v>17.379453900000001</v>
      </c>
      <c r="K8886" s="6">
        <v>-96.160496109999997</v>
      </c>
      <c r="L8886" s="6" t="str">
        <f>HYPERLINK("https://maps.google.com/?q=17.3794539,-96.160496109999997", "🔗 Ver Mapa")</f>
        <v>🔗 Ver Mapa</v>
      </c>
    </row>
    <row r="8887" spans="1:12" ht="43.5" x14ac:dyDescent="0.35">
      <c r="A8887" s="5" t="s">
        <v>516</v>
      </c>
      <c r="B8887" s="5" t="s">
        <v>517</v>
      </c>
      <c r="C8887" s="5" t="s">
        <v>1540</v>
      </c>
      <c r="D8887" s="5" t="s">
        <v>13</v>
      </c>
      <c r="E8887" s="5" t="s">
        <v>90</v>
      </c>
      <c r="F8887" s="5" t="s">
        <v>678</v>
      </c>
      <c r="G8887" s="5" t="s">
        <v>1541</v>
      </c>
      <c r="H8887" s="5" t="s">
        <v>1542</v>
      </c>
      <c r="I8887" s="5" t="s">
        <v>32</v>
      </c>
      <c r="J8887" s="5">
        <v>17.379458259</v>
      </c>
      <c r="K8887" s="5">
        <v>-96.161659727</v>
      </c>
      <c r="L8887" s="5" t="str">
        <f>HYPERLINK("https://maps.google.com/?q=17.379458259,-96.161659727", "🔗 Ver Mapa")</f>
        <v>🔗 Ver Mapa</v>
      </c>
    </row>
    <row r="8888" spans="1:12" ht="43.5" x14ac:dyDescent="0.35">
      <c r="A8888" s="6" t="s">
        <v>516</v>
      </c>
      <c r="B8888" s="6" t="s">
        <v>517</v>
      </c>
      <c r="C8888" s="6" t="s">
        <v>1540</v>
      </c>
      <c r="D8888" s="6" t="s">
        <v>13</v>
      </c>
      <c r="E8888" s="6" t="s">
        <v>90</v>
      </c>
      <c r="F8888" s="6" t="s">
        <v>678</v>
      </c>
      <c r="G8888" s="6" t="s">
        <v>1541</v>
      </c>
      <c r="H8888" s="6" t="s">
        <v>1542</v>
      </c>
      <c r="I8888" s="6" t="s">
        <v>32</v>
      </c>
      <c r="J8888" s="6">
        <v>17.379519688999999</v>
      </c>
      <c r="K8888" s="6">
        <v>-96.161636114999993</v>
      </c>
      <c r="L8888" s="6" t="str">
        <f>HYPERLINK("https://maps.google.com/?q=17.379519689,-96.161636114999993", "🔗 Ver Mapa")</f>
        <v>🔗 Ver Mapa</v>
      </c>
    </row>
    <row r="8889" spans="1:12" ht="43.5" x14ac:dyDescent="0.35">
      <c r="A8889" s="5" t="s">
        <v>516</v>
      </c>
      <c r="B8889" s="5" t="s">
        <v>517</v>
      </c>
      <c r="C8889" s="5" t="s">
        <v>1540</v>
      </c>
      <c r="D8889" s="5" t="s">
        <v>13</v>
      </c>
      <c r="E8889" s="5" t="s">
        <v>90</v>
      </c>
      <c r="F8889" s="5" t="s">
        <v>678</v>
      </c>
      <c r="G8889" s="5" t="s">
        <v>1541</v>
      </c>
      <c r="H8889" s="5" t="s">
        <v>1542</v>
      </c>
      <c r="I8889" s="5" t="s">
        <v>32</v>
      </c>
      <c r="J8889" s="5">
        <v>17.379663862000001</v>
      </c>
      <c r="K8889" s="5">
        <v>-96.162478209</v>
      </c>
      <c r="L8889" s="5" t="str">
        <f>HYPERLINK("https://maps.google.com/?q=17.379663862,-96.162478209", "🔗 Ver Mapa")</f>
        <v>🔗 Ver Mapa</v>
      </c>
    </row>
    <row r="8890" spans="1:12" ht="43.5" x14ac:dyDescent="0.35">
      <c r="A8890" s="6" t="s">
        <v>516</v>
      </c>
      <c r="B8890" s="6" t="s">
        <v>517</v>
      </c>
      <c r="C8890" s="6" t="s">
        <v>1540</v>
      </c>
      <c r="D8890" s="6" t="s">
        <v>13</v>
      </c>
      <c r="E8890" s="6" t="s">
        <v>90</v>
      </c>
      <c r="F8890" s="6" t="s">
        <v>678</v>
      </c>
      <c r="G8890" s="6" t="s">
        <v>1541</v>
      </c>
      <c r="H8890" s="6" t="s">
        <v>1542</v>
      </c>
      <c r="I8890" s="6" t="s">
        <v>32</v>
      </c>
      <c r="J8890" s="6">
        <v>17.379690687</v>
      </c>
      <c r="K8890" s="6">
        <v>-96.161595860999995</v>
      </c>
      <c r="L8890" s="6" t="str">
        <f>HYPERLINK("https://maps.google.com/?q=17.379690687,-96.161595860999995", "🔗 Ver Mapa")</f>
        <v>🔗 Ver Mapa</v>
      </c>
    </row>
    <row r="8891" spans="1:12" ht="43.5" x14ac:dyDescent="0.35">
      <c r="A8891" s="5" t="s">
        <v>516</v>
      </c>
      <c r="B8891" s="5" t="s">
        <v>517</v>
      </c>
      <c r="C8891" s="5" t="s">
        <v>1540</v>
      </c>
      <c r="D8891" s="5" t="s">
        <v>13</v>
      </c>
      <c r="E8891" s="5" t="s">
        <v>90</v>
      </c>
      <c r="F8891" s="5" t="s">
        <v>678</v>
      </c>
      <c r="G8891" s="5" t="s">
        <v>1541</v>
      </c>
      <c r="H8891" s="5" t="s">
        <v>1542</v>
      </c>
      <c r="I8891" s="5" t="s">
        <v>32</v>
      </c>
      <c r="J8891" s="5">
        <v>17.379731404000001</v>
      </c>
      <c r="K8891" s="5">
        <v>-96.161220659999998</v>
      </c>
      <c r="L8891" s="5" t="str">
        <f>HYPERLINK("https://maps.google.com/?q=17.379731404,-96.161220659999998", "🔗 Ver Mapa")</f>
        <v>🔗 Ver Mapa</v>
      </c>
    </row>
    <row r="8892" spans="1:12" ht="43.5" x14ac:dyDescent="0.35">
      <c r="A8892" s="6" t="s">
        <v>516</v>
      </c>
      <c r="B8892" s="6" t="s">
        <v>517</v>
      </c>
      <c r="C8892" s="6" t="s">
        <v>1540</v>
      </c>
      <c r="D8892" s="6" t="s">
        <v>13</v>
      </c>
      <c r="E8892" s="6" t="s">
        <v>90</v>
      </c>
      <c r="F8892" s="6" t="s">
        <v>678</v>
      </c>
      <c r="G8892" s="6" t="s">
        <v>1541</v>
      </c>
      <c r="H8892" s="6" t="s">
        <v>1542</v>
      </c>
      <c r="I8892" s="6" t="s">
        <v>32</v>
      </c>
      <c r="J8892" s="6">
        <v>17.379791128000001</v>
      </c>
      <c r="K8892" s="6">
        <v>-96.162309038000004</v>
      </c>
      <c r="L8892" s="6" t="str">
        <f>HYPERLINK("https://maps.google.com/?q=17.379791128,-96.162309038000004", "🔗 Ver Mapa")</f>
        <v>🔗 Ver Mapa</v>
      </c>
    </row>
    <row r="8893" spans="1:12" ht="43.5" x14ac:dyDescent="0.35">
      <c r="A8893" s="5" t="s">
        <v>516</v>
      </c>
      <c r="B8893" s="5" t="s">
        <v>517</v>
      </c>
      <c r="C8893" s="5" t="s">
        <v>1540</v>
      </c>
      <c r="D8893" s="5" t="s">
        <v>13</v>
      </c>
      <c r="E8893" s="5" t="s">
        <v>90</v>
      </c>
      <c r="F8893" s="5" t="s">
        <v>678</v>
      </c>
      <c r="G8893" s="5" t="s">
        <v>1541</v>
      </c>
      <c r="H8893" s="5" t="s">
        <v>1542</v>
      </c>
      <c r="I8893" s="5" t="s">
        <v>32</v>
      </c>
      <c r="J8893" s="5">
        <v>17.379796134999999</v>
      </c>
      <c r="K8893" s="5">
        <v>-96.161619626000004</v>
      </c>
      <c r="L8893" s="5" t="str">
        <f>HYPERLINK("https://maps.google.com/?q=17.379796135,-96.161619626000004", "🔗 Ver Mapa")</f>
        <v>🔗 Ver Mapa</v>
      </c>
    </row>
    <row r="8894" spans="1:12" ht="43.5" x14ac:dyDescent="0.35">
      <c r="A8894" s="6" t="s">
        <v>516</v>
      </c>
      <c r="B8894" s="6" t="s">
        <v>517</v>
      </c>
      <c r="C8894" s="6" t="s">
        <v>1540</v>
      </c>
      <c r="D8894" s="6" t="s">
        <v>13</v>
      </c>
      <c r="E8894" s="6" t="s">
        <v>90</v>
      </c>
      <c r="F8894" s="6" t="s">
        <v>678</v>
      </c>
      <c r="G8894" s="6" t="s">
        <v>1541</v>
      </c>
      <c r="H8894" s="6" t="s">
        <v>1542</v>
      </c>
      <c r="I8894" s="6" t="s">
        <v>32</v>
      </c>
      <c r="J8894" s="6">
        <v>17.379870911000001</v>
      </c>
      <c r="K8894" s="6">
        <v>-96.164262964000002</v>
      </c>
      <c r="L8894" s="6" t="str">
        <f>HYPERLINK("https://maps.google.com/?q=17.379870911,-96.164262964000002", "🔗 Ver Mapa")</f>
        <v>🔗 Ver Mapa</v>
      </c>
    </row>
    <row r="8895" spans="1:12" ht="43.5" x14ac:dyDescent="0.35">
      <c r="A8895" s="5" t="s">
        <v>516</v>
      </c>
      <c r="B8895" s="5" t="s">
        <v>517</v>
      </c>
      <c r="C8895" s="5" t="s">
        <v>1540</v>
      </c>
      <c r="D8895" s="5" t="s">
        <v>13</v>
      </c>
      <c r="E8895" s="5" t="s">
        <v>90</v>
      </c>
      <c r="F8895" s="5" t="s">
        <v>678</v>
      </c>
      <c r="G8895" s="5" t="s">
        <v>1541</v>
      </c>
      <c r="H8895" s="5" t="s">
        <v>1542</v>
      </c>
      <c r="I8895" s="5" t="s">
        <v>32</v>
      </c>
      <c r="J8895" s="5">
        <v>17.379890318000001</v>
      </c>
      <c r="K8895" s="5">
        <v>-96.162318229999997</v>
      </c>
      <c r="L8895" s="5" t="str">
        <f>HYPERLINK("https://maps.google.com/?q=17.379890318,-96.162318229999997", "🔗 Ver Mapa")</f>
        <v>🔗 Ver Mapa</v>
      </c>
    </row>
    <row r="8896" spans="1:12" ht="43.5" x14ac:dyDescent="0.35">
      <c r="A8896" s="6" t="s">
        <v>516</v>
      </c>
      <c r="B8896" s="6" t="s">
        <v>517</v>
      </c>
      <c r="C8896" s="6" t="s">
        <v>1540</v>
      </c>
      <c r="D8896" s="6" t="s">
        <v>13</v>
      </c>
      <c r="E8896" s="6" t="s">
        <v>90</v>
      </c>
      <c r="F8896" s="6" t="s">
        <v>678</v>
      </c>
      <c r="G8896" s="6" t="s">
        <v>1541</v>
      </c>
      <c r="H8896" s="6" t="s">
        <v>1542</v>
      </c>
      <c r="I8896" s="6" t="s">
        <v>32</v>
      </c>
      <c r="J8896" s="6">
        <v>17.379897994</v>
      </c>
      <c r="K8896" s="6">
        <v>-96.162203942999994</v>
      </c>
      <c r="L8896" s="6" t="str">
        <f>HYPERLINK("https://maps.google.com/?q=17.379897994,-96.162203942999994", "🔗 Ver Mapa")</f>
        <v>🔗 Ver Mapa</v>
      </c>
    </row>
    <row r="8897" spans="1:12" ht="43.5" x14ac:dyDescent="0.35">
      <c r="A8897" s="5" t="s">
        <v>516</v>
      </c>
      <c r="B8897" s="5" t="s">
        <v>517</v>
      </c>
      <c r="C8897" s="5" t="s">
        <v>1540</v>
      </c>
      <c r="D8897" s="5" t="s">
        <v>13</v>
      </c>
      <c r="E8897" s="5" t="s">
        <v>90</v>
      </c>
      <c r="F8897" s="5" t="s">
        <v>678</v>
      </c>
      <c r="G8897" s="5" t="s">
        <v>1541</v>
      </c>
      <c r="H8897" s="5" t="s">
        <v>1542</v>
      </c>
      <c r="I8897" s="5" t="s">
        <v>32</v>
      </c>
      <c r="J8897" s="5">
        <v>17.379943864000001</v>
      </c>
      <c r="K8897" s="5">
        <v>-96.162889750000005</v>
      </c>
      <c r="L8897" s="5" t="str">
        <f>HYPERLINK("https://maps.google.com/?q=17.379943864,-96.162889750000005", "🔗 Ver Mapa")</f>
        <v>🔗 Ver Mapa</v>
      </c>
    </row>
    <row r="8898" spans="1:12" ht="43.5" x14ac:dyDescent="0.35">
      <c r="A8898" s="6" t="s">
        <v>516</v>
      </c>
      <c r="B8898" s="6" t="s">
        <v>517</v>
      </c>
      <c r="C8898" s="6" t="s">
        <v>1540</v>
      </c>
      <c r="D8898" s="6" t="s">
        <v>13</v>
      </c>
      <c r="E8898" s="6" t="s">
        <v>90</v>
      </c>
      <c r="F8898" s="6" t="s">
        <v>678</v>
      </c>
      <c r="G8898" s="6" t="s">
        <v>1541</v>
      </c>
      <c r="H8898" s="6" t="s">
        <v>1542</v>
      </c>
      <c r="I8898" s="6" t="s">
        <v>32</v>
      </c>
      <c r="J8898" s="6">
        <v>17.37995888</v>
      </c>
      <c r="K8898" s="6">
        <v>-96.163266444000001</v>
      </c>
      <c r="L8898" s="6" t="str">
        <f>HYPERLINK("https://maps.google.com/?q=17.37995888,-96.163266444000001", "🔗 Ver Mapa")</f>
        <v>🔗 Ver Mapa</v>
      </c>
    </row>
    <row r="8899" spans="1:12" ht="43.5" x14ac:dyDescent="0.35">
      <c r="A8899" s="5" t="s">
        <v>516</v>
      </c>
      <c r="B8899" s="5" t="s">
        <v>517</v>
      </c>
      <c r="C8899" s="5" t="s">
        <v>1540</v>
      </c>
      <c r="D8899" s="5" t="s">
        <v>13</v>
      </c>
      <c r="E8899" s="5" t="s">
        <v>90</v>
      </c>
      <c r="F8899" s="5" t="s">
        <v>678</v>
      </c>
      <c r="G8899" s="5" t="s">
        <v>1541</v>
      </c>
      <c r="H8899" s="5" t="s">
        <v>1542</v>
      </c>
      <c r="I8899" s="5" t="s">
        <v>32</v>
      </c>
      <c r="J8899" s="5">
        <v>17.379961560000002</v>
      </c>
      <c r="K8899" s="5">
        <v>-96.162063778999993</v>
      </c>
      <c r="L8899" s="5" t="str">
        <f>HYPERLINK("https://maps.google.com/?q=17.37996156,-96.162063778999993", "🔗 Ver Mapa")</f>
        <v>🔗 Ver Mapa</v>
      </c>
    </row>
    <row r="8900" spans="1:12" ht="43.5" x14ac:dyDescent="0.35">
      <c r="A8900" s="6" t="s">
        <v>516</v>
      </c>
      <c r="B8900" s="6" t="s">
        <v>517</v>
      </c>
      <c r="C8900" s="6" t="s">
        <v>1540</v>
      </c>
      <c r="D8900" s="6" t="s">
        <v>13</v>
      </c>
      <c r="E8900" s="6" t="s">
        <v>90</v>
      </c>
      <c r="F8900" s="6" t="s">
        <v>678</v>
      </c>
      <c r="G8900" s="6" t="s">
        <v>1541</v>
      </c>
      <c r="H8900" s="6" t="s">
        <v>1542</v>
      </c>
      <c r="I8900" s="6" t="s">
        <v>32</v>
      </c>
      <c r="J8900" s="6">
        <v>17.379966047</v>
      </c>
      <c r="K8900" s="6">
        <v>-96.162506465000007</v>
      </c>
      <c r="L8900" s="6" t="str">
        <f>HYPERLINK("https://maps.google.com/?q=17.379966047,-96.162506465000007", "🔗 Ver Mapa")</f>
        <v>🔗 Ver Mapa</v>
      </c>
    </row>
    <row r="8901" spans="1:12" ht="43.5" x14ac:dyDescent="0.35">
      <c r="A8901" s="5" t="s">
        <v>516</v>
      </c>
      <c r="B8901" s="5" t="s">
        <v>517</v>
      </c>
      <c r="C8901" s="5" t="s">
        <v>1540</v>
      </c>
      <c r="D8901" s="5" t="s">
        <v>13</v>
      </c>
      <c r="E8901" s="5" t="s">
        <v>90</v>
      </c>
      <c r="F8901" s="5" t="s">
        <v>678</v>
      </c>
      <c r="G8901" s="5" t="s">
        <v>1541</v>
      </c>
      <c r="H8901" s="5" t="s">
        <v>1542</v>
      </c>
      <c r="I8901" s="5" t="s">
        <v>32</v>
      </c>
      <c r="J8901" s="5">
        <v>17.379967852</v>
      </c>
      <c r="K8901" s="5">
        <v>-96.160518932000002</v>
      </c>
      <c r="L8901" s="5" t="str">
        <f>HYPERLINK("https://maps.google.com/?q=17.379967852,-96.160518932000002", "🔗 Ver Mapa")</f>
        <v>🔗 Ver Mapa</v>
      </c>
    </row>
    <row r="8902" spans="1:12" ht="43.5" x14ac:dyDescent="0.35">
      <c r="A8902" s="6" t="s">
        <v>516</v>
      </c>
      <c r="B8902" s="6" t="s">
        <v>517</v>
      </c>
      <c r="C8902" s="6" t="s">
        <v>1540</v>
      </c>
      <c r="D8902" s="6" t="s">
        <v>13</v>
      </c>
      <c r="E8902" s="6" t="s">
        <v>90</v>
      </c>
      <c r="F8902" s="6" t="s">
        <v>678</v>
      </c>
      <c r="G8902" s="6" t="s">
        <v>1541</v>
      </c>
      <c r="H8902" s="6" t="s">
        <v>1542</v>
      </c>
      <c r="I8902" s="6" t="s">
        <v>32</v>
      </c>
      <c r="J8902" s="6">
        <v>17.379990742</v>
      </c>
      <c r="K8902" s="6">
        <v>-96.163011284000007</v>
      </c>
      <c r="L8902" s="6" t="str">
        <f>HYPERLINK("https://maps.google.com/?q=17.379990742,-96.163011284000007", "🔗 Ver Mapa")</f>
        <v>🔗 Ver Mapa</v>
      </c>
    </row>
    <row r="8903" spans="1:12" ht="43.5" x14ac:dyDescent="0.35">
      <c r="A8903" s="5" t="s">
        <v>516</v>
      </c>
      <c r="B8903" s="5" t="s">
        <v>517</v>
      </c>
      <c r="C8903" s="5" t="s">
        <v>1540</v>
      </c>
      <c r="D8903" s="5" t="s">
        <v>13</v>
      </c>
      <c r="E8903" s="5" t="s">
        <v>90</v>
      </c>
      <c r="F8903" s="5" t="s">
        <v>678</v>
      </c>
      <c r="G8903" s="5" t="s">
        <v>1541</v>
      </c>
      <c r="H8903" s="5" t="s">
        <v>1542</v>
      </c>
      <c r="I8903" s="5" t="s">
        <v>32</v>
      </c>
      <c r="J8903" s="5">
        <v>17.380001405000002</v>
      </c>
      <c r="K8903" s="5">
        <v>-96.162497267999996</v>
      </c>
      <c r="L8903" s="5" t="str">
        <f>HYPERLINK("https://maps.google.com/?q=17.380001405,-96.162497267999996", "🔗 Ver Mapa")</f>
        <v>🔗 Ver Mapa</v>
      </c>
    </row>
    <row r="8904" spans="1:12" ht="43.5" x14ac:dyDescent="0.35">
      <c r="A8904" s="6" t="s">
        <v>516</v>
      </c>
      <c r="B8904" s="6" t="s">
        <v>517</v>
      </c>
      <c r="C8904" s="6" t="s">
        <v>1540</v>
      </c>
      <c r="D8904" s="6" t="s">
        <v>13</v>
      </c>
      <c r="E8904" s="6" t="s">
        <v>90</v>
      </c>
      <c r="F8904" s="6" t="s">
        <v>678</v>
      </c>
      <c r="G8904" s="6" t="s">
        <v>1541</v>
      </c>
      <c r="H8904" s="6" t="s">
        <v>1542</v>
      </c>
      <c r="I8904" s="6" t="s">
        <v>32</v>
      </c>
      <c r="J8904" s="6">
        <v>17.380004376999999</v>
      </c>
      <c r="K8904" s="6">
        <v>-96.162757157000001</v>
      </c>
      <c r="L8904" s="6" t="str">
        <f>HYPERLINK("https://maps.google.com/?q=17.380004377,-96.162757157000001", "🔗 Ver Mapa")</f>
        <v>🔗 Ver Mapa</v>
      </c>
    </row>
    <row r="8905" spans="1:12" ht="43.5" x14ac:dyDescent="0.35">
      <c r="A8905" s="5" t="s">
        <v>516</v>
      </c>
      <c r="B8905" s="5" t="s">
        <v>517</v>
      </c>
      <c r="C8905" s="5" t="s">
        <v>1540</v>
      </c>
      <c r="D8905" s="5" t="s">
        <v>13</v>
      </c>
      <c r="E8905" s="5" t="s">
        <v>90</v>
      </c>
      <c r="F8905" s="5" t="s">
        <v>678</v>
      </c>
      <c r="G8905" s="5" t="s">
        <v>1541</v>
      </c>
      <c r="H8905" s="5" t="s">
        <v>1542</v>
      </c>
      <c r="I8905" s="5" t="s">
        <v>32</v>
      </c>
      <c r="J8905" s="5">
        <v>17.380005542999999</v>
      </c>
      <c r="K8905" s="5">
        <v>-96.162610525999995</v>
      </c>
      <c r="L8905" s="5" t="str">
        <f>HYPERLINK("https://maps.google.com/?q=17.380005543,-96.162610525999995", "🔗 Ver Mapa")</f>
        <v>🔗 Ver Mapa</v>
      </c>
    </row>
    <row r="8906" spans="1:12" ht="43.5" x14ac:dyDescent="0.35">
      <c r="A8906" s="6" t="s">
        <v>516</v>
      </c>
      <c r="B8906" s="6" t="s">
        <v>517</v>
      </c>
      <c r="C8906" s="6" t="s">
        <v>1540</v>
      </c>
      <c r="D8906" s="6" t="s">
        <v>13</v>
      </c>
      <c r="E8906" s="6" t="s">
        <v>90</v>
      </c>
      <c r="F8906" s="6" t="s">
        <v>678</v>
      </c>
      <c r="G8906" s="6" t="s">
        <v>1541</v>
      </c>
      <c r="H8906" s="6" t="s">
        <v>1542</v>
      </c>
      <c r="I8906" s="6" t="s">
        <v>32</v>
      </c>
      <c r="J8906" s="6">
        <v>17.380006064</v>
      </c>
      <c r="K8906" s="6">
        <v>-96.162183467999995</v>
      </c>
      <c r="L8906" s="6" t="str">
        <f>HYPERLINK("https://maps.google.com/?q=17.380006064,-96.162183467999995", "🔗 Ver Mapa")</f>
        <v>🔗 Ver Mapa</v>
      </c>
    </row>
    <row r="8907" spans="1:12" ht="43.5" x14ac:dyDescent="0.35">
      <c r="A8907" s="5" t="s">
        <v>516</v>
      </c>
      <c r="B8907" s="5" t="s">
        <v>517</v>
      </c>
      <c r="C8907" s="5" t="s">
        <v>1540</v>
      </c>
      <c r="D8907" s="5" t="s">
        <v>13</v>
      </c>
      <c r="E8907" s="5" t="s">
        <v>90</v>
      </c>
      <c r="F8907" s="5" t="s">
        <v>678</v>
      </c>
      <c r="G8907" s="5" t="s">
        <v>1541</v>
      </c>
      <c r="H8907" s="5" t="s">
        <v>1542</v>
      </c>
      <c r="I8907" s="5" t="s">
        <v>32</v>
      </c>
      <c r="J8907" s="5">
        <v>17.380038154000001</v>
      </c>
      <c r="K8907" s="5">
        <v>-96.163170425999994</v>
      </c>
      <c r="L8907" s="5" t="str">
        <f>HYPERLINK("https://maps.google.com/?q=17.380038154,-96.163170425999994", "🔗 Ver Mapa")</f>
        <v>🔗 Ver Mapa</v>
      </c>
    </row>
    <row r="8908" spans="1:12" ht="43.5" x14ac:dyDescent="0.35">
      <c r="A8908" s="6" t="s">
        <v>516</v>
      </c>
      <c r="B8908" s="6" t="s">
        <v>517</v>
      </c>
      <c r="C8908" s="6" t="s">
        <v>1540</v>
      </c>
      <c r="D8908" s="6" t="s">
        <v>13</v>
      </c>
      <c r="E8908" s="6" t="s">
        <v>90</v>
      </c>
      <c r="F8908" s="6" t="s">
        <v>678</v>
      </c>
      <c r="G8908" s="6" t="s">
        <v>1541</v>
      </c>
      <c r="H8908" s="6" t="s">
        <v>1542</v>
      </c>
      <c r="I8908" s="6" t="s">
        <v>32</v>
      </c>
      <c r="J8908" s="6">
        <v>17.380172713</v>
      </c>
      <c r="K8908" s="6">
        <v>-96.162472432000001</v>
      </c>
      <c r="L8908" s="6" t="str">
        <f>HYPERLINK("https://maps.google.com/?q=17.380172713,-96.162472432000001", "🔗 Ver Mapa")</f>
        <v>🔗 Ver Mapa</v>
      </c>
    </row>
    <row r="8909" spans="1:12" ht="43.5" x14ac:dyDescent="0.35">
      <c r="A8909" s="5" t="s">
        <v>516</v>
      </c>
      <c r="B8909" s="5" t="s">
        <v>517</v>
      </c>
      <c r="C8909" s="5" t="s">
        <v>1540</v>
      </c>
      <c r="D8909" s="5" t="s">
        <v>13</v>
      </c>
      <c r="E8909" s="5" t="s">
        <v>90</v>
      </c>
      <c r="F8909" s="5" t="s">
        <v>678</v>
      </c>
      <c r="G8909" s="5" t="s">
        <v>1541</v>
      </c>
      <c r="H8909" s="5" t="s">
        <v>1542</v>
      </c>
      <c r="I8909" s="5" t="s">
        <v>32</v>
      </c>
      <c r="J8909" s="5">
        <v>17.380194587999998</v>
      </c>
      <c r="K8909" s="5">
        <v>-96.160835743999996</v>
      </c>
      <c r="L8909" s="5" t="str">
        <f>HYPERLINK("https://maps.google.com/?q=17.380194588,-96.160835743999996", "🔗 Ver Mapa")</f>
        <v>🔗 Ver Mapa</v>
      </c>
    </row>
    <row r="8910" spans="1:12" ht="43.5" x14ac:dyDescent="0.35">
      <c r="A8910" s="6" t="s">
        <v>516</v>
      </c>
      <c r="B8910" s="6" t="s">
        <v>517</v>
      </c>
      <c r="C8910" s="6" t="s">
        <v>1540</v>
      </c>
      <c r="D8910" s="6" t="s">
        <v>13</v>
      </c>
      <c r="E8910" s="6" t="s">
        <v>90</v>
      </c>
      <c r="F8910" s="6" t="s">
        <v>678</v>
      </c>
      <c r="G8910" s="6" t="s">
        <v>1541</v>
      </c>
      <c r="H8910" s="6" t="s">
        <v>1542</v>
      </c>
      <c r="I8910" s="6" t="s">
        <v>32</v>
      </c>
      <c r="J8910" s="6">
        <v>17.380203073000001</v>
      </c>
      <c r="K8910" s="6">
        <v>-96.162365789000006</v>
      </c>
      <c r="L8910" s="6" t="str">
        <f>HYPERLINK("https://maps.google.com/?q=17.380203073,-96.162365789000006", "🔗 Ver Mapa")</f>
        <v>🔗 Ver Mapa</v>
      </c>
    </row>
    <row r="8911" spans="1:12" ht="43.5" x14ac:dyDescent="0.35">
      <c r="A8911" s="5" t="s">
        <v>516</v>
      </c>
      <c r="B8911" s="5" t="s">
        <v>517</v>
      </c>
      <c r="C8911" s="5" t="s">
        <v>1540</v>
      </c>
      <c r="D8911" s="5" t="s">
        <v>13</v>
      </c>
      <c r="E8911" s="5" t="s">
        <v>90</v>
      </c>
      <c r="F8911" s="5" t="s">
        <v>678</v>
      </c>
      <c r="G8911" s="5" t="s">
        <v>1541</v>
      </c>
      <c r="H8911" s="5" t="s">
        <v>1542</v>
      </c>
      <c r="I8911" s="5" t="s">
        <v>32</v>
      </c>
      <c r="J8911" s="5">
        <v>17.380242136</v>
      </c>
      <c r="K8911" s="5">
        <v>-96.161004288000001</v>
      </c>
      <c r="L8911" s="5" t="str">
        <f>HYPERLINK("https://maps.google.com/?q=17.380242136,-96.161004288000001", "🔗 Ver Mapa")</f>
        <v>🔗 Ver Mapa</v>
      </c>
    </row>
    <row r="8912" spans="1:12" ht="43.5" x14ac:dyDescent="0.35">
      <c r="A8912" s="6" t="s">
        <v>516</v>
      </c>
      <c r="B8912" s="6" t="s">
        <v>517</v>
      </c>
      <c r="C8912" s="6" t="s">
        <v>1540</v>
      </c>
      <c r="D8912" s="6" t="s">
        <v>13</v>
      </c>
      <c r="E8912" s="6" t="s">
        <v>90</v>
      </c>
      <c r="F8912" s="6" t="s">
        <v>678</v>
      </c>
      <c r="G8912" s="6" t="s">
        <v>1541</v>
      </c>
      <c r="H8912" s="6" t="s">
        <v>1542</v>
      </c>
      <c r="I8912" s="6" t="s">
        <v>32</v>
      </c>
      <c r="J8912" s="6">
        <v>17.380258249000001</v>
      </c>
      <c r="K8912" s="6">
        <v>-96.162130958999995</v>
      </c>
      <c r="L8912" s="6" t="str">
        <f>HYPERLINK("https://maps.google.com/?q=17.380258249,-96.162130958999995", "🔗 Ver Mapa")</f>
        <v>🔗 Ver Mapa</v>
      </c>
    </row>
    <row r="8913" spans="1:12" ht="43.5" x14ac:dyDescent="0.35">
      <c r="A8913" s="5" t="s">
        <v>516</v>
      </c>
      <c r="B8913" s="5" t="s">
        <v>517</v>
      </c>
      <c r="C8913" s="5" t="s">
        <v>1540</v>
      </c>
      <c r="D8913" s="5" t="s">
        <v>13</v>
      </c>
      <c r="E8913" s="5" t="s">
        <v>90</v>
      </c>
      <c r="F8913" s="5" t="s">
        <v>678</v>
      </c>
      <c r="G8913" s="5" t="s">
        <v>1541</v>
      </c>
      <c r="H8913" s="5" t="s">
        <v>1542</v>
      </c>
      <c r="I8913" s="5" t="s">
        <v>32</v>
      </c>
      <c r="J8913" s="5">
        <v>17.380305088</v>
      </c>
      <c r="K8913" s="5">
        <v>-96.161913185000003</v>
      </c>
      <c r="L8913" s="5" t="str">
        <f>HYPERLINK("https://maps.google.com/?q=17.380305088,-96.161913185000003", "🔗 Ver Mapa")</f>
        <v>🔗 Ver Mapa</v>
      </c>
    </row>
    <row r="8914" spans="1:12" ht="43.5" x14ac:dyDescent="0.35">
      <c r="A8914" s="6" t="s">
        <v>516</v>
      </c>
      <c r="B8914" s="6" t="s">
        <v>517</v>
      </c>
      <c r="C8914" s="6" t="s">
        <v>1540</v>
      </c>
      <c r="D8914" s="6" t="s">
        <v>13</v>
      </c>
      <c r="E8914" s="6" t="s">
        <v>90</v>
      </c>
      <c r="F8914" s="6" t="s">
        <v>678</v>
      </c>
      <c r="G8914" s="6" t="s">
        <v>1541</v>
      </c>
      <c r="H8914" s="6" t="s">
        <v>1542</v>
      </c>
      <c r="I8914" s="6" t="s">
        <v>32</v>
      </c>
      <c r="J8914" s="6">
        <v>17.380315873000001</v>
      </c>
      <c r="K8914" s="6">
        <v>-96.161122208999998</v>
      </c>
      <c r="L8914" s="6" t="str">
        <f>HYPERLINK("https://maps.google.com/?q=17.380315873,-96.161122208999998", "🔗 Ver Mapa")</f>
        <v>🔗 Ver Mapa</v>
      </c>
    </row>
    <row r="8915" spans="1:12" ht="43.5" x14ac:dyDescent="0.35">
      <c r="A8915" s="5" t="s">
        <v>516</v>
      </c>
      <c r="B8915" s="5" t="s">
        <v>517</v>
      </c>
      <c r="C8915" s="5" t="s">
        <v>1540</v>
      </c>
      <c r="D8915" s="5" t="s">
        <v>13</v>
      </c>
      <c r="E8915" s="5" t="s">
        <v>90</v>
      </c>
      <c r="F8915" s="5" t="s">
        <v>678</v>
      </c>
      <c r="G8915" s="5" t="s">
        <v>1541</v>
      </c>
      <c r="H8915" s="5" t="s">
        <v>1542</v>
      </c>
      <c r="I8915" s="5" t="s">
        <v>32</v>
      </c>
      <c r="J8915" s="5">
        <v>17.380348256000001</v>
      </c>
      <c r="K8915" s="5">
        <v>-96.162751854999996</v>
      </c>
      <c r="L8915" s="5" t="str">
        <f>HYPERLINK("https://maps.google.com/?q=17.380348256,-96.162751854999996", "🔗 Ver Mapa")</f>
        <v>🔗 Ver Mapa</v>
      </c>
    </row>
    <row r="8916" spans="1:12" ht="43.5" x14ac:dyDescent="0.35">
      <c r="A8916" s="6" t="s">
        <v>516</v>
      </c>
      <c r="B8916" s="6" t="s">
        <v>517</v>
      </c>
      <c r="C8916" s="6" t="s">
        <v>1540</v>
      </c>
      <c r="D8916" s="6" t="s">
        <v>13</v>
      </c>
      <c r="E8916" s="6" t="s">
        <v>90</v>
      </c>
      <c r="F8916" s="6" t="s">
        <v>678</v>
      </c>
      <c r="G8916" s="6" t="s">
        <v>1541</v>
      </c>
      <c r="H8916" s="6" t="s">
        <v>1542</v>
      </c>
      <c r="I8916" s="6" t="s">
        <v>32</v>
      </c>
      <c r="J8916" s="6">
        <v>17.380353313000001</v>
      </c>
      <c r="K8916" s="6">
        <v>-96.163336349999994</v>
      </c>
      <c r="L8916" s="6" t="str">
        <f>HYPERLINK("https://maps.google.com/?q=17.380353313,-96.163336349999994", "🔗 Ver Mapa")</f>
        <v>🔗 Ver Mapa</v>
      </c>
    </row>
    <row r="8917" spans="1:12" ht="43.5" x14ac:dyDescent="0.35">
      <c r="A8917" s="5" t="s">
        <v>516</v>
      </c>
      <c r="B8917" s="5" t="s">
        <v>517</v>
      </c>
      <c r="C8917" s="5" t="s">
        <v>1540</v>
      </c>
      <c r="D8917" s="5" t="s">
        <v>13</v>
      </c>
      <c r="E8917" s="5" t="s">
        <v>90</v>
      </c>
      <c r="F8917" s="5" t="s">
        <v>678</v>
      </c>
      <c r="G8917" s="5" t="s">
        <v>1541</v>
      </c>
      <c r="H8917" s="5" t="s">
        <v>1542</v>
      </c>
      <c r="I8917" s="5" t="s">
        <v>32</v>
      </c>
      <c r="J8917" s="5">
        <v>17.380377344999999</v>
      </c>
      <c r="K8917" s="5">
        <v>-96.162892471000006</v>
      </c>
      <c r="L8917" s="5" t="str">
        <f>HYPERLINK("https://maps.google.com/?q=17.380377345,-96.162892471000006", "🔗 Ver Mapa")</f>
        <v>🔗 Ver Mapa</v>
      </c>
    </row>
    <row r="8918" spans="1:12" ht="43.5" x14ac:dyDescent="0.35">
      <c r="A8918" s="6" t="s">
        <v>516</v>
      </c>
      <c r="B8918" s="6" t="s">
        <v>517</v>
      </c>
      <c r="C8918" s="6" t="s">
        <v>1540</v>
      </c>
      <c r="D8918" s="6" t="s">
        <v>13</v>
      </c>
      <c r="E8918" s="6" t="s">
        <v>90</v>
      </c>
      <c r="F8918" s="6" t="s">
        <v>678</v>
      </c>
      <c r="G8918" s="6" t="s">
        <v>1541</v>
      </c>
      <c r="H8918" s="6" t="s">
        <v>1542</v>
      </c>
      <c r="I8918" s="6" t="s">
        <v>32</v>
      </c>
      <c r="J8918" s="6">
        <v>17.380446662000001</v>
      </c>
      <c r="K8918" s="6">
        <v>-96.163741461000001</v>
      </c>
      <c r="L8918" s="6" t="str">
        <f>HYPERLINK("https://maps.google.com/?q=17.380446662,-96.163741461000001", "🔗 Ver Mapa")</f>
        <v>🔗 Ver Mapa</v>
      </c>
    </row>
    <row r="8919" spans="1:12" ht="43.5" x14ac:dyDescent="0.35">
      <c r="A8919" s="5" t="s">
        <v>516</v>
      </c>
      <c r="B8919" s="5" t="s">
        <v>517</v>
      </c>
      <c r="C8919" s="5" t="s">
        <v>1540</v>
      </c>
      <c r="D8919" s="5" t="s">
        <v>13</v>
      </c>
      <c r="E8919" s="5" t="s">
        <v>90</v>
      </c>
      <c r="F8919" s="5" t="s">
        <v>678</v>
      </c>
      <c r="G8919" s="5" t="s">
        <v>1541</v>
      </c>
      <c r="H8919" s="5" t="s">
        <v>1542</v>
      </c>
      <c r="I8919" s="5" t="s">
        <v>32</v>
      </c>
      <c r="J8919" s="5">
        <v>17.380451831999999</v>
      </c>
      <c r="K8919" s="5">
        <v>-96.161761204000001</v>
      </c>
      <c r="L8919" s="5" t="str">
        <f>HYPERLINK("https://maps.google.com/?q=17.380451832,-96.161761204000001", "🔗 Ver Mapa")</f>
        <v>🔗 Ver Mapa</v>
      </c>
    </row>
    <row r="8920" spans="1:12" ht="43.5" x14ac:dyDescent="0.35">
      <c r="A8920" s="6" t="s">
        <v>516</v>
      </c>
      <c r="B8920" s="6" t="s">
        <v>517</v>
      </c>
      <c r="C8920" s="6" t="s">
        <v>1540</v>
      </c>
      <c r="D8920" s="6" t="s">
        <v>13</v>
      </c>
      <c r="E8920" s="6" t="s">
        <v>90</v>
      </c>
      <c r="F8920" s="6" t="s">
        <v>678</v>
      </c>
      <c r="G8920" s="6" t="s">
        <v>1541</v>
      </c>
      <c r="H8920" s="6" t="s">
        <v>1542</v>
      </c>
      <c r="I8920" s="6" t="s">
        <v>32</v>
      </c>
      <c r="J8920" s="6">
        <v>17.380462554000001</v>
      </c>
      <c r="K8920" s="6">
        <v>-96.161264208000006</v>
      </c>
      <c r="L8920" s="6" t="str">
        <f>HYPERLINK("https://maps.google.com/?q=17.380462554,-96.161264208000006", "🔗 Ver Mapa")</f>
        <v>🔗 Ver Mapa</v>
      </c>
    </row>
    <row r="8921" spans="1:12" ht="43.5" x14ac:dyDescent="0.35">
      <c r="A8921" s="5" t="s">
        <v>516</v>
      </c>
      <c r="B8921" s="5" t="s">
        <v>517</v>
      </c>
      <c r="C8921" s="5" t="s">
        <v>1540</v>
      </c>
      <c r="D8921" s="5" t="s">
        <v>13</v>
      </c>
      <c r="E8921" s="5" t="s">
        <v>90</v>
      </c>
      <c r="F8921" s="5" t="s">
        <v>678</v>
      </c>
      <c r="G8921" s="5" t="s">
        <v>1541</v>
      </c>
      <c r="H8921" s="5" t="s">
        <v>1542</v>
      </c>
      <c r="I8921" s="5" t="s">
        <v>32</v>
      </c>
      <c r="J8921" s="5">
        <v>17.380485357000001</v>
      </c>
      <c r="K8921" s="5">
        <v>-96.161839025000006</v>
      </c>
      <c r="L8921" s="5" t="str">
        <f>HYPERLINK("https://maps.google.com/?q=17.380485357,-96.161839025000006", "🔗 Ver Mapa")</f>
        <v>🔗 Ver Mapa</v>
      </c>
    </row>
    <row r="8922" spans="1:12" ht="43.5" x14ac:dyDescent="0.35">
      <c r="A8922" s="6" t="s">
        <v>516</v>
      </c>
      <c r="B8922" s="6" t="s">
        <v>517</v>
      </c>
      <c r="C8922" s="6" t="s">
        <v>1540</v>
      </c>
      <c r="D8922" s="6" t="s">
        <v>13</v>
      </c>
      <c r="E8922" s="6" t="s">
        <v>90</v>
      </c>
      <c r="F8922" s="6" t="s">
        <v>678</v>
      </c>
      <c r="G8922" s="6" t="s">
        <v>1541</v>
      </c>
      <c r="H8922" s="6" t="s">
        <v>1542</v>
      </c>
      <c r="I8922" s="6" t="s">
        <v>32</v>
      </c>
      <c r="J8922" s="6">
        <v>17.380511437999999</v>
      </c>
      <c r="K8922" s="6">
        <v>-96.161526776000002</v>
      </c>
      <c r="L8922" s="6" t="str">
        <f>HYPERLINK("https://maps.google.com/?q=17.380511438,-96.161526776000002", "🔗 Ver Mapa")</f>
        <v>🔗 Ver Mapa</v>
      </c>
    </row>
    <row r="8923" spans="1:12" ht="43.5" x14ac:dyDescent="0.35">
      <c r="A8923" s="5" t="s">
        <v>516</v>
      </c>
      <c r="B8923" s="5" t="s">
        <v>517</v>
      </c>
      <c r="C8923" s="5" t="s">
        <v>1540</v>
      </c>
      <c r="D8923" s="5" t="s">
        <v>13</v>
      </c>
      <c r="E8923" s="5" t="s">
        <v>90</v>
      </c>
      <c r="F8923" s="5" t="s">
        <v>678</v>
      </c>
      <c r="G8923" s="5" t="s">
        <v>1541</v>
      </c>
      <c r="H8923" s="5" t="s">
        <v>1542</v>
      </c>
      <c r="I8923" s="5" t="s">
        <v>32</v>
      </c>
      <c r="J8923" s="5">
        <v>17.380561315000001</v>
      </c>
      <c r="K8923" s="5">
        <v>-96.161706757999994</v>
      </c>
      <c r="L8923" s="5" t="str">
        <f>HYPERLINK("https://maps.google.com/?q=17.380561315,-96.161706757999994", "🔗 Ver Mapa")</f>
        <v>🔗 Ver Mapa</v>
      </c>
    </row>
    <row r="8924" spans="1:12" ht="43.5" x14ac:dyDescent="0.35">
      <c r="A8924" s="6" t="s">
        <v>516</v>
      </c>
      <c r="B8924" s="6" t="s">
        <v>517</v>
      </c>
      <c r="C8924" s="6" t="s">
        <v>1540</v>
      </c>
      <c r="D8924" s="6" t="s">
        <v>13</v>
      </c>
      <c r="E8924" s="6" t="s">
        <v>90</v>
      </c>
      <c r="F8924" s="6" t="s">
        <v>678</v>
      </c>
      <c r="G8924" s="6" t="s">
        <v>1541</v>
      </c>
      <c r="H8924" s="6" t="s">
        <v>1542</v>
      </c>
      <c r="I8924" s="6" t="s">
        <v>32</v>
      </c>
      <c r="J8924" s="6">
        <v>17.380589058000002</v>
      </c>
      <c r="K8924" s="6">
        <v>-96.163810832999999</v>
      </c>
      <c r="L8924" s="6" t="str">
        <f>HYPERLINK("https://maps.google.com/?q=17.380589058,-96.163810832999999", "🔗 Ver Mapa")</f>
        <v>🔗 Ver Mapa</v>
      </c>
    </row>
    <row r="8925" spans="1:12" ht="43.5" x14ac:dyDescent="0.35">
      <c r="A8925" s="5" t="s">
        <v>516</v>
      </c>
      <c r="B8925" s="5" t="s">
        <v>517</v>
      </c>
      <c r="C8925" s="5" t="s">
        <v>1540</v>
      </c>
      <c r="D8925" s="5" t="s">
        <v>13</v>
      </c>
      <c r="E8925" s="5" t="s">
        <v>90</v>
      </c>
      <c r="F8925" s="5" t="s">
        <v>678</v>
      </c>
      <c r="G8925" s="5" t="s">
        <v>1541</v>
      </c>
      <c r="H8925" s="5" t="s">
        <v>1542</v>
      </c>
      <c r="I8925" s="5" t="s">
        <v>32</v>
      </c>
      <c r="J8925" s="5">
        <v>17.380659766000001</v>
      </c>
      <c r="K8925" s="5">
        <v>-96.163455200000001</v>
      </c>
      <c r="L8925" s="5" t="str">
        <f>HYPERLINK("https://maps.google.com/?q=17.380659766,-96.163455200000001", "🔗 Ver Mapa")</f>
        <v>🔗 Ver Mapa</v>
      </c>
    </row>
    <row r="8926" spans="1:12" ht="43.5" x14ac:dyDescent="0.35">
      <c r="A8926" s="6" t="s">
        <v>516</v>
      </c>
      <c r="B8926" s="6" t="s">
        <v>517</v>
      </c>
      <c r="C8926" s="6" t="s">
        <v>1540</v>
      </c>
      <c r="D8926" s="6" t="s">
        <v>13</v>
      </c>
      <c r="E8926" s="6" t="s">
        <v>90</v>
      </c>
      <c r="F8926" s="6" t="s">
        <v>678</v>
      </c>
      <c r="G8926" s="6" t="s">
        <v>1541</v>
      </c>
      <c r="H8926" s="6" t="s">
        <v>1542</v>
      </c>
      <c r="I8926" s="6" t="s">
        <v>32</v>
      </c>
      <c r="J8926" s="6">
        <v>17.380705067000001</v>
      </c>
      <c r="K8926" s="6">
        <v>-96.163465786000003</v>
      </c>
      <c r="L8926" s="6" t="str">
        <f>HYPERLINK("https://maps.google.com/?q=17.380705067,-96.163465786000003", "🔗 Ver Mapa")</f>
        <v>🔗 Ver Mapa</v>
      </c>
    </row>
    <row r="8927" spans="1:12" ht="43.5" x14ac:dyDescent="0.35">
      <c r="A8927" s="5" t="s">
        <v>516</v>
      </c>
      <c r="B8927" s="5" t="s">
        <v>517</v>
      </c>
      <c r="C8927" s="5" t="s">
        <v>1540</v>
      </c>
      <c r="D8927" s="5" t="s">
        <v>13</v>
      </c>
      <c r="E8927" s="5" t="s">
        <v>90</v>
      </c>
      <c r="F8927" s="5" t="s">
        <v>678</v>
      </c>
      <c r="G8927" s="5" t="s">
        <v>1541</v>
      </c>
      <c r="H8927" s="5" t="s">
        <v>1542</v>
      </c>
      <c r="I8927" s="5" t="s">
        <v>32</v>
      </c>
      <c r="J8927" s="5">
        <v>17.380743603999999</v>
      </c>
      <c r="K8927" s="5">
        <v>-96.163883686000005</v>
      </c>
      <c r="L8927" s="5" t="str">
        <f>HYPERLINK("https://maps.google.com/?q=17.380743604,-96.163883686000005", "🔗 Ver Mapa")</f>
        <v>🔗 Ver Mapa</v>
      </c>
    </row>
    <row r="8928" spans="1:12" ht="43.5" x14ac:dyDescent="0.35">
      <c r="A8928" s="6" t="s">
        <v>516</v>
      </c>
      <c r="B8928" s="6" t="s">
        <v>517</v>
      </c>
      <c r="C8928" s="6" t="s">
        <v>1540</v>
      </c>
      <c r="D8928" s="6" t="s">
        <v>13</v>
      </c>
      <c r="E8928" s="6" t="s">
        <v>90</v>
      </c>
      <c r="F8928" s="6" t="s">
        <v>678</v>
      </c>
      <c r="G8928" s="6" t="s">
        <v>1541</v>
      </c>
      <c r="H8928" s="6" t="s">
        <v>1542</v>
      </c>
      <c r="I8928" s="6" t="s">
        <v>32</v>
      </c>
      <c r="J8928" s="6">
        <v>17.380809712000001</v>
      </c>
      <c r="K8928" s="6">
        <v>-96.162816871999993</v>
      </c>
      <c r="L8928" s="6" t="str">
        <f>HYPERLINK("https://maps.google.com/?q=17.380809712,-96.162816871999993", "🔗 Ver Mapa")</f>
        <v>🔗 Ver Mapa</v>
      </c>
    </row>
    <row r="8929" spans="1:12" ht="43.5" x14ac:dyDescent="0.35">
      <c r="A8929" s="5" t="s">
        <v>516</v>
      </c>
      <c r="B8929" s="5" t="s">
        <v>517</v>
      </c>
      <c r="C8929" s="5" t="s">
        <v>1540</v>
      </c>
      <c r="D8929" s="5" t="s">
        <v>13</v>
      </c>
      <c r="E8929" s="5" t="s">
        <v>90</v>
      </c>
      <c r="F8929" s="5" t="s">
        <v>678</v>
      </c>
      <c r="G8929" s="5" t="s">
        <v>1541</v>
      </c>
      <c r="H8929" s="5" t="s">
        <v>1542</v>
      </c>
      <c r="I8929" s="5" t="s">
        <v>32</v>
      </c>
      <c r="J8929" s="5">
        <v>17.380927235000001</v>
      </c>
      <c r="K8929" s="5">
        <v>-96.163982516999994</v>
      </c>
      <c r="L8929" s="5" t="str">
        <f>HYPERLINK("https://maps.google.com/?q=17.380927235,-96.163982516999994", "🔗 Ver Mapa")</f>
        <v>🔗 Ver Mapa</v>
      </c>
    </row>
    <row r="8930" spans="1:12" ht="43.5" x14ac:dyDescent="0.35">
      <c r="A8930" s="6" t="s">
        <v>516</v>
      </c>
      <c r="B8930" s="6" t="s">
        <v>517</v>
      </c>
      <c r="C8930" s="6" t="s">
        <v>1540</v>
      </c>
      <c r="D8930" s="6" t="s">
        <v>13</v>
      </c>
      <c r="E8930" s="6" t="s">
        <v>90</v>
      </c>
      <c r="F8930" s="6" t="s">
        <v>678</v>
      </c>
      <c r="G8930" s="6" t="s">
        <v>1541</v>
      </c>
      <c r="H8930" s="6" t="s">
        <v>1542</v>
      </c>
      <c r="I8930" s="6" t="s">
        <v>32</v>
      </c>
      <c r="J8930" s="6">
        <v>17.381015368</v>
      </c>
      <c r="K8930" s="6">
        <v>-96.162368779999994</v>
      </c>
      <c r="L8930" s="6" t="str">
        <f>HYPERLINK("https://maps.google.com/?q=17.381015368,-96.162368779999994", "🔗 Ver Mapa")</f>
        <v>🔗 Ver Mapa</v>
      </c>
    </row>
    <row r="8931" spans="1:12" ht="43.5" x14ac:dyDescent="0.35">
      <c r="A8931" s="5" t="s">
        <v>516</v>
      </c>
      <c r="B8931" s="5" t="s">
        <v>517</v>
      </c>
      <c r="C8931" s="5" t="s">
        <v>1540</v>
      </c>
      <c r="D8931" s="5" t="s">
        <v>13</v>
      </c>
      <c r="E8931" s="5" t="s">
        <v>90</v>
      </c>
      <c r="F8931" s="5" t="s">
        <v>678</v>
      </c>
      <c r="G8931" s="5" t="s">
        <v>1541</v>
      </c>
      <c r="H8931" s="5" t="s">
        <v>1542</v>
      </c>
      <c r="I8931" s="5" t="s">
        <v>32</v>
      </c>
      <c r="J8931" s="5">
        <v>17.381028331</v>
      </c>
      <c r="K8931" s="5">
        <v>-96.161242032000004</v>
      </c>
      <c r="L8931" s="5" t="str">
        <f>HYPERLINK("https://maps.google.com/?q=17.381028331,-96.161242032000004", "🔗 Ver Mapa")</f>
        <v>🔗 Ver Mapa</v>
      </c>
    </row>
    <row r="8932" spans="1:12" ht="43.5" x14ac:dyDescent="0.35">
      <c r="A8932" s="6" t="s">
        <v>516</v>
      </c>
      <c r="B8932" s="6" t="s">
        <v>517</v>
      </c>
      <c r="C8932" s="6" t="s">
        <v>1540</v>
      </c>
      <c r="D8932" s="6" t="s">
        <v>13</v>
      </c>
      <c r="E8932" s="6" t="s">
        <v>90</v>
      </c>
      <c r="F8932" s="6" t="s">
        <v>678</v>
      </c>
      <c r="G8932" s="6" t="s">
        <v>1541</v>
      </c>
      <c r="H8932" s="6" t="s">
        <v>1542</v>
      </c>
      <c r="I8932" s="6" t="s">
        <v>32</v>
      </c>
      <c r="J8932" s="6">
        <v>17.38103611</v>
      </c>
      <c r="K8932" s="6">
        <v>-96.164133096</v>
      </c>
      <c r="L8932" s="6" t="str">
        <f>HYPERLINK("https://maps.google.com/?q=17.38103611,-96.164133096", "🔗 Ver Mapa")</f>
        <v>🔗 Ver Mapa</v>
      </c>
    </row>
    <row r="8933" spans="1:12" ht="43.5" x14ac:dyDescent="0.35">
      <c r="A8933" s="5" t="s">
        <v>516</v>
      </c>
      <c r="B8933" s="5" t="s">
        <v>517</v>
      </c>
      <c r="C8933" s="5" t="s">
        <v>1540</v>
      </c>
      <c r="D8933" s="5" t="s">
        <v>13</v>
      </c>
      <c r="E8933" s="5" t="s">
        <v>90</v>
      </c>
      <c r="F8933" s="5" t="s">
        <v>678</v>
      </c>
      <c r="G8933" s="5" t="s">
        <v>1541</v>
      </c>
      <c r="H8933" s="5" t="s">
        <v>1542</v>
      </c>
      <c r="I8933" s="5" t="s">
        <v>32</v>
      </c>
      <c r="J8933" s="5">
        <v>17.381122983000001</v>
      </c>
      <c r="K8933" s="5">
        <v>-96.161205117999998</v>
      </c>
      <c r="L8933" s="5" t="str">
        <f>HYPERLINK("https://maps.google.com/?q=17.381122983,-96.161205117999998", "🔗 Ver Mapa")</f>
        <v>🔗 Ver Mapa</v>
      </c>
    </row>
    <row r="8934" spans="1:12" ht="43.5" x14ac:dyDescent="0.35">
      <c r="A8934" s="6" t="s">
        <v>516</v>
      </c>
      <c r="B8934" s="6" t="s">
        <v>517</v>
      </c>
      <c r="C8934" s="6" t="s">
        <v>1540</v>
      </c>
      <c r="D8934" s="6" t="s">
        <v>13</v>
      </c>
      <c r="E8934" s="6" t="s">
        <v>90</v>
      </c>
      <c r="F8934" s="6" t="s">
        <v>678</v>
      </c>
      <c r="G8934" s="6" t="s">
        <v>1541</v>
      </c>
      <c r="H8934" s="6" t="s">
        <v>1542</v>
      </c>
      <c r="I8934" s="6" t="s">
        <v>32</v>
      </c>
      <c r="J8934" s="6">
        <v>17.381123966000001</v>
      </c>
      <c r="K8934" s="6">
        <v>-96.161261529000001</v>
      </c>
      <c r="L8934" s="6" t="str">
        <f>HYPERLINK("https://maps.google.com/?q=17.381123966,-96.161261529000001", "🔗 Ver Mapa")</f>
        <v>🔗 Ver Mapa</v>
      </c>
    </row>
    <row r="8935" spans="1:12" ht="43.5" x14ac:dyDescent="0.35">
      <c r="A8935" s="5" t="s">
        <v>516</v>
      </c>
      <c r="B8935" s="5" t="s">
        <v>517</v>
      </c>
      <c r="C8935" s="5" t="s">
        <v>1540</v>
      </c>
      <c r="D8935" s="5" t="s">
        <v>13</v>
      </c>
      <c r="E8935" s="5" t="s">
        <v>90</v>
      </c>
      <c r="F8935" s="5" t="s">
        <v>678</v>
      </c>
      <c r="G8935" s="5" t="s">
        <v>1541</v>
      </c>
      <c r="H8935" s="5" t="s">
        <v>1542</v>
      </c>
      <c r="I8935" s="5" t="s">
        <v>32</v>
      </c>
      <c r="J8935" s="5">
        <v>17.381125141999998</v>
      </c>
      <c r="K8935" s="5">
        <v>-96.161737935000005</v>
      </c>
      <c r="L8935" s="5" t="str">
        <f>HYPERLINK("https://maps.google.com/?q=17.381125142,-96.161737935000005", "🔗 Ver Mapa")</f>
        <v>🔗 Ver Mapa</v>
      </c>
    </row>
    <row r="8936" spans="1:12" ht="43.5" x14ac:dyDescent="0.35">
      <c r="A8936" s="6" t="s">
        <v>516</v>
      </c>
      <c r="B8936" s="6" t="s">
        <v>517</v>
      </c>
      <c r="C8936" s="6" t="s">
        <v>1540</v>
      </c>
      <c r="D8936" s="6" t="s">
        <v>13</v>
      </c>
      <c r="E8936" s="6" t="s">
        <v>90</v>
      </c>
      <c r="F8936" s="6" t="s">
        <v>678</v>
      </c>
      <c r="G8936" s="6" t="s">
        <v>1541</v>
      </c>
      <c r="H8936" s="6" t="s">
        <v>1542</v>
      </c>
      <c r="I8936" s="6" t="s">
        <v>32</v>
      </c>
      <c r="J8936" s="6">
        <v>17.381143973</v>
      </c>
      <c r="K8936" s="6">
        <v>-96.162827328999995</v>
      </c>
      <c r="L8936" s="6" t="str">
        <f>HYPERLINK("https://maps.google.com/?q=17.381143973,-96.162827328999995", "🔗 Ver Mapa")</f>
        <v>🔗 Ver Mapa</v>
      </c>
    </row>
    <row r="8937" spans="1:12" ht="43.5" x14ac:dyDescent="0.35">
      <c r="A8937" s="5" t="s">
        <v>516</v>
      </c>
      <c r="B8937" s="5" t="s">
        <v>517</v>
      </c>
      <c r="C8937" s="5" t="s">
        <v>1540</v>
      </c>
      <c r="D8937" s="5" t="s">
        <v>13</v>
      </c>
      <c r="E8937" s="5" t="s">
        <v>90</v>
      </c>
      <c r="F8937" s="5" t="s">
        <v>678</v>
      </c>
      <c r="G8937" s="5" t="s">
        <v>1541</v>
      </c>
      <c r="H8937" s="5" t="s">
        <v>1542</v>
      </c>
      <c r="I8937" s="5" t="s">
        <v>32</v>
      </c>
      <c r="J8937" s="5">
        <v>17.381148187000001</v>
      </c>
      <c r="K8937" s="5">
        <v>-96.163123784000007</v>
      </c>
      <c r="L8937" s="5" t="str">
        <f>HYPERLINK("https://maps.google.com/?q=17.381148187,-96.163123784000007", "🔗 Ver Mapa")</f>
        <v>🔗 Ver Mapa</v>
      </c>
    </row>
    <row r="8938" spans="1:12" ht="43.5" x14ac:dyDescent="0.35">
      <c r="A8938" s="6" t="s">
        <v>516</v>
      </c>
      <c r="B8938" s="6" t="s">
        <v>517</v>
      </c>
      <c r="C8938" s="6" t="s">
        <v>1540</v>
      </c>
      <c r="D8938" s="6" t="s">
        <v>13</v>
      </c>
      <c r="E8938" s="6" t="s">
        <v>90</v>
      </c>
      <c r="F8938" s="6" t="s">
        <v>678</v>
      </c>
      <c r="G8938" s="6" t="s">
        <v>1541</v>
      </c>
      <c r="H8938" s="6" t="s">
        <v>1542</v>
      </c>
      <c r="I8938" s="6" t="s">
        <v>32</v>
      </c>
      <c r="J8938" s="6">
        <v>17.381148606</v>
      </c>
      <c r="K8938" s="6">
        <v>-96.163153307000002</v>
      </c>
      <c r="L8938" s="6" t="str">
        <f>HYPERLINK("https://maps.google.com/?q=17.381148606,-96.163153307000002", "🔗 Ver Mapa")</f>
        <v>🔗 Ver Mapa</v>
      </c>
    </row>
    <row r="8939" spans="1:12" ht="43.5" x14ac:dyDescent="0.35">
      <c r="A8939" s="5" t="s">
        <v>516</v>
      </c>
      <c r="B8939" s="5" t="s">
        <v>517</v>
      </c>
      <c r="C8939" s="5" t="s">
        <v>1540</v>
      </c>
      <c r="D8939" s="5" t="s">
        <v>13</v>
      </c>
      <c r="E8939" s="5" t="s">
        <v>90</v>
      </c>
      <c r="F8939" s="5" t="s">
        <v>678</v>
      </c>
      <c r="G8939" s="5" t="s">
        <v>1541</v>
      </c>
      <c r="H8939" s="5" t="s">
        <v>1542</v>
      </c>
      <c r="I8939" s="5" t="s">
        <v>32</v>
      </c>
      <c r="J8939" s="5">
        <v>17.381169190000001</v>
      </c>
      <c r="K8939" s="5">
        <v>-96.163165685999999</v>
      </c>
      <c r="L8939" s="5" t="str">
        <f>HYPERLINK("https://maps.google.com/?q=17.38116919,-96.163165685999999", "🔗 Ver Mapa")</f>
        <v>🔗 Ver Mapa</v>
      </c>
    </row>
    <row r="8940" spans="1:12" ht="43.5" x14ac:dyDescent="0.35">
      <c r="A8940" s="6" t="s">
        <v>516</v>
      </c>
      <c r="B8940" s="6" t="s">
        <v>517</v>
      </c>
      <c r="C8940" s="6" t="s">
        <v>1540</v>
      </c>
      <c r="D8940" s="6" t="s">
        <v>13</v>
      </c>
      <c r="E8940" s="6" t="s">
        <v>90</v>
      </c>
      <c r="F8940" s="6" t="s">
        <v>678</v>
      </c>
      <c r="G8940" s="6" t="s">
        <v>1541</v>
      </c>
      <c r="H8940" s="6" t="s">
        <v>1542</v>
      </c>
      <c r="I8940" s="6" t="s">
        <v>32</v>
      </c>
      <c r="J8940" s="6">
        <v>17.381185560999999</v>
      </c>
      <c r="K8940" s="6">
        <v>-96.160322776000001</v>
      </c>
      <c r="L8940" s="6" t="str">
        <f>HYPERLINK("https://maps.google.com/?q=17.381185561,-96.160322776000001", "🔗 Ver Mapa")</f>
        <v>🔗 Ver Mapa</v>
      </c>
    </row>
    <row r="8941" spans="1:12" ht="43.5" x14ac:dyDescent="0.35">
      <c r="A8941" s="5" t="s">
        <v>516</v>
      </c>
      <c r="B8941" s="5" t="s">
        <v>517</v>
      </c>
      <c r="C8941" s="5" t="s">
        <v>1540</v>
      </c>
      <c r="D8941" s="5" t="s">
        <v>13</v>
      </c>
      <c r="E8941" s="5" t="s">
        <v>90</v>
      </c>
      <c r="F8941" s="5" t="s">
        <v>678</v>
      </c>
      <c r="G8941" s="5" t="s">
        <v>1541</v>
      </c>
      <c r="H8941" s="5" t="s">
        <v>1542</v>
      </c>
      <c r="I8941" s="5" t="s">
        <v>32</v>
      </c>
      <c r="J8941" s="5">
        <v>17.381214094000001</v>
      </c>
      <c r="K8941" s="5">
        <v>-96.161084371000001</v>
      </c>
      <c r="L8941" s="5" t="str">
        <f>HYPERLINK("https://maps.google.com/?q=17.381214094,-96.161084371000001", "🔗 Ver Mapa")</f>
        <v>🔗 Ver Mapa</v>
      </c>
    </row>
    <row r="8942" spans="1:12" ht="43.5" x14ac:dyDescent="0.35">
      <c r="A8942" s="6" t="s">
        <v>516</v>
      </c>
      <c r="B8942" s="6" t="s">
        <v>517</v>
      </c>
      <c r="C8942" s="6" t="s">
        <v>1540</v>
      </c>
      <c r="D8942" s="6" t="s">
        <v>13</v>
      </c>
      <c r="E8942" s="6" t="s">
        <v>90</v>
      </c>
      <c r="F8942" s="6" t="s">
        <v>678</v>
      </c>
      <c r="G8942" s="6" t="s">
        <v>1541</v>
      </c>
      <c r="H8942" s="6" t="s">
        <v>1542</v>
      </c>
      <c r="I8942" s="6" t="s">
        <v>32</v>
      </c>
      <c r="J8942" s="6">
        <v>17.381215391000001</v>
      </c>
      <c r="K8942" s="6">
        <v>-96.164675787999997</v>
      </c>
      <c r="L8942" s="6" t="str">
        <f>HYPERLINK("https://maps.google.com/?q=17.381215391,-96.164675787999997", "🔗 Ver Mapa")</f>
        <v>🔗 Ver Mapa</v>
      </c>
    </row>
    <row r="8943" spans="1:12" ht="43.5" x14ac:dyDescent="0.35">
      <c r="A8943" s="5" t="s">
        <v>516</v>
      </c>
      <c r="B8943" s="5" t="s">
        <v>517</v>
      </c>
      <c r="C8943" s="5" t="s">
        <v>1540</v>
      </c>
      <c r="D8943" s="5" t="s">
        <v>13</v>
      </c>
      <c r="E8943" s="5" t="s">
        <v>90</v>
      </c>
      <c r="F8943" s="5" t="s">
        <v>678</v>
      </c>
      <c r="G8943" s="5" t="s">
        <v>1541</v>
      </c>
      <c r="H8943" s="5" t="s">
        <v>1542</v>
      </c>
      <c r="I8943" s="5" t="s">
        <v>32</v>
      </c>
      <c r="J8943" s="5">
        <v>17.381220022000001</v>
      </c>
      <c r="K8943" s="5">
        <v>-96.163196971000005</v>
      </c>
      <c r="L8943" s="5" t="str">
        <f>HYPERLINK("https://maps.google.com/?q=17.381220022,-96.163196971000005", "🔗 Ver Mapa")</f>
        <v>🔗 Ver Mapa</v>
      </c>
    </row>
    <row r="8944" spans="1:12" ht="43.5" x14ac:dyDescent="0.35">
      <c r="A8944" s="6" t="s">
        <v>516</v>
      </c>
      <c r="B8944" s="6" t="s">
        <v>517</v>
      </c>
      <c r="C8944" s="6" t="s">
        <v>1540</v>
      </c>
      <c r="D8944" s="6" t="s">
        <v>13</v>
      </c>
      <c r="E8944" s="6" t="s">
        <v>90</v>
      </c>
      <c r="F8944" s="6" t="s">
        <v>678</v>
      </c>
      <c r="G8944" s="6" t="s">
        <v>1541</v>
      </c>
      <c r="H8944" s="6" t="s">
        <v>1542</v>
      </c>
      <c r="I8944" s="6" t="s">
        <v>32</v>
      </c>
      <c r="J8944" s="6">
        <v>17.381221175</v>
      </c>
      <c r="K8944" s="6">
        <v>-96.161194950999999</v>
      </c>
      <c r="L8944" s="6" t="str">
        <f>HYPERLINK("https://maps.google.com/?q=17.381221175,-96.161194950999999", "🔗 Ver Mapa")</f>
        <v>🔗 Ver Mapa</v>
      </c>
    </row>
    <row r="8945" spans="1:12" ht="43.5" x14ac:dyDescent="0.35">
      <c r="A8945" s="5" t="s">
        <v>516</v>
      </c>
      <c r="B8945" s="5" t="s">
        <v>517</v>
      </c>
      <c r="C8945" s="5" t="s">
        <v>1540</v>
      </c>
      <c r="D8945" s="5" t="s">
        <v>13</v>
      </c>
      <c r="E8945" s="5" t="s">
        <v>90</v>
      </c>
      <c r="F8945" s="5" t="s">
        <v>678</v>
      </c>
      <c r="G8945" s="5" t="s">
        <v>1541</v>
      </c>
      <c r="H8945" s="5" t="s">
        <v>1542</v>
      </c>
      <c r="I8945" s="5" t="s">
        <v>32</v>
      </c>
      <c r="J8945" s="5">
        <v>17.381243550000001</v>
      </c>
      <c r="K8945" s="5">
        <v>-96.162374666000005</v>
      </c>
      <c r="L8945" s="5" t="str">
        <f>HYPERLINK("https://maps.google.com/?q=17.38124355,-96.162374666000005", "🔗 Ver Mapa")</f>
        <v>🔗 Ver Mapa</v>
      </c>
    </row>
    <row r="8946" spans="1:12" ht="43.5" x14ac:dyDescent="0.35">
      <c r="A8946" s="6" t="s">
        <v>516</v>
      </c>
      <c r="B8946" s="6" t="s">
        <v>517</v>
      </c>
      <c r="C8946" s="6" t="s">
        <v>1540</v>
      </c>
      <c r="D8946" s="6" t="s">
        <v>13</v>
      </c>
      <c r="E8946" s="6" t="s">
        <v>90</v>
      </c>
      <c r="F8946" s="6" t="s">
        <v>678</v>
      </c>
      <c r="G8946" s="6" t="s">
        <v>1541</v>
      </c>
      <c r="H8946" s="6" t="s">
        <v>1542</v>
      </c>
      <c r="I8946" s="6" t="s">
        <v>32</v>
      </c>
      <c r="J8946" s="6">
        <v>17.381248346</v>
      </c>
      <c r="K8946" s="6">
        <v>-96.161930799999993</v>
      </c>
      <c r="L8946" s="6" t="str">
        <f>HYPERLINK("https://maps.google.com/?q=17.381248346,-96.161930799999993", "🔗 Ver Mapa")</f>
        <v>🔗 Ver Mapa</v>
      </c>
    </row>
    <row r="8947" spans="1:12" ht="43.5" x14ac:dyDescent="0.35">
      <c r="A8947" s="5" t="s">
        <v>516</v>
      </c>
      <c r="B8947" s="5" t="s">
        <v>517</v>
      </c>
      <c r="C8947" s="5" t="s">
        <v>1540</v>
      </c>
      <c r="D8947" s="5" t="s">
        <v>13</v>
      </c>
      <c r="E8947" s="5" t="s">
        <v>90</v>
      </c>
      <c r="F8947" s="5" t="s">
        <v>678</v>
      </c>
      <c r="G8947" s="5" t="s">
        <v>1541</v>
      </c>
      <c r="H8947" s="5" t="s">
        <v>1542</v>
      </c>
      <c r="I8947" s="5" t="s">
        <v>32</v>
      </c>
      <c r="J8947" s="5">
        <v>17.381272653</v>
      </c>
      <c r="K8947" s="5">
        <v>-96.161747792</v>
      </c>
      <c r="L8947" s="5" t="str">
        <f>HYPERLINK("https://maps.google.com/?q=17.381272653,-96.161747792", "🔗 Ver Mapa")</f>
        <v>🔗 Ver Mapa</v>
      </c>
    </row>
    <row r="8948" spans="1:12" ht="43.5" x14ac:dyDescent="0.35">
      <c r="A8948" s="6" t="s">
        <v>516</v>
      </c>
      <c r="B8948" s="6" t="s">
        <v>517</v>
      </c>
      <c r="C8948" s="6" t="s">
        <v>1540</v>
      </c>
      <c r="D8948" s="6" t="s">
        <v>13</v>
      </c>
      <c r="E8948" s="6" t="s">
        <v>90</v>
      </c>
      <c r="F8948" s="6" t="s">
        <v>678</v>
      </c>
      <c r="G8948" s="6" t="s">
        <v>1541</v>
      </c>
      <c r="H8948" s="6" t="s">
        <v>1542</v>
      </c>
      <c r="I8948" s="6" t="s">
        <v>32</v>
      </c>
      <c r="J8948" s="6">
        <v>17.381299454000001</v>
      </c>
      <c r="K8948" s="6">
        <v>-96.160381676</v>
      </c>
      <c r="L8948" s="6" t="str">
        <f>HYPERLINK("https://maps.google.com/?q=17.381299454,-96.160381676", "🔗 Ver Mapa")</f>
        <v>🔗 Ver Mapa</v>
      </c>
    </row>
    <row r="8949" spans="1:12" ht="43.5" x14ac:dyDescent="0.35">
      <c r="A8949" s="5" t="s">
        <v>516</v>
      </c>
      <c r="B8949" s="5" t="s">
        <v>517</v>
      </c>
      <c r="C8949" s="5" t="s">
        <v>1540</v>
      </c>
      <c r="D8949" s="5" t="s">
        <v>13</v>
      </c>
      <c r="E8949" s="5" t="s">
        <v>90</v>
      </c>
      <c r="F8949" s="5" t="s">
        <v>678</v>
      </c>
      <c r="G8949" s="5" t="s">
        <v>1541</v>
      </c>
      <c r="H8949" s="5" t="s">
        <v>1542</v>
      </c>
      <c r="I8949" s="5" t="s">
        <v>32</v>
      </c>
      <c r="J8949" s="5">
        <v>17.381312885</v>
      </c>
      <c r="K8949" s="5">
        <v>-96.162907106999995</v>
      </c>
      <c r="L8949" s="5" t="str">
        <f>HYPERLINK("https://maps.google.com/?q=17.381312885,-96.162907106999995", "🔗 Ver Mapa")</f>
        <v>🔗 Ver Mapa</v>
      </c>
    </row>
    <row r="8950" spans="1:12" ht="43.5" x14ac:dyDescent="0.35">
      <c r="A8950" s="6" t="s">
        <v>516</v>
      </c>
      <c r="B8950" s="6" t="s">
        <v>517</v>
      </c>
      <c r="C8950" s="6" t="s">
        <v>1540</v>
      </c>
      <c r="D8950" s="6" t="s">
        <v>13</v>
      </c>
      <c r="E8950" s="6" t="s">
        <v>90</v>
      </c>
      <c r="F8950" s="6" t="s">
        <v>678</v>
      </c>
      <c r="G8950" s="6" t="s">
        <v>1541</v>
      </c>
      <c r="H8950" s="6" t="s">
        <v>1542</v>
      </c>
      <c r="I8950" s="6" t="s">
        <v>32</v>
      </c>
      <c r="J8950" s="6">
        <v>17.381321886999999</v>
      </c>
      <c r="K8950" s="6">
        <v>-96.161146092999999</v>
      </c>
      <c r="L8950" s="6" t="str">
        <f>HYPERLINK("https://maps.google.com/?q=17.381321887,-96.161146092999999", "🔗 Ver Mapa")</f>
        <v>🔗 Ver Mapa</v>
      </c>
    </row>
    <row r="8951" spans="1:12" ht="43.5" x14ac:dyDescent="0.35">
      <c r="A8951" s="5" t="s">
        <v>516</v>
      </c>
      <c r="B8951" s="5" t="s">
        <v>517</v>
      </c>
      <c r="C8951" s="5" t="s">
        <v>1540</v>
      </c>
      <c r="D8951" s="5" t="s">
        <v>13</v>
      </c>
      <c r="E8951" s="5" t="s">
        <v>90</v>
      </c>
      <c r="F8951" s="5" t="s">
        <v>678</v>
      </c>
      <c r="G8951" s="5" t="s">
        <v>1541</v>
      </c>
      <c r="H8951" s="5" t="s">
        <v>1542</v>
      </c>
      <c r="I8951" s="5" t="s">
        <v>32</v>
      </c>
      <c r="J8951" s="5">
        <v>17.381343094000002</v>
      </c>
      <c r="K8951" s="5">
        <v>-96.163456891999999</v>
      </c>
      <c r="L8951" s="5" t="str">
        <f>HYPERLINK("https://maps.google.com/?q=17.381343094,-96.163456891999999", "🔗 Ver Mapa")</f>
        <v>🔗 Ver Mapa</v>
      </c>
    </row>
    <row r="8952" spans="1:12" ht="43.5" x14ac:dyDescent="0.35">
      <c r="A8952" s="6" t="s">
        <v>516</v>
      </c>
      <c r="B8952" s="6" t="s">
        <v>517</v>
      </c>
      <c r="C8952" s="6" t="s">
        <v>1540</v>
      </c>
      <c r="D8952" s="6" t="s">
        <v>13</v>
      </c>
      <c r="E8952" s="6" t="s">
        <v>90</v>
      </c>
      <c r="F8952" s="6" t="s">
        <v>678</v>
      </c>
      <c r="G8952" s="6" t="s">
        <v>1541</v>
      </c>
      <c r="H8952" s="6" t="s">
        <v>1542</v>
      </c>
      <c r="I8952" s="6" t="s">
        <v>32</v>
      </c>
      <c r="J8952" s="6">
        <v>17.381353544</v>
      </c>
      <c r="K8952" s="6">
        <v>-96.161054476000004</v>
      </c>
      <c r="L8952" s="6" t="str">
        <f>HYPERLINK("https://maps.google.com/?q=17.381353544,-96.161054476000004", "🔗 Ver Mapa")</f>
        <v>🔗 Ver Mapa</v>
      </c>
    </row>
    <row r="8953" spans="1:12" ht="43.5" x14ac:dyDescent="0.35">
      <c r="A8953" s="5" t="s">
        <v>516</v>
      </c>
      <c r="B8953" s="5" t="s">
        <v>517</v>
      </c>
      <c r="C8953" s="5" t="s">
        <v>1540</v>
      </c>
      <c r="D8953" s="5" t="s">
        <v>13</v>
      </c>
      <c r="E8953" s="5" t="s">
        <v>90</v>
      </c>
      <c r="F8953" s="5" t="s">
        <v>678</v>
      </c>
      <c r="G8953" s="5" t="s">
        <v>1541</v>
      </c>
      <c r="H8953" s="5" t="s">
        <v>1542</v>
      </c>
      <c r="I8953" s="5" t="s">
        <v>32</v>
      </c>
      <c r="J8953" s="5">
        <v>17.381357170000001</v>
      </c>
      <c r="K8953" s="5">
        <v>-96.161550688999995</v>
      </c>
      <c r="L8953" s="5" t="str">
        <f>HYPERLINK("https://maps.google.com/?q=17.38135717,-96.161550688999995", "🔗 Ver Mapa")</f>
        <v>🔗 Ver Mapa</v>
      </c>
    </row>
    <row r="8954" spans="1:12" ht="43.5" x14ac:dyDescent="0.35">
      <c r="A8954" s="6" t="s">
        <v>516</v>
      </c>
      <c r="B8954" s="6" t="s">
        <v>517</v>
      </c>
      <c r="C8954" s="6" t="s">
        <v>1540</v>
      </c>
      <c r="D8954" s="6" t="s">
        <v>13</v>
      </c>
      <c r="E8954" s="6" t="s">
        <v>90</v>
      </c>
      <c r="F8954" s="6" t="s">
        <v>678</v>
      </c>
      <c r="G8954" s="6" t="s">
        <v>1541</v>
      </c>
      <c r="H8954" s="6" t="s">
        <v>1542</v>
      </c>
      <c r="I8954" s="6" t="s">
        <v>32</v>
      </c>
      <c r="J8954" s="6">
        <v>17.381363613000001</v>
      </c>
      <c r="K8954" s="6">
        <v>-96.161273537</v>
      </c>
      <c r="L8954" s="6" t="str">
        <f>HYPERLINK("https://maps.google.com/?q=17.381363613,-96.161273537", "🔗 Ver Mapa")</f>
        <v>🔗 Ver Mapa</v>
      </c>
    </row>
    <row r="8955" spans="1:12" ht="43.5" x14ac:dyDescent="0.35">
      <c r="A8955" s="5" t="s">
        <v>516</v>
      </c>
      <c r="B8955" s="5" t="s">
        <v>517</v>
      </c>
      <c r="C8955" s="5" t="s">
        <v>1540</v>
      </c>
      <c r="D8955" s="5" t="s">
        <v>13</v>
      </c>
      <c r="E8955" s="5" t="s">
        <v>90</v>
      </c>
      <c r="F8955" s="5" t="s">
        <v>678</v>
      </c>
      <c r="G8955" s="5" t="s">
        <v>1541</v>
      </c>
      <c r="H8955" s="5" t="s">
        <v>1542</v>
      </c>
      <c r="I8955" s="5" t="s">
        <v>32</v>
      </c>
      <c r="J8955" s="5">
        <v>17.381369883000001</v>
      </c>
      <c r="K8955" s="5">
        <v>-96.161136607000003</v>
      </c>
      <c r="L8955" s="5" t="str">
        <f>HYPERLINK("https://maps.google.com/?q=17.381369883,-96.161136607000003", "🔗 Ver Mapa")</f>
        <v>🔗 Ver Mapa</v>
      </c>
    </row>
    <row r="8956" spans="1:12" ht="43.5" x14ac:dyDescent="0.35">
      <c r="A8956" s="6" t="s">
        <v>516</v>
      </c>
      <c r="B8956" s="6" t="s">
        <v>517</v>
      </c>
      <c r="C8956" s="6" t="s">
        <v>1540</v>
      </c>
      <c r="D8956" s="6" t="s">
        <v>13</v>
      </c>
      <c r="E8956" s="6" t="s">
        <v>90</v>
      </c>
      <c r="F8956" s="6" t="s">
        <v>678</v>
      </c>
      <c r="G8956" s="6" t="s">
        <v>1541</v>
      </c>
      <c r="H8956" s="6" t="s">
        <v>1542</v>
      </c>
      <c r="I8956" s="6" t="s">
        <v>32</v>
      </c>
      <c r="J8956" s="6">
        <v>17.381376569</v>
      </c>
      <c r="K8956" s="6">
        <v>-96.161505155</v>
      </c>
      <c r="L8956" s="6" t="str">
        <f>HYPERLINK("https://maps.google.com/?q=17.381376569,-96.161505155", "🔗 Ver Mapa")</f>
        <v>🔗 Ver Mapa</v>
      </c>
    </row>
    <row r="8957" spans="1:12" ht="43.5" x14ac:dyDescent="0.35">
      <c r="A8957" s="5" t="s">
        <v>516</v>
      </c>
      <c r="B8957" s="5" t="s">
        <v>517</v>
      </c>
      <c r="C8957" s="5" t="s">
        <v>1540</v>
      </c>
      <c r="D8957" s="5" t="s">
        <v>13</v>
      </c>
      <c r="E8957" s="5" t="s">
        <v>90</v>
      </c>
      <c r="F8957" s="5" t="s">
        <v>678</v>
      </c>
      <c r="G8957" s="5" t="s">
        <v>1541</v>
      </c>
      <c r="H8957" s="5" t="s">
        <v>1542</v>
      </c>
      <c r="I8957" s="5" t="s">
        <v>32</v>
      </c>
      <c r="J8957" s="5">
        <v>17.381389166000002</v>
      </c>
      <c r="K8957" s="5">
        <v>-96.160384711999995</v>
      </c>
      <c r="L8957" s="5" t="str">
        <f>HYPERLINK("https://maps.google.com/?q=17.381389166,-96.160384711999995", "🔗 Ver Mapa")</f>
        <v>🔗 Ver Mapa</v>
      </c>
    </row>
    <row r="8958" spans="1:12" ht="43.5" x14ac:dyDescent="0.35">
      <c r="A8958" s="6" t="s">
        <v>516</v>
      </c>
      <c r="B8958" s="6" t="s">
        <v>517</v>
      </c>
      <c r="C8958" s="6" t="s">
        <v>1540</v>
      </c>
      <c r="D8958" s="6" t="s">
        <v>13</v>
      </c>
      <c r="E8958" s="6" t="s">
        <v>90</v>
      </c>
      <c r="F8958" s="6" t="s">
        <v>678</v>
      </c>
      <c r="G8958" s="6" t="s">
        <v>1541</v>
      </c>
      <c r="H8958" s="6" t="s">
        <v>1542</v>
      </c>
      <c r="I8958" s="6" t="s">
        <v>32</v>
      </c>
      <c r="J8958" s="6">
        <v>17.381406229</v>
      </c>
      <c r="K8958" s="6">
        <v>-96.161317550000007</v>
      </c>
      <c r="L8958" s="6" t="str">
        <f>HYPERLINK("https://maps.google.com/?q=17.381406229,-96.161317550000007", "🔗 Ver Mapa")</f>
        <v>🔗 Ver Mapa</v>
      </c>
    </row>
    <row r="8959" spans="1:12" ht="43.5" x14ac:dyDescent="0.35">
      <c r="A8959" s="5" t="s">
        <v>516</v>
      </c>
      <c r="B8959" s="5" t="s">
        <v>517</v>
      </c>
      <c r="C8959" s="5" t="s">
        <v>1540</v>
      </c>
      <c r="D8959" s="5" t="s">
        <v>13</v>
      </c>
      <c r="E8959" s="5" t="s">
        <v>90</v>
      </c>
      <c r="F8959" s="5" t="s">
        <v>678</v>
      </c>
      <c r="G8959" s="5" t="s">
        <v>1541</v>
      </c>
      <c r="H8959" s="5" t="s">
        <v>1542</v>
      </c>
      <c r="I8959" s="5" t="s">
        <v>32</v>
      </c>
      <c r="J8959" s="5">
        <v>17.381422067999999</v>
      </c>
      <c r="K8959" s="5">
        <v>-96.161428088999997</v>
      </c>
      <c r="L8959" s="5" t="str">
        <f>HYPERLINK("https://maps.google.com/?q=17.381422068,-96.161428088999997", "🔗 Ver Mapa")</f>
        <v>🔗 Ver Mapa</v>
      </c>
    </row>
    <row r="8960" spans="1:12" ht="43.5" x14ac:dyDescent="0.35">
      <c r="A8960" s="6" t="s">
        <v>516</v>
      </c>
      <c r="B8960" s="6" t="s">
        <v>517</v>
      </c>
      <c r="C8960" s="6" t="s">
        <v>1540</v>
      </c>
      <c r="D8960" s="6" t="s">
        <v>13</v>
      </c>
      <c r="E8960" s="6" t="s">
        <v>90</v>
      </c>
      <c r="F8960" s="6" t="s">
        <v>678</v>
      </c>
      <c r="G8960" s="6" t="s">
        <v>1541</v>
      </c>
      <c r="H8960" s="6" t="s">
        <v>1542</v>
      </c>
      <c r="I8960" s="6" t="s">
        <v>32</v>
      </c>
      <c r="J8960" s="6">
        <v>17.381477279999999</v>
      </c>
      <c r="K8960" s="6">
        <v>-96.161310153000002</v>
      </c>
      <c r="L8960" s="6" t="str">
        <f>HYPERLINK("https://maps.google.com/?q=17.38147728,-96.161310153000002", "🔗 Ver Mapa")</f>
        <v>🔗 Ver Mapa</v>
      </c>
    </row>
    <row r="8961" spans="1:12" ht="43.5" x14ac:dyDescent="0.35">
      <c r="A8961" s="5" t="s">
        <v>516</v>
      </c>
      <c r="B8961" s="5" t="s">
        <v>517</v>
      </c>
      <c r="C8961" s="5" t="s">
        <v>1540</v>
      </c>
      <c r="D8961" s="5" t="s">
        <v>13</v>
      </c>
      <c r="E8961" s="5" t="s">
        <v>90</v>
      </c>
      <c r="F8961" s="5" t="s">
        <v>678</v>
      </c>
      <c r="G8961" s="5" t="s">
        <v>1541</v>
      </c>
      <c r="H8961" s="5" t="s">
        <v>1542</v>
      </c>
      <c r="I8961" s="5" t="s">
        <v>32</v>
      </c>
      <c r="J8961" s="5">
        <v>17.381483794000001</v>
      </c>
      <c r="K8961" s="5">
        <v>-96.161323689</v>
      </c>
      <c r="L8961" s="5" t="str">
        <f>HYPERLINK("https://maps.google.com/?q=17.381483794,-96.161323689", "🔗 Ver Mapa")</f>
        <v>🔗 Ver Mapa</v>
      </c>
    </row>
    <row r="8962" spans="1:12" ht="43.5" x14ac:dyDescent="0.35">
      <c r="A8962" s="6" t="s">
        <v>516</v>
      </c>
      <c r="B8962" s="6" t="s">
        <v>517</v>
      </c>
      <c r="C8962" s="6" t="s">
        <v>1540</v>
      </c>
      <c r="D8962" s="6" t="s">
        <v>13</v>
      </c>
      <c r="E8962" s="6" t="s">
        <v>90</v>
      </c>
      <c r="F8962" s="6" t="s">
        <v>678</v>
      </c>
      <c r="G8962" s="6" t="s">
        <v>1541</v>
      </c>
      <c r="H8962" s="6" t="s">
        <v>1542</v>
      </c>
      <c r="I8962" s="6" t="s">
        <v>32</v>
      </c>
      <c r="J8962" s="6">
        <v>17.381488438000002</v>
      </c>
      <c r="K8962" s="6">
        <v>-96.161599448000004</v>
      </c>
      <c r="L8962" s="6" t="str">
        <f>HYPERLINK("https://maps.google.com/?q=17.381488438,-96.161599448000004", "🔗 Ver Mapa")</f>
        <v>🔗 Ver Mapa</v>
      </c>
    </row>
    <row r="8963" spans="1:12" ht="43.5" x14ac:dyDescent="0.35">
      <c r="A8963" s="5" t="s">
        <v>516</v>
      </c>
      <c r="B8963" s="5" t="s">
        <v>517</v>
      </c>
      <c r="C8963" s="5" t="s">
        <v>1540</v>
      </c>
      <c r="D8963" s="5" t="s">
        <v>13</v>
      </c>
      <c r="E8963" s="5" t="s">
        <v>90</v>
      </c>
      <c r="F8963" s="5" t="s">
        <v>678</v>
      </c>
      <c r="G8963" s="5" t="s">
        <v>1541</v>
      </c>
      <c r="H8963" s="5" t="s">
        <v>1542</v>
      </c>
      <c r="I8963" s="5" t="s">
        <v>32</v>
      </c>
      <c r="J8963" s="5">
        <v>17.381501405000002</v>
      </c>
      <c r="K8963" s="5">
        <v>-96.165103982999995</v>
      </c>
      <c r="L8963" s="5" t="str">
        <f>HYPERLINK("https://maps.google.com/?q=17.381501405,-96.165103982999995", "🔗 Ver Mapa")</f>
        <v>🔗 Ver Mapa</v>
      </c>
    </row>
    <row r="8964" spans="1:12" ht="43.5" x14ac:dyDescent="0.35">
      <c r="A8964" s="6" t="s">
        <v>516</v>
      </c>
      <c r="B8964" s="6" t="s">
        <v>517</v>
      </c>
      <c r="C8964" s="6" t="s">
        <v>1540</v>
      </c>
      <c r="D8964" s="6" t="s">
        <v>13</v>
      </c>
      <c r="E8964" s="6" t="s">
        <v>90</v>
      </c>
      <c r="F8964" s="6" t="s">
        <v>678</v>
      </c>
      <c r="G8964" s="6" t="s">
        <v>1541</v>
      </c>
      <c r="H8964" s="6" t="s">
        <v>1542</v>
      </c>
      <c r="I8964" s="6" t="s">
        <v>32</v>
      </c>
      <c r="J8964" s="6">
        <v>17.381501545999999</v>
      </c>
      <c r="K8964" s="6">
        <v>-96.162553037999999</v>
      </c>
      <c r="L8964" s="6" t="str">
        <f>HYPERLINK("https://maps.google.com/?q=17.381501546,-96.162553037999999", "🔗 Ver Mapa")</f>
        <v>🔗 Ver Mapa</v>
      </c>
    </row>
    <row r="8965" spans="1:12" ht="43.5" x14ac:dyDescent="0.35">
      <c r="A8965" s="5" t="s">
        <v>516</v>
      </c>
      <c r="B8965" s="5" t="s">
        <v>517</v>
      </c>
      <c r="C8965" s="5" t="s">
        <v>1540</v>
      </c>
      <c r="D8965" s="5" t="s">
        <v>13</v>
      </c>
      <c r="E8965" s="5" t="s">
        <v>90</v>
      </c>
      <c r="F8965" s="5" t="s">
        <v>678</v>
      </c>
      <c r="G8965" s="5" t="s">
        <v>1541</v>
      </c>
      <c r="H8965" s="5" t="s">
        <v>1542</v>
      </c>
      <c r="I8965" s="5" t="s">
        <v>32</v>
      </c>
      <c r="J8965" s="5">
        <v>17.381516629</v>
      </c>
      <c r="K8965" s="5">
        <v>-96.160457980000004</v>
      </c>
      <c r="L8965" s="5" t="str">
        <f>HYPERLINK("https://maps.google.com/?q=17.381516629,-96.160457980000004", "🔗 Ver Mapa")</f>
        <v>🔗 Ver Mapa</v>
      </c>
    </row>
    <row r="8966" spans="1:12" ht="43.5" x14ac:dyDescent="0.35">
      <c r="A8966" s="6" t="s">
        <v>516</v>
      </c>
      <c r="B8966" s="6" t="s">
        <v>517</v>
      </c>
      <c r="C8966" s="6" t="s">
        <v>1540</v>
      </c>
      <c r="D8966" s="6" t="s">
        <v>13</v>
      </c>
      <c r="E8966" s="6" t="s">
        <v>90</v>
      </c>
      <c r="F8966" s="6" t="s">
        <v>678</v>
      </c>
      <c r="G8966" s="6" t="s">
        <v>1541</v>
      </c>
      <c r="H8966" s="6" t="s">
        <v>1542</v>
      </c>
      <c r="I8966" s="6" t="s">
        <v>32</v>
      </c>
      <c r="J8966" s="6">
        <v>17.381570658000001</v>
      </c>
      <c r="K8966" s="6">
        <v>-96.160898023000001</v>
      </c>
      <c r="L8966" s="6" t="str">
        <f>HYPERLINK("https://maps.google.com/?q=17.381570658,-96.160898023000001", "🔗 Ver Mapa")</f>
        <v>🔗 Ver Mapa</v>
      </c>
    </row>
    <row r="8967" spans="1:12" ht="43.5" x14ac:dyDescent="0.35">
      <c r="A8967" s="5" t="s">
        <v>516</v>
      </c>
      <c r="B8967" s="5" t="s">
        <v>517</v>
      </c>
      <c r="C8967" s="5" t="s">
        <v>1540</v>
      </c>
      <c r="D8967" s="5" t="s">
        <v>13</v>
      </c>
      <c r="E8967" s="5" t="s">
        <v>90</v>
      </c>
      <c r="F8967" s="5" t="s">
        <v>678</v>
      </c>
      <c r="G8967" s="5" t="s">
        <v>1541</v>
      </c>
      <c r="H8967" s="5" t="s">
        <v>1542</v>
      </c>
      <c r="I8967" s="5" t="s">
        <v>32</v>
      </c>
      <c r="J8967" s="5">
        <v>17.381582345000002</v>
      </c>
      <c r="K8967" s="5">
        <v>-96.161065805000007</v>
      </c>
      <c r="L8967" s="5" t="str">
        <f>HYPERLINK("https://maps.google.com/?q=17.381582345,-96.161065805000007", "🔗 Ver Mapa")</f>
        <v>🔗 Ver Mapa</v>
      </c>
    </row>
    <row r="8968" spans="1:12" ht="43.5" x14ac:dyDescent="0.35">
      <c r="A8968" s="6" t="s">
        <v>516</v>
      </c>
      <c r="B8968" s="6" t="s">
        <v>517</v>
      </c>
      <c r="C8968" s="6" t="s">
        <v>1540</v>
      </c>
      <c r="D8968" s="6" t="s">
        <v>13</v>
      </c>
      <c r="E8968" s="6" t="s">
        <v>90</v>
      </c>
      <c r="F8968" s="6" t="s">
        <v>678</v>
      </c>
      <c r="G8968" s="6" t="s">
        <v>1541</v>
      </c>
      <c r="H8968" s="6" t="s">
        <v>1542</v>
      </c>
      <c r="I8968" s="6" t="s">
        <v>32</v>
      </c>
      <c r="J8968" s="6">
        <v>17.381584273000001</v>
      </c>
      <c r="K8968" s="6">
        <v>-96.160814114000004</v>
      </c>
      <c r="L8968" s="6" t="str">
        <f>HYPERLINK("https://maps.google.com/?q=17.381584273,-96.160814114000004", "🔗 Ver Mapa")</f>
        <v>🔗 Ver Mapa</v>
      </c>
    </row>
    <row r="8969" spans="1:12" ht="43.5" x14ac:dyDescent="0.35">
      <c r="A8969" s="5" t="s">
        <v>516</v>
      </c>
      <c r="B8969" s="5" t="s">
        <v>517</v>
      </c>
      <c r="C8969" s="5" t="s">
        <v>1540</v>
      </c>
      <c r="D8969" s="5" t="s">
        <v>13</v>
      </c>
      <c r="E8969" s="5" t="s">
        <v>90</v>
      </c>
      <c r="F8969" s="5" t="s">
        <v>678</v>
      </c>
      <c r="G8969" s="5" t="s">
        <v>1541</v>
      </c>
      <c r="H8969" s="5" t="s">
        <v>1542</v>
      </c>
      <c r="I8969" s="5" t="s">
        <v>32</v>
      </c>
      <c r="J8969" s="5">
        <v>17.381584548999999</v>
      </c>
      <c r="K8969" s="5">
        <v>-96.160693828000007</v>
      </c>
      <c r="L8969" s="5" t="str">
        <f>HYPERLINK("https://maps.google.com/?q=17.381584549,-96.160693828000007", "🔗 Ver Mapa")</f>
        <v>🔗 Ver Mapa</v>
      </c>
    </row>
    <row r="8970" spans="1:12" ht="43.5" x14ac:dyDescent="0.35">
      <c r="A8970" s="6" t="s">
        <v>516</v>
      </c>
      <c r="B8970" s="6" t="s">
        <v>517</v>
      </c>
      <c r="C8970" s="6" t="s">
        <v>1540</v>
      </c>
      <c r="D8970" s="6" t="s">
        <v>13</v>
      </c>
      <c r="E8970" s="6" t="s">
        <v>90</v>
      </c>
      <c r="F8970" s="6" t="s">
        <v>678</v>
      </c>
      <c r="G8970" s="6" t="s">
        <v>1541</v>
      </c>
      <c r="H8970" s="6" t="s">
        <v>1542</v>
      </c>
      <c r="I8970" s="6" t="s">
        <v>32</v>
      </c>
      <c r="J8970" s="6">
        <v>17.381584558</v>
      </c>
      <c r="K8970" s="6">
        <v>-96.161824516999999</v>
      </c>
      <c r="L8970" s="6" t="str">
        <f>HYPERLINK("https://maps.google.com/?q=17.381584558,-96.161824516999999", "🔗 Ver Mapa")</f>
        <v>🔗 Ver Mapa</v>
      </c>
    </row>
    <row r="8971" spans="1:12" ht="43.5" x14ac:dyDescent="0.35">
      <c r="A8971" s="5" t="s">
        <v>516</v>
      </c>
      <c r="B8971" s="5" t="s">
        <v>517</v>
      </c>
      <c r="C8971" s="5" t="s">
        <v>1540</v>
      </c>
      <c r="D8971" s="5" t="s">
        <v>13</v>
      </c>
      <c r="E8971" s="5" t="s">
        <v>90</v>
      </c>
      <c r="F8971" s="5" t="s">
        <v>678</v>
      </c>
      <c r="G8971" s="5" t="s">
        <v>1541</v>
      </c>
      <c r="H8971" s="5" t="s">
        <v>1542</v>
      </c>
      <c r="I8971" s="5" t="s">
        <v>32</v>
      </c>
      <c r="J8971" s="5">
        <v>17.381589140999999</v>
      </c>
      <c r="K8971" s="5">
        <v>-96.161016610000004</v>
      </c>
      <c r="L8971" s="5" t="str">
        <f>HYPERLINK("https://maps.google.com/?q=17.381589141,-96.161016610000004", "🔗 Ver Mapa")</f>
        <v>🔗 Ver Mapa</v>
      </c>
    </row>
    <row r="8972" spans="1:12" ht="43.5" x14ac:dyDescent="0.35">
      <c r="A8972" s="6" t="s">
        <v>516</v>
      </c>
      <c r="B8972" s="6" t="s">
        <v>517</v>
      </c>
      <c r="C8972" s="6" t="s">
        <v>1540</v>
      </c>
      <c r="D8972" s="6" t="s">
        <v>13</v>
      </c>
      <c r="E8972" s="6" t="s">
        <v>90</v>
      </c>
      <c r="F8972" s="6" t="s">
        <v>678</v>
      </c>
      <c r="G8972" s="6" t="s">
        <v>1541</v>
      </c>
      <c r="H8972" s="6" t="s">
        <v>1542</v>
      </c>
      <c r="I8972" s="6" t="s">
        <v>32</v>
      </c>
      <c r="J8972" s="6">
        <v>17.381615067999999</v>
      </c>
      <c r="K8972" s="6">
        <v>-96.161030127999993</v>
      </c>
      <c r="L8972" s="6" t="str">
        <f>HYPERLINK("https://maps.google.com/?q=17.381615068,-96.161030127999993", "🔗 Ver Mapa")</f>
        <v>🔗 Ver Mapa</v>
      </c>
    </row>
    <row r="8973" spans="1:12" ht="43.5" x14ac:dyDescent="0.35">
      <c r="A8973" s="5" t="s">
        <v>516</v>
      </c>
      <c r="B8973" s="5" t="s">
        <v>517</v>
      </c>
      <c r="C8973" s="5" t="s">
        <v>1540</v>
      </c>
      <c r="D8973" s="5" t="s">
        <v>13</v>
      </c>
      <c r="E8973" s="5" t="s">
        <v>90</v>
      </c>
      <c r="F8973" s="5" t="s">
        <v>678</v>
      </c>
      <c r="G8973" s="5" t="s">
        <v>1541</v>
      </c>
      <c r="H8973" s="5" t="s">
        <v>1542</v>
      </c>
      <c r="I8973" s="5" t="s">
        <v>32</v>
      </c>
      <c r="J8973" s="5">
        <v>17.381647833999999</v>
      </c>
      <c r="K8973" s="5">
        <v>-96.162064104999999</v>
      </c>
      <c r="L8973" s="5" t="str">
        <f>HYPERLINK("https://maps.google.com/?q=17.381647834,-96.162064104999999", "🔗 Ver Mapa")</f>
        <v>🔗 Ver Mapa</v>
      </c>
    </row>
    <row r="8974" spans="1:12" ht="43.5" x14ac:dyDescent="0.35">
      <c r="A8974" s="6" t="s">
        <v>516</v>
      </c>
      <c r="B8974" s="6" t="s">
        <v>517</v>
      </c>
      <c r="C8974" s="6" t="s">
        <v>1540</v>
      </c>
      <c r="D8974" s="6" t="s">
        <v>13</v>
      </c>
      <c r="E8974" s="6" t="s">
        <v>90</v>
      </c>
      <c r="F8974" s="6" t="s">
        <v>678</v>
      </c>
      <c r="G8974" s="6" t="s">
        <v>1541</v>
      </c>
      <c r="H8974" s="6" t="s">
        <v>1542</v>
      </c>
      <c r="I8974" s="6" t="s">
        <v>32</v>
      </c>
      <c r="J8974" s="6">
        <v>17.381664132000001</v>
      </c>
      <c r="K8974" s="6">
        <v>-96.160441973000005</v>
      </c>
      <c r="L8974" s="6" t="str">
        <f>HYPERLINK("https://maps.google.com/?q=17.381664132,-96.160441973000005", "🔗 Ver Mapa")</f>
        <v>🔗 Ver Mapa</v>
      </c>
    </row>
    <row r="8975" spans="1:12" ht="43.5" x14ac:dyDescent="0.35">
      <c r="A8975" s="5" t="s">
        <v>516</v>
      </c>
      <c r="B8975" s="5" t="s">
        <v>517</v>
      </c>
      <c r="C8975" s="5" t="s">
        <v>1540</v>
      </c>
      <c r="D8975" s="5" t="s">
        <v>13</v>
      </c>
      <c r="E8975" s="5" t="s">
        <v>90</v>
      </c>
      <c r="F8975" s="5" t="s">
        <v>678</v>
      </c>
      <c r="G8975" s="5" t="s">
        <v>1541</v>
      </c>
      <c r="H8975" s="5" t="s">
        <v>1542</v>
      </c>
      <c r="I8975" s="5" t="s">
        <v>32</v>
      </c>
      <c r="J8975" s="5">
        <v>17.381675756</v>
      </c>
      <c r="K8975" s="5">
        <v>-96.160567154000006</v>
      </c>
      <c r="L8975" s="5" t="str">
        <f>HYPERLINK("https://maps.google.com/?q=17.381675756,-96.160567154000006", "🔗 Ver Mapa")</f>
        <v>🔗 Ver Mapa</v>
      </c>
    </row>
    <row r="8976" spans="1:12" ht="43.5" x14ac:dyDescent="0.35">
      <c r="A8976" s="6" t="s">
        <v>516</v>
      </c>
      <c r="B8976" s="6" t="s">
        <v>517</v>
      </c>
      <c r="C8976" s="6" t="s">
        <v>1540</v>
      </c>
      <c r="D8976" s="6" t="s">
        <v>13</v>
      </c>
      <c r="E8976" s="6" t="s">
        <v>90</v>
      </c>
      <c r="F8976" s="6" t="s">
        <v>678</v>
      </c>
      <c r="G8976" s="6" t="s">
        <v>1541</v>
      </c>
      <c r="H8976" s="6" t="s">
        <v>1542</v>
      </c>
      <c r="I8976" s="6" t="s">
        <v>32</v>
      </c>
      <c r="J8976" s="6">
        <v>17.381677414999999</v>
      </c>
      <c r="K8976" s="6">
        <v>-96.161026532999998</v>
      </c>
      <c r="L8976" s="6" t="str">
        <f>HYPERLINK("https://maps.google.com/?q=17.381677415,-96.161026532999998", "🔗 Ver Mapa")</f>
        <v>🔗 Ver Mapa</v>
      </c>
    </row>
    <row r="8977" spans="1:12" ht="43.5" x14ac:dyDescent="0.35">
      <c r="A8977" s="5" t="s">
        <v>516</v>
      </c>
      <c r="B8977" s="5" t="s">
        <v>517</v>
      </c>
      <c r="C8977" s="5" t="s">
        <v>1540</v>
      </c>
      <c r="D8977" s="5" t="s">
        <v>13</v>
      </c>
      <c r="E8977" s="5" t="s">
        <v>90</v>
      </c>
      <c r="F8977" s="5" t="s">
        <v>678</v>
      </c>
      <c r="G8977" s="5" t="s">
        <v>1541</v>
      </c>
      <c r="H8977" s="5" t="s">
        <v>1542</v>
      </c>
      <c r="I8977" s="5" t="s">
        <v>32</v>
      </c>
      <c r="J8977" s="5">
        <v>17.381697210999999</v>
      </c>
      <c r="K8977" s="5">
        <v>-96.160647136999998</v>
      </c>
      <c r="L8977" s="5" t="str">
        <f>HYPERLINK("https://maps.google.com/?q=17.381697211,-96.160647136999998", "🔗 Ver Mapa")</f>
        <v>🔗 Ver Mapa</v>
      </c>
    </row>
    <row r="8978" spans="1:12" ht="43.5" x14ac:dyDescent="0.35">
      <c r="A8978" s="6" t="s">
        <v>516</v>
      </c>
      <c r="B8978" s="6" t="s">
        <v>517</v>
      </c>
      <c r="C8978" s="6" t="s">
        <v>1540</v>
      </c>
      <c r="D8978" s="6" t="s">
        <v>13</v>
      </c>
      <c r="E8978" s="6" t="s">
        <v>90</v>
      </c>
      <c r="F8978" s="6" t="s">
        <v>678</v>
      </c>
      <c r="G8978" s="6" t="s">
        <v>1541</v>
      </c>
      <c r="H8978" s="6" t="s">
        <v>1542</v>
      </c>
      <c r="I8978" s="6" t="s">
        <v>32</v>
      </c>
      <c r="J8978" s="6">
        <v>17.381724005999999</v>
      </c>
      <c r="K8978" s="6">
        <v>-96.160435970999998</v>
      </c>
      <c r="L8978" s="6" t="str">
        <f>HYPERLINK("https://maps.google.com/?q=17.381724006,-96.160435970999998", "🔗 Ver Mapa")</f>
        <v>🔗 Ver Mapa</v>
      </c>
    </row>
    <row r="8979" spans="1:12" ht="43.5" x14ac:dyDescent="0.35">
      <c r="A8979" s="5" t="s">
        <v>516</v>
      </c>
      <c r="B8979" s="5" t="s">
        <v>517</v>
      </c>
      <c r="C8979" s="5" t="s">
        <v>1540</v>
      </c>
      <c r="D8979" s="5" t="s">
        <v>13</v>
      </c>
      <c r="E8979" s="5" t="s">
        <v>90</v>
      </c>
      <c r="F8979" s="5" t="s">
        <v>678</v>
      </c>
      <c r="G8979" s="5" t="s">
        <v>1541</v>
      </c>
      <c r="H8979" s="5" t="s">
        <v>1542</v>
      </c>
      <c r="I8979" s="5" t="s">
        <v>32</v>
      </c>
      <c r="J8979" s="5">
        <v>17.381759132999999</v>
      </c>
      <c r="K8979" s="5">
        <v>-96.165447975999996</v>
      </c>
      <c r="L8979" s="5" t="str">
        <f>HYPERLINK("https://maps.google.com/?q=17.381759133,-96.165447975999996", "🔗 Ver Mapa")</f>
        <v>🔗 Ver Mapa</v>
      </c>
    </row>
    <row r="8980" spans="1:12" ht="43.5" x14ac:dyDescent="0.35">
      <c r="A8980" s="6" t="s">
        <v>516</v>
      </c>
      <c r="B8980" s="6" t="s">
        <v>517</v>
      </c>
      <c r="C8980" s="6" t="s">
        <v>1540</v>
      </c>
      <c r="D8980" s="6" t="s">
        <v>13</v>
      </c>
      <c r="E8980" s="6" t="s">
        <v>90</v>
      </c>
      <c r="F8980" s="6" t="s">
        <v>678</v>
      </c>
      <c r="G8980" s="6" t="s">
        <v>1541</v>
      </c>
      <c r="H8980" s="6" t="s">
        <v>1542</v>
      </c>
      <c r="I8980" s="6" t="s">
        <v>32</v>
      </c>
      <c r="J8980" s="6">
        <v>17.381784143000001</v>
      </c>
      <c r="K8980" s="6">
        <v>-96.164303543000003</v>
      </c>
      <c r="L8980" s="6" t="str">
        <f>HYPERLINK("https://maps.google.com/?q=17.381784143,-96.164303543000003", "🔗 Ver Mapa")</f>
        <v>🔗 Ver Mapa</v>
      </c>
    </row>
    <row r="8981" spans="1:12" ht="43.5" x14ac:dyDescent="0.35">
      <c r="A8981" s="5" t="s">
        <v>516</v>
      </c>
      <c r="B8981" s="5" t="s">
        <v>517</v>
      </c>
      <c r="C8981" s="5" t="s">
        <v>1540</v>
      </c>
      <c r="D8981" s="5" t="s">
        <v>13</v>
      </c>
      <c r="E8981" s="5" t="s">
        <v>90</v>
      </c>
      <c r="F8981" s="5" t="s">
        <v>678</v>
      </c>
      <c r="G8981" s="5" t="s">
        <v>1541</v>
      </c>
      <c r="H8981" s="5" t="s">
        <v>1542</v>
      </c>
      <c r="I8981" s="5" t="s">
        <v>32</v>
      </c>
      <c r="J8981" s="5">
        <v>17.381786997999999</v>
      </c>
      <c r="K8981" s="5">
        <v>-96.162325281999998</v>
      </c>
      <c r="L8981" s="5" t="str">
        <f>HYPERLINK("https://maps.google.com/?q=17.381786998,-96.162325281999998", "🔗 Ver Mapa")</f>
        <v>🔗 Ver Mapa</v>
      </c>
    </row>
    <row r="8982" spans="1:12" ht="43.5" x14ac:dyDescent="0.35">
      <c r="A8982" s="6" t="s">
        <v>516</v>
      </c>
      <c r="B8982" s="6" t="s">
        <v>517</v>
      </c>
      <c r="C8982" s="6" t="s">
        <v>1540</v>
      </c>
      <c r="D8982" s="6" t="s">
        <v>13</v>
      </c>
      <c r="E8982" s="6" t="s">
        <v>90</v>
      </c>
      <c r="F8982" s="6" t="s">
        <v>678</v>
      </c>
      <c r="G8982" s="6" t="s">
        <v>1541</v>
      </c>
      <c r="H8982" s="6" t="s">
        <v>1542</v>
      </c>
      <c r="I8982" s="6" t="s">
        <v>32</v>
      </c>
      <c r="J8982" s="6">
        <v>17.381791759999999</v>
      </c>
      <c r="K8982" s="6">
        <v>-96.161301257999995</v>
      </c>
      <c r="L8982" s="6" t="str">
        <f>HYPERLINK("https://maps.google.com/?q=17.38179176,-96.161301257999995", "🔗 Ver Mapa")</f>
        <v>🔗 Ver Mapa</v>
      </c>
    </row>
    <row r="8983" spans="1:12" ht="43.5" x14ac:dyDescent="0.35">
      <c r="A8983" s="5" t="s">
        <v>516</v>
      </c>
      <c r="B8983" s="5" t="s">
        <v>517</v>
      </c>
      <c r="C8983" s="5" t="s">
        <v>1540</v>
      </c>
      <c r="D8983" s="5" t="s">
        <v>13</v>
      </c>
      <c r="E8983" s="5" t="s">
        <v>90</v>
      </c>
      <c r="F8983" s="5" t="s">
        <v>678</v>
      </c>
      <c r="G8983" s="5" t="s">
        <v>1541</v>
      </c>
      <c r="H8983" s="5" t="s">
        <v>1542</v>
      </c>
      <c r="I8983" s="5" t="s">
        <v>32</v>
      </c>
      <c r="J8983" s="5">
        <v>17.381831273</v>
      </c>
      <c r="K8983" s="5">
        <v>-96.160359080000006</v>
      </c>
      <c r="L8983" s="5" t="str">
        <f>HYPERLINK("https://maps.google.com/?q=17.381831273,-96.160359080000006", "🔗 Ver Mapa")</f>
        <v>🔗 Ver Mapa</v>
      </c>
    </row>
    <row r="8984" spans="1:12" ht="43.5" x14ac:dyDescent="0.35">
      <c r="A8984" s="6" t="s">
        <v>516</v>
      </c>
      <c r="B8984" s="6" t="s">
        <v>517</v>
      </c>
      <c r="C8984" s="6" t="s">
        <v>1540</v>
      </c>
      <c r="D8984" s="6" t="s">
        <v>13</v>
      </c>
      <c r="E8984" s="6" t="s">
        <v>90</v>
      </c>
      <c r="F8984" s="6" t="s">
        <v>678</v>
      </c>
      <c r="G8984" s="6" t="s">
        <v>1541</v>
      </c>
      <c r="H8984" s="6" t="s">
        <v>1542</v>
      </c>
      <c r="I8984" s="6" t="s">
        <v>32</v>
      </c>
      <c r="J8984" s="6">
        <v>17.381839139</v>
      </c>
      <c r="K8984" s="6">
        <v>-96.160918331999994</v>
      </c>
      <c r="L8984" s="6" t="str">
        <f>HYPERLINK("https://maps.google.com/?q=17.381839139,-96.160918331999994", "🔗 Ver Mapa")</f>
        <v>🔗 Ver Mapa</v>
      </c>
    </row>
    <row r="8985" spans="1:12" ht="43.5" x14ac:dyDescent="0.35">
      <c r="A8985" s="5" t="s">
        <v>516</v>
      </c>
      <c r="B8985" s="5" t="s">
        <v>517</v>
      </c>
      <c r="C8985" s="5" t="s">
        <v>1540</v>
      </c>
      <c r="D8985" s="5" t="s">
        <v>13</v>
      </c>
      <c r="E8985" s="5" t="s">
        <v>90</v>
      </c>
      <c r="F8985" s="5" t="s">
        <v>678</v>
      </c>
      <c r="G8985" s="5" t="s">
        <v>1541</v>
      </c>
      <c r="H8985" s="5" t="s">
        <v>1542</v>
      </c>
      <c r="I8985" s="5" t="s">
        <v>32</v>
      </c>
      <c r="J8985" s="5">
        <v>17.381867719999999</v>
      </c>
      <c r="K8985" s="5">
        <v>-96.161016825000004</v>
      </c>
      <c r="L8985" s="5" t="str">
        <f>HYPERLINK("https://maps.google.com/?q=17.38186772,-96.161016825000004", "🔗 Ver Mapa")</f>
        <v>🔗 Ver Mapa</v>
      </c>
    </row>
    <row r="8986" spans="1:12" ht="43.5" x14ac:dyDescent="0.35">
      <c r="A8986" s="6" t="s">
        <v>516</v>
      </c>
      <c r="B8986" s="6" t="s">
        <v>517</v>
      </c>
      <c r="C8986" s="6" t="s">
        <v>1540</v>
      </c>
      <c r="D8986" s="6" t="s">
        <v>13</v>
      </c>
      <c r="E8986" s="6" t="s">
        <v>90</v>
      </c>
      <c r="F8986" s="6" t="s">
        <v>678</v>
      </c>
      <c r="G8986" s="6" t="s">
        <v>1541</v>
      </c>
      <c r="H8986" s="6" t="s">
        <v>1542</v>
      </c>
      <c r="I8986" s="6" t="s">
        <v>32</v>
      </c>
      <c r="J8986" s="6">
        <v>17.381899083</v>
      </c>
      <c r="K8986" s="6">
        <v>-96.162390325000004</v>
      </c>
      <c r="L8986" s="6" t="str">
        <f>HYPERLINK("https://maps.google.com/?q=17.381899083,-96.162390325000004", "🔗 Ver Mapa")</f>
        <v>🔗 Ver Mapa</v>
      </c>
    </row>
    <row r="8987" spans="1:12" ht="43.5" x14ac:dyDescent="0.35">
      <c r="A8987" s="5" t="s">
        <v>516</v>
      </c>
      <c r="B8987" s="5" t="s">
        <v>517</v>
      </c>
      <c r="C8987" s="5" t="s">
        <v>1540</v>
      </c>
      <c r="D8987" s="5" t="s">
        <v>13</v>
      </c>
      <c r="E8987" s="5" t="s">
        <v>90</v>
      </c>
      <c r="F8987" s="5" t="s">
        <v>678</v>
      </c>
      <c r="G8987" s="5" t="s">
        <v>1541</v>
      </c>
      <c r="H8987" s="5" t="s">
        <v>1542</v>
      </c>
      <c r="I8987" s="5" t="s">
        <v>32</v>
      </c>
      <c r="J8987" s="5">
        <v>17.381906105999999</v>
      </c>
      <c r="K8987" s="5">
        <v>-96.161176108000006</v>
      </c>
      <c r="L8987" s="5" t="str">
        <f>HYPERLINK("https://maps.google.com/?q=17.381906106,-96.161176108000006", "🔗 Ver Mapa")</f>
        <v>🔗 Ver Mapa</v>
      </c>
    </row>
    <row r="8988" spans="1:12" ht="43.5" x14ac:dyDescent="0.35">
      <c r="A8988" s="6" t="s">
        <v>516</v>
      </c>
      <c r="B8988" s="6" t="s">
        <v>517</v>
      </c>
      <c r="C8988" s="6" t="s">
        <v>1540</v>
      </c>
      <c r="D8988" s="6" t="s">
        <v>13</v>
      </c>
      <c r="E8988" s="6" t="s">
        <v>90</v>
      </c>
      <c r="F8988" s="6" t="s">
        <v>678</v>
      </c>
      <c r="G8988" s="6" t="s">
        <v>1541</v>
      </c>
      <c r="H8988" s="6" t="s">
        <v>1542</v>
      </c>
      <c r="I8988" s="6" t="s">
        <v>32</v>
      </c>
      <c r="J8988" s="6">
        <v>17.38191861</v>
      </c>
      <c r="K8988" s="6">
        <v>-96.160150836</v>
      </c>
      <c r="L8988" s="6" t="str">
        <f>HYPERLINK("https://maps.google.com/?q=17.38191861,-96.160150836", "🔗 Ver Mapa")</f>
        <v>🔗 Ver Mapa</v>
      </c>
    </row>
    <row r="8989" spans="1:12" ht="43.5" x14ac:dyDescent="0.35">
      <c r="A8989" s="5" t="s">
        <v>516</v>
      </c>
      <c r="B8989" s="5" t="s">
        <v>517</v>
      </c>
      <c r="C8989" s="5" t="s">
        <v>1540</v>
      </c>
      <c r="D8989" s="5" t="s">
        <v>13</v>
      </c>
      <c r="E8989" s="5" t="s">
        <v>90</v>
      </c>
      <c r="F8989" s="5" t="s">
        <v>678</v>
      </c>
      <c r="G8989" s="5" t="s">
        <v>1541</v>
      </c>
      <c r="H8989" s="5" t="s">
        <v>1542</v>
      </c>
      <c r="I8989" s="5" t="s">
        <v>32</v>
      </c>
      <c r="J8989" s="5">
        <v>17.381920328</v>
      </c>
      <c r="K8989" s="5">
        <v>-96.164488687000002</v>
      </c>
      <c r="L8989" s="5" t="str">
        <f>HYPERLINK("https://maps.google.com/?q=17.381920328,-96.164488687000002", "🔗 Ver Mapa")</f>
        <v>🔗 Ver Mapa</v>
      </c>
    </row>
    <row r="8990" spans="1:12" ht="43.5" x14ac:dyDescent="0.35">
      <c r="A8990" s="6" t="s">
        <v>516</v>
      </c>
      <c r="B8990" s="6" t="s">
        <v>517</v>
      </c>
      <c r="C8990" s="6" t="s">
        <v>1540</v>
      </c>
      <c r="D8990" s="6" t="s">
        <v>13</v>
      </c>
      <c r="E8990" s="6" t="s">
        <v>90</v>
      </c>
      <c r="F8990" s="6" t="s">
        <v>678</v>
      </c>
      <c r="G8990" s="6" t="s">
        <v>1541</v>
      </c>
      <c r="H8990" s="6" t="s">
        <v>1542</v>
      </c>
      <c r="I8990" s="6" t="s">
        <v>32</v>
      </c>
      <c r="J8990" s="6">
        <v>17.381926567000001</v>
      </c>
      <c r="K8990" s="6">
        <v>-96.160075477999996</v>
      </c>
      <c r="L8990" s="6" t="str">
        <f>HYPERLINK("https://maps.google.com/?q=17.381926567,-96.160075477999996", "🔗 Ver Mapa")</f>
        <v>🔗 Ver Mapa</v>
      </c>
    </row>
    <row r="8991" spans="1:12" ht="43.5" x14ac:dyDescent="0.35">
      <c r="A8991" s="5" t="s">
        <v>516</v>
      </c>
      <c r="B8991" s="5" t="s">
        <v>517</v>
      </c>
      <c r="C8991" s="5" t="s">
        <v>1540</v>
      </c>
      <c r="D8991" s="5" t="s">
        <v>13</v>
      </c>
      <c r="E8991" s="5" t="s">
        <v>90</v>
      </c>
      <c r="F8991" s="5" t="s">
        <v>678</v>
      </c>
      <c r="G8991" s="5" t="s">
        <v>1541</v>
      </c>
      <c r="H8991" s="5" t="s">
        <v>1542</v>
      </c>
      <c r="I8991" s="5" t="s">
        <v>32</v>
      </c>
      <c r="J8991" s="5">
        <v>17.382008035999998</v>
      </c>
      <c r="K8991" s="5">
        <v>-96.162374819999997</v>
      </c>
      <c r="L8991" s="5" t="str">
        <f>HYPERLINK("https://maps.google.com/?q=17.382008036,-96.162374819999997", "🔗 Ver Mapa")</f>
        <v>🔗 Ver Mapa</v>
      </c>
    </row>
    <row r="8992" spans="1:12" ht="43.5" x14ac:dyDescent="0.35">
      <c r="A8992" s="6" t="s">
        <v>516</v>
      </c>
      <c r="B8992" s="6" t="s">
        <v>517</v>
      </c>
      <c r="C8992" s="6" t="s">
        <v>1540</v>
      </c>
      <c r="D8992" s="6" t="s">
        <v>13</v>
      </c>
      <c r="E8992" s="6" t="s">
        <v>90</v>
      </c>
      <c r="F8992" s="6" t="s">
        <v>678</v>
      </c>
      <c r="G8992" s="6" t="s">
        <v>1541</v>
      </c>
      <c r="H8992" s="6" t="s">
        <v>1542</v>
      </c>
      <c r="I8992" s="6" t="s">
        <v>32</v>
      </c>
      <c r="J8992" s="6">
        <v>17.382010147999999</v>
      </c>
      <c r="K8992" s="6">
        <v>-96.163412753000003</v>
      </c>
      <c r="L8992" s="6" t="str">
        <f>HYPERLINK("https://maps.google.com/?q=17.382010148,-96.163412753000003", "🔗 Ver Mapa")</f>
        <v>🔗 Ver Mapa</v>
      </c>
    </row>
    <row r="8993" spans="1:12" ht="43.5" x14ac:dyDescent="0.35">
      <c r="A8993" s="5" t="s">
        <v>516</v>
      </c>
      <c r="B8993" s="5" t="s">
        <v>517</v>
      </c>
      <c r="C8993" s="5" t="s">
        <v>1540</v>
      </c>
      <c r="D8993" s="5" t="s">
        <v>13</v>
      </c>
      <c r="E8993" s="5" t="s">
        <v>90</v>
      </c>
      <c r="F8993" s="5" t="s">
        <v>678</v>
      </c>
      <c r="G8993" s="5" t="s">
        <v>1541</v>
      </c>
      <c r="H8993" s="5" t="s">
        <v>1542</v>
      </c>
      <c r="I8993" s="5" t="s">
        <v>32</v>
      </c>
      <c r="J8993" s="5">
        <v>17.382019320000001</v>
      </c>
      <c r="K8993" s="5">
        <v>-96.160787275999994</v>
      </c>
      <c r="L8993" s="5" t="str">
        <f>HYPERLINK("https://maps.google.com/?q=17.38201932,-96.160787275999994", "🔗 Ver Mapa")</f>
        <v>🔗 Ver Mapa</v>
      </c>
    </row>
    <row r="8994" spans="1:12" ht="43.5" x14ac:dyDescent="0.35">
      <c r="A8994" s="6" t="s">
        <v>516</v>
      </c>
      <c r="B8994" s="6" t="s">
        <v>517</v>
      </c>
      <c r="C8994" s="6" t="s">
        <v>1540</v>
      </c>
      <c r="D8994" s="6" t="s">
        <v>13</v>
      </c>
      <c r="E8994" s="6" t="s">
        <v>90</v>
      </c>
      <c r="F8994" s="6" t="s">
        <v>678</v>
      </c>
      <c r="G8994" s="6" t="s">
        <v>1541</v>
      </c>
      <c r="H8994" s="6" t="s">
        <v>1542</v>
      </c>
      <c r="I8994" s="6" t="s">
        <v>32</v>
      </c>
      <c r="J8994" s="6">
        <v>17.382025019</v>
      </c>
      <c r="K8994" s="6">
        <v>-96.164611776000001</v>
      </c>
      <c r="L8994" s="6" t="str">
        <f>HYPERLINK("https://maps.google.com/?q=17.382025019,-96.164611776000001", "🔗 Ver Mapa")</f>
        <v>🔗 Ver Mapa</v>
      </c>
    </row>
    <row r="8995" spans="1:12" ht="43.5" x14ac:dyDescent="0.35">
      <c r="A8995" s="5" t="s">
        <v>516</v>
      </c>
      <c r="B8995" s="5" t="s">
        <v>517</v>
      </c>
      <c r="C8995" s="5" t="s">
        <v>1540</v>
      </c>
      <c r="D8995" s="5" t="s">
        <v>13</v>
      </c>
      <c r="E8995" s="5" t="s">
        <v>90</v>
      </c>
      <c r="F8995" s="5" t="s">
        <v>678</v>
      </c>
      <c r="G8995" s="5" t="s">
        <v>1541</v>
      </c>
      <c r="H8995" s="5" t="s">
        <v>1542</v>
      </c>
      <c r="I8995" s="5" t="s">
        <v>32</v>
      </c>
      <c r="J8995" s="5">
        <v>17.382101423000002</v>
      </c>
      <c r="K8995" s="5">
        <v>-96.164116677999999</v>
      </c>
      <c r="L8995" s="5" t="str">
        <f>HYPERLINK("https://maps.google.com/?q=17.382101423,-96.164116677999999", "🔗 Ver Mapa")</f>
        <v>🔗 Ver Mapa</v>
      </c>
    </row>
    <row r="8996" spans="1:12" ht="43.5" x14ac:dyDescent="0.35">
      <c r="A8996" s="6" t="s">
        <v>516</v>
      </c>
      <c r="B8996" s="6" t="s">
        <v>517</v>
      </c>
      <c r="C8996" s="6" t="s">
        <v>1540</v>
      </c>
      <c r="D8996" s="6" t="s">
        <v>13</v>
      </c>
      <c r="E8996" s="6" t="s">
        <v>90</v>
      </c>
      <c r="F8996" s="6" t="s">
        <v>678</v>
      </c>
      <c r="G8996" s="6" t="s">
        <v>1541</v>
      </c>
      <c r="H8996" s="6" t="s">
        <v>1542</v>
      </c>
      <c r="I8996" s="6" t="s">
        <v>32</v>
      </c>
      <c r="J8996" s="6">
        <v>17.382122274</v>
      </c>
      <c r="K8996" s="6">
        <v>-96.164541907</v>
      </c>
      <c r="L8996" s="6" t="str">
        <f>HYPERLINK("https://maps.google.com/?q=17.382122274,-96.164541907", "🔗 Ver Mapa")</f>
        <v>🔗 Ver Mapa</v>
      </c>
    </row>
    <row r="8997" spans="1:12" ht="43.5" x14ac:dyDescent="0.35">
      <c r="A8997" s="5" t="s">
        <v>516</v>
      </c>
      <c r="B8997" s="5" t="s">
        <v>517</v>
      </c>
      <c r="C8997" s="5" t="s">
        <v>1540</v>
      </c>
      <c r="D8997" s="5" t="s">
        <v>13</v>
      </c>
      <c r="E8997" s="5" t="s">
        <v>90</v>
      </c>
      <c r="F8997" s="5" t="s">
        <v>678</v>
      </c>
      <c r="G8997" s="5" t="s">
        <v>1541</v>
      </c>
      <c r="H8997" s="5" t="s">
        <v>1542</v>
      </c>
      <c r="I8997" s="5" t="s">
        <v>32</v>
      </c>
      <c r="J8997" s="5">
        <v>17.382126957000001</v>
      </c>
      <c r="K8997" s="5">
        <v>-96.162418974000005</v>
      </c>
      <c r="L8997" s="5" t="str">
        <f>HYPERLINK("https://maps.google.com/?q=17.382126957,-96.162418974000005", "🔗 Ver Mapa")</f>
        <v>🔗 Ver Mapa</v>
      </c>
    </row>
    <row r="8998" spans="1:12" ht="43.5" x14ac:dyDescent="0.35">
      <c r="A8998" s="6" t="s">
        <v>516</v>
      </c>
      <c r="B8998" s="6" t="s">
        <v>517</v>
      </c>
      <c r="C8998" s="6" t="s">
        <v>1540</v>
      </c>
      <c r="D8998" s="6" t="s">
        <v>13</v>
      </c>
      <c r="E8998" s="6" t="s">
        <v>90</v>
      </c>
      <c r="F8998" s="6" t="s">
        <v>678</v>
      </c>
      <c r="G8998" s="6" t="s">
        <v>1541</v>
      </c>
      <c r="H8998" s="6" t="s">
        <v>1542</v>
      </c>
      <c r="I8998" s="6" t="s">
        <v>32</v>
      </c>
      <c r="J8998" s="6">
        <v>17.382130249999999</v>
      </c>
      <c r="K8998" s="6">
        <v>-96.162206006999995</v>
      </c>
      <c r="L8998" s="6" t="str">
        <f>HYPERLINK("https://maps.google.com/?q=17.38213025,-96.162206006999995", "🔗 Ver Mapa")</f>
        <v>🔗 Ver Mapa</v>
      </c>
    </row>
    <row r="8999" spans="1:12" ht="43.5" x14ac:dyDescent="0.35">
      <c r="A8999" s="5" t="s">
        <v>516</v>
      </c>
      <c r="B8999" s="5" t="s">
        <v>517</v>
      </c>
      <c r="C8999" s="5" t="s">
        <v>1540</v>
      </c>
      <c r="D8999" s="5" t="s">
        <v>13</v>
      </c>
      <c r="E8999" s="5" t="s">
        <v>90</v>
      </c>
      <c r="F8999" s="5" t="s">
        <v>678</v>
      </c>
      <c r="G8999" s="5" t="s">
        <v>1541</v>
      </c>
      <c r="H8999" s="5" t="s">
        <v>1542</v>
      </c>
      <c r="I8999" s="5" t="s">
        <v>32</v>
      </c>
      <c r="J8999" s="5">
        <v>17.382142214000002</v>
      </c>
      <c r="K8999" s="5">
        <v>-96.166486344000006</v>
      </c>
      <c r="L8999" s="5" t="str">
        <f>HYPERLINK("https://maps.google.com/?q=17.382142214,-96.166486344000006", "🔗 Ver Mapa")</f>
        <v>🔗 Ver Mapa</v>
      </c>
    </row>
    <row r="9000" spans="1:12" ht="43.5" x14ac:dyDescent="0.35">
      <c r="A9000" s="6" t="s">
        <v>516</v>
      </c>
      <c r="B9000" s="6" t="s">
        <v>517</v>
      </c>
      <c r="C9000" s="6" t="s">
        <v>1540</v>
      </c>
      <c r="D9000" s="6" t="s">
        <v>13</v>
      </c>
      <c r="E9000" s="6" t="s">
        <v>90</v>
      </c>
      <c r="F9000" s="6" t="s">
        <v>678</v>
      </c>
      <c r="G9000" s="6" t="s">
        <v>1541</v>
      </c>
      <c r="H9000" s="6" t="s">
        <v>1542</v>
      </c>
      <c r="I9000" s="6" t="s">
        <v>32</v>
      </c>
      <c r="J9000" s="6">
        <v>17.382144587999999</v>
      </c>
      <c r="K9000" s="6">
        <v>-96.165884047000006</v>
      </c>
      <c r="L9000" s="6" t="str">
        <f>HYPERLINK("https://maps.google.com/?q=17.382144588,-96.165884047000006", "🔗 Ver Mapa")</f>
        <v>🔗 Ver Mapa</v>
      </c>
    </row>
    <row r="9001" spans="1:12" ht="43.5" x14ac:dyDescent="0.35">
      <c r="A9001" s="5" t="s">
        <v>516</v>
      </c>
      <c r="B9001" s="5" t="s">
        <v>517</v>
      </c>
      <c r="C9001" s="5" t="s">
        <v>1540</v>
      </c>
      <c r="D9001" s="5" t="s">
        <v>13</v>
      </c>
      <c r="E9001" s="5" t="s">
        <v>90</v>
      </c>
      <c r="F9001" s="5" t="s">
        <v>678</v>
      </c>
      <c r="G9001" s="5" t="s">
        <v>1541</v>
      </c>
      <c r="H9001" s="5" t="s">
        <v>1542</v>
      </c>
      <c r="I9001" s="5" t="s">
        <v>32</v>
      </c>
      <c r="J9001" s="5">
        <v>17.382145593000001</v>
      </c>
      <c r="K9001" s="5">
        <v>-96.163202639000005</v>
      </c>
      <c r="L9001" s="5" t="str">
        <f>HYPERLINK("https://maps.google.com/?q=17.382145593,-96.163202639000005", "🔗 Ver Mapa")</f>
        <v>🔗 Ver Mapa</v>
      </c>
    </row>
    <row r="9002" spans="1:12" ht="43.5" x14ac:dyDescent="0.35">
      <c r="A9002" s="6" t="s">
        <v>516</v>
      </c>
      <c r="B9002" s="6" t="s">
        <v>517</v>
      </c>
      <c r="C9002" s="6" t="s">
        <v>1540</v>
      </c>
      <c r="D9002" s="6" t="s">
        <v>13</v>
      </c>
      <c r="E9002" s="6" t="s">
        <v>90</v>
      </c>
      <c r="F9002" s="6" t="s">
        <v>678</v>
      </c>
      <c r="G9002" s="6" t="s">
        <v>1541</v>
      </c>
      <c r="H9002" s="6" t="s">
        <v>1542</v>
      </c>
      <c r="I9002" s="6" t="s">
        <v>32</v>
      </c>
      <c r="J9002" s="6">
        <v>17.382171093</v>
      </c>
      <c r="K9002" s="6">
        <v>-96.166307027000002</v>
      </c>
      <c r="L9002" s="6" t="str">
        <f>HYPERLINK("https://maps.google.com/?q=17.382171093,-96.166307027000002", "🔗 Ver Mapa")</f>
        <v>🔗 Ver Mapa</v>
      </c>
    </row>
    <row r="9003" spans="1:12" ht="43.5" x14ac:dyDescent="0.35">
      <c r="A9003" s="5" t="s">
        <v>516</v>
      </c>
      <c r="B9003" s="5" t="s">
        <v>517</v>
      </c>
      <c r="C9003" s="5" t="s">
        <v>1540</v>
      </c>
      <c r="D9003" s="5" t="s">
        <v>13</v>
      </c>
      <c r="E9003" s="5" t="s">
        <v>90</v>
      </c>
      <c r="F9003" s="5" t="s">
        <v>678</v>
      </c>
      <c r="G9003" s="5" t="s">
        <v>1541</v>
      </c>
      <c r="H9003" s="5" t="s">
        <v>1542</v>
      </c>
      <c r="I9003" s="5" t="s">
        <v>32</v>
      </c>
      <c r="J9003" s="5">
        <v>17.382213411999999</v>
      </c>
      <c r="K9003" s="5">
        <v>-96.162593126999994</v>
      </c>
      <c r="L9003" s="5" t="str">
        <f>HYPERLINK("https://maps.google.com/?q=17.382213412,-96.162593126999994", "🔗 Ver Mapa")</f>
        <v>🔗 Ver Mapa</v>
      </c>
    </row>
    <row r="9004" spans="1:12" ht="43.5" x14ac:dyDescent="0.35">
      <c r="A9004" s="6" t="s">
        <v>516</v>
      </c>
      <c r="B9004" s="6" t="s">
        <v>517</v>
      </c>
      <c r="C9004" s="6" t="s">
        <v>1540</v>
      </c>
      <c r="D9004" s="6" t="s">
        <v>13</v>
      </c>
      <c r="E9004" s="6" t="s">
        <v>90</v>
      </c>
      <c r="F9004" s="6" t="s">
        <v>678</v>
      </c>
      <c r="G9004" s="6" t="s">
        <v>1541</v>
      </c>
      <c r="H9004" s="6" t="s">
        <v>1542</v>
      </c>
      <c r="I9004" s="6" t="s">
        <v>32</v>
      </c>
      <c r="J9004" s="6">
        <v>17.382219279000001</v>
      </c>
      <c r="K9004" s="6">
        <v>-96.160973784000007</v>
      </c>
      <c r="L9004" s="6" t="str">
        <f>HYPERLINK("https://maps.google.com/?q=17.382219279,-96.160973784000007", "🔗 Ver Mapa")</f>
        <v>🔗 Ver Mapa</v>
      </c>
    </row>
    <row r="9005" spans="1:12" ht="43.5" x14ac:dyDescent="0.35">
      <c r="A9005" s="5" t="s">
        <v>516</v>
      </c>
      <c r="B9005" s="5" t="s">
        <v>517</v>
      </c>
      <c r="C9005" s="5" t="s">
        <v>1540</v>
      </c>
      <c r="D9005" s="5" t="s">
        <v>13</v>
      </c>
      <c r="E9005" s="5" t="s">
        <v>90</v>
      </c>
      <c r="F9005" s="5" t="s">
        <v>678</v>
      </c>
      <c r="G9005" s="5" t="s">
        <v>1541</v>
      </c>
      <c r="H9005" s="5" t="s">
        <v>1542</v>
      </c>
      <c r="I9005" s="5" t="s">
        <v>32</v>
      </c>
      <c r="J9005" s="5">
        <v>17.382225886000001</v>
      </c>
      <c r="K9005" s="5">
        <v>-96.161006596999997</v>
      </c>
      <c r="L9005" s="5" t="str">
        <f>HYPERLINK("https://maps.google.com/?q=17.382225886,-96.161006596999997", "🔗 Ver Mapa")</f>
        <v>🔗 Ver Mapa</v>
      </c>
    </row>
    <row r="9006" spans="1:12" ht="43.5" x14ac:dyDescent="0.35">
      <c r="A9006" s="6" t="s">
        <v>516</v>
      </c>
      <c r="B9006" s="6" t="s">
        <v>517</v>
      </c>
      <c r="C9006" s="6" t="s">
        <v>1540</v>
      </c>
      <c r="D9006" s="6" t="s">
        <v>13</v>
      </c>
      <c r="E9006" s="6" t="s">
        <v>90</v>
      </c>
      <c r="F9006" s="6" t="s">
        <v>678</v>
      </c>
      <c r="G9006" s="6" t="s">
        <v>1541</v>
      </c>
      <c r="H9006" s="6" t="s">
        <v>1542</v>
      </c>
      <c r="I9006" s="6" t="s">
        <v>32</v>
      </c>
      <c r="J9006" s="6">
        <v>17.382308414000001</v>
      </c>
      <c r="K9006" s="6">
        <v>-96.162021941999996</v>
      </c>
      <c r="L9006" s="6" t="str">
        <f>HYPERLINK("https://maps.google.com/?q=17.382308414,-96.162021941999996", "🔗 Ver Mapa")</f>
        <v>🔗 Ver Mapa</v>
      </c>
    </row>
    <row r="9007" spans="1:12" ht="43.5" x14ac:dyDescent="0.35">
      <c r="A9007" s="5" t="s">
        <v>516</v>
      </c>
      <c r="B9007" s="5" t="s">
        <v>517</v>
      </c>
      <c r="C9007" s="5" t="s">
        <v>1540</v>
      </c>
      <c r="D9007" s="5" t="s">
        <v>13</v>
      </c>
      <c r="E9007" s="5" t="s">
        <v>90</v>
      </c>
      <c r="F9007" s="5" t="s">
        <v>678</v>
      </c>
      <c r="G9007" s="5" t="s">
        <v>1541</v>
      </c>
      <c r="H9007" s="5" t="s">
        <v>1542</v>
      </c>
      <c r="I9007" s="5" t="s">
        <v>32</v>
      </c>
      <c r="J9007" s="5">
        <v>17.382426691999999</v>
      </c>
      <c r="K9007" s="5">
        <v>-96.166227761000002</v>
      </c>
      <c r="L9007" s="5" t="str">
        <f>HYPERLINK("https://maps.google.com/?q=17.382426692,-96.166227761000002", "🔗 Ver Mapa")</f>
        <v>🔗 Ver Mapa</v>
      </c>
    </row>
    <row r="9008" spans="1:12" ht="43.5" x14ac:dyDescent="0.35">
      <c r="A9008" s="6" t="s">
        <v>516</v>
      </c>
      <c r="B9008" s="6" t="s">
        <v>517</v>
      </c>
      <c r="C9008" s="6" t="s">
        <v>1540</v>
      </c>
      <c r="D9008" s="6" t="s">
        <v>13</v>
      </c>
      <c r="E9008" s="6" t="s">
        <v>90</v>
      </c>
      <c r="F9008" s="6" t="s">
        <v>678</v>
      </c>
      <c r="G9008" s="6" t="s">
        <v>1541</v>
      </c>
      <c r="H9008" s="6" t="s">
        <v>1542</v>
      </c>
      <c r="I9008" s="6" t="s">
        <v>32</v>
      </c>
      <c r="J9008" s="6">
        <v>17.382428557000001</v>
      </c>
      <c r="K9008" s="6">
        <v>-96.166327324999997</v>
      </c>
      <c r="L9008" s="6" t="str">
        <f>HYPERLINK("https://maps.google.com/?q=17.382428557,-96.166327324999997", "🔗 Ver Mapa")</f>
        <v>🔗 Ver Mapa</v>
      </c>
    </row>
    <row r="9009" spans="1:12" ht="43.5" x14ac:dyDescent="0.35">
      <c r="A9009" s="5" t="s">
        <v>516</v>
      </c>
      <c r="B9009" s="5" t="s">
        <v>517</v>
      </c>
      <c r="C9009" s="5" t="s">
        <v>1540</v>
      </c>
      <c r="D9009" s="5" t="s">
        <v>13</v>
      </c>
      <c r="E9009" s="5" t="s">
        <v>90</v>
      </c>
      <c r="F9009" s="5" t="s">
        <v>678</v>
      </c>
      <c r="G9009" s="5" t="s">
        <v>1541</v>
      </c>
      <c r="H9009" s="5" t="s">
        <v>1542</v>
      </c>
      <c r="I9009" s="5" t="s">
        <v>32</v>
      </c>
      <c r="J9009" s="5">
        <v>17.382481285000001</v>
      </c>
      <c r="K9009" s="5">
        <v>-96.162888245000005</v>
      </c>
      <c r="L9009" s="5" t="str">
        <f>HYPERLINK("https://maps.google.com/?q=17.382481285,-96.162888245000005", "🔗 Ver Mapa")</f>
        <v>🔗 Ver Mapa</v>
      </c>
    </row>
    <row r="9010" spans="1:12" ht="43.5" x14ac:dyDescent="0.35">
      <c r="A9010" s="6" t="s">
        <v>516</v>
      </c>
      <c r="B9010" s="6" t="s">
        <v>517</v>
      </c>
      <c r="C9010" s="6" t="s">
        <v>1540</v>
      </c>
      <c r="D9010" s="6" t="s">
        <v>13</v>
      </c>
      <c r="E9010" s="6" t="s">
        <v>90</v>
      </c>
      <c r="F9010" s="6" t="s">
        <v>678</v>
      </c>
      <c r="G9010" s="6" t="s">
        <v>1541</v>
      </c>
      <c r="H9010" s="6" t="s">
        <v>1542</v>
      </c>
      <c r="I9010" s="6" t="s">
        <v>32</v>
      </c>
      <c r="J9010" s="6">
        <v>17.382496969000002</v>
      </c>
      <c r="K9010" s="6">
        <v>-96.162860824999996</v>
      </c>
      <c r="L9010" s="6" t="str">
        <f>HYPERLINK("https://maps.google.com/?q=17.382496969,-96.162860824999996", "🔗 Ver Mapa")</f>
        <v>🔗 Ver Mapa</v>
      </c>
    </row>
    <row r="9011" spans="1:12" ht="43.5" x14ac:dyDescent="0.35">
      <c r="A9011" s="5" t="s">
        <v>516</v>
      </c>
      <c r="B9011" s="5" t="s">
        <v>517</v>
      </c>
      <c r="C9011" s="5" t="s">
        <v>1540</v>
      </c>
      <c r="D9011" s="5" t="s">
        <v>13</v>
      </c>
      <c r="E9011" s="5" t="s">
        <v>90</v>
      </c>
      <c r="F9011" s="5" t="s">
        <v>678</v>
      </c>
      <c r="G9011" s="5" t="s">
        <v>1541</v>
      </c>
      <c r="H9011" s="5" t="s">
        <v>1542</v>
      </c>
      <c r="I9011" s="5" t="s">
        <v>32</v>
      </c>
      <c r="J9011" s="5">
        <v>17.382628661999998</v>
      </c>
      <c r="K9011" s="5">
        <v>-96.166371736000002</v>
      </c>
      <c r="L9011" s="5" t="str">
        <f>HYPERLINK("https://maps.google.com/?q=17.382628662,-96.166371736000002", "🔗 Ver Mapa")</f>
        <v>🔗 Ver Mapa</v>
      </c>
    </row>
    <row r="9012" spans="1:12" ht="43.5" x14ac:dyDescent="0.35">
      <c r="A9012" s="6" t="s">
        <v>516</v>
      </c>
      <c r="B9012" s="6" t="s">
        <v>517</v>
      </c>
      <c r="C9012" s="6" t="s">
        <v>1540</v>
      </c>
      <c r="D9012" s="6" t="s">
        <v>13</v>
      </c>
      <c r="E9012" s="6" t="s">
        <v>90</v>
      </c>
      <c r="F9012" s="6" t="s">
        <v>678</v>
      </c>
      <c r="G9012" s="6" t="s">
        <v>1541</v>
      </c>
      <c r="H9012" s="6" t="s">
        <v>1542</v>
      </c>
      <c r="I9012" s="6" t="s">
        <v>32</v>
      </c>
      <c r="J9012" s="6">
        <v>17.382631019000002</v>
      </c>
      <c r="K9012" s="6">
        <v>-96.162622612000007</v>
      </c>
      <c r="L9012" s="6" t="str">
        <f>HYPERLINK("https://maps.google.com/?q=17.382631019,-96.162622612000007", "🔗 Ver Mapa")</f>
        <v>🔗 Ver Mapa</v>
      </c>
    </row>
    <row r="9013" spans="1:12" ht="43.5" x14ac:dyDescent="0.35">
      <c r="A9013" s="5" t="s">
        <v>516</v>
      </c>
      <c r="B9013" s="5" t="s">
        <v>517</v>
      </c>
      <c r="C9013" s="5" t="s">
        <v>1540</v>
      </c>
      <c r="D9013" s="5" t="s">
        <v>13</v>
      </c>
      <c r="E9013" s="5" t="s">
        <v>90</v>
      </c>
      <c r="F9013" s="5" t="s">
        <v>678</v>
      </c>
      <c r="G9013" s="5" t="s">
        <v>1541</v>
      </c>
      <c r="H9013" s="5" t="s">
        <v>1542</v>
      </c>
      <c r="I9013" s="5" t="s">
        <v>32</v>
      </c>
      <c r="J9013" s="5">
        <v>17.382657772999998</v>
      </c>
      <c r="K9013" s="5">
        <v>-96.161963888000002</v>
      </c>
      <c r="L9013" s="5" t="str">
        <f>HYPERLINK("https://maps.google.com/?q=17.382657773,-96.161963888000002", "🔗 Ver Mapa")</f>
        <v>🔗 Ver Mapa</v>
      </c>
    </row>
    <row r="9014" spans="1:12" ht="43.5" x14ac:dyDescent="0.35">
      <c r="A9014" s="6" t="s">
        <v>516</v>
      </c>
      <c r="B9014" s="6" t="s">
        <v>517</v>
      </c>
      <c r="C9014" s="6" t="s">
        <v>1540</v>
      </c>
      <c r="D9014" s="6" t="s">
        <v>13</v>
      </c>
      <c r="E9014" s="6" t="s">
        <v>90</v>
      </c>
      <c r="F9014" s="6" t="s">
        <v>678</v>
      </c>
      <c r="G9014" s="6" t="s">
        <v>1541</v>
      </c>
      <c r="H9014" s="6" t="s">
        <v>1542</v>
      </c>
      <c r="I9014" s="6" t="s">
        <v>32</v>
      </c>
      <c r="J9014" s="6">
        <v>17.382771782999999</v>
      </c>
      <c r="K9014" s="6">
        <v>-96.162373857000006</v>
      </c>
      <c r="L9014" s="6" t="str">
        <f>HYPERLINK("https://maps.google.com/?q=17.382771783,-96.162373857000006", "🔗 Ver Mapa")</f>
        <v>🔗 Ver Mapa</v>
      </c>
    </row>
    <row r="9015" spans="1:12" ht="43.5" x14ac:dyDescent="0.35">
      <c r="A9015" s="5" t="s">
        <v>516</v>
      </c>
      <c r="B9015" s="5" t="s">
        <v>517</v>
      </c>
      <c r="C9015" s="5" t="s">
        <v>1540</v>
      </c>
      <c r="D9015" s="5" t="s">
        <v>13</v>
      </c>
      <c r="E9015" s="5" t="s">
        <v>90</v>
      </c>
      <c r="F9015" s="5" t="s">
        <v>678</v>
      </c>
      <c r="G9015" s="5" t="s">
        <v>1541</v>
      </c>
      <c r="H9015" s="5" t="s">
        <v>1542</v>
      </c>
      <c r="I9015" s="5" t="s">
        <v>32</v>
      </c>
      <c r="J9015" s="5">
        <v>17.382961273999999</v>
      </c>
      <c r="K9015" s="5">
        <v>-96.162040179000002</v>
      </c>
      <c r="L9015" s="5" t="str">
        <f>HYPERLINK("https://maps.google.com/?q=17.382961274,-96.162040179000002", "🔗 Ver Mapa")</f>
        <v>🔗 Ver Mapa</v>
      </c>
    </row>
    <row r="9016" spans="1:12" ht="43.5" x14ac:dyDescent="0.35">
      <c r="A9016" s="6" t="s">
        <v>516</v>
      </c>
      <c r="B9016" s="6" t="s">
        <v>517</v>
      </c>
      <c r="C9016" s="6" t="s">
        <v>1540</v>
      </c>
      <c r="D9016" s="6" t="s">
        <v>13</v>
      </c>
      <c r="E9016" s="6" t="s">
        <v>90</v>
      </c>
      <c r="F9016" s="6" t="s">
        <v>678</v>
      </c>
      <c r="G9016" s="6" t="s">
        <v>1541</v>
      </c>
      <c r="H9016" s="6" t="s">
        <v>1542</v>
      </c>
      <c r="I9016" s="6" t="s">
        <v>32</v>
      </c>
      <c r="J9016" s="6">
        <v>17.38309967</v>
      </c>
      <c r="K9016" s="6">
        <v>-96.161879014999997</v>
      </c>
      <c r="L9016" s="6" t="str">
        <f>HYPERLINK("https://maps.google.com/?q=17.38309967,-96.161879014999997", "🔗 Ver Mapa")</f>
        <v>🔗 Ver Mapa</v>
      </c>
    </row>
    <row r="9017" spans="1:12" ht="43.5" x14ac:dyDescent="0.35">
      <c r="A9017" s="5" t="s">
        <v>516</v>
      </c>
      <c r="B9017" s="5" t="s">
        <v>517</v>
      </c>
      <c r="C9017" s="5" t="s">
        <v>1540</v>
      </c>
      <c r="D9017" s="5" t="s">
        <v>13</v>
      </c>
      <c r="E9017" s="5" t="s">
        <v>90</v>
      </c>
      <c r="F9017" s="5" t="s">
        <v>678</v>
      </c>
      <c r="G9017" s="5" t="s">
        <v>1541</v>
      </c>
      <c r="H9017" s="5" t="s">
        <v>1542</v>
      </c>
      <c r="I9017" s="5" t="s">
        <v>32</v>
      </c>
      <c r="J9017" s="5">
        <v>17.383224210000002</v>
      </c>
      <c r="K9017" s="5">
        <v>-96.163213846000005</v>
      </c>
      <c r="L9017" s="5" t="str">
        <f>HYPERLINK("https://maps.google.com/?q=17.38322421,-96.163213846000005", "🔗 Ver Mapa")</f>
        <v>🔗 Ver Mapa</v>
      </c>
    </row>
    <row r="9018" spans="1:12" ht="43.5" x14ac:dyDescent="0.35">
      <c r="A9018" s="6" t="s">
        <v>516</v>
      </c>
      <c r="B9018" s="6" t="s">
        <v>517</v>
      </c>
      <c r="C9018" s="6" t="s">
        <v>1540</v>
      </c>
      <c r="D9018" s="6" t="s">
        <v>13</v>
      </c>
      <c r="E9018" s="6" t="s">
        <v>90</v>
      </c>
      <c r="F9018" s="6" t="s">
        <v>678</v>
      </c>
      <c r="G9018" s="6" t="s">
        <v>1541</v>
      </c>
      <c r="H9018" s="6" t="s">
        <v>1542</v>
      </c>
      <c r="I9018" s="6" t="s">
        <v>32</v>
      </c>
      <c r="J9018" s="6">
        <v>17.383651545999999</v>
      </c>
      <c r="K9018" s="6">
        <v>-96.161768275</v>
      </c>
      <c r="L9018" s="6" t="str">
        <f>HYPERLINK("https://maps.google.com/?q=17.383651546,-96.161768275", "🔗 Ver Mapa")</f>
        <v>🔗 Ver Mapa</v>
      </c>
    </row>
    <row r="9019" spans="1:12" ht="43.5" x14ac:dyDescent="0.35">
      <c r="A9019" s="5" t="s">
        <v>516</v>
      </c>
      <c r="B9019" s="5" t="s">
        <v>517</v>
      </c>
      <c r="C9019" s="5" t="s">
        <v>1540</v>
      </c>
      <c r="D9019" s="5" t="s">
        <v>13</v>
      </c>
      <c r="E9019" s="5" t="s">
        <v>90</v>
      </c>
      <c r="F9019" s="5" t="s">
        <v>678</v>
      </c>
      <c r="G9019" s="5" t="s">
        <v>1541</v>
      </c>
      <c r="H9019" s="5" t="s">
        <v>1542</v>
      </c>
      <c r="I9019" s="5" t="s">
        <v>32</v>
      </c>
      <c r="J9019" s="5">
        <v>17.383888784</v>
      </c>
      <c r="K9019" s="5">
        <v>-96.161731512000003</v>
      </c>
      <c r="L9019" s="5" t="str">
        <f>HYPERLINK("https://maps.google.com/?q=17.383888784,-96.161731512000003", "🔗 Ver Mapa")</f>
        <v>🔗 Ver Mapa</v>
      </c>
    </row>
    <row r="9020" spans="1:12" ht="43.5" x14ac:dyDescent="0.35">
      <c r="A9020" s="6" t="s">
        <v>516</v>
      </c>
      <c r="B9020" s="6" t="s">
        <v>517</v>
      </c>
      <c r="C9020" s="6" t="s">
        <v>1540</v>
      </c>
      <c r="D9020" s="6" t="s">
        <v>13</v>
      </c>
      <c r="E9020" s="6" t="s">
        <v>90</v>
      </c>
      <c r="F9020" s="6" t="s">
        <v>678</v>
      </c>
      <c r="G9020" s="6" t="s">
        <v>1541</v>
      </c>
      <c r="H9020" s="6" t="s">
        <v>1542</v>
      </c>
      <c r="I9020" s="6" t="s">
        <v>32</v>
      </c>
      <c r="J9020" s="6">
        <v>17.383928498</v>
      </c>
      <c r="K9020" s="6">
        <v>-96.162530282000006</v>
      </c>
      <c r="L9020" s="6" t="str">
        <f>HYPERLINK("https://maps.google.com/?q=17.383928498,-96.162530282000006", "🔗 Ver Mapa")</f>
        <v>🔗 Ver Mapa</v>
      </c>
    </row>
    <row r="9021" spans="1:12" ht="43.5" x14ac:dyDescent="0.35">
      <c r="A9021" s="5" t="s">
        <v>516</v>
      </c>
      <c r="B9021" s="5" t="s">
        <v>517</v>
      </c>
      <c r="C9021" s="5" t="s">
        <v>1540</v>
      </c>
      <c r="D9021" s="5" t="s">
        <v>13</v>
      </c>
      <c r="E9021" s="5" t="s">
        <v>90</v>
      </c>
      <c r="F9021" s="5" t="s">
        <v>678</v>
      </c>
      <c r="G9021" s="5" t="s">
        <v>1541</v>
      </c>
      <c r="H9021" s="5" t="s">
        <v>1542</v>
      </c>
      <c r="I9021" s="5" t="s">
        <v>32</v>
      </c>
      <c r="J9021" s="5">
        <v>17.384115185999999</v>
      </c>
      <c r="K9021" s="5">
        <v>-96.162050312000005</v>
      </c>
      <c r="L9021" s="5" t="str">
        <f>HYPERLINK("https://maps.google.com/?q=17.384115186,-96.162050312000005", "🔗 Ver Mapa")</f>
        <v>🔗 Ver Mapa</v>
      </c>
    </row>
    <row r="9022" spans="1:12" ht="43.5" x14ac:dyDescent="0.35">
      <c r="A9022" s="6" t="s">
        <v>516</v>
      </c>
      <c r="B9022" s="6" t="s">
        <v>517</v>
      </c>
      <c r="C9022" s="6" t="s">
        <v>1543</v>
      </c>
      <c r="D9022" s="6" t="s">
        <v>13</v>
      </c>
      <c r="E9022" s="6" t="s">
        <v>158</v>
      </c>
      <c r="F9022" s="6" t="s">
        <v>166</v>
      </c>
      <c r="G9022" s="6" t="s">
        <v>167</v>
      </c>
      <c r="H9022" s="6" t="s">
        <v>1544</v>
      </c>
      <c r="I9022" s="6" t="s">
        <v>32</v>
      </c>
      <c r="J9022" s="6">
        <v>16.053348</v>
      </c>
      <c r="K9022" s="6">
        <v>-95.469937000000002</v>
      </c>
      <c r="L9022" s="6" t="str">
        <f>HYPERLINK("https://maps.google.com/?q=16.053348,-95.469937000000002", "🔗 Ver Mapa")</f>
        <v>🔗 Ver Mapa</v>
      </c>
    </row>
    <row r="9023" spans="1:12" ht="43.5" x14ac:dyDescent="0.35">
      <c r="A9023" s="5" t="s">
        <v>516</v>
      </c>
      <c r="B9023" s="5" t="s">
        <v>517</v>
      </c>
      <c r="C9023" s="5" t="s">
        <v>1543</v>
      </c>
      <c r="D9023" s="5" t="s">
        <v>13</v>
      </c>
      <c r="E9023" s="5" t="s">
        <v>158</v>
      </c>
      <c r="F9023" s="5" t="s">
        <v>166</v>
      </c>
      <c r="G9023" s="5" t="s">
        <v>167</v>
      </c>
      <c r="H9023" s="5" t="s">
        <v>1544</v>
      </c>
      <c r="I9023" s="5" t="s">
        <v>32</v>
      </c>
      <c r="J9023" s="5">
        <v>16.053415000000001</v>
      </c>
      <c r="K9023" s="5">
        <v>-95.465897999999996</v>
      </c>
      <c r="L9023" s="5" t="str">
        <f>HYPERLINK("https://maps.google.com/?q=16.053415,-95.465897999999996", "🔗 Ver Mapa")</f>
        <v>🔗 Ver Mapa</v>
      </c>
    </row>
    <row r="9024" spans="1:12" ht="43.5" x14ac:dyDescent="0.35">
      <c r="A9024" s="6" t="s">
        <v>516</v>
      </c>
      <c r="B9024" s="6" t="s">
        <v>517</v>
      </c>
      <c r="C9024" s="6" t="s">
        <v>1543</v>
      </c>
      <c r="D9024" s="6" t="s">
        <v>13</v>
      </c>
      <c r="E9024" s="6" t="s">
        <v>158</v>
      </c>
      <c r="F9024" s="6" t="s">
        <v>166</v>
      </c>
      <c r="G9024" s="6" t="s">
        <v>167</v>
      </c>
      <c r="H9024" s="6" t="s">
        <v>1544</v>
      </c>
      <c r="I9024" s="6" t="s">
        <v>32</v>
      </c>
      <c r="J9024" s="6">
        <v>16.053419999999999</v>
      </c>
      <c r="K9024" s="6">
        <v>-95.465610999999996</v>
      </c>
      <c r="L9024" s="6" t="str">
        <f>HYPERLINK("https://maps.google.com/?q=16.05342,-95.465610999999996", "🔗 Ver Mapa")</f>
        <v>🔗 Ver Mapa</v>
      </c>
    </row>
    <row r="9025" spans="1:12" ht="43.5" x14ac:dyDescent="0.35">
      <c r="A9025" s="5" t="s">
        <v>516</v>
      </c>
      <c r="B9025" s="5" t="s">
        <v>517</v>
      </c>
      <c r="C9025" s="5" t="s">
        <v>1543</v>
      </c>
      <c r="D9025" s="5" t="s">
        <v>13</v>
      </c>
      <c r="E9025" s="5" t="s">
        <v>158</v>
      </c>
      <c r="F9025" s="5" t="s">
        <v>166</v>
      </c>
      <c r="G9025" s="5" t="s">
        <v>167</v>
      </c>
      <c r="H9025" s="5" t="s">
        <v>1544</v>
      </c>
      <c r="I9025" s="5" t="s">
        <v>32</v>
      </c>
      <c r="J9025" s="5">
        <v>16.053438</v>
      </c>
      <c r="K9025" s="5">
        <v>-95.467628000000005</v>
      </c>
      <c r="L9025" s="5" t="str">
        <f>HYPERLINK("https://maps.google.com/?q=16.053438,-95.467628000000005", "🔗 Ver Mapa")</f>
        <v>🔗 Ver Mapa</v>
      </c>
    </row>
    <row r="9026" spans="1:12" ht="43.5" x14ac:dyDescent="0.35">
      <c r="A9026" s="6" t="s">
        <v>516</v>
      </c>
      <c r="B9026" s="6" t="s">
        <v>517</v>
      </c>
      <c r="C9026" s="6" t="s">
        <v>1543</v>
      </c>
      <c r="D9026" s="6" t="s">
        <v>13</v>
      </c>
      <c r="E9026" s="6" t="s">
        <v>158</v>
      </c>
      <c r="F9026" s="6" t="s">
        <v>166</v>
      </c>
      <c r="G9026" s="6" t="s">
        <v>167</v>
      </c>
      <c r="H9026" s="6" t="s">
        <v>1544</v>
      </c>
      <c r="I9026" s="6" t="s">
        <v>32</v>
      </c>
      <c r="J9026" s="6">
        <v>16.053457999999999</v>
      </c>
      <c r="K9026" s="6">
        <v>-95.468783999999999</v>
      </c>
      <c r="L9026" s="6" t="str">
        <f>HYPERLINK("https://maps.google.com/?q=16.053458,-95.468783999999999", "🔗 Ver Mapa")</f>
        <v>🔗 Ver Mapa</v>
      </c>
    </row>
    <row r="9027" spans="1:12" ht="43.5" x14ac:dyDescent="0.35">
      <c r="A9027" s="5" t="s">
        <v>516</v>
      </c>
      <c r="B9027" s="5" t="s">
        <v>517</v>
      </c>
      <c r="C9027" s="5" t="s">
        <v>1543</v>
      </c>
      <c r="D9027" s="5" t="s">
        <v>13</v>
      </c>
      <c r="E9027" s="5" t="s">
        <v>158</v>
      </c>
      <c r="F9027" s="5" t="s">
        <v>166</v>
      </c>
      <c r="G9027" s="5" t="s">
        <v>167</v>
      </c>
      <c r="H9027" s="5" t="s">
        <v>1544</v>
      </c>
      <c r="I9027" s="5" t="s">
        <v>32</v>
      </c>
      <c r="J9027" s="5">
        <v>16.053469</v>
      </c>
      <c r="K9027" s="5">
        <v>-95.466547000000006</v>
      </c>
      <c r="L9027" s="5" t="str">
        <f>HYPERLINK("https://maps.google.com/?q=16.053469,-95.466547000000006", "🔗 Ver Mapa")</f>
        <v>🔗 Ver Mapa</v>
      </c>
    </row>
    <row r="9028" spans="1:12" ht="43.5" x14ac:dyDescent="0.35">
      <c r="A9028" s="6" t="s">
        <v>516</v>
      </c>
      <c r="B9028" s="6" t="s">
        <v>517</v>
      </c>
      <c r="C9028" s="6" t="s">
        <v>1543</v>
      </c>
      <c r="D9028" s="6" t="s">
        <v>13</v>
      </c>
      <c r="E9028" s="6" t="s">
        <v>158</v>
      </c>
      <c r="F9028" s="6" t="s">
        <v>166</v>
      </c>
      <c r="G9028" s="6" t="s">
        <v>167</v>
      </c>
      <c r="H9028" s="6" t="s">
        <v>1544</v>
      </c>
      <c r="I9028" s="6" t="s">
        <v>32</v>
      </c>
      <c r="J9028" s="6">
        <v>16.053650999999999</v>
      </c>
      <c r="K9028" s="6">
        <v>-95.471062000000003</v>
      </c>
      <c r="L9028" s="6" t="str">
        <f>HYPERLINK("https://maps.google.com/?q=16.053651,-95.471062000000003", "🔗 Ver Mapa")</f>
        <v>🔗 Ver Mapa</v>
      </c>
    </row>
    <row r="9029" spans="1:12" ht="43.5" x14ac:dyDescent="0.35">
      <c r="A9029" s="5" t="s">
        <v>516</v>
      </c>
      <c r="B9029" s="5" t="s">
        <v>517</v>
      </c>
      <c r="C9029" s="5" t="s">
        <v>1543</v>
      </c>
      <c r="D9029" s="5" t="s">
        <v>13</v>
      </c>
      <c r="E9029" s="5" t="s">
        <v>158</v>
      </c>
      <c r="F9029" s="5" t="s">
        <v>166</v>
      </c>
      <c r="G9029" s="5" t="s">
        <v>167</v>
      </c>
      <c r="H9029" s="5" t="s">
        <v>1544</v>
      </c>
      <c r="I9029" s="5" t="s">
        <v>32</v>
      </c>
      <c r="J9029" s="5">
        <v>16.053743000000001</v>
      </c>
      <c r="K9029" s="5">
        <v>-95.483044000000007</v>
      </c>
      <c r="L9029" s="5" t="str">
        <f>HYPERLINK("https://maps.google.com/?q=16.053743,-95.483044000000007", "🔗 Ver Mapa")</f>
        <v>🔗 Ver Mapa</v>
      </c>
    </row>
    <row r="9030" spans="1:12" ht="43.5" x14ac:dyDescent="0.35">
      <c r="A9030" s="6" t="s">
        <v>516</v>
      </c>
      <c r="B9030" s="6" t="s">
        <v>517</v>
      </c>
      <c r="C9030" s="6" t="s">
        <v>1543</v>
      </c>
      <c r="D9030" s="6" t="s">
        <v>13</v>
      </c>
      <c r="E9030" s="6" t="s">
        <v>158</v>
      </c>
      <c r="F9030" s="6" t="s">
        <v>166</v>
      </c>
      <c r="G9030" s="6" t="s">
        <v>167</v>
      </c>
      <c r="H9030" s="6" t="s">
        <v>1544</v>
      </c>
      <c r="I9030" s="6" t="s">
        <v>32</v>
      </c>
      <c r="J9030" s="6">
        <v>16.053798</v>
      </c>
      <c r="K9030" s="6">
        <v>-95.482771</v>
      </c>
      <c r="L9030" s="6" t="str">
        <f>HYPERLINK("https://maps.google.com/?q=16.053798,-95.482771", "🔗 Ver Mapa")</f>
        <v>🔗 Ver Mapa</v>
      </c>
    </row>
    <row r="9031" spans="1:12" ht="43.5" x14ac:dyDescent="0.35">
      <c r="A9031" s="5" t="s">
        <v>516</v>
      </c>
      <c r="B9031" s="5" t="s">
        <v>517</v>
      </c>
      <c r="C9031" s="5" t="s">
        <v>1543</v>
      </c>
      <c r="D9031" s="5" t="s">
        <v>13</v>
      </c>
      <c r="E9031" s="5" t="s">
        <v>158</v>
      </c>
      <c r="F9031" s="5" t="s">
        <v>166</v>
      </c>
      <c r="G9031" s="5" t="s">
        <v>167</v>
      </c>
      <c r="H9031" s="5" t="s">
        <v>1544</v>
      </c>
      <c r="I9031" s="5" t="s">
        <v>32</v>
      </c>
      <c r="J9031" s="5">
        <v>16.053909000000001</v>
      </c>
      <c r="K9031" s="5">
        <v>-95.4833</v>
      </c>
      <c r="L9031" s="5" t="str">
        <f>HYPERLINK("https://maps.google.com/?q=16.053909,-95.4833", "🔗 Ver Mapa")</f>
        <v>🔗 Ver Mapa</v>
      </c>
    </row>
    <row r="9032" spans="1:12" ht="43.5" x14ac:dyDescent="0.35">
      <c r="A9032" s="6" t="s">
        <v>516</v>
      </c>
      <c r="B9032" s="6" t="s">
        <v>517</v>
      </c>
      <c r="C9032" s="6" t="s">
        <v>1543</v>
      </c>
      <c r="D9032" s="6" t="s">
        <v>13</v>
      </c>
      <c r="E9032" s="6" t="s">
        <v>158</v>
      </c>
      <c r="F9032" s="6" t="s">
        <v>166</v>
      </c>
      <c r="G9032" s="6" t="s">
        <v>167</v>
      </c>
      <c r="H9032" s="6" t="s">
        <v>1544</v>
      </c>
      <c r="I9032" s="6" t="s">
        <v>32</v>
      </c>
      <c r="J9032" s="6">
        <v>16.053958000000002</v>
      </c>
      <c r="K9032" s="6">
        <v>-95.486571999999995</v>
      </c>
      <c r="L9032" s="6" t="str">
        <f>HYPERLINK("https://maps.google.com/?q=16.053958,-95.486571999999995", "🔗 Ver Mapa")</f>
        <v>🔗 Ver Mapa</v>
      </c>
    </row>
    <row r="9033" spans="1:12" ht="43.5" x14ac:dyDescent="0.35">
      <c r="A9033" s="5" t="s">
        <v>516</v>
      </c>
      <c r="B9033" s="5" t="s">
        <v>517</v>
      </c>
      <c r="C9033" s="5" t="s">
        <v>1543</v>
      </c>
      <c r="D9033" s="5" t="s">
        <v>13</v>
      </c>
      <c r="E9033" s="5" t="s">
        <v>158</v>
      </c>
      <c r="F9033" s="5" t="s">
        <v>166</v>
      </c>
      <c r="G9033" s="5" t="s">
        <v>167</v>
      </c>
      <c r="H9033" s="5" t="s">
        <v>1544</v>
      </c>
      <c r="I9033" s="5" t="s">
        <v>32</v>
      </c>
      <c r="J9033" s="5">
        <v>16.053981</v>
      </c>
      <c r="K9033" s="5">
        <v>-95.482551000000001</v>
      </c>
      <c r="L9033" s="5" t="str">
        <f>HYPERLINK("https://maps.google.com/?q=16.053981,-95.482551000000001", "🔗 Ver Mapa")</f>
        <v>🔗 Ver Mapa</v>
      </c>
    </row>
    <row r="9034" spans="1:12" ht="43.5" x14ac:dyDescent="0.35">
      <c r="A9034" s="6" t="s">
        <v>516</v>
      </c>
      <c r="B9034" s="6" t="s">
        <v>517</v>
      </c>
      <c r="C9034" s="6" t="s">
        <v>1543</v>
      </c>
      <c r="D9034" s="6" t="s">
        <v>13</v>
      </c>
      <c r="E9034" s="6" t="s">
        <v>158</v>
      </c>
      <c r="F9034" s="6" t="s">
        <v>166</v>
      </c>
      <c r="G9034" s="6" t="s">
        <v>167</v>
      </c>
      <c r="H9034" s="6" t="s">
        <v>1544</v>
      </c>
      <c r="I9034" s="6" t="s">
        <v>32</v>
      </c>
      <c r="J9034" s="6">
        <v>16.053984</v>
      </c>
      <c r="K9034" s="6">
        <v>-95.464551999999998</v>
      </c>
      <c r="L9034" s="6" t="str">
        <f>HYPERLINK("https://maps.google.com/?q=16.053984,-95.464551999999998", "🔗 Ver Mapa")</f>
        <v>🔗 Ver Mapa</v>
      </c>
    </row>
    <row r="9035" spans="1:12" ht="43.5" x14ac:dyDescent="0.35">
      <c r="A9035" s="5" t="s">
        <v>516</v>
      </c>
      <c r="B9035" s="5" t="s">
        <v>517</v>
      </c>
      <c r="C9035" s="5" t="s">
        <v>1543</v>
      </c>
      <c r="D9035" s="5" t="s">
        <v>13</v>
      </c>
      <c r="E9035" s="5" t="s">
        <v>158</v>
      </c>
      <c r="F9035" s="5" t="s">
        <v>166</v>
      </c>
      <c r="G9035" s="5" t="s">
        <v>167</v>
      </c>
      <c r="H9035" s="5" t="s">
        <v>1544</v>
      </c>
      <c r="I9035" s="5" t="s">
        <v>32</v>
      </c>
      <c r="J9035" s="5">
        <v>16.054001</v>
      </c>
      <c r="K9035" s="5">
        <v>-95.483435999999998</v>
      </c>
      <c r="L9035" s="5" t="str">
        <f>HYPERLINK("https://maps.google.com/?q=16.054001,-95.483435999999998", "🔗 Ver Mapa")</f>
        <v>🔗 Ver Mapa</v>
      </c>
    </row>
    <row r="9036" spans="1:12" ht="43.5" x14ac:dyDescent="0.35">
      <c r="A9036" s="6" t="s">
        <v>516</v>
      </c>
      <c r="B9036" s="6" t="s">
        <v>517</v>
      </c>
      <c r="C9036" s="6" t="s">
        <v>1543</v>
      </c>
      <c r="D9036" s="6" t="s">
        <v>13</v>
      </c>
      <c r="E9036" s="6" t="s">
        <v>158</v>
      </c>
      <c r="F9036" s="6" t="s">
        <v>166</v>
      </c>
      <c r="G9036" s="6" t="s">
        <v>167</v>
      </c>
      <c r="H9036" s="6" t="s">
        <v>1544</v>
      </c>
      <c r="I9036" s="6" t="s">
        <v>32</v>
      </c>
      <c r="J9036" s="6">
        <v>16.054002000000001</v>
      </c>
      <c r="K9036" s="6">
        <v>-95.482403000000005</v>
      </c>
      <c r="L9036" s="6" t="str">
        <f>HYPERLINK("https://maps.google.com/?q=16.054002,-95.482403000000005", "🔗 Ver Mapa")</f>
        <v>🔗 Ver Mapa</v>
      </c>
    </row>
    <row r="9037" spans="1:12" ht="43.5" x14ac:dyDescent="0.35">
      <c r="A9037" s="5" t="s">
        <v>516</v>
      </c>
      <c r="B9037" s="5" t="s">
        <v>517</v>
      </c>
      <c r="C9037" s="5" t="s">
        <v>1543</v>
      </c>
      <c r="D9037" s="5" t="s">
        <v>13</v>
      </c>
      <c r="E9037" s="5" t="s">
        <v>158</v>
      </c>
      <c r="F9037" s="5" t="s">
        <v>166</v>
      </c>
      <c r="G9037" s="5" t="s">
        <v>167</v>
      </c>
      <c r="H9037" s="5" t="s">
        <v>1544</v>
      </c>
      <c r="I9037" s="5" t="s">
        <v>32</v>
      </c>
      <c r="J9037" s="5">
        <v>16.054155999999999</v>
      </c>
      <c r="K9037" s="5">
        <v>-95.481470999999999</v>
      </c>
      <c r="L9037" s="5" t="str">
        <f>HYPERLINK("https://maps.google.com/?q=16.054156,-95.481470999999999", "🔗 Ver Mapa")</f>
        <v>🔗 Ver Mapa</v>
      </c>
    </row>
    <row r="9038" spans="1:12" ht="43.5" x14ac:dyDescent="0.35">
      <c r="A9038" s="6" t="s">
        <v>516</v>
      </c>
      <c r="B9038" s="6" t="s">
        <v>517</v>
      </c>
      <c r="C9038" s="6" t="s">
        <v>1543</v>
      </c>
      <c r="D9038" s="6" t="s">
        <v>13</v>
      </c>
      <c r="E9038" s="6" t="s">
        <v>158</v>
      </c>
      <c r="F9038" s="6" t="s">
        <v>166</v>
      </c>
      <c r="G9038" s="6" t="s">
        <v>167</v>
      </c>
      <c r="H9038" s="6" t="s">
        <v>1544</v>
      </c>
      <c r="I9038" s="6" t="s">
        <v>32</v>
      </c>
      <c r="J9038" s="6">
        <v>16.054255999999999</v>
      </c>
      <c r="K9038" s="6">
        <v>-95.483806999999999</v>
      </c>
      <c r="L9038" s="6" t="str">
        <f>HYPERLINK("https://maps.google.com/?q=16.054256,-95.483806999999999", "🔗 Ver Mapa")</f>
        <v>🔗 Ver Mapa</v>
      </c>
    </row>
    <row r="9039" spans="1:12" ht="43.5" x14ac:dyDescent="0.35">
      <c r="A9039" s="5" t="s">
        <v>516</v>
      </c>
      <c r="B9039" s="5" t="s">
        <v>517</v>
      </c>
      <c r="C9039" s="5" t="s">
        <v>1543</v>
      </c>
      <c r="D9039" s="5" t="s">
        <v>13</v>
      </c>
      <c r="E9039" s="5" t="s">
        <v>158</v>
      </c>
      <c r="F9039" s="5" t="s">
        <v>166</v>
      </c>
      <c r="G9039" s="5" t="s">
        <v>167</v>
      </c>
      <c r="H9039" s="5" t="s">
        <v>1544</v>
      </c>
      <c r="I9039" s="5" t="s">
        <v>32</v>
      </c>
      <c r="J9039" s="5">
        <v>16.054261</v>
      </c>
      <c r="K9039" s="5">
        <v>-95.478758999999997</v>
      </c>
      <c r="L9039" s="5" t="str">
        <f>HYPERLINK("https://maps.google.com/?q=16.054261,-95.478758999999997", "🔗 Ver Mapa")</f>
        <v>🔗 Ver Mapa</v>
      </c>
    </row>
    <row r="9040" spans="1:12" ht="43.5" x14ac:dyDescent="0.35">
      <c r="A9040" s="6" t="s">
        <v>516</v>
      </c>
      <c r="B9040" s="6" t="s">
        <v>517</v>
      </c>
      <c r="C9040" s="6" t="s">
        <v>1543</v>
      </c>
      <c r="D9040" s="6" t="s">
        <v>13</v>
      </c>
      <c r="E9040" s="6" t="s">
        <v>158</v>
      </c>
      <c r="F9040" s="6" t="s">
        <v>166</v>
      </c>
      <c r="G9040" s="6" t="s">
        <v>167</v>
      </c>
      <c r="H9040" s="6" t="s">
        <v>1544</v>
      </c>
      <c r="I9040" s="6" t="s">
        <v>32</v>
      </c>
      <c r="J9040" s="6">
        <v>16.054272999999998</v>
      </c>
      <c r="K9040" s="6">
        <v>-95.472219999999993</v>
      </c>
      <c r="L9040" s="6" t="str">
        <f>HYPERLINK("https://maps.google.com/?q=16.054273,-95.472219999999993", "🔗 Ver Mapa")</f>
        <v>🔗 Ver Mapa</v>
      </c>
    </row>
    <row r="9041" spans="1:12" ht="43.5" x14ac:dyDescent="0.35">
      <c r="A9041" s="5" t="s">
        <v>516</v>
      </c>
      <c r="B9041" s="5" t="s">
        <v>517</v>
      </c>
      <c r="C9041" s="5" t="s">
        <v>1543</v>
      </c>
      <c r="D9041" s="5" t="s">
        <v>13</v>
      </c>
      <c r="E9041" s="5" t="s">
        <v>158</v>
      </c>
      <c r="F9041" s="5" t="s">
        <v>166</v>
      </c>
      <c r="G9041" s="5" t="s">
        <v>167</v>
      </c>
      <c r="H9041" s="5" t="s">
        <v>1544</v>
      </c>
      <c r="I9041" s="5" t="s">
        <v>32</v>
      </c>
      <c r="J9041" s="5">
        <v>16.054324999999999</v>
      </c>
      <c r="K9041" s="5">
        <v>-95.483896999999999</v>
      </c>
      <c r="L9041" s="5" t="str">
        <f>HYPERLINK("https://maps.google.com/?q=16.054325,-95.483896999999999", "🔗 Ver Mapa")</f>
        <v>🔗 Ver Mapa</v>
      </c>
    </row>
    <row r="9042" spans="1:12" ht="43.5" x14ac:dyDescent="0.35">
      <c r="A9042" s="6" t="s">
        <v>516</v>
      </c>
      <c r="B9042" s="6" t="s">
        <v>517</v>
      </c>
      <c r="C9042" s="6" t="s">
        <v>1543</v>
      </c>
      <c r="D9042" s="6" t="s">
        <v>13</v>
      </c>
      <c r="E9042" s="6" t="s">
        <v>158</v>
      </c>
      <c r="F9042" s="6" t="s">
        <v>166</v>
      </c>
      <c r="G9042" s="6" t="s">
        <v>167</v>
      </c>
      <c r="H9042" s="6" t="s">
        <v>1544</v>
      </c>
      <c r="I9042" s="6" t="s">
        <v>32</v>
      </c>
      <c r="J9042" s="6">
        <v>16.054357</v>
      </c>
      <c r="K9042" s="6">
        <v>-95.463757000000001</v>
      </c>
      <c r="L9042" s="6" t="str">
        <f>HYPERLINK("https://maps.google.com/?q=16.054357,-95.463757000000001", "🔗 Ver Mapa")</f>
        <v>🔗 Ver Mapa</v>
      </c>
    </row>
    <row r="9043" spans="1:12" ht="43.5" x14ac:dyDescent="0.35">
      <c r="A9043" s="5" t="s">
        <v>516</v>
      </c>
      <c r="B9043" s="5" t="s">
        <v>517</v>
      </c>
      <c r="C9043" s="5" t="s">
        <v>1543</v>
      </c>
      <c r="D9043" s="5" t="s">
        <v>13</v>
      </c>
      <c r="E9043" s="5" t="s">
        <v>158</v>
      </c>
      <c r="F9043" s="5" t="s">
        <v>166</v>
      </c>
      <c r="G9043" s="5" t="s">
        <v>167</v>
      </c>
      <c r="H9043" s="5" t="s">
        <v>1544</v>
      </c>
      <c r="I9043" s="5" t="s">
        <v>32</v>
      </c>
      <c r="J9043" s="5">
        <v>16.054402</v>
      </c>
      <c r="K9043" s="5">
        <v>-95.484307999999999</v>
      </c>
      <c r="L9043" s="5" t="str">
        <f>HYPERLINK("https://maps.google.com/?q=16.054402,-95.484307999999999", "🔗 Ver Mapa")</f>
        <v>🔗 Ver Mapa</v>
      </c>
    </row>
    <row r="9044" spans="1:12" ht="43.5" x14ac:dyDescent="0.35">
      <c r="A9044" s="6" t="s">
        <v>516</v>
      </c>
      <c r="B9044" s="6" t="s">
        <v>517</v>
      </c>
      <c r="C9044" s="6" t="s">
        <v>1543</v>
      </c>
      <c r="D9044" s="6" t="s">
        <v>13</v>
      </c>
      <c r="E9044" s="6" t="s">
        <v>158</v>
      </c>
      <c r="F9044" s="6" t="s">
        <v>166</v>
      </c>
      <c r="G9044" s="6" t="s">
        <v>167</v>
      </c>
      <c r="H9044" s="6" t="s">
        <v>1544</v>
      </c>
      <c r="I9044" s="6" t="s">
        <v>32</v>
      </c>
      <c r="J9044" s="6">
        <v>16.05444</v>
      </c>
      <c r="K9044" s="6">
        <v>-95.478347999999997</v>
      </c>
      <c r="L9044" s="6" t="str">
        <f>HYPERLINK("https://maps.google.com/?q=16.05444,-95.478347999999997", "🔗 Ver Mapa")</f>
        <v>🔗 Ver Mapa</v>
      </c>
    </row>
    <row r="9045" spans="1:12" ht="43.5" x14ac:dyDescent="0.35">
      <c r="A9045" s="5" t="s">
        <v>516</v>
      </c>
      <c r="B9045" s="5" t="s">
        <v>517</v>
      </c>
      <c r="C9045" s="5" t="s">
        <v>1543</v>
      </c>
      <c r="D9045" s="5" t="s">
        <v>13</v>
      </c>
      <c r="E9045" s="5" t="s">
        <v>158</v>
      </c>
      <c r="F9045" s="5" t="s">
        <v>166</v>
      </c>
      <c r="G9045" s="5" t="s">
        <v>167</v>
      </c>
      <c r="H9045" s="5" t="s">
        <v>1544</v>
      </c>
      <c r="I9045" s="5" t="s">
        <v>32</v>
      </c>
      <c r="J9045" s="5">
        <v>16.054442000000002</v>
      </c>
      <c r="K9045" s="5">
        <v>-95.485108999999994</v>
      </c>
      <c r="L9045" s="5" t="str">
        <f>HYPERLINK("https://maps.google.com/?q=16.054442,-95.485108999999994", "🔗 Ver Mapa")</f>
        <v>🔗 Ver Mapa</v>
      </c>
    </row>
    <row r="9046" spans="1:12" ht="43.5" x14ac:dyDescent="0.35">
      <c r="A9046" s="6" t="s">
        <v>516</v>
      </c>
      <c r="B9046" s="6" t="s">
        <v>517</v>
      </c>
      <c r="C9046" s="6" t="s">
        <v>1543</v>
      </c>
      <c r="D9046" s="6" t="s">
        <v>13</v>
      </c>
      <c r="E9046" s="6" t="s">
        <v>158</v>
      </c>
      <c r="F9046" s="6" t="s">
        <v>166</v>
      </c>
      <c r="G9046" s="6" t="s">
        <v>167</v>
      </c>
      <c r="H9046" s="6" t="s">
        <v>1544</v>
      </c>
      <c r="I9046" s="6" t="s">
        <v>32</v>
      </c>
      <c r="J9046" s="6">
        <v>16.054451</v>
      </c>
      <c r="K9046" s="6">
        <v>-95.484157999999994</v>
      </c>
      <c r="L9046" s="6" t="str">
        <f>HYPERLINK("https://maps.google.com/?q=16.054451,-95.484157999999994", "🔗 Ver Mapa")</f>
        <v>🔗 Ver Mapa</v>
      </c>
    </row>
    <row r="9047" spans="1:12" ht="43.5" x14ac:dyDescent="0.35">
      <c r="A9047" s="5" t="s">
        <v>516</v>
      </c>
      <c r="B9047" s="5" t="s">
        <v>517</v>
      </c>
      <c r="C9047" s="5" t="s">
        <v>1543</v>
      </c>
      <c r="D9047" s="5" t="s">
        <v>13</v>
      </c>
      <c r="E9047" s="5" t="s">
        <v>158</v>
      </c>
      <c r="F9047" s="5" t="s">
        <v>166</v>
      </c>
      <c r="G9047" s="5" t="s">
        <v>167</v>
      </c>
      <c r="H9047" s="5" t="s">
        <v>1544</v>
      </c>
      <c r="I9047" s="5" t="s">
        <v>32</v>
      </c>
      <c r="J9047" s="5">
        <v>16.054459999999999</v>
      </c>
      <c r="K9047" s="5">
        <v>-95.479253999999997</v>
      </c>
      <c r="L9047" s="5" t="str">
        <f>HYPERLINK("https://maps.google.com/?q=16.05446,-95.479253999999997", "🔗 Ver Mapa")</f>
        <v>🔗 Ver Mapa</v>
      </c>
    </row>
    <row r="9048" spans="1:12" ht="43.5" x14ac:dyDescent="0.35">
      <c r="A9048" s="6" t="s">
        <v>516</v>
      </c>
      <c r="B9048" s="6" t="s">
        <v>517</v>
      </c>
      <c r="C9048" s="6" t="s">
        <v>1543</v>
      </c>
      <c r="D9048" s="6" t="s">
        <v>13</v>
      </c>
      <c r="E9048" s="6" t="s">
        <v>158</v>
      </c>
      <c r="F9048" s="6" t="s">
        <v>166</v>
      </c>
      <c r="G9048" s="6" t="s">
        <v>167</v>
      </c>
      <c r="H9048" s="6" t="s">
        <v>1544</v>
      </c>
      <c r="I9048" s="6" t="s">
        <v>32</v>
      </c>
      <c r="J9048" s="6">
        <v>16.054469999999998</v>
      </c>
      <c r="K9048" s="6">
        <v>-95.474162000000007</v>
      </c>
      <c r="L9048" s="6" t="str">
        <f>HYPERLINK("https://maps.google.com/?q=16.05447,-95.474162000000007", "🔗 Ver Mapa")</f>
        <v>🔗 Ver Mapa</v>
      </c>
    </row>
    <row r="9049" spans="1:12" ht="43.5" x14ac:dyDescent="0.35">
      <c r="A9049" s="5" t="s">
        <v>516</v>
      </c>
      <c r="B9049" s="5" t="s">
        <v>517</v>
      </c>
      <c r="C9049" s="5" t="s">
        <v>1543</v>
      </c>
      <c r="D9049" s="5" t="s">
        <v>13</v>
      </c>
      <c r="E9049" s="5" t="s">
        <v>158</v>
      </c>
      <c r="F9049" s="5" t="s">
        <v>166</v>
      </c>
      <c r="G9049" s="5" t="s">
        <v>167</v>
      </c>
      <c r="H9049" s="5" t="s">
        <v>1544</v>
      </c>
      <c r="I9049" s="5" t="s">
        <v>32</v>
      </c>
      <c r="J9049" s="5">
        <v>16.054482</v>
      </c>
      <c r="K9049" s="5">
        <v>-95.480340999999996</v>
      </c>
      <c r="L9049" s="5" t="str">
        <f>HYPERLINK("https://maps.google.com/?q=16.054482,-95.480340999999996", "🔗 Ver Mapa")</f>
        <v>🔗 Ver Mapa</v>
      </c>
    </row>
    <row r="9050" spans="1:12" ht="43.5" x14ac:dyDescent="0.35">
      <c r="A9050" s="6" t="s">
        <v>516</v>
      </c>
      <c r="B9050" s="6" t="s">
        <v>517</v>
      </c>
      <c r="C9050" s="6" t="s">
        <v>1543</v>
      </c>
      <c r="D9050" s="6" t="s">
        <v>13</v>
      </c>
      <c r="E9050" s="6" t="s">
        <v>158</v>
      </c>
      <c r="F9050" s="6" t="s">
        <v>166</v>
      </c>
      <c r="G9050" s="6" t="s">
        <v>167</v>
      </c>
      <c r="H9050" s="6" t="s">
        <v>1544</v>
      </c>
      <c r="I9050" s="6" t="s">
        <v>32</v>
      </c>
      <c r="J9050" s="6">
        <v>16.054545000000001</v>
      </c>
      <c r="K9050" s="6">
        <v>-95.487423000000007</v>
      </c>
      <c r="L9050" s="6" t="str">
        <f>HYPERLINK("https://maps.google.com/?q=16.054545,-95.487423000000007", "🔗 Ver Mapa")</f>
        <v>🔗 Ver Mapa</v>
      </c>
    </row>
    <row r="9051" spans="1:12" ht="43.5" x14ac:dyDescent="0.35">
      <c r="A9051" s="5" t="s">
        <v>516</v>
      </c>
      <c r="B9051" s="5" t="s">
        <v>517</v>
      </c>
      <c r="C9051" s="5" t="s">
        <v>1543</v>
      </c>
      <c r="D9051" s="5" t="s">
        <v>13</v>
      </c>
      <c r="E9051" s="5" t="s">
        <v>158</v>
      </c>
      <c r="F9051" s="5" t="s">
        <v>166</v>
      </c>
      <c r="G9051" s="5" t="s">
        <v>167</v>
      </c>
      <c r="H9051" s="5" t="s">
        <v>1544</v>
      </c>
      <c r="I9051" s="5" t="s">
        <v>32</v>
      </c>
      <c r="J9051" s="5">
        <v>16.054600000000001</v>
      </c>
      <c r="K9051" s="5">
        <v>-95.462599999999995</v>
      </c>
      <c r="L9051" s="5" t="str">
        <f>HYPERLINK("https://maps.google.com/?q=16.0546,-95.462599999999995", "🔗 Ver Mapa")</f>
        <v>🔗 Ver Mapa</v>
      </c>
    </row>
    <row r="9052" spans="1:12" ht="43.5" x14ac:dyDescent="0.35">
      <c r="A9052" s="6" t="s">
        <v>516</v>
      </c>
      <c r="B9052" s="6" t="s">
        <v>517</v>
      </c>
      <c r="C9052" s="6" t="s">
        <v>1543</v>
      </c>
      <c r="D9052" s="6" t="s">
        <v>13</v>
      </c>
      <c r="E9052" s="6" t="s">
        <v>158</v>
      </c>
      <c r="F9052" s="6" t="s">
        <v>166</v>
      </c>
      <c r="G9052" s="6" t="s">
        <v>167</v>
      </c>
      <c r="H9052" s="6" t="s">
        <v>1544</v>
      </c>
      <c r="I9052" s="6" t="s">
        <v>32</v>
      </c>
      <c r="J9052" s="6">
        <v>16.054624</v>
      </c>
      <c r="K9052" s="6">
        <v>-95.473815999999999</v>
      </c>
      <c r="L9052" s="6" t="str">
        <f>HYPERLINK("https://maps.google.com/?q=16.054624,-95.473815999999999", "🔗 Ver Mapa")</f>
        <v>🔗 Ver Mapa</v>
      </c>
    </row>
    <row r="9053" spans="1:12" ht="43.5" x14ac:dyDescent="0.35">
      <c r="A9053" s="5" t="s">
        <v>516</v>
      </c>
      <c r="B9053" s="5" t="s">
        <v>517</v>
      </c>
      <c r="C9053" s="5" t="s">
        <v>1543</v>
      </c>
      <c r="D9053" s="5" t="s">
        <v>13</v>
      </c>
      <c r="E9053" s="5" t="s">
        <v>158</v>
      </c>
      <c r="F9053" s="5" t="s">
        <v>166</v>
      </c>
      <c r="G9053" s="5" t="s">
        <v>167</v>
      </c>
      <c r="H9053" s="5" t="s">
        <v>1544</v>
      </c>
      <c r="I9053" s="5" t="s">
        <v>32</v>
      </c>
      <c r="J9053" s="5">
        <v>16.054632999999999</v>
      </c>
      <c r="K9053" s="5">
        <v>-95.474952999999999</v>
      </c>
      <c r="L9053" s="5" t="str">
        <f>HYPERLINK("https://maps.google.com/?q=16.054633,-95.474952999999999", "🔗 Ver Mapa")</f>
        <v>🔗 Ver Mapa</v>
      </c>
    </row>
    <row r="9054" spans="1:12" ht="43.5" x14ac:dyDescent="0.35">
      <c r="A9054" s="6" t="s">
        <v>516</v>
      </c>
      <c r="B9054" s="6" t="s">
        <v>517</v>
      </c>
      <c r="C9054" s="6" t="s">
        <v>1543</v>
      </c>
      <c r="D9054" s="6" t="s">
        <v>13</v>
      </c>
      <c r="E9054" s="6" t="s">
        <v>158</v>
      </c>
      <c r="F9054" s="6" t="s">
        <v>166</v>
      </c>
      <c r="G9054" s="6" t="s">
        <v>167</v>
      </c>
      <c r="H9054" s="6" t="s">
        <v>1544</v>
      </c>
      <c r="I9054" s="6" t="s">
        <v>32</v>
      </c>
      <c r="J9054" s="6">
        <v>16.054687000000001</v>
      </c>
      <c r="K9054" s="6">
        <v>-95.473077000000004</v>
      </c>
      <c r="L9054" s="6" t="str">
        <f>HYPERLINK("https://maps.google.com/?q=16.054687,-95.473077000000004", "🔗 Ver Mapa")</f>
        <v>🔗 Ver Mapa</v>
      </c>
    </row>
    <row r="9055" spans="1:12" ht="43.5" x14ac:dyDescent="0.35">
      <c r="A9055" s="5" t="s">
        <v>516</v>
      </c>
      <c r="B9055" s="5" t="s">
        <v>517</v>
      </c>
      <c r="C9055" s="5" t="s">
        <v>1543</v>
      </c>
      <c r="D9055" s="5" t="s">
        <v>13</v>
      </c>
      <c r="E9055" s="5" t="s">
        <v>158</v>
      </c>
      <c r="F9055" s="5" t="s">
        <v>166</v>
      </c>
      <c r="G9055" s="5" t="s">
        <v>167</v>
      </c>
      <c r="H9055" s="5" t="s">
        <v>1544</v>
      </c>
      <c r="I9055" s="5" t="s">
        <v>32</v>
      </c>
      <c r="J9055" s="5">
        <v>16.054765</v>
      </c>
      <c r="K9055" s="5">
        <v>-95.477458999999996</v>
      </c>
      <c r="L9055" s="5" t="str">
        <f>HYPERLINK("https://maps.google.com/?q=16.054765,-95.477458999999996", "🔗 Ver Mapa")</f>
        <v>🔗 Ver Mapa</v>
      </c>
    </row>
    <row r="9056" spans="1:12" ht="43.5" x14ac:dyDescent="0.35">
      <c r="A9056" s="6" t="s">
        <v>516</v>
      </c>
      <c r="B9056" s="6" t="s">
        <v>517</v>
      </c>
      <c r="C9056" s="6" t="s">
        <v>1543</v>
      </c>
      <c r="D9056" s="6" t="s">
        <v>13</v>
      </c>
      <c r="E9056" s="6" t="s">
        <v>158</v>
      </c>
      <c r="F9056" s="6" t="s">
        <v>166</v>
      </c>
      <c r="G9056" s="6" t="s">
        <v>167</v>
      </c>
      <c r="H9056" s="6" t="s">
        <v>1544</v>
      </c>
      <c r="I9056" s="6" t="s">
        <v>32</v>
      </c>
      <c r="J9056" s="6">
        <v>16.054935</v>
      </c>
      <c r="K9056" s="6">
        <v>-95.476693999999995</v>
      </c>
      <c r="L9056" s="6" t="str">
        <f>HYPERLINK("https://maps.google.com/?q=16.054935,-95.476693999999995", "🔗 Ver Mapa")</f>
        <v>🔗 Ver Mapa</v>
      </c>
    </row>
    <row r="9057" spans="1:12" ht="43.5" x14ac:dyDescent="0.35">
      <c r="A9057" s="5" t="s">
        <v>516</v>
      </c>
      <c r="B9057" s="5" t="s">
        <v>517</v>
      </c>
      <c r="C9057" s="5" t="s">
        <v>1543</v>
      </c>
      <c r="D9057" s="5" t="s">
        <v>13</v>
      </c>
      <c r="E9057" s="5" t="s">
        <v>158</v>
      </c>
      <c r="F9057" s="5" t="s">
        <v>166</v>
      </c>
      <c r="G9057" s="5" t="s">
        <v>167</v>
      </c>
      <c r="H9057" s="5" t="s">
        <v>1544</v>
      </c>
      <c r="I9057" s="5" t="s">
        <v>32</v>
      </c>
      <c r="J9057" s="5">
        <v>16.055054999999999</v>
      </c>
      <c r="K9057" s="5">
        <v>-95.476089000000002</v>
      </c>
      <c r="L9057" s="5" t="str">
        <f>HYPERLINK("https://maps.google.com/?q=16.055055,-95.476089000000002", "🔗 Ver Mapa")</f>
        <v>🔗 Ver Mapa</v>
      </c>
    </row>
    <row r="9058" spans="1:12" ht="43.5" x14ac:dyDescent="0.35">
      <c r="A9058" s="6" t="s">
        <v>516</v>
      </c>
      <c r="B9058" s="6" t="s">
        <v>517</v>
      </c>
      <c r="C9058" s="6" t="s">
        <v>1543</v>
      </c>
      <c r="D9058" s="6" t="s">
        <v>13</v>
      </c>
      <c r="E9058" s="6" t="s">
        <v>158</v>
      </c>
      <c r="F9058" s="6" t="s">
        <v>166</v>
      </c>
      <c r="G9058" s="6" t="s">
        <v>167</v>
      </c>
      <c r="H9058" s="6" t="s">
        <v>1544</v>
      </c>
      <c r="I9058" s="6" t="s">
        <v>32</v>
      </c>
      <c r="J9058" s="6">
        <v>16.055129999999998</v>
      </c>
      <c r="K9058" s="6">
        <v>-95.475713999999996</v>
      </c>
      <c r="L9058" s="6" t="str">
        <f>HYPERLINK("https://maps.google.com/?q=16.05513,-95.475713999999996", "🔗 Ver Mapa")</f>
        <v>🔗 Ver Mapa</v>
      </c>
    </row>
    <row r="9059" spans="1:12" ht="43.5" x14ac:dyDescent="0.35">
      <c r="A9059" s="5" t="s">
        <v>516</v>
      </c>
      <c r="B9059" s="5" t="s">
        <v>517</v>
      </c>
      <c r="C9059" s="5" t="s">
        <v>1543</v>
      </c>
      <c r="D9059" s="5" t="s">
        <v>13</v>
      </c>
      <c r="E9059" s="5" t="s">
        <v>158</v>
      </c>
      <c r="F9059" s="5" t="s">
        <v>166</v>
      </c>
      <c r="G9059" s="5" t="s">
        <v>167</v>
      </c>
      <c r="H9059" s="5" t="s">
        <v>1544</v>
      </c>
      <c r="I9059" s="5" t="s">
        <v>32</v>
      </c>
      <c r="J9059" s="5">
        <v>16.055461999999999</v>
      </c>
      <c r="K9059" s="5">
        <v>-95.487959000000004</v>
      </c>
      <c r="L9059" s="5" t="str">
        <f>HYPERLINK("https://maps.google.com/?q=16.055462,-95.487959000000004", "🔗 Ver Mapa")</f>
        <v>🔗 Ver Mapa</v>
      </c>
    </row>
    <row r="9060" spans="1:12" ht="43.5" x14ac:dyDescent="0.35">
      <c r="A9060" s="6" t="s">
        <v>516</v>
      </c>
      <c r="B9060" s="6" t="s">
        <v>517</v>
      </c>
      <c r="C9060" s="6" t="s">
        <v>1543</v>
      </c>
      <c r="D9060" s="6" t="s">
        <v>13</v>
      </c>
      <c r="E9060" s="6" t="s">
        <v>158</v>
      </c>
      <c r="F9060" s="6" t="s">
        <v>166</v>
      </c>
      <c r="G9060" s="6" t="s">
        <v>167</v>
      </c>
      <c r="H9060" s="6" t="s">
        <v>1544</v>
      </c>
      <c r="I9060" s="6" t="s">
        <v>32</v>
      </c>
      <c r="J9060" s="6">
        <v>16.055897000000002</v>
      </c>
      <c r="K9060" s="6">
        <v>-95.460620000000006</v>
      </c>
      <c r="L9060" s="6" t="str">
        <f>HYPERLINK("https://maps.google.com/?q=16.055897,-95.460620000000006", "🔗 Ver Mapa")</f>
        <v>🔗 Ver Mapa</v>
      </c>
    </row>
    <row r="9061" spans="1:12" ht="43.5" x14ac:dyDescent="0.35">
      <c r="A9061" s="5" t="s">
        <v>516</v>
      </c>
      <c r="B9061" s="5" t="s">
        <v>517</v>
      </c>
      <c r="C9061" s="5" t="s">
        <v>1543</v>
      </c>
      <c r="D9061" s="5" t="s">
        <v>13</v>
      </c>
      <c r="E9061" s="5" t="s">
        <v>158</v>
      </c>
      <c r="F9061" s="5" t="s">
        <v>166</v>
      </c>
      <c r="G9061" s="5" t="s">
        <v>167</v>
      </c>
      <c r="H9061" s="5" t="s">
        <v>1544</v>
      </c>
      <c r="I9061" s="5" t="s">
        <v>32</v>
      </c>
      <c r="J9061" s="5">
        <v>16.056000999999998</v>
      </c>
      <c r="K9061" s="5">
        <v>-95.460448999999997</v>
      </c>
      <c r="L9061" s="5" t="str">
        <f>HYPERLINK("https://maps.google.com/?q=16.056001,-95.460448999999997", "🔗 Ver Mapa")</f>
        <v>🔗 Ver Mapa</v>
      </c>
    </row>
    <row r="9062" spans="1:12" ht="43.5" x14ac:dyDescent="0.35">
      <c r="A9062" s="6" t="s">
        <v>516</v>
      </c>
      <c r="B9062" s="6" t="s">
        <v>517</v>
      </c>
      <c r="C9062" s="6" t="s">
        <v>1543</v>
      </c>
      <c r="D9062" s="6" t="s">
        <v>13</v>
      </c>
      <c r="E9062" s="6" t="s">
        <v>158</v>
      </c>
      <c r="F9062" s="6" t="s">
        <v>166</v>
      </c>
      <c r="G9062" s="6" t="s">
        <v>167</v>
      </c>
      <c r="H9062" s="6" t="s">
        <v>1544</v>
      </c>
      <c r="I9062" s="6" t="s">
        <v>32</v>
      </c>
      <c r="J9062" s="6">
        <v>16.056189</v>
      </c>
      <c r="K9062" s="6">
        <v>-95.453839000000002</v>
      </c>
      <c r="L9062" s="6" t="str">
        <f>HYPERLINK("https://maps.google.com/?q=16.056189,-95.453839000000002", "🔗 Ver Mapa")</f>
        <v>🔗 Ver Mapa</v>
      </c>
    </row>
    <row r="9063" spans="1:12" ht="43.5" x14ac:dyDescent="0.35">
      <c r="A9063" s="5" t="s">
        <v>516</v>
      </c>
      <c r="B9063" s="5" t="s">
        <v>517</v>
      </c>
      <c r="C9063" s="5" t="s">
        <v>1543</v>
      </c>
      <c r="D9063" s="5" t="s">
        <v>13</v>
      </c>
      <c r="E9063" s="5" t="s">
        <v>158</v>
      </c>
      <c r="F9063" s="5" t="s">
        <v>166</v>
      </c>
      <c r="G9063" s="5" t="s">
        <v>167</v>
      </c>
      <c r="H9063" s="5" t="s">
        <v>1544</v>
      </c>
      <c r="I9063" s="5" t="s">
        <v>32</v>
      </c>
      <c r="J9063" s="5">
        <v>16.056273000000001</v>
      </c>
      <c r="K9063" s="5">
        <v>-95.454487</v>
      </c>
      <c r="L9063" s="5" t="str">
        <f>HYPERLINK("https://maps.google.com/?q=16.056273,-95.454487", "🔗 Ver Mapa")</f>
        <v>🔗 Ver Mapa</v>
      </c>
    </row>
    <row r="9064" spans="1:12" ht="43.5" x14ac:dyDescent="0.35">
      <c r="A9064" s="6" t="s">
        <v>516</v>
      </c>
      <c r="B9064" s="6" t="s">
        <v>517</v>
      </c>
      <c r="C9064" s="6" t="s">
        <v>1543</v>
      </c>
      <c r="D9064" s="6" t="s">
        <v>13</v>
      </c>
      <c r="E9064" s="6" t="s">
        <v>158</v>
      </c>
      <c r="F9064" s="6" t="s">
        <v>166</v>
      </c>
      <c r="G9064" s="6" t="s">
        <v>167</v>
      </c>
      <c r="H9064" s="6" t="s">
        <v>1544</v>
      </c>
      <c r="I9064" s="6" t="s">
        <v>32</v>
      </c>
      <c r="J9064" s="6">
        <v>16.056286</v>
      </c>
      <c r="K9064" s="6">
        <v>-95.455246000000002</v>
      </c>
      <c r="L9064" s="6" t="str">
        <f>HYPERLINK("https://maps.google.com/?q=16.056286,-95.455246000000002", "🔗 Ver Mapa")</f>
        <v>🔗 Ver Mapa</v>
      </c>
    </row>
    <row r="9065" spans="1:12" ht="43.5" x14ac:dyDescent="0.35">
      <c r="A9065" s="5" t="s">
        <v>516</v>
      </c>
      <c r="B9065" s="5" t="s">
        <v>517</v>
      </c>
      <c r="C9065" s="5" t="s">
        <v>1543</v>
      </c>
      <c r="D9065" s="5" t="s">
        <v>13</v>
      </c>
      <c r="E9065" s="5" t="s">
        <v>158</v>
      </c>
      <c r="F9065" s="5" t="s">
        <v>166</v>
      </c>
      <c r="G9065" s="5" t="s">
        <v>167</v>
      </c>
      <c r="H9065" s="5" t="s">
        <v>1544</v>
      </c>
      <c r="I9065" s="5" t="s">
        <v>32</v>
      </c>
      <c r="J9065" s="5">
        <v>16.056298999999999</v>
      </c>
      <c r="K9065" s="5">
        <v>-95.459244999999996</v>
      </c>
      <c r="L9065" s="5" t="str">
        <f>HYPERLINK("https://maps.google.com/?q=16.056299,-95.459244999999996", "🔗 Ver Mapa")</f>
        <v>🔗 Ver Mapa</v>
      </c>
    </row>
    <row r="9066" spans="1:12" ht="43.5" x14ac:dyDescent="0.35">
      <c r="A9066" s="6" t="s">
        <v>516</v>
      </c>
      <c r="B9066" s="6" t="s">
        <v>517</v>
      </c>
      <c r="C9066" s="6" t="s">
        <v>1543</v>
      </c>
      <c r="D9066" s="6" t="s">
        <v>13</v>
      </c>
      <c r="E9066" s="6" t="s">
        <v>158</v>
      </c>
      <c r="F9066" s="6" t="s">
        <v>166</v>
      </c>
      <c r="G9066" s="6" t="s">
        <v>167</v>
      </c>
      <c r="H9066" s="6" t="s">
        <v>1544</v>
      </c>
      <c r="I9066" s="6" t="s">
        <v>32</v>
      </c>
      <c r="J9066" s="6">
        <v>16.056325999999999</v>
      </c>
      <c r="K9066" s="6">
        <v>-95.488732999999996</v>
      </c>
      <c r="L9066" s="6" t="str">
        <f>HYPERLINK("https://maps.google.com/?q=16.056326,-95.488732999999996", "🔗 Ver Mapa")</f>
        <v>🔗 Ver Mapa</v>
      </c>
    </row>
    <row r="9067" spans="1:12" ht="43.5" x14ac:dyDescent="0.35">
      <c r="A9067" s="5" t="s">
        <v>516</v>
      </c>
      <c r="B9067" s="5" t="s">
        <v>517</v>
      </c>
      <c r="C9067" s="5" t="s">
        <v>1543</v>
      </c>
      <c r="D9067" s="5" t="s">
        <v>13</v>
      </c>
      <c r="E9067" s="5" t="s">
        <v>158</v>
      </c>
      <c r="F9067" s="5" t="s">
        <v>166</v>
      </c>
      <c r="G9067" s="5" t="s">
        <v>167</v>
      </c>
      <c r="H9067" s="5" t="s">
        <v>1544</v>
      </c>
      <c r="I9067" s="5" t="s">
        <v>32</v>
      </c>
      <c r="J9067" s="5">
        <v>16.056574000000001</v>
      </c>
      <c r="K9067" s="5">
        <v>-95.456574000000003</v>
      </c>
      <c r="L9067" s="5" t="str">
        <f>HYPERLINK("https://maps.google.com/?q=16.056574,-95.456574000000003", "🔗 Ver Mapa")</f>
        <v>🔗 Ver Mapa</v>
      </c>
    </row>
    <row r="9068" spans="1:12" ht="43.5" x14ac:dyDescent="0.35">
      <c r="A9068" s="6" t="s">
        <v>516</v>
      </c>
      <c r="B9068" s="6" t="s">
        <v>517</v>
      </c>
      <c r="C9068" s="6" t="s">
        <v>1543</v>
      </c>
      <c r="D9068" s="6" t="s">
        <v>13</v>
      </c>
      <c r="E9068" s="6" t="s">
        <v>158</v>
      </c>
      <c r="F9068" s="6" t="s">
        <v>166</v>
      </c>
      <c r="G9068" s="6" t="s">
        <v>167</v>
      </c>
      <c r="H9068" s="6" t="s">
        <v>1544</v>
      </c>
      <c r="I9068" s="6" t="s">
        <v>32</v>
      </c>
      <c r="J9068" s="6">
        <v>16.056629999999998</v>
      </c>
      <c r="K9068" s="6">
        <v>-95.457524000000006</v>
      </c>
      <c r="L9068" s="6" t="str">
        <f>HYPERLINK("https://maps.google.com/?q=16.05663,-95.457524000000006", "🔗 Ver Mapa")</f>
        <v>🔗 Ver Mapa</v>
      </c>
    </row>
    <row r="9069" spans="1:12" ht="43.5" x14ac:dyDescent="0.35">
      <c r="A9069" s="5" t="s">
        <v>516</v>
      </c>
      <c r="B9069" s="5" t="s">
        <v>517</v>
      </c>
      <c r="C9069" s="5" t="s">
        <v>1543</v>
      </c>
      <c r="D9069" s="5" t="s">
        <v>13</v>
      </c>
      <c r="E9069" s="5" t="s">
        <v>158</v>
      </c>
      <c r="F9069" s="5" t="s">
        <v>166</v>
      </c>
      <c r="G9069" s="5" t="s">
        <v>167</v>
      </c>
      <c r="H9069" s="5" t="s">
        <v>1544</v>
      </c>
      <c r="I9069" s="5" t="s">
        <v>32</v>
      </c>
      <c r="J9069" s="5">
        <v>16.057289999999998</v>
      </c>
      <c r="K9069" s="5">
        <v>-95.489131999999998</v>
      </c>
      <c r="L9069" s="5" t="str">
        <f>HYPERLINK("https://maps.google.com/?q=16.05729,-95.489131999999998", "🔗 Ver Mapa")</f>
        <v>🔗 Ver Mapa</v>
      </c>
    </row>
    <row r="9070" spans="1:12" ht="43.5" x14ac:dyDescent="0.35">
      <c r="A9070" s="6" t="s">
        <v>516</v>
      </c>
      <c r="B9070" s="6" t="s">
        <v>517</v>
      </c>
      <c r="C9070" s="6" t="s">
        <v>1543</v>
      </c>
      <c r="D9070" s="6" t="s">
        <v>13</v>
      </c>
      <c r="E9070" s="6" t="s">
        <v>158</v>
      </c>
      <c r="F9070" s="6" t="s">
        <v>166</v>
      </c>
      <c r="G9070" s="6" t="s">
        <v>167</v>
      </c>
      <c r="H9070" s="6" t="s">
        <v>1544</v>
      </c>
      <c r="I9070" s="6" t="s">
        <v>32</v>
      </c>
      <c r="J9070" s="6">
        <v>16.057952</v>
      </c>
      <c r="K9070" s="6">
        <v>-95.490408000000002</v>
      </c>
      <c r="L9070" s="6" t="str">
        <f>HYPERLINK("https://maps.google.com/?q=16.057952,-95.490408000000002", "🔗 Ver Mapa")</f>
        <v>🔗 Ver Mapa</v>
      </c>
    </row>
    <row r="9071" spans="1:12" ht="43.5" x14ac:dyDescent="0.35">
      <c r="A9071" s="5" t="s">
        <v>516</v>
      </c>
      <c r="B9071" s="5" t="s">
        <v>517</v>
      </c>
      <c r="C9071" s="5" t="s">
        <v>1543</v>
      </c>
      <c r="D9071" s="5" t="s">
        <v>13</v>
      </c>
      <c r="E9071" s="5" t="s">
        <v>158</v>
      </c>
      <c r="F9071" s="5" t="s">
        <v>166</v>
      </c>
      <c r="G9071" s="5" t="s">
        <v>167</v>
      </c>
      <c r="H9071" s="5" t="s">
        <v>1544</v>
      </c>
      <c r="I9071" s="5" t="s">
        <v>32</v>
      </c>
      <c r="J9071" s="5">
        <v>16.058526000000001</v>
      </c>
      <c r="K9071" s="5">
        <v>-95.491546</v>
      </c>
      <c r="L9071" s="5" t="str">
        <f>HYPERLINK("https://maps.google.com/?q=16.058526,-95.491546", "🔗 Ver Mapa")</f>
        <v>🔗 Ver Mapa</v>
      </c>
    </row>
    <row r="9072" spans="1:12" ht="43.5" x14ac:dyDescent="0.35">
      <c r="A9072" s="6" t="s">
        <v>516</v>
      </c>
      <c r="B9072" s="6" t="s">
        <v>517</v>
      </c>
      <c r="C9072" s="6" t="s">
        <v>1543</v>
      </c>
      <c r="D9072" s="6" t="s">
        <v>13</v>
      </c>
      <c r="E9072" s="6" t="s">
        <v>158</v>
      </c>
      <c r="F9072" s="6" t="s">
        <v>166</v>
      </c>
      <c r="G9072" s="6" t="s">
        <v>167</v>
      </c>
      <c r="H9072" s="6" t="s">
        <v>1544</v>
      </c>
      <c r="I9072" s="6" t="s">
        <v>32</v>
      </c>
      <c r="J9072" s="6">
        <v>16.058959000000002</v>
      </c>
      <c r="K9072" s="6">
        <v>-95.492211999999995</v>
      </c>
      <c r="L9072" s="6" t="str">
        <f>HYPERLINK("https://maps.google.com/?q=16.058959,-95.492211999999995", "🔗 Ver Mapa")</f>
        <v>🔗 Ver Mapa</v>
      </c>
    </row>
    <row r="9073" spans="1:12" ht="43.5" x14ac:dyDescent="0.35">
      <c r="A9073" s="5" t="s">
        <v>516</v>
      </c>
      <c r="B9073" s="5" t="s">
        <v>517</v>
      </c>
      <c r="C9073" s="5" t="s">
        <v>1543</v>
      </c>
      <c r="D9073" s="5" t="s">
        <v>13</v>
      </c>
      <c r="E9073" s="5" t="s">
        <v>158</v>
      </c>
      <c r="F9073" s="5" t="s">
        <v>166</v>
      </c>
      <c r="G9073" s="5" t="s">
        <v>167</v>
      </c>
      <c r="H9073" s="5" t="s">
        <v>1544</v>
      </c>
      <c r="I9073" s="5" t="s">
        <v>32</v>
      </c>
      <c r="J9073" s="5">
        <v>16.05932</v>
      </c>
      <c r="K9073" s="5">
        <v>-95.492890000000003</v>
      </c>
      <c r="L9073" s="5" t="str">
        <f>HYPERLINK("https://maps.google.com/?q=16.05932,-95.492890000000003", "🔗 Ver Mapa")</f>
        <v>🔗 Ver Mapa</v>
      </c>
    </row>
    <row r="9074" spans="1:12" ht="43.5" x14ac:dyDescent="0.35">
      <c r="A9074" s="6" t="s">
        <v>516</v>
      </c>
      <c r="B9074" s="6" t="s">
        <v>517</v>
      </c>
      <c r="C9074" s="6" t="s">
        <v>1543</v>
      </c>
      <c r="D9074" s="6" t="s">
        <v>13</v>
      </c>
      <c r="E9074" s="6" t="s">
        <v>158</v>
      </c>
      <c r="F9074" s="6" t="s">
        <v>166</v>
      </c>
      <c r="G9074" s="6" t="s">
        <v>167</v>
      </c>
      <c r="H9074" s="6" t="s">
        <v>1544</v>
      </c>
      <c r="I9074" s="6" t="s">
        <v>32</v>
      </c>
      <c r="J9074" s="6">
        <v>16.059669</v>
      </c>
      <c r="K9074" s="6">
        <v>-95.493117999999996</v>
      </c>
      <c r="L9074" s="6" t="str">
        <f>HYPERLINK("https://maps.google.com/?q=16.059669,-95.493117999999996", "🔗 Ver Mapa")</f>
        <v>🔗 Ver Mapa</v>
      </c>
    </row>
    <row r="9075" spans="1:12" ht="43.5" x14ac:dyDescent="0.35">
      <c r="A9075" s="5" t="s">
        <v>516</v>
      </c>
      <c r="B9075" s="5" t="s">
        <v>517</v>
      </c>
      <c r="C9075" s="5" t="s">
        <v>1543</v>
      </c>
      <c r="D9075" s="5" t="s">
        <v>13</v>
      </c>
      <c r="E9075" s="5" t="s">
        <v>158</v>
      </c>
      <c r="F9075" s="5" t="s">
        <v>166</v>
      </c>
      <c r="G9075" s="5" t="s">
        <v>167</v>
      </c>
      <c r="H9075" s="5" t="s">
        <v>1544</v>
      </c>
      <c r="I9075" s="5" t="s">
        <v>32</v>
      </c>
      <c r="J9075" s="5">
        <v>16.059753000000001</v>
      </c>
      <c r="K9075" s="5">
        <v>-95.493160000000003</v>
      </c>
      <c r="L9075" s="5" t="str">
        <f>HYPERLINK("https://maps.google.com/?q=16.059753,-95.493160000000003", "🔗 Ver Mapa")</f>
        <v>🔗 Ver Mapa</v>
      </c>
    </row>
    <row r="9076" spans="1:12" ht="43.5" x14ac:dyDescent="0.35">
      <c r="A9076" s="6" t="s">
        <v>516</v>
      </c>
      <c r="B9076" s="6" t="s">
        <v>517</v>
      </c>
      <c r="C9076" s="6" t="s">
        <v>1543</v>
      </c>
      <c r="D9076" s="6" t="s">
        <v>13</v>
      </c>
      <c r="E9076" s="6" t="s">
        <v>158</v>
      </c>
      <c r="F9076" s="6" t="s">
        <v>166</v>
      </c>
      <c r="G9076" s="6" t="s">
        <v>167</v>
      </c>
      <c r="H9076" s="6" t="s">
        <v>1544</v>
      </c>
      <c r="I9076" s="6" t="s">
        <v>32</v>
      </c>
      <c r="J9076" s="6">
        <v>16.060199999999998</v>
      </c>
      <c r="K9076" s="6">
        <v>-95.494011</v>
      </c>
      <c r="L9076" s="6" t="str">
        <f>HYPERLINK("https://maps.google.com/?q=16.0602,-95.494011", "🔗 Ver Mapa")</f>
        <v>🔗 Ver Mapa</v>
      </c>
    </row>
    <row r="9077" spans="1:12" ht="43.5" x14ac:dyDescent="0.35">
      <c r="A9077" s="5" t="s">
        <v>516</v>
      </c>
      <c r="B9077" s="5" t="s">
        <v>517</v>
      </c>
      <c r="C9077" s="5" t="s">
        <v>1543</v>
      </c>
      <c r="D9077" s="5" t="s">
        <v>13</v>
      </c>
      <c r="E9077" s="5" t="s">
        <v>158</v>
      </c>
      <c r="F9077" s="5" t="s">
        <v>166</v>
      </c>
      <c r="G9077" s="5" t="s">
        <v>167</v>
      </c>
      <c r="H9077" s="5" t="s">
        <v>1544</v>
      </c>
      <c r="I9077" s="5" t="s">
        <v>32</v>
      </c>
      <c r="J9077" s="5">
        <v>16.060628000000001</v>
      </c>
      <c r="K9077" s="5">
        <v>-95.495787000000007</v>
      </c>
      <c r="L9077" s="5" t="str">
        <f>HYPERLINK("https://maps.google.com/?q=16.060628,-95.495787000000007", "🔗 Ver Mapa")</f>
        <v>🔗 Ver Mapa</v>
      </c>
    </row>
    <row r="9078" spans="1:12" ht="43.5" x14ac:dyDescent="0.35">
      <c r="A9078" s="6" t="s">
        <v>516</v>
      </c>
      <c r="B9078" s="6" t="s">
        <v>517</v>
      </c>
      <c r="C9078" s="6" t="s">
        <v>1543</v>
      </c>
      <c r="D9078" s="6" t="s">
        <v>13</v>
      </c>
      <c r="E9078" s="6" t="s">
        <v>158</v>
      </c>
      <c r="F9078" s="6" t="s">
        <v>166</v>
      </c>
      <c r="G9078" s="6" t="s">
        <v>167</v>
      </c>
      <c r="H9078" s="6" t="s">
        <v>1544</v>
      </c>
      <c r="I9078" s="6" t="s">
        <v>32</v>
      </c>
      <c r="J9078" s="6">
        <v>16.060692</v>
      </c>
      <c r="K9078" s="6">
        <v>-95.494988000000006</v>
      </c>
      <c r="L9078" s="6" t="str">
        <f>HYPERLINK("https://maps.google.com/?q=16.060692,-95.494988000000006", "🔗 Ver Mapa")</f>
        <v>🔗 Ver Mapa</v>
      </c>
    </row>
    <row r="9079" spans="1:12" ht="43.5" x14ac:dyDescent="0.35">
      <c r="A9079" s="5" t="s">
        <v>516</v>
      </c>
      <c r="B9079" s="5" t="s">
        <v>517</v>
      </c>
      <c r="C9079" s="5" t="s">
        <v>1543</v>
      </c>
      <c r="D9079" s="5" t="s">
        <v>13</v>
      </c>
      <c r="E9079" s="5" t="s">
        <v>158</v>
      </c>
      <c r="F9079" s="5" t="s">
        <v>166</v>
      </c>
      <c r="G9079" s="5" t="s">
        <v>167</v>
      </c>
      <c r="H9079" s="5" t="s">
        <v>1544</v>
      </c>
      <c r="I9079" s="5" t="s">
        <v>32</v>
      </c>
      <c r="J9079" s="5">
        <v>16.060911999999998</v>
      </c>
      <c r="K9079" s="5">
        <v>-95.496533999999997</v>
      </c>
      <c r="L9079" s="5" t="str">
        <f>HYPERLINK("https://maps.google.com/?q=16.060912,-95.496533999999997", "🔗 Ver Mapa")</f>
        <v>🔗 Ver Mapa</v>
      </c>
    </row>
    <row r="9080" spans="1:12" ht="43.5" x14ac:dyDescent="0.35">
      <c r="A9080" s="6" t="s">
        <v>516</v>
      </c>
      <c r="B9080" s="6" t="s">
        <v>517</v>
      </c>
      <c r="C9080" s="6" t="s">
        <v>1543</v>
      </c>
      <c r="D9080" s="6" t="s">
        <v>13</v>
      </c>
      <c r="E9080" s="6" t="s">
        <v>158</v>
      </c>
      <c r="F9080" s="6" t="s">
        <v>166</v>
      </c>
      <c r="G9080" s="6" t="s">
        <v>167</v>
      </c>
      <c r="H9080" s="6" t="s">
        <v>1544</v>
      </c>
      <c r="I9080" s="6" t="s">
        <v>32</v>
      </c>
      <c r="J9080" s="6">
        <v>16.061275999999999</v>
      </c>
      <c r="K9080" s="6">
        <v>-95.497168000000002</v>
      </c>
      <c r="L9080" s="6" t="str">
        <f>HYPERLINK("https://maps.google.com/?q=16.061276,-95.497168000000002", "🔗 Ver Mapa")</f>
        <v>🔗 Ver Mapa</v>
      </c>
    </row>
    <row r="9081" spans="1:12" ht="43.5" x14ac:dyDescent="0.35">
      <c r="A9081" s="5" t="s">
        <v>516</v>
      </c>
      <c r="B9081" s="5" t="s">
        <v>517</v>
      </c>
      <c r="C9081" s="5" t="s">
        <v>1543</v>
      </c>
      <c r="D9081" s="5" t="s">
        <v>13</v>
      </c>
      <c r="E9081" s="5" t="s">
        <v>158</v>
      </c>
      <c r="F9081" s="5" t="s">
        <v>166</v>
      </c>
      <c r="G9081" s="5" t="s">
        <v>167</v>
      </c>
      <c r="H9081" s="5" t="s">
        <v>1544</v>
      </c>
      <c r="I9081" s="5" t="s">
        <v>32</v>
      </c>
      <c r="J9081" s="5">
        <v>16.061398000000001</v>
      </c>
      <c r="K9081" s="5">
        <v>-95.497805999999997</v>
      </c>
      <c r="L9081" s="5" t="str">
        <f>HYPERLINK("https://maps.google.com/?q=16.061398,-95.497805999999997", "🔗 Ver Mapa")</f>
        <v>🔗 Ver Mapa</v>
      </c>
    </row>
    <row r="9082" spans="1:12" ht="43.5" x14ac:dyDescent="0.35">
      <c r="A9082" s="6" t="s">
        <v>516</v>
      </c>
      <c r="B9082" s="6" t="s">
        <v>517</v>
      </c>
      <c r="C9082" s="6" t="s">
        <v>1543</v>
      </c>
      <c r="D9082" s="6" t="s">
        <v>13</v>
      </c>
      <c r="E9082" s="6" t="s">
        <v>158</v>
      </c>
      <c r="F9082" s="6" t="s">
        <v>166</v>
      </c>
      <c r="G9082" s="6" t="s">
        <v>167</v>
      </c>
      <c r="H9082" s="6" t="s">
        <v>1544</v>
      </c>
      <c r="I9082" s="6" t="s">
        <v>32</v>
      </c>
      <c r="J9082" s="6">
        <v>16.062172</v>
      </c>
      <c r="K9082" s="6">
        <v>-95.498632999999998</v>
      </c>
      <c r="L9082" s="6" t="str">
        <f>HYPERLINK("https://maps.google.com/?q=16.062172,-95.498632999999998", "🔗 Ver Mapa")</f>
        <v>🔗 Ver Mapa</v>
      </c>
    </row>
    <row r="9083" spans="1:12" ht="43.5" x14ac:dyDescent="0.35">
      <c r="A9083" s="5" t="s">
        <v>516</v>
      </c>
      <c r="B9083" s="5" t="s">
        <v>517</v>
      </c>
      <c r="C9083" s="5" t="s">
        <v>1543</v>
      </c>
      <c r="D9083" s="5" t="s">
        <v>13</v>
      </c>
      <c r="E9083" s="5" t="s">
        <v>158</v>
      </c>
      <c r="F9083" s="5" t="s">
        <v>166</v>
      </c>
      <c r="G9083" s="5" t="s">
        <v>167</v>
      </c>
      <c r="H9083" s="5" t="s">
        <v>1544</v>
      </c>
      <c r="I9083" s="5" t="s">
        <v>32</v>
      </c>
      <c r="J9083" s="5">
        <v>16.062691000000001</v>
      </c>
      <c r="K9083" s="5">
        <v>-95.499020999999999</v>
      </c>
      <c r="L9083" s="5" t="str">
        <f>HYPERLINK("https://maps.google.com/?q=16.062691,-95.499020999999999", "🔗 Ver Mapa")</f>
        <v>🔗 Ver Mapa</v>
      </c>
    </row>
    <row r="9084" spans="1:12" ht="43.5" x14ac:dyDescent="0.35">
      <c r="A9084" s="6" t="s">
        <v>516</v>
      </c>
      <c r="B9084" s="6" t="s">
        <v>517</v>
      </c>
      <c r="C9084" s="6" t="s">
        <v>1543</v>
      </c>
      <c r="D9084" s="6" t="s">
        <v>13</v>
      </c>
      <c r="E9084" s="6" t="s">
        <v>158</v>
      </c>
      <c r="F9084" s="6" t="s">
        <v>166</v>
      </c>
      <c r="G9084" s="6" t="s">
        <v>167</v>
      </c>
      <c r="H9084" s="6" t="s">
        <v>1544</v>
      </c>
      <c r="I9084" s="6" t="s">
        <v>32</v>
      </c>
      <c r="J9084" s="6">
        <v>16.062887</v>
      </c>
      <c r="K9084" s="6">
        <v>-95.499431999999999</v>
      </c>
      <c r="L9084" s="6" t="str">
        <f>HYPERLINK("https://maps.google.com/?q=16.062887,-95.499431999999999", "🔗 Ver Mapa")</f>
        <v>🔗 Ver Mapa</v>
      </c>
    </row>
    <row r="9085" spans="1:12" ht="43.5" x14ac:dyDescent="0.35">
      <c r="A9085" s="5" t="s">
        <v>516</v>
      </c>
      <c r="B9085" s="5" t="s">
        <v>517</v>
      </c>
      <c r="C9085" s="5" t="s">
        <v>1543</v>
      </c>
      <c r="D9085" s="5" t="s">
        <v>13</v>
      </c>
      <c r="E9085" s="5" t="s">
        <v>158</v>
      </c>
      <c r="F9085" s="5" t="s">
        <v>166</v>
      </c>
      <c r="G9085" s="5" t="s">
        <v>167</v>
      </c>
      <c r="H9085" s="5" t="s">
        <v>1544</v>
      </c>
      <c r="I9085" s="5" t="s">
        <v>32</v>
      </c>
      <c r="J9085" s="5">
        <v>16.063154000000001</v>
      </c>
      <c r="K9085" s="5">
        <v>-95.499697999999995</v>
      </c>
      <c r="L9085" s="5" t="str">
        <f>HYPERLINK("https://maps.google.com/?q=16.063154,-95.499697999999995", "🔗 Ver Mapa")</f>
        <v>🔗 Ver Mapa</v>
      </c>
    </row>
    <row r="9086" spans="1:12" ht="43.5" x14ac:dyDescent="0.35">
      <c r="A9086" s="6" t="s">
        <v>516</v>
      </c>
      <c r="B9086" s="6" t="s">
        <v>517</v>
      </c>
      <c r="C9086" s="6" t="s">
        <v>1543</v>
      </c>
      <c r="D9086" s="6" t="s">
        <v>13</v>
      </c>
      <c r="E9086" s="6" t="s">
        <v>158</v>
      </c>
      <c r="F9086" s="6" t="s">
        <v>166</v>
      </c>
      <c r="G9086" s="6" t="s">
        <v>167</v>
      </c>
      <c r="H9086" s="6" t="s">
        <v>1544</v>
      </c>
      <c r="I9086" s="6" t="s">
        <v>32</v>
      </c>
      <c r="J9086" s="6">
        <v>16.063293999999999</v>
      </c>
      <c r="K9086" s="6">
        <v>-95.499932000000001</v>
      </c>
      <c r="L9086" s="6" t="str">
        <f>HYPERLINK("https://maps.google.com/?q=16.063294,-95.499932000000001", "🔗 Ver Mapa")</f>
        <v>🔗 Ver Mapa</v>
      </c>
    </row>
    <row r="9087" spans="1:12" ht="43.5" x14ac:dyDescent="0.35">
      <c r="A9087" s="5" t="s">
        <v>516</v>
      </c>
      <c r="B9087" s="5" t="s">
        <v>517</v>
      </c>
      <c r="C9087" s="5" t="s">
        <v>1543</v>
      </c>
      <c r="D9087" s="5" t="s">
        <v>13</v>
      </c>
      <c r="E9087" s="5" t="s">
        <v>158</v>
      </c>
      <c r="F9087" s="5" t="s">
        <v>166</v>
      </c>
      <c r="G9087" s="5" t="s">
        <v>167</v>
      </c>
      <c r="H9087" s="5" t="s">
        <v>1544</v>
      </c>
      <c r="I9087" s="5" t="s">
        <v>32</v>
      </c>
      <c r="J9087" s="5">
        <v>16.063669999999998</v>
      </c>
      <c r="K9087" s="5">
        <v>-95.500169999999997</v>
      </c>
      <c r="L9087" s="5" t="str">
        <f>HYPERLINK("https://maps.google.com/?q=16.06367,-95.500169999999997", "🔗 Ver Mapa")</f>
        <v>🔗 Ver Mapa</v>
      </c>
    </row>
    <row r="9088" spans="1:12" ht="43.5" x14ac:dyDescent="0.35">
      <c r="A9088" s="6" t="s">
        <v>516</v>
      </c>
      <c r="B9088" s="6" t="s">
        <v>517</v>
      </c>
      <c r="C9088" s="6" t="s">
        <v>1543</v>
      </c>
      <c r="D9088" s="6" t="s">
        <v>13</v>
      </c>
      <c r="E9088" s="6" t="s">
        <v>158</v>
      </c>
      <c r="F9088" s="6" t="s">
        <v>166</v>
      </c>
      <c r="G9088" s="6" t="s">
        <v>167</v>
      </c>
      <c r="H9088" s="6" t="s">
        <v>1544</v>
      </c>
      <c r="I9088" s="6" t="s">
        <v>32</v>
      </c>
      <c r="J9088" s="6">
        <v>16.063731000000001</v>
      </c>
      <c r="K9088" s="6">
        <v>-95.500204999999994</v>
      </c>
      <c r="L9088" s="6" t="str">
        <f>HYPERLINK("https://maps.google.com/?q=16.063731,-95.500204999999994", "🔗 Ver Mapa")</f>
        <v>🔗 Ver Mapa</v>
      </c>
    </row>
    <row r="9089" spans="1:12" ht="43.5" x14ac:dyDescent="0.35">
      <c r="A9089" s="5" t="s">
        <v>516</v>
      </c>
      <c r="B9089" s="5" t="s">
        <v>517</v>
      </c>
      <c r="C9089" s="5" t="s">
        <v>1543</v>
      </c>
      <c r="D9089" s="5" t="s">
        <v>13</v>
      </c>
      <c r="E9089" s="5" t="s">
        <v>158</v>
      </c>
      <c r="F9089" s="5" t="s">
        <v>166</v>
      </c>
      <c r="G9089" s="5" t="s">
        <v>167</v>
      </c>
      <c r="H9089" s="5" t="s">
        <v>1544</v>
      </c>
      <c r="I9089" s="5" t="s">
        <v>32</v>
      </c>
      <c r="J9089" s="5">
        <v>16.063870000000001</v>
      </c>
      <c r="K9089" s="5">
        <v>-95.500417999999996</v>
      </c>
      <c r="L9089" s="5" t="str">
        <f>HYPERLINK("https://maps.google.com/?q=16.06387,-95.500417999999996", "🔗 Ver Mapa")</f>
        <v>🔗 Ver Mapa</v>
      </c>
    </row>
    <row r="9090" spans="1:12" ht="43.5" x14ac:dyDescent="0.35">
      <c r="A9090" s="6" t="s">
        <v>516</v>
      </c>
      <c r="B9090" s="6" t="s">
        <v>517</v>
      </c>
      <c r="C9090" s="6" t="s">
        <v>1543</v>
      </c>
      <c r="D9090" s="6" t="s">
        <v>13</v>
      </c>
      <c r="E9090" s="6" t="s">
        <v>158</v>
      </c>
      <c r="F9090" s="6" t="s">
        <v>166</v>
      </c>
      <c r="G9090" s="6" t="s">
        <v>167</v>
      </c>
      <c r="H9090" s="6" t="s">
        <v>1544</v>
      </c>
      <c r="I9090" s="6" t="s">
        <v>32</v>
      </c>
      <c r="J9090" s="6">
        <v>16.064468999999999</v>
      </c>
      <c r="K9090" s="6">
        <v>-95.500788999999997</v>
      </c>
      <c r="L9090" s="6" t="str">
        <f>HYPERLINK("https://maps.google.com/?q=16.064469,-95.500788999999997", "🔗 Ver Mapa")</f>
        <v>🔗 Ver Mapa</v>
      </c>
    </row>
    <row r="9091" spans="1:12" ht="43.5" x14ac:dyDescent="0.35">
      <c r="A9091" s="5" t="s">
        <v>516</v>
      </c>
      <c r="B9091" s="5" t="s">
        <v>517</v>
      </c>
      <c r="C9091" s="5" t="s">
        <v>1543</v>
      </c>
      <c r="D9091" s="5" t="s">
        <v>13</v>
      </c>
      <c r="E9091" s="5" t="s">
        <v>158</v>
      </c>
      <c r="F9091" s="5" t="s">
        <v>166</v>
      </c>
      <c r="G9091" s="5" t="s">
        <v>167</v>
      </c>
      <c r="H9091" s="5" t="s">
        <v>1544</v>
      </c>
      <c r="I9091" s="5" t="s">
        <v>32</v>
      </c>
      <c r="J9091" s="5">
        <v>16.064708</v>
      </c>
      <c r="K9091" s="5">
        <v>-95.501115999999996</v>
      </c>
      <c r="L9091" s="5" t="str">
        <f>HYPERLINK("https://maps.google.com/?q=16.064708,-95.501115999999996", "🔗 Ver Mapa")</f>
        <v>🔗 Ver Mapa</v>
      </c>
    </row>
    <row r="9092" spans="1:12" ht="43.5" x14ac:dyDescent="0.35">
      <c r="A9092" s="6" t="s">
        <v>516</v>
      </c>
      <c r="B9092" s="6" t="s">
        <v>517</v>
      </c>
      <c r="C9092" s="6" t="s">
        <v>1543</v>
      </c>
      <c r="D9092" s="6" t="s">
        <v>13</v>
      </c>
      <c r="E9092" s="6" t="s">
        <v>158</v>
      </c>
      <c r="F9092" s="6" t="s">
        <v>166</v>
      </c>
      <c r="G9092" s="6" t="s">
        <v>167</v>
      </c>
      <c r="H9092" s="6" t="s">
        <v>1544</v>
      </c>
      <c r="I9092" s="6" t="s">
        <v>32</v>
      </c>
      <c r="J9092" s="6">
        <v>16.065097000000002</v>
      </c>
      <c r="K9092" s="6">
        <v>-95.501412999999999</v>
      </c>
      <c r="L9092" s="6" t="str">
        <f>HYPERLINK("https://maps.google.com/?q=16.065097,-95.501412999999999", "🔗 Ver Mapa")</f>
        <v>🔗 Ver Mapa</v>
      </c>
    </row>
    <row r="9093" spans="1:12" ht="43.5" x14ac:dyDescent="0.35">
      <c r="A9093" s="5" t="s">
        <v>516</v>
      </c>
      <c r="B9093" s="5" t="s">
        <v>517</v>
      </c>
      <c r="C9093" s="5" t="s">
        <v>1543</v>
      </c>
      <c r="D9093" s="5" t="s">
        <v>13</v>
      </c>
      <c r="E9093" s="5" t="s">
        <v>158</v>
      </c>
      <c r="F9093" s="5" t="s">
        <v>166</v>
      </c>
      <c r="G9093" s="5" t="s">
        <v>167</v>
      </c>
      <c r="H9093" s="5" t="s">
        <v>1544</v>
      </c>
      <c r="I9093" s="5" t="s">
        <v>32</v>
      </c>
      <c r="J9093" s="5">
        <v>16.065190000000001</v>
      </c>
      <c r="K9093" s="5">
        <v>-95.501649999999998</v>
      </c>
      <c r="L9093" s="5" t="str">
        <f>HYPERLINK("https://maps.google.com/?q=16.06519,-95.501649999999998", "🔗 Ver Mapa")</f>
        <v>🔗 Ver Mapa</v>
      </c>
    </row>
    <row r="9094" spans="1:12" ht="43.5" x14ac:dyDescent="0.35">
      <c r="A9094" s="6" t="s">
        <v>516</v>
      </c>
      <c r="B9094" s="6" t="s">
        <v>517</v>
      </c>
      <c r="C9094" s="6" t="s">
        <v>1543</v>
      </c>
      <c r="D9094" s="6" t="s">
        <v>13</v>
      </c>
      <c r="E9094" s="6" t="s">
        <v>158</v>
      </c>
      <c r="F9094" s="6" t="s">
        <v>166</v>
      </c>
      <c r="G9094" s="6" t="s">
        <v>167</v>
      </c>
      <c r="H9094" s="6" t="s">
        <v>1544</v>
      </c>
      <c r="I9094" s="6" t="s">
        <v>32</v>
      </c>
      <c r="J9094" s="6">
        <v>16.065263000000002</v>
      </c>
      <c r="K9094" s="6">
        <v>-95.501836999999995</v>
      </c>
      <c r="L9094" s="6" t="str">
        <f>HYPERLINK("https://maps.google.com/?q=16.065263,-95.501836999999995", "🔗 Ver Mapa")</f>
        <v>🔗 Ver Mapa</v>
      </c>
    </row>
    <row r="9095" spans="1:12" ht="58" x14ac:dyDescent="0.35">
      <c r="A9095" s="5" t="s">
        <v>73</v>
      </c>
      <c r="B9095" s="5" t="s">
        <v>74</v>
      </c>
      <c r="C9095" s="5" t="s">
        <v>1545</v>
      </c>
      <c r="D9095" s="5" t="s">
        <v>76</v>
      </c>
      <c r="E9095" s="5" t="s">
        <v>16</v>
      </c>
      <c r="F9095" s="5" t="s">
        <v>215</v>
      </c>
      <c r="G9095" s="5" t="s">
        <v>216</v>
      </c>
      <c r="H9095" s="5" t="s">
        <v>1546</v>
      </c>
      <c r="I9095" s="5" t="s">
        <v>31</v>
      </c>
      <c r="J9095" s="5">
        <v>17.120746314626999</v>
      </c>
      <c r="K9095" s="5">
        <v>-97.938701016951995</v>
      </c>
      <c r="L9095" s="5" t="str">
        <f>HYPERLINK("https://maps.google.com/?q=17.12074631462733,-97.93870101695153", "🔗 Ver Mapa")</f>
        <v>🔗 Ver Mapa</v>
      </c>
    </row>
    <row r="9096" spans="1:12" ht="58" x14ac:dyDescent="0.35">
      <c r="A9096" s="6" t="s">
        <v>73</v>
      </c>
      <c r="B9096" s="6" t="s">
        <v>74</v>
      </c>
      <c r="C9096" s="6" t="s">
        <v>1547</v>
      </c>
      <c r="D9096" s="6" t="s">
        <v>76</v>
      </c>
      <c r="E9096" s="6" t="s">
        <v>16</v>
      </c>
      <c r="F9096" s="6" t="s">
        <v>215</v>
      </c>
      <c r="G9096" s="6" t="s">
        <v>216</v>
      </c>
      <c r="H9096" s="6" t="s">
        <v>1548</v>
      </c>
      <c r="I9096" s="6" t="s">
        <v>31</v>
      </c>
      <c r="J9096" s="6">
        <v>17.065540893805</v>
      </c>
      <c r="K9096" s="6">
        <v>-98.058048167492004</v>
      </c>
      <c r="L9096" s="6" t="str">
        <f>HYPERLINK("https://maps.google.com/?q=17.065540893805423,-98.05804816749192", "🔗 Ver Mapa")</f>
        <v>🔗 Ver Mapa</v>
      </c>
    </row>
    <row r="9097" spans="1:12" ht="58" x14ac:dyDescent="0.35">
      <c r="A9097" s="5" t="s">
        <v>73</v>
      </c>
      <c r="B9097" s="5" t="s">
        <v>74</v>
      </c>
      <c r="C9097" s="5" t="s">
        <v>1549</v>
      </c>
      <c r="D9097" s="5" t="s">
        <v>76</v>
      </c>
      <c r="E9097" s="5" t="s">
        <v>16</v>
      </c>
      <c r="F9097" s="5" t="s">
        <v>19</v>
      </c>
      <c r="G9097" s="5" t="s">
        <v>1299</v>
      </c>
      <c r="H9097" s="5" t="s">
        <v>1550</v>
      </c>
      <c r="I9097" s="5" t="s">
        <v>31</v>
      </c>
      <c r="J9097" s="5">
        <v>17.313368316626999</v>
      </c>
      <c r="K9097" s="5">
        <v>-97.341646033529997</v>
      </c>
      <c r="L9097" s="5" t="str">
        <f>HYPERLINK("https://maps.google.com/?q=17.313368316627212,-97.34164603352954", "🔗 Ver Mapa")</f>
        <v>🔗 Ver Mapa</v>
      </c>
    </row>
    <row r="9098" spans="1:12" ht="58" x14ac:dyDescent="0.35">
      <c r="A9098" s="6" t="s">
        <v>73</v>
      </c>
      <c r="B9098" s="6" t="s">
        <v>74</v>
      </c>
      <c r="C9098" s="6" t="s">
        <v>1551</v>
      </c>
      <c r="D9098" s="6" t="s">
        <v>76</v>
      </c>
      <c r="E9098" s="6" t="s">
        <v>17</v>
      </c>
      <c r="F9098" s="6" t="s">
        <v>46</v>
      </c>
      <c r="G9098" s="6" t="s">
        <v>1284</v>
      </c>
      <c r="H9098" s="6" t="s">
        <v>1285</v>
      </c>
      <c r="I9098" s="6" t="s">
        <v>31</v>
      </c>
      <c r="J9098" s="6">
        <v>16.160077544286999</v>
      </c>
      <c r="K9098" s="6">
        <v>-97.160582088512996</v>
      </c>
      <c r="L9098" s="6" t="str">
        <f>HYPERLINK("https://maps.google.com/?q=16.160077544287443,-97.16058208851268", "🔗 Ver Mapa")</f>
        <v>🔗 Ver Mapa</v>
      </c>
    </row>
    <row r="9099" spans="1:12" ht="58" x14ac:dyDescent="0.35">
      <c r="A9099" s="5" t="s">
        <v>73</v>
      </c>
      <c r="B9099" s="5" t="s">
        <v>74</v>
      </c>
      <c r="C9099" s="5" t="s">
        <v>1552</v>
      </c>
      <c r="D9099" s="5" t="s">
        <v>76</v>
      </c>
      <c r="E9099" s="5" t="s">
        <v>90</v>
      </c>
      <c r="F9099" s="5" t="s">
        <v>91</v>
      </c>
      <c r="G9099" s="5" t="s">
        <v>778</v>
      </c>
      <c r="H9099" s="5" t="s">
        <v>788</v>
      </c>
      <c r="I9099" s="5" t="s">
        <v>31</v>
      </c>
      <c r="J9099" s="5">
        <v>17.146547022175</v>
      </c>
      <c r="K9099" s="5">
        <v>-96.043484714043998</v>
      </c>
      <c r="L9099" s="5" t="str">
        <f>HYPERLINK("https://maps.google.com/?q=17.146547022175096,-96.04348471404407", "🔗 Ver Mapa")</f>
        <v>🔗 Ver Mapa</v>
      </c>
    </row>
    <row r="9100" spans="1:12" ht="58" x14ac:dyDescent="0.35">
      <c r="A9100" s="6" t="s">
        <v>73</v>
      </c>
      <c r="B9100" s="6" t="s">
        <v>74</v>
      </c>
      <c r="C9100" s="6" t="s">
        <v>1553</v>
      </c>
      <c r="D9100" s="6" t="s">
        <v>76</v>
      </c>
      <c r="E9100" s="6" t="s">
        <v>110</v>
      </c>
      <c r="F9100" s="6" t="s">
        <v>126</v>
      </c>
      <c r="G9100" s="6" t="s">
        <v>1519</v>
      </c>
      <c r="H9100" s="6" t="s">
        <v>1520</v>
      </c>
      <c r="I9100" s="6" t="s">
        <v>31</v>
      </c>
      <c r="J9100" s="6">
        <v>17.884173771017998</v>
      </c>
      <c r="K9100" s="6">
        <v>-96.727764128564999</v>
      </c>
      <c r="L9100" s="6" t="str">
        <f>HYPERLINK("https://maps.google.com/?q=17.884173771018368,-96.72776412856483", "🔗 Ver Mapa")</f>
        <v>🔗 Ver Mapa</v>
      </c>
    </row>
    <row r="9101" spans="1:12" ht="43.5" x14ac:dyDescent="0.35">
      <c r="A9101" s="5" t="s">
        <v>73</v>
      </c>
      <c r="B9101" s="5" t="s">
        <v>74</v>
      </c>
      <c r="C9101" s="5" t="s">
        <v>1554</v>
      </c>
      <c r="D9101" s="5" t="s">
        <v>76</v>
      </c>
      <c r="E9101" s="5" t="s">
        <v>17</v>
      </c>
      <c r="F9101" s="5" t="s">
        <v>59</v>
      </c>
      <c r="G9101" s="5" t="s">
        <v>982</v>
      </c>
      <c r="H9101" s="5" t="s">
        <v>983</v>
      </c>
      <c r="I9101" s="5" t="s">
        <v>31</v>
      </c>
      <c r="J9101" s="5">
        <v>16.342327019054999</v>
      </c>
      <c r="K9101" s="5">
        <v>-98.445572076445004</v>
      </c>
      <c r="L9101" s="5" t="str">
        <f>HYPERLINK("https://maps.google.com/?q=16.34232701905533,-98.44557207644472", "🔗 Ver Mapa")</f>
        <v>🔗 Ver Mapa</v>
      </c>
    </row>
    <row r="9102" spans="1:12" ht="58" x14ac:dyDescent="0.35">
      <c r="A9102" s="6" t="s">
        <v>73</v>
      </c>
      <c r="B9102" s="6" t="s">
        <v>74</v>
      </c>
      <c r="C9102" s="6" t="s">
        <v>1555</v>
      </c>
      <c r="D9102" s="6" t="s">
        <v>76</v>
      </c>
      <c r="E9102" s="6" t="s">
        <v>17</v>
      </c>
      <c r="F9102" s="6" t="s">
        <v>59</v>
      </c>
      <c r="G9102" s="6" t="s">
        <v>1296</v>
      </c>
      <c r="H9102" s="6" t="s">
        <v>1556</v>
      </c>
      <c r="I9102" s="6" t="s">
        <v>31</v>
      </c>
      <c r="J9102" s="6">
        <v>16.320714667579001</v>
      </c>
      <c r="K9102" s="6">
        <v>-97.749556158447007</v>
      </c>
      <c r="L9102" s="6" t="str">
        <f>HYPERLINK("https://maps.google.com/?q=16.320714667579434,-97.74955615844652", "🔗 Ver Mapa")</f>
        <v>🔗 Ver Mapa</v>
      </c>
    </row>
    <row r="9103" spans="1:12" ht="58" x14ac:dyDescent="0.35">
      <c r="A9103" s="5" t="s">
        <v>73</v>
      </c>
      <c r="B9103" s="5" t="s">
        <v>74</v>
      </c>
      <c r="C9103" s="5" t="s">
        <v>1557</v>
      </c>
      <c r="D9103" s="5" t="s">
        <v>76</v>
      </c>
      <c r="E9103" s="5" t="s">
        <v>52</v>
      </c>
      <c r="F9103" s="5" t="s">
        <v>53</v>
      </c>
      <c r="G9103" s="5" t="s">
        <v>1558</v>
      </c>
      <c r="H9103" s="5" t="s">
        <v>1559</v>
      </c>
      <c r="I9103" s="5" t="s">
        <v>31</v>
      </c>
      <c r="J9103" s="5">
        <v>16.960402519601999</v>
      </c>
      <c r="K9103" s="5">
        <v>-96.585029872671996</v>
      </c>
      <c r="L9103" s="5" t="str">
        <f>HYPERLINK("https://maps.google.com/?q=16.960402519601836,-96.58502987267228", "🔗 Ver Mapa")</f>
        <v>🔗 Ver Mapa</v>
      </c>
    </row>
    <row r="9104" spans="1:12" ht="58" x14ac:dyDescent="0.35">
      <c r="A9104" s="6" t="s">
        <v>73</v>
      </c>
      <c r="B9104" s="6" t="s">
        <v>74</v>
      </c>
      <c r="C9104" s="6" t="s">
        <v>1560</v>
      </c>
      <c r="D9104" s="6" t="s">
        <v>76</v>
      </c>
      <c r="E9104" s="6" t="s">
        <v>39</v>
      </c>
      <c r="F9104" s="6" t="s">
        <v>133</v>
      </c>
      <c r="G9104" s="6" t="s">
        <v>1561</v>
      </c>
      <c r="H9104" s="6" t="s">
        <v>1562</v>
      </c>
      <c r="I9104" s="6" t="s">
        <v>31</v>
      </c>
      <c r="J9104" s="6">
        <v>16.655391433994001</v>
      </c>
      <c r="K9104" s="6">
        <v>-95.912939574239005</v>
      </c>
      <c r="L9104" s="6" t="str">
        <f>HYPERLINK("https://maps.google.com/?q=16.655391433993557,-95.91293957423932", "🔗 Ver Mapa")</f>
        <v>🔗 Ver Mapa</v>
      </c>
    </row>
    <row r="9105" spans="1:12" ht="43.5" x14ac:dyDescent="0.35">
      <c r="A9105" s="5" t="s">
        <v>73</v>
      </c>
      <c r="B9105" s="5" t="s">
        <v>74</v>
      </c>
      <c r="C9105" s="5" t="s">
        <v>1563</v>
      </c>
      <c r="D9105" s="5" t="s">
        <v>76</v>
      </c>
      <c r="E9105" s="5" t="s">
        <v>17</v>
      </c>
      <c r="F9105" s="5" t="s">
        <v>46</v>
      </c>
      <c r="G9105" s="5" t="s">
        <v>1277</v>
      </c>
      <c r="H9105" s="5" t="s">
        <v>1278</v>
      </c>
      <c r="I9105" s="5" t="s">
        <v>31</v>
      </c>
      <c r="J9105" s="5">
        <v>16.229812546378</v>
      </c>
      <c r="K9105" s="5">
        <v>-97.273988117263002</v>
      </c>
      <c r="L9105" s="5" t="str">
        <f>HYPERLINK("https://maps.google.com/?q=16.229812546378064,-97.27398811726287", "🔗 Ver Mapa")</f>
        <v>🔗 Ver Mapa</v>
      </c>
    </row>
    <row r="9106" spans="1:12" ht="58" x14ac:dyDescent="0.35">
      <c r="A9106" s="6" t="s">
        <v>73</v>
      </c>
      <c r="B9106" s="6" t="s">
        <v>74</v>
      </c>
      <c r="C9106" s="6" t="s">
        <v>1564</v>
      </c>
      <c r="D9106" s="6" t="s">
        <v>76</v>
      </c>
      <c r="E9106" s="6" t="s">
        <v>16</v>
      </c>
      <c r="F9106" s="6" t="s">
        <v>19</v>
      </c>
      <c r="G9106" s="6" t="s">
        <v>479</v>
      </c>
      <c r="H9106" s="6" t="s">
        <v>480</v>
      </c>
      <c r="I9106" s="6" t="s">
        <v>31</v>
      </c>
      <c r="J9106" s="6">
        <v>16.999074063344001</v>
      </c>
      <c r="K9106" s="6">
        <v>-97.233388517001998</v>
      </c>
      <c r="L9106" s="6" t="str">
        <f>HYPERLINK("https://maps.google.com/?q=16.99907406334357,-97.23338851700154", "🔗 Ver Mapa")</f>
        <v>🔗 Ver Mapa</v>
      </c>
    </row>
    <row r="9107" spans="1:12" ht="58" x14ac:dyDescent="0.35">
      <c r="A9107" s="5" t="s">
        <v>73</v>
      </c>
      <c r="B9107" s="5" t="s">
        <v>74</v>
      </c>
      <c r="C9107" s="5" t="s">
        <v>1565</v>
      </c>
      <c r="D9107" s="5" t="s">
        <v>76</v>
      </c>
      <c r="E9107" s="5" t="s">
        <v>110</v>
      </c>
      <c r="F9107" s="5" t="s">
        <v>126</v>
      </c>
      <c r="G9107" s="5" t="s">
        <v>1519</v>
      </c>
      <c r="H9107" s="5" t="s">
        <v>1566</v>
      </c>
      <c r="I9107" s="5" t="s">
        <v>31</v>
      </c>
      <c r="J9107" s="5">
        <v>17.939085562951998</v>
      </c>
      <c r="K9107" s="5">
        <v>-96.754931780646999</v>
      </c>
      <c r="L9107" s="5" t="str">
        <f>HYPERLINK("https://maps.google.com/?q=17.939085562952478,-96.75493178064744", "🔗 Ver Mapa")</f>
        <v>🔗 Ver Mapa</v>
      </c>
    </row>
    <row r="9108" spans="1:12" ht="58" x14ac:dyDescent="0.35">
      <c r="A9108" s="6" t="s">
        <v>73</v>
      </c>
      <c r="B9108" s="6" t="s">
        <v>74</v>
      </c>
      <c r="C9108" s="6" t="s">
        <v>1567</v>
      </c>
      <c r="D9108" s="6" t="s">
        <v>76</v>
      </c>
      <c r="E9108" s="6" t="s">
        <v>110</v>
      </c>
      <c r="F9108" s="6" t="s">
        <v>126</v>
      </c>
      <c r="G9108" s="6" t="s">
        <v>986</v>
      </c>
      <c r="H9108" s="6" t="s">
        <v>1568</v>
      </c>
      <c r="I9108" s="6" t="s">
        <v>31</v>
      </c>
      <c r="J9108" s="6">
        <v>17.916047023386</v>
      </c>
      <c r="K9108" s="6">
        <v>-96.653557308554994</v>
      </c>
      <c r="L9108" s="6" t="str">
        <f>HYPERLINK("https://maps.google.com/?q=17.916047023386096,-96.65355730855472", "🔗 Ver Mapa")</f>
        <v>🔗 Ver Mapa</v>
      </c>
    </row>
    <row r="9109" spans="1:12" ht="58" x14ac:dyDescent="0.35">
      <c r="A9109" s="5" t="s">
        <v>73</v>
      </c>
      <c r="B9109" s="5" t="s">
        <v>74</v>
      </c>
      <c r="C9109" s="5" t="s">
        <v>1569</v>
      </c>
      <c r="D9109" s="5" t="s">
        <v>76</v>
      </c>
      <c r="E9109" s="5" t="s">
        <v>16</v>
      </c>
      <c r="F9109" s="5" t="s">
        <v>21</v>
      </c>
      <c r="G9109" s="5" t="s">
        <v>1570</v>
      </c>
      <c r="H9109" s="5" t="s">
        <v>1571</v>
      </c>
      <c r="I9109" s="5" t="s">
        <v>31</v>
      </c>
      <c r="J9109" s="5">
        <v>17.239652766572998</v>
      </c>
      <c r="K9109" s="5">
        <v>-97.448810987765995</v>
      </c>
      <c r="L9109" s="5" t="str">
        <f>HYPERLINK("https://maps.google.com/?q=17.239652766572576,-97.44881098776627", "🔗 Ver Mapa")</f>
        <v>🔗 Ver Mapa</v>
      </c>
    </row>
    <row r="9110" spans="1:12" ht="43.5" x14ac:dyDescent="0.35">
      <c r="A9110" s="6" t="s">
        <v>73</v>
      </c>
      <c r="B9110" s="6" t="s">
        <v>74</v>
      </c>
      <c r="C9110" s="6" t="s">
        <v>1572</v>
      </c>
      <c r="D9110" s="6" t="s">
        <v>76</v>
      </c>
      <c r="E9110" s="6" t="s">
        <v>110</v>
      </c>
      <c r="F9110" s="6" t="s">
        <v>126</v>
      </c>
      <c r="G9110" s="6" t="s">
        <v>986</v>
      </c>
      <c r="H9110" s="6" t="s">
        <v>1568</v>
      </c>
      <c r="I9110" s="6" t="s">
        <v>31</v>
      </c>
      <c r="J9110" s="6">
        <v>17.915303939672999</v>
      </c>
      <c r="K9110" s="6">
        <v>-96.650736804377999</v>
      </c>
      <c r="L9110" s="6" t="str">
        <f>HYPERLINK("https://maps.google.com/?q=17.915303939673425,-96.65073680437844", "🔗 Ver Mapa")</f>
        <v>🔗 Ver Mapa</v>
      </c>
    </row>
    <row r="9111" spans="1:12" ht="58" x14ac:dyDescent="0.35">
      <c r="A9111" s="5" t="s">
        <v>73</v>
      </c>
      <c r="B9111" s="5" t="s">
        <v>74</v>
      </c>
      <c r="C9111" s="5" t="s">
        <v>1573</v>
      </c>
      <c r="D9111" s="5" t="s">
        <v>76</v>
      </c>
      <c r="E9111" s="5" t="s">
        <v>52</v>
      </c>
      <c r="F9111" s="5" t="s">
        <v>83</v>
      </c>
      <c r="G9111" s="5" t="s">
        <v>1574</v>
      </c>
      <c r="H9111" s="5" t="s">
        <v>1575</v>
      </c>
      <c r="I9111" s="5" t="s">
        <v>31</v>
      </c>
      <c r="J9111" s="5">
        <v>17.113600670139</v>
      </c>
      <c r="K9111" s="5">
        <v>-96.855738552036001</v>
      </c>
      <c r="L9111" s="5" t="str">
        <f>HYPERLINK("https://maps.google.com/?q=17.113600670138855,-96.85573855203555", "🔗 Ver Mapa")</f>
        <v>🔗 Ver Mapa</v>
      </c>
    </row>
    <row r="9112" spans="1:12" ht="72.5" x14ac:dyDescent="0.35">
      <c r="A9112" s="6" t="s">
        <v>73</v>
      </c>
      <c r="B9112" s="6" t="s">
        <v>74</v>
      </c>
      <c r="C9112" s="6" t="s">
        <v>1576</v>
      </c>
      <c r="D9112" s="6" t="s">
        <v>76</v>
      </c>
      <c r="E9112" s="6" t="s">
        <v>90</v>
      </c>
      <c r="F9112" s="6" t="s">
        <v>678</v>
      </c>
      <c r="G9112" s="6" t="s">
        <v>1481</v>
      </c>
      <c r="H9112" s="6" t="s">
        <v>1482</v>
      </c>
      <c r="I9112" s="6" t="s">
        <v>31</v>
      </c>
      <c r="J9112" s="6">
        <v>17.357372154358998</v>
      </c>
      <c r="K9112" s="6">
        <v>-96.302550888594993</v>
      </c>
      <c r="L9112" s="6" t="str">
        <f>HYPERLINK("https://maps.google.com/?q=17.357372154359297,-96.30255088859484", "🔗 Ver Mapa")</f>
        <v>🔗 Ver Mapa</v>
      </c>
    </row>
    <row r="9113" spans="1:12" ht="43.5" x14ac:dyDescent="0.35">
      <c r="A9113" s="5" t="s">
        <v>297</v>
      </c>
      <c r="B9113" s="5" t="s">
        <v>298</v>
      </c>
      <c r="C9113" s="5" t="s">
        <v>1577</v>
      </c>
      <c r="D9113" s="5" t="s">
        <v>58</v>
      </c>
      <c r="E9113" s="5" t="s">
        <v>52</v>
      </c>
      <c r="F9113" s="5" t="s">
        <v>70</v>
      </c>
      <c r="G9113" s="5" t="s">
        <v>123</v>
      </c>
      <c r="H9113" s="5" t="s">
        <v>307</v>
      </c>
      <c r="I9113" s="5" t="s">
        <v>32</v>
      </c>
      <c r="J9113" s="5">
        <v>17.039234</v>
      </c>
      <c r="K9113" s="5">
        <v>-96.728556999999995</v>
      </c>
      <c r="L9113" s="5" t="str">
        <f>HYPERLINK("https://maps.google.com/?q=17.039234,-96.728556999999995", "🔗 Ver Mapa")</f>
        <v>🔗 Ver Mapa</v>
      </c>
    </row>
    <row r="9114" spans="1:12" ht="43.5" x14ac:dyDescent="0.35">
      <c r="A9114" s="6" t="s">
        <v>297</v>
      </c>
      <c r="B9114" s="6" t="s">
        <v>298</v>
      </c>
      <c r="C9114" s="6" t="s">
        <v>1577</v>
      </c>
      <c r="D9114" s="6" t="s">
        <v>58</v>
      </c>
      <c r="E9114" s="6" t="s">
        <v>52</v>
      </c>
      <c r="F9114" s="6" t="s">
        <v>70</v>
      </c>
      <c r="G9114" s="6" t="s">
        <v>123</v>
      </c>
      <c r="H9114" s="6" t="s">
        <v>307</v>
      </c>
      <c r="I9114" s="6" t="s">
        <v>32</v>
      </c>
      <c r="J9114" s="6">
        <v>17.039536999999999</v>
      </c>
      <c r="K9114" s="6">
        <v>-96.728493</v>
      </c>
      <c r="L9114" s="6" t="str">
        <f>HYPERLINK("https://maps.google.com/?q=17.039537,-96.728493", "🔗 Ver Mapa")</f>
        <v>🔗 Ver Mapa</v>
      </c>
    </row>
    <row r="9115" spans="1:12" ht="43.5" x14ac:dyDescent="0.35">
      <c r="A9115" s="5" t="s">
        <v>297</v>
      </c>
      <c r="B9115" s="5" t="s">
        <v>298</v>
      </c>
      <c r="C9115" s="5" t="s">
        <v>1577</v>
      </c>
      <c r="D9115" s="5" t="s">
        <v>58</v>
      </c>
      <c r="E9115" s="5" t="s">
        <v>52</v>
      </c>
      <c r="F9115" s="5" t="s">
        <v>70</v>
      </c>
      <c r="G9115" s="5" t="s">
        <v>123</v>
      </c>
      <c r="H9115" s="5" t="s">
        <v>307</v>
      </c>
      <c r="I9115" s="5" t="s">
        <v>32</v>
      </c>
      <c r="J9115" s="5">
        <v>17.039736999999999</v>
      </c>
      <c r="K9115" s="5">
        <v>-96.728532999999999</v>
      </c>
      <c r="L9115" s="5" t="str">
        <f>HYPERLINK("https://maps.google.com/?q=17.039737,-96.728532999999999", "🔗 Ver Mapa")</f>
        <v>🔗 Ver Mapa</v>
      </c>
    </row>
    <row r="9116" spans="1:12" ht="43.5" x14ac:dyDescent="0.35">
      <c r="A9116" s="6" t="s">
        <v>297</v>
      </c>
      <c r="B9116" s="6" t="s">
        <v>298</v>
      </c>
      <c r="C9116" s="6" t="s">
        <v>1577</v>
      </c>
      <c r="D9116" s="6" t="s">
        <v>58</v>
      </c>
      <c r="E9116" s="6" t="s">
        <v>52</v>
      </c>
      <c r="F9116" s="6" t="s">
        <v>70</v>
      </c>
      <c r="G9116" s="6" t="s">
        <v>123</v>
      </c>
      <c r="H9116" s="6" t="s">
        <v>307</v>
      </c>
      <c r="I9116" s="6" t="s">
        <v>32</v>
      </c>
      <c r="J9116" s="6">
        <v>17.040381</v>
      </c>
      <c r="K9116" s="6">
        <v>-96.728217999999998</v>
      </c>
      <c r="L9116" s="6" t="str">
        <f>HYPERLINK("https://maps.google.com/?q=17.040381,-96.728217999999998", "🔗 Ver Mapa")</f>
        <v>🔗 Ver Mapa</v>
      </c>
    </row>
    <row r="9117" spans="1:12" ht="43.5" x14ac:dyDescent="0.35">
      <c r="A9117" s="5" t="s">
        <v>297</v>
      </c>
      <c r="B9117" s="5" t="s">
        <v>298</v>
      </c>
      <c r="C9117" s="5" t="s">
        <v>1577</v>
      </c>
      <c r="D9117" s="5" t="s">
        <v>58</v>
      </c>
      <c r="E9117" s="5" t="s">
        <v>52</v>
      </c>
      <c r="F9117" s="5" t="s">
        <v>70</v>
      </c>
      <c r="G9117" s="5" t="s">
        <v>123</v>
      </c>
      <c r="H9117" s="5" t="s">
        <v>307</v>
      </c>
      <c r="I9117" s="5" t="s">
        <v>32</v>
      </c>
      <c r="J9117" s="5">
        <v>17.040526</v>
      </c>
      <c r="K9117" s="5">
        <v>-96.728665000000007</v>
      </c>
      <c r="L9117" s="5" t="str">
        <f>HYPERLINK("https://maps.google.com/?q=17.040526,-96.728665000000007", "🔗 Ver Mapa")</f>
        <v>🔗 Ver Mapa</v>
      </c>
    </row>
    <row r="9118" spans="1:12" ht="43.5" x14ac:dyDescent="0.35">
      <c r="A9118" s="6" t="s">
        <v>297</v>
      </c>
      <c r="B9118" s="6" t="s">
        <v>298</v>
      </c>
      <c r="C9118" s="6" t="s">
        <v>1577</v>
      </c>
      <c r="D9118" s="6" t="s">
        <v>58</v>
      </c>
      <c r="E9118" s="6" t="s">
        <v>52</v>
      </c>
      <c r="F9118" s="6" t="s">
        <v>70</v>
      </c>
      <c r="G9118" s="6" t="s">
        <v>123</v>
      </c>
      <c r="H9118" s="6" t="s">
        <v>307</v>
      </c>
      <c r="I9118" s="6" t="s">
        <v>32</v>
      </c>
      <c r="J9118" s="6">
        <v>17.040780000000002</v>
      </c>
      <c r="K9118" s="6">
        <v>-96.728027999999995</v>
      </c>
      <c r="L9118" s="6" t="str">
        <f>HYPERLINK("https://maps.google.com/?q=17.04078,-96.728027999999995", "🔗 Ver Mapa")</f>
        <v>🔗 Ver Mapa</v>
      </c>
    </row>
    <row r="9119" spans="1:12" ht="43.5" x14ac:dyDescent="0.35">
      <c r="A9119" s="5" t="s">
        <v>297</v>
      </c>
      <c r="B9119" s="5" t="s">
        <v>298</v>
      </c>
      <c r="C9119" s="5" t="s">
        <v>1577</v>
      </c>
      <c r="D9119" s="5" t="s">
        <v>58</v>
      </c>
      <c r="E9119" s="5" t="s">
        <v>52</v>
      </c>
      <c r="F9119" s="5" t="s">
        <v>70</v>
      </c>
      <c r="G9119" s="5" t="s">
        <v>123</v>
      </c>
      <c r="H9119" s="5" t="s">
        <v>307</v>
      </c>
      <c r="I9119" s="5" t="s">
        <v>32</v>
      </c>
      <c r="J9119" s="5">
        <v>17.041004000000001</v>
      </c>
      <c r="K9119" s="5">
        <v>-96.728756000000004</v>
      </c>
      <c r="L9119" s="5" t="str">
        <f>HYPERLINK("https://maps.google.com/?q=17.041004,-96.728756000000004", "🔗 Ver Mapa")</f>
        <v>🔗 Ver Mapa</v>
      </c>
    </row>
    <row r="9120" spans="1:12" ht="43.5" x14ac:dyDescent="0.35">
      <c r="A9120" s="6" t="s">
        <v>297</v>
      </c>
      <c r="B9120" s="6" t="s">
        <v>298</v>
      </c>
      <c r="C9120" s="6" t="s">
        <v>1577</v>
      </c>
      <c r="D9120" s="6" t="s">
        <v>58</v>
      </c>
      <c r="E9120" s="6" t="s">
        <v>52</v>
      </c>
      <c r="F9120" s="6" t="s">
        <v>70</v>
      </c>
      <c r="G9120" s="6" t="s">
        <v>123</v>
      </c>
      <c r="H9120" s="6" t="s">
        <v>307</v>
      </c>
      <c r="I9120" s="6" t="s">
        <v>32</v>
      </c>
      <c r="J9120" s="6">
        <v>17.041063999999999</v>
      </c>
      <c r="K9120" s="6">
        <v>-96.727536000000001</v>
      </c>
      <c r="L9120" s="6" t="str">
        <f>HYPERLINK("https://maps.google.com/?q=17.041064,-96.727536000000001", "🔗 Ver Mapa")</f>
        <v>🔗 Ver Mapa</v>
      </c>
    </row>
    <row r="9121" spans="1:12" ht="43.5" x14ac:dyDescent="0.35">
      <c r="A9121" s="5" t="s">
        <v>297</v>
      </c>
      <c r="B9121" s="5" t="s">
        <v>298</v>
      </c>
      <c r="C9121" s="5" t="s">
        <v>1577</v>
      </c>
      <c r="D9121" s="5" t="s">
        <v>58</v>
      </c>
      <c r="E9121" s="5" t="s">
        <v>52</v>
      </c>
      <c r="F9121" s="5" t="s">
        <v>70</v>
      </c>
      <c r="G9121" s="5" t="s">
        <v>123</v>
      </c>
      <c r="H9121" s="5" t="s">
        <v>307</v>
      </c>
      <c r="I9121" s="5" t="s">
        <v>32</v>
      </c>
      <c r="J9121" s="5">
        <v>17.041081999999999</v>
      </c>
      <c r="K9121" s="5">
        <v>-96.727553</v>
      </c>
      <c r="L9121" s="5" t="str">
        <f>HYPERLINK("https://maps.google.com/?q=17.041082,-96.727553", "🔗 Ver Mapa")</f>
        <v>🔗 Ver Mapa</v>
      </c>
    </row>
    <row r="9122" spans="1:12" ht="43.5" x14ac:dyDescent="0.35">
      <c r="A9122" s="6" t="s">
        <v>297</v>
      </c>
      <c r="B9122" s="6" t="s">
        <v>298</v>
      </c>
      <c r="C9122" s="6" t="s">
        <v>1577</v>
      </c>
      <c r="D9122" s="6" t="s">
        <v>58</v>
      </c>
      <c r="E9122" s="6" t="s">
        <v>52</v>
      </c>
      <c r="F9122" s="6" t="s">
        <v>70</v>
      </c>
      <c r="G9122" s="6" t="s">
        <v>123</v>
      </c>
      <c r="H9122" s="6" t="s">
        <v>307</v>
      </c>
      <c r="I9122" s="6" t="s">
        <v>32</v>
      </c>
      <c r="J9122" s="6">
        <v>17.041146000000001</v>
      </c>
      <c r="K9122" s="6">
        <v>-96.727538999999993</v>
      </c>
      <c r="L9122" s="6" t="str">
        <f>HYPERLINK("https://maps.google.com/?q=17.041146,-96.727538999999993", "🔗 Ver Mapa")</f>
        <v>🔗 Ver Mapa</v>
      </c>
    </row>
    <row r="9123" spans="1:12" ht="43.5" x14ac:dyDescent="0.35">
      <c r="A9123" s="5" t="s">
        <v>297</v>
      </c>
      <c r="B9123" s="5" t="s">
        <v>298</v>
      </c>
      <c r="C9123" s="5" t="s">
        <v>1577</v>
      </c>
      <c r="D9123" s="5" t="s">
        <v>58</v>
      </c>
      <c r="E9123" s="5" t="s">
        <v>52</v>
      </c>
      <c r="F9123" s="5" t="s">
        <v>70</v>
      </c>
      <c r="G9123" s="5" t="s">
        <v>123</v>
      </c>
      <c r="H9123" s="5" t="s">
        <v>307</v>
      </c>
      <c r="I9123" s="5" t="s">
        <v>32</v>
      </c>
      <c r="J9123" s="5">
        <v>17.041169</v>
      </c>
      <c r="K9123" s="5">
        <v>-96.727879999999999</v>
      </c>
      <c r="L9123" s="5" t="str">
        <f>HYPERLINK("https://maps.google.com/?q=17.041169,-96.727879999999999", "🔗 Ver Mapa")</f>
        <v>🔗 Ver Mapa</v>
      </c>
    </row>
    <row r="9124" spans="1:12" ht="43.5" x14ac:dyDescent="0.35">
      <c r="A9124" s="6" t="s">
        <v>297</v>
      </c>
      <c r="B9124" s="6" t="s">
        <v>298</v>
      </c>
      <c r="C9124" s="6" t="s">
        <v>1577</v>
      </c>
      <c r="D9124" s="6" t="s">
        <v>58</v>
      </c>
      <c r="E9124" s="6" t="s">
        <v>52</v>
      </c>
      <c r="F9124" s="6" t="s">
        <v>70</v>
      </c>
      <c r="G9124" s="6" t="s">
        <v>123</v>
      </c>
      <c r="H9124" s="6" t="s">
        <v>307</v>
      </c>
      <c r="I9124" s="6" t="s">
        <v>32</v>
      </c>
      <c r="J9124" s="6">
        <v>17.041215999999999</v>
      </c>
      <c r="K9124" s="6">
        <v>-96.727798000000007</v>
      </c>
      <c r="L9124" s="6" t="str">
        <f>HYPERLINK("https://maps.google.com/?q=17.041216,-96.727798000000007", "🔗 Ver Mapa")</f>
        <v>🔗 Ver Mapa</v>
      </c>
    </row>
    <row r="9125" spans="1:12" ht="43.5" x14ac:dyDescent="0.35">
      <c r="A9125" s="5" t="s">
        <v>297</v>
      </c>
      <c r="B9125" s="5" t="s">
        <v>298</v>
      </c>
      <c r="C9125" s="5" t="s">
        <v>1577</v>
      </c>
      <c r="D9125" s="5" t="s">
        <v>58</v>
      </c>
      <c r="E9125" s="5" t="s">
        <v>52</v>
      </c>
      <c r="F9125" s="5" t="s">
        <v>70</v>
      </c>
      <c r="G9125" s="5" t="s">
        <v>123</v>
      </c>
      <c r="H9125" s="5" t="s">
        <v>307</v>
      </c>
      <c r="I9125" s="5" t="s">
        <v>32</v>
      </c>
      <c r="J9125" s="5">
        <v>17.041253000000001</v>
      </c>
      <c r="K9125" s="5">
        <v>-96.727852999999996</v>
      </c>
      <c r="L9125" s="5" t="str">
        <f>HYPERLINK("https://maps.google.com/?q=17.041253,-96.727852999999996", "🔗 Ver Mapa")</f>
        <v>🔗 Ver Mapa</v>
      </c>
    </row>
    <row r="9126" spans="1:12" ht="43.5" x14ac:dyDescent="0.35">
      <c r="A9126" s="6" t="s">
        <v>297</v>
      </c>
      <c r="B9126" s="6" t="s">
        <v>298</v>
      </c>
      <c r="C9126" s="6" t="s">
        <v>1577</v>
      </c>
      <c r="D9126" s="6" t="s">
        <v>58</v>
      </c>
      <c r="E9126" s="6" t="s">
        <v>52</v>
      </c>
      <c r="F9126" s="6" t="s">
        <v>70</v>
      </c>
      <c r="G9126" s="6" t="s">
        <v>123</v>
      </c>
      <c r="H9126" s="6" t="s">
        <v>307</v>
      </c>
      <c r="I9126" s="6" t="s">
        <v>32</v>
      </c>
      <c r="J9126" s="6">
        <v>17.041319999999999</v>
      </c>
      <c r="K9126" s="6">
        <v>-96.728344000000007</v>
      </c>
      <c r="L9126" s="6" t="str">
        <f>HYPERLINK("https://maps.google.com/?q=17.04132,-96.728344000000007", "🔗 Ver Mapa")</f>
        <v>🔗 Ver Mapa</v>
      </c>
    </row>
    <row r="9127" spans="1:12" ht="43.5" x14ac:dyDescent="0.35">
      <c r="A9127" s="5" t="s">
        <v>297</v>
      </c>
      <c r="B9127" s="5" t="s">
        <v>298</v>
      </c>
      <c r="C9127" s="5" t="s">
        <v>1577</v>
      </c>
      <c r="D9127" s="5" t="s">
        <v>58</v>
      </c>
      <c r="E9127" s="5" t="s">
        <v>52</v>
      </c>
      <c r="F9127" s="5" t="s">
        <v>70</v>
      </c>
      <c r="G9127" s="5" t="s">
        <v>123</v>
      </c>
      <c r="H9127" s="5" t="s">
        <v>307</v>
      </c>
      <c r="I9127" s="5" t="s">
        <v>32</v>
      </c>
      <c r="J9127" s="5">
        <v>17.04147</v>
      </c>
      <c r="K9127" s="5">
        <v>-96.728806000000006</v>
      </c>
      <c r="L9127" s="5" t="str">
        <f>HYPERLINK("https://maps.google.com/?q=17.04147,-96.728806000000006", "🔗 Ver Mapa")</f>
        <v>🔗 Ver Mapa</v>
      </c>
    </row>
    <row r="9128" spans="1:12" ht="43.5" x14ac:dyDescent="0.35">
      <c r="A9128" s="6" t="s">
        <v>297</v>
      </c>
      <c r="B9128" s="6" t="s">
        <v>298</v>
      </c>
      <c r="C9128" s="6" t="s">
        <v>1577</v>
      </c>
      <c r="D9128" s="6" t="s">
        <v>58</v>
      </c>
      <c r="E9128" s="6" t="s">
        <v>52</v>
      </c>
      <c r="F9128" s="6" t="s">
        <v>70</v>
      </c>
      <c r="G9128" s="6" t="s">
        <v>123</v>
      </c>
      <c r="H9128" s="6" t="s">
        <v>307</v>
      </c>
      <c r="I9128" s="6" t="s">
        <v>32</v>
      </c>
      <c r="J9128" s="6">
        <v>17.04148</v>
      </c>
      <c r="K9128" s="6">
        <v>-96.727817000000002</v>
      </c>
      <c r="L9128" s="6" t="str">
        <f>HYPERLINK("https://maps.google.com/?q=17.04148,-96.727817000000002", "🔗 Ver Mapa")</f>
        <v>🔗 Ver Mapa</v>
      </c>
    </row>
    <row r="9129" spans="1:12" ht="43.5" x14ac:dyDescent="0.35">
      <c r="A9129" s="5" t="s">
        <v>297</v>
      </c>
      <c r="B9129" s="5" t="s">
        <v>298</v>
      </c>
      <c r="C9129" s="5" t="s">
        <v>1577</v>
      </c>
      <c r="D9129" s="5" t="s">
        <v>58</v>
      </c>
      <c r="E9129" s="5" t="s">
        <v>52</v>
      </c>
      <c r="F9129" s="5" t="s">
        <v>70</v>
      </c>
      <c r="G9129" s="5" t="s">
        <v>123</v>
      </c>
      <c r="H9129" s="5" t="s">
        <v>307</v>
      </c>
      <c r="I9129" s="5" t="s">
        <v>32</v>
      </c>
      <c r="J9129" s="5">
        <v>17.041575000000002</v>
      </c>
      <c r="K9129" s="5">
        <v>-96.728836999999999</v>
      </c>
      <c r="L9129" s="5" t="str">
        <f>HYPERLINK("https://maps.google.com/?q=17.041575,-96.728836999999999", "🔗 Ver Mapa")</f>
        <v>🔗 Ver Mapa</v>
      </c>
    </row>
    <row r="9130" spans="1:12" ht="43.5" x14ac:dyDescent="0.35">
      <c r="A9130" s="6" t="s">
        <v>297</v>
      </c>
      <c r="B9130" s="6" t="s">
        <v>298</v>
      </c>
      <c r="C9130" s="6" t="s">
        <v>1577</v>
      </c>
      <c r="D9130" s="6" t="s">
        <v>58</v>
      </c>
      <c r="E9130" s="6" t="s">
        <v>52</v>
      </c>
      <c r="F9130" s="6" t="s">
        <v>70</v>
      </c>
      <c r="G9130" s="6" t="s">
        <v>123</v>
      </c>
      <c r="H9130" s="6" t="s">
        <v>307</v>
      </c>
      <c r="I9130" s="6" t="s">
        <v>32</v>
      </c>
      <c r="J9130" s="6">
        <v>17.041757</v>
      </c>
      <c r="K9130" s="6">
        <v>-96.727793000000005</v>
      </c>
      <c r="L9130" s="6" t="str">
        <f>HYPERLINK("https://maps.google.com/?q=17.041757,-96.727793000000005", "🔗 Ver Mapa")</f>
        <v>🔗 Ver Mapa</v>
      </c>
    </row>
    <row r="9131" spans="1:12" ht="43.5" x14ac:dyDescent="0.35">
      <c r="A9131" s="5" t="s">
        <v>297</v>
      </c>
      <c r="B9131" s="5" t="s">
        <v>298</v>
      </c>
      <c r="C9131" s="5" t="s">
        <v>1577</v>
      </c>
      <c r="D9131" s="5" t="s">
        <v>58</v>
      </c>
      <c r="E9131" s="5" t="s">
        <v>52</v>
      </c>
      <c r="F9131" s="5" t="s">
        <v>70</v>
      </c>
      <c r="G9131" s="5" t="s">
        <v>123</v>
      </c>
      <c r="H9131" s="5" t="s">
        <v>307</v>
      </c>
      <c r="I9131" s="5" t="s">
        <v>32</v>
      </c>
      <c r="J9131" s="5">
        <v>17.04176</v>
      </c>
      <c r="K9131" s="5">
        <v>-96.728335999999999</v>
      </c>
      <c r="L9131" s="5" t="str">
        <f>HYPERLINK("https://maps.google.com/?q=17.04176,-96.728335999999999", "🔗 Ver Mapa")</f>
        <v>🔗 Ver Mapa</v>
      </c>
    </row>
    <row r="9132" spans="1:12" ht="43.5" x14ac:dyDescent="0.35">
      <c r="A9132" s="6" t="s">
        <v>297</v>
      </c>
      <c r="B9132" s="6" t="s">
        <v>298</v>
      </c>
      <c r="C9132" s="6" t="s">
        <v>1577</v>
      </c>
      <c r="D9132" s="6" t="s">
        <v>58</v>
      </c>
      <c r="E9132" s="6" t="s">
        <v>52</v>
      </c>
      <c r="F9132" s="6" t="s">
        <v>70</v>
      </c>
      <c r="G9132" s="6" t="s">
        <v>123</v>
      </c>
      <c r="H9132" s="6" t="s">
        <v>307</v>
      </c>
      <c r="I9132" s="6" t="s">
        <v>32</v>
      </c>
      <c r="J9132" s="6">
        <v>17.04177</v>
      </c>
      <c r="K9132" s="6">
        <v>-96.728888999999995</v>
      </c>
      <c r="L9132" s="6" t="str">
        <f>HYPERLINK("https://maps.google.com/?q=17.04177,-96.728888999999995", "🔗 Ver Mapa")</f>
        <v>🔗 Ver Mapa</v>
      </c>
    </row>
    <row r="9133" spans="1:12" ht="43.5" x14ac:dyDescent="0.35">
      <c r="A9133" s="5" t="s">
        <v>297</v>
      </c>
      <c r="B9133" s="5" t="s">
        <v>298</v>
      </c>
      <c r="C9133" s="5" t="s">
        <v>1577</v>
      </c>
      <c r="D9133" s="5" t="s">
        <v>58</v>
      </c>
      <c r="E9133" s="5" t="s">
        <v>52</v>
      </c>
      <c r="F9133" s="5" t="s">
        <v>70</v>
      </c>
      <c r="G9133" s="5" t="s">
        <v>123</v>
      </c>
      <c r="H9133" s="5" t="s">
        <v>307</v>
      </c>
      <c r="I9133" s="5" t="s">
        <v>32</v>
      </c>
      <c r="J9133" s="5">
        <v>17.042195</v>
      </c>
      <c r="K9133" s="5">
        <v>-96.727847999999994</v>
      </c>
      <c r="L9133" s="5" t="str">
        <f>HYPERLINK("https://maps.google.com/?q=17.042195,-96.727847999999994", "🔗 Ver Mapa")</f>
        <v>🔗 Ver Mapa</v>
      </c>
    </row>
    <row r="9134" spans="1:12" ht="43.5" x14ac:dyDescent="0.35">
      <c r="A9134" s="6" t="s">
        <v>297</v>
      </c>
      <c r="B9134" s="6" t="s">
        <v>298</v>
      </c>
      <c r="C9134" s="6" t="s">
        <v>1577</v>
      </c>
      <c r="D9134" s="6" t="s">
        <v>58</v>
      </c>
      <c r="E9134" s="6" t="s">
        <v>52</v>
      </c>
      <c r="F9134" s="6" t="s">
        <v>70</v>
      </c>
      <c r="G9134" s="6" t="s">
        <v>123</v>
      </c>
      <c r="H9134" s="6" t="s">
        <v>307</v>
      </c>
      <c r="I9134" s="6" t="s">
        <v>32</v>
      </c>
      <c r="J9134" s="6">
        <v>17.042200999999999</v>
      </c>
      <c r="K9134" s="6">
        <v>-96.728465999999997</v>
      </c>
      <c r="L9134" s="6" t="str">
        <f>HYPERLINK("https://maps.google.com/?q=17.042201,-96.728465999999997", "🔗 Ver Mapa")</f>
        <v>🔗 Ver Mapa</v>
      </c>
    </row>
    <row r="9135" spans="1:12" ht="43.5" x14ac:dyDescent="0.35">
      <c r="A9135" s="5" t="s">
        <v>297</v>
      </c>
      <c r="B9135" s="5" t="s">
        <v>298</v>
      </c>
      <c r="C9135" s="5" t="s">
        <v>1577</v>
      </c>
      <c r="D9135" s="5" t="s">
        <v>58</v>
      </c>
      <c r="E9135" s="5" t="s">
        <v>52</v>
      </c>
      <c r="F9135" s="5" t="s">
        <v>70</v>
      </c>
      <c r="G9135" s="5" t="s">
        <v>123</v>
      </c>
      <c r="H9135" s="5" t="s">
        <v>307</v>
      </c>
      <c r="I9135" s="5" t="s">
        <v>32</v>
      </c>
      <c r="J9135" s="5">
        <v>17.042204999999999</v>
      </c>
      <c r="K9135" s="5">
        <v>-96.729023999999995</v>
      </c>
      <c r="L9135" s="5" t="str">
        <f>HYPERLINK("https://maps.google.com/?q=17.042205,-96.729023999999995", "🔗 Ver Mapa")</f>
        <v>🔗 Ver Mapa</v>
      </c>
    </row>
    <row r="9136" spans="1:12" ht="43.5" x14ac:dyDescent="0.35">
      <c r="A9136" s="6" t="s">
        <v>297</v>
      </c>
      <c r="B9136" s="6" t="s">
        <v>298</v>
      </c>
      <c r="C9136" s="6" t="s">
        <v>1577</v>
      </c>
      <c r="D9136" s="6" t="s">
        <v>58</v>
      </c>
      <c r="E9136" s="6" t="s">
        <v>52</v>
      </c>
      <c r="F9136" s="6" t="s">
        <v>70</v>
      </c>
      <c r="G9136" s="6" t="s">
        <v>123</v>
      </c>
      <c r="H9136" s="6" t="s">
        <v>307</v>
      </c>
      <c r="I9136" s="6" t="s">
        <v>32</v>
      </c>
      <c r="J9136" s="6">
        <v>17.042394000000002</v>
      </c>
      <c r="K9136" s="6">
        <v>-96.727869999999996</v>
      </c>
      <c r="L9136" s="6" t="str">
        <f>HYPERLINK("https://maps.google.com/?q=17.042394,-96.727869999999996", "🔗 Ver Mapa")</f>
        <v>🔗 Ver Mapa</v>
      </c>
    </row>
    <row r="9137" spans="1:12" ht="43.5" x14ac:dyDescent="0.35">
      <c r="A9137" s="5" t="s">
        <v>297</v>
      </c>
      <c r="B9137" s="5" t="s">
        <v>298</v>
      </c>
      <c r="C9137" s="5" t="s">
        <v>1577</v>
      </c>
      <c r="D9137" s="5" t="s">
        <v>58</v>
      </c>
      <c r="E9137" s="5" t="s">
        <v>52</v>
      </c>
      <c r="F9137" s="5" t="s">
        <v>70</v>
      </c>
      <c r="G9137" s="5" t="s">
        <v>123</v>
      </c>
      <c r="H9137" s="5" t="s">
        <v>307</v>
      </c>
      <c r="I9137" s="5" t="s">
        <v>32</v>
      </c>
      <c r="J9137" s="5">
        <v>17.042404999999999</v>
      </c>
      <c r="K9137" s="5">
        <v>-96.729096999999996</v>
      </c>
      <c r="L9137" s="5" t="str">
        <f>HYPERLINK("https://maps.google.com/?q=17.042405,-96.729096999999996", "🔗 Ver Mapa")</f>
        <v>🔗 Ver Mapa</v>
      </c>
    </row>
    <row r="9138" spans="1:12" ht="58" x14ac:dyDescent="0.35">
      <c r="A9138" s="6" t="s">
        <v>98</v>
      </c>
      <c r="B9138" s="6" t="s">
        <v>99</v>
      </c>
      <c r="C9138" s="6" t="s">
        <v>1578</v>
      </c>
      <c r="D9138" s="6" t="s">
        <v>14</v>
      </c>
      <c r="E9138" s="6" t="s">
        <v>52</v>
      </c>
      <c r="F9138" s="6" t="s">
        <v>83</v>
      </c>
      <c r="G9138" s="6" t="s">
        <v>1316</v>
      </c>
      <c r="H9138" s="6" t="s">
        <v>1340</v>
      </c>
      <c r="I9138" s="6" t="s">
        <v>31</v>
      </c>
      <c r="J9138" s="6">
        <v>16.969707981645001</v>
      </c>
      <c r="K9138" s="6">
        <v>-97.084050620867004</v>
      </c>
      <c r="L9138" s="6" t="str">
        <f>HYPERLINK("https://maps.google.com/?q=16.9697079816454,-97.084050620866805", "🔗 Ver Mapa")</f>
        <v>🔗 Ver Mapa</v>
      </c>
    </row>
    <row r="9139" spans="1:12" ht="58" x14ac:dyDescent="0.35">
      <c r="A9139" s="5" t="s">
        <v>98</v>
      </c>
      <c r="B9139" s="5" t="s">
        <v>99</v>
      </c>
      <c r="C9139" s="5" t="s">
        <v>1578</v>
      </c>
      <c r="D9139" s="5" t="s">
        <v>14</v>
      </c>
      <c r="E9139" s="5" t="s">
        <v>52</v>
      </c>
      <c r="F9139" s="5" t="s">
        <v>83</v>
      </c>
      <c r="G9139" s="5" t="s">
        <v>1316</v>
      </c>
      <c r="H9139" s="5" t="s">
        <v>1340</v>
      </c>
      <c r="I9139" s="5" t="s">
        <v>31</v>
      </c>
      <c r="J9139" s="5">
        <v>16.970141728175001</v>
      </c>
      <c r="K9139" s="5">
        <v>-97.087342702463999</v>
      </c>
      <c r="L9139" s="5" t="str">
        <f>HYPERLINK("https://maps.google.com/?q=16.9701417281749,-97.087342702463999", "🔗 Ver Mapa")</f>
        <v>🔗 Ver Mapa</v>
      </c>
    </row>
    <row r="9140" spans="1:12" ht="58" x14ac:dyDescent="0.35">
      <c r="A9140" s="6" t="s">
        <v>98</v>
      </c>
      <c r="B9140" s="6" t="s">
        <v>99</v>
      </c>
      <c r="C9140" s="6" t="s">
        <v>1578</v>
      </c>
      <c r="D9140" s="6" t="s">
        <v>14</v>
      </c>
      <c r="E9140" s="6" t="s">
        <v>52</v>
      </c>
      <c r="F9140" s="6" t="s">
        <v>83</v>
      </c>
      <c r="G9140" s="6" t="s">
        <v>1316</v>
      </c>
      <c r="H9140" s="6" t="s">
        <v>1340</v>
      </c>
      <c r="I9140" s="6" t="s">
        <v>31</v>
      </c>
      <c r="J9140" s="6">
        <v>16.971184914035</v>
      </c>
      <c r="K9140" s="6">
        <v>-97.083792446014996</v>
      </c>
      <c r="L9140" s="6" t="str">
        <f>HYPERLINK("https://maps.google.com/?q=16.9711849140349,-97.083792446015295", "🔗 Ver Mapa")</f>
        <v>🔗 Ver Mapa</v>
      </c>
    </row>
    <row r="9141" spans="1:12" ht="58" x14ac:dyDescent="0.35">
      <c r="A9141" s="5" t="s">
        <v>98</v>
      </c>
      <c r="B9141" s="5" t="s">
        <v>99</v>
      </c>
      <c r="C9141" s="5" t="s">
        <v>1578</v>
      </c>
      <c r="D9141" s="5" t="s">
        <v>14</v>
      </c>
      <c r="E9141" s="5" t="s">
        <v>52</v>
      </c>
      <c r="F9141" s="5" t="s">
        <v>83</v>
      </c>
      <c r="G9141" s="5" t="s">
        <v>1316</v>
      </c>
      <c r="H9141" s="5" t="s">
        <v>1340</v>
      </c>
      <c r="I9141" s="5" t="s">
        <v>31</v>
      </c>
      <c r="J9141" s="5">
        <v>16.971238373988999</v>
      </c>
      <c r="K9141" s="5">
        <v>-97.085085798777001</v>
      </c>
      <c r="L9141" s="5" t="str">
        <f>HYPERLINK("https://maps.google.com/?q=16.9712383739892,-97.085085798776603", "🔗 Ver Mapa")</f>
        <v>🔗 Ver Mapa</v>
      </c>
    </row>
    <row r="9142" spans="1:12" ht="58" x14ac:dyDescent="0.35">
      <c r="A9142" s="6" t="s">
        <v>98</v>
      </c>
      <c r="B9142" s="6" t="s">
        <v>99</v>
      </c>
      <c r="C9142" s="6" t="s">
        <v>1578</v>
      </c>
      <c r="D9142" s="6" t="s">
        <v>14</v>
      </c>
      <c r="E9142" s="6" t="s">
        <v>52</v>
      </c>
      <c r="F9142" s="6" t="s">
        <v>83</v>
      </c>
      <c r="G9142" s="6" t="s">
        <v>1316</v>
      </c>
      <c r="H9142" s="6" t="s">
        <v>1340</v>
      </c>
      <c r="I9142" s="6" t="s">
        <v>31</v>
      </c>
      <c r="J9142" s="6">
        <v>16.971318172324999</v>
      </c>
      <c r="K9142" s="6">
        <v>-97.083167114122006</v>
      </c>
      <c r="L9142" s="6" t="str">
        <f>HYPERLINK("https://maps.google.com/?q=16.9713181723253,-97.083167114122006", "🔗 Ver Mapa")</f>
        <v>🔗 Ver Mapa</v>
      </c>
    </row>
    <row r="9143" spans="1:12" ht="58" x14ac:dyDescent="0.35">
      <c r="A9143" s="5" t="s">
        <v>98</v>
      </c>
      <c r="B9143" s="5" t="s">
        <v>99</v>
      </c>
      <c r="C9143" s="5" t="s">
        <v>1578</v>
      </c>
      <c r="D9143" s="5" t="s">
        <v>14</v>
      </c>
      <c r="E9143" s="5" t="s">
        <v>52</v>
      </c>
      <c r="F9143" s="5" t="s">
        <v>83</v>
      </c>
      <c r="G9143" s="5" t="s">
        <v>1316</v>
      </c>
      <c r="H9143" s="5" t="s">
        <v>1340</v>
      </c>
      <c r="I9143" s="5" t="s">
        <v>31</v>
      </c>
      <c r="J9143" s="5">
        <v>16.972165</v>
      </c>
      <c r="K9143" s="5">
        <v>-97.086849999999998</v>
      </c>
      <c r="L9143" s="5" t="str">
        <f>HYPERLINK("https://maps.google.com/?q=16.972165,-97.086849999999998", "🔗 Ver Mapa")</f>
        <v>🔗 Ver Mapa</v>
      </c>
    </row>
    <row r="9144" spans="1:12" ht="58" x14ac:dyDescent="0.35">
      <c r="A9144" s="6" t="s">
        <v>98</v>
      </c>
      <c r="B9144" s="6" t="s">
        <v>99</v>
      </c>
      <c r="C9144" s="6" t="s">
        <v>1578</v>
      </c>
      <c r="D9144" s="6" t="s">
        <v>14</v>
      </c>
      <c r="E9144" s="6" t="s">
        <v>52</v>
      </c>
      <c r="F9144" s="6" t="s">
        <v>83</v>
      </c>
      <c r="G9144" s="6" t="s">
        <v>1316</v>
      </c>
      <c r="H9144" s="6" t="s">
        <v>1340</v>
      </c>
      <c r="I9144" s="6" t="s">
        <v>31</v>
      </c>
      <c r="J9144" s="6">
        <v>16.972627917953002</v>
      </c>
      <c r="K9144" s="6">
        <v>-97.085119232425001</v>
      </c>
      <c r="L9144" s="6" t="str">
        <f>HYPERLINK("https://maps.google.com/?q=16.972627917953,-97.085119232425399", "🔗 Ver Mapa")</f>
        <v>🔗 Ver Mapa</v>
      </c>
    </row>
    <row r="9145" spans="1:12" ht="58" x14ac:dyDescent="0.35">
      <c r="A9145" s="5" t="s">
        <v>98</v>
      </c>
      <c r="B9145" s="5" t="s">
        <v>99</v>
      </c>
      <c r="C9145" s="5" t="s">
        <v>1578</v>
      </c>
      <c r="D9145" s="5" t="s">
        <v>14</v>
      </c>
      <c r="E9145" s="5" t="s">
        <v>52</v>
      </c>
      <c r="F9145" s="5" t="s">
        <v>83</v>
      </c>
      <c r="G9145" s="5" t="s">
        <v>1316</v>
      </c>
      <c r="H9145" s="5" t="s">
        <v>1340</v>
      </c>
      <c r="I9145" s="5" t="s">
        <v>31</v>
      </c>
      <c r="J9145" s="5">
        <v>16.973250103451999</v>
      </c>
      <c r="K9145" s="5">
        <v>-97.087416930059007</v>
      </c>
      <c r="L9145" s="5" t="str">
        <f>HYPERLINK("https://maps.google.com/?q=16.9732501034524,-97.087416930059405", "🔗 Ver Mapa")</f>
        <v>🔗 Ver Mapa</v>
      </c>
    </row>
    <row r="9146" spans="1:12" ht="58" x14ac:dyDescent="0.35">
      <c r="A9146" s="6" t="s">
        <v>98</v>
      </c>
      <c r="B9146" s="6" t="s">
        <v>99</v>
      </c>
      <c r="C9146" s="6" t="s">
        <v>1578</v>
      </c>
      <c r="D9146" s="6" t="s">
        <v>14</v>
      </c>
      <c r="E9146" s="6" t="s">
        <v>52</v>
      </c>
      <c r="F9146" s="6" t="s">
        <v>83</v>
      </c>
      <c r="G9146" s="6" t="s">
        <v>1316</v>
      </c>
      <c r="H9146" s="6" t="s">
        <v>1340</v>
      </c>
      <c r="I9146" s="6" t="s">
        <v>31</v>
      </c>
      <c r="J9146" s="6">
        <v>16.973534999999998</v>
      </c>
      <c r="K9146" s="6">
        <v>-97.087316000000001</v>
      </c>
      <c r="L9146" s="6" t="str">
        <f>HYPERLINK("https://maps.google.com/?q=16.973535,-97.087316000000001", "🔗 Ver Mapa")</f>
        <v>🔗 Ver Mapa</v>
      </c>
    </row>
    <row r="9147" spans="1:12" ht="58" x14ac:dyDescent="0.35">
      <c r="A9147" s="5" t="s">
        <v>98</v>
      </c>
      <c r="B9147" s="5" t="s">
        <v>99</v>
      </c>
      <c r="C9147" s="5" t="s">
        <v>1578</v>
      </c>
      <c r="D9147" s="5" t="s">
        <v>14</v>
      </c>
      <c r="E9147" s="5" t="s">
        <v>52</v>
      </c>
      <c r="F9147" s="5" t="s">
        <v>83</v>
      </c>
      <c r="G9147" s="5" t="s">
        <v>1316</v>
      </c>
      <c r="H9147" s="5" t="s">
        <v>1340</v>
      </c>
      <c r="I9147" s="5" t="s">
        <v>31</v>
      </c>
      <c r="J9147" s="5">
        <v>16.973732027968001</v>
      </c>
      <c r="K9147" s="5">
        <v>-97.086449669974996</v>
      </c>
      <c r="L9147" s="5" t="str">
        <f>HYPERLINK("https://maps.google.com/?q=16.9737320279682,-97.086449669975394", "🔗 Ver Mapa")</f>
        <v>🔗 Ver Mapa</v>
      </c>
    </row>
    <row r="9148" spans="1:12" ht="58" x14ac:dyDescent="0.35">
      <c r="A9148" s="6" t="s">
        <v>98</v>
      </c>
      <c r="B9148" s="6" t="s">
        <v>99</v>
      </c>
      <c r="C9148" s="6" t="s">
        <v>1578</v>
      </c>
      <c r="D9148" s="6" t="s">
        <v>14</v>
      </c>
      <c r="E9148" s="6" t="s">
        <v>52</v>
      </c>
      <c r="F9148" s="6" t="s">
        <v>83</v>
      </c>
      <c r="G9148" s="6" t="s">
        <v>1316</v>
      </c>
      <c r="H9148" s="6" t="s">
        <v>1340</v>
      </c>
      <c r="I9148" s="6" t="s">
        <v>31</v>
      </c>
      <c r="J9148" s="6">
        <v>16.973797264133999</v>
      </c>
      <c r="K9148" s="6">
        <v>-97.087619574239994</v>
      </c>
      <c r="L9148" s="6" t="str">
        <f>HYPERLINK("https://maps.google.com/?q=16.9737972641343,-97.087619574239895", "🔗 Ver Mapa")</f>
        <v>🔗 Ver Mapa</v>
      </c>
    </row>
    <row r="9149" spans="1:12" ht="58" x14ac:dyDescent="0.35">
      <c r="A9149" s="5" t="s">
        <v>98</v>
      </c>
      <c r="B9149" s="5" t="s">
        <v>99</v>
      </c>
      <c r="C9149" s="5" t="s">
        <v>1578</v>
      </c>
      <c r="D9149" s="5" t="s">
        <v>14</v>
      </c>
      <c r="E9149" s="5" t="s">
        <v>52</v>
      </c>
      <c r="F9149" s="5" t="s">
        <v>83</v>
      </c>
      <c r="G9149" s="5" t="s">
        <v>1316</v>
      </c>
      <c r="H9149" s="5" t="s">
        <v>1340</v>
      </c>
      <c r="I9149" s="5" t="s">
        <v>31</v>
      </c>
      <c r="J9149" s="5">
        <v>16.973876000000001</v>
      </c>
      <c r="K9149" s="5">
        <v>-97.086461</v>
      </c>
      <c r="L9149" s="5" t="str">
        <f>HYPERLINK("https://maps.google.com/?q=16.973876,-97.086461", "🔗 Ver Mapa")</f>
        <v>🔗 Ver Mapa</v>
      </c>
    </row>
    <row r="9150" spans="1:12" ht="58" x14ac:dyDescent="0.35">
      <c r="A9150" s="6" t="s">
        <v>98</v>
      </c>
      <c r="B9150" s="6" t="s">
        <v>99</v>
      </c>
      <c r="C9150" s="6" t="s">
        <v>1578</v>
      </c>
      <c r="D9150" s="6" t="s">
        <v>14</v>
      </c>
      <c r="E9150" s="6" t="s">
        <v>52</v>
      </c>
      <c r="F9150" s="6" t="s">
        <v>83</v>
      </c>
      <c r="G9150" s="6" t="s">
        <v>1316</v>
      </c>
      <c r="H9150" s="6" t="s">
        <v>1340</v>
      </c>
      <c r="I9150" s="6" t="s">
        <v>31</v>
      </c>
      <c r="J9150" s="6">
        <v>16.974159555741998</v>
      </c>
      <c r="K9150" s="6">
        <v>-97.086575338046003</v>
      </c>
      <c r="L9150" s="6" t="str">
        <f>HYPERLINK("https://maps.google.com/?q=16.9741595557418,-97.086575338046003", "🔗 Ver Mapa")</f>
        <v>🔗 Ver Mapa</v>
      </c>
    </row>
    <row r="9151" spans="1:12" ht="58" x14ac:dyDescent="0.35">
      <c r="A9151" s="5" t="s">
        <v>98</v>
      </c>
      <c r="B9151" s="5" t="s">
        <v>99</v>
      </c>
      <c r="C9151" s="5" t="s">
        <v>1578</v>
      </c>
      <c r="D9151" s="5" t="s">
        <v>14</v>
      </c>
      <c r="E9151" s="5" t="s">
        <v>52</v>
      </c>
      <c r="F9151" s="5" t="s">
        <v>83</v>
      </c>
      <c r="G9151" s="5" t="s">
        <v>1316</v>
      </c>
      <c r="H9151" s="5" t="s">
        <v>1340</v>
      </c>
      <c r="I9151" s="5" t="s">
        <v>31</v>
      </c>
      <c r="J9151" s="5">
        <v>16.974315865748999</v>
      </c>
      <c r="K9151" s="5">
        <v>-97.088382890229994</v>
      </c>
      <c r="L9151" s="5" t="str">
        <f>HYPERLINK("https://maps.google.com/?q=16.9743158657493,-97.088382890229994", "🔗 Ver Mapa")</f>
        <v>🔗 Ver Mapa</v>
      </c>
    </row>
    <row r="9152" spans="1:12" ht="58" x14ac:dyDescent="0.35">
      <c r="A9152" s="6" t="s">
        <v>98</v>
      </c>
      <c r="B9152" s="6" t="s">
        <v>99</v>
      </c>
      <c r="C9152" s="6" t="s">
        <v>1578</v>
      </c>
      <c r="D9152" s="6" t="s">
        <v>14</v>
      </c>
      <c r="E9152" s="6" t="s">
        <v>52</v>
      </c>
      <c r="F9152" s="6" t="s">
        <v>83</v>
      </c>
      <c r="G9152" s="6" t="s">
        <v>1316</v>
      </c>
      <c r="H9152" s="6" t="s">
        <v>1340</v>
      </c>
      <c r="I9152" s="6" t="s">
        <v>31</v>
      </c>
      <c r="J9152" s="6">
        <v>16.974796999999999</v>
      </c>
      <c r="K9152" s="6">
        <v>-97.086899000000003</v>
      </c>
      <c r="L9152" s="6" t="str">
        <f>HYPERLINK("https://maps.google.com/?q=16.974797,-97.086899000000003", "🔗 Ver Mapa")</f>
        <v>🔗 Ver Mapa</v>
      </c>
    </row>
    <row r="9153" spans="1:12" ht="43.5" x14ac:dyDescent="0.35">
      <c r="A9153" s="5" t="s">
        <v>98</v>
      </c>
      <c r="B9153" s="5" t="s">
        <v>99</v>
      </c>
      <c r="C9153" s="5" t="s">
        <v>1579</v>
      </c>
      <c r="D9153" s="5" t="s">
        <v>14</v>
      </c>
      <c r="E9153" s="5" t="s">
        <v>52</v>
      </c>
      <c r="F9153" s="5" t="s">
        <v>83</v>
      </c>
      <c r="G9153" s="5" t="s">
        <v>1316</v>
      </c>
      <c r="H9153" s="5" t="s">
        <v>1580</v>
      </c>
      <c r="I9153" s="5" t="s">
        <v>31</v>
      </c>
      <c r="J9153" s="5">
        <v>16.999529261271999</v>
      </c>
      <c r="K9153" s="5">
        <v>-96.967144868568994</v>
      </c>
      <c r="L9153" s="5" t="str">
        <f>HYPERLINK("https://maps.google.com/?q=16.9995292612718,-96.967144868569093", "🔗 Ver Mapa")</f>
        <v>🔗 Ver Mapa</v>
      </c>
    </row>
    <row r="9154" spans="1:12" ht="43.5" x14ac:dyDescent="0.35">
      <c r="A9154" s="6" t="s">
        <v>98</v>
      </c>
      <c r="B9154" s="6" t="s">
        <v>99</v>
      </c>
      <c r="C9154" s="6" t="s">
        <v>1579</v>
      </c>
      <c r="D9154" s="6" t="s">
        <v>14</v>
      </c>
      <c r="E9154" s="6" t="s">
        <v>52</v>
      </c>
      <c r="F9154" s="6" t="s">
        <v>83</v>
      </c>
      <c r="G9154" s="6" t="s">
        <v>1316</v>
      </c>
      <c r="H9154" s="6" t="s">
        <v>1580</v>
      </c>
      <c r="I9154" s="6" t="s">
        <v>31</v>
      </c>
      <c r="J9154" s="6">
        <v>16.999727729255</v>
      </c>
      <c r="K9154" s="6">
        <v>-96.968616730766001</v>
      </c>
      <c r="L9154" s="6" t="str">
        <f>HYPERLINK("https://maps.google.com/?q=16.9997277292549,-96.968616730765802", "🔗 Ver Mapa")</f>
        <v>🔗 Ver Mapa</v>
      </c>
    </row>
    <row r="9155" spans="1:12" ht="43.5" x14ac:dyDescent="0.35">
      <c r="A9155" s="5" t="s">
        <v>98</v>
      </c>
      <c r="B9155" s="5" t="s">
        <v>99</v>
      </c>
      <c r="C9155" s="5" t="s">
        <v>1579</v>
      </c>
      <c r="D9155" s="5" t="s">
        <v>14</v>
      </c>
      <c r="E9155" s="5" t="s">
        <v>52</v>
      </c>
      <c r="F9155" s="5" t="s">
        <v>83</v>
      </c>
      <c r="G9155" s="5" t="s">
        <v>1316</v>
      </c>
      <c r="H9155" s="5" t="s">
        <v>1580</v>
      </c>
      <c r="I9155" s="5" t="s">
        <v>31</v>
      </c>
      <c r="J9155" s="5">
        <v>17.000058615635002</v>
      </c>
      <c r="K9155" s="5">
        <v>-96.968428305581995</v>
      </c>
      <c r="L9155" s="5" t="str">
        <f>HYPERLINK("https://maps.google.com/?q=17.0000586156351,-96.968428305582407", "🔗 Ver Mapa")</f>
        <v>🔗 Ver Mapa</v>
      </c>
    </row>
    <row r="9156" spans="1:12" ht="43.5" x14ac:dyDescent="0.35">
      <c r="A9156" s="6" t="s">
        <v>98</v>
      </c>
      <c r="B9156" s="6" t="s">
        <v>99</v>
      </c>
      <c r="C9156" s="6" t="s">
        <v>1579</v>
      </c>
      <c r="D9156" s="6" t="s">
        <v>14</v>
      </c>
      <c r="E9156" s="6" t="s">
        <v>52</v>
      </c>
      <c r="F9156" s="6" t="s">
        <v>83</v>
      </c>
      <c r="G9156" s="6" t="s">
        <v>1316</v>
      </c>
      <c r="H9156" s="6" t="s">
        <v>1580</v>
      </c>
      <c r="I9156" s="6" t="s">
        <v>31</v>
      </c>
      <c r="J9156" s="6">
        <v>17.000724611953999</v>
      </c>
      <c r="K9156" s="6">
        <v>-96.965927061501006</v>
      </c>
      <c r="L9156" s="6" t="str">
        <f>HYPERLINK("https://maps.google.com/?q=17.0007246119542,-96.965927061501105", "🔗 Ver Mapa")</f>
        <v>🔗 Ver Mapa</v>
      </c>
    </row>
    <row r="9157" spans="1:12" ht="43.5" x14ac:dyDescent="0.35">
      <c r="A9157" s="5" t="s">
        <v>98</v>
      </c>
      <c r="B9157" s="5" t="s">
        <v>99</v>
      </c>
      <c r="C9157" s="5" t="s">
        <v>1579</v>
      </c>
      <c r="D9157" s="5" t="s">
        <v>14</v>
      </c>
      <c r="E9157" s="5" t="s">
        <v>52</v>
      </c>
      <c r="F9157" s="5" t="s">
        <v>83</v>
      </c>
      <c r="G9157" s="5" t="s">
        <v>1316</v>
      </c>
      <c r="H9157" s="5" t="s">
        <v>1580</v>
      </c>
      <c r="I9157" s="5" t="s">
        <v>31</v>
      </c>
      <c r="J9157" s="5">
        <v>17.001569401689999</v>
      </c>
      <c r="K9157" s="5">
        <v>-96.959243236686007</v>
      </c>
      <c r="L9157" s="5" t="str">
        <f>HYPERLINK("https://maps.google.com/?q=17.0015694016901,-96.959243236686106", "🔗 Ver Mapa")</f>
        <v>🔗 Ver Mapa</v>
      </c>
    </row>
    <row r="9158" spans="1:12" ht="43.5" x14ac:dyDescent="0.35">
      <c r="A9158" s="6" t="s">
        <v>98</v>
      </c>
      <c r="B9158" s="6" t="s">
        <v>99</v>
      </c>
      <c r="C9158" s="6" t="s">
        <v>1579</v>
      </c>
      <c r="D9158" s="6" t="s">
        <v>14</v>
      </c>
      <c r="E9158" s="6" t="s">
        <v>52</v>
      </c>
      <c r="F9158" s="6" t="s">
        <v>83</v>
      </c>
      <c r="G9158" s="6" t="s">
        <v>1316</v>
      </c>
      <c r="H9158" s="6" t="s">
        <v>1580</v>
      </c>
      <c r="I9158" s="6" t="s">
        <v>31</v>
      </c>
      <c r="J9158" s="6">
        <v>17.001829747767001</v>
      </c>
      <c r="K9158" s="6">
        <v>-96.966227439999003</v>
      </c>
      <c r="L9158" s="6" t="str">
        <f>HYPERLINK("https://maps.google.com/?q=17.0018297477668,-96.966227439999201", "🔗 Ver Mapa")</f>
        <v>🔗 Ver Mapa</v>
      </c>
    </row>
    <row r="9159" spans="1:12" ht="43.5" x14ac:dyDescent="0.35">
      <c r="A9159" s="5" t="s">
        <v>98</v>
      </c>
      <c r="B9159" s="5" t="s">
        <v>99</v>
      </c>
      <c r="C9159" s="5" t="s">
        <v>1579</v>
      </c>
      <c r="D9159" s="5" t="s">
        <v>14</v>
      </c>
      <c r="E9159" s="5" t="s">
        <v>52</v>
      </c>
      <c r="F9159" s="5" t="s">
        <v>83</v>
      </c>
      <c r="G9159" s="5" t="s">
        <v>1316</v>
      </c>
      <c r="H9159" s="5" t="s">
        <v>1580</v>
      </c>
      <c r="I9159" s="5" t="s">
        <v>31</v>
      </c>
      <c r="J9159" s="5">
        <v>17.002476120491998</v>
      </c>
      <c r="K9159" s="5">
        <v>-96.958430100803994</v>
      </c>
      <c r="L9159" s="5" t="str">
        <f>HYPERLINK("https://maps.google.com/?q=17.002476120492,-96.958430100804193", "🔗 Ver Mapa")</f>
        <v>🔗 Ver Mapa</v>
      </c>
    </row>
    <row r="9160" spans="1:12" ht="43.5" x14ac:dyDescent="0.35">
      <c r="A9160" s="6" t="s">
        <v>98</v>
      </c>
      <c r="B9160" s="6" t="s">
        <v>99</v>
      </c>
      <c r="C9160" s="6" t="s">
        <v>1579</v>
      </c>
      <c r="D9160" s="6" t="s">
        <v>14</v>
      </c>
      <c r="E9160" s="6" t="s">
        <v>52</v>
      </c>
      <c r="F9160" s="6" t="s">
        <v>83</v>
      </c>
      <c r="G9160" s="6" t="s">
        <v>1316</v>
      </c>
      <c r="H9160" s="6" t="s">
        <v>1580</v>
      </c>
      <c r="I9160" s="6" t="s">
        <v>31</v>
      </c>
      <c r="J9160" s="6">
        <v>17.002476120491998</v>
      </c>
      <c r="K9160" s="6">
        <v>-96.966162174241006</v>
      </c>
      <c r="L9160" s="6" t="str">
        <f>HYPERLINK("https://maps.google.com/?q=17.002476120492,-96.966162174241006", "🔗 Ver Mapa")</f>
        <v>🔗 Ver Mapa</v>
      </c>
    </row>
    <row r="9161" spans="1:12" ht="43.5" x14ac:dyDescent="0.35">
      <c r="A9161" s="5" t="s">
        <v>98</v>
      </c>
      <c r="B9161" s="5" t="s">
        <v>99</v>
      </c>
      <c r="C9161" s="5" t="s">
        <v>1579</v>
      </c>
      <c r="D9161" s="5" t="s">
        <v>14</v>
      </c>
      <c r="E9161" s="5" t="s">
        <v>52</v>
      </c>
      <c r="F9161" s="5" t="s">
        <v>83</v>
      </c>
      <c r="G9161" s="5" t="s">
        <v>1316</v>
      </c>
      <c r="H9161" s="5" t="s">
        <v>1580</v>
      </c>
      <c r="I9161" s="5" t="s">
        <v>31</v>
      </c>
      <c r="J9161" s="5">
        <v>17.002563331809998</v>
      </c>
      <c r="K9161" s="5">
        <v>-96.958588508724006</v>
      </c>
      <c r="L9161" s="5" t="str">
        <f>HYPERLINK("https://maps.google.com/?q=17.00256333181,-96.958588508723594", "🔗 Ver Mapa")</f>
        <v>🔗 Ver Mapa</v>
      </c>
    </row>
    <row r="9162" spans="1:12" ht="43.5" x14ac:dyDescent="0.35">
      <c r="A9162" s="6" t="s">
        <v>98</v>
      </c>
      <c r="B9162" s="6" t="s">
        <v>99</v>
      </c>
      <c r="C9162" s="6" t="s">
        <v>1579</v>
      </c>
      <c r="D9162" s="6" t="s">
        <v>14</v>
      </c>
      <c r="E9162" s="6" t="s">
        <v>52</v>
      </c>
      <c r="F9162" s="6" t="s">
        <v>83</v>
      </c>
      <c r="G9162" s="6" t="s">
        <v>1316</v>
      </c>
      <c r="H9162" s="6" t="s">
        <v>1580</v>
      </c>
      <c r="I9162" s="6" t="s">
        <v>31</v>
      </c>
      <c r="J9162" s="6">
        <v>17.002637716045001</v>
      </c>
      <c r="K9162" s="6">
        <v>-96.965726312054997</v>
      </c>
      <c r="L9162" s="6" t="str">
        <f>HYPERLINK("https://maps.google.com/?q=17.0026377160454,-96.965726312055196", "🔗 Ver Mapa")</f>
        <v>🔗 Ver Mapa</v>
      </c>
    </row>
    <row r="9163" spans="1:12" ht="43.5" x14ac:dyDescent="0.35">
      <c r="A9163" s="5" t="s">
        <v>98</v>
      </c>
      <c r="B9163" s="5" t="s">
        <v>99</v>
      </c>
      <c r="C9163" s="5" t="s">
        <v>1579</v>
      </c>
      <c r="D9163" s="5" t="s">
        <v>14</v>
      </c>
      <c r="E9163" s="5" t="s">
        <v>52</v>
      </c>
      <c r="F9163" s="5" t="s">
        <v>83</v>
      </c>
      <c r="G9163" s="5" t="s">
        <v>1316</v>
      </c>
      <c r="H9163" s="5" t="s">
        <v>1580</v>
      </c>
      <c r="I9163" s="5" t="s">
        <v>31</v>
      </c>
      <c r="J9163" s="5">
        <v>17.00269286296</v>
      </c>
      <c r="K9163" s="5">
        <v>-96.959968442565</v>
      </c>
      <c r="L9163" s="5" t="str">
        <f>HYPERLINK("https://maps.google.com/?q=17.0026928629596,-96.959968442565298", "🔗 Ver Mapa")</f>
        <v>🔗 Ver Mapa</v>
      </c>
    </row>
    <row r="9164" spans="1:12" ht="43.5" x14ac:dyDescent="0.35">
      <c r="A9164" s="6" t="s">
        <v>98</v>
      </c>
      <c r="B9164" s="6" t="s">
        <v>99</v>
      </c>
      <c r="C9164" s="6" t="s">
        <v>1579</v>
      </c>
      <c r="D9164" s="6" t="s">
        <v>14</v>
      </c>
      <c r="E9164" s="6" t="s">
        <v>52</v>
      </c>
      <c r="F9164" s="6" t="s">
        <v>83</v>
      </c>
      <c r="G9164" s="6" t="s">
        <v>1316</v>
      </c>
      <c r="H9164" s="6" t="s">
        <v>1580</v>
      </c>
      <c r="I9164" s="6" t="s">
        <v>31</v>
      </c>
      <c r="J9164" s="6">
        <v>17.002771094600998</v>
      </c>
      <c r="K9164" s="6">
        <v>-96.957828284171001</v>
      </c>
      <c r="L9164" s="6" t="str">
        <f>HYPERLINK("https://maps.google.com/?q=17.0027710946009,-96.957828284171498", "🔗 Ver Mapa")</f>
        <v>🔗 Ver Mapa</v>
      </c>
    </row>
    <row r="9165" spans="1:12" ht="43.5" x14ac:dyDescent="0.35">
      <c r="A9165" s="5" t="s">
        <v>98</v>
      </c>
      <c r="B9165" s="5" t="s">
        <v>99</v>
      </c>
      <c r="C9165" s="5" t="s">
        <v>1579</v>
      </c>
      <c r="D9165" s="5" t="s">
        <v>14</v>
      </c>
      <c r="E9165" s="5" t="s">
        <v>52</v>
      </c>
      <c r="F9165" s="5" t="s">
        <v>83</v>
      </c>
      <c r="G9165" s="5" t="s">
        <v>1316</v>
      </c>
      <c r="H9165" s="5" t="s">
        <v>1580</v>
      </c>
      <c r="I9165" s="5" t="s">
        <v>31</v>
      </c>
      <c r="J9165" s="5">
        <v>17.002845478754001</v>
      </c>
      <c r="K9165" s="5">
        <v>-96.965108062585003</v>
      </c>
      <c r="L9165" s="5" t="str">
        <f>HYPERLINK("https://maps.google.com/?q=17.0028454787536,-96.965108062584804", "🔗 Ver Mapa")</f>
        <v>🔗 Ver Mapa</v>
      </c>
    </row>
    <row r="9166" spans="1:12" ht="43.5" x14ac:dyDescent="0.35">
      <c r="A9166" s="6" t="s">
        <v>98</v>
      </c>
      <c r="B9166" s="6" t="s">
        <v>99</v>
      </c>
      <c r="C9166" s="6" t="s">
        <v>1579</v>
      </c>
      <c r="D9166" s="6" t="s">
        <v>14</v>
      </c>
      <c r="E9166" s="6" t="s">
        <v>52</v>
      </c>
      <c r="F9166" s="6" t="s">
        <v>83</v>
      </c>
      <c r="G9166" s="6" t="s">
        <v>1316</v>
      </c>
      <c r="H9166" s="6" t="s">
        <v>1580</v>
      </c>
      <c r="I9166" s="6" t="s">
        <v>31</v>
      </c>
      <c r="J9166" s="6">
        <v>17.002896778153001</v>
      </c>
      <c r="K9166" s="6">
        <v>-96.957928685306001</v>
      </c>
      <c r="L9166" s="6" t="str">
        <f>HYPERLINK("https://maps.google.com/?q=17.0028967781528,-96.957928685305703", "🔗 Ver Mapa")</f>
        <v>🔗 Ver Mapa</v>
      </c>
    </row>
    <row r="9167" spans="1:12" ht="43.5" x14ac:dyDescent="0.35">
      <c r="A9167" s="5" t="s">
        <v>98</v>
      </c>
      <c r="B9167" s="5" t="s">
        <v>99</v>
      </c>
      <c r="C9167" s="5" t="s">
        <v>1579</v>
      </c>
      <c r="D9167" s="5" t="s">
        <v>14</v>
      </c>
      <c r="E9167" s="5" t="s">
        <v>52</v>
      </c>
      <c r="F9167" s="5" t="s">
        <v>83</v>
      </c>
      <c r="G9167" s="5" t="s">
        <v>1316</v>
      </c>
      <c r="H9167" s="5" t="s">
        <v>1580</v>
      </c>
      <c r="I9167" s="5" t="s">
        <v>31</v>
      </c>
      <c r="J9167" s="5">
        <v>17.002940382630999</v>
      </c>
      <c r="K9167" s="5">
        <v>-96.965918980441003</v>
      </c>
      <c r="L9167" s="5" t="str">
        <f>HYPERLINK("https://maps.google.com/?q=17.0029403826307,-96.965918980440605", "🔗 Ver Mapa")</f>
        <v>🔗 Ver Mapa</v>
      </c>
    </row>
    <row r="9168" spans="1:12" ht="43.5" x14ac:dyDescent="0.35">
      <c r="A9168" s="6" t="s">
        <v>98</v>
      </c>
      <c r="B9168" s="6" t="s">
        <v>99</v>
      </c>
      <c r="C9168" s="6" t="s">
        <v>1579</v>
      </c>
      <c r="D9168" s="6" t="s">
        <v>14</v>
      </c>
      <c r="E9168" s="6" t="s">
        <v>52</v>
      </c>
      <c r="F9168" s="6" t="s">
        <v>83</v>
      </c>
      <c r="G9168" s="6" t="s">
        <v>1316</v>
      </c>
      <c r="H9168" s="6" t="s">
        <v>1580</v>
      </c>
      <c r="I9168" s="6" t="s">
        <v>31</v>
      </c>
      <c r="J9168" s="6">
        <v>17.003414901292999</v>
      </c>
      <c r="K9168" s="6">
        <v>-96.967635874888998</v>
      </c>
      <c r="L9168" s="6" t="str">
        <f>HYPERLINK("https://maps.google.com/?q=17.0034149012928,-96.967635874888799", "🔗 Ver Mapa")</f>
        <v>🔗 Ver Mapa</v>
      </c>
    </row>
    <row r="9169" spans="1:12" ht="43.5" x14ac:dyDescent="0.35">
      <c r="A9169" s="5" t="s">
        <v>98</v>
      </c>
      <c r="B9169" s="5" t="s">
        <v>99</v>
      </c>
      <c r="C9169" s="5" t="s">
        <v>1579</v>
      </c>
      <c r="D9169" s="5" t="s">
        <v>14</v>
      </c>
      <c r="E9169" s="5" t="s">
        <v>52</v>
      </c>
      <c r="F9169" s="5" t="s">
        <v>83</v>
      </c>
      <c r="G9169" s="5" t="s">
        <v>1316</v>
      </c>
      <c r="H9169" s="5" t="s">
        <v>1580</v>
      </c>
      <c r="I9169" s="5" t="s">
        <v>31</v>
      </c>
      <c r="J9169" s="5">
        <v>17.003699611913</v>
      </c>
      <c r="K9169" s="5">
        <v>-96.964423468565997</v>
      </c>
      <c r="L9169" s="5" t="str">
        <f>HYPERLINK("https://maps.google.com/?q=17.0036996119129,-96.964423468566295", "🔗 Ver Mapa")</f>
        <v>🔗 Ver Mapa</v>
      </c>
    </row>
    <row r="9170" spans="1:12" ht="43.5" x14ac:dyDescent="0.35">
      <c r="A9170" s="6" t="s">
        <v>98</v>
      </c>
      <c r="B9170" s="6" t="s">
        <v>99</v>
      </c>
      <c r="C9170" s="6" t="s">
        <v>1579</v>
      </c>
      <c r="D9170" s="6" t="s">
        <v>14</v>
      </c>
      <c r="E9170" s="6" t="s">
        <v>52</v>
      </c>
      <c r="F9170" s="6" t="s">
        <v>83</v>
      </c>
      <c r="G9170" s="6" t="s">
        <v>1316</v>
      </c>
      <c r="H9170" s="6" t="s">
        <v>1580</v>
      </c>
      <c r="I9170" s="6" t="s">
        <v>31</v>
      </c>
      <c r="J9170" s="6">
        <v>17.004056140818001</v>
      </c>
      <c r="K9170" s="6">
        <v>-96.964718083006005</v>
      </c>
      <c r="L9170" s="6" t="str">
        <f>HYPERLINK("https://maps.google.com/?q=17.0040561408185,-96.964718083005906", "🔗 Ver Mapa")</f>
        <v>🔗 Ver Mapa</v>
      </c>
    </row>
    <row r="9171" spans="1:12" ht="43.5" x14ac:dyDescent="0.35">
      <c r="A9171" s="5" t="s">
        <v>98</v>
      </c>
      <c r="B9171" s="5" t="s">
        <v>99</v>
      </c>
      <c r="C9171" s="5" t="s">
        <v>1579</v>
      </c>
      <c r="D9171" s="5" t="s">
        <v>14</v>
      </c>
      <c r="E9171" s="5" t="s">
        <v>52</v>
      </c>
      <c r="F9171" s="5" t="s">
        <v>83</v>
      </c>
      <c r="G9171" s="5" t="s">
        <v>1316</v>
      </c>
      <c r="H9171" s="5" t="s">
        <v>1580</v>
      </c>
      <c r="I9171" s="5" t="s">
        <v>31</v>
      </c>
      <c r="J9171" s="5">
        <v>17.004297246313001</v>
      </c>
      <c r="K9171" s="5">
        <v>-96.964273518092995</v>
      </c>
      <c r="L9171" s="5" t="str">
        <f>HYPERLINK("https://maps.google.com/?q=17.0042972463129,-96.964273518093094", "🔗 Ver Mapa")</f>
        <v>🔗 Ver Mapa</v>
      </c>
    </row>
    <row r="9172" spans="1:12" ht="43.5" x14ac:dyDescent="0.35">
      <c r="A9172" s="6" t="s">
        <v>98</v>
      </c>
      <c r="B9172" s="6" t="s">
        <v>99</v>
      </c>
      <c r="C9172" s="6" t="s">
        <v>1579</v>
      </c>
      <c r="D9172" s="6" t="s">
        <v>14</v>
      </c>
      <c r="E9172" s="6" t="s">
        <v>52</v>
      </c>
      <c r="F9172" s="6" t="s">
        <v>83</v>
      </c>
      <c r="G9172" s="6" t="s">
        <v>1316</v>
      </c>
      <c r="H9172" s="6" t="s">
        <v>1580</v>
      </c>
      <c r="I9172" s="6" t="s">
        <v>31</v>
      </c>
      <c r="J9172" s="6">
        <v>17.004679423534999</v>
      </c>
      <c r="K9172" s="6">
        <v>-96.962668425141004</v>
      </c>
      <c r="L9172" s="6" t="str">
        <f>HYPERLINK("https://maps.google.com/?q=17.0046794235346,-96.962668425141402", "🔗 Ver Mapa")</f>
        <v>🔗 Ver Mapa</v>
      </c>
    </row>
    <row r="9173" spans="1:12" ht="43.5" x14ac:dyDescent="0.35">
      <c r="A9173" s="5" t="s">
        <v>98</v>
      </c>
      <c r="B9173" s="5" t="s">
        <v>99</v>
      </c>
      <c r="C9173" s="5" t="s">
        <v>1581</v>
      </c>
      <c r="D9173" s="5" t="s">
        <v>14</v>
      </c>
      <c r="E9173" s="5" t="s">
        <v>90</v>
      </c>
      <c r="F9173" s="5" t="s">
        <v>678</v>
      </c>
      <c r="G9173" s="5" t="s">
        <v>1582</v>
      </c>
      <c r="H9173" s="5" t="s">
        <v>1583</v>
      </c>
      <c r="I9173" s="5" t="s">
        <v>31</v>
      </c>
      <c r="J9173" s="5">
        <v>17.372668338996998</v>
      </c>
      <c r="K9173" s="5">
        <v>-96.300271601521999</v>
      </c>
      <c r="L9173" s="5" t="str">
        <f>HYPERLINK("https://maps.google.com/?q=17.3726683389969,-96.300271601522198", "🔗 Ver Mapa")</f>
        <v>🔗 Ver Mapa</v>
      </c>
    </row>
    <row r="9174" spans="1:12" ht="43.5" x14ac:dyDescent="0.35">
      <c r="A9174" s="6" t="s">
        <v>98</v>
      </c>
      <c r="B9174" s="6" t="s">
        <v>99</v>
      </c>
      <c r="C9174" s="6" t="s">
        <v>1581</v>
      </c>
      <c r="D9174" s="6" t="s">
        <v>14</v>
      </c>
      <c r="E9174" s="6" t="s">
        <v>90</v>
      </c>
      <c r="F9174" s="6" t="s">
        <v>678</v>
      </c>
      <c r="G9174" s="6" t="s">
        <v>1582</v>
      </c>
      <c r="H9174" s="6" t="s">
        <v>1583</v>
      </c>
      <c r="I9174" s="6" t="s">
        <v>31</v>
      </c>
      <c r="J9174" s="6">
        <v>17.372810838572001</v>
      </c>
      <c r="K9174" s="6">
        <v>-96.300278485909004</v>
      </c>
      <c r="L9174" s="6" t="str">
        <f>HYPERLINK("https://maps.google.com/?q=17.3728108385723,-96.300278485909402", "🔗 Ver Mapa")</f>
        <v>🔗 Ver Mapa</v>
      </c>
    </row>
    <row r="9175" spans="1:12" ht="43.5" x14ac:dyDescent="0.35">
      <c r="A9175" s="5" t="s">
        <v>98</v>
      </c>
      <c r="B9175" s="5" t="s">
        <v>99</v>
      </c>
      <c r="C9175" s="5" t="s">
        <v>1581</v>
      </c>
      <c r="D9175" s="5" t="s">
        <v>14</v>
      </c>
      <c r="E9175" s="5" t="s">
        <v>90</v>
      </c>
      <c r="F9175" s="5" t="s">
        <v>678</v>
      </c>
      <c r="G9175" s="5" t="s">
        <v>1582</v>
      </c>
      <c r="H9175" s="5" t="s">
        <v>1583</v>
      </c>
      <c r="I9175" s="5" t="s">
        <v>31</v>
      </c>
      <c r="J9175" s="5">
        <v>17.372887206411999</v>
      </c>
      <c r="K9175" s="5">
        <v>-96.300688014472001</v>
      </c>
      <c r="L9175" s="5" t="str">
        <f>HYPERLINK("https://maps.google.com/?q=17.372887206412,-96.300688014471604", "🔗 Ver Mapa")</f>
        <v>🔗 Ver Mapa</v>
      </c>
    </row>
    <row r="9176" spans="1:12" ht="43.5" x14ac:dyDescent="0.35">
      <c r="A9176" s="6" t="s">
        <v>98</v>
      </c>
      <c r="B9176" s="6" t="s">
        <v>99</v>
      </c>
      <c r="C9176" s="6" t="s">
        <v>1581</v>
      </c>
      <c r="D9176" s="6" t="s">
        <v>14</v>
      </c>
      <c r="E9176" s="6" t="s">
        <v>90</v>
      </c>
      <c r="F9176" s="6" t="s">
        <v>678</v>
      </c>
      <c r="G9176" s="6" t="s">
        <v>1582</v>
      </c>
      <c r="H9176" s="6" t="s">
        <v>1583</v>
      </c>
      <c r="I9176" s="6" t="s">
        <v>31</v>
      </c>
      <c r="J9176" s="6">
        <v>17.373189232402002</v>
      </c>
      <c r="K9176" s="6">
        <v>-96.300197295914003</v>
      </c>
      <c r="L9176" s="6" t="str">
        <f>HYPERLINK("https://maps.google.com/?q=17.3731892324025,-96.300197295913605", "🔗 Ver Mapa")</f>
        <v>🔗 Ver Mapa</v>
      </c>
    </row>
    <row r="9177" spans="1:12" ht="43.5" x14ac:dyDescent="0.35">
      <c r="A9177" s="5" t="s">
        <v>98</v>
      </c>
      <c r="B9177" s="5" t="s">
        <v>99</v>
      </c>
      <c r="C9177" s="5" t="s">
        <v>1581</v>
      </c>
      <c r="D9177" s="5" t="s">
        <v>14</v>
      </c>
      <c r="E9177" s="5" t="s">
        <v>90</v>
      </c>
      <c r="F9177" s="5" t="s">
        <v>678</v>
      </c>
      <c r="G9177" s="5" t="s">
        <v>1582</v>
      </c>
      <c r="H9177" s="5" t="s">
        <v>1583</v>
      </c>
      <c r="I9177" s="5" t="s">
        <v>31</v>
      </c>
      <c r="J9177" s="5">
        <v>17.373306203153</v>
      </c>
      <c r="K9177" s="5">
        <v>-96.298912870834002</v>
      </c>
      <c r="L9177" s="5" t="str">
        <f>HYPERLINK("https://maps.google.com/?q=17.3733062031531,-96.2989128708344", "🔗 Ver Mapa")</f>
        <v>🔗 Ver Mapa</v>
      </c>
    </row>
    <row r="9178" spans="1:12" ht="43.5" x14ac:dyDescent="0.35">
      <c r="A9178" s="6" t="s">
        <v>98</v>
      </c>
      <c r="B9178" s="6" t="s">
        <v>99</v>
      </c>
      <c r="C9178" s="6" t="s">
        <v>1581</v>
      </c>
      <c r="D9178" s="6" t="s">
        <v>14</v>
      </c>
      <c r="E9178" s="6" t="s">
        <v>90</v>
      </c>
      <c r="F9178" s="6" t="s">
        <v>678</v>
      </c>
      <c r="G9178" s="6" t="s">
        <v>1582</v>
      </c>
      <c r="H9178" s="6" t="s">
        <v>1583</v>
      </c>
      <c r="I9178" s="6" t="s">
        <v>31</v>
      </c>
      <c r="J9178" s="6">
        <v>17.373444434753999</v>
      </c>
      <c r="K9178" s="6">
        <v>-96.299261558005995</v>
      </c>
      <c r="L9178" s="6" t="str">
        <f>HYPERLINK("https://maps.google.com/?q=17.3734444347538,-96.299261558006293", "🔗 Ver Mapa")</f>
        <v>🔗 Ver Mapa</v>
      </c>
    </row>
    <row r="9179" spans="1:12" ht="43.5" x14ac:dyDescent="0.35">
      <c r="A9179" s="5" t="s">
        <v>98</v>
      </c>
      <c r="B9179" s="5" t="s">
        <v>99</v>
      </c>
      <c r="C9179" s="5" t="s">
        <v>1581</v>
      </c>
      <c r="D9179" s="5" t="s">
        <v>14</v>
      </c>
      <c r="E9179" s="5" t="s">
        <v>90</v>
      </c>
      <c r="F9179" s="5" t="s">
        <v>678</v>
      </c>
      <c r="G9179" s="5" t="s">
        <v>1582</v>
      </c>
      <c r="H9179" s="5" t="s">
        <v>1583</v>
      </c>
      <c r="I9179" s="5" t="s">
        <v>31</v>
      </c>
      <c r="J9179" s="5">
        <v>17.373603204919998</v>
      </c>
      <c r="K9179" s="5">
        <v>-96.300315464462003</v>
      </c>
      <c r="L9179" s="5" t="str">
        <f>HYPERLINK("https://maps.google.com/?q=17.3736032049205,-96.3003154644625", "🔗 Ver Mapa")</f>
        <v>🔗 Ver Mapa</v>
      </c>
    </row>
    <row r="9180" spans="1:12" ht="43.5" x14ac:dyDescent="0.35">
      <c r="A9180" s="6" t="s">
        <v>98</v>
      </c>
      <c r="B9180" s="6" t="s">
        <v>99</v>
      </c>
      <c r="C9180" s="6" t="s">
        <v>1581</v>
      </c>
      <c r="D9180" s="6" t="s">
        <v>14</v>
      </c>
      <c r="E9180" s="6" t="s">
        <v>90</v>
      </c>
      <c r="F9180" s="6" t="s">
        <v>678</v>
      </c>
      <c r="G9180" s="6" t="s">
        <v>1582</v>
      </c>
      <c r="H9180" s="6" t="s">
        <v>1583</v>
      </c>
      <c r="I9180" s="6" t="s">
        <v>31</v>
      </c>
      <c r="J9180" s="6">
        <v>17.373626100473999</v>
      </c>
      <c r="K9180" s="6">
        <v>-96.299066636774</v>
      </c>
      <c r="L9180" s="6" t="str">
        <f>HYPERLINK("https://maps.google.com/?q=17.3736261004742,-96.299066636773503", "🔗 Ver Mapa")</f>
        <v>🔗 Ver Mapa</v>
      </c>
    </row>
    <row r="9181" spans="1:12" ht="43.5" x14ac:dyDescent="0.35">
      <c r="A9181" s="5" t="s">
        <v>98</v>
      </c>
      <c r="B9181" s="5" t="s">
        <v>99</v>
      </c>
      <c r="C9181" s="5" t="s">
        <v>1581</v>
      </c>
      <c r="D9181" s="5" t="s">
        <v>14</v>
      </c>
      <c r="E9181" s="5" t="s">
        <v>90</v>
      </c>
      <c r="F9181" s="5" t="s">
        <v>678</v>
      </c>
      <c r="G9181" s="5" t="s">
        <v>1582</v>
      </c>
      <c r="H9181" s="5" t="s">
        <v>1583</v>
      </c>
      <c r="I9181" s="5" t="s">
        <v>31</v>
      </c>
      <c r="J9181" s="5">
        <v>17.373738093480998</v>
      </c>
      <c r="K9181" s="5">
        <v>-96.299196723910995</v>
      </c>
      <c r="L9181" s="5" t="str">
        <f>HYPERLINK("https://maps.google.com/?q=17.3737380934815,-96.299196723910697", "🔗 Ver Mapa")</f>
        <v>🔗 Ver Mapa</v>
      </c>
    </row>
    <row r="9182" spans="1:12" ht="43.5" x14ac:dyDescent="0.35">
      <c r="A9182" s="6" t="s">
        <v>98</v>
      </c>
      <c r="B9182" s="6" t="s">
        <v>99</v>
      </c>
      <c r="C9182" s="6" t="s">
        <v>1581</v>
      </c>
      <c r="D9182" s="6" t="s">
        <v>14</v>
      </c>
      <c r="E9182" s="6" t="s">
        <v>90</v>
      </c>
      <c r="F9182" s="6" t="s">
        <v>678</v>
      </c>
      <c r="G9182" s="6" t="s">
        <v>1582</v>
      </c>
      <c r="H9182" s="6" t="s">
        <v>1583</v>
      </c>
      <c r="I9182" s="6" t="s">
        <v>31</v>
      </c>
      <c r="J9182" s="6">
        <v>17.373908310596001</v>
      </c>
      <c r="K9182" s="6">
        <v>-96.300147681368998</v>
      </c>
      <c r="L9182" s="6" t="str">
        <f>HYPERLINK("https://maps.google.com/?q=17.3739083105961,-96.300147681369396", "🔗 Ver Mapa")</f>
        <v>🔗 Ver Mapa</v>
      </c>
    </row>
    <row r="9183" spans="1:12" ht="43.5" x14ac:dyDescent="0.35">
      <c r="A9183" s="5" t="s">
        <v>98</v>
      </c>
      <c r="B9183" s="5" t="s">
        <v>99</v>
      </c>
      <c r="C9183" s="5" t="s">
        <v>1581</v>
      </c>
      <c r="D9183" s="5" t="s">
        <v>14</v>
      </c>
      <c r="E9183" s="5" t="s">
        <v>90</v>
      </c>
      <c r="F9183" s="5" t="s">
        <v>678</v>
      </c>
      <c r="G9183" s="5" t="s">
        <v>1582</v>
      </c>
      <c r="H9183" s="5" t="s">
        <v>1583</v>
      </c>
      <c r="I9183" s="5" t="s">
        <v>31</v>
      </c>
      <c r="J9183" s="5">
        <v>17.373930509667002</v>
      </c>
      <c r="K9183" s="5">
        <v>-96.303147503071997</v>
      </c>
      <c r="L9183" s="5" t="str">
        <f>HYPERLINK("https://maps.google.com/?q=17.3739305096666,-96.303147503072395", "🔗 Ver Mapa")</f>
        <v>🔗 Ver Mapa</v>
      </c>
    </row>
    <row r="9184" spans="1:12" ht="43.5" x14ac:dyDescent="0.35">
      <c r="A9184" s="6" t="s">
        <v>98</v>
      </c>
      <c r="B9184" s="6" t="s">
        <v>99</v>
      </c>
      <c r="C9184" s="6" t="s">
        <v>1581</v>
      </c>
      <c r="D9184" s="6" t="s">
        <v>14</v>
      </c>
      <c r="E9184" s="6" t="s">
        <v>90</v>
      </c>
      <c r="F9184" s="6" t="s">
        <v>678</v>
      </c>
      <c r="G9184" s="6" t="s">
        <v>1582</v>
      </c>
      <c r="H9184" s="6" t="s">
        <v>1583</v>
      </c>
      <c r="I9184" s="6" t="s">
        <v>31</v>
      </c>
      <c r="J9184" s="6">
        <v>17.373943592155001</v>
      </c>
      <c r="K9184" s="6">
        <v>-96.300926151569001</v>
      </c>
      <c r="L9184" s="6" t="str">
        <f>HYPERLINK("https://maps.google.com/?q=17.3739435921554,-96.300926151568703", "🔗 Ver Mapa")</f>
        <v>🔗 Ver Mapa</v>
      </c>
    </row>
    <row r="9185" spans="1:12" ht="43.5" x14ac:dyDescent="0.35">
      <c r="A9185" s="5" t="s">
        <v>98</v>
      </c>
      <c r="B9185" s="5" t="s">
        <v>99</v>
      </c>
      <c r="C9185" s="5" t="s">
        <v>1581</v>
      </c>
      <c r="D9185" s="5" t="s">
        <v>14</v>
      </c>
      <c r="E9185" s="5" t="s">
        <v>90</v>
      </c>
      <c r="F9185" s="5" t="s">
        <v>678</v>
      </c>
      <c r="G9185" s="5" t="s">
        <v>1582</v>
      </c>
      <c r="H9185" s="5" t="s">
        <v>1583</v>
      </c>
      <c r="I9185" s="5" t="s">
        <v>31</v>
      </c>
      <c r="J9185" s="5">
        <v>17.373981049691999</v>
      </c>
      <c r="K9185" s="5">
        <v>-96.302786517642005</v>
      </c>
      <c r="L9185" s="5" t="str">
        <f>HYPERLINK("https://maps.google.com/?q=17.3739810496921,-96.302786517641906", "🔗 Ver Mapa")</f>
        <v>🔗 Ver Mapa</v>
      </c>
    </row>
    <row r="9186" spans="1:12" ht="43.5" x14ac:dyDescent="0.35">
      <c r="A9186" s="6" t="s">
        <v>98</v>
      </c>
      <c r="B9186" s="6" t="s">
        <v>99</v>
      </c>
      <c r="C9186" s="6" t="s">
        <v>1581</v>
      </c>
      <c r="D9186" s="6" t="s">
        <v>14</v>
      </c>
      <c r="E9186" s="6" t="s">
        <v>90</v>
      </c>
      <c r="F9186" s="6" t="s">
        <v>678</v>
      </c>
      <c r="G9186" s="6" t="s">
        <v>1582</v>
      </c>
      <c r="H9186" s="6" t="s">
        <v>1583</v>
      </c>
      <c r="I9186" s="6" t="s">
        <v>31</v>
      </c>
      <c r="J9186" s="6">
        <v>17.374002648718001</v>
      </c>
      <c r="K9186" s="6">
        <v>-96.300498464574005</v>
      </c>
      <c r="L9186" s="6" t="str">
        <f>HYPERLINK("https://maps.google.com/?q=17.3740026487177,-96.300498464573707", "🔗 Ver Mapa")</f>
        <v>🔗 Ver Mapa</v>
      </c>
    </row>
    <row r="9187" spans="1:12" ht="43.5" x14ac:dyDescent="0.35">
      <c r="A9187" s="5" t="s">
        <v>98</v>
      </c>
      <c r="B9187" s="5" t="s">
        <v>99</v>
      </c>
      <c r="C9187" s="5" t="s">
        <v>1581</v>
      </c>
      <c r="D9187" s="5" t="s">
        <v>14</v>
      </c>
      <c r="E9187" s="5" t="s">
        <v>90</v>
      </c>
      <c r="F9187" s="5" t="s">
        <v>678</v>
      </c>
      <c r="G9187" s="5" t="s">
        <v>1582</v>
      </c>
      <c r="H9187" s="5" t="s">
        <v>1583</v>
      </c>
      <c r="I9187" s="5" t="s">
        <v>31</v>
      </c>
      <c r="J9187" s="5">
        <v>17.374033595454001</v>
      </c>
      <c r="K9187" s="5">
        <v>-96.302186458015996</v>
      </c>
      <c r="L9187" s="5" t="str">
        <f>HYPERLINK("https://maps.google.com/?q=17.3740335954539,-96.302186458016394", "🔗 Ver Mapa")</f>
        <v>🔗 Ver Mapa</v>
      </c>
    </row>
    <row r="9188" spans="1:12" ht="43.5" x14ac:dyDescent="0.35">
      <c r="A9188" s="6" t="s">
        <v>98</v>
      </c>
      <c r="B9188" s="6" t="s">
        <v>99</v>
      </c>
      <c r="C9188" s="6" t="s">
        <v>1581</v>
      </c>
      <c r="D9188" s="6" t="s">
        <v>14</v>
      </c>
      <c r="E9188" s="6" t="s">
        <v>90</v>
      </c>
      <c r="F9188" s="6" t="s">
        <v>678</v>
      </c>
      <c r="G9188" s="6" t="s">
        <v>1582</v>
      </c>
      <c r="H9188" s="6" t="s">
        <v>1583</v>
      </c>
      <c r="I9188" s="6" t="s">
        <v>31</v>
      </c>
      <c r="J9188" s="6">
        <v>17.374100234985999</v>
      </c>
      <c r="K9188" s="6">
        <v>-96.301210576312002</v>
      </c>
      <c r="L9188" s="6" t="str">
        <f>HYPERLINK("https://maps.google.com/?q=17.3741002349858,-96.301210576311504", "🔗 Ver Mapa")</f>
        <v>🔗 Ver Mapa</v>
      </c>
    </row>
    <row r="9189" spans="1:12" ht="43.5" x14ac:dyDescent="0.35">
      <c r="A9189" s="5" t="s">
        <v>98</v>
      </c>
      <c r="B9189" s="5" t="s">
        <v>99</v>
      </c>
      <c r="C9189" s="5" t="s">
        <v>1581</v>
      </c>
      <c r="D9189" s="5" t="s">
        <v>14</v>
      </c>
      <c r="E9189" s="5" t="s">
        <v>90</v>
      </c>
      <c r="F9189" s="5" t="s">
        <v>678</v>
      </c>
      <c r="G9189" s="5" t="s">
        <v>1582</v>
      </c>
      <c r="H9189" s="5" t="s">
        <v>1583</v>
      </c>
      <c r="I9189" s="5" t="s">
        <v>31</v>
      </c>
      <c r="J9189" s="5">
        <v>17.374139975698998</v>
      </c>
      <c r="K9189" s="5">
        <v>-96.300326048269</v>
      </c>
      <c r="L9189" s="5" t="str">
        <f>HYPERLINK("https://maps.google.com/?q=17.3741399756986,-96.300326048268801", "🔗 Ver Mapa")</f>
        <v>🔗 Ver Mapa</v>
      </c>
    </row>
    <row r="9190" spans="1:12" ht="43.5" x14ac:dyDescent="0.35">
      <c r="A9190" s="6" t="s">
        <v>98</v>
      </c>
      <c r="B9190" s="6" t="s">
        <v>99</v>
      </c>
      <c r="C9190" s="6" t="s">
        <v>1581</v>
      </c>
      <c r="D9190" s="6" t="s">
        <v>14</v>
      </c>
      <c r="E9190" s="6" t="s">
        <v>90</v>
      </c>
      <c r="F9190" s="6" t="s">
        <v>678</v>
      </c>
      <c r="G9190" s="6" t="s">
        <v>1582</v>
      </c>
      <c r="H9190" s="6" t="s">
        <v>1583</v>
      </c>
      <c r="I9190" s="6" t="s">
        <v>31</v>
      </c>
      <c r="J9190" s="6">
        <v>17.374214651319001</v>
      </c>
      <c r="K9190" s="6">
        <v>-96.303396948510994</v>
      </c>
      <c r="L9190" s="6" t="str">
        <f>HYPERLINK("https://maps.google.com/?q=17.3742146513194,-96.303396948510695", "🔗 Ver Mapa")</f>
        <v>🔗 Ver Mapa</v>
      </c>
    </row>
    <row r="9191" spans="1:12" ht="43.5" x14ac:dyDescent="0.35">
      <c r="A9191" s="5" t="s">
        <v>98</v>
      </c>
      <c r="B9191" s="5" t="s">
        <v>99</v>
      </c>
      <c r="C9191" s="5" t="s">
        <v>1581</v>
      </c>
      <c r="D9191" s="5" t="s">
        <v>14</v>
      </c>
      <c r="E9191" s="5" t="s">
        <v>90</v>
      </c>
      <c r="F9191" s="5" t="s">
        <v>678</v>
      </c>
      <c r="G9191" s="5" t="s">
        <v>1582</v>
      </c>
      <c r="H9191" s="5" t="s">
        <v>1583</v>
      </c>
      <c r="I9191" s="5" t="s">
        <v>31</v>
      </c>
      <c r="J9191" s="5">
        <v>17.374218983929001</v>
      </c>
      <c r="K9191" s="5">
        <v>-96.299578331071999</v>
      </c>
      <c r="L9191" s="5" t="str">
        <f>HYPERLINK("https://maps.google.com/?q=17.3742189839294,-96.2995783310717", "🔗 Ver Mapa")</f>
        <v>🔗 Ver Mapa</v>
      </c>
    </row>
    <row r="9192" spans="1:12" ht="43.5" x14ac:dyDescent="0.35">
      <c r="A9192" s="6" t="s">
        <v>98</v>
      </c>
      <c r="B9192" s="6" t="s">
        <v>99</v>
      </c>
      <c r="C9192" s="6" t="s">
        <v>1581</v>
      </c>
      <c r="D9192" s="6" t="s">
        <v>14</v>
      </c>
      <c r="E9192" s="6" t="s">
        <v>90</v>
      </c>
      <c r="F9192" s="6" t="s">
        <v>678</v>
      </c>
      <c r="G9192" s="6" t="s">
        <v>1582</v>
      </c>
      <c r="H9192" s="6" t="s">
        <v>1583</v>
      </c>
      <c r="I9192" s="6" t="s">
        <v>31</v>
      </c>
      <c r="J9192" s="6">
        <v>17.374298469079999</v>
      </c>
      <c r="K9192" s="6">
        <v>-96.302754331133997</v>
      </c>
      <c r="L9192" s="6" t="str">
        <f>HYPERLINK("https://maps.google.com/?q=17.3742984690797,-96.302754331133698", "🔗 Ver Mapa")</f>
        <v>🔗 Ver Mapa</v>
      </c>
    </row>
    <row r="9193" spans="1:12" ht="43.5" x14ac:dyDescent="0.35">
      <c r="A9193" s="5" t="s">
        <v>98</v>
      </c>
      <c r="B9193" s="5" t="s">
        <v>99</v>
      </c>
      <c r="C9193" s="5" t="s">
        <v>1581</v>
      </c>
      <c r="D9193" s="5" t="s">
        <v>14</v>
      </c>
      <c r="E9193" s="5" t="s">
        <v>90</v>
      </c>
      <c r="F9193" s="5" t="s">
        <v>678</v>
      </c>
      <c r="G9193" s="5" t="s">
        <v>1582</v>
      </c>
      <c r="H9193" s="5" t="s">
        <v>1583</v>
      </c>
      <c r="I9193" s="5" t="s">
        <v>31</v>
      </c>
      <c r="J9193" s="5">
        <v>17.374298794804002</v>
      </c>
      <c r="K9193" s="5">
        <v>-96.301195168494999</v>
      </c>
      <c r="L9193" s="5" t="str">
        <f>HYPERLINK("https://maps.google.com/?q=17.3742987948044,-96.301195168494701", "🔗 Ver Mapa")</f>
        <v>🔗 Ver Mapa</v>
      </c>
    </row>
    <row r="9194" spans="1:12" ht="43.5" x14ac:dyDescent="0.35">
      <c r="A9194" s="6" t="s">
        <v>98</v>
      </c>
      <c r="B9194" s="6" t="s">
        <v>99</v>
      </c>
      <c r="C9194" s="6" t="s">
        <v>1581</v>
      </c>
      <c r="D9194" s="6" t="s">
        <v>14</v>
      </c>
      <c r="E9194" s="6" t="s">
        <v>90</v>
      </c>
      <c r="F9194" s="6" t="s">
        <v>678</v>
      </c>
      <c r="G9194" s="6" t="s">
        <v>1582</v>
      </c>
      <c r="H9194" s="6" t="s">
        <v>1583</v>
      </c>
      <c r="I9194" s="6" t="s">
        <v>31</v>
      </c>
      <c r="J9194" s="6">
        <v>17.374323444178</v>
      </c>
      <c r="K9194" s="6">
        <v>-96.300095149213007</v>
      </c>
      <c r="L9194" s="6" t="str">
        <f>HYPERLINK("https://maps.google.com/?q=17.3743234441781,-96.300095149212893", "🔗 Ver Mapa")</f>
        <v>🔗 Ver Mapa</v>
      </c>
    </row>
    <row r="9195" spans="1:12" ht="43.5" x14ac:dyDescent="0.35">
      <c r="A9195" s="5" t="s">
        <v>98</v>
      </c>
      <c r="B9195" s="5" t="s">
        <v>99</v>
      </c>
      <c r="C9195" s="5" t="s">
        <v>1581</v>
      </c>
      <c r="D9195" s="5" t="s">
        <v>14</v>
      </c>
      <c r="E9195" s="5" t="s">
        <v>90</v>
      </c>
      <c r="F9195" s="5" t="s">
        <v>678</v>
      </c>
      <c r="G9195" s="5" t="s">
        <v>1582</v>
      </c>
      <c r="H9195" s="5" t="s">
        <v>1583</v>
      </c>
      <c r="I9195" s="5" t="s">
        <v>31</v>
      </c>
      <c r="J9195" s="5">
        <v>17.37435877807</v>
      </c>
      <c r="K9195" s="5">
        <v>-96.301347368970994</v>
      </c>
      <c r="L9195" s="5" t="str">
        <f>HYPERLINK("https://maps.google.com/?q=17.3743587780699,-96.301347368971307", "🔗 Ver Mapa")</f>
        <v>🔗 Ver Mapa</v>
      </c>
    </row>
    <row r="9196" spans="1:12" ht="43.5" x14ac:dyDescent="0.35">
      <c r="A9196" s="6" t="s">
        <v>98</v>
      </c>
      <c r="B9196" s="6" t="s">
        <v>99</v>
      </c>
      <c r="C9196" s="6" t="s">
        <v>1581</v>
      </c>
      <c r="D9196" s="6" t="s">
        <v>14</v>
      </c>
      <c r="E9196" s="6" t="s">
        <v>90</v>
      </c>
      <c r="F9196" s="6" t="s">
        <v>678</v>
      </c>
      <c r="G9196" s="6" t="s">
        <v>1582</v>
      </c>
      <c r="H9196" s="6" t="s">
        <v>1583</v>
      </c>
      <c r="I9196" s="6" t="s">
        <v>31</v>
      </c>
      <c r="J9196" s="6">
        <v>17.374381465831</v>
      </c>
      <c r="K9196" s="6">
        <v>-96.300448463560997</v>
      </c>
      <c r="L9196" s="6" t="str">
        <f>HYPERLINK("https://maps.google.com/?q=17.374381465831,-96.300448463561196", "🔗 Ver Mapa")</f>
        <v>🔗 Ver Mapa</v>
      </c>
    </row>
    <row r="9197" spans="1:12" ht="43.5" x14ac:dyDescent="0.35">
      <c r="A9197" s="5" t="s">
        <v>98</v>
      </c>
      <c r="B9197" s="5" t="s">
        <v>99</v>
      </c>
      <c r="C9197" s="5" t="s">
        <v>1581</v>
      </c>
      <c r="D9197" s="5" t="s">
        <v>14</v>
      </c>
      <c r="E9197" s="5" t="s">
        <v>90</v>
      </c>
      <c r="F9197" s="5" t="s">
        <v>678</v>
      </c>
      <c r="G9197" s="5" t="s">
        <v>1582</v>
      </c>
      <c r="H9197" s="5" t="s">
        <v>1583</v>
      </c>
      <c r="I9197" s="5" t="s">
        <v>31</v>
      </c>
      <c r="J9197" s="5">
        <v>17.374427610173001</v>
      </c>
      <c r="K9197" s="5">
        <v>-96.299754015762005</v>
      </c>
      <c r="L9197" s="5" t="str">
        <f>HYPERLINK("https://maps.google.com/?q=17.3744276101726,-96.299754015762105", "🔗 Ver Mapa")</f>
        <v>🔗 Ver Mapa</v>
      </c>
    </row>
    <row r="9198" spans="1:12" ht="43.5" x14ac:dyDescent="0.35">
      <c r="A9198" s="6" t="s">
        <v>98</v>
      </c>
      <c r="B9198" s="6" t="s">
        <v>99</v>
      </c>
      <c r="C9198" s="6" t="s">
        <v>1581</v>
      </c>
      <c r="D9198" s="6" t="s">
        <v>14</v>
      </c>
      <c r="E9198" s="6" t="s">
        <v>90</v>
      </c>
      <c r="F9198" s="6" t="s">
        <v>678</v>
      </c>
      <c r="G9198" s="6" t="s">
        <v>1582</v>
      </c>
      <c r="H9198" s="6" t="s">
        <v>1583</v>
      </c>
      <c r="I9198" s="6" t="s">
        <v>31</v>
      </c>
      <c r="J9198" s="6">
        <v>17.374428738456999</v>
      </c>
      <c r="K9198" s="6">
        <v>-96.300303621137004</v>
      </c>
      <c r="L9198" s="6" t="str">
        <f>HYPERLINK("https://maps.google.com/?q=17.3744287384574,-96.300303621136806", "🔗 Ver Mapa")</f>
        <v>🔗 Ver Mapa</v>
      </c>
    </row>
    <row r="9199" spans="1:12" ht="43.5" x14ac:dyDescent="0.35">
      <c r="A9199" s="5" t="s">
        <v>98</v>
      </c>
      <c r="B9199" s="5" t="s">
        <v>99</v>
      </c>
      <c r="C9199" s="5" t="s">
        <v>1581</v>
      </c>
      <c r="D9199" s="5" t="s">
        <v>14</v>
      </c>
      <c r="E9199" s="5" t="s">
        <v>90</v>
      </c>
      <c r="F9199" s="5" t="s">
        <v>678</v>
      </c>
      <c r="G9199" s="5" t="s">
        <v>1582</v>
      </c>
      <c r="H9199" s="5" t="s">
        <v>1583</v>
      </c>
      <c r="I9199" s="5" t="s">
        <v>31</v>
      </c>
      <c r="J9199" s="5">
        <v>17.37452473818</v>
      </c>
      <c r="K9199" s="5">
        <v>-96.301740326838996</v>
      </c>
      <c r="L9199" s="5" t="str">
        <f>HYPERLINK("https://maps.google.com/?q=17.3745247381799,-96.301740326839095", "🔗 Ver Mapa")</f>
        <v>🔗 Ver Mapa</v>
      </c>
    </row>
    <row r="9200" spans="1:12" ht="43.5" x14ac:dyDescent="0.35">
      <c r="A9200" s="6" t="s">
        <v>98</v>
      </c>
      <c r="B9200" s="6" t="s">
        <v>99</v>
      </c>
      <c r="C9200" s="6" t="s">
        <v>1581</v>
      </c>
      <c r="D9200" s="6" t="s">
        <v>14</v>
      </c>
      <c r="E9200" s="6" t="s">
        <v>90</v>
      </c>
      <c r="F9200" s="6" t="s">
        <v>678</v>
      </c>
      <c r="G9200" s="6" t="s">
        <v>1582</v>
      </c>
      <c r="H9200" s="6" t="s">
        <v>1583</v>
      </c>
      <c r="I9200" s="6" t="s">
        <v>31</v>
      </c>
      <c r="J9200" s="6">
        <v>17.374566187525001</v>
      </c>
      <c r="K9200" s="6">
        <v>-96.299757419957999</v>
      </c>
      <c r="L9200" s="6" t="str">
        <f>HYPERLINK("https://maps.google.com/?q=17.3745661875253,-96.2997574199578", "🔗 Ver Mapa")</f>
        <v>🔗 Ver Mapa</v>
      </c>
    </row>
    <row r="9201" spans="1:12" ht="43.5" x14ac:dyDescent="0.35">
      <c r="A9201" s="5" t="s">
        <v>98</v>
      </c>
      <c r="B9201" s="5" t="s">
        <v>99</v>
      </c>
      <c r="C9201" s="5" t="s">
        <v>1581</v>
      </c>
      <c r="D9201" s="5" t="s">
        <v>14</v>
      </c>
      <c r="E9201" s="5" t="s">
        <v>90</v>
      </c>
      <c r="F9201" s="5" t="s">
        <v>678</v>
      </c>
      <c r="G9201" s="5" t="s">
        <v>1582</v>
      </c>
      <c r="H9201" s="5" t="s">
        <v>1583</v>
      </c>
      <c r="I9201" s="5" t="s">
        <v>31</v>
      </c>
      <c r="J9201" s="5">
        <v>17.374608277566999</v>
      </c>
      <c r="K9201" s="5">
        <v>-96.302513687515997</v>
      </c>
      <c r="L9201" s="5" t="str">
        <f>HYPERLINK("https://maps.google.com/?q=17.3746082775669,-96.302513687515997", "🔗 Ver Mapa")</f>
        <v>🔗 Ver Mapa</v>
      </c>
    </row>
    <row r="9202" spans="1:12" ht="43.5" x14ac:dyDescent="0.35">
      <c r="A9202" s="6" t="s">
        <v>98</v>
      </c>
      <c r="B9202" s="6" t="s">
        <v>99</v>
      </c>
      <c r="C9202" s="6" t="s">
        <v>1581</v>
      </c>
      <c r="D9202" s="6" t="s">
        <v>14</v>
      </c>
      <c r="E9202" s="6" t="s">
        <v>90</v>
      </c>
      <c r="F9202" s="6" t="s">
        <v>678</v>
      </c>
      <c r="G9202" s="6" t="s">
        <v>1582</v>
      </c>
      <c r="H9202" s="6" t="s">
        <v>1583</v>
      </c>
      <c r="I9202" s="6" t="s">
        <v>31</v>
      </c>
      <c r="J9202" s="6">
        <v>17.374609212496999</v>
      </c>
      <c r="K9202" s="6">
        <v>-96.301560618834998</v>
      </c>
      <c r="L9202" s="6" t="str">
        <f>HYPERLINK("https://maps.google.com/?q=17.3746092124972,-96.301560618835197", "🔗 Ver Mapa")</f>
        <v>🔗 Ver Mapa</v>
      </c>
    </row>
    <row r="9203" spans="1:12" ht="43.5" x14ac:dyDescent="0.35">
      <c r="A9203" s="5" t="s">
        <v>98</v>
      </c>
      <c r="B9203" s="5" t="s">
        <v>99</v>
      </c>
      <c r="C9203" s="5" t="s">
        <v>1581</v>
      </c>
      <c r="D9203" s="5" t="s">
        <v>14</v>
      </c>
      <c r="E9203" s="5" t="s">
        <v>90</v>
      </c>
      <c r="F9203" s="5" t="s">
        <v>678</v>
      </c>
      <c r="G9203" s="5" t="s">
        <v>1582</v>
      </c>
      <c r="H9203" s="5" t="s">
        <v>1583</v>
      </c>
      <c r="I9203" s="5" t="s">
        <v>31</v>
      </c>
      <c r="J9203" s="5">
        <v>17.374609704592999</v>
      </c>
      <c r="K9203" s="5">
        <v>-96.300146340265002</v>
      </c>
      <c r="L9203" s="5" t="str">
        <f>HYPERLINK("https://maps.google.com/?q=17.3746097045928,-96.300146340264803", "🔗 Ver Mapa")</f>
        <v>🔗 Ver Mapa</v>
      </c>
    </row>
    <row r="9204" spans="1:12" ht="43.5" x14ac:dyDescent="0.35">
      <c r="A9204" s="6" t="s">
        <v>98</v>
      </c>
      <c r="B9204" s="6" t="s">
        <v>99</v>
      </c>
      <c r="C9204" s="6" t="s">
        <v>1581</v>
      </c>
      <c r="D9204" s="6" t="s">
        <v>14</v>
      </c>
      <c r="E9204" s="6" t="s">
        <v>90</v>
      </c>
      <c r="F9204" s="6" t="s">
        <v>678</v>
      </c>
      <c r="G9204" s="6" t="s">
        <v>1582</v>
      </c>
      <c r="H9204" s="6" t="s">
        <v>1583</v>
      </c>
      <c r="I9204" s="6" t="s">
        <v>31</v>
      </c>
      <c r="J9204" s="6">
        <v>17.374628687051999</v>
      </c>
      <c r="K9204" s="6">
        <v>-96.303454387686998</v>
      </c>
      <c r="L9204" s="6" t="str">
        <f>HYPERLINK("https://maps.google.com/?q=17.3746286870522,-96.3034543876866", "🔗 Ver Mapa")</f>
        <v>🔗 Ver Mapa</v>
      </c>
    </row>
    <row r="9205" spans="1:12" ht="43.5" x14ac:dyDescent="0.35">
      <c r="A9205" s="5" t="s">
        <v>98</v>
      </c>
      <c r="B9205" s="5" t="s">
        <v>99</v>
      </c>
      <c r="C9205" s="5" t="s">
        <v>1581</v>
      </c>
      <c r="D9205" s="5" t="s">
        <v>14</v>
      </c>
      <c r="E9205" s="5" t="s">
        <v>90</v>
      </c>
      <c r="F9205" s="5" t="s">
        <v>678</v>
      </c>
      <c r="G9205" s="5" t="s">
        <v>1582</v>
      </c>
      <c r="H9205" s="5" t="s">
        <v>1583</v>
      </c>
      <c r="I9205" s="5" t="s">
        <v>31</v>
      </c>
      <c r="J9205" s="5">
        <v>17.374631877157</v>
      </c>
      <c r="K9205" s="5">
        <v>-96.301038181465998</v>
      </c>
      <c r="L9205" s="5" t="str">
        <f>HYPERLINK("https://maps.google.com/?q=17.3746318771571,-96.301038181466296", "🔗 Ver Mapa")</f>
        <v>🔗 Ver Mapa</v>
      </c>
    </row>
    <row r="9206" spans="1:12" ht="43.5" x14ac:dyDescent="0.35">
      <c r="A9206" s="6" t="s">
        <v>98</v>
      </c>
      <c r="B9206" s="6" t="s">
        <v>99</v>
      </c>
      <c r="C9206" s="6" t="s">
        <v>1581</v>
      </c>
      <c r="D9206" s="6" t="s">
        <v>14</v>
      </c>
      <c r="E9206" s="6" t="s">
        <v>90</v>
      </c>
      <c r="F9206" s="6" t="s">
        <v>678</v>
      </c>
      <c r="G9206" s="6" t="s">
        <v>1582</v>
      </c>
      <c r="H9206" s="6" t="s">
        <v>1583</v>
      </c>
      <c r="I9206" s="6" t="s">
        <v>31</v>
      </c>
      <c r="J9206" s="6">
        <v>17.374639180471998</v>
      </c>
      <c r="K9206" s="6">
        <v>-96.302229786428001</v>
      </c>
      <c r="L9206" s="6" t="str">
        <f>HYPERLINK("https://maps.google.com/?q=17.3746391804716,-96.302229786428398", "🔗 Ver Mapa")</f>
        <v>🔗 Ver Mapa</v>
      </c>
    </row>
    <row r="9207" spans="1:12" ht="43.5" x14ac:dyDescent="0.35">
      <c r="A9207" s="5" t="s">
        <v>98</v>
      </c>
      <c r="B9207" s="5" t="s">
        <v>99</v>
      </c>
      <c r="C9207" s="5" t="s">
        <v>1581</v>
      </c>
      <c r="D9207" s="5" t="s">
        <v>14</v>
      </c>
      <c r="E9207" s="5" t="s">
        <v>90</v>
      </c>
      <c r="F9207" s="5" t="s">
        <v>678</v>
      </c>
      <c r="G9207" s="5" t="s">
        <v>1582</v>
      </c>
      <c r="H9207" s="5" t="s">
        <v>1583</v>
      </c>
      <c r="I9207" s="5" t="s">
        <v>31</v>
      </c>
      <c r="J9207" s="5">
        <v>17.37464938191</v>
      </c>
      <c r="K9207" s="5">
        <v>-96.300383715763004</v>
      </c>
      <c r="L9207" s="5" t="str">
        <f>HYPERLINK("https://maps.google.com/?q=17.3746493819102,-96.300383715762607", "🔗 Ver Mapa")</f>
        <v>🔗 Ver Mapa</v>
      </c>
    </row>
    <row r="9208" spans="1:12" ht="43.5" x14ac:dyDescent="0.35">
      <c r="A9208" s="6" t="s">
        <v>98</v>
      </c>
      <c r="B9208" s="6" t="s">
        <v>99</v>
      </c>
      <c r="C9208" s="6" t="s">
        <v>1581</v>
      </c>
      <c r="D9208" s="6" t="s">
        <v>14</v>
      </c>
      <c r="E9208" s="6" t="s">
        <v>90</v>
      </c>
      <c r="F9208" s="6" t="s">
        <v>678</v>
      </c>
      <c r="G9208" s="6" t="s">
        <v>1582</v>
      </c>
      <c r="H9208" s="6" t="s">
        <v>1583</v>
      </c>
      <c r="I9208" s="6" t="s">
        <v>31</v>
      </c>
      <c r="J9208" s="6">
        <v>17.374708041670001</v>
      </c>
      <c r="K9208" s="6">
        <v>-96.303135204813998</v>
      </c>
      <c r="L9208" s="6" t="str">
        <f>HYPERLINK("https://maps.google.com/?q=17.3747080416699,-96.303135204813699", "🔗 Ver Mapa")</f>
        <v>🔗 Ver Mapa</v>
      </c>
    </row>
    <row r="9209" spans="1:12" ht="43.5" x14ac:dyDescent="0.35">
      <c r="A9209" s="5" t="s">
        <v>98</v>
      </c>
      <c r="B9209" s="5" t="s">
        <v>99</v>
      </c>
      <c r="C9209" s="5" t="s">
        <v>1581</v>
      </c>
      <c r="D9209" s="5" t="s">
        <v>14</v>
      </c>
      <c r="E9209" s="5" t="s">
        <v>90</v>
      </c>
      <c r="F9209" s="5" t="s">
        <v>678</v>
      </c>
      <c r="G9209" s="5" t="s">
        <v>1582</v>
      </c>
      <c r="H9209" s="5" t="s">
        <v>1583</v>
      </c>
      <c r="I9209" s="5" t="s">
        <v>31</v>
      </c>
      <c r="J9209" s="5">
        <v>17.374839532744002</v>
      </c>
      <c r="K9209" s="5">
        <v>-96.301709356600995</v>
      </c>
      <c r="L9209" s="5" t="str">
        <f>HYPERLINK("https://maps.google.com/?q=17.3748395327435,-96.301709356601094", "🔗 Ver Mapa")</f>
        <v>🔗 Ver Mapa</v>
      </c>
    </row>
    <row r="9210" spans="1:12" ht="43.5" x14ac:dyDescent="0.35">
      <c r="A9210" s="6" t="s">
        <v>98</v>
      </c>
      <c r="B9210" s="6" t="s">
        <v>99</v>
      </c>
      <c r="C9210" s="6" t="s">
        <v>1581</v>
      </c>
      <c r="D9210" s="6" t="s">
        <v>14</v>
      </c>
      <c r="E9210" s="6" t="s">
        <v>90</v>
      </c>
      <c r="F9210" s="6" t="s">
        <v>678</v>
      </c>
      <c r="G9210" s="6" t="s">
        <v>1582</v>
      </c>
      <c r="H9210" s="6" t="s">
        <v>1583</v>
      </c>
      <c r="I9210" s="6" t="s">
        <v>31</v>
      </c>
      <c r="J9210" s="6">
        <v>17.374843436536999</v>
      </c>
      <c r="K9210" s="6">
        <v>-96.301847615200003</v>
      </c>
      <c r="L9210" s="6" t="str">
        <f>HYPERLINK("https://maps.google.com/?q=17.3748434365369,-96.301847615199705", "🔗 Ver Mapa")</f>
        <v>🔗 Ver Mapa</v>
      </c>
    </row>
    <row r="9211" spans="1:12" ht="43.5" x14ac:dyDescent="0.35">
      <c r="A9211" s="5" t="s">
        <v>98</v>
      </c>
      <c r="B9211" s="5" t="s">
        <v>99</v>
      </c>
      <c r="C9211" s="5" t="s">
        <v>1581</v>
      </c>
      <c r="D9211" s="5" t="s">
        <v>14</v>
      </c>
      <c r="E9211" s="5" t="s">
        <v>90</v>
      </c>
      <c r="F9211" s="5" t="s">
        <v>678</v>
      </c>
      <c r="G9211" s="5" t="s">
        <v>1582</v>
      </c>
      <c r="H9211" s="5" t="s">
        <v>1583</v>
      </c>
      <c r="I9211" s="5" t="s">
        <v>31</v>
      </c>
      <c r="J9211" s="5">
        <v>17.37484794026</v>
      </c>
      <c r="K9211" s="5">
        <v>-96.301388287544</v>
      </c>
      <c r="L9211" s="5" t="str">
        <f>HYPERLINK("https://maps.google.com/?q=17.3748479402603,-96.301388287543901", "🔗 Ver Mapa")</f>
        <v>🔗 Ver Mapa</v>
      </c>
    </row>
    <row r="9212" spans="1:12" ht="43.5" x14ac:dyDescent="0.35">
      <c r="A9212" s="6" t="s">
        <v>98</v>
      </c>
      <c r="B9212" s="6" t="s">
        <v>99</v>
      </c>
      <c r="C9212" s="6" t="s">
        <v>1581</v>
      </c>
      <c r="D9212" s="6" t="s">
        <v>14</v>
      </c>
      <c r="E9212" s="6" t="s">
        <v>90</v>
      </c>
      <c r="F9212" s="6" t="s">
        <v>678</v>
      </c>
      <c r="G9212" s="6" t="s">
        <v>1582</v>
      </c>
      <c r="H9212" s="6" t="s">
        <v>1583</v>
      </c>
      <c r="I9212" s="6" t="s">
        <v>31</v>
      </c>
      <c r="J9212" s="6">
        <v>17.374909991947</v>
      </c>
      <c r="K9212" s="6">
        <v>-96.301961609082994</v>
      </c>
      <c r="L9212" s="6" t="str">
        <f>HYPERLINK("https://maps.google.com/?q=17.3749099919471,-96.301961609082795", "🔗 Ver Mapa")</f>
        <v>🔗 Ver Mapa</v>
      </c>
    </row>
    <row r="9213" spans="1:12" ht="43.5" x14ac:dyDescent="0.35">
      <c r="A9213" s="5" t="s">
        <v>98</v>
      </c>
      <c r="B9213" s="5" t="s">
        <v>99</v>
      </c>
      <c r="C9213" s="5" t="s">
        <v>1581</v>
      </c>
      <c r="D9213" s="5" t="s">
        <v>14</v>
      </c>
      <c r="E9213" s="5" t="s">
        <v>90</v>
      </c>
      <c r="F9213" s="5" t="s">
        <v>678</v>
      </c>
      <c r="G9213" s="5" t="s">
        <v>1582</v>
      </c>
      <c r="H9213" s="5" t="s">
        <v>1583</v>
      </c>
      <c r="I9213" s="5" t="s">
        <v>31</v>
      </c>
      <c r="J9213" s="5">
        <v>17.374974778643001</v>
      </c>
      <c r="K9213" s="5">
        <v>-96.303333707961997</v>
      </c>
      <c r="L9213" s="5" t="str">
        <f>HYPERLINK("https://maps.google.com/?q=17.3749747786431,-96.303333707962196", "🔗 Ver Mapa")</f>
        <v>🔗 Ver Mapa</v>
      </c>
    </row>
    <row r="9214" spans="1:12" ht="43.5" x14ac:dyDescent="0.35">
      <c r="A9214" s="6" t="s">
        <v>98</v>
      </c>
      <c r="B9214" s="6" t="s">
        <v>99</v>
      </c>
      <c r="C9214" s="6" t="s">
        <v>1581</v>
      </c>
      <c r="D9214" s="6" t="s">
        <v>14</v>
      </c>
      <c r="E9214" s="6" t="s">
        <v>90</v>
      </c>
      <c r="F9214" s="6" t="s">
        <v>678</v>
      </c>
      <c r="G9214" s="6" t="s">
        <v>1582</v>
      </c>
      <c r="H9214" s="6" t="s">
        <v>1583</v>
      </c>
      <c r="I9214" s="6" t="s">
        <v>31</v>
      </c>
      <c r="J9214" s="6">
        <v>17.374993850163001</v>
      </c>
      <c r="K9214" s="6">
        <v>-96.301259541511001</v>
      </c>
      <c r="L9214" s="6" t="str">
        <f>HYPERLINK("https://maps.google.com/?q=17.3749938501628,-96.3012595415113", "🔗 Ver Mapa")</f>
        <v>🔗 Ver Mapa</v>
      </c>
    </row>
    <row r="9215" spans="1:12" ht="43.5" x14ac:dyDescent="0.35">
      <c r="A9215" s="5" t="s">
        <v>98</v>
      </c>
      <c r="B9215" s="5" t="s">
        <v>99</v>
      </c>
      <c r="C9215" s="5" t="s">
        <v>1581</v>
      </c>
      <c r="D9215" s="5" t="s">
        <v>14</v>
      </c>
      <c r="E9215" s="5" t="s">
        <v>90</v>
      </c>
      <c r="F9215" s="5" t="s">
        <v>678</v>
      </c>
      <c r="G9215" s="5" t="s">
        <v>1582</v>
      </c>
      <c r="H9215" s="5" t="s">
        <v>1583</v>
      </c>
      <c r="I9215" s="5" t="s">
        <v>31</v>
      </c>
      <c r="J9215" s="5">
        <v>17.375039115103</v>
      </c>
      <c r="K9215" s="5">
        <v>-96.300255912056997</v>
      </c>
      <c r="L9215" s="5" t="str">
        <f>HYPERLINK("https://maps.google.com/?q=17.3750391151026,-96.300255912057295", "🔗 Ver Mapa")</f>
        <v>🔗 Ver Mapa</v>
      </c>
    </row>
    <row r="9216" spans="1:12" ht="43.5" x14ac:dyDescent="0.35">
      <c r="A9216" s="6" t="s">
        <v>98</v>
      </c>
      <c r="B9216" s="6" t="s">
        <v>99</v>
      </c>
      <c r="C9216" s="6" t="s">
        <v>1581</v>
      </c>
      <c r="D9216" s="6" t="s">
        <v>14</v>
      </c>
      <c r="E9216" s="6" t="s">
        <v>90</v>
      </c>
      <c r="F9216" s="6" t="s">
        <v>678</v>
      </c>
      <c r="G9216" s="6" t="s">
        <v>1582</v>
      </c>
      <c r="H9216" s="6" t="s">
        <v>1583</v>
      </c>
      <c r="I9216" s="6" t="s">
        <v>31</v>
      </c>
      <c r="J9216" s="6">
        <v>17.375078998031999</v>
      </c>
      <c r="K9216" s="6">
        <v>-96.303676951745999</v>
      </c>
      <c r="L9216" s="6" t="str">
        <f>HYPERLINK("https://maps.google.com/?q=17.3750789980325,-96.303676951746098", "🔗 Ver Mapa")</f>
        <v>🔗 Ver Mapa</v>
      </c>
    </row>
    <row r="9217" spans="1:12" ht="43.5" x14ac:dyDescent="0.35">
      <c r="A9217" s="5" t="s">
        <v>98</v>
      </c>
      <c r="B9217" s="5" t="s">
        <v>99</v>
      </c>
      <c r="C9217" s="5" t="s">
        <v>1581</v>
      </c>
      <c r="D9217" s="5" t="s">
        <v>14</v>
      </c>
      <c r="E9217" s="5" t="s">
        <v>90</v>
      </c>
      <c r="F9217" s="5" t="s">
        <v>678</v>
      </c>
      <c r="G9217" s="5" t="s">
        <v>1582</v>
      </c>
      <c r="H9217" s="5" t="s">
        <v>1583</v>
      </c>
      <c r="I9217" s="5" t="s">
        <v>31</v>
      </c>
      <c r="J9217" s="5">
        <v>17.375099391545</v>
      </c>
      <c r="K9217" s="5">
        <v>-96.30147442645</v>
      </c>
      <c r="L9217" s="5" t="str">
        <f>HYPERLINK("https://maps.google.com/?q=17.375099391545,-96.301474426450099", "🔗 Ver Mapa")</f>
        <v>🔗 Ver Mapa</v>
      </c>
    </row>
    <row r="9218" spans="1:12" ht="43.5" x14ac:dyDescent="0.35">
      <c r="A9218" s="6" t="s">
        <v>98</v>
      </c>
      <c r="B9218" s="6" t="s">
        <v>99</v>
      </c>
      <c r="C9218" s="6" t="s">
        <v>1581</v>
      </c>
      <c r="D9218" s="6" t="s">
        <v>14</v>
      </c>
      <c r="E9218" s="6" t="s">
        <v>90</v>
      </c>
      <c r="F9218" s="6" t="s">
        <v>678</v>
      </c>
      <c r="G9218" s="6" t="s">
        <v>1582</v>
      </c>
      <c r="H9218" s="6" t="s">
        <v>1583</v>
      </c>
      <c r="I9218" s="6" t="s">
        <v>31</v>
      </c>
      <c r="J9218" s="6">
        <v>17.375181344255001</v>
      </c>
      <c r="K9218" s="6">
        <v>-96.303291050167005</v>
      </c>
      <c r="L9218" s="6" t="str">
        <f>HYPERLINK("https://maps.google.com/?q=17.3751813442552,-96.303291050166806", "🔗 Ver Mapa")</f>
        <v>🔗 Ver Mapa</v>
      </c>
    </row>
    <row r="9219" spans="1:12" ht="43.5" x14ac:dyDescent="0.35">
      <c r="A9219" s="5" t="s">
        <v>98</v>
      </c>
      <c r="B9219" s="5" t="s">
        <v>99</v>
      </c>
      <c r="C9219" s="5" t="s">
        <v>1581</v>
      </c>
      <c r="D9219" s="5" t="s">
        <v>14</v>
      </c>
      <c r="E9219" s="5" t="s">
        <v>90</v>
      </c>
      <c r="F9219" s="5" t="s">
        <v>678</v>
      </c>
      <c r="G9219" s="5" t="s">
        <v>1582</v>
      </c>
      <c r="H9219" s="5" t="s">
        <v>1583</v>
      </c>
      <c r="I9219" s="5" t="s">
        <v>31</v>
      </c>
      <c r="J9219" s="5">
        <v>17.375182047553999</v>
      </c>
      <c r="K9219" s="5">
        <v>-96.300711907880995</v>
      </c>
      <c r="L9219" s="5" t="str">
        <f>HYPERLINK("https://maps.google.com/?q=17.3751820475538,-96.300711907881293", "🔗 Ver Mapa")</f>
        <v>🔗 Ver Mapa</v>
      </c>
    </row>
    <row r="9220" spans="1:12" ht="43.5" x14ac:dyDescent="0.35">
      <c r="A9220" s="6" t="s">
        <v>98</v>
      </c>
      <c r="B9220" s="6" t="s">
        <v>99</v>
      </c>
      <c r="C9220" s="6" t="s">
        <v>1581</v>
      </c>
      <c r="D9220" s="6" t="s">
        <v>14</v>
      </c>
      <c r="E9220" s="6" t="s">
        <v>90</v>
      </c>
      <c r="F9220" s="6" t="s">
        <v>678</v>
      </c>
      <c r="G9220" s="6" t="s">
        <v>1582</v>
      </c>
      <c r="H9220" s="6" t="s">
        <v>1583</v>
      </c>
      <c r="I9220" s="6" t="s">
        <v>31</v>
      </c>
      <c r="J9220" s="6">
        <v>17.375232502155001</v>
      </c>
      <c r="K9220" s="6">
        <v>-96.301277284088002</v>
      </c>
      <c r="L9220" s="6" t="str">
        <f>HYPERLINK("https://maps.google.com/?q=17.3752325021551,-96.301277284087604", "🔗 Ver Mapa")</f>
        <v>🔗 Ver Mapa</v>
      </c>
    </row>
    <row r="9221" spans="1:12" ht="43.5" x14ac:dyDescent="0.35">
      <c r="A9221" s="5" t="s">
        <v>98</v>
      </c>
      <c r="B9221" s="5" t="s">
        <v>99</v>
      </c>
      <c r="C9221" s="5" t="s">
        <v>1581</v>
      </c>
      <c r="D9221" s="5" t="s">
        <v>14</v>
      </c>
      <c r="E9221" s="5" t="s">
        <v>90</v>
      </c>
      <c r="F9221" s="5" t="s">
        <v>678</v>
      </c>
      <c r="G9221" s="5" t="s">
        <v>1582</v>
      </c>
      <c r="H9221" s="5" t="s">
        <v>1583</v>
      </c>
      <c r="I9221" s="5" t="s">
        <v>31</v>
      </c>
      <c r="J9221" s="5">
        <v>17.375247946117</v>
      </c>
      <c r="K9221" s="5">
        <v>-96.303676951745999</v>
      </c>
      <c r="L9221" s="5" t="str">
        <f>HYPERLINK("https://maps.google.com/?q=17.3752479461168,-96.303676951745999", "🔗 Ver Mapa")</f>
        <v>🔗 Ver Mapa</v>
      </c>
    </row>
    <row r="9222" spans="1:12" ht="43.5" x14ac:dyDescent="0.35">
      <c r="A9222" s="6" t="s">
        <v>98</v>
      </c>
      <c r="B9222" s="6" t="s">
        <v>99</v>
      </c>
      <c r="C9222" s="6" t="s">
        <v>1581</v>
      </c>
      <c r="D9222" s="6" t="s">
        <v>14</v>
      </c>
      <c r="E9222" s="6" t="s">
        <v>90</v>
      </c>
      <c r="F9222" s="6" t="s">
        <v>678</v>
      </c>
      <c r="G9222" s="6" t="s">
        <v>1582</v>
      </c>
      <c r="H9222" s="6" t="s">
        <v>1583</v>
      </c>
      <c r="I9222" s="6" t="s">
        <v>31</v>
      </c>
      <c r="J9222" s="6">
        <v>17.375267985255999</v>
      </c>
      <c r="K9222" s="6">
        <v>-96.299655223873998</v>
      </c>
      <c r="L9222" s="6" t="str">
        <f>HYPERLINK("https://maps.google.com/?q=17.3752679852557,-96.299655223874396", "🔗 Ver Mapa")</f>
        <v>🔗 Ver Mapa</v>
      </c>
    </row>
    <row r="9223" spans="1:12" ht="43.5" x14ac:dyDescent="0.35">
      <c r="A9223" s="5" t="s">
        <v>98</v>
      </c>
      <c r="B9223" s="5" t="s">
        <v>99</v>
      </c>
      <c r="C9223" s="5" t="s">
        <v>1581</v>
      </c>
      <c r="D9223" s="5" t="s">
        <v>14</v>
      </c>
      <c r="E9223" s="5" t="s">
        <v>90</v>
      </c>
      <c r="F9223" s="5" t="s">
        <v>678</v>
      </c>
      <c r="G9223" s="5" t="s">
        <v>1582</v>
      </c>
      <c r="H9223" s="5" t="s">
        <v>1583</v>
      </c>
      <c r="I9223" s="5" t="s">
        <v>31</v>
      </c>
      <c r="J9223" s="5">
        <v>17.375540052304999</v>
      </c>
      <c r="K9223" s="5">
        <v>-96.301295964622994</v>
      </c>
      <c r="L9223" s="5" t="str">
        <f>HYPERLINK("https://maps.google.com/?q=17.3755400523052,-96.301295964623094", "🔗 Ver Mapa")</f>
        <v>🔗 Ver Mapa</v>
      </c>
    </row>
    <row r="9224" spans="1:12" ht="43.5" x14ac:dyDescent="0.35">
      <c r="A9224" s="6" t="s">
        <v>98</v>
      </c>
      <c r="B9224" s="6" t="s">
        <v>99</v>
      </c>
      <c r="C9224" s="6" t="s">
        <v>1581</v>
      </c>
      <c r="D9224" s="6" t="s">
        <v>14</v>
      </c>
      <c r="E9224" s="6" t="s">
        <v>90</v>
      </c>
      <c r="F9224" s="6" t="s">
        <v>678</v>
      </c>
      <c r="G9224" s="6" t="s">
        <v>1582</v>
      </c>
      <c r="H9224" s="6" t="s">
        <v>1583</v>
      </c>
      <c r="I9224" s="6" t="s">
        <v>31</v>
      </c>
      <c r="J9224" s="6">
        <v>17.375549658564999</v>
      </c>
      <c r="K9224" s="6">
        <v>-96.303744515781005</v>
      </c>
      <c r="L9224" s="6" t="str">
        <f>HYPERLINK("https://maps.google.com/?q=17.3755496585651,-96.303744515780906", "🔗 Ver Mapa")</f>
        <v>🔗 Ver Mapa</v>
      </c>
    </row>
    <row r="9225" spans="1:12" ht="43.5" x14ac:dyDescent="0.35">
      <c r="A9225" s="5" t="s">
        <v>98</v>
      </c>
      <c r="B9225" s="5" t="s">
        <v>99</v>
      </c>
      <c r="C9225" s="5" t="s">
        <v>1581</v>
      </c>
      <c r="D9225" s="5" t="s">
        <v>14</v>
      </c>
      <c r="E9225" s="5" t="s">
        <v>90</v>
      </c>
      <c r="F9225" s="5" t="s">
        <v>678</v>
      </c>
      <c r="G9225" s="5" t="s">
        <v>1582</v>
      </c>
      <c r="H9225" s="5" t="s">
        <v>1583</v>
      </c>
      <c r="I9225" s="5" t="s">
        <v>31</v>
      </c>
      <c r="J9225" s="5">
        <v>17.375582328042</v>
      </c>
      <c r="K9225" s="5">
        <v>-96.302204342229004</v>
      </c>
      <c r="L9225" s="5" t="str">
        <f>HYPERLINK("https://maps.google.com/?q=17.375582328042,-96.302204342229402", "🔗 Ver Mapa")</f>
        <v>🔗 Ver Mapa</v>
      </c>
    </row>
    <row r="9226" spans="1:12" ht="43.5" x14ac:dyDescent="0.35">
      <c r="A9226" s="6" t="s">
        <v>98</v>
      </c>
      <c r="B9226" s="6" t="s">
        <v>99</v>
      </c>
      <c r="C9226" s="6" t="s">
        <v>1581</v>
      </c>
      <c r="D9226" s="6" t="s">
        <v>14</v>
      </c>
      <c r="E9226" s="6" t="s">
        <v>90</v>
      </c>
      <c r="F9226" s="6" t="s">
        <v>678</v>
      </c>
      <c r="G9226" s="6" t="s">
        <v>1582</v>
      </c>
      <c r="H9226" s="6" t="s">
        <v>1583</v>
      </c>
      <c r="I9226" s="6" t="s">
        <v>31</v>
      </c>
      <c r="J9226" s="6">
        <v>17.375583569141</v>
      </c>
      <c r="K9226" s="6">
        <v>-96.301796196604997</v>
      </c>
      <c r="L9226" s="6" t="str">
        <f>HYPERLINK("https://maps.google.com/?q=17.3755835691412,-96.301796196604599", "🔗 Ver Mapa")</f>
        <v>🔗 Ver Mapa</v>
      </c>
    </row>
    <row r="9227" spans="1:12" ht="43.5" x14ac:dyDescent="0.35">
      <c r="A9227" s="5" t="s">
        <v>98</v>
      </c>
      <c r="B9227" s="5" t="s">
        <v>99</v>
      </c>
      <c r="C9227" s="5" t="s">
        <v>1581</v>
      </c>
      <c r="D9227" s="5" t="s">
        <v>14</v>
      </c>
      <c r="E9227" s="5" t="s">
        <v>90</v>
      </c>
      <c r="F9227" s="5" t="s">
        <v>678</v>
      </c>
      <c r="G9227" s="5" t="s">
        <v>1582</v>
      </c>
      <c r="H9227" s="5" t="s">
        <v>1583</v>
      </c>
      <c r="I9227" s="5" t="s">
        <v>31</v>
      </c>
      <c r="J9227" s="5">
        <v>17.375655282715002</v>
      </c>
      <c r="K9227" s="5">
        <v>-96.301985742195001</v>
      </c>
      <c r="L9227" s="5" t="str">
        <f>HYPERLINK("https://maps.google.com/?q=17.3756552827152,-96.301985742194802", "🔗 Ver Mapa")</f>
        <v>🔗 Ver Mapa</v>
      </c>
    </row>
    <row r="9228" spans="1:12" ht="43.5" x14ac:dyDescent="0.35">
      <c r="A9228" s="6" t="s">
        <v>98</v>
      </c>
      <c r="B9228" s="6" t="s">
        <v>99</v>
      </c>
      <c r="C9228" s="6" t="s">
        <v>1581</v>
      </c>
      <c r="D9228" s="6" t="s">
        <v>14</v>
      </c>
      <c r="E9228" s="6" t="s">
        <v>90</v>
      </c>
      <c r="F9228" s="6" t="s">
        <v>678</v>
      </c>
      <c r="G9228" s="6" t="s">
        <v>1582</v>
      </c>
      <c r="H9228" s="6" t="s">
        <v>1583</v>
      </c>
      <c r="I9228" s="6" t="s">
        <v>31</v>
      </c>
      <c r="J9228" s="6">
        <v>17.375742277514998</v>
      </c>
      <c r="K9228" s="6">
        <v>-96.301635264064004</v>
      </c>
      <c r="L9228" s="6" t="str">
        <f>HYPERLINK("https://maps.google.com/?q=17.3757422775148,-96.301635264063705", "🔗 Ver Mapa")</f>
        <v>🔗 Ver Mapa</v>
      </c>
    </row>
    <row r="9229" spans="1:12" ht="43.5" x14ac:dyDescent="0.35">
      <c r="A9229" s="5" t="s">
        <v>98</v>
      </c>
      <c r="B9229" s="5" t="s">
        <v>99</v>
      </c>
      <c r="C9229" s="5" t="s">
        <v>1581</v>
      </c>
      <c r="D9229" s="5" t="s">
        <v>14</v>
      </c>
      <c r="E9229" s="5" t="s">
        <v>90</v>
      </c>
      <c r="F9229" s="5" t="s">
        <v>678</v>
      </c>
      <c r="G9229" s="5" t="s">
        <v>1582</v>
      </c>
      <c r="H9229" s="5" t="s">
        <v>1583</v>
      </c>
      <c r="I9229" s="5" t="s">
        <v>31</v>
      </c>
      <c r="J9229" s="5">
        <v>17.375771754151</v>
      </c>
      <c r="K9229" s="5">
        <v>-96.302103759391002</v>
      </c>
      <c r="L9229" s="5" t="str">
        <f>HYPERLINK("https://maps.google.com/?q=17.3757717541507,-96.3021037593914", "🔗 Ver Mapa")</f>
        <v>🔗 Ver Mapa</v>
      </c>
    </row>
    <row r="9230" spans="1:12" ht="43.5" x14ac:dyDescent="0.35">
      <c r="A9230" s="6" t="s">
        <v>98</v>
      </c>
      <c r="B9230" s="6" t="s">
        <v>99</v>
      </c>
      <c r="C9230" s="6" t="s">
        <v>1581</v>
      </c>
      <c r="D9230" s="6" t="s">
        <v>14</v>
      </c>
      <c r="E9230" s="6" t="s">
        <v>90</v>
      </c>
      <c r="F9230" s="6" t="s">
        <v>678</v>
      </c>
      <c r="G9230" s="6" t="s">
        <v>1582</v>
      </c>
      <c r="H9230" s="6" t="s">
        <v>1583</v>
      </c>
      <c r="I9230" s="6" t="s">
        <v>31</v>
      </c>
      <c r="J9230" s="6">
        <v>17.375831870890998</v>
      </c>
      <c r="K9230" s="6">
        <v>-96.301458238269007</v>
      </c>
      <c r="L9230" s="6" t="str">
        <f>HYPERLINK("https://maps.google.com/?q=17.3758318708908,-96.301458238268694", "🔗 Ver Mapa")</f>
        <v>🔗 Ver Mapa</v>
      </c>
    </row>
    <row r="9231" spans="1:12" ht="43.5" x14ac:dyDescent="0.35">
      <c r="A9231" s="5" t="s">
        <v>98</v>
      </c>
      <c r="B9231" s="5" t="s">
        <v>99</v>
      </c>
      <c r="C9231" s="5" t="s">
        <v>1581</v>
      </c>
      <c r="D9231" s="5" t="s">
        <v>14</v>
      </c>
      <c r="E9231" s="5" t="s">
        <v>90</v>
      </c>
      <c r="F9231" s="5" t="s">
        <v>678</v>
      </c>
      <c r="G9231" s="5" t="s">
        <v>1582</v>
      </c>
      <c r="H9231" s="5" t="s">
        <v>1583</v>
      </c>
      <c r="I9231" s="5" t="s">
        <v>31</v>
      </c>
      <c r="J9231" s="5">
        <v>17.375947101116999</v>
      </c>
      <c r="K9231" s="5">
        <v>-96.302021952017</v>
      </c>
      <c r="L9231" s="5" t="str">
        <f>HYPERLINK("https://maps.google.com/?q=17.3759471011174,-96.302021952016503", "🔗 Ver Mapa")</f>
        <v>🔗 Ver Mapa</v>
      </c>
    </row>
    <row r="9232" spans="1:12" ht="43.5" x14ac:dyDescent="0.35">
      <c r="A9232" s="6" t="s">
        <v>98</v>
      </c>
      <c r="B9232" s="6" t="s">
        <v>99</v>
      </c>
      <c r="C9232" s="6" t="s">
        <v>1581</v>
      </c>
      <c r="D9232" s="6" t="s">
        <v>14</v>
      </c>
      <c r="E9232" s="6" t="s">
        <v>90</v>
      </c>
      <c r="F9232" s="6" t="s">
        <v>678</v>
      </c>
      <c r="G9232" s="6" t="s">
        <v>1582</v>
      </c>
      <c r="H9232" s="6" t="s">
        <v>1583</v>
      </c>
      <c r="I9232" s="6" t="s">
        <v>31</v>
      </c>
      <c r="J9232" s="6">
        <v>17.376052567792001</v>
      </c>
      <c r="K9232" s="6">
        <v>-96.300451839952004</v>
      </c>
      <c r="L9232" s="6" t="str">
        <f>HYPERLINK("https://maps.google.com/?q=17.3760525677916,-96.300451839952203", "🔗 Ver Mapa")</f>
        <v>🔗 Ver Mapa</v>
      </c>
    </row>
    <row r="9233" spans="1:12" ht="43.5" x14ac:dyDescent="0.35">
      <c r="A9233" s="5" t="s">
        <v>98</v>
      </c>
      <c r="B9233" s="5" t="s">
        <v>99</v>
      </c>
      <c r="C9233" s="5" t="s">
        <v>1581</v>
      </c>
      <c r="D9233" s="5" t="s">
        <v>14</v>
      </c>
      <c r="E9233" s="5" t="s">
        <v>90</v>
      </c>
      <c r="F9233" s="5" t="s">
        <v>678</v>
      </c>
      <c r="G9233" s="5" t="s">
        <v>1582</v>
      </c>
      <c r="H9233" s="5" t="s">
        <v>1583</v>
      </c>
      <c r="I9233" s="5" t="s">
        <v>31</v>
      </c>
      <c r="J9233" s="5">
        <v>17.376103854804999</v>
      </c>
      <c r="K9233" s="5">
        <v>-96.302615074170006</v>
      </c>
      <c r="L9233" s="5" t="str">
        <f>HYPERLINK("https://maps.google.com/?q=17.3761038548047,-96.3026150741701", "🔗 Ver Mapa")</f>
        <v>🔗 Ver Mapa</v>
      </c>
    </row>
    <row r="9234" spans="1:12" ht="43.5" x14ac:dyDescent="0.35">
      <c r="A9234" s="6" t="s">
        <v>98</v>
      </c>
      <c r="B9234" s="6" t="s">
        <v>99</v>
      </c>
      <c r="C9234" s="6" t="s">
        <v>1581</v>
      </c>
      <c r="D9234" s="6" t="s">
        <v>14</v>
      </c>
      <c r="E9234" s="6" t="s">
        <v>90</v>
      </c>
      <c r="F9234" s="6" t="s">
        <v>678</v>
      </c>
      <c r="G9234" s="6" t="s">
        <v>1582</v>
      </c>
      <c r="H9234" s="6" t="s">
        <v>1583</v>
      </c>
      <c r="I9234" s="6" t="s">
        <v>31</v>
      </c>
      <c r="J9234" s="6">
        <v>17.376121129205</v>
      </c>
      <c r="K9234" s="6">
        <v>-96.301616488600999</v>
      </c>
      <c r="L9234" s="6" t="str">
        <f>HYPERLINK("https://maps.google.com/?q=17.3761211292054,-96.3016164886007", "🔗 Ver Mapa")</f>
        <v>🔗 Ver Mapa</v>
      </c>
    </row>
    <row r="9235" spans="1:12" ht="43.5" x14ac:dyDescent="0.35">
      <c r="A9235" s="5" t="s">
        <v>98</v>
      </c>
      <c r="B9235" s="5" t="s">
        <v>99</v>
      </c>
      <c r="C9235" s="5" t="s">
        <v>1581</v>
      </c>
      <c r="D9235" s="5" t="s">
        <v>14</v>
      </c>
      <c r="E9235" s="5" t="s">
        <v>90</v>
      </c>
      <c r="F9235" s="5" t="s">
        <v>678</v>
      </c>
      <c r="G9235" s="5" t="s">
        <v>1582</v>
      </c>
      <c r="H9235" s="5" t="s">
        <v>1583</v>
      </c>
      <c r="I9235" s="5" t="s">
        <v>31</v>
      </c>
      <c r="J9235" s="5">
        <v>17.3762319095</v>
      </c>
      <c r="K9235" s="5">
        <v>-96.301588540598004</v>
      </c>
      <c r="L9235" s="5" t="str">
        <f>HYPERLINK("https://maps.google.com/?q=17.3762319094996,-96.301588540598402", "🔗 Ver Mapa")</f>
        <v>🔗 Ver Mapa</v>
      </c>
    </row>
    <row r="9236" spans="1:12" ht="43.5" x14ac:dyDescent="0.35">
      <c r="A9236" s="6" t="s">
        <v>98</v>
      </c>
      <c r="B9236" s="6" t="s">
        <v>99</v>
      </c>
      <c r="C9236" s="6" t="s">
        <v>1581</v>
      </c>
      <c r="D9236" s="6" t="s">
        <v>14</v>
      </c>
      <c r="E9236" s="6" t="s">
        <v>90</v>
      </c>
      <c r="F9236" s="6" t="s">
        <v>678</v>
      </c>
      <c r="G9236" s="6" t="s">
        <v>1582</v>
      </c>
      <c r="H9236" s="6" t="s">
        <v>1583</v>
      </c>
      <c r="I9236" s="6" t="s">
        <v>31</v>
      </c>
      <c r="J9236" s="6">
        <v>17.376285420871</v>
      </c>
      <c r="K9236" s="6">
        <v>-96.302381943106994</v>
      </c>
      <c r="L9236" s="6" t="str">
        <f>HYPERLINK("https://maps.google.com/?q=17.376285420871,-96.302381943106596", "🔗 Ver Mapa")</f>
        <v>🔗 Ver Mapa</v>
      </c>
    </row>
    <row r="9237" spans="1:12" ht="43.5" x14ac:dyDescent="0.35">
      <c r="A9237" s="5" t="s">
        <v>98</v>
      </c>
      <c r="B9237" s="5" t="s">
        <v>99</v>
      </c>
      <c r="C9237" s="5" t="s">
        <v>1581</v>
      </c>
      <c r="D9237" s="5" t="s">
        <v>14</v>
      </c>
      <c r="E9237" s="5" t="s">
        <v>90</v>
      </c>
      <c r="F9237" s="5" t="s">
        <v>678</v>
      </c>
      <c r="G9237" s="5" t="s">
        <v>1582</v>
      </c>
      <c r="H9237" s="5" t="s">
        <v>1583</v>
      </c>
      <c r="I9237" s="5" t="s">
        <v>31</v>
      </c>
      <c r="J9237" s="5">
        <v>17.376293344798</v>
      </c>
      <c r="K9237" s="5">
        <v>-96.301473205611003</v>
      </c>
      <c r="L9237" s="5" t="str">
        <f>HYPERLINK("https://maps.google.com/?q=17.3762933447979,-96.301473205610804", "🔗 Ver Mapa")</f>
        <v>🔗 Ver Mapa</v>
      </c>
    </row>
    <row r="9238" spans="1:12" ht="43.5" x14ac:dyDescent="0.35">
      <c r="A9238" s="6" t="s">
        <v>98</v>
      </c>
      <c r="B9238" s="6" t="s">
        <v>99</v>
      </c>
      <c r="C9238" s="6" t="s">
        <v>1581</v>
      </c>
      <c r="D9238" s="6" t="s">
        <v>14</v>
      </c>
      <c r="E9238" s="6" t="s">
        <v>90</v>
      </c>
      <c r="F9238" s="6" t="s">
        <v>678</v>
      </c>
      <c r="G9238" s="6" t="s">
        <v>1582</v>
      </c>
      <c r="H9238" s="6" t="s">
        <v>1583</v>
      </c>
      <c r="I9238" s="6" t="s">
        <v>31</v>
      </c>
      <c r="J9238" s="6">
        <v>17.376335337038</v>
      </c>
      <c r="K9238" s="6">
        <v>-96.302630717992997</v>
      </c>
      <c r="L9238" s="6" t="str">
        <f>HYPERLINK("https://maps.google.com/?q=17.3763353370378,-96.302630717992699", "🔗 Ver Mapa")</f>
        <v>🔗 Ver Mapa</v>
      </c>
    </row>
    <row r="9239" spans="1:12" ht="43.5" x14ac:dyDescent="0.35">
      <c r="A9239" s="5" t="s">
        <v>98</v>
      </c>
      <c r="B9239" s="5" t="s">
        <v>99</v>
      </c>
      <c r="C9239" s="5" t="s">
        <v>1581</v>
      </c>
      <c r="D9239" s="5" t="s">
        <v>14</v>
      </c>
      <c r="E9239" s="5" t="s">
        <v>90</v>
      </c>
      <c r="F9239" s="5" t="s">
        <v>678</v>
      </c>
      <c r="G9239" s="5" t="s">
        <v>1582</v>
      </c>
      <c r="H9239" s="5" t="s">
        <v>1583</v>
      </c>
      <c r="I9239" s="5" t="s">
        <v>31</v>
      </c>
      <c r="J9239" s="5">
        <v>17.376338798117001</v>
      </c>
      <c r="K9239" s="5">
        <v>-96.299665697099002</v>
      </c>
      <c r="L9239" s="5" t="str">
        <f>HYPERLINK("https://maps.google.com/?q=17.3763387981169,-96.299665697098803", "🔗 Ver Mapa")</f>
        <v>🔗 Ver Mapa</v>
      </c>
    </row>
    <row r="9240" spans="1:12" ht="43.5" x14ac:dyDescent="0.35">
      <c r="A9240" s="6" t="s">
        <v>98</v>
      </c>
      <c r="B9240" s="6" t="s">
        <v>99</v>
      </c>
      <c r="C9240" s="6" t="s">
        <v>1581</v>
      </c>
      <c r="D9240" s="6" t="s">
        <v>14</v>
      </c>
      <c r="E9240" s="6" t="s">
        <v>90</v>
      </c>
      <c r="F9240" s="6" t="s">
        <v>678</v>
      </c>
      <c r="G9240" s="6" t="s">
        <v>1582</v>
      </c>
      <c r="H9240" s="6" t="s">
        <v>1583</v>
      </c>
      <c r="I9240" s="6" t="s">
        <v>31</v>
      </c>
      <c r="J9240" s="6">
        <v>17.376343739193999</v>
      </c>
      <c r="K9240" s="6">
        <v>-96.301258297664006</v>
      </c>
      <c r="L9240" s="6" t="str">
        <f>HYPERLINK("https://maps.google.com/?q=17.3763437391941,-96.301258297663693", "🔗 Ver Mapa")</f>
        <v>🔗 Ver Mapa</v>
      </c>
    </row>
    <row r="9241" spans="1:12" ht="43.5" x14ac:dyDescent="0.35">
      <c r="A9241" s="5" t="s">
        <v>98</v>
      </c>
      <c r="B9241" s="5" t="s">
        <v>99</v>
      </c>
      <c r="C9241" s="5" t="s">
        <v>1581</v>
      </c>
      <c r="D9241" s="5" t="s">
        <v>14</v>
      </c>
      <c r="E9241" s="5" t="s">
        <v>90</v>
      </c>
      <c r="F9241" s="5" t="s">
        <v>678</v>
      </c>
      <c r="G9241" s="5" t="s">
        <v>1582</v>
      </c>
      <c r="H9241" s="5" t="s">
        <v>1583</v>
      </c>
      <c r="I9241" s="5" t="s">
        <v>31</v>
      </c>
      <c r="J9241" s="5">
        <v>17.376351511607002</v>
      </c>
      <c r="K9241" s="5">
        <v>-96.300994216109004</v>
      </c>
      <c r="L9241" s="5" t="str">
        <f>HYPERLINK("https://maps.google.com/?q=17.3763515116071,-96.300994216109103", "🔗 Ver Mapa")</f>
        <v>🔗 Ver Mapa</v>
      </c>
    </row>
    <row r="9242" spans="1:12" ht="43.5" x14ac:dyDescent="0.35">
      <c r="A9242" s="6" t="s">
        <v>98</v>
      </c>
      <c r="B9242" s="6" t="s">
        <v>99</v>
      </c>
      <c r="C9242" s="6" t="s">
        <v>1581</v>
      </c>
      <c r="D9242" s="6" t="s">
        <v>14</v>
      </c>
      <c r="E9242" s="6" t="s">
        <v>90</v>
      </c>
      <c r="F9242" s="6" t="s">
        <v>678</v>
      </c>
      <c r="G9242" s="6" t="s">
        <v>1582</v>
      </c>
      <c r="H9242" s="6" t="s">
        <v>1583</v>
      </c>
      <c r="I9242" s="6" t="s">
        <v>31</v>
      </c>
      <c r="J9242" s="6">
        <v>17.376640104220002</v>
      </c>
      <c r="K9242" s="6">
        <v>-96.301583915351998</v>
      </c>
      <c r="L9242" s="6" t="str">
        <f>HYPERLINK("https://maps.google.com/?q=17.3766401042195,-96.301583915352097", "🔗 Ver Mapa")</f>
        <v>🔗 Ver Mapa</v>
      </c>
    </row>
    <row r="9243" spans="1:12" ht="43.5" x14ac:dyDescent="0.35">
      <c r="A9243" s="5" t="s">
        <v>98</v>
      </c>
      <c r="B9243" s="5" t="s">
        <v>99</v>
      </c>
      <c r="C9243" s="5" t="s">
        <v>1581</v>
      </c>
      <c r="D9243" s="5" t="s">
        <v>14</v>
      </c>
      <c r="E9243" s="5" t="s">
        <v>90</v>
      </c>
      <c r="F9243" s="5" t="s">
        <v>678</v>
      </c>
      <c r="G9243" s="5" t="s">
        <v>1582</v>
      </c>
      <c r="H9243" s="5" t="s">
        <v>1583</v>
      </c>
      <c r="I9243" s="5" t="s">
        <v>31</v>
      </c>
      <c r="J9243" s="5">
        <v>17.376706200000001</v>
      </c>
      <c r="K9243" s="5">
        <v>-96.301966739999997</v>
      </c>
      <c r="L9243" s="5" t="str">
        <f>HYPERLINK("https://maps.google.com/?q=17.3767062,-96.301966739999997", "🔗 Ver Mapa")</f>
        <v>🔗 Ver Mapa</v>
      </c>
    </row>
    <row r="9244" spans="1:12" ht="43.5" x14ac:dyDescent="0.35">
      <c r="A9244" s="6" t="s">
        <v>98</v>
      </c>
      <c r="B9244" s="6" t="s">
        <v>99</v>
      </c>
      <c r="C9244" s="6" t="s">
        <v>1581</v>
      </c>
      <c r="D9244" s="6" t="s">
        <v>14</v>
      </c>
      <c r="E9244" s="6" t="s">
        <v>90</v>
      </c>
      <c r="F9244" s="6" t="s">
        <v>678</v>
      </c>
      <c r="G9244" s="6" t="s">
        <v>1582</v>
      </c>
      <c r="H9244" s="6" t="s">
        <v>1583</v>
      </c>
      <c r="I9244" s="6" t="s">
        <v>31</v>
      </c>
      <c r="J9244" s="6">
        <v>17.376889472376</v>
      </c>
      <c r="K9244" s="6">
        <v>-96.301279544680995</v>
      </c>
      <c r="L9244" s="6" t="str">
        <f>HYPERLINK("https://maps.google.com/?q=17.3768894723764,-96.301279544680796", "🔗 Ver Mapa")</f>
        <v>🔗 Ver Mapa</v>
      </c>
    </row>
    <row r="9245" spans="1:12" ht="43.5" x14ac:dyDescent="0.35">
      <c r="A9245" s="5" t="s">
        <v>98</v>
      </c>
      <c r="B9245" s="5" t="s">
        <v>99</v>
      </c>
      <c r="C9245" s="5" t="s">
        <v>1581</v>
      </c>
      <c r="D9245" s="5" t="s">
        <v>14</v>
      </c>
      <c r="E9245" s="5" t="s">
        <v>90</v>
      </c>
      <c r="F9245" s="5" t="s">
        <v>678</v>
      </c>
      <c r="G9245" s="5" t="s">
        <v>1582</v>
      </c>
      <c r="H9245" s="5" t="s">
        <v>1583</v>
      </c>
      <c r="I9245" s="5" t="s">
        <v>31</v>
      </c>
      <c r="J9245" s="5">
        <v>17.376895539963002</v>
      </c>
      <c r="K9245" s="5">
        <v>-96.302097065349997</v>
      </c>
      <c r="L9245" s="5" t="str">
        <f>HYPERLINK("https://maps.google.com/?q=17.3768955399627,-96.302097065350395", "🔗 Ver Mapa")</f>
        <v>🔗 Ver Mapa</v>
      </c>
    </row>
    <row r="9246" spans="1:12" ht="43.5" x14ac:dyDescent="0.35">
      <c r="A9246" s="6" t="s">
        <v>98</v>
      </c>
      <c r="B9246" s="6" t="s">
        <v>99</v>
      </c>
      <c r="C9246" s="6" t="s">
        <v>1581</v>
      </c>
      <c r="D9246" s="6" t="s">
        <v>14</v>
      </c>
      <c r="E9246" s="6" t="s">
        <v>90</v>
      </c>
      <c r="F9246" s="6" t="s">
        <v>678</v>
      </c>
      <c r="G9246" s="6" t="s">
        <v>1582</v>
      </c>
      <c r="H9246" s="6" t="s">
        <v>1583</v>
      </c>
      <c r="I9246" s="6" t="s">
        <v>31</v>
      </c>
      <c r="J9246" s="6">
        <v>17.376899394121999</v>
      </c>
      <c r="K9246" s="6">
        <v>-96.299518175602998</v>
      </c>
      <c r="L9246" s="6" t="str">
        <f>HYPERLINK("https://maps.google.com/?q=17.3768993941223,-96.299518175603296", "🔗 Ver Mapa")</f>
        <v>🔗 Ver Mapa</v>
      </c>
    </row>
    <row r="9247" spans="1:12" ht="43.5" x14ac:dyDescent="0.35">
      <c r="A9247" s="5" t="s">
        <v>98</v>
      </c>
      <c r="B9247" s="5" t="s">
        <v>99</v>
      </c>
      <c r="C9247" s="5" t="s">
        <v>1581</v>
      </c>
      <c r="D9247" s="5" t="s">
        <v>14</v>
      </c>
      <c r="E9247" s="5" t="s">
        <v>90</v>
      </c>
      <c r="F9247" s="5" t="s">
        <v>678</v>
      </c>
      <c r="G9247" s="5" t="s">
        <v>1582</v>
      </c>
      <c r="H9247" s="5" t="s">
        <v>1583</v>
      </c>
      <c r="I9247" s="5" t="s">
        <v>31</v>
      </c>
      <c r="J9247" s="5">
        <v>17.377040182803999</v>
      </c>
      <c r="K9247" s="5">
        <v>-96.299929894686997</v>
      </c>
      <c r="L9247" s="5" t="str">
        <f>HYPERLINK("https://maps.google.com/?q=17.3770401828036,-96.299929894687295", "🔗 Ver Mapa")</f>
        <v>🔗 Ver Mapa</v>
      </c>
    </row>
    <row r="9248" spans="1:12" ht="43.5" x14ac:dyDescent="0.35">
      <c r="A9248" s="6" t="s">
        <v>98</v>
      </c>
      <c r="B9248" s="6" t="s">
        <v>99</v>
      </c>
      <c r="C9248" s="6" t="s">
        <v>1581</v>
      </c>
      <c r="D9248" s="6" t="s">
        <v>14</v>
      </c>
      <c r="E9248" s="6" t="s">
        <v>90</v>
      </c>
      <c r="F9248" s="6" t="s">
        <v>678</v>
      </c>
      <c r="G9248" s="6" t="s">
        <v>1582</v>
      </c>
      <c r="H9248" s="6" t="s">
        <v>1583</v>
      </c>
      <c r="I9248" s="6" t="s">
        <v>31</v>
      </c>
      <c r="J9248" s="6">
        <v>17.377064486371001</v>
      </c>
      <c r="K9248" s="6">
        <v>-96.302223129173996</v>
      </c>
      <c r="L9248" s="6" t="str">
        <f>HYPERLINK("https://maps.google.com/?q=17.3770644863709,-96.302223129174095", "🔗 Ver Mapa")</f>
        <v>🔗 Ver Mapa</v>
      </c>
    </row>
    <row r="9249" spans="1:12" ht="43.5" x14ac:dyDescent="0.35">
      <c r="A9249" s="5" t="s">
        <v>98</v>
      </c>
      <c r="B9249" s="5" t="s">
        <v>99</v>
      </c>
      <c r="C9249" s="5" t="s">
        <v>1581</v>
      </c>
      <c r="D9249" s="5" t="s">
        <v>14</v>
      </c>
      <c r="E9249" s="5" t="s">
        <v>90</v>
      </c>
      <c r="F9249" s="5" t="s">
        <v>678</v>
      </c>
      <c r="G9249" s="5" t="s">
        <v>1582</v>
      </c>
      <c r="H9249" s="5" t="s">
        <v>1583</v>
      </c>
      <c r="I9249" s="5" t="s">
        <v>31</v>
      </c>
      <c r="J9249" s="5">
        <v>17.377147694087</v>
      </c>
      <c r="K9249" s="5">
        <v>-96.300666161061997</v>
      </c>
      <c r="L9249" s="5" t="str">
        <f>HYPERLINK("https://maps.google.com/?q=17.3771476940874,-96.300666161061699", "🔗 Ver Mapa")</f>
        <v>🔗 Ver Mapa</v>
      </c>
    </row>
    <row r="9250" spans="1:12" ht="43.5" x14ac:dyDescent="0.35">
      <c r="A9250" s="6" t="s">
        <v>98</v>
      </c>
      <c r="B9250" s="6" t="s">
        <v>99</v>
      </c>
      <c r="C9250" s="6" t="s">
        <v>1581</v>
      </c>
      <c r="D9250" s="6" t="s">
        <v>14</v>
      </c>
      <c r="E9250" s="6" t="s">
        <v>90</v>
      </c>
      <c r="F9250" s="6" t="s">
        <v>678</v>
      </c>
      <c r="G9250" s="6" t="s">
        <v>1582</v>
      </c>
      <c r="H9250" s="6" t="s">
        <v>1583</v>
      </c>
      <c r="I9250" s="6" t="s">
        <v>31</v>
      </c>
      <c r="J9250" s="6">
        <v>17.377167209959001</v>
      </c>
      <c r="K9250" s="6">
        <v>-96.301063626854997</v>
      </c>
      <c r="L9250" s="6" t="str">
        <f>HYPERLINK("https://maps.google.com/?q=17.377167209959,-96.301063626855196", "🔗 Ver Mapa")</f>
        <v>🔗 Ver Mapa</v>
      </c>
    </row>
    <row r="9251" spans="1:12" ht="43.5" x14ac:dyDescent="0.35">
      <c r="A9251" s="5" t="s">
        <v>98</v>
      </c>
      <c r="B9251" s="5" t="s">
        <v>99</v>
      </c>
      <c r="C9251" s="5" t="s">
        <v>1581</v>
      </c>
      <c r="D9251" s="5" t="s">
        <v>14</v>
      </c>
      <c r="E9251" s="5" t="s">
        <v>90</v>
      </c>
      <c r="F9251" s="5" t="s">
        <v>678</v>
      </c>
      <c r="G9251" s="5" t="s">
        <v>1582</v>
      </c>
      <c r="H9251" s="5" t="s">
        <v>1583</v>
      </c>
      <c r="I9251" s="5" t="s">
        <v>31</v>
      </c>
      <c r="J9251" s="5">
        <v>17.377168489854999</v>
      </c>
      <c r="K9251" s="5">
        <v>-96.301241993754999</v>
      </c>
      <c r="L9251" s="5" t="str">
        <f>HYPERLINK("https://maps.google.com/?q=17.3771684898547,-96.301241993754601", "🔗 Ver Mapa")</f>
        <v>🔗 Ver Mapa</v>
      </c>
    </row>
    <row r="9252" spans="1:12" ht="43.5" x14ac:dyDescent="0.35">
      <c r="A9252" s="6" t="s">
        <v>98</v>
      </c>
      <c r="B9252" s="6" t="s">
        <v>99</v>
      </c>
      <c r="C9252" s="6" t="s">
        <v>1581</v>
      </c>
      <c r="D9252" s="6" t="s">
        <v>14</v>
      </c>
      <c r="E9252" s="6" t="s">
        <v>90</v>
      </c>
      <c r="F9252" s="6" t="s">
        <v>678</v>
      </c>
      <c r="G9252" s="6" t="s">
        <v>1582</v>
      </c>
      <c r="H9252" s="6" t="s">
        <v>1583</v>
      </c>
      <c r="I9252" s="6" t="s">
        <v>31</v>
      </c>
      <c r="J9252" s="6">
        <v>17.377233764524998</v>
      </c>
      <c r="K9252" s="6">
        <v>-96.301451206058005</v>
      </c>
      <c r="L9252" s="6" t="str">
        <f>HYPERLINK("https://maps.google.com/?q=17.3772337645245,-96.301451206057706", "🔗 Ver Mapa")</f>
        <v>🔗 Ver Mapa</v>
      </c>
    </row>
    <row r="9253" spans="1:12" ht="43.5" x14ac:dyDescent="0.35">
      <c r="A9253" s="5" t="s">
        <v>98</v>
      </c>
      <c r="B9253" s="5" t="s">
        <v>99</v>
      </c>
      <c r="C9253" s="5" t="s">
        <v>1581</v>
      </c>
      <c r="D9253" s="5" t="s">
        <v>14</v>
      </c>
      <c r="E9253" s="5" t="s">
        <v>90</v>
      </c>
      <c r="F9253" s="5" t="s">
        <v>678</v>
      </c>
      <c r="G9253" s="5" t="s">
        <v>1582</v>
      </c>
      <c r="H9253" s="5" t="s">
        <v>1583</v>
      </c>
      <c r="I9253" s="5" t="s">
        <v>31</v>
      </c>
      <c r="J9253" s="5">
        <v>17.377248805832</v>
      </c>
      <c r="K9253" s="5">
        <v>-96.300066687346998</v>
      </c>
      <c r="L9253" s="5" t="str">
        <f>HYPERLINK("https://maps.google.com/?q=17.3772488058324,-96.300066687346998", "🔗 Ver Mapa")</f>
        <v>🔗 Ver Mapa</v>
      </c>
    </row>
    <row r="9254" spans="1:12" ht="43.5" x14ac:dyDescent="0.35">
      <c r="A9254" s="6" t="s">
        <v>98</v>
      </c>
      <c r="B9254" s="6" t="s">
        <v>99</v>
      </c>
      <c r="C9254" s="6" t="s">
        <v>1581</v>
      </c>
      <c r="D9254" s="6" t="s">
        <v>14</v>
      </c>
      <c r="E9254" s="6" t="s">
        <v>90</v>
      </c>
      <c r="F9254" s="6" t="s">
        <v>678</v>
      </c>
      <c r="G9254" s="6" t="s">
        <v>1582</v>
      </c>
      <c r="H9254" s="6" t="s">
        <v>1583</v>
      </c>
      <c r="I9254" s="6" t="s">
        <v>31</v>
      </c>
      <c r="J9254" s="6">
        <v>17.377328159314999</v>
      </c>
      <c r="K9254" s="6">
        <v>-96.299897708179003</v>
      </c>
      <c r="L9254" s="6" t="str">
        <f>HYPERLINK("https://maps.google.com/?q=17.3773281593146,-96.299897708179103", "🔗 Ver Mapa")</f>
        <v>🔗 Ver Mapa</v>
      </c>
    </row>
    <row r="9255" spans="1:12" ht="43.5" x14ac:dyDescent="0.35">
      <c r="A9255" s="5" t="s">
        <v>98</v>
      </c>
      <c r="B9255" s="5" t="s">
        <v>99</v>
      </c>
      <c r="C9255" s="5" t="s">
        <v>1581</v>
      </c>
      <c r="D9255" s="5" t="s">
        <v>14</v>
      </c>
      <c r="E9255" s="5" t="s">
        <v>90</v>
      </c>
      <c r="F9255" s="5" t="s">
        <v>678</v>
      </c>
      <c r="G9255" s="5" t="s">
        <v>1582</v>
      </c>
      <c r="H9255" s="5" t="s">
        <v>1583</v>
      </c>
      <c r="I9255" s="5" t="s">
        <v>31</v>
      </c>
      <c r="J9255" s="5">
        <v>17.377352810137001</v>
      </c>
      <c r="K9255" s="5">
        <v>-96.299423811609998</v>
      </c>
      <c r="L9255" s="5" t="str">
        <f>HYPERLINK("https://maps.google.com/?q=17.3773528101374,-96.2994238116096", "🔗 Ver Mapa")</f>
        <v>🔗 Ver Mapa</v>
      </c>
    </row>
    <row r="9256" spans="1:12" ht="43.5" x14ac:dyDescent="0.35">
      <c r="A9256" s="6" t="s">
        <v>98</v>
      </c>
      <c r="B9256" s="6" t="s">
        <v>99</v>
      </c>
      <c r="C9256" s="6" t="s">
        <v>1581</v>
      </c>
      <c r="D9256" s="6" t="s">
        <v>14</v>
      </c>
      <c r="E9256" s="6" t="s">
        <v>90</v>
      </c>
      <c r="F9256" s="6" t="s">
        <v>678</v>
      </c>
      <c r="G9256" s="6" t="s">
        <v>1582</v>
      </c>
      <c r="H9256" s="6" t="s">
        <v>1583</v>
      </c>
      <c r="I9256" s="6" t="s">
        <v>31</v>
      </c>
      <c r="J9256" s="6">
        <v>17.377401113291999</v>
      </c>
      <c r="K9256" s="6">
        <v>-96.300577648163994</v>
      </c>
      <c r="L9256" s="6" t="str">
        <f>HYPERLINK("https://maps.google.com/?q=17.3774011132922,-96.300577648164193", "🔗 Ver Mapa")</f>
        <v>🔗 Ver Mapa</v>
      </c>
    </row>
    <row r="9257" spans="1:12" ht="43.5" x14ac:dyDescent="0.35">
      <c r="A9257" s="5" t="s">
        <v>98</v>
      </c>
      <c r="B9257" s="5" t="s">
        <v>99</v>
      </c>
      <c r="C9257" s="5" t="s">
        <v>1581</v>
      </c>
      <c r="D9257" s="5" t="s">
        <v>14</v>
      </c>
      <c r="E9257" s="5" t="s">
        <v>90</v>
      </c>
      <c r="F9257" s="5" t="s">
        <v>678</v>
      </c>
      <c r="G9257" s="5" t="s">
        <v>1582</v>
      </c>
      <c r="H9257" s="5" t="s">
        <v>1583</v>
      </c>
      <c r="I9257" s="5" t="s">
        <v>31</v>
      </c>
      <c r="J9257" s="5">
        <v>17.377437734227001</v>
      </c>
      <c r="K9257" s="5">
        <v>-96.300928926115006</v>
      </c>
      <c r="L9257" s="5" t="str">
        <f>HYPERLINK("https://maps.google.com/?q=17.3774377342273,-96.300928926114906", "🔗 Ver Mapa")</f>
        <v>🔗 Ver Mapa</v>
      </c>
    </row>
    <row r="9258" spans="1:12" ht="43.5" x14ac:dyDescent="0.35">
      <c r="A9258" s="6" t="s">
        <v>98</v>
      </c>
      <c r="B9258" s="6" t="s">
        <v>99</v>
      </c>
      <c r="C9258" s="6" t="s">
        <v>1581</v>
      </c>
      <c r="D9258" s="6" t="s">
        <v>14</v>
      </c>
      <c r="E9258" s="6" t="s">
        <v>90</v>
      </c>
      <c r="F9258" s="6" t="s">
        <v>678</v>
      </c>
      <c r="G9258" s="6" t="s">
        <v>1582</v>
      </c>
      <c r="H9258" s="6" t="s">
        <v>1583</v>
      </c>
      <c r="I9258" s="6" t="s">
        <v>31</v>
      </c>
      <c r="J9258" s="6">
        <v>17.377544053685</v>
      </c>
      <c r="K9258" s="6">
        <v>-96.298436175587995</v>
      </c>
      <c r="L9258" s="6" t="str">
        <f>HYPERLINK("https://maps.google.com/?q=17.3775440536848,-96.298436175587796", "🔗 Ver Mapa")</f>
        <v>🔗 Ver Mapa</v>
      </c>
    </row>
    <row r="9259" spans="1:12" ht="43.5" x14ac:dyDescent="0.35">
      <c r="A9259" s="5" t="s">
        <v>98</v>
      </c>
      <c r="B9259" s="5" t="s">
        <v>99</v>
      </c>
      <c r="C9259" s="5" t="s">
        <v>1581</v>
      </c>
      <c r="D9259" s="5" t="s">
        <v>14</v>
      </c>
      <c r="E9259" s="5" t="s">
        <v>90</v>
      </c>
      <c r="F9259" s="5" t="s">
        <v>678</v>
      </c>
      <c r="G9259" s="5" t="s">
        <v>1582</v>
      </c>
      <c r="H9259" s="5" t="s">
        <v>1583</v>
      </c>
      <c r="I9259" s="5" t="s">
        <v>31</v>
      </c>
      <c r="J9259" s="5">
        <v>17.377575904063999</v>
      </c>
      <c r="K9259" s="5">
        <v>-96.301293342614997</v>
      </c>
      <c r="L9259" s="5" t="str">
        <f>HYPERLINK("https://maps.google.com/?q=17.3775759040642,-96.301293342614798", "🔗 Ver Mapa")</f>
        <v>🔗 Ver Mapa</v>
      </c>
    </row>
    <row r="9260" spans="1:12" ht="43.5" x14ac:dyDescent="0.35">
      <c r="A9260" s="6" t="s">
        <v>98</v>
      </c>
      <c r="B9260" s="6" t="s">
        <v>99</v>
      </c>
      <c r="C9260" s="6" t="s">
        <v>1581</v>
      </c>
      <c r="D9260" s="6" t="s">
        <v>14</v>
      </c>
      <c r="E9260" s="6" t="s">
        <v>90</v>
      </c>
      <c r="F9260" s="6" t="s">
        <v>678</v>
      </c>
      <c r="G9260" s="6" t="s">
        <v>1582</v>
      </c>
      <c r="H9260" s="6" t="s">
        <v>1583</v>
      </c>
      <c r="I9260" s="6" t="s">
        <v>31</v>
      </c>
      <c r="J9260" s="6">
        <v>17.377616690056001</v>
      </c>
      <c r="K9260" s="6">
        <v>-96.300146097552997</v>
      </c>
      <c r="L9260" s="6" t="str">
        <f>HYPERLINK("https://maps.google.com/?q=17.3776166900561,-96.300146097553196", "🔗 Ver Mapa")</f>
        <v>🔗 Ver Mapa</v>
      </c>
    </row>
    <row r="9261" spans="1:12" ht="43.5" x14ac:dyDescent="0.35">
      <c r="A9261" s="5" t="s">
        <v>98</v>
      </c>
      <c r="B9261" s="5" t="s">
        <v>99</v>
      </c>
      <c r="C9261" s="5" t="s">
        <v>1581</v>
      </c>
      <c r="D9261" s="5" t="s">
        <v>14</v>
      </c>
      <c r="E9261" s="5" t="s">
        <v>90</v>
      </c>
      <c r="F9261" s="5" t="s">
        <v>678</v>
      </c>
      <c r="G9261" s="5" t="s">
        <v>1582</v>
      </c>
      <c r="H9261" s="5" t="s">
        <v>1583</v>
      </c>
      <c r="I9261" s="5" t="s">
        <v>31</v>
      </c>
      <c r="J9261" s="5">
        <v>17.377639957341</v>
      </c>
      <c r="K9261" s="5">
        <v>-96.300274467115003</v>
      </c>
      <c r="L9261" s="5" t="str">
        <f>HYPERLINK("https://maps.google.com/?q=17.3776399573411,-96.300274467115401", "🔗 Ver Mapa")</f>
        <v>🔗 Ver Mapa</v>
      </c>
    </row>
    <row r="9262" spans="1:12" ht="43.5" x14ac:dyDescent="0.35">
      <c r="A9262" s="6" t="s">
        <v>98</v>
      </c>
      <c r="B9262" s="6" t="s">
        <v>99</v>
      </c>
      <c r="C9262" s="6" t="s">
        <v>1581</v>
      </c>
      <c r="D9262" s="6" t="s">
        <v>14</v>
      </c>
      <c r="E9262" s="6" t="s">
        <v>90</v>
      </c>
      <c r="F9262" s="6" t="s">
        <v>678</v>
      </c>
      <c r="G9262" s="6" t="s">
        <v>1582</v>
      </c>
      <c r="H9262" s="6" t="s">
        <v>1583</v>
      </c>
      <c r="I9262" s="6" t="s">
        <v>31</v>
      </c>
      <c r="J9262" s="6">
        <v>17.377675735680999</v>
      </c>
      <c r="K9262" s="6">
        <v>-96.301644711996005</v>
      </c>
      <c r="L9262" s="6" t="str">
        <f>HYPERLINK("https://maps.google.com/?q=17.3776757356805,-96.301644711995607", "🔗 Ver Mapa")</f>
        <v>🔗 Ver Mapa</v>
      </c>
    </row>
    <row r="9263" spans="1:12" ht="43.5" x14ac:dyDescent="0.35">
      <c r="A9263" s="5" t="s">
        <v>98</v>
      </c>
      <c r="B9263" s="5" t="s">
        <v>99</v>
      </c>
      <c r="C9263" s="5" t="s">
        <v>1581</v>
      </c>
      <c r="D9263" s="5" t="s">
        <v>14</v>
      </c>
      <c r="E9263" s="5" t="s">
        <v>90</v>
      </c>
      <c r="F9263" s="5" t="s">
        <v>678</v>
      </c>
      <c r="G9263" s="5" t="s">
        <v>1582</v>
      </c>
      <c r="H9263" s="5" t="s">
        <v>1583</v>
      </c>
      <c r="I9263" s="5" t="s">
        <v>31</v>
      </c>
      <c r="J9263" s="5">
        <v>17.377686679475001</v>
      </c>
      <c r="K9263" s="5">
        <v>-96.29927789653</v>
      </c>
      <c r="L9263" s="5" t="str">
        <f>HYPERLINK("https://maps.google.com/?q=17.3776866794746,-96.299277896529503", "🔗 Ver Mapa")</f>
        <v>🔗 Ver Mapa</v>
      </c>
    </row>
    <row r="9264" spans="1:12" ht="43.5" x14ac:dyDescent="0.35">
      <c r="A9264" s="6" t="s">
        <v>98</v>
      </c>
      <c r="B9264" s="6" t="s">
        <v>99</v>
      </c>
      <c r="C9264" s="6" t="s">
        <v>1581</v>
      </c>
      <c r="D9264" s="6" t="s">
        <v>14</v>
      </c>
      <c r="E9264" s="6" t="s">
        <v>90</v>
      </c>
      <c r="F9264" s="6" t="s">
        <v>678</v>
      </c>
      <c r="G9264" s="6" t="s">
        <v>1582</v>
      </c>
      <c r="H9264" s="6" t="s">
        <v>1583</v>
      </c>
      <c r="I9264" s="6" t="s">
        <v>31</v>
      </c>
      <c r="J9264" s="6">
        <v>17.377780686807998</v>
      </c>
      <c r="K9264" s="6">
        <v>-96.301353692318003</v>
      </c>
      <c r="L9264" s="6" t="str">
        <f>HYPERLINK("https://maps.google.com/?q=17.3777806868082,-96.301353692317605", "🔗 Ver Mapa")</f>
        <v>🔗 Ver Mapa</v>
      </c>
    </row>
    <row r="9265" spans="1:12" ht="43.5" x14ac:dyDescent="0.35">
      <c r="A9265" s="5" t="s">
        <v>98</v>
      </c>
      <c r="B9265" s="5" t="s">
        <v>99</v>
      </c>
      <c r="C9265" s="5" t="s">
        <v>1581</v>
      </c>
      <c r="D9265" s="5" t="s">
        <v>14</v>
      </c>
      <c r="E9265" s="5" t="s">
        <v>90</v>
      </c>
      <c r="F9265" s="5" t="s">
        <v>678</v>
      </c>
      <c r="G9265" s="5" t="s">
        <v>1582</v>
      </c>
      <c r="H9265" s="5" t="s">
        <v>1583</v>
      </c>
      <c r="I9265" s="5" t="s">
        <v>31</v>
      </c>
      <c r="J9265" s="5">
        <v>17.377856905043998</v>
      </c>
      <c r="K9265" s="5">
        <v>-96.300224716312002</v>
      </c>
      <c r="L9265" s="5" t="str">
        <f>HYPERLINK("https://maps.google.com/?q=17.3778569050437,-96.300224716311803", "🔗 Ver Mapa")</f>
        <v>🔗 Ver Mapa</v>
      </c>
    </row>
    <row r="9266" spans="1:12" ht="43.5" x14ac:dyDescent="0.35">
      <c r="A9266" s="6" t="s">
        <v>98</v>
      </c>
      <c r="B9266" s="6" t="s">
        <v>99</v>
      </c>
      <c r="C9266" s="6" t="s">
        <v>1581</v>
      </c>
      <c r="D9266" s="6" t="s">
        <v>14</v>
      </c>
      <c r="E9266" s="6" t="s">
        <v>90</v>
      </c>
      <c r="F9266" s="6" t="s">
        <v>678</v>
      </c>
      <c r="G9266" s="6" t="s">
        <v>1582</v>
      </c>
      <c r="H9266" s="6" t="s">
        <v>1583</v>
      </c>
      <c r="I9266" s="6" t="s">
        <v>31</v>
      </c>
      <c r="J9266" s="6">
        <v>17.377911304373001</v>
      </c>
      <c r="K9266" s="6">
        <v>-96.302492565134997</v>
      </c>
      <c r="L9266" s="6" t="str">
        <f>HYPERLINK("https://maps.google.com/?q=17.3779113043734,-96.3024925651345", "🔗 Ver Mapa")</f>
        <v>🔗 Ver Mapa</v>
      </c>
    </row>
    <row r="9267" spans="1:12" ht="43.5" x14ac:dyDescent="0.35">
      <c r="A9267" s="5" t="s">
        <v>98</v>
      </c>
      <c r="B9267" s="5" t="s">
        <v>99</v>
      </c>
      <c r="C9267" s="5" t="s">
        <v>1581</v>
      </c>
      <c r="D9267" s="5" t="s">
        <v>14</v>
      </c>
      <c r="E9267" s="5" t="s">
        <v>90</v>
      </c>
      <c r="F9267" s="5" t="s">
        <v>678</v>
      </c>
      <c r="G9267" s="5" t="s">
        <v>1582</v>
      </c>
      <c r="H9267" s="5" t="s">
        <v>1583</v>
      </c>
      <c r="I9267" s="5" t="s">
        <v>31</v>
      </c>
      <c r="J9267" s="5">
        <v>17.377940627525</v>
      </c>
      <c r="K9267" s="5">
        <v>-96.300227209702996</v>
      </c>
      <c r="L9267" s="5" t="str">
        <f>HYPERLINK("https://maps.google.com/?q=17.3779406275247,-96.300227209702797", "🔗 Ver Mapa")</f>
        <v>🔗 Ver Mapa</v>
      </c>
    </row>
    <row r="9268" spans="1:12" ht="43.5" x14ac:dyDescent="0.35">
      <c r="A9268" s="6" t="s">
        <v>98</v>
      </c>
      <c r="B9268" s="6" t="s">
        <v>99</v>
      </c>
      <c r="C9268" s="6" t="s">
        <v>1581</v>
      </c>
      <c r="D9268" s="6" t="s">
        <v>14</v>
      </c>
      <c r="E9268" s="6" t="s">
        <v>90</v>
      </c>
      <c r="F9268" s="6" t="s">
        <v>678</v>
      </c>
      <c r="G9268" s="6" t="s">
        <v>1582</v>
      </c>
      <c r="H9268" s="6" t="s">
        <v>1583</v>
      </c>
      <c r="I9268" s="6" t="s">
        <v>31</v>
      </c>
      <c r="J9268" s="6">
        <v>17.377970169287</v>
      </c>
      <c r="K9268" s="6">
        <v>-96.300837731008002</v>
      </c>
      <c r="L9268" s="6" t="str">
        <f>HYPERLINK("https://maps.google.com/?q=17.3779701692872,-96.3008377310084", "🔗 Ver Mapa")</f>
        <v>🔗 Ver Mapa</v>
      </c>
    </row>
    <row r="9269" spans="1:12" ht="43.5" x14ac:dyDescent="0.35">
      <c r="A9269" s="5" t="s">
        <v>98</v>
      </c>
      <c r="B9269" s="5" t="s">
        <v>99</v>
      </c>
      <c r="C9269" s="5" t="s">
        <v>1581</v>
      </c>
      <c r="D9269" s="5" t="s">
        <v>14</v>
      </c>
      <c r="E9269" s="5" t="s">
        <v>90</v>
      </c>
      <c r="F9269" s="5" t="s">
        <v>678</v>
      </c>
      <c r="G9269" s="5" t="s">
        <v>1582</v>
      </c>
      <c r="H9269" s="5" t="s">
        <v>1583</v>
      </c>
      <c r="I9269" s="5" t="s">
        <v>31</v>
      </c>
      <c r="J9269" s="5">
        <v>17.377993449797</v>
      </c>
      <c r="K9269" s="5">
        <v>-96.299793974059995</v>
      </c>
      <c r="L9269" s="5" t="str">
        <f>HYPERLINK("https://maps.google.com/?q=17.3779934497973,-96.299793974060293", "🔗 Ver Mapa")</f>
        <v>🔗 Ver Mapa</v>
      </c>
    </row>
    <row r="9270" spans="1:12" ht="43.5" x14ac:dyDescent="0.35">
      <c r="A9270" s="6" t="s">
        <v>98</v>
      </c>
      <c r="B9270" s="6" t="s">
        <v>99</v>
      </c>
      <c r="C9270" s="6" t="s">
        <v>1581</v>
      </c>
      <c r="D9270" s="6" t="s">
        <v>14</v>
      </c>
      <c r="E9270" s="6" t="s">
        <v>90</v>
      </c>
      <c r="F9270" s="6" t="s">
        <v>678</v>
      </c>
      <c r="G9270" s="6" t="s">
        <v>1582</v>
      </c>
      <c r="H9270" s="6" t="s">
        <v>1583</v>
      </c>
      <c r="I9270" s="6" t="s">
        <v>31</v>
      </c>
      <c r="J9270" s="6">
        <v>17.378101769497999</v>
      </c>
      <c r="K9270" s="6">
        <v>-96.300303012897004</v>
      </c>
      <c r="L9270" s="6" t="str">
        <f>HYPERLINK("https://maps.google.com/?q=17.3781017694983,-96.3003030128969", "🔗 Ver Mapa")</f>
        <v>🔗 Ver Mapa</v>
      </c>
    </row>
    <row r="9271" spans="1:12" ht="43.5" x14ac:dyDescent="0.35">
      <c r="A9271" s="5" t="s">
        <v>98</v>
      </c>
      <c r="B9271" s="5" t="s">
        <v>99</v>
      </c>
      <c r="C9271" s="5" t="s">
        <v>1581</v>
      </c>
      <c r="D9271" s="5" t="s">
        <v>14</v>
      </c>
      <c r="E9271" s="5" t="s">
        <v>90</v>
      </c>
      <c r="F9271" s="5" t="s">
        <v>678</v>
      </c>
      <c r="G9271" s="5" t="s">
        <v>1582</v>
      </c>
      <c r="H9271" s="5" t="s">
        <v>1583</v>
      </c>
      <c r="I9271" s="5" t="s">
        <v>31</v>
      </c>
      <c r="J9271" s="5">
        <v>17.378182400867999</v>
      </c>
      <c r="K9271" s="5">
        <v>-96.300572572972001</v>
      </c>
      <c r="L9271" s="5" t="str">
        <f>HYPERLINK("https://maps.google.com/?q=17.3781824008681,-96.300572572971902", "🔗 Ver Mapa")</f>
        <v>🔗 Ver Mapa</v>
      </c>
    </row>
    <row r="9272" spans="1:12" ht="43.5" x14ac:dyDescent="0.35">
      <c r="A9272" s="6" t="s">
        <v>98</v>
      </c>
      <c r="B9272" s="6" t="s">
        <v>99</v>
      </c>
      <c r="C9272" s="6" t="s">
        <v>1581</v>
      </c>
      <c r="D9272" s="6" t="s">
        <v>14</v>
      </c>
      <c r="E9272" s="6" t="s">
        <v>90</v>
      </c>
      <c r="F9272" s="6" t="s">
        <v>678</v>
      </c>
      <c r="G9272" s="6" t="s">
        <v>1582</v>
      </c>
      <c r="H9272" s="6" t="s">
        <v>1583</v>
      </c>
      <c r="I9272" s="6" t="s">
        <v>31</v>
      </c>
      <c r="J9272" s="6">
        <v>17.378244616978002</v>
      </c>
      <c r="K9272" s="6">
        <v>-96.301454423289996</v>
      </c>
      <c r="L9272" s="6" t="str">
        <f>HYPERLINK("https://maps.google.com/?q=17.3782446169781,-96.301454423289897", "🔗 Ver Mapa")</f>
        <v>🔗 Ver Mapa</v>
      </c>
    </row>
    <row r="9273" spans="1:12" ht="43.5" x14ac:dyDescent="0.35">
      <c r="A9273" s="5" t="s">
        <v>98</v>
      </c>
      <c r="B9273" s="5" t="s">
        <v>99</v>
      </c>
      <c r="C9273" s="5" t="s">
        <v>1581</v>
      </c>
      <c r="D9273" s="5" t="s">
        <v>14</v>
      </c>
      <c r="E9273" s="5" t="s">
        <v>90</v>
      </c>
      <c r="F9273" s="5" t="s">
        <v>678</v>
      </c>
      <c r="G9273" s="5" t="s">
        <v>1582</v>
      </c>
      <c r="H9273" s="5" t="s">
        <v>1583</v>
      </c>
      <c r="I9273" s="5" t="s">
        <v>31</v>
      </c>
      <c r="J9273" s="5">
        <v>17.378391022595</v>
      </c>
      <c r="K9273" s="5">
        <v>-96.300581960702999</v>
      </c>
      <c r="L9273" s="5" t="str">
        <f>HYPERLINK("https://maps.google.com/?q=17.3783910225953,-96.300581960703497", "🔗 Ver Mapa")</f>
        <v>🔗 Ver Mapa</v>
      </c>
    </row>
    <row r="9274" spans="1:12" ht="43.5" x14ac:dyDescent="0.35">
      <c r="A9274" s="6" t="s">
        <v>98</v>
      </c>
      <c r="B9274" s="6" t="s">
        <v>99</v>
      </c>
      <c r="C9274" s="6" t="s">
        <v>1581</v>
      </c>
      <c r="D9274" s="6" t="s">
        <v>14</v>
      </c>
      <c r="E9274" s="6" t="s">
        <v>90</v>
      </c>
      <c r="F9274" s="6" t="s">
        <v>678</v>
      </c>
      <c r="G9274" s="6" t="s">
        <v>1582</v>
      </c>
      <c r="H9274" s="6" t="s">
        <v>1583</v>
      </c>
      <c r="I9274" s="6" t="s">
        <v>31</v>
      </c>
      <c r="J9274" s="6">
        <v>17.378504434097</v>
      </c>
      <c r="K9274" s="6">
        <v>-96.301416872364001</v>
      </c>
      <c r="L9274" s="6" t="str">
        <f>HYPERLINK("https://maps.google.com/?q=17.3785044340966,-96.301416872363703", "🔗 Ver Mapa")</f>
        <v>🔗 Ver Mapa</v>
      </c>
    </row>
    <row r="9275" spans="1:12" ht="43.5" x14ac:dyDescent="0.35">
      <c r="A9275" s="5" t="s">
        <v>98</v>
      </c>
      <c r="B9275" s="5" t="s">
        <v>99</v>
      </c>
      <c r="C9275" s="5" t="s">
        <v>1581</v>
      </c>
      <c r="D9275" s="5" t="s">
        <v>14</v>
      </c>
      <c r="E9275" s="5" t="s">
        <v>90</v>
      </c>
      <c r="F9275" s="5" t="s">
        <v>678</v>
      </c>
      <c r="G9275" s="5" t="s">
        <v>1582</v>
      </c>
      <c r="H9275" s="5" t="s">
        <v>1583</v>
      </c>
      <c r="I9275" s="5" t="s">
        <v>31</v>
      </c>
      <c r="J9275" s="5">
        <v>17.378515290730999</v>
      </c>
      <c r="K9275" s="5">
        <v>-96.299511058161997</v>
      </c>
      <c r="L9275" s="5" t="str">
        <f>HYPERLINK("https://maps.google.com/?q=17.3785152907313,-96.299511058161997", "🔗 Ver Mapa")</f>
        <v>🔗 Ver Mapa</v>
      </c>
    </row>
    <row r="9276" spans="1:12" ht="43.5" x14ac:dyDescent="0.35">
      <c r="A9276" s="6" t="s">
        <v>98</v>
      </c>
      <c r="B9276" s="6" t="s">
        <v>99</v>
      </c>
      <c r="C9276" s="6" t="s">
        <v>1581</v>
      </c>
      <c r="D9276" s="6" t="s">
        <v>14</v>
      </c>
      <c r="E9276" s="6" t="s">
        <v>90</v>
      </c>
      <c r="F9276" s="6" t="s">
        <v>678</v>
      </c>
      <c r="G9276" s="6" t="s">
        <v>1582</v>
      </c>
      <c r="H9276" s="6" t="s">
        <v>1583</v>
      </c>
      <c r="I9276" s="6" t="s">
        <v>31</v>
      </c>
      <c r="J9276" s="6">
        <v>17.378560440166002</v>
      </c>
      <c r="K9276" s="6">
        <v>-96.300075606006999</v>
      </c>
      <c r="L9276" s="6" t="str">
        <f>HYPERLINK("https://maps.google.com/?q=17.3785604401658,-96.3000756060067", "🔗 Ver Mapa")</f>
        <v>🔗 Ver Mapa</v>
      </c>
    </row>
    <row r="9277" spans="1:12" ht="43.5" x14ac:dyDescent="0.35">
      <c r="A9277" s="5" t="s">
        <v>98</v>
      </c>
      <c r="B9277" s="5" t="s">
        <v>99</v>
      </c>
      <c r="C9277" s="5" t="s">
        <v>1581</v>
      </c>
      <c r="D9277" s="5" t="s">
        <v>14</v>
      </c>
      <c r="E9277" s="5" t="s">
        <v>90</v>
      </c>
      <c r="F9277" s="5" t="s">
        <v>678</v>
      </c>
      <c r="G9277" s="5" t="s">
        <v>1582</v>
      </c>
      <c r="H9277" s="5" t="s">
        <v>1583</v>
      </c>
      <c r="I9277" s="5" t="s">
        <v>31</v>
      </c>
      <c r="J9277" s="5">
        <v>17.378580918339999</v>
      </c>
      <c r="K9277" s="5">
        <v>-96.299760446448005</v>
      </c>
      <c r="L9277" s="5" t="str">
        <f>HYPERLINK("https://maps.google.com/?q=17.3785809183404,-96.299760446447607", "🔗 Ver Mapa")</f>
        <v>🔗 Ver Mapa</v>
      </c>
    </row>
    <row r="9278" spans="1:12" ht="43.5" x14ac:dyDescent="0.35">
      <c r="A9278" s="6" t="s">
        <v>98</v>
      </c>
      <c r="B9278" s="6" t="s">
        <v>99</v>
      </c>
      <c r="C9278" s="6" t="s">
        <v>1581</v>
      </c>
      <c r="D9278" s="6" t="s">
        <v>14</v>
      </c>
      <c r="E9278" s="6" t="s">
        <v>90</v>
      </c>
      <c r="F9278" s="6" t="s">
        <v>678</v>
      </c>
      <c r="G9278" s="6" t="s">
        <v>1582</v>
      </c>
      <c r="H9278" s="6" t="s">
        <v>1583</v>
      </c>
      <c r="I9278" s="6" t="s">
        <v>31</v>
      </c>
      <c r="J9278" s="6">
        <v>17.378642119834002</v>
      </c>
      <c r="K9278" s="6">
        <v>-96.302129130737995</v>
      </c>
      <c r="L9278" s="6" t="str">
        <f>HYPERLINK("https://maps.google.com/?q=17.3786421198338,-96.302129130737995", "🔗 Ver Mapa")</f>
        <v>🔗 Ver Mapa</v>
      </c>
    </row>
    <row r="9279" spans="1:12" ht="43.5" x14ac:dyDescent="0.35">
      <c r="A9279" s="5" t="s">
        <v>98</v>
      </c>
      <c r="B9279" s="5" t="s">
        <v>99</v>
      </c>
      <c r="C9279" s="5" t="s">
        <v>1581</v>
      </c>
      <c r="D9279" s="5" t="s">
        <v>14</v>
      </c>
      <c r="E9279" s="5" t="s">
        <v>90</v>
      </c>
      <c r="F9279" s="5" t="s">
        <v>678</v>
      </c>
      <c r="G9279" s="5" t="s">
        <v>1582</v>
      </c>
      <c r="H9279" s="5" t="s">
        <v>1583</v>
      </c>
      <c r="I9279" s="5" t="s">
        <v>31</v>
      </c>
      <c r="J9279" s="5">
        <v>17.378643941658002</v>
      </c>
      <c r="K9279" s="5">
        <v>-96.302150456529006</v>
      </c>
      <c r="L9279" s="5" t="str">
        <f>HYPERLINK("https://maps.google.com/?q=17.3786439416583,-96.302150456529006", "🔗 Ver Mapa")</f>
        <v>🔗 Ver Mapa</v>
      </c>
    </row>
    <row r="9280" spans="1:12" ht="43.5" x14ac:dyDescent="0.35">
      <c r="A9280" s="6" t="s">
        <v>98</v>
      </c>
      <c r="B9280" s="6" t="s">
        <v>99</v>
      </c>
      <c r="C9280" s="6" t="s">
        <v>1584</v>
      </c>
      <c r="D9280" s="6" t="s">
        <v>14</v>
      </c>
      <c r="E9280" s="6" t="s">
        <v>158</v>
      </c>
      <c r="F9280" s="6" t="s">
        <v>159</v>
      </c>
      <c r="G9280" s="6" t="s">
        <v>1585</v>
      </c>
      <c r="H9280" s="6" t="s">
        <v>1586</v>
      </c>
      <c r="I9280" s="6" t="s">
        <v>31</v>
      </c>
      <c r="J9280" s="6">
        <v>16.866806625121001</v>
      </c>
      <c r="K9280" s="6">
        <v>-95.228907297228005</v>
      </c>
      <c r="L9280" s="6" t="str">
        <f>HYPERLINK("https://maps.google.com/?q=16.8668066251211,-95.228907297227906", "🔗 Ver Mapa")</f>
        <v>🔗 Ver Mapa</v>
      </c>
    </row>
    <row r="9281" spans="1:12" ht="43.5" x14ac:dyDescent="0.35">
      <c r="A9281" s="5" t="s">
        <v>98</v>
      </c>
      <c r="B9281" s="5" t="s">
        <v>99</v>
      </c>
      <c r="C9281" s="5" t="s">
        <v>1584</v>
      </c>
      <c r="D9281" s="5" t="s">
        <v>14</v>
      </c>
      <c r="E9281" s="5" t="s">
        <v>158</v>
      </c>
      <c r="F9281" s="5" t="s">
        <v>159</v>
      </c>
      <c r="G9281" s="5" t="s">
        <v>1585</v>
      </c>
      <c r="H9281" s="5" t="s">
        <v>1586</v>
      </c>
      <c r="I9281" s="5" t="s">
        <v>31</v>
      </c>
      <c r="J9281" s="5">
        <v>16.866893720345001</v>
      </c>
      <c r="K9281" s="5">
        <v>-95.229938269881004</v>
      </c>
      <c r="L9281" s="5" t="str">
        <f>HYPERLINK("https://maps.google.com/?q=16.8668937203449,-95.229938269880506", "🔗 Ver Mapa")</f>
        <v>🔗 Ver Mapa</v>
      </c>
    </row>
    <row r="9282" spans="1:12" ht="43.5" x14ac:dyDescent="0.35">
      <c r="A9282" s="6" t="s">
        <v>98</v>
      </c>
      <c r="B9282" s="6" t="s">
        <v>99</v>
      </c>
      <c r="C9282" s="6" t="s">
        <v>1584</v>
      </c>
      <c r="D9282" s="6" t="s">
        <v>14</v>
      </c>
      <c r="E9282" s="6" t="s">
        <v>158</v>
      </c>
      <c r="F9282" s="6" t="s">
        <v>159</v>
      </c>
      <c r="G9282" s="6" t="s">
        <v>1585</v>
      </c>
      <c r="H9282" s="6" t="s">
        <v>1586</v>
      </c>
      <c r="I9282" s="6" t="s">
        <v>31</v>
      </c>
      <c r="J9282" s="6">
        <v>16.867117847106002</v>
      </c>
      <c r="K9282" s="6">
        <v>-95.227758593098002</v>
      </c>
      <c r="L9282" s="6" t="str">
        <f>HYPERLINK("https://maps.google.com/?q=16.8671178471063,-95.227758593097505", "🔗 Ver Mapa")</f>
        <v>🔗 Ver Mapa</v>
      </c>
    </row>
    <row r="9283" spans="1:12" ht="43.5" x14ac:dyDescent="0.35">
      <c r="A9283" s="5" t="s">
        <v>98</v>
      </c>
      <c r="B9283" s="5" t="s">
        <v>99</v>
      </c>
      <c r="C9283" s="5" t="s">
        <v>1584</v>
      </c>
      <c r="D9283" s="5" t="s">
        <v>14</v>
      </c>
      <c r="E9283" s="5" t="s">
        <v>158</v>
      </c>
      <c r="F9283" s="5" t="s">
        <v>159</v>
      </c>
      <c r="G9283" s="5" t="s">
        <v>1585</v>
      </c>
      <c r="H9283" s="5" t="s">
        <v>1586</v>
      </c>
      <c r="I9283" s="5" t="s">
        <v>31</v>
      </c>
      <c r="J9283" s="5">
        <v>16.867315501398998</v>
      </c>
      <c r="K9283" s="5">
        <v>-95.228507249762998</v>
      </c>
      <c r="L9283" s="5" t="str">
        <f>HYPERLINK("https://maps.google.com/?q=16.867315501399,-95.228507249763496", "🔗 Ver Mapa")</f>
        <v>🔗 Ver Mapa</v>
      </c>
    </row>
    <row r="9284" spans="1:12" ht="43.5" x14ac:dyDescent="0.35">
      <c r="A9284" s="6" t="s">
        <v>98</v>
      </c>
      <c r="B9284" s="6" t="s">
        <v>99</v>
      </c>
      <c r="C9284" s="6" t="s">
        <v>1584</v>
      </c>
      <c r="D9284" s="6" t="s">
        <v>14</v>
      </c>
      <c r="E9284" s="6" t="s">
        <v>158</v>
      </c>
      <c r="F9284" s="6" t="s">
        <v>159</v>
      </c>
      <c r="G9284" s="6" t="s">
        <v>1585</v>
      </c>
      <c r="H9284" s="6" t="s">
        <v>1586</v>
      </c>
      <c r="I9284" s="6" t="s">
        <v>31</v>
      </c>
      <c r="J9284" s="6">
        <v>16.867583733730999</v>
      </c>
      <c r="K9284" s="6">
        <v>-95.229419200828005</v>
      </c>
      <c r="L9284" s="6" t="str">
        <f>HYPERLINK("https://maps.google.com/?q=16.8675837337312,-95.229419200828303", "🔗 Ver Mapa")</f>
        <v>🔗 Ver Mapa</v>
      </c>
    </row>
    <row r="9285" spans="1:12" ht="43.5" x14ac:dyDescent="0.35">
      <c r="A9285" s="5" t="s">
        <v>98</v>
      </c>
      <c r="B9285" s="5" t="s">
        <v>99</v>
      </c>
      <c r="C9285" s="5" t="s">
        <v>1587</v>
      </c>
      <c r="D9285" s="5" t="s">
        <v>14</v>
      </c>
      <c r="E9285" s="5" t="s">
        <v>158</v>
      </c>
      <c r="F9285" s="5" t="s">
        <v>159</v>
      </c>
      <c r="G9285" s="5" t="s">
        <v>1585</v>
      </c>
      <c r="H9285" s="5" t="s">
        <v>1588</v>
      </c>
      <c r="I9285" s="5" t="s">
        <v>31</v>
      </c>
      <c r="J9285" s="5">
        <v>16.923068458136001</v>
      </c>
      <c r="K9285" s="5">
        <v>-95.209791377501006</v>
      </c>
      <c r="L9285" s="5" t="str">
        <f>HYPERLINK("https://maps.google.com/?q=16.9230684581356,-95.209791377501404", "🔗 Ver Mapa")</f>
        <v>🔗 Ver Mapa</v>
      </c>
    </row>
    <row r="9286" spans="1:12" ht="43.5" x14ac:dyDescent="0.35">
      <c r="A9286" s="6" t="s">
        <v>98</v>
      </c>
      <c r="B9286" s="6" t="s">
        <v>99</v>
      </c>
      <c r="C9286" s="6" t="s">
        <v>1587</v>
      </c>
      <c r="D9286" s="6" t="s">
        <v>14</v>
      </c>
      <c r="E9286" s="6" t="s">
        <v>158</v>
      </c>
      <c r="F9286" s="6" t="s">
        <v>159</v>
      </c>
      <c r="G9286" s="6" t="s">
        <v>1585</v>
      </c>
      <c r="H9286" s="6" t="s">
        <v>1588</v>
      </c>
      <c r="I9286" s="6" t="s">
        <v>31</v>
      </c>
      <c r="J9286" s="6">
        <v>16.923424096287999</v>
      </c>
      <c r="K9286" s="6">
        <v>-95.212302499534005</v>
      </c>
      <c r="L9286" s="6" t="str">
        <f>HYPERLINK("https://maps.google.com/?q=16.923424096288,-95.212302499533905", "🔗 Ver Mapa")</f>
        <v>🔗 Ver Mapa</v>
      </c>
    </row>
    <row r="9287" spans="1:12" ht="43.5" x14ac:dyDescent="0.35">
      <c r="A9287" s="5" t="s">
        <v>98</v>
      </c>
      <c r="B9287" s="5" t="s">
        <v>99</v>
      </c>
      <c r="C9287" s="5" t="s">
        <v>1587</v>
      </c>
      <c r="D9287" s="5" t="s">
        <v>14</v>
      </c>
      <c r="E9287" s="5" t="s">
        <v>158</v>
      </c>
      <c r="F9287" s="5" t="s">
        <v>159</v>
      </c>
      <c r="G9287" s="5" t="s">
        <v>1585</v>
      </c>
      <c r="H9287" s="5" t="s">
        <v>1588</v>
      </c>
      <c r="I9287" s="5" t="s">
        <v>31</v>
      </c>
      <c r="J9287" s="5">
        <v>16.923834664646002</v>
      </c>
      <c r="K9287" s="5">
        <v>-95.21056979251</v>
      </c>
      <c r="L9287" s="5" t="str">
        <f>HYPERLINK("https://maps.google.com/?q=16.9238346646458,-95.210569792510498", "🔗 Ver Mapa")</f>
        <v>🔗 Ver Mapa</v>
      </c>
    </row>
    <row r="9288" spans="1:12" ht="43.5" x14ac:dyDescent="0.35">
      <c r="A9288" s="6" t="s">
        <v>98</v>
      </c>
      <c r="B9288" s="6" t="s">
        <v>99</v>
      </c>
      <c r="C9288" s="6" t="s">
        <v>1587</v>
      </c>
      <c r="D9288" s="6" t="s">
        <v>14</v>
      </c>
      <c r="E9288" s="6" t="s">
        <v>158</v>
      </c>
      <c r="F9288" s="6" t="s">
        <v>159</v>
      </c>
      <c r="G9288" s="6" t="s">
        <v>1585</v>
      </c>
      <c r="H9288" s="6" t="s">
        <v>1588</v>
      </c>
      <c r="I9288" s="6" t="s">
        <v>31</v>
      </c>
      <c r="J9288" s="6">
        <v>16.924459919707999</v>
      </c>
      <c r="K9288" s="6">
        <v>-95.209390604678006</v>
      </c>
      <c r="L9288" s="6" t="str">
        <f>HYPERLINK("https://maps.google.com/?q=16.9244599197083,-95.209390604678006", "🔗 Ver Mapa")</f>
        <v>🔗 Ver Mapa</v>
      </c>
    </row>
    <row r="9289" spans="1:12" ht="43.5" x14ac:dyDescent="0.35">
      <c r="A9289" s="5" t="s">
        <v>98</v>
      </c>
      <c r="B9289" s="5" t="s">
        <v>99</v>
      </c>
      <c r="C9289" s="5" t="s">
        <v>1587</v>
      </c>
      <c r="D9289" s="5" t="s">
        <v>14</v>
      </c>
      <c r="E9289" s="5" t="s">
        <v>158</v>
      </c>
      <c r="F9289" s="5" t="s">
        <v>159</v>
      </c>
      <c r="G9289" s="5" t="s">
        <v>1585</v>
      </c>
      <c r="H9289" s="5" t="s">
        <v>1588</v>
      </c>
      <c r="I9289" s="5" t="s">
        <v>31</v>
      </c>
      <c r="J9289" s="5">
        <v>16.925692033920001</v>
      </c>
      <c r="K9289" s="5">
        <v>-95.207067689268996</v>
      </c>
      <c r="L9289" s="5" t="str">
        <f>HYPERLINK("https://maps.google.com/?q=16.9256920339202,-95.207067689269195", "🔗 Ver Mapa")</f>
        <v>🔗 Ver Mapa</v>
      </c>
    </row>
    <row r="9290" spans="1:12" ht="43.5" x14ac:dyDescent="0.35">
      <c r="A9290" s="6" t="s">
        <v>98</v>
      </c>
      <c r="B9290" s="6" t="s">
        <v>99</v>
      </c>
      <c r="C9290" s="6" t="s">
        <v>1587</v>
      </c>
      <c r="D9290" s="6" t="s">
        <v>14</v>
      </c>
      <c r="E9290" s="6" t="s">
        <v>158</v>
      </c>
      <c r="F9290" s="6" t="s">
        <v>159</v>
      </c>
      <c r="G9290" s="6" t="s">
        <v>1585</v>
      </c>
      <c r="H9290" s="6" t="s">
        <v>1588</v>
      </c>
      <c r="I9290" s="6" t="s">
        <v>31</v>
      </c>
      <c r="J9290" s="6">
        <v>16.926130958211999</v>
      </c>
      <c r="K9290" s="6">
        <v>-95.209788545641004</v>
      </c>
      <c r="L9290" s="6" t="str">
        <f>HYPERLINK("https://maps.google.com/?q=16.9261309582122,-95.209788545640706", "🔗 Ver Mapa")</f>
        <v>🔗 Ver Mapa</v>
      </c>
    </row>
    <row r="9291" spans="1:12" ht="43.5" x14ac:dyDescent="0.35">
      <c r="A9291" s="5" t="s">
        <v>98</v>
      </c>
      <c r="B9291" s="5" t="s">
        <v>99</v>
      </c>
      <c r="C9291" s="5" t="s">
        <v>1587</v>
      </c>
      <c r="D9291" s="5" t="s">
        <v>14</v>
      </c>
      <c r="E9291" s="5" t="s">
        <v>158</v>
      </c>
      <c r="F9291" s="5" t="s">
        <v>159</v>
      </c>
      <c r="G9291" s="5" t="s">
        <v>1585</v>
      </c>
      <c r="H9291" s="5" t="s">
        <v>1588</v>
      </c>
      <c r="I9291" s="5" t="s">
        <v>31</v>
      </c>
      <c r="J9291" s="5">
        <v>16.926683088880001</v>
      </c>
      <c r="K9291" s="5">
        <v>-95.206805376334998</v>
      </c>
      <c r="L9291" s="5" t="str">
        <f>HYPERLINK("https://maps.google.com/?q=16.9266830888799,-95.206805376335097", "🔗 Ver Mapa")</f>
        <v>🔗 Ver Mapa</v>
      </c>
    </row>
    <row r="9292" spans="1:12" ht="43.5" x14ac:dyDescent="0.35">
      <c r="A9292" s="6" t="s">
        <v>98</v>
      </c>
      <c r="B9292" s="6" t="s">
        <v>99</v>
      </c>
      <c r="C9292" s="6" t="s">
        <v>1587</v>
      </c>
      <c r="D9292" s="6" t="s">
        <v>14</v>
      </c>
      <c r="E9292" s="6" t="s">
        <v>158</v>
      </c>
      <c r="F9292" s="6" t="s">
        <v>159</v>
      </c>
      <c r="G9292" s="6" t="s">
        <v>1585</v>
      </c>
      <c r="H9292" s="6" t="s">
        <v>1588</v>
      </c>
      <c r="I9292" s="6" t="s">
        <v>31</v>
      </c>
      <c r="J9292" s="6">
        <v>16.926915871157</v>
      </c>
      <c r="K9292" s="6">
        <v>-95.207637476824004</v>
      </c>
      <c r="L9292" s="6" t="str">
        <f>HYPERLINK("https://maps.google.com/?q=16.9269158711567,-95.207637476824402", "🔗 Ver Mapa")</f>
        <v>🔗 Ver Mapa</v>
      </c>
    </row>
    <row r="9293" spans="1:12" ht="43.5" x14ac:dyDescent="0.35">
      <c r="A9293" s="5" t="s">
        <v>98</v>
      </c>
      <c r="B9293" s="5" t="s">
        <v>99</v>
      </c>
      <c r="C9293" s="5" t="s">
        <v>1587</v>
      </c>
      <c r="D9293" s="5" t="s">
        <v>14</v>
      </c>
      <c r="E9293" s="5" t="s">
        <v>158</v>
      </c>
      <c r="F9293" s="5" t="s">
        <v>159</v>
      </c>
      <c r="G9293" s="5" t="s">
        <v>1585</v>
      </c>
      <c r="H9293" s="5" t="s">
        <v>1588</v>
      </c>
      <c r="I9293" s="5" t="s">
        <v>31</v>
      </c>
      <c r="J9293" s="5">
        <v>16.927069763439999</v>
      </c>
      <c r="K9293" s="5">
        <v>-95.205417768459</v>
      </c>
      <c r="L9293" s="5" t="str">
        <f>HYPERLINK("https://maps.google.com/?q=16.9270697634402,-95.205417768458801", "🔗 Ver Mapa")</f>
        <v>🔗 Ver Mapa</v>
      </c>
    </row>
    <row r="9294" spans="1:12" ht="43.5" x14ac:dyDescent="0.35">
      <c r="A9294" s="6" t="s">
        <v>98</v>
      </c>
      <c r="B9294" s="6" t="s">
        <v>99</v>
      </c>
      <c r="C9294" s="6" t="s">
        <v>1589</v>
      </c>
      <c r="D9294" s="6" t="s">
        <v>14</v>
      </c>
      <c r="E9294" s="6" t="s">
        <v>158</v>
      </c>
      <c r="F9294" s="6" t="s">
        <v>159</v>
      </c>
      <c r="G9294" s="6" t="s">
        <v>1585</v>
      </c>
      <c r="H9294" s="6" t="s">
        <v>1590</v>
      </c>
      <c r="I9294" s="6" t="s">
        <v>31</v>
      </c>
      <c r="J9294" s="6">
        <v>16.811983765063999</v>
      </c>
      <c r="K9294" s="6">
        <v>-95.132680399042997</v>
      </c>
      <c r="L9294" s="6" t="str">
        <f>HYPERLINK("https://maps.google.com/?q=16.8119837650643,-95.132680399042698", "🔗 Ver Mapa")</f>
        <v>🔗 Ver Mapa</v>
      </c>
    </row>
    <row r="9295" spans="1:12" ht="43.5" x14ac:dyDescent="0.35">
      <c r="A9295" s="5" t="s">
        <v>98</v>
      </c>
      <c r="B9295" s="5" t="s">
        <v>99</v>
      </c>
      <c r="C9295" s="5" t="s">
        <v>1589</v>
      </c>
      <c r="D9295" s="5" t="s">
        <v>14</v>
      </c>
      <c r="E9295" s="5" t="s">
        <v>158</v>
      </c>
      <c r="F9295" s="5" t="s">
        <v>159</v>
      </c>
      <c r="G9295" s="5" t="s">
        <v>1585</v>
      </c>
      <c r="H9295" s="5" t="s">
        <v>1590</v>
      </c>
      <c r="I9295" s="5" t="s">
        <v>31</v>
      </c>
      <c r="J9295" s="5">
        <v>16.812209710983002</v>
      </c>
      <c r="K9295" s="5">
        <v>-95.132948619944003</v>
      </c>
      <c r="L9295" s="5" t="str">
        <f>HYPERLINK("https://maps.google.com/?q=16.8122097109826,-95.132948619944202", "🔗 Ver Mapa")</f>
        <v>🔗 Ver Mapa</v>
      </c>
    </row>
    <row r="9296" spans="1:12" ht="43.5" x14ac:dyDescent="0.35">
      <c r="A9296" s="6" t="s">
        <v>98</v>
      </c>
      <c r="B9296" s="6" t="s">
        <v>99</v>
      </c>
      <c r="C9296" s="6" t="s">
        <v>1589</v>
      </c>
      <c r="D9296" s="6" t="s">
        <v>14</v>
      </c>
      <c r="E9296" s="6" t="s">
        <v>158</v>
      </c>
      <c r="F9296" s="6" t="s">
        <v>159</v>
      </c>
      <c r="G9296" s="6" t="s">
        <v>1585</v>
      </c>
      <c r="H9296" s="6" t="s">
        <v>1590</v>
      </c>
      <c r="I9296" s="6" t="s">
        <v>31</v>
      </c>
      <c r="J9296" s="6">
        <v>16.813108356857001</v>
      </c>
      <c r="K9296" s="6">
        <v>-95.134713513476001</v>
      </c>
      <c r="L9296" s="6" t="str">
        <f>HYPERLINK("https://maps.google.com/?q=16.8131083568567,-95.134713513476299", "🔗 Ver Mapa")</f>
        <v>🔗 Ver Mapa</v>
      </c>
    </row>
    <row r="9297" spans="1:12" ht="43.5" x14ac:dyDescent="0.35">
      <c r="A9297" s="5" t="s">
        <v>98</v>
      </c>
      <c r="B9297" s="5" t="s">
        <v>99</v>
      </c>
      <c r="C9297" s="5" t="s">
        <v>1589</v>
      </c>
      <c r="D9297" s="5" t="s">
        <v>14</v>
      </c>
      <c r="E9297" s="5" t="s">
        <v>158</v>
      </c>
      <c r="F9297" s="5" t="s">
        <v>159</v>
      </c>
      <c r="G9297" s="5" t="s">
        <v>1585</v>
      </c>
      <c r="H9297" s="5" t="s">
        <v>1590</v>
      </c>
      <c r="I9297" s="5" t="s">
        <v>31</v>
      </c>
      <c r="J9297" s="5">
        <v>16.813380517338</v>
      </c>
      <c r="K9297" s="5">
        <v>-95.136768085582005</v>
      </c>
      <c r="L9297" s="5" t="str">
        <f>HYPERLINK("https://maps.google.com/?q=16.8133805173384,-95.136768085582005", "🔗 Ver Mapa")</f>
        <v>🔗 Ver Mapa</v>
      </c>
    </row>
    <row r="9298" spans="1:12" ht="43.5" x14ac:dyDescent="0.35">
      <c r="A9298" s="6" t="s">
        <v>98</v>
      </c>
      <c r="B9298" s="6" t="s">
        <v>99</v>
      </c>
      <c r="C9298" s="6" t="s">
        <v>1589</v>
      </c>
      <c r="D9298" s="6" t="s">
        <v>14</v>
      </c>
      <c r="E9298" s="6" t="s">
        <v>158</v>
      </c>
      <c r="F9298" s="6" t="s">
        <v>159</v>
      </c>
      <c r="G9298" s="6" t="s">
        <v>1585</v>
      </c>
      <c r="H9298" s="6" t="s">
        <v>1590</v>
      </c>
      <c r="I9298" s="6" t="s">
        <v>31</v>
      </c>
      <c r="J9298" s="6">
        <v>16.813457543818998</v>
      </c>
      <c r="K9298" s="6">
        <v>-95.134316546541996</v>
      </c>
      <c r="L9298" s="6" t="str">
        <f>HYPERLINK("https://maps.google.com/?q=16.8134575438188,-95.134316546541996", "🔗 Ver Mapa")</f>
        <v>🔗 Ver Mapa</v>
      </c>
    </row>
    <row r="9299" spans="1:12" ht="43.5" x14ac:dyDescent="0.35">
      <c r="A9299" s="5" t="s">
        <v>98</v>
      </c>
      <c r="B9299" s="5" t="s">
        <v>99</v>
      </c>
      <c r="C9299" s="5" t="s">
        <v>1589</v>
      </c>
      <c r="D9299" s="5" t="s">
        <v>14</v>
      </c>
      <c r="E9299" s="5" t="s">
        <v>158</v>
      </c>
      <c r="F9299" s="5" t="s">
        <v>159</v>
      </c>
      <c r="G9299" s="5" t="s">
        <v>1585</v>
      </c>
      <c r="H9299" s="5" t="s">
        <v>1590</v>
      </c>
      <c r="I9299" s="5" t="s">
        <v>31</v>
      </c>
      <c r="J9299" s="5">
        <v>16.813668082705998</v>
      </c>
      <c r="K9299" s="5">
        <v>-95.137680036646998</v>
      </c>
      <c r="L9299" s="5" t="str">
        <f>HYPERLINK("https://maps.google.com/?q=16.8136680827058,-95.137680036647197", "🔗 Ver Mapa")</f>
        <v>🔗 Ver Mapa</v>
      </c>
    </row>
    <row r="9300" spans="1:12" ht="43.5" x14ac:dyDescent="0.35">
      <c r="A9300" s="6" t="s">
        <v>98</v>
      </c>
      <c r="B9300" s="6" t="s">
        <v>99</v>
      </c>
      <c r="C9300" s="6" t="s">
        <v>1589</v>
      </c>
      <c r="D9300" s="6" t="s">
        <v>14</v>
      </c>
      <c r="E9300" s="6" t="s">
        <v>158</v>
      </c>
      <c r="F9300" s="6" t="s">
        <v>159</v>
      </c>
      <c r="G9300" s="6" t="s">
        <v>1585</v>
      </c>
      <c r="H9300" s="6" t="s">
        <v>1590</v>
      </c>
      <c r="I9300" s="6" t="s">
        <v>31</v>
      </c>
      <c r="J9300" s="6">
        <v>16.813678352890001</v>
      </c>
      <c r="K9300" s="6">
        <v>-95.140501720531006</v>
      </c>
      <c r="L9300" s="6" t="str">
        <f>HYPERLINK("https://maps.google.com/?q=16.8136783528895,-95.140501720531205", "🔗 Ver Mapa")</f>
        <v>🔗 Ver Mapa</v>
      </c>
    </row>
    <row r="9301" spans="1:12" ht="43.5" x14ac:dyDescent="0.35">
      <c r="A9301" s="5" t="s">
        <v>98</v>
      </c>
      <c r="B9301" s="5" t="s">
        <v>99</v>
      </c>
      <c r="C9301" s="5" t="s">
        <v>1589</v>
      </c>
      <c r="D9301" s="5" t="s">
        <v>14</v>
      </c>
      <c r="E9301" s="5" t="s">
        <v>158</v>
      </c>
      <c r="F9301" s="5" t="s">
        <v>159</v>
      </c>
      <c r="G9301" s="5" t="s">
        <v>1585</v>
      </c>
      <c r="H9301" s="5" t="s">
        <v>1590</v>
      </c>
      <c r="I9301" s="5" t="s">
        <v>31</v>
      </c>
      <c r="J9301" s="5">
        <v>16.813724568708999</v>
      </c>
      <c r="K9301" s="5">
        <v>-95.138195020777999</v>
      </c>
      <c r="L9301" s="5" t="str">
        <f>HYPERLINK("https://maps.google.com/?q=16.8137245687089,-95.138195020778099", "🔗 Ver Mapa")</f>
        <v>🔗 Ver Mapa</v>
      </c>
    </row>
    <row r="9302" spans="1:12" ht="43.5" x14ac:dyDescent="0.35">
      <c r="A9302" s="6" t="s">
        <v>98</v>
      </c>
      <c r="B9302" s="6" t="s">
        <v>99</v>
      </c>
      <c r="C9302" s="6" t="s">
        <v>1589</v>
      </c>
      <c r="D9302" s="6" t="s">
        <v>14</v>
      </c>
      <c r="E9302" s="6" t="s">
        <v>158</v>
      </c>
      <c r="F9302" s="6" t="s">
        <v>159</v>
      </c>
      <c r="G9302" s="6" t="s">
        <v>1585</v>
      </c>
      <c r="H9302" s="6" t="s">
        <v>1590</v>
      </c>
      <c r="I9302" s="6" t="s">
        <v>31</v>
      </c>
      <c r="J9302" s="6">
        <v>16.813904296789001</v>
      </c>
      <c r="K9302" s="6">
        <v>-95.135303599460002</v>
      </c>
      <c r="L9302" s="6" t="str">
        <f>HYPERLINK("https://maps.google.com/?q=16.8139042967886,-95.135303599459604", "🔗 Ver Mapa")</f>
        <v>🔗 Ver Mapa</v>
      </c>
    </row>
    <row r="9303" spans="1:12" ht="43.5" x14ac:dyDescent="0.35">
      <c r="A9303" s="5" t="s">
        <v>98</v>
      </c>
      <c r="B9303" s="5" t="s">
        <v>99</v>
      </c>
      <c r="C9303" s="5" t="s">
        <v>1589</v>
      </c>
      <c r="D9303" s="5" t="s">
        <v>14</v>
      </c>
      <c r="E9303" s="5" t="s">
        <v>158</v>
      </c>
      <c r="F9303" s="5" t="s">
        <v>159</v>
      </c>
      <c r="G9303" s="5" t="s">
        <v>1585</v>
      </c>
      <c r="H9303" s="5" t="s">
        <v>1590</v>
      </c>
      <c r="I9303" s="5" t="s">
        <v>31</v>
      </c>
      <c r="J9303" s="5">
        <v>16.814356183779001</v>
      </c>
      <c r="K9303" s="5">
        <v>-95.137207967861002</v>
      </c>
      <c r="L9303" s="5" t="str">
        <f>HYPERLINK("https://maps.google.com/?q=16.8143561837791,-95.137207967860505", "🔗 Ver Mapa")</f>
        <v>🔗 Ver Mapa</v>
      </c>
    </row>
    <row r="9304" spans="1:12" ht="43.5" x14ac:dyDescent="0.35">
      <c r="A9304" s="6" t="s">
        <v>98</v>
      </c>
      <c r="B9304" s="6" t="s">
        <v>99</v>
      </c>
      <c r="C9304" s="6" t="s">
        <v>1589</v>
      </c>
      <c r="D9304" s="6" t="s">
        <v>14</v>
      </c>
      <c r="E9304" s="6" t="s">
        <v>158</v>
      </c>
      <c r="F9304" s="6" t="s">
        <v>159</v>
      </c>
      <c r="G9304" s="6" t="s">
        <v>1585</v>
      </c>
      <c r="H9304" s="6" t="s">
        <v>1590</v>
      </c>
      <c r="I9304" s="6" t="s">
        <v>31</v>
      </c>
      <c r="J9304" s="6">
        <v>16.814366453925</v>
      </c>
      <c r="K9304" s="6">
        <v>-95.138082367999999</v>
      </c>
      <c r="L9304" s="6" t="str">
        <f>HYPERLINK("https://maps.google.com/?q=16.8143664539254,-95.138082367999502", "🔗 Ver Mapa")</f>
        <v>🔗 Ver Mapa</v>
      </c>
    </row>
    <row r="9305" spans="1:12" ht="43.5" x14ac:dyDescent="0.35">
      <c r="A9305" s="5" t="s">
        <v>98</v>
      </c>
      <c r="B9305" s="5" t="s">
        <v>99</v>
      </c>
      <c r="C9305" s="5" t="s">
        <v>1589</v>
      </c>
      <c r="D9305" s="5" t="s">
        <v>14</v>
      </c>
      <c r="E9305" s="5" t="s">
        <v>158</v>
      </c>
      <c r="F9305" s="5" t="s">
        <v>159</v>
      </c>
      <c r="G9305" s="5" t="s">
        <v>1585</v>
      </c>
      <c r="H9305" s="5" t="s">
        <v>1590</v>
      </c>
      <c r="I9305" s="5" t="s">
        <v>31</v>
      </c>
      <c r="J9305" s="5">
        <v>16.814453750146999</v>
      </c>
      <c r="K9305" s="5">
        <v>-95.135196311098994</v>
      </c>
      <c r="L9305" s="5" t="str">
        <f>HYPERLINK("https://maps.google.com/?q=16.814453750147,-95.135196311098994", "🔗 Ver Mapa")</f>
        <v>🔗 Ver Mapa</v>
      </c>
    </row>
    <row r="9306" spans="1:12" ht="43.5" x14ac:dyDescent="0.35">
      <c r="A9306" s="6" t="s">
        <v>98</v>
      </c>
      <c r="B9306" s="6" t="s">
        <v>99</v>
      </c>
      <c r="C9306" s="6" t="s">
        <v>1589</v>
      </c>
      <c r="D9306" s="6" t="s">
        <v>14</v>
      </c>
      <c r="E9306" s="6" t="s">
        <v>158</v>
      </c>
      <c r="F9306" s="6" t="s">
        <v>159</v>
      </c>
      <c r="G9306" s="6" t="s">
        <v>1585</v>
      </c>
      <c r="H9306" s="6" t="s">
        <v>1590</v>
      </c>
      <c r="I9306" s="6" t="s">
        <v>31</v>
      </c>
      <c r="J9306" s="6">
        <v>16.814736178823999</v>
      </c>
      <c r="K9306" s="6">
        <v>-95.137524468524006</v>
      </c>
      <c r="L9306" s="6" t="str">
        <f>HYPERLINK("https://maps.google.com/?q=16.8147361788238,-95.137524468524305", "🔗 Ver Mapa")</f>
        <v>🔗 Ver Mapa</v>
      </c>
    </row>
    <row r="9307" spans="1:12" ht="43.5" x14ac:dyDescent="0.35">
      <c r="A9307" s="5" t="s">
        <v>98</v>
      </c>
      <c r="B9307" s="5" t="s">
        <v>99</v>
      </c>
      <c r="C9307" s="5" t="s">
        <v>1589</v>
      </c>
      <c r="D9307" s="5" t="s">
        <v>14</v>
      </c>
      <c r="E9307" s="5" t="s">
        <v>158</v>
      </c>
      <c r="F9307" s="5" t="s">
        <v>159</v>
      </c>
      <c r="G9307" s="5" t="s">
        <v>1585</v>
      </c>
      <c r="H9307" s="5" t="s">
        <v>1590</v>
      </c>
      <c r="I9307" s="5" t="s">
        <v>31</v>
      </c>
      <c r="J9307" s="5">
        <v>16.814751584012001</v>
      </c>
      <c r="K9307" s="5">
        <v>-95.138211114032003</v>
      </c>
      <c r="L9307" s="5" t="str">
        <f>HYPERLINK("https://maps.google.com/?q=16.8147515840123,-95.138211114032202", "🔗 Ver Mapa")</f>
        <v>🔗 Ver Mapa</v>
      </c>
    </row>
    <row r="9308" spans="1:12" ht="43.5" x14ac:dyDescent="0.35">
      <c r="A9308" s="6" t="s">
        <v>98</v>
      </c>
      <c r="B9308" s="6" t="s">
        <v>99</v>
      </c>
      <c r="C9308" s="6" t="s">
        <v>1589</v>
      </c>
      <c r="D9308" s="6" t="s">
        <v>14</v>
      </c>
      <c r="E9308" s="6" t="s">
        <v>158</v>
      </c>
      <c r="F9308" s="6" t="s">
        <v>159</v>
      </c>
      <c r="G9308" s="6" t="s">
        <v>1585</v>
      </c>
      <c r="H9308" s="6" t="s">
        <v>1590</v>
      </c>
      <c r="I9308" s="6" t="s">
        <v>31</v>
      </c>
      <c r="J9308" s="6">
        <v>16.814756719075</v>
      </c>
      <c r="K9308" s="6">
        <v>-95.134482843501004</v>
      </c>
      <c r="L9308" s="6" t="str">
        <f>HYPERLINK("https://maps.google.com/?q=16.8147567190748,-95.134482843500905", "🔗 Ver Mapa")</f>
        <v>🔗 Ver Mapa</v>
      </c>
    </row>
    <row r="9309" spans="1:12" ht="43.5" x14ac:dyDescent="0.35">
      <c r="A9309" s="5" t="s">
        <v>98</v>
      </c>
      <c r="B9309" s="5" t="s">
        <v>99</v>
      </c>
      <c r="C9309" s="5" t="s">
        <v>1589</v>
      </c>
      <c r="D9309" s="5" t="s">
        <v>14</v>
      </c>
      <c r="E9309" s="5" t="s">
        <v>158</v>
      </c>
      <c r="F9309" s="5" t="s">
        <v>159</v>
      </c>
      <c r="G9309" s="5" t="s">
        <v>1585</v>
      </c>
      <c r="H9309" s="5" t="s">
        <v>1590</v>
      </c>
      <c r="I9309" s="5" t="s">
        <v>31</v>
      </c>
      <c r="J9309" s="5">
        <v>16.814900500768999</v>
      </c>
      <c r="K9309" s="5">
        <v>-95.135223133189001</v>
      </c>
      <c r="L9309" s="5" t="str">
        <f>HYPERLINK("https://maps.google.com/?q=16.8149005007694,-95.135223133189101", "🔗 Ver Mapa")</f>
        <v>🔗 Ver Mapa</v>
      </c>
    </row>
    <row r="9310" spans="1:12" ht="43.5" x14ac:dyDescent="0.35">
      <c r="A9310" s="6" t="s">
        <v>98</v>
      </c>
      <c r="B9310" s="6" t="s">
        <v>99</v>
      </c>
      <c r="C9310" s="6" t="s">
        <v>1589</v>
      </c>
      <c r="D9310" s="6" t="s">
        <v>14</v>
      </c>
      <c r="E9310" s="6" t="s">
        <v>158</v>
      </c>
      <c r="F9310" s="6" t="s">
        <v>159</v>
      </c>
      <c r="G9310" s="6" t="s">
        <v>1585</v>
      </c>
      <c r="H9310" s="6" t="s">
        <v>1590</v>
      </c>
      <c r="I9310" s="6" t="s">
        <v>31</v>
      </c>
      <c r="J9310" s="6">
        <v>16.815054552464002</v>
      </c>
      <c r="K9310" s="6">
        <v>-95.133549434764006</v>
      </c>
      <c r="L9310" s="6" t="str">
        <f>HYPERLINK("https://maps.google.com/?q=16.8150545524641,-95.133549434763594", "🔗 Ver Mapa")</f>
        <v>🔗 Ver Mapa</v>
      </c>
    </row>
    <row r="9311" spans="1:12" ht="43.5" x14ac:dyDescent="0.35">
      <c r="A9311" s="5" t="s">
        <v>98</v>
      </c>
      <c r="B9311" s="5" t="s">
        <v>99</v>
      </c>
      <c r="C9311" s="5" t="s">
        <v>1589</v>
      </c>
      <c r="D9311" s="5" t="s">
        <v>14</v>
      </c>
      <c r="E9311" s="5" t="s">
        <v>158</v>
      </c>
      <c r="F9311" s="5" t="s">
        <v>159</v>
      </c>
      <c r="G9311" s="5" t="s">
        <v>1585</v>
      </c>
      <c r="H9311" s="5" t="s">
        <v>1590</v>
      </c>
      <c r="I9311" s="5" t="s">
        <v>31</v>
      </c>
      <c r="J9311" s="5">
        <v>16.815100767948</v>
      </c>
      <c r="K9311" s="5">
        <v>-95.141746265514001</v>
      </c>
      <c r="L9311" s="5" t="str">
        <f>HYPERLINK("https://maps.google.com/?q=16.8151007679481,-95.1417462655143", "🔗 Ver Mapa")</f>
        <v>🔗 Ver Mapa</v>
      </c>
    </row>
    <row r="9312" spans="1:12" ht="43.5" x14ac:dyDescent="0.35">
      <c r="A9312" s="6" t="s">
        <v>98</v>
      </c>
      <c r="B9312" s="6" t="s">
        <v>99</v>
      </c>
      <c r="C9312" s="6" t="s">
        <v>1589</v>
      </c>
      <c r="D9312" s="6" t="s">
        <v>14</v>
      </c>
      <c r="E9312" s="6" t="s">
        <v>158</v>
      </c>
      <c r="F9312" s="6" t="s">
        <v>159</v>
      </c>
      <c r="G9312" s="6" t="s">
        <v>1585</v>
      </c>
      <c r="H9312" s="6" t="s">
        <v>1590</v>
      </c>
      <c r="I9312" s="6" t="s">
        <v>31</v>
      </c>
      <c r="J9312" s="6">
        <v>16.815203468983</v>
      </c>
      <c r="K9312" s="6">
        <v>-95.134702784639998</v>
      </c>
      <c r="L9312" s="6" t="str">
        <f>HYPERLINK("https://maps.google.com/?q=16.8152034689833,-95.134702784640197", "🔗 Ver Mapa")</f>
        <v>🔗 Ver Mapa</v>
      </c>
    </row>
    <row r="9313" spans="1:12" ht="43.5" x14ac:dyDescent="0.35">
      <c r="A9313" s="5" t="s">
        <v>98</v>
      </c>
      <c r="B9313" s="5" t="s">
        <v>99</v>
      </c>
      <c r="C9313" s="5" t="s">
        <v>1589</v>
      </c>
      <c r="D9313" s="5" t="s">
        <v>14</v>
      </c>
      <c r="E9313" s="5" t="s">
        <v>158</v>
      </c>
      <c r="F9313" s="5" t="s">
        <v>159</v>
      </c>
      <c r="G9313" s="5" t="s">
        <v>1585</v>
      </c>
      <c r="H9313" s="5" t="s">
        <v>1590</v>
      </c>
      <c r="I9313" s="5" t="s">
        <v>31</v>
      </c>
      <c r="J9313" s="5">
        <v>16.815239414332002</v>
      </c>
      <c r="K9313" s="5">
        <v>-95.137680036646998</v>
      </c>
      <c r="L9313" s="5" t="str">
        <f>HYPERLINK("https://maps.google.com/?q=16.8152394143325,-95.137680036647197", "🔗 Ver Mapa")</f>
        <v>🔗 Ver Mapa</v>
      </c>
    </row>
    <row r="9314" spans="1:12" ht="43.5" x14ac:dyDescent="0.35">
      <c r="A9314" s="6" t="s">
        <v>98</v>
      </c>
      <c r="B9314" s="6" t="s">
        <v>99</v>
      </c>
      <c r="C9314" s="6" t="s">
        <v>1589</v>
      </c>
      <c r="D9314" s="6" t="s">
        <v>14</v>
      </c>
      <c r="E9314" s="6" t="s">
        <v>158</v>
      </c>
      <c r="F9314" s="6" t="s">
        <v>159</v>
      </c>
      <c r="G9314" s="6" t="s">
        <v>1585</v>
      </c>
      <c r="H9314" s="6" t="s">
        <v>1590</v>
      </c>
      <c r="I9314" s="6" t="s">
        <v>31</v>
      </c>
      <c r="J9314" s="6">
        <v>16.815378060615998</v>
      </c>
      <c r="K9314" s="6">
        <v>-95.139579040629997</v>
      </c>
      <c r="L9314" s="6" t="str">
        <f>HYPERLINK("https://maps.google.com/?q=16.8153780606155,-95.139579040629997", "🔗 Ver Mapa")</f>
        <v>🔗 Ver Mapa</v>
      </c>
    </row>
    <row r="9315" spans="1:12" ht="43.5" x14ac:dyDescent="0.35">
      <c r="A9315" s="5" t="s">
        <v>98</v>
      </c>
      <c r="B9315" s="5" t="s">
        <v>99</v>
      </c>
      <c r="C9315" s="5" t="s">
        <v>1589</v>
      </c>
      <c r="D9315" s="5" t="s">
        <v>14</v>
      </c>
      <c r="E9315" s="5" t="s">
        <v>158</v>
      </c>
      <c r="F9315" s="5" t="s">
        <v>159</v>
      </c>
      <c r="G9315" s="5" t="s">
        <v>1585</v>
      </c>
      <c r="H9315" s="5" t="s">
        <v>1590</v>
      </c>
      <c r="I9315" s="5" t="s">
        <v>31</v>
      </c>
      <c r="J9315" s="5">
        <v>16.815449951241</v>
      </c>
      <c r="K9315" s="5">
        <v>-95.133715731723001</v>
      </c>
      <c r="L9315" s="5" t="str">
        <f>HYPERLINK("https://maps.google.com/?q=16.8154499512409,-95.133715731722603", "🔗 Ver Mapa")</f>
        <v>🔗 Ver Mapa</v>
      </c>
    </row>
    <row r="9316" spans="1:12" ht="43.5" x14ac:dyDescent="0.35">
      <c r="A9316" s="6" t="s">
        <v>98</v>
      </c>
      <c r="B9316" s="6" t="s">
        <v>99</v>
      </c>
      <c r="C9316" s="6" t="s">
        <v>1589</v>
      </c>
      <c r="D9316" s="6" t="s">
        <v>14</v>
      </c>
      <c r="E9316" s="6" t="s">
        <v>158</v>
      </c>
      <c r="F9316" s="6" t="s">
        <v>159</v>
      </c>
      <c r="G9316" s="6" t="s">
        <v>1585</v>
      </c>
      <c r="H9316" s="6" t="s">
        <v>1590</v>
      </c>
      <c r="I9316" s="6" t="s">
        <v>31</v>
      </c>
      <c r="J9316" s="6">
        <v>16.815501301670999</v>
      </c>
      <c r="K9316" s="6">
        <v>-95.138023359401004</v>
      </c>
      <c r="L9316" s="6" t="str">
        <f>HYPERLINK("https://maps.google.com/?q=16.8155013016709,-95.138023359401103", "🔗 Ver Mapa")</f>
        <v>🔗 Ver Mapa</v>
      </c>
    </row>
    <row r="9317" spans="1:12" ht="43.5" x14ac:dyDescent="0.35">
      <c r="A9317" s="5" t="s">
        <v>98</v>
      </c>
      <c r="B9317" s="5" t="s">
        <v>99</v>
      </c>
      <c r="C9317" s="5" t="s">
        <v>1589</v>
      </c>
      <c r="D9317" s="5" t="s">
        <v>14</v>
      </c>
      <c r="E9317" s="5" t="s">
        <v>158</v>
      </c>
      <c r="F9317" s="5" t="s">
        <v>159</v>
      </c>
      <c r="G9317" s="5" t="s">
        <v>1585</v>
      </c>
      <c r="H9317" s="5" t="s">
        <v>1590</v>
      </c>
      <c r="I9317" s="5" t="s">
        <v>31</v>
      </c>
      <c r="J9317" s="5">
        <v>16.815639947762001</v>
      </c>
      <c r="K9317" s="5">
        <v>-95.136596424204996</v>
      </c>
      <c r="L9317" s="5" t="str">
        <f>HYPERLINK("https://maps.google.com/?q=16.8156399477623,-95.136596424204996", "🔗 Ver Mapa")</f>
        <v>🔗 Ver Mapa</v>
      </c>
    </row>
    <row r="9318" spans="1:12" ht="43.5" x14ac:dyDescent="0.35">
      <c r="A9318" s="6" t="s">
        <v>98</v>
      </c>
      <c r="B9318" s="6" t="s">
        <v>99</v>
      </c>
      <c r="C9318" s="6" t="s">
        <v>1589</v>
      </c>
      <c r="D9318" s="6" t="s">
        <v>14</v>
      </c>
      <c r="E9318" s="6" t="s">
        <v>158</v>
      </c>
      <c r="F9318" s="6" t="s">
        <v>159</v>
      </c>
      <c r="G9318" s="6" t="s">
        <v>1585</v>
      </c>
      <c r="H9318" s="6" t="s">
        <v>1590</v>
      </c>
      <c r="I9318" s="6" t="s">
        <v>31</v>
      </c>
      <c r="J9318" s="6">
        <v>16.815670757991001</v>
      </c>
      <c r="K9318" s="6">
        <v>-95.141086442097006</v>
      </c>
      <c r="L9318" s="6" t="str">
        <f>HYPERLINK("https://maps.google.com/?q=16.8156707579911,-95.141086442096594", "🔗 Ver Mapa")</f>
        <v>🔗 Ver Mapa</v>
      </c>
    </row>
    <row r="9319" spans="1:12" ht="43.5" x14ac:dyDescent="0.35">
      <c r="A9319" s="5" t="s">
        <v>98</v>
      </c>
      <c r="B9319" s="5" t="s">
        <v>99</v>
      </c>
      <c r="C9319" s="5" t="s">
        <v>1589</v>
      </c>
      <c r="D9319" s="5" t="s">
        <v>14</v>
      </c>
      <c r="E9319" s="5" t="s">
        <v>158</v>
      </c>
      <c r="F9319" s="5" t="s">
        <v>159</v>
      </c>
      <c r="G9319" s="5" t="s">
        <v>1585</v>
      </c>
      <c r="H9319" s="5" t="s">
        <v>1590</v>
      </c>
      <c r="I9319" s="5" t="s">
        <v>31</v>
      </c>
      <c r="J9319" s="5">
        <v>16.815865889324002</v>
      </c>
      <c r="K9319" s="5">
        <v>-95.135373336894006</v>
      </c>
      <c r="L9319" s="5" t="str">
        <f>HYPERLINK("https://maps.google.com/?q=16.8158658893238,-95.135373336894006", "🔗 Ver Mapa")</f>
        <v>🔗 Ver Mapa</v>
      </c>
    </row>
    <row r="9320" spans="1:12" ht="43.5" x14ac:dyDescent="0.35">
      <c r="A9320" s="6" t="s">
        <v>98</v>
      </c>
      <c r="B9320" s="6" t="s">
        <v>99</v>
      </c>
      <c r="C9320" s="6" t="s">
        <v>1589</v>
      </c>
      <c r="D9320" s="6" t="s">
        <v>14</v>
      </c>
      <c r="E9320" s="6" t="s">
        <v>158</v>
      </c>
      <c r="F9320" s="6" t="s">
        <v>159</v>
      </c>
      <c r="G9320" s="6" t="s">
        <v>1585</v>
      </c>
      <c r="H9320" s="6" t="s">
        <v>1590</v>
      </c>
      <c r="I9320" s="6" t="s">
        <v>31</v>
      </c>
      <c r="J9320" s="6">
        <v>16.815917239640999</v>
      </c>
      <c r="K9320" s="6">
        <v>-95.133678180795997</v>
      </c>
      <c r="L9320" s="6" t="str">
        <f>HYPERLINK("https://maps.google.com/?q=16.8159172396412,-95.133678180796394", "🔗 Ver Mapa")</f>
        <v>🔗 Ver Mapa</v>
      </c>
    </row>
    <row r="9321" spans="1:12" ht="43.5" x14ac:dyDescent="0.35">
      <c r="A9321" s="5" t="s">
        <v>98</v>
      </c>
      <c r="B9321" s="5" t="s">
        <v>99</v>
      </c>
      <c r="C9321" s="5" t="s">
        <v>1589</v>
      </c>
      <c r="D9321" s="5" t="s">
        <v>14</v>
      </c>
      <c r="E9321" s="5" t="s">
        <v>158</v>
      </c>
      <c r="F9321" s="5" t="s">
        <v>159</v>
      </c>
      <c r="G9321" s="5" t="s">
        <v>1585</v>
      </c>
      <c r="H9321" s="5" t="s">
        <v>1590</v>
      </c>
      <c r="I9321" s="5" t="s">
        <v>31</v>
      </c>
      <c r="J9321" s="5">
        <v>16.815958319884999</v>
      </c>
      <c r="K9321" s="5">
        <v>-95.140077931506994</v>
      </c>
      <c r="L9321" s="5" t="str">
        <f>HYPERLINK("https://maps.google.com/?q=16.815958319885,-95.140077931506795", "🔗 Ver Mapa")</f>
        <v>🔗 Ver Mapa</v>
      </c>
    </row>
    <row r="9322" spans="1:12" ht="43.5" x14ac:dyDescent="0.35">
      <c r="A9322" s="6" t="s">
        <v>98</v>
      </c>
      <c r="B9322" s="6" t="s">
        <v>99</v>
      </c>
      <c r="C9322" s="6" t="s">
        <v>1589</v>
      </c>
      <c r="D9322" s="6" t="s">
        <v>14</v>
      </c>
      <c r="E9322" s="6" t="s">
        <v>158</v>
      </c>
      <c r="F9322" s="6" t="s">
        <v>159</v>
      </c>
      <c r="G9322" s="6" t="s">
        <v>1585</v>
      </c>
      <c r="H9322" s="6" t="s">
        <v>1590</v>
      </c>
      <c r="I9322" s="6" t="s">
        <v>31</v>
      </c>
      <c r="J9322" s="6">
        <v>16.816025075262001</v>
      </c>
      <c r="K9322" s="6">
        <v>-95.141724807841996</v>
      </c>
      <c r="L9322" s="6" t="str">
        <f>HYPERLINK("https://maps.google.com/?q=16.8160250752623,-95.141724807842195", "🔗 Ver Mapa")</f>
        <v>🔗 Ver Mapa</v>
      </c>
    </row>
    <row r="9323" spans="1:12" ht="43.5" x14ac:dyDescent="0.35">
      <c r="A9323" s="5" t="s">
        <v>98</v>
      </c>
      <c r="B9323" s="5" t="s">
        <v>99</v>
      </c>
      <c r="C9323" s="5" t="s">
        <v>1589</v>
      </c>
      <c r="D9323" s="5" t="s">
        <v>14</v>
      </c>
      <c r="E9323" s="5" t="s">
        <v>158</v>
      </c>
      <c r="F9323" s="5" t="s">
        <v>159</v>
      </c>
      <c r="G9323" s="5" t="s">
        <v>1585</v>
      </c>
      <c r="H9323" s="5" t="s">
        <v>1590</v>
      </c>
      <c r="I9323" s="5" t="s">
        <v>31</v>
      </c>
      <c r="J9323" s="5">
        <v>16.816102100668001</v>
      </c>
      <c r="K9323" s="5">
        <v>-95.138425690752996</v>
      </c>
      <c r="L9323" s="5" t="str">
        <f>HYPERLINK("https://maps.google.com/?q=16.8161021006684,-95.138425690753394", "🔗 Ver Mapa")</f>
        <v>🔗 Ver Mapa</v>
      </c>
    </row>
    <row r="9324" spans="1:12" ht="43.5" x14ac:dyDescent="0.35">
      <c r="A9324" s="6" t="s">
        <v>98</v>
      </c>
      <c r="B9324" s="6" t="s">
        <v>99</v>
      </c>
      <c r="C9324" s="6" t="s">
        <v>1589</v>
      </c>
      <c r="D9324" s="6" t="s">
        <v>14</v>
      </c>
      <c r="E9324" s="6" t="s">
        <v>158</v>
      </c>
      <c r="F9324" s="6" t="s">
        <v>159</v>
      </c>
      <c r="G9324" s="6" t="s">
        <v>1585</v>
      </c>
      <c r="H9324" s="6" t="s">
        <v>1590</v>
      </c>
      <c r="I9324" s="6" t="s">
        <v>31</v>
      </c>
      <c r="J9324" s="6">
        <v>16.816179126043</v>
      </c>
      <c r="K9324" s="6">
        <v>-95.134600860698001</v>
      </c>
      <c r="L9324" s="6" t="str">
        <f>HYPERLINK("https://maps.google.com/?q=16.8161791260432,-95.134600860697603", "🔗 Ver Mapa")</f>
        <v>🔗 Ver Mapa</v>
      </c>
    </row>
    <row r="9325" spans="1:12" ht="43.5" x14ac:dyDescent="0.35">
      <c r="A9325" s="5" t="s">
        <v>98</v>
      </c>
      <c r="B9325" s="5" t="s">
        <v>99</v>
      </c>
      <c r="C9325" s="5" t="s">
        <v>1589</v>
      </c>
      <c r="D9325" s="5" t="s">
        <v>14</v>
      </c>
      <c r="E9325" s="5" t="s">
        <v>158</v>
      </c>
      <c r="F9325" s="5" t="s">
        <v>159</v>
      </c>
      <c r="G9325" s="5" t="s">
        <v>1585</v>
      </c>
      <c r="H9325" s="5" t="s">
        <v>1590</v>
      </c>
      <c r="I9325" s="5" t="s">
        <v>31</v>
      </c>
      <c r="J9325" s="5">
        <v>16.816389661908001</v>
      </c>
      <c r="K9325" s="5">
        <v>-95.133608443361993</v>
      </c>
      <c r="L9325" s="5" t="str">
        <f>HYPERLINK("https://maps.google.com/?q=16.816389661908,-95.133608443361993", "🔗 Ver Mapa")</f>
        <v>🔗 Ver Mapa</v>
      </c>
    </row>
    <row r="9326" spans="1:12" ht="43.5" x14ac:dyDescent="0.35">
      <c r="A9326" s="6" t="s">
        <v>98</v>
      </c>
      <c r="B9326" s="6" t="s">
        <v>99</v>
      </c>
      <c r="C9326" s="6" t="s">
        <v>1589</v>
      </c>
      <c r="D9326" s="6" t="s">
        <v>14</v>
      </c>
      <c r="E9326" s="6" t="s">
        <v>158</v>
      </c>
      <c r="F9326" s="6" t="s">
        <v>159</v>
      </c>
      <c r="G9326" s="6" t="s">
        <v>1585</v>
      </c>
      <c r="H9326" s="6" t="s">
        <v>1590</v>
      </c>
      <c r="I9326" s="6" t="s">
        <v>31</v>
      </c>
      <c r="J9326" s="6">
        <v>16.816394796926001</v>
      </c>
      <c r="K9326" s="6">
        <v>-95.135518176180994</v>
      </c>
      <c r="L9326" s="6" t="str">
        <f>HYPERLINK("https://maps.google.com/?q=16.8163947969261,-95.135518176180796", "🔗 Ver Mapa")</f>
        <v>🔗 Ver Mapa</v>
      </c>
    </row>
    <row r="9327" spans="1:12" ht="43.5" x14ac:dyDescent="0.35">
      <c r="A9327" s="5" t="s">
        <v>98</v>
      </c>
      <c r="B9327" s="5" t="s">
        <v>99</v>
      </c>
      <c r="C9327" s="5" t="s">
        <v>1589</v>
      </c>
      <c r="D9327" s="5" t="s">
        <v>14</v>
      </c>
      <c r="E9327" s="5" t="s">
        <v>158</v>
      </c>
      <c r="F9327" s="5" t="s">
        <v>159</v>
      </c>
      <c r="G9327" s="5" t="s">
        <v>1585</v>
      </c>
      <c r="H9327" s="5" t="s">
        <v>1590</v>
      </c>
      <c r="I9327" s="5" t="s">
        <v>31</v>
      </c>
      <c r="J9327" s="5">
        <v>16.816399931944002</v>
      </c>
      <c r="K9327" s="5">
        <v>-95.133941037279996</v>
      </c>
      <c r="L9327" s="5" t="str">
        <f>HYPERLINK("https://maps.google.com/?q=16.8163999319442,-95.133941037279897", "🔗 Ver Mapa")</f>
        <v>🔗 Ver Mapa</v>
      </c>
    </row>
    <row r="9328" spans="1:12" ht="43.5" x14ac:dyDescent="0.35">
      <c r="A9328" s="6" t="s">
        <v>98</v>
      </c>
      <c r="B9328" s="6" t="s">
        <v>99</v>
      </c>
      <c r="C9328" s="6" t="s">
        <v>1589</v>
      </c>
      <c r="D9328" s="6" t="s">
        <v>14</v>
      </c>
      <c r="E9328" s="6" t="s">
        <v>158</v>
      </c>
      <c r="F9328" s="6" t="s">
        <v>159</v>
      </c>
      <c r="G9328" s="6" t="s">
        <v>1585</v>
      </c>
      <c r="H9328" s="6" t="s">
        <v>1590</v>
      </c>
      <c r="I9328" s="6" t="s">
        <v>31</v>
      </c>
      <c r="J9328" s="6">
        <v>16.816435877065999</v>
      </c>
      <c r="K9328" s="6">
        <v>-95.140195948702996</v>
      </c>
      <c r="L9328" s="6" t="str">
        <f>HYPERLINK("https://maps.google.com/?q=16.8164358770665,-95.140195948703493", "🔗 Ver Mapa")</f>
        <v>🔗 Ver Mapa</v>
      </c>
    </row>
    <row r="9329" spans="1:12" ht="43.5" x14ac:dyDescent="0.35">
      <c r="A9329" s="5" t="s">
        <v>98</v>
      </c>
      <c r="B9329" s="5" t="s">
        <v>99</v>
      </c>
      <c r="C9329" s="5" t="s">
        <v>1589</v>
      </c>
      <c r="D9329" s="5" t="s">
        <v>14</v>
      </c>
      <c r="E9329" s="5" t="s">
        <v>158</v>
      </c>
      <c r="F9329" s="5" t="s">
        <v>159</v>
      </c>
      <c r="G9329" s="5" t="s">
        <v>1585</v>
      </c>
      <c r="H9329" s="5" t="s">
        <v>1590</v>
      </c>
      <c r="I9329" s="5" t="s">
        <v>31</v>
      </c>
      <c r="J9329" s="5">
        <v>16.816476957197999</v>
      </c>
      <c r="K9329" s="5">
        <v>-95.140823585613006</v>
      </c>
      <c r="L9329" s="5" t="str">
        <f>HYPERLINK("https://maps.google.com/?q=16.8164769571979,-95.140823585613106", "🔗 Ver Mapa")</f>
        <v>🔗 Ver Mapa</v>
      </c>
    </row>
    <row r="9330" spans="1:12" ht="43.5" x14ac:dyDescent="0.35">
      <c r="A9330" s="6" t="s">
        <v>98</v>
      </c>
      <c r="B9330" s="6" t="s">
        <v>99</v>
      </c>
      <c r="C9330" s="6" t="s">
        <v>1589</v>
      </c>
      <c r="D9330" s="6" t="s">
        <v>14</v>
      </c>
      <c r="E9330" s="6" t="s">
        <v>158</v>
      </c>
      <c r="F9330" s="6" t="s">
        <v>159</v>
      </c>
      <c r="G9330" s="6" t="s">
        <v>1585</v>
      </c>
      <c r="H9330" s="6" t="s">
        <v>1590</v>
      </c>
      <c r="I9330" s="6" t="s">
        <v>31</v>
      </c>
      <c r="J9330" s="6">
        <v>16.816502632275999</v>
      </c>
      <c r="K9330" s="6">
        <v>-95.142019850834004</v>
      </c>
      <c r="L9330" s="6" t="str">
        <f>HYPERLINK("https://maps.google.com/?q=16.8165026322756,-95.142019850833805", "🔗 Ver Mapa")</f>
        <v>🔗 Ver Mapa</v>
      </c>
    </row>
    <row r="9331" spans="1:12" ht="43.5" x14ac:dyDescent="0.35">
      <c r="A9331" s="5" t="s">
        <v>98</v>
      </c>
      <c r="B9331" s="5" t="s">
        <v>99</v>
      </c>
      <c r="C9331" s="5" t="s">
        <v>1589</v>
      </c>
      <c r="D9331" s="5" t="s">
        <v>14</v>
      </c>
      <c r="E9331" s="5" t="s">
        <v>158</v>
      </c>
      <c r="F9331" s="5" t="s">
        <v>159</v>
      </c>
      <c r="G9331" s="5" t="s">
        <v>1585</v>
      </c>
      <c r="H9331" s="5" t="s">
        <v>1590</v>
      </c>
      <c r="I9331" s="5" t="s">
        <v>31</v>
      </c>
      <c r="J9331" s="5">
        <v>16.816589927513999</v>
      </c>
      <c r="K9331" s="5">
        <v>-95.137358171564998</v>
      </c>
      <c r="L9331" s="5" t="str">
        <f>HYPERLINK("https://maps.google.com/?q=16.8165899275136,-95.137358171565396", "🔗 Ver Mapa")</f>
        <v>🔗 Ver Mapa</v>
      </c>
    </row>
    <row r="9332" spans="1:12" ht="43.5" x14ac:dyDescent="0.35">
      <c r="A9332" s="6" t="s">
        <v>98</v>
      </c>
      <c r="B9332" s="6" t="s">
        <v>99</v>
      </c>
      <c r="C9332" s="6" t="s">
        <v>1589</v>
      </c>
      <c r="D9332" s="6" t="s">
        <v>14</v>
      </c>
      <c r="E9332" s="6" t="s">
        <v>158</v>
      </c>
      <c r="F9332" s="6" t="s">
        <v>159</v>
      </c>
      <c r="G9332" s="6" t="s">
        <v>1585</v>
      </c>
      <c r="H9332" s="6" t="s">
        <v>1590</v>
      </c>
      <c r="I9332" s="6" t="s">
        <v>31</v>
      </c>
      <c r="J9332" s="6">
        <v>16.816595062526002</v>
      </c>
      <c r="K9332" s="6">
        <v>-95.134992463214004</v>
      </c>
      <c r="L9332" s="6" t="str">
        <f>HYPERLINK("https://maps.google.com/?q=16.8165950625263,-95.134992463213905", "🔗 Ver Mapa")</f>
        <v>🔗 Ver Mapa</v>
      </c>
    </row>
    <row r="9333" spans="1:12" ht="43.5" x14ac:dyDescent="0.35">
      <c r="A9333" s="5" t="s">
        <v>98</v>
      </c>
      <c r="B9333" s="5" t="s">
        <v>99</v>
      </c>
      <c r="C9333" s="5" t="s">
        <v>1589</v>
      </c>
      <c r="D9333" s="5" t="s">
        <v>14</v>
      </c>
      <c r="E9333" s="5" t="s">
        <v>158</v>
      </c>
      <c r="F9333" s="5" t="s">
        <v>159</v>
      </c>
      <c r="G9333" s="5" t="s">
        <v>1585</v>
      </c>
      <c r="H9333" s="5" t="s">
        <v>1590</v>
      </c>
      <c r="I9333" s="5" t="s">
        <v>31</v>
      </c>
      <c r="J9333" s="5">
        <v>16.816692627742</v>
      </c>
      <c r="K9333" s="5">
        <v>-95.134187800508997</v>
      </c>
      <c r="L9333" s="5" t="str">
        <f>HYPERLINK("https://maps.google.com/?q=16.8166926277421,-95.134187800509295", "🔗 Ver Mapa")</f>
        <v>🔗 Ver Mapa</v>
      </c>
    </row>
    <row r="9334" spans="1:12" ht="43.5" x14ac:dyDescent="0.35">
      <c r="A9334" s="6" t="s">
        <v>98</v>
      </c>
      <c r="B9334" s="6" t="s">
        <v>99</v>
      </c>
      <c r="C9334" s="6" t="s">
        <v>1589</v>
      </c>
      <c r="D9334" s="6" t="s">
        <v>14</v>
      </c>
      <c r="E9334" s="6" t="s">
        <v>158</v>
      </c>
      <c r="F9334" s="6" t="s">
        <v>159</v>
      </c>
      <c r="G9334" s="6" t="s">
        <v>1585</v>
      </c>
      <c r="H9334" s="6" t="s">
        <v>1590</v>
      </c>
      <c r="I9334" s="6" t="s">
        <v>31</v>
      </c>
      <c r="J9334" s="6">
        <v>16.816923703053</v>
      </c>
      <c r="K9334" s="6">
        <v>-95.142030579670006</v>
      </c>
      <c r="L9334" s="6" t="str">
        <f>HYPERLINK("https://maps.google.com/?q=16.8169237030528,-95.142030579669907", "🔗 Ver Mapa")</f>
        <v>🔗 Ver Mapa</v>
      </c>
    </row>
    <row r="9335" spans="1:12" ht="43.5" x14ac:dyDescent="0.35">
      <c r="A9335" s="5" t="s">
        <v>98</v>
      </c>
      <c r="B9335" s="5" t="s">
        <v>99</v>
      </c>
      <c r="C9335" s="5" t="s">
        <v>1589</v>
      </c>
      <c r="D9335" s="5" t="s">
        <v>14</v>
      </c>
      <c r="E9335" s="5" t="s">
        <v>158</v>
      </c>
      <c r="F9335" s="5" t="s">
        <v>159</v>
      </c>
      <c r="G9335" s="5" t="s">
        <v>1585</v>
      </c>
      <c r="H9335" s="5" t="s">
        <v>1590</v>
      </c>
      <c r="I9335" s="5" t="s">
        <v>31</v>
      </c>
      <c r="J9335" s="5">
        <v>16.816964783079001</v>
      </c>
      <c r="K9335" s="5">
        <v>-95.140260321720007</v>
      </c>
      <c r="L9335" s="5" t="str">
        <f>HYPERLINK("https://maps.google.com/?q=16.8169647830786,-95.140260321719893", "🔗 Ver Mapa")</f>
        <v>🔗 Ver Mapa</v>
      </c>
    </row>
    <row r="9336" spans="1:12" ht="43.5" x14ac:dyDescent="0.35">
      <c r="A9336" s="6" t="s">
        <v>98</v>
      </c>
      <c r="B9336" s="6" t="s">
        <v>99</v>
      </c>
      <c r="C9336" s="6" t="s">
        <v>1589</v>
      </c>
      <c r="D9336" s="6" t="s">
        <v>14</v>
      </c>
      <c r="E9336" s="6" t="s">
        <v>158</v>
      </c>
      <c r="F9336" s="6" t="s">
        <v>159</v>
      </c>
      <c r="G9336" s="6" t="s">
        <v>1585</v>
      </c>
      <c r="H9336" s="6" t="s">
        <v>1590</v>
      </c>
      <c r="I9336" s="6" t="s">
        <v>31</v>
      </c>
      <c r="J9336" s="6">
        <v>16.816969918081</v>
      </c>
      <c r="K9336" s="6">
        <v>-95.142481190783997</v>
      </c>
      <c r="L9336" s="6" t="str">
        <f>HYPERLINK("https://maps.google.com/?q=16.8169699180811,-95.142481190784494", "🔗 Ver Mapa")</f>
        <v>🔗 Ver Mapa</v>
      </c>
    </row>
    <row r="9337" spans="1:12" ht="43.5" x14ac:dyDescent="0.35">
      <c r="A9337" s="5" t="s">
        <v>98</v>
      </c>
      <c r="B9337" s="5" t="s">
        <v>99</v>
      </c>
      <c r="C9337" s="5" t="s">
        <v>1589</v>
      </c>
      <c r="D9337" s="5" t="s">
        <v>14</v>
      </c>
      <c r="E9337" s="5" t="s">
        <v>158</v>
      </c>
      <c r="F9337" s="5" t="s">
        <v>159</v>
      </c>
      <c r="G9337" s="5" t="s">
        <v>1585</v>
      </c>
      <c r="H9337" s="5" t="s">
        <v>1590</v>
      </c>
      <c r="I9337" s="5" t="s">
        <v>31</v>
      </c>
      <c r="J9337" s="5">
        <v>16.817000728094001</v>
      </c>
      <c r="K9337" s="5">
        <v>-95.142744047267996</v>
      </c>
      <c r="L9337" s="5" t="str">
        <f>HYPERLINK("https://maps.google.com/?q=16.8170007280938,-95.142744047267996", "🔗 Ver Mapa")</f>
        <v>🔗 Ver Mapa</v>
      </c>
    </row>
    <row r="9338" spans="1:12" ht="43.5" x14ac:dyDescent="0.35">
      <c r="A9338" s="6" t="s">
        <v>98</v>
      </c>
      <c r="B9338" s="6" t="s">
        <v>99</v>
      </c>
      <c r="C9338" s="6" t="s">
        <v>1589</v>
      </c>
      <c r="D9338" s="6" t="s">
        <v>14</v>
      </c>
      <c r="E9338" s="6" t="s">
        <v>158</v>
      </c>
      <c r="F9338" s="6" t="s">
        <v>159</v>
      </c>
      <c r="G9338" s="6" t="s">
        <v>1585</v>
      </c>
      <c r="H9338" s="6" t="s">
        <v>1590</v>
      </c>
      <c r="I9338" s="6" t="s">
        <v>31</v>
      </c>
      <c r="J9338" s="6">
        <v>16.817041808102999</v>
      </c>
      <c r="K9338" s="6">
        <v>-95.134236080272004</v>
      </c>
      <c r="L9338" s="6" t="str">
        <f>HYPERLINK("https://maps.google.com/?q=16.8170418081028,-95.134236080271506", "🔗 Ver Mapa")</f>
        <v>🔗 Ver Mapa</v>
      </c>
    </row>
    <row r="9339" spans="1:12" ht="43.5" x14ac:dyDescent="0.35">
      <c r="A9339" s="5" t="s">
        <v>98</v>
      </c>
      <c r="B9339" s="5" t="s">
        <v>99</v>
      </c>
      <c r="C9339" s="5" t="s">
        <v>1589</v>
      </c>
      <c r="D9339" s="5" t="s">
        <v>14</v>
      </c>
      <c r="E9339" s="5" t="s">
        <v>158</v>
      </c>
      <c r="F9339" s="5" t="s">
        <v>159</v>
      </c>
      <c r="G9339" s="5" t="s">
        <v>1585</v>
      </c>
      <c r="H9339" s="5" t="s">
        <v>1590</v>
      </c>
      <c r="I9339" s="5" t="s">
        <v>31</v>
      </c>
      <c r="J9339" s="5">
        <v>16.817098293101001</v>
      </c>
      <c r="K9339" s="5">
        <v>-95.143189293963999</v>
      </c>
      <c r="L9339" s="5" t="str">
        <f>HYPERLINK("https://maps.google.com/?q=16.8170982931008,-95.143189293964497", "🔗 Ver Mapa")</f>
        <v>🔗 Ver Mapa</v>
      </c>
    </row>
    <row r="9340" spans="1:12" ht="43.5" x14ac:dyDescent="0.35">
      <c r="A9340" s="6" t="s">
        <v>98</v>
      </c>
      <c r="B9340" s="6" t="s">
        <v>99</v>
      </c>
      <c r="C9340" s="6" t="s">
        <v>1589</v>
      </c>
      <c r="D9340" s="6" t="s">
        <v>14</v>
      </c>
      <c r="E9340" s="6" t="s">
        <v>158</v>
      </c>
      <c r="F9340" s="6" t="s">
        <v>159</v>
      </c>
      <c r="G9340" s="6" t="s">
        <v>1585</v>
      </c>
      <c r="H9340" s="6" t="s">
        <v>1590</v>
      </c>
      <c r="I9340" s="6" t="s">
        <v>31</v>
      </c>
      <c r="J9340" s="6">
        <v>16.817149643084001</v>
      </c>
      <c r="K9340" s="6">
        <v>-95.138629538638995</v>
      </c>
      <c r="L9340" s="6" t="str">
        <f>HYPERLINK("https://maps.google.com/?q=16.8171496430843,-95.138629538638597", "🔗 Ver Mapa")</f>
        <v>🔗 Ver Mapa</v>
      </c>
    </row>
    <row r="9341" spans="1:12" ht="43.5" x14ac:dyDescent="0.35">
      <c r="A9341" s="5" t="s">
        <v>98</v>
      </c>
      <c r="B9341" s="5" t="s">
        <v>99</v>
      </c>
      <c r="C9341" s="5" t="s">
        <v>1589</v>
      </c>
      <c r="D9341" s="5" t="s">
        <v>14</v>
      </c>
      <c r="E9341" s="5" t="s">
        <v>158</v>
      </c>
      <c r="F9341" s="5" t="s">
        <v>159</v>
      </c>
      <c r="G9341" s="5" t="s">
        <v>1585</v>
      </c>
      <c r="H9341" s="5" t="s">
        <v>1590</v>
      </c>
      <c r="I9341" s="5" t="s">
        <v>31</v>
      </c>
      <c r="J9341" s="5">
        <v>16.817185588065001</v>
      </c>
      <c r="K9341" s="5">
        <v>-95.140946967228004</v>
      </c>
      <c r="L9341" s="5" t="str">
        <f>HYPERLINK("https://maps.google.com/?q=16.8171855880645,-95.140946967227805", "🔗 Ver Mapa")</f>
        <v>🔗 Ver Mapa</v>
      </c>
    </row>
    <row r="9342" spans="1:12" ht="43.5" x14ac:dyDescent="0.35">
      <c r="A9342" s="6" t="s">
        <v>98</v>
      </c>
      <c r="B9342" s="6" t="s">
        <v>99</v>
      </c>
      <c r="C9342" s="6" t="s">
        <v>1589</v>
      </c>
      <c r="D9342" s="6" t="s">
        <v>14</v>
      </c>
      <c r="E9342" s="6" t="s">
        <v>158</v>
      </c>
      <c r="F9342" s="6" t="s">
        <v>159</v>
      </c>
      <c r="G9342" s="6" t="s">
        <v>1585</v>
      </c>
      <c r="H9342" s="6" t="s">
        <v>1590</v>
      </c>
      <c r="I9342" s="6" t="s">
        <v>31</v>
      </c>
      <c r="J9342" s="6">
        <v>16.817339637901998</v>
      </c>
      <c r="K9342" s="6">
        <v>-95.139353735073001</v>
      </c>
      <c r="L9342" s="6" t="str">
        <f>HYPERLINK("https://maps.google.com/?q=16.8173396379023,-95.139353735072703", "🔗 Ver Mapa")</f>
        <v>🔗 Ver Mapa</v>
      </c>
    </row>
    <row r="9343" spans="1:12" ht="43.5" x14ac:dyDescent="0.35">
      <c r="A9343" s="5" t="s">
        <v>98</v>
      </c>
      <c r="B9343" s="5" t="s">
        <v>99</v>
      </c>
      <c r="C9343" s="5" t="s">
        <v>1589</v>
      </c>
      <c r="D9343" s="5" t="s">
        <v>14</v>
      </c>
      <c r="E9343" s="5" t="s">
        <v>158</v>
      </c>
      <c r="F9343" s="5" t="s">
        <v>159</v>
      </c>
      <c r="G9343" s="5" t="s">
        <v>1585</v>
      </c>
      <c r="H9343" s="5" t="s">
        <v>1590</v>
      </c>
      <c r="I9343" s="5" t="s">
        <v>31</v>
      </c>
      <c r="J9343" s="5">
        <v>16.817344772895002</v>
      </c>
      <c r="K9343" s="5">
        <v>-95.141290289981995</v>
      </c>
      <c r="L9343" s="5" t="str">
        <f>HYPERLINK("https://maps.google.com/?q=16.8173447728947,-95.141290289981697", "🔗 Ver Mapa")</f>
        <v>🔗 Ver Mapa</v>
      </c>
    </row>
    <row r="9344" spans="1:12" ht="43.5" x14ac:dyDescent="0.35">
      <c r="A9344" s="6" t="s">
        <v>98</v>
      </c>
      <c r="B9344" s="6" t="s">
        <v>99</v>
      </c>
      <c r="C9344" s="6" t="s">
        <v>1589</v>
      </c>
      <c r="D9344" s="6" t="s">
        <v>14</v>
      </c>
      <c r="E9344" s="6" t="s">
        <v>158</v>
      </c>
      <c r="F9344" s="6" t="s">
        <v>159</v>
      </c>
      <c r="G9344" s="6" t="s">
        <v>1585</v>
      </c>
      <c r="H9344" s="6" t="s">
        <v>1590</v>
      </c>
      <c r="I9344" s="6" t="s">
        <v>31</v>
      </c>
      <c r="J9344" s="6">
        <v>16.817390987820001</v>
      </c>
      <c r="K9344" s="6">
        <v>-95.135040742976003</v>
      </c>
      <c r="L9344" s="6" t="str">
        <f>HYPERLINK("https://maps.google.com/?q=16.8173909878204,-95.135040742976102", "🔗 Ver Mapa")</f>
        <v>🔗 Ver Mapa</v>
      </c>
    </row>
    <row r="9345" spans="1:12" ht="43.5" x14ac:dyDescent="0.35">
      <c r="A9345" s="5" t="s">
        <v>98</v>
      </c>
      <c r="B9345" s="5" t="s">
        <v>99</v>
      </c>
      <c r="C9345" s="5" t="s">
        <v>1589</v>
      </c>
      <c r="D9345" s="5" t="s">
        <v>14</v>
      </c>
      <c r="E9345" s="5" t="s">
        <v>158</v>
      </c>
      <c r="F9345" s="5" t="s">
        <v>159</v>
      </c>
      <c r="G9345" s="5" t="s">
        <v>1585</v>
      </c>
      <c r="H9345" s="5" t="s">
        <v>1590</v>
      </c>
      <c r="I9345" s="5" t="s">
        <v>31</v>
      </c>
      <c r="J9345" s="5">
        <v>16.817437202735</v>
      </c>
      <c r="K9345" s="5">
        <v>-95.141853553874995</v>
      </c>
      <c r="L9345" s="5" t="str">
        <f>HYPERLINK("https://maps.google.com/?q=16.8174372027349,-95.141853553874896", "🔗 Ver Mapa")</f>
        <v>🔗 Ver Mapa</v>
      </c>
    </row>
    <row r="9346" spans="1:12" ht="43.5" x14ac:dyDescent="0.35">
      <c r="A9346" s="6" t="s">
        <v>98</v>
      </c>
      <c r="B9346" s="6" t="s">
        <v>99</v>
      </c>
      <c r="C9346" s="6" t="s">
        <v>1589</v>
      </c>
      <c r="D9346" s="6" t="s">
        <v>14</v>
      </c>
      <c r="E9346" s="6" t="s">
        <v>158</v>
      </c>
      <c r="F9346" s="6" t="s">
        <v>159</v>
      </c>
      <c r="G9346" s="6" t="s">
        <v>1585</v>
      </c>
      <c r="H9346" s="6" t="s">
        <v>1590</v>
      </c>
      <c r="I9346" s="6" t="s">
        <v>31</v>
      </c>
      <c r="J9346" s="6">
        <v>16.817488552627001</v>
      </c>
      <c r="K9346" s="6">
        <v>-95.142207605465003</v>
      </c>
      <c r="L9346" s="6" t="str">
        <f>HYPERLINK("https://maps.google.com/?q=16.8174885526266,-95.142207605464904", "🔗 Ver Mapa")</f>
        <v>🔗 Ver Mapa</v>
      </c>
    </row>
    <row r="9347" spans="1:12" ht="43.5" x14ac:dyDescent="0.35">
      <c r="A9347" s="5" t="s">
        <v>98</v>
      </c>
      <c r="B9347" s="5" t="s">
        <v>99</v>
      </c>
      <c r="C9347" s="5" t="s">
        <v>1589</v>
      </c>
      <c r="D9347" s="5" t="s">
        <v>14</v>
      </c>
      <c r="E9347" s="5" t="s">
        <v>158</v>
      </c>
      <c r="F9347" s="5" t="s">
        <v>159</v>
      </c>
      <c r="G9347" s="5" t="s">
        <v>1585</v>
      </c>
      <c r="H9347" s="5" t="s">
        <v>1590</v>
      </c>
      <c r="I9347" s="5" t="s">
        <v>31</v>
      </c>
      <c r="J9347" s="5">
        <v>16.817524497543001</v>
      </c>
      <c r="K9347" s="5">
        <v>-95.142786962612007</v>
      </c>
      <c r="L9347" s="5" t="str">
        <f>HYPERLINK("https://maps.google.com/?q=16.8175244975425,-95.142786962612206", "🔗 Ver Mapa")</f>
        <v>🔗 Ver Mapa</v>
      </c>
    </row>
    <row r="9348" spans="1:12" ht="43.5" x14ac:dyDescent="0.35">
      <c r="A9348" s="6" t="s">
        <v>98</v>
      </c>
      <c r="B9348" s="6" t="s">
        <v>99</v>
      </c>
      <c r="C9348" s="6" t="s">
        <v>1589</v>
      </c>
      <c r="D9348" s="6" t="s">
        <v>14</v>
      </c>
      <c r="E9348" s="6" t="s">
        <v>158</v>
      </c>
      <c r="F9348" s="6" t="s">
        <v>159</v>
      </c>
      <c r="G9348" s="6" t="s">
        <v>1585</v>
      </c>
      <c r="H9348" s="6" t="s">
        <v>1590</v>
      </c>
      <c r="I9348" s="6" t="s">
        <v>31</v>
      </c>
      <c r="J9348" s="6">
        <v>16.817570712424001</v>
      </c>
      <c r="K9348" s="6">
        <v>-95.143709642513002</v>
      </c>
      <c r="L9348" s="6" t="str">
        <f>HYPERLINK("https://maps.google.com/?q=16.8175707124243,-95.1437096425135", "🔗 Ver Mapa")</f>
        <v>🔗 Ver Mapa</v>
      </c>
    </row>
    <row r="9349" spans="1:12" ht="43.5" x14ac:dyDescent="0.35">
      <c r="A9349" s="5" t="s">
        <v>98</v>
      </c>
      <c r="B9349" s="5" t="s">
        <v>99</v>
      </c>
      <c r="C9349" s="5" t="s">
        <v>1589</v>
      </c>
      <c r="D9349" s="5" t="s">
        <v>14</v>
      </c>
      <c r="E9349" s="5" t="s">
        <v>158</v>
      </c>
      <c r="F9349" s="5" t="s">
        <v>159</v>
      </c>
      <c r="G9349" s="5" t="s">
        <v>1585</v>
      </c>
      <c r="H9349" s="5" t="s">
        <v>1590</v>
      </c>
      <c r="I9349" s="5" t="s">
        <v>31</v>
      </c>
      <c r="J9349" s="5">
        <v>16.817688817071001</v>
      </c>
      <c r="K9349" s="5">
        <v>-95.137433273417997</v>
      </c>
      <c r="L9349" s="5" t="str">
        <f>HYPERLINK("https://maps.google.com/?q=16.8176888170713,-95.137433273417798", "🔗 Ver Mapa")</f>
        <v>🔗 Ver Mapa</v>
      </c>
    </row>
    <row r="9350" spans="1:12" ht="43.5" x14ac:dyDescent="0.35">
      <c r="A9350" s="6" t="s">
        <v>98</v>
      </c>
      <c r="B9350" s="6" t="s">
        <v>99</v>
      </c>
      <c r="C9350" s="6" t="s">
        <v>1589</v>
      </c>
      <c r="D9350" s="6" t="s">
        <v>14</v>
      </c>
      <c r="E9350" s="6" t="s">
        <v>158</v>
      </c>
      <c r="F9350" s="6" t="s">
        <v>159</v>
      </c>
      <c r="G9350" s="6" t="s">
        <v>1585</v>
      </c>
      <c r="H9350" s="6" t="s">
        <v>1590</v>
      </c>
      <c r="I9350" s="6" t="s">
        <v>31</v>
      </c>
      <c r="J9350" s="6">
        <v>16.817770976782001</v>
      </c>
      <c r="K9350" s="6">
        <v>-95.135759574991994</v>
      </c>
      <c r="L9350" s="6" t="str">
        <f>HYPERLINK("https://maps.google.com/?q=16.8177709767823,-95.135759574992207", "🔗 Ver Mapa")</f>
        <v>🔗 Ver Mapa</v>
      </c>
    </row>
    <row r="9351" spans="1:12" ht="43.5" x14ac:dyDescent="0.35">
      <c r="A9351" s="5" t="s">
        <v>98</v>
      </c>
      <c r="B9351" s="5" t="s">
        <v>99</v>
      </c>
      <c r="C9351" s="5" t="s">
        <v>1589</v>
      </c>
      <c r="D9351" s="5" t="s">
        <v>14</v>
      </c>
      <c r="E9351" s="5" t="s">
        <v>158</v>
      </c>
      <c r="F9351" s="5" t="s">
        <v>159</v>
      </c>
      <c r="G9351" s="5" t="s">
        <v>1585</v>
      </c>
      <c r="H9351" s="5" t="s">
        <v>1590</v>
      </c>
      <c r="I9351" s="5" t="s">
        <v>31</v>
      </c>
      <c r="J9351" s="5">
        <v>16.817817191604</v>
      </c>
      <c r="K9351" s="5">
        <v>-95.139428836925006</v>
      </c>
      <c r="L9351" s="5" t="str">
        <f>HYPERLINK("https://maps.google.com/?q=16.8178171916041,-95.139428836925106", "🔗 Ver Mapa")</f>
        <v>🔗 Ver Mapa</v>
      </c>
    </row>
    <row r="9352" spans="1:12" ht="43.5" x14ac:dyDescent="0.35">
      <c r="A9352" s="6" t="s">
        <v>98</v>
      </c>
      <c r="B9352" s="6" t="s">
        <v>99</v>
      </c>
      <c r="C9352" s="6" t="s">
        <v>1589</v>
      </c>
      <c r="D9352" s="6" t="s">
        <v>14</v>
      </c>
      <c r="E9352" s="6" t="s">
        <v>158</v>
      </c>
      <c r="F9352" s="6" t="s">
        <v>159</v>
      </c>
      <c r="G9352" s="6" t="s">
        <v>1585</v>
      </c>
      <c r="H9352" s="6" t="s">
        <v>1590</v>
      </c>
      <c r="I9352" s="6" t="s">
        <v>31</v>
      </c>
      <c r="J9352" s="6">
        <v>16.817858271435998</v>
      </c>
      <c r="K9352" s="6">
        <v>-95.134439928156993</v>
      </c>
      <c r="L9352" s="6" t="str">
        <f>HYPERLINK("https://maps.google.com/?q=16.8178582714362,-95.134439928156695", "🔗 Ver Mapa")</f>
        <v>🔗 Ver Mapa</v>
      </c>
    </row>
    <row r="9353" spans="1:12" ht="43.5" x14ac:dyDescent="0.35">
      <c r="A9353" s="5" t="s">
        <v>98</v>
      </c>
      <c r="B9353" s="5" t="s">
        <v>99</v>
      </c>
      <c r="C9353" s="5" t="s">
        <v>1589</v>
      </c>
      <c r="D9353" s="5" t="s">
        <v>14</v>
      </c>
      <c r="E9353" s="5" t="s">
        <v>158</v>
      </c>
      <c r="F9353" s="5" t="s">
        <v>159</v>
      </c>
      <c r="G9353" s="5" t="s">
        <v>1585</v>
      </c>
      <c r="H9353" s="5" t="s">
        <v>1590</v>
      </c>
      <c r="I9353" s="5" t="s">
        <v>31</v>
      </c>
      <c r="J9353" s="5">
        <v>16.817960970978</v>
      </c>
      <c r="K9353" s="5">
        <v>-95.142416817767995</v>
      </c>
      <c r="L9353" s="5" t="str">
        <f>HYPERLINK("https://maps.google.com/?q=16.8179609709776,-95.142416817768193", "🔗 Ver Mapa")</f>
        <v>🔗 Ver Mapa</v>
      </c>
    </row>
    <row r="9354" spans="1:12" ht="43.5" x14ac:dyDescent="0.35">
      <c r="A9354" s="6" t="s">
        <v>98</v>
      </c>
      <c r="B9354" s="6" t="s">
        <v>99</v>
      </c>
      <c r="C9354" s="6" t="s">
        <v>1589</v>
      </c>
      <c r="D9354" s="6" t="s">
        <v>14</v>
      </c>
      <c r="E9354" s="6" t="s">
        <v>158</v>
      </c>
      <c r="F9354" s="6" t="s">
        <v>159</v>
      </c>
      <c r="G9354" s="6" t="s">
        <v>1585</v>
      </c>
      <c r="H9354" s="6" t="s">
        <v>1590</v>
      </c>
      <c r="I9354" s="6" t="s">
        <v>31</v>
      </c>
      <c r="J9354" s="6">
        <v>16.818120155157001</v>
      </c>
      <c r="K9354" s="6">
        <v>-95.137202603443001</v>
      </c>
      <c r="L9354" s="6" t="str">
        <f>HYPERLINK("https://maps.google.com/?q=16.8181201551567,-95.137202603442503", "🔗 Ver Mapa")</f>
        <v>🔗 Ver Mapa</v>
      </c>
    </row>
    <row r="9355" spans="1:12" ht="43.5" x14ac:dyDescent="0.35">
      <c r="A9355" s="5" t="s">
        <v>98</v>
      </c>
      <c r="B9355" s="5" t="s">
        <v>99</v>
      </c>
      <c r="C9355" s="5" t="s">
        <v>1589</v>
      </c>
      <c r="D9355" s="5" t="s">
        <v>14</v>
      </c>
      <c r="E9355" s="5" t="s">
        <v>158</v>
      </c>
      <c r="F9355" s="5" t="s">
        <v>159</v>
      </c>
      <c r="G9355" s="5" t="s">
        <v>1585</v>
      </c>
      <c r="H9355" s="5" t="s">
        <v>1590</v>
      </c>
      <c r="I9355" s="5" t="s">
        <v>31</v>
      </c>
      <c r="J9355" s="5">
        <v>16.818130425099</v>
      </c>
      <c r="K9355" s="5">
        <v>-95.141327840908005</v>
      </c>
      <c r="L9355" s="5" t="str">
        <f>HYPERLINK("https://maps.google.com/?q=16.8181304250992,-95.141327840907906", "🔗 Ver Mapa")</f>
        <v>🔗 Ver Mapa</v>
      </c>
    </row>
    <row r="9356" spans="1:12" ht="43.5" x14ac:dyDescent="0.35">
      <c r="A9356" s="6" t="s">
        <v>98</v>
      </c>
      <c r="B9356" s="6" t="s">
        <v>99</v>
      </c>
      <c r="C9356" s="6" t="s">
        <v>1589</v>
      </c>
      <c r="D9356" s="6" t="s">
        <v>14</v>
      </c>
      <c r="E9356" s="6" t="s">
        <v>158</v>
      </c>
      <c r="F9356" s="6" t="s">
        <v>159</v>
      </c>
      <c r="G9356" s="6" t="s">
        <v>1585</v>
      </c>
      <c r="H9356" s="6" t="s">
        <v>1590</v>
      </c>
      <c r="I9356" s="6" t="s">
        <v>31</v>
      </c>
      <c r="J9356" s="6">
        <v>16.818130425099</v>
      </c>
      <c r="K9356" s="6">
        <v>-95.142996174914998</v>
      </c>
      <c r="L9356" s="6" t="str">
        <f>HYPERLINK("https://maps.google.com/?q=16.8181304250992,-95.142996174915396", "🔗 Ver Mapa")</f>
        <v>🔗 Ver Mapa</v>
      </c>
    </row>
    <row r="9357" spans="1:12" ht="43.5" x14ac:dyDescent="0.35">
      <c r="A9357" s="5" t="s">
        <v>98</v>
      </c>
      <c r="B9357" s="5" t="s">
        <v>99</v>
      </c>
      <c r="C9357" s="5" t="s">
        <v>1589</v>
      </c>
      <c r="D9357" s="5" t="s">
        <v>14</v>
      </c>
      <c r="E9357" s="5" t="s">
        <v>158</v>
      </c>
      <c r="F9357" s="5" t="s">
        <v>159</v>
      </c>
      <c r="G9357" s="5" t="s">
        <v>1585</v>
      </c>
      <c r="H9357" s="5" t="s">
        <v>1590</v>
      </c>
      <c r="I9357" s="5" t="s">
        <v>31</v>
      </c>
      <c r="J9357" s="5">
        <v>16.818130425099</v>
      </c>
      <c r="K9357" s="5">
        <v>-95.144138795955996</v>
      </c>
      <c r="L9357" s="5" t="str">
        <f>HYPERLINK("https://maps.google.com/?q=16.8181304250992,-95.144138795955897", "🔗 Ver Mapa")</f>
        <v>🔗 Ver Mapa</v>
      </c>
    </row>
    <row r="9358" spans="1:12" ht="43.5" x14ac:dyDescent="0.35">
      <c r="A9358" s="6" t="s">
        <v>98</v>
      </c>
      <c r="B9358" s="6" t="s">
        <v>99</v>
      </c>
      <c r="C9358" s="6" t="s">
        <v>1589</v>
      </c>
      <c r="D9358" s="6" t="s">
        <v>14</v>
      </c>
      <c r="E9358" s="6" t="s">
        <v>158</v>
      </c>
      <c r="F9358" s="6" t="s">
        <v>159</v>
      </c>
      <c r="G9358" s="6" t="s">
        <v>1585</v>
      </c>
      <c r="H9358" s="6" t="s">
        <v>1590</v>
      </c>
      <c r="I9358" s="6" t="s">
        <v>31</v>
      </c>
      <c r="J9358" s="6">
        <v>16.818186909773001</v>
      </c>
      <c r="K9358" s="6">
        <v>-95.136419398409998</v>
      </c>
      <c r="L9358" s="6" t="str">
        <f>HYPERLINK("https://maps.google.com/?q=16.8181869097727,-95.136419398409998", "🔗 Ver Mapa")</f>
        <v>🔗 Ver Mapa</v>
      </c>
    </row>
    <row r="9359" spans="1:12" ht="43.5" x14ac:dyDescent="0.35">
      <c r="A9359" s="5" t="s">
        <v>98</v>
      </c>
      <c r="B9359" s="5" t="s">
        <v>99</v>
      </c>
      <c r="C9359" s="5" t="s">
        <v>1589</v>
      </c>
      <c r="D9359" s="5" t="s">
        <v>14</v>
      </c>
      <c r="E9359" s="5" t="s">
        <v>158</v>
      </c>
      <c r="F9359" s="5" t="s">
        <v>159</v>
      </c>
      <c r="G9359" s="5" t="s">
        <v>1585</v>
      </c>
      <c r="H9359" s="5" t="s">
        <v>1590</v>
      </c>
      <c r="I9359" s="5" t="s">
        <v>31</v>
      </c>
      <c r="J9359" s="5">
        <v>16.818222854556002</v>
      </c>
      <c r="K9359" s="5">
        <v>-95.134734971148006</v>
      </c>
      <c r="L9359" s="5" t="str">
        <f>HYPERLINK("https://maps.google.com/?q=16.8182228545562,-95.134734971148404", "🔗 Ver Mapa")</f>
        <v>🔗 Ver Mapa</v>
      </c>
    </row>
    <row r="9360" spans="1:12" ht="43.5" x14ac:dyDescent="0.35">
      <c r="A9360" s="6" t="s">
        <v>98</v>
      </c>
      <c r="B9360" s="6" t="s">
        <v>99</v>
      </c>
      <c r="C9360" s="6" t="s">
        <v>1589</v>
      </c>
      <c r="D9360" s="6" t="s">
        <v>14</v>
      </c>
      <c r="E9360" s="6" t="s">
        <v>158</v>
      </c>
      <c r="F9360" s="6" t="s">
        <v>159</v>
      </c>
      <c r="G9360" s="6" t="s">
        <v>1585</v>
      </c>
      <c r="H9360" s="6" t="s">
        <v>1590</v>
      </c>
      <c r="I9360" s="6" t="s">
        <v>31</v>
      </c>
      <c r="J9360" s="6">
        <v>16.818253664364999</v>
      </c>
      <c r="K9360" s="6">
        <v>-95.135378701312007</v>
      </c>
      <c r="L9360" s="6" t="str">
        <f>HYPERLINK("https://maps.google.com/?q=16.8182536643652,-95.135378701312106", "🔗 Ver Mapa")</f>
        <v>🔗 Ver Mapa</v>
      </c>
    </row>
    <row r="9361" spans="1:12" ht="43.5" x14ac:dyDescent="0.35">
      <c r="A9361" s="5" t="s">
        <v>98</v>
      </c>
      <c r="B9361" s="5" t="s">
        <v>99</v>
      </c>
      <c r="C9361" s="5" t="s">
        <v>1589</v>
      </c>
      <c r="D9361" s="5" t="s">
        <v>14</v>
      </c>
      <c r="E9361" s="5" t="s">
        <v>158</v>
      </c>
      <c r="F9361" s="5" t="s">
        <v>159</v>
      </c>
      <c r="G9361" s="5" t="s">
        <v>1585</v>
      </c>
      <c r="H9361" s="5" t="s">
        <v>1590</v>
      </c>
      <c r="I9361" s="5" t="s">
        <v>31</v>
      </c>
      <c r="J9361" s="5">
        <v>16.818274204234999</v>
      </c>
      <c r="K9361" s="5">
        <v>-95.135738117320003</v>
      </c>
      <c r="L9361" s="5" t="str">
        <f>HYPERLINK("https://maps.google.com/?q=16.8182742042351,-95.135738117320102", "🔗 Ver Mapa")</f>
        <v>🔗 Ver Mapa</v>
      </c>
    </row>
    <row r="9362" spans="1:12" ht="43.5" x14ac:dyDescent="0.35">
      <c r="A9362" s="6" t="s">
        <v>98</v>
      </c>
      <c r="B9362" s="6" t="s">
        <v>99</v>
      </c>
      <c r="C9362" s="6" t="s">
        <v>1589</v>
      </c>
      <c r="D9362" s="6" t="s">
        <v>14</v>
      </c>
      <c r="E9362" s="6" t="s">
        <v>158</v>
      </c>
      <c r="F9362" s="6" t="s">
        <v>159</v>
      </c>
      <c r="G9362" s="6" t="s">
        <v>1585</v>
      </c>
      <c r="H9362" s="6" t="s">
        <v>1590</v>
      </c>
      <c r="I9362" s="6" t="s">
        <v>31</v>
      </c>
      <c r="J9362" s="6">
        <v>16.818392308444</v>
      </c>
      <c r="K9362" s="6">
        <v>-95.141016704661993</v>
      </c>
      <c r="L9362" s="6" t="str">
        <f>HYPERLINK("https://maps.google.com/?q=16.8183923084437,-95.141016704662206", "🔗 Ver Mapa")</f>
        <v>🔗 Ver Mapa</v>
      </c>
    </row>
    <row r="9363" spans="1:12" ht="43.5" x14ac:dyDescent="0.35">
      <c r="A9363" s="5" t="s">
        <v>98</v>
      </c>
      <c r="B9363" s="5" t="s">
        <v>99</v>
      </c>
      <c r="C9363" s="5" t="s">
        <v>1589</v>
      </c>
      <c r="D9363" s="5" t="s">
        <v>14</v>
      </c>
      <c r="E9363" s="5" t="s">
        <v>158</v>
      </c>
      <c r="F9363" s="5" t="s">
        <v>159</v>
      </c>
      <c r="G9363" s="5" t="s">
        <v>1585</v>
      </c>
      <c r="H9363" s="5" t="s">
        <v>1590</v>
      </c>
      <c r="I9363" s="5" t="s">
        <v>31</v>
      </c>
      <c r="J9363" s="5">
        <v>16.818407713334999</v>
      </c>
      <c r="K9363" s="5">
        <v>-95.139825803858997</v>
      </c>
      <c r="L9363" s="5" t="str">
        <f>HYPERLINK("https://maps.google.com/?q=16.818407713335,-95.139825803859395", "🔗 Ver Mapa")</f>
        <v>🔗 Ver Mapa</v>
      </c>
    </row>
    <row r="9364" spans="1:12" ht="43.5" x14ac:dyDescent="0.35">
      <c r="A9364" s="6" t="s">
        <v>98</v>
      </c>
      <c r="B9364" s="6" t="s">
        <v>99</v>
      </c>
      <c r="C9364" s="6" t="s">
        <v>1589</v>
      </c>
      <c r="D9364" s="6" t="s">
        <v>14</v>
      </c>
      <c r="E9364" s="6" t="s">
        <v>158</v>
      </c>
      <c r="F9364" s="6" t="s">
        <v>159</v>
      </c>
      <c r="G9364" s="6" t="s">
        <v>1585</v>
      </c>
      <c r="H9364" s="6" t="s">
        <v>1590</v>
      </c>
      <c r="I9364" s="6" t="s">
        <v>31</v>
      </c>
      <c r="J9364" s="6">
        <v>16.818428253187999</v>
      </c>
      <c r="K9364" s="6">
        <v>-95.142963988407004</v>
      </c>
      <c r="L9364" s="6" t="str">
        <f>HYPERLINK("https://maps.google.com/?q=16.8184282531882,-95.142963988407303", "🔗 Ver Mapa")</f>
        <v>🔗 Ver Mapa</v>
      </c>
    </row>
    <row r="9365" spans="1:12" ht="43.5" x14ac:dyDescent="0.35">
      <c r="A9365" s="5" t="s">
        <v>98</v>
      </c>
      <c r="B9365" s="5" t="s">
        <v>99</v>
      </c>
      <c r="C9365" s="5" t="s">
        <v>1589</v>
      </c>
      <c r="D9365" s="5" t="s">
        <v>14</v>
      </c>
      <c r="E9365" s="5" t="s">
        <v>158</v>
      </c>
      <c r="F9365" s="5" t="s">
        <v>159</v>
      </c>
      <c r="G9365" s="5" t="s">
        <v>1585</v>
      </c>
      <c r="H9365" s="5" t="s">
        <v>1590</v>
      </c>
      <c r="I9365" s="5" t="s">
        <v>31</v>
      </c>
      <c r="J9365" s="5">
        <v>16.818453928002</v>
      </c>
      <c r="K9365" s="5">
        <v>-95.137674672228997</v>
      </c>
      <c r="L9365" s="5" t="str">
        <f>HYPERLINK("https://maps.google.com/?q=16.8184539280016,-95.137674672229195", "🔗 Ver Mapa")</f>
        <v>🔗 Ver Mapa</v>
      </c>
    </row>
    <row r="9366" spans="1:12" ht="43.5" x14ac:dyDescent="0.35">
      <c r="A9366" s="6" t="s">
        <v>98</v>
      </c>
      <c r="B9366" s="6" t="s">
        <v>99</v>
      </c>
      <c r="C9366" s="6" t="s">
        <v>1589</v>
      </c>
      <c r="D9366" s="6" t="s">
        <v>14</v>
      </c>
      <c r="E9366" s="6" t="s">
        <v>158</v>
      </c>
      <c r="F9366" s="6" t="s">
        <v>159</v>
      </c>
      <c r="G9366" s="6" t="s">
        <v>1585</v>
      </c>
      <c r="H9366" s="6" t="s">
        <v>1590</v>
      </c>
      <c r="I9366" s="6" t="s">
        <v>31</v>
      </c>
      <c r="J9366" s="6">
        <v>16.818536087380998</v>
      </c>
      <c r="K9366" s="6">
        <v>-95.136167270762002</v>
      </c>
      <c r="L9366" s="6" t="str">
        <f>HYPERLINK("https://maps.google.com/?q=16.818536087381,-95.136167270762499", "🔗 Ver Mapa")</f>
        <v>🔗 Ver Mapa</v>
      </c>
    </row>
    <row r="9367" spans="1:12" ht="43.5" x14ac:dyDescent="0.35">
      <c r="A9367" s="5" t="s">
        <v>98</v>
      </c>
      <c r="B9367" s="5" t="s">
        <v>99</v>
      </c>
      <c r="C9367" s="5" t="s">
        <v>1589</v>
      </c>
      <c r="D9367" s="5" t="s">
        <v>14</v>
      </c>
      <c r="E9367" s="5" t="s">
        <v>158</v>
      </c>
      <c r="F9367" s="5" t="s">
        <v>159</v>
      </c>
      <c r="G9367" s="5" t="s">
        <v>1585</v>
      </c>
      <c r="H9367" s="5" t="s">
        <v>1590</v>
      </c>
      <c r="I9367" s="5" t="s">
        <v>31</v>
      </c>
      <c r="J9367" s="5">
        <v>16.818602841850002</v>
      </c>
      <c r="K9367" s="5">
        <v>-95.135426981074005</v>
      </c>
      <c r="L9367" s="5" t="str">
        <f>HYPERLINK("https://maps.google.com/?q=16.8186028418505,-95.135426981074303", "🔗 Ver Mapa")</f>
        <v>🔗 Ver Mapa</v>
      </c>
    </row>
    <row r="9368" spans="1:12" ht="43.5" x14ac:dyDescent="0.35">
      <c r="A9368" s="6" t="s">
        <v>98</v>
      </c>
      <c r="B9368" s="6" t="s">
        <v>99</v>
      </c>
      <c r="C9368" s="6" t="s">
        <v>1589</v>
      </c>
      <c r="D9368" s="6" t="s">
        <v>14</v>
      </c>
      <c r="E9368" s="6" t="s">
        <v>158</v>
      </c>
      <c r="F9368" s="6" t="s">
        <v>159</v>
      </c>
      <c r="G9368" s="6" t="s">
        <v>1585</v>
      </c>
      <c r="H9368" s="6" t="s">
        <v>1590</v>
      </c>
      <c r="I9368" s="6" t="s">
        <v>31</v>
      </c>
      <c r="J9368" s="6">
        <v>16.818638786554999</v>
      </c>
      <c r="K9368" s="6">
        <v>-95.138221842868006</v>
      </c>
      <c r="L9368" s="6" t="str">
        <f>HYPERLINK("https://maps.google.com/?q=16.8186387865551,-95.138221842868205", "🔗 Ver Mapa")</f>
        <v>🔗 Ver Mapa</v>
      </c>
    </row>
    <row r="9369" spans="1:12" ht="43.5" x14ac:dyDescent="0.35">
      <c r="A9369" s="5" t="s">
        <v>98</v>
      </c>
      <c r="B9369" s="5" t="s">
        <v>99</v>
      </c>
      <c r="C9369" s="5" t="s">
        <v>1589</v>
      </c>
      <c r="D9369" s="5" t="s">
        <v>14</v>
      </c>
      <c r="E9369" s="5" t="s">
        <v>158</v>
      </c>
      <c r="F9369" s="5" t="s">
        <v>159</v>
      </c>
      <c r="G9369" s="5" t="s">
        <v>1585</v>
      </c>
      <c r="H9369" s="5" t="s">
        <v>1590</v>
      </c>
      <c r="I9369" s="5" t="s">
        <v>31</v>
      </c>
      <c r="J9369" s="5">
        <v>16.818772295397999</v>
      </c>
      <c r="K9369" s="5">
        <v>-95.134273631197999</v>
      </c>
      <c r="L9369" s="5" t="str">
        <f>HYPERLINK("https://maps.google.com/?q=16.8187722953983,-95.1342736311978", "🔗 Ver Mapa")</f>
        <v>🔗 Ver Mapa</v>
      </c>
    </row>
    <row r="9370" spans="1:12" ht="43.5" x14ac:dyDescent="0.35">
      <c r="A9370" s="6" t="s">
        <v>98</v>
      </c>
      <c r="B9370" s="6" t="s">
        <v>99</v>
      </c>
      <c r="C9370" s="6" t="s">
        <v>1589</v>
      </c>
      <c r="D9370" s="6" t="s">
        <v>14</v>
      </c>
      <c r="E9370" s="6" t="s">
        <v>158</v>
      </c>
      <c r="F9370" s="6" t="s">
        <v>159</v>
      </c>
      <c r="G9370" s="6" t="s">
        <v>1585</v>
      </c>
      <c r="H9370" s="6" t="s">
        <v>1590</v>
      </c>
      <c r="I9370" s="6" t="s">
        <v>31</v>
      </c>
      <c r="J9370" s="6">
        <v>16.818952018691999</v>
      </c>
      <c r="K9370" s="6">
        <v>-95.136591059786994</v>
      </c>
      <c r="L9370" s="6" t="str">
        <f>HYPERLINK("https://maps.google.com/?q=16.8189520186925,-95.136591059786994", "🔗 Ver Mapa")</f>
        <v>🔗 Ver Mapa</v>
      </c>
    </row>
    <row r="9371" spans="1:12" ht="43.5" x14ac:dyDescent="0.35">
      <c r="A9371" s="5" t="s">
        <v>98</v>
      </c>
      <c r="B9371" s="5" t="s">
        <v>99</v>
      </c>
      <c r="C9371" s="5" t="s">
        <v>1589</v>
      </c>
      <c r="D9371" s="5" t="s">
        <v>14</v>
      </c>
      <c r="E9371" s="5" t="s">
        <v>158</v>
      </c>
      <c r="F9371" s="5" t="s">
        <v>159</v>
      </c>
      <c r="G9371" s="5" t="s">
        <v>1585</v>
      </c>
      <c r="H9371" s="5" t="s">
        <v>1590</v>
      </c>
      <c r="I9371" s="5" t="s">
        <v>31</v>
      </c>
      <c r="J9371" s="5">
        <v>16.819137727582</v>
      </c>
      <c r="K9371" s="5">
        <v>-95.141885814418998</v>
      </c>
      <c r="L9371" s="5" t="str">
        <f>HYPERLINK("https://maps.google.com/?q=16.8191377275818,-95.141885814418501", "🔗 Ver Mapa")</f>
        <v>🔗 Ver Mapa</v>
      </c>
    </row>
    <row r="9372" spans="1:12" ht="43.5" x14ac:dyDescent="0.35">
      <c r="A9372" s="6" t="s">
        <v>98</v>
      </c>
      <c r="B9372" s="6" t="s">
        <v>99</v>
      </c>
      <c r="C9372" s="6" t="s">
        <v>1589</v>
      </c>
      <c r="D9372" s="6" t="s">
        <v>14</v>
      </c>
      <c r="E9372" s="6" t="s">
        <v>158</v>
      </c>
      <c r="F9372" s="6" t="s">
        <v>159</v>
      </c>
      <c r="G9372" s="6" t="s">
        <v>1585</v>
      </c>
      <c r="H9372" s="6" t="s">
        <v>1590</v>
      </c>
      <c r="I9372" s="6" t="s">
        <v>31</v>
      </c>
      <c r="J9372" s="6">
        <v>16.819144078901999</v>
      </c>
      <c r="K9372" s="6">
        <v>-95.142822280000004</v>
      </c>
      <c r="L9372" s="6" t="str">
        <f>HYPERLINK("https://maps.google.com/?q=16.8191440789019,-95.142822280000402", "🔗 Ver Mapa")</f>
        <v>🔗 Ver Mapa</v>
      </c>
    </row>
    <row r="9373" spans="1:12" ht="43.5" x14ac:dyDescent="0.35">
      <c r="A9373" s="5" t="s">
        <v>98</v>
      </c>
      <c r="B9373" s="5" t="s">
        <v>99</v>
      </c>
      <c r="C9373" s="5" t="s">
        <v>1589</v>
      </c>
      <c r="D9373" s="5" t="s">
        <v>14</v>
      </c>
      <c r="E9373" s="5" t="s">
        <v>158</v>
      </c>
      <c r="F9373" s="5" t="s">
        <v>159</v>
      </c>
      <c r="G9373" s="5" t="s">
        <v>1585</v>
      </c>
      <c r="H9373" s="5" t="s">
        <v>1590</v>
      </c>
      <c r="I9373" s="5" t="s">
        <v>31</v>
      </c>
      <c r="J9373" s="5">
        <v>16.819433983968</v>
      </c>
      <c r="K9373" s="5">
        <v>-95.143329418896002</v>
      </c>
      <c r="L9373" s="5" t="str">
        <f>HYPERLINK("https://maps.google.com/?q=16.8194339839682,-95.143329418896101", "🔗 Ver Mapa")</f>
        <v>🔗 Ver Mapa</v>
      </c>
    </row>
    <row r="9374" spans="1:12" ht="43.5" x14ac:dyDescent="0.35">
      <c r="A9374" s="6" t="s">
        <v>98</v>
      </c>
      <c r="B9374" s="6" t="s">
        <v>99</v>
      </c>
      <c r="C9374" s="6" t="s">
        <v>1589</v>
      </c>
      <c r="D9374" s="6" t="s">
        <v>14</v>
      </c>
      <c r="E9374" s="6" t="s">
        <v>158</v>
      </c>
      <c r="F9374" s="6" t="s">
        <v>159</v>
      </c>
      <c r="G9374" s="6" t="s">
        <v>1585</v>
      </c>
      <c r="H9374" s="6" t="s">
        <v>1590</v>
      </c>
      <c r="I9374" s="6" t="s">
        <v>31</v>
      </c>
      <c r="J9374" s="6">
        <v>16.819551848905</v>
      </c>
      <c r="K9374" s="6">
        <v>-95.142563325582998</v>
      </c>
      <c r="L9374" s="6" t="str">
        <f>HYPERLINK("https://maps.google.com/?q=16.8195518489048,-95.142563325582501", "🔗 Ver Mapa")</f>
        <v>🔗 Ver Mapa</v>
      </c>
    </row>
    <row r="9375" spans="1:12" ht="43.5" x14ac:dyDescent="0.35">
      <c r="A9375" s="5" t="s">
        <v>98</v>
      </c>
      <c r="B9375" s="5" t="s">
        <v>99</v>
      </c>
      <c r="C9375" s="5" t="s">
        <v>1589</v>
      </c>
      <c r="D9375" s="5" t="s">
        <v>14</v>
      </c>
      <c r="E9375" s="5" t="s">
        <v>158</v>
      </c>
      <c r="F9375" s="5" t="s">
        <v>159</v>
      </c>
      <c r="G9375" s="5" t="s">
        <v>1585</v>
      </c>
      <c r="H9375" s="5" t="s">
        <v>1590</v>
      </c>
      <c r="I9375" s="5" t="s">
        <v>31</v>
      </c>
      <c r="J9375" s="5">
        <v>16.819578481413998</v>
      </c>
      <c r="K9375" s="5">
        <v>-95.136537415606995</v>
      </c>
      <c r="L9375" s="5" t="str">
        <f>HYPERLINK("https://maps.google.com/?q=16.8195784814145,-95.136537415606696", "🔗 Ver Mapa")</f>
        <v>🔗 Ver Mapa</v>
      </c>
    </row>
    <row r="9376" spans="1:12" ht="43.5" x14ac:dyDescent="0.35">
      <c r="A9376" s="6" t="s">
        <v>98</v>
      </c>
      <c r="B9376" s="6" t="s">
        <v>99</v>
      </c>
      <c r="C9376" s="6" t="s">
        <v>1589</v>
      </c>
      <c r="D9376" s="6" t="s">
        <v>14</v>
      </c>
      <c r="E9376" s="6" t="s">
        <v>158</v>
      </c>
      <c r="F9376" s="6" t="s">
        <v>159</v>
      </c>
      <c r="G9376" s="6" t="s">
        <v>1585</v>
      </c>
      <c r="H9376" s="6" t="s">
        <v>1590</v>
      </c>
      <c r="I9376" s="6" t="s">
        <v>31</v>
      </c>
      <c r="J9376" s="6">
        <v>16.819646701246999</v>
      </c>
      <c r="K9376" s="6">
        <v>-95.138402859657006</v>
      </c>
      <c r="L9376" s="6" t="str">
        <f>HYPERLINK("https://maps.google.com/?q=16.8196467012465,-95.138402859657106", "🔗 Ver Mapa")</f>
        <v>🔗 Ver Mapa</v>
      </c>
    </row>
    <row r="9377" spans="1:12" ht="43.5" x14ac:dyDescent="0.35">
      <c r="A9377" s="5" t="s">
        <v>98</v>
      </c>
      <c r="B9377" s="5" t="s">
        <v>99</v>
      </c>
      <c r="C9377" s="5" t="s">
        <v>1589</v>
      </c>
      <c r="D9377" s="5" t="s">
        <v>14</v>
      </c>
      <c r="E9377" s="5" t="s">
        <v>158</v>
      </c>
      <c r="F9377" s="5" t="s">
        <v>159</v>
      </c>
      <c r="G9377" s="5" t="s">
        <v>1585</v>
      </c>
      <c r="H9377" s="5" t="s">
        <v>1590</v>
      </c>
      <c r="I9377" s="5" t="s">
        <v>31</v>
      </c>
      <c r="J9377" s="5">
        <v>16.819646701246999</v>
      </c>
      <c r="K9377" s="5">
        <v>-95.140317956893995</v>
      </c>
      <c r="L9377" s="5" t="str">
        <f>HYPERLINK("https://maps.google.com/?q=16.8196467012465,-95.140317956893995", "🔗 Ver Mapa")</f>
        <v>🔗 Ver Mapa</v>
      </c>
    </row>
    <row r="9378" spans="1:12" ht="43.5" x14ac:dyDescent="0.35">
      <c r="A9378" s="6" t="s">
        <v>98</v>
      </c>
      <c r="B9378" s="6" t="s">
        <v>99</v>
      </c>
      <c r="C9378" s="6" t="s">
        <v>1589</v>
      </c>
      <c r="D9378" s="6" t="s">
        <v>14</v>
      </c>
      <c r="E9378" s="6" t="s">
        <v>158</v>
      </c>
      <c r="F9378" s="6" t="s">
        <v>159</v>
      </c>
      <c r="G9378" s="6" t="s">
        <v>1585</v>
      </c>
      <c r="H9378" s="6" t="s">
        <v>1590</v>
      </c>
      <c r="I9378" s="6" t="s">
        <v>31</v>
      </c>
      <c r="J9378" s="6">
        <v>16.81972047771</v>
      </c>
      <c r="K9378" s="6">
        <v>-95.142807526745997</v>
      </c>
      <c r="L9378" s="6" t="str">
        <f>HYPERLINK("https://maps.google.com/?q=16.81972047771,-95.142807526746395", "🔗 Ver Mapa")</f>
        <v>🔗 Ver Mapa</v>
      </c>
    </row>
    <row r="9379" spans="1:12" ht="43.5" x14ac:dyDescent="0.35">
      <c r="A9379" s="5" t="s">
        <v>98</v>
      </c>
      <c r="B9379" s="5" t="s">
        <v>99</v>
      </c>
      <c r="C9379" s="5" t="s">
        <v>1589</v>
      </c>
      <c r="D9379" s="5" t="s">
        <v>14</v>
      </c>
      <c r="E9379" s="5" t="s">
        <v>158</v>
      </c>
      <c r="F9379" s="5" t="s">
        <v>159</v>
      </c>
      <c r="G9379" s="5" t="s">
        <v>1585</v>
      </c>
      <c r="H9379" s="5" t="s">
        <v>1590</v>
      </c>
      <c r="I9379" s="5" t="s">
        <v>31</v>
      </c>
      <c r="J9379" s="5">
        <v>16.819755377564999</v>
      </c>
      <c r="K9379" s="5">
        <v>-95.141857011105003</v>
      </c>
      <c r="L9379" s="5" t="str">
        <f>HYPERLINK("https://maps.google.com/?q=16.8197553775651,-95.141857011104904", "🔗 Ver Mapa")</f>
        <v>🔗 Ver Mapa</v>
      </c>
    </row>
    <row r="9380" spans="1:12" ht="43.5" x14ac:dyDescent="0.35">
      <c r="A9380" s="6" t="s">
        <v>98</v>
      </c>
      <c r="B9380" s="6" t="s">
        <v>99</v>
      </c>
      <c r="C9380" s="6" t="s">
        <v>1589</v>
      </c>
      <c r="D9380" s="6" t="s">
        <v>14</v>
      </c>
      <c r="E9380" s="6" t="s">
        <v>158</v>
      </c>
      <c r="F9380" s="6" t="s">
        <v>159</v>
      </c>
      <c r="G9380" s="6" t="s">
        <v>1585</v>
      </c>
      <c r="H9380" s="6" t="s">
        <v>1590</v>
      </c>
      <c r="I9380" s="6" t="s">
        <v>31</v>
      </c>
      <c r="J9380" s="6">
        <v>16.820001278907998</v>
      </c>
      <c r="K9380" s="6">
        <v>-95.142441778896</v>
      </c>
      <c r="L9380" s="6" t="str">
        <f>HYPERLINK("https://maps.google.com/?q=16.8200012789079,-95.1424417788959", "🔗 Ver Mapa")</f>
        <v>🔗 Ver Mapa</v>
      </c>
    </row>
    <row r="9381" spans="1:12" ht="43.5" x14ac:dyDescent="0.35">
      <c r="A9381" s="5" t="s">
        <v>98</v>
      </c>
      <c r="B9381" s="5" t="s">
        <v>99</v>
      </c>
      <c r="C9381" s="5" t="s">
        <v>1589</v>
      </c>
      <c r="D9381" s="5" t="s">
        <v>14</v>
      </c>
      <c r="E9381" s="5" t="s">
        <v>158</v>
      </c>
      <c r="F9381" s="5" t="s">
        <v>159</v>
      </c>
      <c r="G9381" s="5" t="s">
        <v>1585</v>
      </c>
      <c r="H9381" s="5" t="s">
        <v>1590</v>
      </c>
      <c r="I9381" s="5" t="s">
        <v>31</v>
      </c>
      <c r="J9381" s="5">
        <v>16.820119114219001</v>
      </c>
      <c r="K9381" s="5">
        <v>-95.137914697615997</v>
      </c>
      <c r="L9381" s="5" t="str">
        <f>HYPERLINK("https://maps.google.com/?q=16.8201191142187,-95.137914697616395", "🔗 Ver Mapa")</f>
        <v>🔗 Ver Mapa</v>
      </c>
    </row>
    <row r="9382" spans="1:12" ht="43.5" x14ac:dyDescent="0.35">
      <c r="A9382" s="6" t="s">
        <v>98</v>
      </c>
      <c r="B9382" s="6" t="s">
        <v>99</v>
      </c>
      <c r="C9382" s="6" t="s">
        <v>1589</v>
      </c>
      <c r="D9382" s="6" t="s">
        <v>14</v>
      </c>
      <c r="E9382" s="6" t="s">
        <v>158</v>
      </c>
      <c r="F9382" s="6" t="s">
        <v>159</v>
      </c>
      <c r="G9382" s="6" t="s">
        <v>1585</v>
      </c>
      <c r="H9382" s="6" t="s">
        <v>1590</v>
      </c>
      <c r="I9382" s="6" t="s">
        <v>31</v>
      </c>
      <c r="J9382" s="6">
        <v>16.820129384053001</v>
      </c>
      <c r="K9382" s="6">
        <v>-95.140162388771003</v>
      </c>
      <c r="L9382" s="6" t="str">
        <f>HYPERLINK("https://maps.google.com/?q=16.8201293840528,-95.140162388771202", "🔗 Ver Mapa")</f>
        <v>🔗 Ver Mapa</v>
      </c>
    </row>
    <row r="9383" spans="1:12" ht="43.5" x14ac:dyDescent="0.35">
      <c r="A9383" s="5" t="s">
        <v>98</v>
      </c>
      <c r="B9383" s="5" t="s">
        <v>99</v>
      </c>
      <c r="C9383" s="5" t="s">
        <v>1589</v>
      </c>
      <c r="D9383" s="5" t="s">
        <v>14</v>
      </c>
      <c r="E9383" s="5" t="s">
        <v>158</v>
      </c>
      <c r="F9383" s="5" t="s">
        <v>159</v>
      </c>
      <c r="G9383" s="5" t="s">
        <v>1585</v>
      </c>
      <c r="H9383" s="5" t="s">
        <v>1590</v>
      </c>
      <c r="I9383" s="5" t="s">
        <v>31</v>
      </c>
      <c r="J9383" s="5">
        <v>16.820144788802999</v>
      </c>
      <c r="K9383" s="5">
        <v>-95.140634457557994</v>
      </c>
      <c r="L9383" s="5" t="str">
        <f>HYPERLINK("https://maps.google.com/?q=16.820144788803,-95.140634457557795", "🔗 Ver Mapa")</f>
        <v>🔗 Ver Mapa</v>
      </c>
    </row>
    <row r="9384" spans="1:12" ht="43.5" x14ac:dyDescent="0.35">
      <c r="A9384" s="6" t="s">
        <v>98</v>
      </c>
      <c r="B9384" s="6" t="s">
        <v>99</v>
      </c>
      <c r="C9384" s="6" t="s">
        <v>1589</v>
      </c>
      <c r="D9384" s="6" t="s">
        <v>14</v>
      </c>
      <c r="E9384" s="6" t="s">
        <v>158</v>
      </c>
      <c r="F9384" s="6" t="s">
        <v>159</v>
      </c>
      <c r="G9384" s="6" t="s">
        <v>1585</v>
      </c>
      <c r="H9384" s="6" t="s">
        <v>1590</v>
      </c>
      <c r="I9384" s="6" t="s">
        <v>31</v>
      </c>
      <c r="J9384" s="6">
        <v>16.820168300264001</v>
      </c>
      <c r="K9384" s="6">
        <v>-95.139926658896002</v>
      </c>
      <c r="L9384" s="6" t="str">
        <f>HYPERLINK("https://maps.google.com/?q=16.8201683002644,-95.139926658895902", "🔗 Ver Mapa")</f>
        <v>🔗 Ver Mapa</v>
      </c>
    </row>
    <row r="9385" spans="1:12" ht="43.5" x14ac:dyDescent="0.35">
      <c r="A9385" s="5" t="s">
        <v>98</v>
      </c>
      <c r="B9385" s="5" t="s">
        <v>99</v>
      </c>
      <c r="C9385" s="5" t="s">
        <v>1589</v>
      </c>
      <c r="D9385" s="5" t="s">
        <v>14</v>
      </c>
      <c r="E9385" s="5" t="s">
        <v>158</v>
      </c>
      <c r="F9385" s="5" t="s">
        <v>159</v>
      </c>
      <c r="G9385" s="5" t="s">
        <v>1585</v>
      </c>
      <c r="H9385" s="5" t="s">
        <v>1590</v>
      </c>
      <c r="I9385" s="5" t="s">
        <v>31</v>
      </c>
      <c r="J9385" s="5">
        <v>16.820237217277999</v>
      </c>
      <c r="K9385" s="5">
        <v>-95.138869564025995</v>
      </c>
      <c r="L9385" s="5" t="str">
        <f>HYPERLINK("https://maps.google.com/?q=16.8202372172777,-95.138869564025796", "🔗 Ver Mapa")</f>
        <v>🔗 Ver Mapa</v>
      </c>
    </row>
    <row r="9386" spans="1:12" ht="43.5" x14ac:dyDescent="0.35">
      <c r="A9386" s="6" t="s">
        <v>98</v>
      </c>
      <c r="B9386" s="6" t="s">
        <v>99</v>
      </c>
      <c r="C9386" s="6" t="s">
        <v>1589</v>
      </c>
      <c r="D9386" s="6" t="s">
        <v>14</v>
      </c>
      <c r="E9386" s="6" t="s">
        <v>158</v>
      </c>
      <c r="F9386" s="6" t="s">
        <v>159</v>
      </c>
      <c r="G9386" s="6" t="s">
        <v>1585</v>
      </c>
      <c r="H9386" s="6" t="s">
        <v>1590</v>
      </c>
      <c r="I9386" s="6" t="s">
        <v>31</v>
      </c>
      <c r="J9386" s="6">
        <v>16.820386129726</v>
      </c>
      <c r="K9386" s="6">
        <v>-95.138086358992993</v>
      </c>
      <c r="L9386" s="6" t="str">
        <f>HYPERLINK("https://maps.google.com/?q=16.8203861297256,-95.138086358993306", "🔗 Ver Mapa")</f>
        <v>🔗 Ver Mapa</v>
      </c>
    </row>
    <row r="9387" spans="1:12" ht="43.5" x14ac:dyDescent="0.35">
      <c r="A9387" s="5" t="s">
        <v>98</v>
      </c>
      <c r="B9387" s="5" t="s">
        <v>99</v>
      </c>
      <c r="C9387" s="5" t="s">
        <v>1589</v>
      </c>
      <c r="D9387" s="5" t="s">
        <v>14</v>
      </c>
      <c r="E9387" s="5" t="s">
        <v>158</v>
      </c>
      <c r="F9387" s="5" t="s">
        <v>159</v>
      </c>
      <c r="G9387" s="5" t="s">
        <v>1585</v>
      </c>
      <c r="H9387" s="5" t="s">
        <v>1590</v>
      </c>
      <c r="I9387" s="5" t="s">
        <v>31</v>
      </c>
      <c r="J9387" s="5">
        <v>16.820545311867999</v>
      </c>
      <c r="K9387" s="5">
        <v>-95.138563792197999</v>
      </c>
      <c r="L9387" s="5" t="str">
        <f>HYPERLINK("https://maps.google.com/?q=16.820545311868,-95.138563792198099", "🔗 Ver Mapa")</f>
        <v>🔗 Ver Mapa</v>
      </c>
    </row>
    <row r="9388" spans="1:12" ht="43.5" x14ac:dyDescent="0.35">
      <c r="A9388" s="6" t="s">
        <v>98</v>
      </c>
      <c r="B9388" s="6" t="s">
        <v>99</v>
      </c>
      <c r="C9388" s="6" t="s">
        <v>1589</v>
      </c>
      <c r="D9388" s="6" t="s">
        <v>14</v>
      </c>
      <c r="E9388" s="6" t="s">
        <v>158</v>
      </c>
      <c r="F9388" s="6" t="s">
        <v>159</v>
      </c>
      <c r="G9388" s="6" t="s">
        <v>1585</v>
      </c>
      <c r="H9388" s="6" t="s">
        <v>1590</v>
      </c>
      <c r="I9388" s="6" t="s">
        <v>31</v>
      </c>
      <c r="J9388" s="6">
        <v>16.820558133592002</v>
      </c>
      <c r="K9388" s="6">
        <v>-95.142230485156006</v>
      </c>
      <c r="L9388" s="6" t="str">
        <f>HYPERLINK("https://maps.google.com/?q=16.8205581335919,-95.142230485155906", "🔗 Ver Mapa")</f>
        <v>🔗 Ver Mapa</v>
      </c>
    </row>
    <row r="9389" spans="1:12" ht="43.5" x14ac:dyDescent="0.35">
      <c r="A9389" s="5" t="s">
        <v>98</v>
      </c>
      <c r="B9389" s="5" t="s">
        <v>99</v>
      </c>
      <c r="C9389" s="5" t="s">
        <v>1589</v>
      </c>
      <c r="D9389" s="5" t="s">
        <v>14</v>
      </c>
      <c r="E9389" s="5" t="s">
        <v>158</v>
      </c>
      <c r="F9389" s="5" t="s">
        <v>159</v>
      </c>
      <c r="G9389" s="5" t="s">
        <v>1585</v>
      </c>
      <c r="H9389" s="5" t="s">
        <v>1590</v>
      </c>
      <c r="I9389" s="5" t="s">
        <v>31</v>
      </c>
      <c r="J9389" s="5">
        <v>16.820619752445999</v>
      </c>
      <c r="K9389" s="5">
        <v>-95.142589901164001</v>
      </c>
      <c r="L9389" s="5" t="str">
        <f>HYPERLINK("https://maps.google.com/?q=16.8206197524457,-95.142589901164001", "🔗 Ver Mapa")</f>
        <v>🔗 Ver Mapa</v>
      </c>
    </row>
    <row r="9390" spans="1:12" ht="43.5" x14ac:dyDescent="0.35">
      <c r="A9390" s="6" t="s">
        <v>98</v>
      </c>
      <c r="B9390" s="6" t="s">
        <v>99</v>
      </c>
      <c r="C9390" s="6" t="s">
        <v>1589</v>
      </c>
      <c r="D9390" s="6" t="s">
        <v>14</v>
      </c>
      <c r="E9390" s="6" t="s">
        <v>158</v>
      </c>
      <c r="F9390" s="6" t="s">
        <v>159</v>
      </c>
      <c r="G9390" s="6" t="s">
        <v>1585</v>
      </c>
      <c r="H9390" s="6" t="s">
        <v>1590</v>
      </c>
      <c r="I9390" s="6" t="s">
        <v>31</v>
      </c>
      <c r="J9390" s="6">
        <v>16.820632605244001</v>
      </c>
      <c r="K9390" s="6">
        <v>-95.141583959548996</v>
      </c>
      <c r="L9390" s="6" t="str">
        <f>HYPERLINK("https://maps.google.com/?q=16.8206326052442,-95.141583959549195", "🔗 Ver Mapa")</f>
        <v>🔗 Ver Mapa</v>
      </c>
    </row>
    <row r="9391" spans="1:12" ht="43.5" x14ac:dyDescent="0.35">
      <c r="A9391" s="5" t="s">
        <v>98</v>
      </c>
      <c r="B9391" s="5" t="s">
        <v>99</v>
      </c>
      <c r="C9391" s="5" t="s">
        <v>1589</v>
      </c>
      <c r="D9391" s="5" t="s">
        <v>14</v>
      </c>
      <c r="E9391" s="5" t="s">
        <v>158</v>
      </c>
      <c r="F9391" s="5" t="s">
        <v>159</v>
      </c>
      <c r="G9391" s="5" t="s">
        <v>1585</v>
      </c>
      <c r="H9391" s="5" t="s">
        <v>1590</v>
      </c>
      <c r="I9391" s="5" t="s">
        <v>31</v>
      </c>
      <c r="J9391" s="5">
        <v>16.820668549564001</v>
      </c>
      <c r="K9391" s="5">
        <v>-95.139443556754998</v>
      </c>
      <c r="L9391" s="5" t="str">
        <f>HYPERLINK("https://maps.google.com/?q=16.8206685495639,-95.139443556755097", "🔗 Ver Mapa")</f>
        <v>🔗 Ver Mapa</v>
      </c>
    </row>
    <row r="9392" spans="1:12" ht="43.5" x14ac:dyDescent="0.35">
      <c r="A9392" s="6" t="s">
        <v>98</v>
      </c>
      <c r="B9392" s="6" t="s">
        <v>99</v>
      </c>
      <c r="C9392" s="6" t="s">
        <v>1589</v>
      </c>
      <c r="D9392" s="6" t="s">
        <v>14</v>
      </c>
      <c r="E9392" s="6" t="s">
        <v>158</v>
      </c>
      <c r="F9392" s="6" t="s">
        <v>159</v>
      </c>
      <c r="G9392" s="6" t="s">
        <v>1585</v>
      </c>
      <c r="H9392" s="6" t="s">
        <v>1590</v>
      </c>
      <c r="I9392" s="6" t="s">
        <v>31</v>
      </c>
      <c r="J9392" s="6">
        <v>16.820759512062001</v>
      </c>
      <c r="K9392" s="6">
        <v>-95.137256247623</v>
      </c>
      <c r="L9392" s="6" t="str">
        <f>HYPERLINK("https://maps.google.com/?q=16.8207595120623,-95.137256247622702", "🔗 Ver Mapa")</f>
        <v>🔗 Ver Mapa</v>
      </c>
    </row>
    <row r="9393" spans="1:12" ht="43.5" x14ac:dyDescent="0.35">
      <c r="A9393" s="5" t="s">
        <v>98</v>
      </c>
      <c r="B9393" s="5" t="s">
        <v>99</v>
      </c>
      <c r="C9393" s="5" t="s">
        <v>1589</v>
      </c>
      <c r="D9393" s="5" t="s">
        <v>14</v>
      </c>
      <c r="E9393" s="5" t="s">
        <v>158</v>
      </c>
      <c r="F9393" s="5" t="s">
        <v>159</v>
      </c>
      <c r="G9393" s="5" t="s">
        <v>1585</v>
      </c>
      <c r="H9393" s="5" t="s">
        <v>1590</v>
      </c>
      <c r="I9393" s="5" t="s">
        <v>31</v>
      </c>
      <c r="J9393" s="5">
        <v>16.820886767247</v>
      </c>
      <c r="K9393" s="5">
        <v>-95.142563079073994</v>
      </c>
      <c r="L9393" s="5" t="str">
        <f>HYPERLINK("https://maps.google.com/?q=16.8208867672473,-95.142563079073796", "🔗 Ver Mapa")</f>
        <v>🔗 Ver Mapa</v>
      </c>
    </row>
    <row r="9394" spans="1:12" ht="43.5" x14ac:dyDescent="0.35">
      <c r="A9394" s="6" t="s">
        <v>98</v>
      </c>
      <c r="B9394" s="6" t="s">
        <v>99</v>
      </c>
      <c r="C9394" s="6" t="s">
        <v>1589</v>
      </c>
      <c r="D9394" s="6" t="s">
        <v>14</v>
      </c>
      <c r="E9394" s="6" t="s">
        <v>158</v>
      </c>
      <c r="F9394" s="6" t="s">
        <v>159</v>
      </c>
      <c r="G9394" s="6" t="s">
        <v>1585</v>
      </c>
      <c r="H9394" s="6" t="s">
        <v>1590</v>
      </c>
      <c r="I9394" s="6" t="s">
        <v>31</v>
      </c>
      <c r="J9394" s="6">
        <v>16.820893019412001</v>
      </c>
      <c r="K9394" s="6">
        <v>-95.137004119975003</v>
      </c>
      <c r="L9394" s="6" t="str">
        <f>HYPERLINK("https://maps.google.com/?q=16.8208930194116,-95.137004119975302", "🔗 Ver Mapa")</f>
        <v>🔗 Ver Mapa</v>
      </c>
    </row>
    <row r="9395" spans="1:12" ht="43.5" x14ac:dyDescent="0.35">
      <c r="A9395" s="5" t="s">
        <v>98</v>
      </c>
      <c r="B9395" s="5" t="s">
        <v>99</v>
      </c>
      <c r="C9395" s="5" t="s">
        <v>1589</v>
      </c>
      <c r="D9395" s="5" t="s">
        <v>14</v>
      </c>
      <c r="E9395" s="5" t="s">
        <v>158</v>
      </c>
      <c r="F9395" s="5" t="s">
        <v>159</v>
      </c>
      <c r="G9395" s="5" t="s">
        <v>1585</v>
      </c>
      <c r="H9395" s="5" t="s">
        <v>1590</v>
      </c>
      <c r="I9395" s="5" t="s">
        <v>31</v>
      </c>
      <c r="J9395" s="5">
        <v>16.821060069922002</v>
      </c>
      <c r="K9395" s="5">
        <v>-95.142463837340998</v>
      </c>
      <c r="L9395" s="5" t="str">
        <f>HYPERLINK("https://maps.google.com/?q=16.8210600699219,-95.1424638373406", "🔗 Ver Mapa")</f>
        <v>🔗 Ver Mapa</v>
      </c>
    </row>
    <row r="9396" spans="1:12" ht="43.5" x14ac:dyDescent="0.35">
      <c r="A9396" s="6" t="s">
        <v>98</v>
      </c>
      <c r="B9396" s="6" t="s">
        <v>99</v>
      </c>
      <c r="C9396" s="6" t="s">
        <v>1589</v>
      </c>
      <c r="D9396" s="6" t="s">
        <v>14</v>
      </c>
      <c r="E9396" s="6" t="s">
        <v>158</v>
      </c>
      <c r="F9396" s="6" t="s">
        <v>159</v>
      </c>
      <c r="G9396" s="6" t="s">
        <v>1585</v>
      </c>
      <c r="H9396" s="6" t="s">
        <v>1590</v>
      </c>
      <c r="I9396" s="6" t="s">
        <v>31</v>
      </c>
      <c r="J9396" s="6">
        <v>16.821115285539999</v>
      </c>
      <c r="K9396" s="6">
        <v>-95.139937083213994</v>
      </c>
      <c r="L9396" s="6" t="str">
        <f>HYPERLINK("https://maps.google.com/?q=16.8211152855397,-95.139937083213894", "🔗 Ver Mapa")</f>
        <v>🔗 Ver Mapa</v>
      </c>
    </row>
    <row r="9397" spans="1:12" ht="43.5" x14ac:dyDescent="0.35">
      <c r="A9397" s="5" t="s">
        <v>98</v>
      </c>
      <c r="B9397" s="5" t="s">
        <v>99</v>
      </c>
      <c r="C9397" s="5" t="s">
        <v>1589</v>
      </c>
      <c r="D9397" s="5" t="s">
        <v>14</v>
      </c>
      <c r="E9397" s="5" t="s">
        <v>158</v>
      </c>
      <c r="F9397" s="5" t="s">
        <v>159</v>
      </c>
      <c r="G9397" s="5" t="s">
        <v>1585</v>
      </c>
      <c r="H9397" s="5" t="s">
        <v>1590</v>
      </c>
      <c r="I9397" s="5" t="s">
        <v>31</v>
      </c>
      <c r="J9397" s="5">
        <v>16.821154898939</v>
      </c>
      <c r="K9397" s="5">
        <v>-95.136832458597993</v>
      </c>
      <c r="L9397" s="5" t="str">
        <f>HYPERLINK("https://maps.google.com/?q=16.8211548989391,-95.136832458598306", "🔗 Ver Mapa")</f>
        <v>🔗 Ver Mapa</v>
      </c>
    </row>
    <row r="9398" spans="1:12" ht="43.5" x14ac:dyDescent="0.35">
      <c r="A9398" s="6" t="s">
        <v>98</v>
      </c>
      <c r="B9398" s="6" t="s">
        <v>99</v>
      </c>
      <c r="C9398" s="6" t="s">
        <v>1589</v>
      </c>
      <c r="D9398" s="6" t="s">
        <v>14</v>
      </c>
      <c r="E9398" s="6" t="s">
        <v>158</v>
      </c>
      <c r="F9398" s="6" t="s">
        <v>159</v>
      </c>
      <c r="G9398" s="6" t="s">
        <v>1585</v>
      </c>
      <c r="H9398" s="6" t="s">
        <v>1590</v>
      </c>
      <c r="I9398" s="6" t="s">
        <v>31</v>
      </c>
      <c r="J9398" s="6">
        <v>16.821242019814001</v>
      </c>
      <c r="K9398" s="6">
        <v>-95.139747449926006</v>
      </c>
      <c r="L9398" s="6" t="str">
        <f>HYPERLINK("https://maps.google.com/?q=16.8212420198144,-95.139747449925906", "🔗 Ver Mapa")</f>
        <v>🔗 Ver Mapa</v>
      </c>
    </row>
    <row r="9399" spans="1:12" ht="43.5" x14ac:dyDescent="0.35">
      <c r="A9399" s="5" t="s">
        <v>98</v>
      </c>
      <c r="B9399" s="5" t="s">
        <v>99</v>
      </c>
      <c r="C9399" s="5" t="s">
        <v>1589</v>
      </c>
      <c r="D9399" s="5" t="s">
        <v>14</v>
      </c>
      <c r="E9399" s="5" t="s">
        <v>158</v>
      </c>
      <c r="F9399" s="5" t="s">
        <v>159</v>
      </c>
      <c r="G9399" s="5" t="s">
        <v>1585</v>
      </c>
      <c r="H9399" s="5" t="s">
        <v>1590</v>
      </c>
      <c r="I9399" s="5" t="s">
        <v>31</v>
      </c>
      <c r="J9399" s="5">
        <v>16.821283098904001</v>
      </c>
      <c r="K9399" s="5">
        <v>-95.139511415532994</v>
      </c>
      <c r="L9399" s="5" t="str">
        <f>HYPERLINK("https://maps.google.com/?q=16.8212830989043,-95.139511415532596", "🔗 Ver Mapa")</f>
        <v>🔗 Ver Mapa</v>
      </c>
    </row>
    <row r="9400" spans="1:12" ht="43.5" x14ac:dyDescent="0.35">
      <c r="A9400" s="6" t="s">
        <v>98</v>
      </c>
      <c r="B9400" s="6" t="s">
        <v>99</v>
      </c>
      <c r="C9400" s="6" t="s">
        <v>1589</v>
      </c>
      <c r="D9400" s="6" t="s">
        <v>14</v>
      </c>
      <c r="E9400" s="6" t="s">
        <v>158</v>
      </c>
      <c r="F9400" s="6" t="s">
        <v>159</v>
      </c>
      <c r="G9400" s="6" t="s">
        <v>1585</v>
      </c>
      <c r="H9400" s="6" t="s">
        <v>1590</v>
      </c>
      <c r="I9400" s="6" t="s">
        <v>31</v>
      </c>
      <c r="J9400" s="6">
        <v>16.821339582638</v>
      </c>
      <c r="K9400" s="6">
        <v>-95.139039346746003</v>
      </c>
      <c r="L9400" s="6" t="str">
        <f>HYPERLINK("https://maps.google.com/?q=16.8213395826383,-95.139039346745903", "🔗 Ver Mapa")</f>
        <v>🔗 Ver Mapa</v>
      </c>
    </row>
    <row r="9401" spans="1:12" ht="43.5" x14ac:dyDescent="0.35">
      <c r="A9401" s="5" t="s">
        <v>98</v>
      </c>
      <c r="B9401" s="5" t="s">
        <v>99</v>
      </c>
      <c r="C9401" s="5" t="s">
        <v>1589</v>
      </c>
      <c r="D9401" s="5" t="s">
        <v>14</v>
      </c>
      <c r="E9401" s="5" t="s">
        <v>158</v>
      </c>
      <c r="F9401" s="5" t="s">
        <v>159</v>
      </c>
      <c r="G9401" s="5" t="s">
        <v>1585</v>
      </c>
      <c r="H9401" s="5" t="s">
        <v>1590</v>
      </c>
      <c r="I9401" s="5" t="s">
        <v>31</v>
      </c>
      <c r="J9401" s="5">
        <v>16.821346095195999</v>
      </c>
      <c r="K9401" s="5">
        <v>-95.141353703372999</v>
      </c>
      <c r="L9401" s="5" t="str">
        <f>HYPERLINK("https://maps.google.com/?q=16.8213460951963,-95.141353703373497", "🔗 Ver Mapa")</f>
        <v>🔗 Ver Mapa</v>
      </c>
    </row>
    <row r="9402" spans="1:12" ht="43.5" x14ac:dyDescent="0.35">
      <c r="A9402" s="6" t="s">
        <v>98</v>
      </c>
      <c r="B9402" s="6" t="s">
        <v>99</v>
      </c>
      <c r="C9402" s="6" t="s">
        <v>1589</v>
      </c>
      <c r="D9402" s="6" t="s">
        <v>14</v>
      </c>
      <c r="E9402" s="6" t="s">
        <v>158</v>
      </c>
      <c r="F9402" s="6" t="s">
        <v>159</v>
      </c>
      <c r="G9402" s="6" t="s">
        <v>1585</v>
      </c>
      <c r="H9402" s="6" t="s">
        <v>1590</v>
      </c>
      <c r="I9402" s="6" t="s">
        <v>31</v>
      </c>
      <c r="J9402" s="6">
        <v>16.821471280078999</v>
      </c>
      <c r="K9402" s="6">
        <v>-95.138506885582999</v>
      </c>
      <c r="L9402" s="6" t="str">
        <f>HYPERLINK("https://maps.google.com/?q=16.8214712800786,-95.138506885582601", "🔗 Ver Mapa")</f>
        <v>🔗 Ver Mapa</v>
      </c>
    </row>
    <row r="9403" spans="1:12" ht="43.5" x14ac:dyDescent="0.35">
      <c r="A9403" s="5" t="s">
        <v>98</v>
      </c>
      <c r="B9403" s="5" t="s">
        <v>99</v>
      </c>
      <c r="C9403" s="5" t="s">
        <v>1589</v>
      </c>
      <c r="D9403" s="5" t="s">
        <v>14</v>
      </c>
      <c r="E9403" s="5" t="s">
        <v>158</v>
      </c>
      <c r="F9403" s="5" t="s">
        <v>159</v>
      </c>
      <c r="G9403" s="5" t="s">
        <v>1585</v>
      </c>
      <c r="H9403" s="5" t="s">
        <v>1590</v>
      </c>
      <c r="I9403" s="5" t="s">
        <v>31</v>
      </c>
      <c r="J9403" s="5">
        <v>16.821591364014001</v>
      </c>
      <c r="K9403" s="5">
        <v>-95.137240154368996</v>
      </c>
      <c r="L9403" s="5" t="str">
        <f>HYPERLINK("https://maps.google.com/?q=16.8215913640142,-95.137240154368698", "🔗 Ver Mapa")</f>
        <v>🔗 Ver Mapa</v>
      </c>
    </row>
    <row r="9404" spans="1:12" ht="43.5" x14ac:dyDescent="0.35">
      <c r="A9404" s="6" t="s">
        <v>98</v>
      </c>
      <c r="B9404" s="6" t="s">
        <v>99</v>
      </c>
      <c r="C9404" s="6" t="s">
        <v>1589</v>
      </c>
      <c r="D9404" s="6" t="s">
        <v>14</v>
      </c>
      <c r="E9404" s="6" t="s">
        <v>158</v>
      </c>
      <c r="F9404" s="6" t="s">
        <v>159</v>
      </c>
      <c r="G9404" s="6" t="s">
        <v>1585</v>
      </c>
      <c r="H9404" s="6" t="s">
        <v>1590</v>
      </c>
      <c r="I9404" s="6" t="s">
        <v>31</v>
      </c>
      <c r="J9404" s="6">
        <v>16.821708364431998</v>
      </c>
      <c r="K9404" s="6">
        <v>-95.139719824284001</v>
      </c>
      <c r="L9404" s="6" t="str">
        <f>HYPERLINK("https://maps.google.com/?q=16.8217083644323,-95.139719824283901", "🔗 Ver Mapa")</f>
        <v>🔗 Ver Mapa</v>
      </c>
    </row>
    <row r="9405" spans="1:12" ht="43.5" x14ac:dyDescent="0.35">
      <c r="A9405" s="5" t="s">
        <v>98</v>
      </c>
      <c r="B9405" s="5" t="s">
        <v>99</v>
      </c>
      <c r="C9405" s="5" t="s">
        <v>1589</v>
      </c>
      <c r="D9405" s="5" t="s">
        <v>14</v>
      </c>
      <c r="E9405" s="5" t="s">
        <v>158</v>
      </c>
      <c r="F9405" s="5" t="s">
        <v>159</v>
      </c>
      <c r="G9405" s="5" t="s">
        <v>1585</v>
      </c>
      <c r="H9405" s="5" t="s">
        <v>1590</v>
      </c>
      <c r="I9405" s="5" t="s">
        <v>31</v>
      </c>
      <c r="J9405" s="5">
        <v>16.821875247769</v>
      </c>
      <c r="K9405" s="5">
        <v>-95.141701976746006</v>
      </c>
      <c r="L9405" s="5" t="str">
        <f>HYPERLINK("https://maps.google.com/?q=16.8218752477688,-95.141701976745907", "🔗 Ver Mapa")</f>
        <v>🔗 Ver Mapa</v>
      </c>
    </row>
    <row r="9406" spans="1:12" ht="43.5" x14ac:dyDescent="0.35">
      <c r="A9406" s="6" t="s">
        <v>98</v>
      </c>
      <c r="B9406" s="6" t="s">
        <v>99</v>
      </c>
      <c r="C9406" s="6" t="s">
        <v>1591</v>
      </c>
      <c r="D9406" s="6" t="s">
        <v>14</v>
      </c>
      <c r="E9406" s="6" t="s">
        <v>158</v>
      </c>
      <c r="F9406" s="6" t="s">
        <v>159</v>
      </c>
      <c r="G9406" s="6" t="s">
        <v>1585</v>
      </c>
      <c r="H9406" s="6" t="s">
        <v>1592</v>
      </c>
      <c r="I9406" s="6" t="s">
        <v>31</v>
      </c>
      <c r="J9406" s="6">
        <v>16.773315232881</v>
      </c>
      <c r="K9406" s="6">
        <v>-95.186503072600999</v>
      </c>
      <c r="L9406" s="6" t="str">
        <f>HYPERLINK("https://maps.google.com/?q=16.7733152328807,-95.186503072601198", "🔗 Ver Mapa")</f>
        <v>🔗 Ver Mapa</v>
      </c>
    </row>
    <row r="9407" spans="1:12" ht="43.5" x14ac:dyDescent="0.35">
      <c r="A9407" s="5" t="s">
        <v>98</v>
      </c>
      <c r="B9407" s="5" t="s">
        <v>99</v>
      </c>
      <c r="C9407" s="5" t="s">
        <v>1591</v>
      </c>
      <c r="D9407" s="5" t="s">
        <v>14</v>
      </c>
      <c r="E9407" s="5" t="s">
        <v>158</v>
      </c>
      <c r="F9407" s="5" t="s">
        <v>159</v>
      </c>
      <c r="G9407" s="5" t="s">
        <v>1585</v>
      </c>
      <c r="H9407" s="5" t="s">
        <v>1592</v>
      </c>
      <c r="I9407" s="5" t="s">
        <v>31</v>
      </c>
      <c r="J9407" s="5">
        <v>16.775612162599</v>
      </c>
      <c r="K9407" s="5">
        <v>-95.191728320405005</v>
      </c>
      <c r="L9407" s="5" t="str">
        <f>HYPERLINK("https://maps.google.com/?q=16.7756121625994,-95.191728320405403", "🔗 Ver Mapa")</f>
        <v>🔗 Ver Mapa</v>
      </c>
    </row>
    <row r="9408" spans="1:12" ht="43.5" x14ac:dyDescent="0.35">
      <c r="A9408" s="6" t="s">
        <v>98</v>
      </c>
      <c r="B9408" s="6" t="s">
        <v>99</v>
      </c>
      <c r="C9408" s="6" t="s">
        <v>1591</v>
      </c>
      <c r="D9408" s="6" t="s">
        <v>14</v>
      </c>
      <c r="E9408" s="6" t="s">
        <v>158</v>
      </c>
      <c r="F9408" s="6" t="s">
        <v>159</v>
      </c>
      <c r="G9408" s="6" t="s">
        <v>1585</v>
      </c>
      <c r="H9408" s="6" t="s">
        <v>1592</v>
      </c>
      <c r="I9408" s="6" t="s">
        <v>31</v>
      </c>
      <c r="J9408" s="6">
        <v>16.775630754959</v>
      </c>
      <c r="K9408" s="6">
        <v>-95.192000625497002</v>
      </c>
      <c r="L9408" s="6" t="str">
        <f>HYPERLINK("https://maps.google.com/?q=16.7756307549593,-95.192000625497101", "🔗 Ver Mapa")</f>
        <v>🔗 Ver Mapa</v>
      </c>
    </row>
    <row r="9409" spans="1:12" ht="43.5" x14ac:dyDescent="0.35">
      <c r="A9409" s="5" t="s">
        <v>98</v>
      </c>
      <c r="B9409" s="5" t="s">
        <v>99</v>
      </c>
      <c r="C9409" s="5" t="s">
        <v>1591</v>
      </c>
      <c r="D9409" s="5" t="s">
        <v>14</v>
      </c>
      <c r="E9409" s="5" t="s">
        <v>158</v>
      </c>
      <c r="F9409" s="5" t="s">
        <v>159</v>
      </c>
      <c r="G9409" s="5" t="s">
        <v>1585</v>
      </c>
      <c r="H9409" s="5" t="s">
        <v>1592</v>
      </c>
      <c r="I9409" s="5" t="s">
        <v>31</v>
      </c>
      <c r="J9409" s="5">
        <v>16.775647690690999</v>
      </c>
      <c r="K9409" s="5">
        <v>-95.192668885581995</v>
      </c>
      <c r="L9409" s="5" t="str">
        <f>HYPERLINK("https://maps.google.com/?q=16.7756476906909,-95.192668885581995", "🔗 Ver Mapa")</f>
        <v>🔗 Ver Mapa</v>
      </c>
    </row>
    <row r="9410" spans="1:12" ht="43.5" x14ac:dyDescent="0.35">
      <c r="A9410" s="6" t="s">
        <v>98</v>
      </c>
      <c r="B9410" s="6" t="s">
        <v>99</v>
      </c>
      <c r="C9410" s="6" t="s">
        <v>1591</v>
      </c>
      <c r="D9410" s="6" t="s">
        <v>14</v>
      </c>
      <c r="E9410" s="6" t="s">
        <v>158</v>
      </c>
      <c r="F9410" s="6" t="s">
        <v>159</v>
      </c>
      <c r="G9410" s="6" t="s">
        <v>1585</v>
      </c>
      <c r="H9410" s="6" t="s">
        <v>1592</v>
      </c>
      <c r="I9410" s="6" t="s">
        <v>31</v>
      </c>
      <c r="J9410" s="6">
        <v>16.775651604248999</v>
      </c>
      <c r="K9410" s="6">
        <v>-95.188411614616001</v>
      </c>
      <c r="L9410" s="6" t="str">
        <f>HYPERLINK("https://maps.google.com/?q=16.7756516042494,-95.1884116146162", "🔗 Ver Mapa")</f>
        <v>🔗 Ver Mapa</v>
      </c>
    </row>
    <row r="9411" spans="1:12" ht="43.5" x14ac:dyDescent="0.35">
      <c r="A9411" s="5" t="s">
        <v>98</v>
      </c>
      <c r="B9411" s="5" t="s">
        <v>99</v>
      </c>
      <c r="C9411" s="5" t="s">
        <v>1591</v>
      </c>
      <c r="D9411" s="5" t="s">
        <v>14</v>
      </c>
      <c r="E9411" s="5" t="s">
        <v>158</v>
      </c>
      <c r="F9411" s="5" t="s">
        <v>159</v>
      </c>
      <c r="G9411" s="5" t="s">
        <v>1585</v>
      </c>
      <c r="H9411" s="5" t="s">
        <v>1592</v>
      </c>
      <c r="I9411" s="5" t="s">
        <v>31</v>
      </c>
      <c r="J9411" s="5">
        <v>16.775665667112001</v>
      </c>
      <c r="K9411" s="5">
        <v>-95.193022937172003</v>
      </c>
      <c r="L9411" s="5" t="str">
        <f>HYPERLINK("https://maps.google.com/?q=16.7756656671119,-95.193022937171804", "🔗 Ver Mapa")</f>
        <v>🔗 Ver Mapa</v>
      </c>
    </row>
    <row r="9412" spans="1:12" ht="43.5" x14ac:dyDescent="0.35">
      <c r="A9412" s="6" t="s">
        <v>98</v>
      </c>
      <c r="B9412" s="6" t="s">
        <v>99</v>
      </c>
      <c r="C9412" s="6" t="s">
        <v>1591</v>
      </c>
      <c r="D9412" s="6" t="s">
        <v>14</v>
      </c>
      <c r="E9412" s="6" t="s">
        <v>158</v>
      </c>
      <c r="F9412" s="6" t="s">
        <v>159</v>
      </c>
      <c r="G9412" s="6" t="s">
        <v>1585</v>
      </c>
      <c r="H9412" s="6" t="s">
        <v>1592</v>
      </c>
      <c r="I9412" s="6" t="s">
        <v>31</v>
      </c>
      <c r="J9412" s="6">
        <v>16.775730293355998</v>
      </c>
      <c r="K9412" s="6">
        <v>-95.191720944330996</v>
      </c>
      <c r="L9412" s="6" t="str">
        <f>HYPERLINK("https://maps.google.com/?q=16.7757302933564,-95.191720944330598", "🔗 Ver Mapa")</f>
        <v>🔗 Ver Mapa</v>
      </c>
    </row>
    <row r="9413" spans="1:12" ht="43.5" x14ac:dyDescent="0.35">
      <c r="A9413" s="5" t="s">
        <v>98</v>
      </c>
      <c r="B9413" s="5" t="s">
        <v>99</v>
      </c>
      <c r="C9413" s="5" t="s">
        <v>1591</v>
      </c>
      <c r="D9413" s="5" t="s">
        <v>14</v>
      </c>
      <c r="E9413" s="5" t="s">
        <v>158</v>
      </c>
      <c r="F9413" s="5" t="s">
        <v>159</v>
      </c>
      <c r="G9413" s="5" t="s">
        <v>1585</v>
      </c>
      <c r="H9413" s="5" t="s">
        <v>1592</v>
      </c>
      <c r="I9413" s="5" t="s">
        <v>31</v>
      </c>
      <c r="J9413" s="5">
        <v>16.775793210795001</v>
      </c>
      <c r="K9413" s="5">
        <v>-95.191964354798998</v>
      </c>
      <c r="L9413" s="5" t="str">
        <f>HYPERLINK("https://maps.google.com/?q=16.7757932107949,-95.1919643547986", "🔗 Ver Mapa")</f>
        <v>🔗 Ver Mapa</v>
      </c>
    </row>
    <row r="9414" spans="1:12" ht="43.5" x14ac:dyDescent="0.35">
      <c r="A9414" s="6" t="s">
        <v>98</v>
      </c>
      <c r="B9414" s="6" t="s">
        <v>99</v>
      </c>
      <c r="C9414" s="6" t="s">
        <v>1591</v>
      </c>
      <c r="D9414" s="6" t="s">
        <v>14</v>
      </c>
      <c r="E9414" s="6" t="s">
        <v>158</v>
      </c>
      <c r="F9414" s="6" t="s">
        <v>159</v>
      </c>
      <c r="G9414" s="6" t="s">
        <v>1585</v>
      </c>
      <c r="H9414" s="6" t="s">
        <v>1592</v>
      </c>
      <c r="I9414" s="6" t="s">
        <v>31</v>
      </c>
      <c r="J9414" s="6">
        <v>16.775838699912999</v>
      </c>
      <c r="K9414" s="6">
        <v>-95.188596687038</v>
      </c>
      <c r="L9414" s="6" t="str">
        <f>HYPERLINK("https://maps.google.com/?q=16.7758386999129,-95.1885966870381", "🔗 Ver Mapa")</f>
        <v>🔗 Ver Mapa</v>
      </c>
    </row>
    <row r="9415" spans="1:12" ht="43.5" x14ac:dyDescent="0.35">
      <c r="A9415" s="5" t="s">
        <v>98</v>
      </c>
      <c r="B9415" s="5" t="s">
        <v>99</v>
      </c>
      <c r="C9415" s="5" t="s">
        <v>1591</v>
      </c>
      <c r="D9415" s="5" t="s">
        <v>14</v>
      </c>
      <c r="E9415" s="5" t="s">
        <v>158</v>
      </c>
      <c r="F9415" s="5" t="s">
        <v>159</v>
      </c>
      <c r="G9415" s="5" t="s">
        <v>1585</v>
      </c>
      <c r="H9415" s="5" t="s">
        <v>1592</v>
      </c>
      <c r="I9415" s="5" t="s">
        <v>31</v>
      </c>
      <c r="J9415" s="5">
        <v>16.775849708069</v>
      </c>
      <c r="K9415" s="5">
        <v>-95.191717591569002</v>
      </c>
      <c r="L9415" s="5" t="str">
        <f>HYPERLINK("https://maps.google.com/?q=16.7758497080688,-95.191717591569301", "🔗 Ver Mapa")</f>
        <v>🔗 Ver Mapa</v>
      </c>
    </row>
    <row r="9416" spans="1:12" ht="43.5" x14ac:dyDescent="0.35">
      <c r="A9416" s="6" t="s">
        <v>98</v>
      </c>
      <c r="B9416" s="6" t="s">
        <v>99</v>
      </c>
      <c r="C9416" s="6" t="s">
        <v>1591</v>
      </c>
      <c r="D9416" s="6" t="s">
        <v>14</v>
      </c>
      <c r="E9416" s="6" t="s">
        <v>158</v>
      </c>
      <c r="F9416" s="6" t="s">
        <v>159</v>
      </c>
      <c r="G9416" s="6" t="s">
        <v>1585</v>
      </c>
      <c r="H9416" s="6" t="s">
        <v>1592</v>
      </c>
      <c r="I9416" s="6" t="s">
        <v>31</v>
      </c>
      <c r="J9416" s="6">
        <v>16.775910982079999</v>
      </c>
      <c r="K9416" s="6">
        <v>-95.188619488113005</v>
      </c>
      <c r="L9416" s="6" t="str">
        <f>HYPERLINK("https://maps.google.com/?q=16.7759109820804,-95.188619488112906", "🔗 Ver Mapa")</f>
        <v>🔗 Ver Mapa</v>
      </c>
    </row>
    <row r="9417" spans="1:12" ht="43.5" x14ac:dyDescent="0.35">
      <c r="A9417" s="5" t="s">
        <v>98</v>
      </c>
      <c r="B9417" s="5" t="s">
        <v>99</v>
      </c>
      <c r="C9417" s="5" t="s">
        <v>1591</v>
      </c>
      <c r="D9417" s="5" t="s">
        <v>14</v>
      </c>
      <c r="E9417" s="5" t="s">
        <v>158</v>
      </c>
      <c r="F9417" s="5" t="s">
        <v>159</v>
      </c>
      <c r="G9417" s="5" t="s">
        <v>1585</v>
      </c>
      <c r="H9417" s="5" t="s">
        <v>1592</v>
      </c>
      <c r="I9417" s="5" t="s">
        <v>31</v>
      </c>
      <c r="J9417" s="5">
        <v>16.775937289569001</v>
      </c>
      <c r="K9417" s="5">
        <v>-95.191014265537007</v>
      </c>
      <c r="L9417" s="5" t="str">
        <f>HYPERLINK("https://maps.google.com/?q=16.7759372895689,-95.191014265537206", "🔗 Ver Mapa")</f>
        <v>🔗 Ver Mapa</v>
      </c>
    </row>
    <row r="9418" spans="1:12" ht="43.5" x14ac:dyDescent="0.35">
      <c r="A9418" s="6" t="s">
        <v>98</v>
      </c>
      <c r="B9418" s="6" t="s">
        <v>99</v>
      </c>
      <c r="C9418" s="6" t="s">
        <v>1591</v>
      </c>
      <c r="D9418" s="6" t="s">
        <v>14</v>
      </c>
      <c r="E9418" s="6" t="s">
        <v>158</v>
      </c>
      <c r="F9418" s="6" t="s">
        <v>159</v>
      </c>
      <c r="G9418" s="6" t="s">
        <v>1585</v>
      </c>
      <c r="H9418" s="6" t="s">
        <v>1592</v>
      </c>
      <c r="I9418" s="6" t="s">
        <v>31</v>
      </c>
      <c r="J9418" s="6">
        <v>16.775979394930001</v>
      </c>
      <c r="K9418" s="6">
        <v>-95.191909369513994</v>
      </c>
      <c r="L9418" s="6" t="str">
        <f>HYPERLINK("https://maps.google.com/?q=16.7759793949296,-95.191909369513795", "🔗 Ver Mapa")</f>
        <v>🔗 Ver Mapa</v>
      </c>
    </row>
    <row r="9419" spans="1:12" ht="43.5" x14ac:dyDescent="0.35">
      <c r="A9419" s="5" t="s">
        <v>98</v>
      </c>
      <c r="B9419" s="5" t="s">
        <v>99</v>
      </c>
      <c r="C9419" s="5" t="s">
        <v>1591</v>
      </c>
      <c r="D9419" s="5" t="s">
        <v>14</v>
      </c>
      <c r="E9419" s="5" t="s">
        <v>158</v>
      </c>
      <c r="F9419" s="5" t="s">
        <v>159</v>
      </c>
      <c r="G9419" s="5" t="s">
        <v>1585</v>
      </c>
      <c r="H9419" s="5" t="s">
        <v>1592</v>
      </c>
      <c r="I9419" s="5" t="s">
        <v>31</v>
      </c>
      <c r="J9419" s="5">
        <v>16.775988008675</v>
      </c>
      <c r="K9419" s="5">
        <v>-95.191190217709007</v>
      </c>
      <c r="L9419" s="5" t="str">
        <f>HYPERLINK("https://maps.google.com/?q=16.7759880086749,-95.191190217709007", "🔗 Ver Mapa")</f>
        <v>🔗 Ver Mapa</v>
      </c>
    </row>
    <row r="9420" spans="1:12" ht="43.5" x14ac:dyDescent="0.35">
      <c r="A9420" s="6" t="s">
        <v>98</v>
      </c>
      <c r="B9420" s="6" t="s">
        <v>99</v>
      </c>
      <c r="C9420" s="6" t="s">
        <v>1591</v>
      </c>
      <c r="D9420" s="6" t="s">
        <v>14</v>
      </c>
      <c r="E9420" s="6" t="s">
        <v>158</v>
      </c>
      <c r="F9420" s="6" t="s">
        <v>159</v>
      </c>
      <c r="G9420" s="6" t="s">
        <v>1585</v>
      </c>
      <c r="H9420" s="6" t="s">
        <v>1592</v>
      </c>
      <c r="I9420" s="6" t="s">
        <v>31</v>
      </c>
      <c r="J9420" s="6">
        <v>16.775996571429999</v>
      </c>
      <c r="K9420" s="6">
        <v>-95.190352604240005</v>
      </c>
      <c r="L9420" s="6" t="str">
        <f>HYPERLINK("https://maps.google.com/?q=16.7759965714299,-95.190352604239607", "🔗 Ver Mapa")</f>
        <v>🔗 Ver Mapa</v>
      </c>
    </row>
    <row r="9421" spans="1:12" ht="43.5" x14ac:dyDescent="0.35">
      <c r="A9421" s="5" t="s">
        <v>98</v>
      </c>
      <c r="B9421" s="5" t="s">
        <v>99</v>
      </c>
      <c r="C9421" s="5" t="s">
        <v>1591</v>
      </c>
      <c r="D9421" s="5" t="s">
        <v>14</v>
      </c>
      <c r="E9421" s="5" t="s">
        <v>158</v>
      </c>
      <c r="F9421" s="5" t="s">
        <v>159</v>
      </c>
      <c r="G9421" s="5" t="s">
        <v>1585</v>
      </c>
      <c r="H9421" s="5" t="s">
        <v>1592</v>
      </c>
      <c r="I9421" s="5" t="s">
        <v>31</v>
      </c>
      <c r="J9421" s="5">
        <v>16.776038878364002</v>
      </c>
      <c r="K9421" s="5">
        <v>-95.191650315792003</v>
      </c>
      <c r="L9421" s="5" t="str">
        <f>HYPERLINK("https://maps.google.com/?q=16.7760388783638,-95.191650315792003", "🔗 Ver Mapa")</f>
        <v>🔗 Ver Mapa</v>
      </c>
    </row>
    <row r="9422" spans="1:12" ht="43.5" x14ac:dyDescent="0.35">
      <c r="A9422" s="6" t="s">
        <v>98</v>
      </c>
      <c r="B9422" s="6" t="s">
        <v>99</v>
      </c>
      <c r="C9422" s="6" t="s">
        <v>1591</v>
      </c>
      <c r="D9422" s="6" t="s">
        <v>14</v>
      </c>
      <c r="E9422" s="6" t="s">
        <v>158</v>
      </c>
      <c r="F9422" s="6" t="s">
        <v>159</v>
      </c>
      <c r="G9422" s="6" t="s">
        <v>1585</v>
      </c>
      <c r="H9422" s="6" t="s">
        <v>1592</v>
      </c>
      <c r="I9422" s="6" t="s">
        <v>31</v>
      </c>
      <c r="J9422" s="6">
        <v>16.776049451397</v>
      </c>
      <c r="K9422" s="6">
        <v>-95.192336022136999</v>
      </c>
      <c r="L9422" s="6" t="str">
        <f>HYPERLINK("https://maps.google.com/?q=16.7760494513972,-95.1923360221368", "🔗 Ver Mapa")</f>
        <v>🔗 Ver Mapa</v>
      </c>
    </row>
    <row r="9423" spans="1:12" ht="43.5" x14ac:dyDescent="0.35">
      <c r="A9423" s="5" t="s">
        <v>98</v>
      </c>
      <c r="B9423" s="5" t="s">
        <v>99</v>
      </c>
      <c r="C9423" s="5" t="s">
        <v>1591</v>
      </c>
      <c r="D9423" s="5" t="s">
        <v>14</v>
      </c>
      <c r="E9423" s="5" t="s">
        <v>158</v>
      </c>
      <c r="F9423" s="5" t="s">
        <v>159</v>
      </c>
      <c r="G9423" s="5" t="s">
        <v>1585</v>
      </c>
      <c r="H9423" s="5" t="s">
        <v>1592</v>
      </c>
      <c r="I9423" s="5" t="s">
        <v>31</v>
      </c>
      <c r="J9423" s="5">
        <v>16.776056908682001</v>
      </c>
      <c r="K9423" s="5">
        <v>-95.190586779577998</v>
      </c>
      <c r="L9423" s="5" t="str">
        <f>HYPERLINK("https://maps.google.com/?q=16.7760569086824,-95.190586779577501", "🔗 Ver Mapa")</f>
        <v>🔗 Ver Mapa</v>
      </c>
    </row>
    <row r="9424" spans="1:12" ht="43.5" x14ac:dyDescent="0.35">
      <c r="A9424" s="6" t="s">
        <v>98</v>
      </c>
      <c r="B9424" s="6" t="s">
        <v>99</v>
      </c>
      <c r="C9424" s="6" t="s">
        <v>1591</v>
      </c>
      <c r="D9424" s="6" t="s">
        <v>14</v>
      </c>
      <c r="E9424" s="6" t="s">
        <v>158</v>
      </c>
      <c r="F9424" s="6" t="s">
        <v>159</v>
      </c>
      <c r="G9424" s="6" t="s">
        <v>1585</v>
      </c>
      <c r="H9424" s="6" t="s">
        <v>1592</v>
      </c>
      <c r="I9424" s="6" t="s">
        <v>31</v>
      </c>
      <c r="J9424" s="6">
        <v>16.776070828451999</v>
      </c>
      <c r="K9424" s="6">
        <v>-95.190893566132004</v>
      </c>
      <c r="L9424" s="6" t="str">
        <f>HYPERLINK("https://maps.google.com/?q=16.7760708284517,-95.190893566131606", "🔗 Ver Mapa")</f>
        <v>🔗 Ver Mapa</v>
      </c>
    </row>
    <row r="9425" spans="1:12" ht="43.5" x14ac:dyDescent="0.35">
      <c r="A9425" s="5" t="s">
        <v>98</v>
      </c>
      <c r="B9425" s="5" t="s">
        <v>99</v>
      </c>
      <c r="C9425" s="5" t="s">
        <v>1591</v>
      </c>
      <c r="D9425" s="5" t="s">
        <v>14</v>
      </c>
      <c r="E9425" s="5" t="s">
        <v>158</v>
      </c>
      <c r="F9425" s="5" t="s">
        <v>159</v>
      </c>
      <c r="G9425" s="5" t="s">
        <v>1585</v>
      </c>
      <c r="H9425" s="5" t="s">
        <v>1592</v>
      </c>
      <c r="I9425" s="5" t="s">
        <v>31</v>
      </c>
      <c r="J9425" s="5">
        <v>16.77607587812</v>
      </c>
      <c r="K9425" s="5">
        <v>-95.189731172682997</v>
      </c>
      <c r="L9425" s="5" t="str">
        <f>HYPERLINK("https://maps.google.com/?q=16.7760758781196,-95.189731172682599", "🔗 Ver Mapa")</f>
        <v>🔗 Ver Mapa</v>
      </c>
    </row>
    <row r="9426" spans="1:12" ht="43.5" x14ac:dyDescent="0.35">
      <c r="A9426" s="6" t="s">
        <v>98</v>
      </c>
      <c r="B9426" s="6" t="s">
        <v>99</v>
      </c>
      <c r="C9426" s="6" t="s">
        <v>1591</v>
      </c>
      <c r="D9426" s="6" t="s">
        <v>14</v>
      </c>
      <c r="E9426" s="6" t="s">
        <v>158</v>
      </c>
      <c r="F9426" s="6" t="s">
        <v>159</v>
      </c>
      <c r="G9426" s="6" t="s">
        <v>1585</v>
      </c>
      <c r="H9426" s="6" t="s">
        <v>1592</v>
      </c>
      <c r="I9426" s="6" t="s">
        <v>31</v>
      </c>
      <c r="J9426" s="6">
        <v>16.776105327842998</v>
      </c>
      <c r="K9426" s="6">
        <v>-95.190354348414999</v>
      </c>
      <c r="L9426" s="6" t="str">
        <f>HYPERLINK("https://maps.google.com/?q=16.7761053278429,-95.1903543484149", "🔗 Ver Mapa")</f>
        <v>🔗 Ver Mapa</v>
      </c>
    </row>
    <row r="9427" spans="1:12" ht="43.5" x14ac:dyDescent="0.35">
      <c r="A9427" s="5" t="s">
        <v>98</v>
      </c>
      <c r="B9427" s="5" t="s">
        <v>99</v>
      </c>
      <c r="C9427" s="5" t="s">
        <v>1591</v>
      </c>
      <c r="D9427" s="5" t="s">
        <v>14</v>
      </c>
      <c r="E9427" s="5" t="s">
        <v>158</v>
      </c>
      <c r="F9427" s="5" t="s">
        <v>159</v>
      </c>
      <c r="G9427" s="5" t="s">
        <v>1585</v>
      </c>
      <c r="H9427" s="5" t="s">
        <v>1592</v>
      </c>
      <c r="I9427" s="5" t="s">
        <v>31</v>
      </c>
      <c r="J9427" s="5">
        <v>16.776146499604</v>
      </c>
      <c r="K9427" s="5">
        <v>-95.189719102742004</v>
      </c>
      <c r="L9427" s="5" t="str">
        <f>HYPERLINK("https://maps.google.com/?q=16.7761464996044,-95.189719102742103", "🔗 Ver Mapa")</f>
        <v>🔗 Ver Mapa</v>
      </c>
    </row>
    <row r="9428" spans="1:12" ht="43.5" x14ac:dyDescent="0.35">
      <c r="A9428" s="6" t="s">
        <v>98</v>
      </c>
      <c r="B9428" s="6" t="s">
        <v>99</v>
      </c>
      <c r="C9428" s="6" t="s">
        <v>1591</v>
      </c>
      <c r="D9428" s="6" t="s">
        <v>14</v>
      </c>
      <c r="E9428" s="6" t="s">
        <v>158</v>
      </c>
      <c r="F9428" s="6" t="s">
        <v>159</v>
      </c>
      <c r="G9428" s="6" t="s">
        <v>1585</v>
      </c>
      <c r="H9428" s="6" t="s">
        <v>1592</v>
      </c>
      <c r="I9428" s="6" t="s">
        <v>31</v>
      </c>
      <c r="J9428" s="6">
        <v>16.776161958694999</v>
      </c>
      <c r="K9428" s="6">
        <v>-95.189020365755994</v>
      </c>
      <c r="L9428" s="6" t="str">
        <f>HYPERLINK("https://maps.google.com/?q=16.7761619586951,-95.189020365755596", "🔗 Ver Mapa")</f>
        <v>🔗 Ver Mapa</v>
      </c>
    </row>
    <row r="9429" spans="1:12" ht="43.5" x14ac:dyDescent="0.35">
      <c r="A9429" s="5" t="s">
        <v>98</v>
      </c>
      <c r="B9429" s="5" t="s">
        <v>99</v>
      </c>
      <c r="C9429" s="5" t="s">
        <v>1591</v>
      </c>
      <c r="D9429" s="5" t="s">
        <v>14</v>
      </c>
      <c r="E9429" s="5" t="s">
        <v>158</v>
      </c>
      <c r="F9429" s="5" t="s">
        <v>159</v>
      </c>
      <c r="G9429" s="5" t="s">
        <v>1585</v>
      </c>
      <c r="H9429" s="5" t="s">
        <v>1592</v>
      </c>
      <c r="I9429" s="5" t="s">
        <v>31</v>
      </c>
      <c r="J9429" s="5">
        <v>16.776166371285001</v>
      </c>
      <c r="K9429" s="5">
        <v>-95.191484018832995</v>
      </c>
      <c r="L9429" s="5" t="str">
        <f>HYPERLINK("https://maps.google.com/?q=16.7761663712848,-95.191484018833094", "🔗 Ver Mapa")</f>
        <v>🔗 Ver Mapa</v>
      </c>
    </row>
    <row r="9430" spans="1:12" ht="43.5" x14ac:dyDescent="0.35">
      <c r="A9430" s="6" t="s">
        <v>98</v>
      </c>
      <c r="B9430" s="6" t="s">
        <v>99</v>
      </c>
      <c r="C9430" s="6" t="s">
        <v>1591</v>
      </c>
      <c r="D9430" s="6" t="s">
        <v>14</v>
      </c>
      <c r="E9430" s="6" t="s">
        <v>158</v>
      </c>
      <c r="F9430" s="6" t="s">
        <v>159</v>
      </c>
      <c r="G9430" s="6" t="s">
        <v>1585</v>
      </c>
      <c r="H9430" s="6" t="s">
        <v>1592</v>
      </c>
      <c r="I9430" s="6" t="s">
        <v>31</v>
      </c>
      <c r="J9430" s="6">
        <v>16.776180121334999</v>
      </c>
      <c r="K9430" s="6">
        <v>-95.191784426243004</v>
      </c>
      <c r="L9430" s="6" t="str">
        <f>HYPERLINK("https://maps.google.com/?q=16.7761801213346,-95.191784426242705", "🔗 Ver Mapa")</f>
        <v>🔗 Ver Mapa</v>
      </c>
    </row>
    <row r="9431" spans="1:12" ht="43.5" x14ac:dyDescent="0.35">
      <c r="A9431" s="5" t="s">
        <v>98</v>
      </c>
      <c r="B9431" s="5" t="s">
        <v>99</v>
      </c>
      <c r="C9431" s="5" t="s">
        <v>1591</v>
      </c>
      <c r="D9431" s="5" t="s">
        <v>14</v>
      </c>
      <c r="E9431" s="5" t="s">
        <v>158</v>
      </c>
      <c r="F9431" s="5" t="s">
        <v>159</v>
      </c>
      <c r="G9431" s="5" t="s">
        <v>1585</v>
      </c>
      <c r="H9431" s="5" t="s">
        <v>1592</v>
      </c>
      <c r="I9431" s="5" t="s">
        <v>31</v>
      </c>
      <c r="J9431" s="5">
        <v>16.776212917942999</v>
      </c>
      <c r="K9431" s="5">
        <v>-95.190836895567998</v>
      </c>
      <c r="L9431" s="5" t="str">
        <f>HYPERLINK("https://maps.google.com/?q=16.7762129179429,-95.190836895568097", "🔗 Ver Mapa")</f>
        <v>🔗 Ver Mapa</v>
      </c>
    </row>
    <row r="9432" spans="1:12" ht="43.5" x14ac:dyDescent="0.35">
      <c r="A9432" s="6" t="s">
        <v>98</v>
      </c>
      <c r="B9432" s="6" t="s">
        <v>99</v>
      </c>
      <c r="C9432" s="6" t="s">
        <v>1591</v>
      </c>
      <c r="D9432" s="6" t="s">
        <v>14</v>
      </c>
      <c r="E9432" s="6" t="s">
        <v>158</v>
      </c>
      <c r="F9432" s="6" t="s">
        <v>159</v>
      </c>
      <c r="G9432" s="6" t="s">
        <v>1585</v>
      </c>
      <c r="H9432" s="6" t="s">
        <v>1592</v>
      </c>
      <c r="I9432" s="6" t="s">
        <v>31</v>
      </c>
      <c r="J9432" s="6">
        <v>16.776295641832998</v>
      </c>
      <c r="K9432" s="6">
        <v>-95.191278131825996</v>
      </c>
      <c r="L9432" s="6" t="str">
        <f>HYPERLINK("https://maps.google.com/?q=16.776295641833,-95.191278131826294", "🔗 Ver Mapa")</f>
        <v>🔗 Ver Mapa</v>
      </c>
    </row>
    <row r="9433" spans="1:12" ht="43.5" x14ac:dyDescent="0.35">
      <c r="A9433" s="5" t="s">
        <v>98</v>
      </c>
      <c r="B9433" s="5" t="s">
        <v>99</v>
      </c>
      <c r="C9433" s="5" t="s">
        <v>1591</v>
      </c>
      <c r="D9433" s="5" t="s">
        <v>14</v>
      </c>
      <c r="E9433" s="5" t="s">
        <v>158</v>
      </c>
      <c r="F9433" s="5" t="s">
        <v>159</v>
      </c>
      <c r="G9433" s="5" t="s">
        <v>1585</v>
      </c>
      <c r="H9433" s="5" t="s">
        <v>1592</v>
      </c>
      <c r="I9433" s="5" t="s">
        <v>31</v>
      </c>
      <c r="J9433" s="5">
        <v>16.776367866478999</v>
      </c>
      <c r="K9433" s="5">
        <v>-95.191727273205998</v>
      </c>
      <c r="L9433" s="5" t="str">
        <f>HYPERLINK("https://maps.google.com/?q=16.7763678664794,-95.191727273206297", "🔗 Ver Mapa")</f>
        <v>🔗 Ver Mapa</v>
      </c>
    </row>
    <row r="9434" spans="1:12" ht="43.5" x14ac:dyDescent="0.35">
      <c r="A9434" s="6" t="s">
        <v>98</v>
      </c>
      <c r="B9434" s="6" t="s">
        <v>99</v>
      </c>
      <c r="C9434" s="6" t="s">
        <v>1591</v>
      </c>
      <c r="D9434" s="6" t="s">
        <v>14</v>
      </c>
      <c r="E9434" s="6" t="s">
        <v>158</v>
      </c>
      <c r="F9434" s="6" t="s">
        <v>159</v>
      </c>
      <c r="G9434" s="6" t="s">
        <v>1585</v>
      </c>
      <c r="H9434" s="6" t="s">
        <v>1592</v>
      </c>
      <c r="I9434" s="6" t="s">
        <v>31</v>
      </c>
      <c r="J9434" s="6">
        <v>16.776650564433002</v>
      </c>
      <c r="K9434" s="6">
        <v>-95.192928258297997</v>
      </c>
      <c r="L9434" s="6" t="str">
        <f>HYPERLINK("https://maps.google.com/?q=16.7766505644332,-95.192928258297698", "🔗 Ver Mapa")</f>
        <v>🔗 Ver Mapa</v>
      </c>
    </row>
    <row r="9435" spans="1:12" ht="43.5" x14ac:dyDescent="0.35">
      <c r="A9435" s="5" t="s">
        <v>98</v>
      </c>
      <c r="B9435" s="5" t="s">
        <v>99</v>
      </c>
      <c r="C9435" s="5" t="s">
        <v>1591</v>
      </c>
      <c r="D9435" s="5" t="s">
        <v>14</v>
      </c>
      <c r="E9435" s="5" t="s">
        <v>158</v>
      </c>
      <c r="F9435" s="5" t="s">
        <v>159</v>
      </c>
      <c r="G9435" s="5" t="s">
        <v>1585</v>
      </c>
      <c r="H9435" s="5" t="s">
        <v>1592</v>
      </c>
      <c r="I9435" s="5" t="s">
        <v>31</v>
      </c>
      <c r="J9435" s="5">
        <v>16.776674754420998</v>
      </c>
      <c r="K9435" s="5">
        <v>-95.192169526653998</v>
      </c>
      <c r="L9435" s="5" t="str">
        <f>HYPERLINK("https://maps.google.com/?q=16.7766747544205,-95.192169526654", "🔗 Ver Mapa")</f>
        <v>🔗 Ver Mapa</v>
      </c>
    </row>
    <row r="9436" spans="1:12" ht="58" x14ac:dyDescent="0.35">
      <c r="A9436" s="6" t="s">
        <v>98</v>
      </c>
      <c r="B9436" s="6" t="s">
        <v>99</v>
      </c>
      <c r="C9436" s="6" t="s">
        <v>1593</v>
      </c>
      <c r="D9436" s="6" t="s">
        <v>14</v>
      </c>
      <c r="E9436" s="6" t="s">
        <v>158</v>
      </c>
      <c r="F9436" s="6" t="s">
        <v>159</v>
      </c>
      <c r="G9436" s="6" t="s">
        <v>808</v>
      </c>
      <c r="H9436" s="6" t="s">
        <v>809</v>
      </c>
      <c r="I9436" s="6" t="s">
        <v>31</v>
      </c>
      <c r="J9436" s="6">
        <v>16.475622699365999</v>
      </c>
      <c r="K9436" s="6">
        <v>-94.338490930779997</v>
      </c>
      <c r="L9436" s="6" t="str">
        <f>HYPERLINK("https://maps.google.com/?q=16.4756226993657,-94.338490930780395", "🔗 Ver Mapa")</f>
        <v>🔗 Ver Mapa</v>
      </c>
    </row>
    <row r="9437" spans="1:12" ht="58" x14ac:dyDescent="0.35">
      <c r="A9437" s="5" t="s">
        <v>98</v>
      </c>
      <c r="B9437" s="5" t="s">
        <v>99</v>
      </c>
      <c r="C9437" s="5" t="s">
        <v>1593</v>
      </c>
      <c r="D9437" s="5" t="s">
        <v>14</v>
      </c>
      <c r="E9437" s="5" t="s">
        <v>158</v>
      </c>
      <c r="F9437" s="5" t="s">
        <v>159</v>
      </c>
      <c r="G9437" s="5" t="s">
        <v>808</v>
      </c>
      <c r="H9437" s="5" t="s">
        <v>809</v>
      </c>
      <c r="I9437" s="5" t="s">
        <v>31</v>
      </c>
      <c r="J9437" s="5">
        <v>16.475671574019</v>
      </c>
      <c r="K9437" s="5">
        <v>-94.344709632380997</v>
      </c>
      <c r="L9437" s="5" t="str">
        <f>HYPERLINK("https://maps.google.com/?q=16.4756715740188,-94.344709632381395", "🔗 Ver Mapa")</f>
        <v>🔗 Ver Mapa</v>
      </c>
    </row>
    <row r="9438" spans="1:12" ht="58" x14ac:dyDescent="0.35">
      <c r="A9438" s="6" t="s">
        <v>98</v>
      </c>
      <c r="B9438" s="6" t="s">
        <v>99</v>
      </c>
      <c r="C9438" s="6" t="s">
        <v>1593</v>
      </c>
      <c r="D9438" s="6" t="s">
        <v>14</v>
      </c>
      <c r="E9438" s="6" t="s">
        <v>158</v>
      </c>
      <c r="F9438" s="6" t="s">
        <v>159</v>
      </c>
      <c r="G9438" s="6" t="s">
        <v>808</v>
      </c>
      <c r="H9438" s="6" t="s">
        <v>809</v>
      </c>
      <c r="I9438" s="6" t="s">
        <v>31</v>
      </c>
      <c r="J9438" s="6">
        <v>16.476160265674</v>
      </c>
      <c r="K9438" s="6">
        <v>-94.339854834063999</v>
      </c>
      <c r="L9438" s="6" t="str">
        <f>HYPERLINK("https://maps.google.com/?q=16.4761602656738,-94.339854834064496", "🔗 Ver Mapa")</f>
        <v>🔗 Ver Mapa</v>
      </c>
    </row>
    <row r="9439" spans="1:12" ht="58" x14ac:dyDescent="0.35">
      <c r="A9439" s="5" t="s">
        <v>98</v>
      </c>
      <c r="B9439" s="5" t="s">
        <v>99</v>
      </c>
      <c r="C9439" s="5" t="s">
        <v>1593</v>
      </c>
      <c r="D9439" s="5" t="s">
        <v>14</v>
      </c>
      <c r="E9439" s="5" t="s">
        <v>158</v>
      </c>
      <c r="F9439" s="5" t="s">
        <v>159</v>
      </c>
      <c r="G9439" s="5" t="s">
        <v>808</v>
      </c>
      <c r="H9439" s="5" t="s">
        <v>809</v>
      </c>
      <c r="I9439" s="5" t="s">
        <v>31</v>
      </c>
      <c r="J9439" s="5">
        <v>16.476276006283999</v>
      </c>
      <c r="K9439" s="5">
        <v>-94.341961709245993</v>
      </c>
      <c r="L9439" s="5" t="str">
        <f>HYPERLINK("https://maps.google.com/?q=16.4762760062838,-94.341961709246107", "🔗 Ver Mapa")</f>
        <v>🔗 Ver Mapa</v>
      </c>
    </row>
    <row r="9440" spans="1:12" ht="58" x14ac:dyDescent="0.35">
      <c r="A9440" s="6" t="s">
        <v>98</v>
      </c>
      <c r="B9440" s="6" t="s">
        <v>99</v>
      </c>
      <c r="C9440" s="6" t="s">
        <v>1593</v>
      </c>
      <c r="D9440" s="6" t="s">
        <v>14</v>
      </c>
      <c r="E9440" s="6" t="s">
        <v>158</v>
      </c>
      <c r="F9440" s="6" t="s">
        <v>159</v>
      </c>
      <c r="G9440" s="6" t="s">
        <v>808</v>
      </c>
      <c r="H9440" s="6" t="s">
        <v>809</v>
      </c>
      <c r="I9440" s="6" t="s">
        <v>31</v>
      </c>
      <c r="J9440" s="6">
        <v>16.476276008864001</v>
      </c>
      <c r="K9440" s="6">
        <v>-94.342492786630999</v>
      </c>
      <c r="L9440" s="6" t="str">
        <f>HYPERLINK("https://maps.google.com/?q=16.4762760088644,-94.342492786631198", "🔗 Ver Mapa")</f>
        <v>🔗 Ver Mapa</v>
      </c>
    </row>
    <row r="9441" spans="1:12" ht="43.5" x14ac:dyDescent="0.35">
      <c r="A9441" s="5" t="s">
        <v>98</v>
      </c>
      <c r="B9441" s="5" t="s">
        <v>99</v>
      </c>
      <c r="C9441" s="5" t="s">
        <v>1594</v>
      </c>
      <c r="D9441" s="5" t="s">
        <v>14</v>
      </c>
      <c r="E9441" s="5" t="s">
        <v>17</v>
      </c>
      <c r="F9441" s="5" t="s">
        <v>20</v>
      </c>
      <c r="G9441" s="5" t="s">
        <v>1320</v>
      </c>
      <c r="H9441" s="5" t="s">
        <v>1595</v>
      </c>
      <c r="I9441" s="5" t="s">
        <v>31</v>
      </c>
      <c r="J9441" s="5">
        <v>15.831602</v>
      </c>
      <c r="K9441" s="5">
        <v>-96.655144000000007</v>
      </c>
      <c r="L9441" s="5" t="str">
        <f>HYPERLINK("https://maps.google.com/?q=15.831602,-96.655144000000007", "🔗 Ver Mapa")</f>
        <v>🔗 Ver Mapa</v>
      </c>
    </row>
    <row r="9442" spans="1:12" ht="43.5" x14ac:dyDescent="0.35">
      <c r="A9442" s="6" t="s">
        <v>98</v>
      </c>
      <c r="B9442" s="6" t="s">
        <v>99</v>
      </c>
      <c r="C9442" s="6" t="s">
        <v>1594</v>
      </c>
      <c r="D9442" s="6" t="s">
        <v>14</v>
      </c>
      <c r="E9442" s="6" t="s">
        <v>17</v>
      </c>
      <c r="F9442" s="6" t="s">
        <v>20</v>
      </c>
      <c r="G9442" s="6" t="s">
        <v>1320</v>
      </c>
      <c r="H9442" s="6" t="s">
        <v>1595</v>
      </c>
      <c r="I9442" s="6" t="s">
        <v>31</v>
      </c>
      <c r="J9442" s="6">
        <v>15.832503778381</v>
      </c>
      <c r="K9442" s="6">
        <v>-96.657562163194996</v>
      </c>
      <c r="L9442" s="6" t="str">
        <f>HYPERLINK("https://maps.google.com/?q=15.8325037783805,-96.657562163194598", "🔗 Ver Mapa")</f>
        <v>🔗 Ver Mapa</v>
      </c>
    </row>
    <row r="9443" spans="1:12" ht="43.5" x14ac:dyDescent="0.35">
      <c r="A9443" s="5" t="s">
        <v>98</v>
      </c>
      <c r="B9443" s="5" t="s">
        <v>99</v>
      </c>
      <c r="C9443" s="5" t="s">
        <v>1594</v>
      </c>
      <c r="D9443" s="5" t="s">
        <v>14</v>
      </c>
      <c r="E9443" s="5" t="s">
        <v>17</v>
      </c>
      <c r="F9443" s="5" t="s">
        <v>20</v>
      </c>
      <c r="G9443" s="5" t="s">
        <v>1320</v>
      </c>
      <c r="H9443" s="5" t="s">
        <v>1595</v>
      </c>
      <c r="I9443" s="5" t="s">
        <v>31</v>
      </c>
      <c r="J9443" s="5">
        <v>15.83301838699</v>
      </c>
      <c r="K9443" s="5">
        <v>-96.655672618474995</v>
      </c>
      <c r="L9443" s="5" t="str">
        <f>HYPERLINK("https://maps.google.com/?q=15.8330183869901,-96.655672618475094", "🔗 Ver Mapa")</f>
        <v>🔗 Ver Mapa</v>
      </c>
    </row>
    <row r="9444" spans="1:12" ht="43.5" x14ac:dyDescent="0.35">
      <c r="A9444" s="6" t="s">
        <v>98</v>
      </c>
      <c r="B9444" s="6" t="s">
        <v>99</v>
      </c>
      <c r="C9444" s="6" t="s">
        <v>1594</v>
      </c>
      <c r="D9444" s="6" t="s">
        <v>14</v>
      </c>
      <c r="E9444" s="6" t="s">
        <v>17</v>
      </c>
      <c r="F9444" s="6" t="s">
        <v>20</v>
      </c>
      <c r="G9444" s="6" t="s">
        <v>1320</v>
      </c>
      <c r="H9444" s="6" t="s">
        <v>1595</v>
      </c>
      <c r="I9444" s="6" t="s">
        <v>31</v>
      </c>
      <c r="J9444" s="6">
        <v>15.833166986463</v>
      </c>
      <c r="K9444" s="6">
        <v>-96.658294820763004</v>
      </c>
      <c r="L9444" s="6" t="str">
        <f>HYPERLINK("https://maps.google.com/?q=15.833166986463,-96.658294820762805", "🔗 Ver Mapa")</f>
        <v>🔗 Ver Mapa</v>
      </c>
    </row>
    <row r="9445" spans="1:12" ht="43.5" x14ac:dyDescent="0.35">
      <c r="A9445" s="5" t="s">
        <v>98</v>
      </c>
      <c r="B9445" s="5" t="s">
        <v>99</v>
      </c>
      <c r="C9445" s="5" t="s">
        <v>1594</v>
      </c>
      <c r="D9445" s="5" t="s">
        <v>14</v>
      </c>
      <c r="E9445" s="5" t="s">
        <v>17</v>
      </c>
      <c r="F9445" s="5" t="s">
        <v>20</v>
      </c>
      <c r="G9445" s="5" t="s">
        <v>1320</v>
      </c>
      <c r="H9445" s="5" t="s">
        <v>1595</v>
      </c>
      <c r="I9445" s="5" t="s">
        <v>31</v>
      </c>
      <c r="J9445" s="5">
        <v>15.83400608987</v>
      </c>
      <c r="K9445" s="5">
        <v>-96.65790161916</v>
      </c>
      <c r="L9445" s="5" t="str">
        <f>HYPERLINK("https://maps.google.com/?q=15.8340060898703,-96.657901619160498", "🔗 Ver Mapa")</f>
        <v>🔗 Ver Mapa</v>
      </c>
    </row>
    <row r="9446" spans="1:12" ht="43.5" x14ac:dyDescent="0.35">
      <c r="A9446" s="6" t="s">
        <v>98</v>
      </c>
      <c r="B9446" s="6" t="s">
        <v>99</v>
      </c>
      <c r="C9446" s="6" t="s">
        <v>1596</v>
      </c>
      <c r="D9446" s="6" t="s">
        <v>14</v>
      </c>
      <c r="E9446" s="6" t="s">
        <v>17</v>
      </c>
      <c r="F9446" s="6" t="s">
        <v>20</v>
      </c>
      <c r="G9446" s="6" t="s">
        <v>1320</v>
      </c>
      <c r="H9446" s="6" t="s">
        <v>1597</v>
      </c>
      <c r="I9446" s="6" t="s">
        <v>31</v>
      </c>
      <c r="J9446" s="6">
        <v>15.832873002475001</v>
      </c>
      <c r="K9446" s="6">
        <v>-96.638961341105002</v>
      </c>
      <c r="L9446" s="6" t="str">
        <f>HYPERLINK("https://maps.google.com/?q=15.8328730024748,-96.638961341105201", "🔗 Ver Mapa")</f>
        <v>🔗 Ver Mapa</v>
      </c>
    </row>
    <row r="9447" spans="1:12" ht="43.5" x14ac:dyDescent="0.35">
      <c r="A9447" s="5" t="s">
        <v>98</v>
      </c>
      <c r="B9447" s="5" t="s">
        <v>99</v>
      </c>
      <c r="C9447" s="5" t="s">
        <v>1596</v>
      </c>
      <c r="D9447" s="5" t="s">
        <v>14</v>
      </c>
      <c r="E9447" s="5" t="s">
        <v>17</v>
      </c>
      <c r="F9447" s="5" t="s">
        <v>20</v>
      </c>
      <c r="G9447" s="5" t="s">
        <v>1320</v>
      </c>
      <c r="H9447" s="5" t="s">
        <v>1597</v>
      </c>
      <c r="I9447" s="5" t="s">
        <v>31</v>
      </c>
      <c r="J9447" s="5">
        <v>15.83418</v>
      </c>
      <c r="K9447" s="5">
        <v>-96.639807000000005</v>
      </c>
      <c r="L9447" s="5" t="str">
        <f>HYPERLINK("https://maps.google.com/?q=15.83418,-96.639807000000005", "🔗 Ver Mapa")</f>
        <v>🔗 Ver Mapa</v>
      </c>
    </row>
    <row r="9448" spans="1:12" ht="43.5" x14ac:dyDescent="0.35">
      <c r="A9448" s="6" t="s">
        <v>98</v>
      </c>
      <c r="B9448" s="6" t="s">
        <v>99</v>
      </c>
      <c r="C9448" s="6" t="s">
        <v>1596</v>
      </c>
      <c r="D9448" s="6" t="s">
        <v>14</v>
      </c>
      <c r="E9448" s="6" t="s">
        <v>17</v>
      </c>
      <c r="F9448" s="6" t="s">
        <v>20</v>
      </c>
      <c r="G9448" s="6" t="s">
        <v>1320</v>
      </c>
      <c r="H9448" s="6" t="s">
        <v>1597</v>
      </c>
      <c r="I9448" s="6" t="s">
        <v>31</v>
      </c>
      <c r="J9448" s="6">
        <v>15.834227</v>
      </c>
      <c r="K9448" s="6">
        <v>-96.639629999999997</v>
      </c>
      <c r="L9448" s="6" t="str">
        <f>HYPERLINK("https://maps.google.com/?q=15.834227,-96.639629999999997", "🔗 Ver Mapa")</f>
        <v>🔗 Ver Mapa</v>
      </c>
    </row>
    <row r="9449" spans="1:12" ht="43.5" x14ac:dyDescent="0.35">
      <c r="A9449" s="5" t="s">
        <v>98</v>
      </c>
      <c r="B9449" s="5" t="s">
        <v>99</v>
      </c>
      <c r="C9449" s="5" t="s">
        <v>1596</v>
      </c>
      <c r="D9449" s="5" t="s">
        <v>14</v>
      </c>
      <c r="E9449" s="5" t="s">
        <v>17</v>
      </c>
      <c r="F9449" s="5" t="s">
        <v>20</v>
      </c>
      <c r="G9449" s="5" t="s">
        <v>1320</v>
      </c>
      <c r="H9449" s="5" t="s">
        <v>1597</v>
      </c>
      <c r="I9449" s="5" t="s">
        <v>31</v>
      </c>
      <c r="J9449" s="5">
        <v>15.834344838304</v>
      </c>
      <c r="K9449" s="5">
        <v>-96.639347866235994</v>
      </c>
      <c r="L9449" s="5" t="str">
        <f>HYPERLINK("https://maps.google.com/?q=15.8343448383038,-96.639347866235696", "🔗 Ver Mapa")</f>
        <v>🔗 Ver Mapa</v>
      </c>
    </row>
    <row r="9450" spans="1:12" ht="43.5" x14ac:dyDescent="0.35">
      <c r="A9450" s="6" t="s">
        <v>98</v>
      </c>
      <c r="B9450" s="6" t="s">
        <v>99</v>
      </c>
      <c r="C9450" s="6" t="s">
        <v>1596</v>
      </c>
      <c r="D9450" s="6" t="s">
        <v>14</v>
      </c>
      <c r="E9450" s="6" t="s">
        <v>17</v>
      </c>
      <c r="F9450" s="6" t="s">
        <v>20</v>
      </c>
      <c r="G9450" s="6" t="s">
        <v>1320</v>
      </c>
      <c r="H9450" s="6" t="s">
        <v>1597</v>
      </c>
      <c r="I9450" s="6" t="s">
        <v>31</v>
      </c>
      <c r="J9450" s="6">
        <v>15.834921582899</v>
      </c>
      <c r="K9450" s="6">
        <v>-96.638841294477004</v>
      </c>
      <c r="L9450" s="6" t="str">
        <f>HYPERLINK("https://maps.google.com/?q=15.8349215828993,-96.638841294477402", "🔗 Ver Mapa")</f>
        <v>🔗 Ver Mapa</v>
      </c>
    </row>
    <row r="9451" spans="1:12" ht="43.5" x14ac:dyDescent="0.35">
      <c r="A9451" s="5" t="s">
        <v>98</v>
      </c>
      <c r="B9451" s="5" t="s">
        <v>99</v>
      </c>
      <c r="C9451" s="5" t="s">
        <v>1596</v>
      </c>
      <c r="D9451" s="5" t="s">
        <v>14</v>
      </c>
      <c r="E9451" s="5" t="s">
        <v>17</v>
      </c>
      <c r="F9451" s="5" t="s">
        <v>20</v>
      </c>
      <c r="G9451" s="5" t="s">
        <v>1320</v>
      </c>
      <c r="H9451" s="5" t="s">
        <v>1597</v>
      </c>
      <c r="I9451" s="5" t="s">
        <v>31</v>
      </c>
      <c r="J9451" s="5">
        <v>15.834932402722</v>
      </c>
      <c r="K9451" s="5">
        <v>-96.637538270529006</v>
      </c>
      <c r="L9451" s="5" t="str">
        <f>HYPERLINK("https://maps.google.com/?q=15.8349324027218,-96.637538270528793", "🔗 Ver Mapa")</f>
        <v>🔗 Ver Mapa</v>
      </c>
    </row>
    <row r="9452" spans="1:12" ht="43.5" x14ac:dyDescent="0.35">
      <c r="A9452" s="6" t="s">
        <v>98</v>
      </c>
      <c r="B9452" s="6" t="s">
        <v>99</v>
      </c>
      <c r="C9452" s="6" t="s">
        <v>1598</v>
      </c>
      <c r="D9452" s="6" t="s">
        <v>14</v>
      </c>
      <c r="E9452" s="6" t="s">
        <v>17</v>
      </c>
      <c r="F9452" s="6" t="s">
        <v>20</v>
      </c>
      <c r="G9452" s="6" t="s">
        <v>1320</v>
      </c>
      <c r="H9452" s="6" t="s">
        <v>1599</v>
      </c>
      <c r="I9452" s="6" t="s">
        <v>31</v>
      </c>
      <c r="J9452" s="6">
        <v>15.828699</v>
      </c>
      <c r="K9452" s="6">
        <v>-96.618988000000002</v>
      </c>
      <c r="L9452" s="6" t="str">
        <f>HYPERLINK("https://maps.google.com/?q=15.828699,-96.618988000000002", "🔗 Ver Mapa")</f>
        <v>🔗 Ver Mapa</v>
      </c>
    </row>
    <row r="9453" spans="1:12" ht="43.5" x14ac:dyDescent="0.35">
      <c r="A9453" s="5" t="s">
        <v>98</v>
      </c>
      <c r="B9453" s="5" t="s">
        <v>99</v>
      </c>
      <c r="C9453" s="5" t="s">
        <v>1598</v>
      </c>
      <c r="D9453" s="5" t="s">
        <v>14</v>
      </c>
      <c r="E9453" s="5" t="s">
        <v>17</v>
      </c>
      <c r="F9453" s="5" t="s">
        <v>20</v>
      </c>
      <c r="G9453" s="5" t="s">
        <v>1320</v>
      </c>
      <c r="H9453" s="5" t="s">
        <v>1599</v>
      </c>
      <c r="I9453" s="5" t="s">
        <v>31</v>
      </c>
      <c r="J9453" s="5">
        <v>15.829680881725</v>
      </c>
      <c r="K9453" s="5">
        <v>-96.618041180218995</v>
      </c>
      <c r="L9453" s="5" t="str">
        <f>HYPERLINK("https://maps.google.com/?q=15.8296808817254,-96.618041180218896", "🔗 Ver Mapa")</f>
        <v>🔗 Ver Mapa</v>
      </c>
    </row>
    <row r="9454" spans="1:12" ht="43.5" x14ac:dyDescent="0.35">
      <c r="A9454" s="6" t="s">
        <v>98</v>
      </c>
      <c r="B9454" s="6" t="s">
        <v>99</v>
      </c>
      <c r="C9454" s="6" t="s">
        <v>1598</v>
      </c>
      <c r="D9454" s="6" t="s">
        <v>14</v>
      </c>
      <c r="E9454" s="6" t="s">
        <v>17</v>
      </c>
      <c r="F9454" s="6" t="s">
        <v>20</v>
      </c>
      <c r="G9454" s="6" t="s">
        <v>1320</v>
      </c>
      <c r="H9454" s="6" t="s">
        <v>1599</v>
      </c>
      <c r="I9454" s="6" t="s">
        <v>31</v>
      </c>
      <c r="J9454" s="6">
        <v>15.830491970792</v>
      </c>
      <c r="K9454" s="6">
        <v>-96.618392542327996</v>
      </c>
      <c r="L9454" s="6" t="str">
        <f>HYPERLINK("https://maps.google.com/?q=15.8304919707919,-96.618392542327797", "🔗 Ver Mapa")</f>
        <v>🔗 Ver Mapa</v>
      </c>
    </row>
    <row r="9455" spans="1:12" ht="43.5" x14ac:dyDescent="0.35">
      <c r="A9455" s="5" t="s">
        <v>98</v>
      </c>
      <c r="B9455" s="5" t="s">
        <v>99</v>
      </c>
      <c r="C9455" s="5" t="s">
        <v>1598</v>
      </c>
      <c r="D9455" s="5" t="s">
        <v>14</v>
      </c>
      <c r="E9455" s="5" t="s">
        <v>17</v>
      </c>
      <c r="F9455" s="5" t="s">
        <v>20</v>
      </c>
      <c r="G9455" s="5" t="s">
        <v>1320</v>
      </c>
      <c r="H9455" s="5" t="s">
        <v>1599</v>
      </c>
      <c r="I9455" s="5" t="s">
        <v>31</v>
      </c>
      <c r="J9455" s="5">
        <v>15.830606490503</v>
      </c>
      <c r="K9455" s="5">
        <v>-96.618408772981994</v>
      </c>
      <c r="L9455" s="5" t="str">
        <f>HYPERLINK("https://maps.google.com/?q=15.8306064905025,-96.618408772981695", "🔗 Ver Mapa")</f>
        <v>🔗 Ver Mapa</v>
      </c>
    </row>
    <row r="9456" spans="1:12" ht="43.5" x14ac:dyDescent="0.35">
      <c r="A9456" s="6" t="s">
        <v>98</v>
      </c>
      <c r="B9456" s="6" t="s">
        <v>99</v>
      </c>
      <c r="C9456" s="6" t="s">
        <v>1598</v>
      </c>
      <c r="D9456" s="6" t="s">
        <v>14</v>
      </c>
      <c r="E9456" s="6" t="s">
        <v>17</v>
      </c>
      <c r="F9456" s="6" t="s">
        <v>20</v>
      </c>
      <c r="G9456" s="6" t="s">
        <v>1320</v>
      </c>
      <c r="H9456" s="6" t="s">
        <v>1599</v>
      </c>
      <c r="I9456" s="6" t="s">
        <v>31</v>
      </c>
      <c r="J9456" s="6">
        <v>15.830671000000001</v>
      </c>
      <c r="K9456" s="6">
        <v>-96.618562999999995</v>
      </c>
      <c r="L9456" s="6" t="str">
        <f>HYPERLINK("https://maps.google.com/?q=15.830671,-96.618562999999995", "🔗 Ver Mapa")</f>
        <v>🔗 Ver Mapa</v>
      </c>
    </row>
    <row r="9457" spans="1:12" ht="43.5" x14ac:dyDescent="0.35">
      <c r="A9457" s="5" t="s">
        <v>98</v>
      </c>
      <c r="B9457" s="5" t="s">
        <v>99</v>
      </c>
      <c r="C9457" s="5" t="s">
        <v>1598</v>
      </c>
      <c r="D9457" s="5" t="s">
        <v>14</v>
      </c>
      <c r="E9457" s="5" t="s">
        <v>17</v>
      </c>
      <c r="F9457" s="5" t="s">
        <v>20</v>
      </c>
      <c r="G9457" s="5" t="s">
        <v>1320</v>
      </c>
      <c r="H9457" s="5" t="s">
        <v>1599</v>
      </c>
      <c r="I9457" s="5" t="s">
        <v>31</v>
      </c>
      <c r="J9457" s="5">
        <v>15.831037</v>
      </c>
      <c r="K9457" s="5">
        <v>-96.618699000000007</v>
      </c>
      <c r="L9457" s="5" t="str">
        <f>HYPERLINK("https://maps.google.com/?q=15.831037,-96.618699000000007", "🔗 Ver Mapa")</f>
        <v>🔗 Ver Mapa</v>
      </c>
    </row>
    <row r="9458" spans="1:12" ht="43.5" x14ac:dyDescent="0.35">
      <c r="A9458" s="6" t="s">
        <v>98</v>
      </c>
      <c r="B9458" s="6" t="s">
        <v>99</v>
      </c>
      <c r="C9458" s="6" t="s">
        <v>1598</v>
      </c>
      <c r="D9458" s="6" t="s">
        <v>14</v>
      </c>
      <c r="E9458" s="6" t="s">
        <v>17</v>
      </c>
      <c r="F9458" s="6" t="s">
        <v>20</v>
      </c>
      <c r="G9458" s="6" t="s">
        <v>1320</v>
      </c>
      <c r="H9458" s="6" t="s">
        <v>1599</v>
      </c>
      <c r="I9458" s="6" t="s">
        <v>31</v>
      </c>
      <c r="J9458" s="6">
        <v>15.831561000000001</v>
      </c>
      <c r="K9458" s="6">
        <v>-96.616816</v>
      </c>
      <c r="L9458" s="6" t="str">
        <f>HYPERLINK("https://maps.google.com/?q=15.831561,-96.616816", "🔗 Ver Mapa")</f>
        <v>🔗 Ver Mapa</v>
      </c>
    </row>
    <row r="9459" spans="1:12" ht="58" x14ac:dyDescent="0.35">
      <c r="A9459" s="5" t="s">
        <v>98</v>
      </c>
      <c r="B9459" s="5" t="s">
        <v>99</v>
      </c>
      <c r="C9459" s="5" t="s">
        <v>1600</v>
      </c>
      <c r="D9459" s="5" t="s">
        <v>14</v>
      </c>
      <c r="E9459" s="5" t="s">
        <v>17</v>
      </c>
      <c r="F9459" s="5" t="s">
        <v>20</v>
      </c>
      <c r="G9459" s="5" t="s">
        <v>1320</v>
      </c>
      <c r="H9459" s="5" t="s">
        <v>1601</v>
      </c>
      <c r="I9459" s="5" t="s">
        <v>31</v>
      </c>
      <c r="J9459" s="5">
        <v>15.829636458474999</v>
      </c>
      <c r="K9459" s="5">
        <v>-96.666282580357006</v>
      </c>
      <c r="L9459" s="5" t="str">
        <f>HYPERLINK("https://maps.google.com/?q=15.8296364584749,-96.666282580356594", "🔗 Ver Mapa")</f>
        <v>🔗 Ver Mapa</v>
      </c>
    </row>
    <row r="9460" spans="1:12" ht="58" x14ac:dyDescent="0.35">
      <c r="A9460" s="6" t="s">
        <v>98</v>
      </c>
      <c r="B9460" s="6" t="s">
        <v>99</v>
      </c>
      <c r="C9460" s="6" t="s">
        <v>1600</v>
      </c>
      <c r="D9460" s="6" t="s">
        <v>14</v>
      </c>
      <c r="E9460" s="6" t="s">
        <v>17</v>
      </c>
      <c r="F9460" s="6" t="s">
        <v>20</v>
      </c>
      <c r="G9460" s="6" t="s">
        <v>1320</v>
      </c>
      <c r="H9460" s="6" t="s">
        <v>1601</v>
      </c>
      <c r="I9460" s="6" t="s">
        <v>31</v>
      </c>
      <c r="J9460" s="6">
        <v>15.831690029243999</v>
      </c>
      <c r="K9460" s="6">
        <v>-96.667113758599996</v>
      </c>
      <c r="L9460" s="6" t="str">
        <f>HYPERLINK("https://maps.google.com/?q=15.8316900292443,-96.667113758599797", "🔗 Ver Mapa")</f>
        <v>🔗 Ver Mapa</v>
      </c>
    </row>
    <row r="9461" spans="1:12" ht="58" x14ac:dyDescent="0.35">
      <c r="A9461" s="5" t="s">
        <v>98</v>
      </c>
      <c r="B9461" s="5" t="s">
        <v>99</v>
      </c>
      <c r="C9461" s="5" t="s">
        <v>1600</v>
      </c>
      <c r="D9461" s="5" t="s">
        <v>14</v>
      </c>
      <c r="E9461" s="5" t="s">
        <v>17</v>
      </c>
      <c r="F9461" s="5" t="s">
        <v>20</v>
      </c>
      <c r="G9461" s="5" t="s">
        <v>1320</v>
      </c>
      <c r="H9461" s="5" t="s">
        <v>1601</v>
      </c>
      <c r="I9461" s="5" t="s">
        <v>31</v>
      </c>
      <c r="J9461" s="5">
        <v>15.832017195012</v>
      </c>
      <c r="K9461" s="5">
        <v>-96.673637922788004</v>
      </c>
      <c r="L9461" s="5" t="str">
        <f>HYPERLINK("https://maps.google.com/?q=15.832017195012,-96.673637922788402", "🔗 Ver Mapa")</f>
        <v>🔗 Ver Mapa</v>
      </c>
    </row>
    <row r="9462" spans="1:12" ht="58" x14ac:dyDescent="0.35">
      <c r="A9462" s="6" t="s">
        <v>98</v>
      </c>
      <c r="B9462" s="6" t="s">
        <v>99</v>
      </c>
      <c r="C9462" s="6" t="s">
        <v>1600</v>
      </c>
      <c r="D9462" s="6" t="s">
        <v>14</v>
      </c>
      <c r="E9462" s="6" t="s">
        <v>17</v>
      </c>
      <c r="F9462" s="6" t="s">
        <v>20</v>
      </c>
      <c r="G9462" s="6" t="s">
        <v>1320</v>
      </c>
      <c r="H9462" s="6" t="s">
        <v>1601</v>
      </c>
      <c r="I9462" s="6" t="s">
        <v>31</v>
      </c>
      <c r="J9462" s="6">
        <v>15.83240022</v>
      </c>
      <c r="K9462" s="6">
        <v>-96.667123799999999</v>
      </c>
      <c r="L9462" s="6" t="str">
        <f>HYPERLINK("https://maps.google.com/?q=15.83240022,-96.667123799999999", "🔗 Ver Mapa")</f>
        <v>🔗 Ver Mapa</v>
      </c>
    </row>
    <row r="9463" spans="1:12" ht="58" x14ac:dyDescent="0.35">
      <c r="A9463" s="5" t="s">
        <v>98</v>
      </c>
      <c r="B9463" s="5" t="s">
        <v>99</v>
      </c>
      <c r="C9463" s="5" t="s">
        <v>1600</v>
      </c>
      <c r="D9463" s="5" t="s">
        <v>14</v>
      </c>
      <c r="E9463" s="5" t="s">
        <v>17</v>
      </c>
      <c r="F9463" s="5" t="s">
        <v>20</v>
      </c>
      <c r="G9463" s="5" t="s">
        <v>1320</v>
      </c>
      <c r="H9463" s="5" t="s">
        <v>1601</v>
      </c>
      <c r="I9463" s="5" t="s">
        <v>31</v>
      </c>
      <c r="J9463" s="5">
        <v>15.83266869661</v>
      </c>
      <c r="K9463" s="5">
        <v>-96.665920890530003</v>
      </c>
      <c r="L9463" s="5" t="str">
        <f>HYPERLINK("https://maps.google.com/?q=15.8326686966097,-96.665920890530103", "🔗 Ver Mapa")</f>
        <v>🔗 Ver Mapa</v>
      </c>
    </row>
    <row r="9464" spans="1:12" ht="58" x14ac:dyDescent="0.35">
      <c r="A9464" s="6" t="s">
        <v>98</v>
      </c>
      <c r="B9464" s="6" t="s">
        <v>99</v>
      </c>
      <c r="C9464" s="6" t="s">
        <v>1600</v>
      </c>
      <c r="D9464" s="6" t="s">
        <v>14</v>
      </c>
      <c r="E9464" s="6" t="s">
        <v>17</v>
      </c>
      <c r="F9464" s="6" t="s">
        <v>20</v>
      </c>
      <c r="G9464" s="6" t="s">
        <v>1320</v>
      </c>
      <c r="H9464" s="6" t="s">
        <v>1601</v>
      </c>
      <c r="I9464" s="6" t="s">
        <v>31</v>
      </c>
      <c r="J9464" s="6">
        <v>15.833282491806999</v>
      </c>
      <c r="K9464" s="6">
        <v>-96.666711104911002</v>
      </c>
      <c r="L9464" s="6" t="str">
        <f>HYPERLINK("https://maps.google.com/?q=15.8332824918072,-96.666711104910803", "🔗 Ver Mapa")</f>
        <v>🔗 Ver Mapa</v>
      </c>
    </row>
    <row r="9465" spans="1:12" ht="58" x14ac:dyDescent="0.35">
      <c r="A9465" s="5" t="s">
        <v>98</v>
      </c>
      <c r="B9465" s="5" t="s">
        <v>99</v>
      </c>
      <c r="C9465" s="5" t="s">
        <v>1600</v>
      </c>
      <c r="D9465" s="5" t="s">
        <v>14</v>
      </c>
      <c r="E9465" s="5" t="s">
        <v>17</v>
      </c>
      <c r="F9465" s="5" t="s">
        <v>20</v>
      </c>
      <c r="G9465" s="5" t="s">
        <v>1320</v>
      </c>
      <c r="H9465" s="5" t="s">
        <v>1601</v>
      </c>
      <c r="I9465" s="5" t="s">
        <v>31</v>
      </c>
      <c r="J9465" s="5">
        <v>15.833337999999999</v>
      </c>
      <c r="K9465" s="5">
        <v>-96.666402000000005</v>
      </c>
      <c r="L9465" s="5" t="str">
        <f>HYPERLINK("https://maps.google.com/?q=15.833338,-96.666402000000005", "🔗 Ver Mapa")</f>
        <v>🔗 Ver Mapa</v>
      </c>
    </row>
    <row r="9466" spans="1:12" ht="58" x14ac:dyDescent="0.35">
      <c r="A9466" s="6" t="s">
        <v>98</v>
      </c>
      <c r="B9466" s="6" t="s">
        <v>99</v>
      </c>
      <c r="C9466" s="6" t="s">
        <v>1600</v>
      </c>
      <c r="D9466" s="6" t="s">
        <v>14</v>
      </c>
      <c r="E9466" s="6" t="s">
        <v>17</v>
      </c>
      <c r="F9466" s="6" t="s">
        <v>20</v>
      </c>
      <c r="G9466" s="6" t="s">
        <v>1320</v>
      </c>
      <c r="H9466" s="6" t="s">
        <v>1601</v>
      </c>
      <c r="I9466" s="6" t="s">
        <v>31</v>
      </c>
      <c r="J9466" s="6">
        <v>15.834752135232</v>
      </c>
      <c r="K9466" s="6">
        <v>-96.675385294476996</v>
      </c>
      <c r="L9466" s="6" t="str">
        <f>HYPERLINK("https://maps.google.com/?q=15.8347521352321,-96.675385294477394", "🔗 Ver Mapa")</f>
        <v>🔗 Ver Mapa</v>
      </c>
    </row>
    <row r="9467" spans="1:12" ht="58" x14ac:dyDescent="0.35">
      <c r="A9467" s="5" t="s">
        <v>98</v>
      </c>
      <c r="B9467" s="5" t="s">
        <v>99</v>
      </c>
      <c r="C9467" s="5" t="s">
        <v>1600</v>
      </c>
      <c r="D9467" s="5" t="s">
        <v>14</v>
      </c>
      <c r="E9467" s="5" t="s">
        <v>17</v>
      </c>
      <c r="F9467" s="5" t="s">
        <v>20</v>
      </c>
      <c r="G9467" s="5" t="s">
        <v>1320</v>
      </c>
      <c r="H9467" s="5" t="s">
        <v>1601</v>
      </c>
      <c r="I9467" s="5" t="s">
        <v>31</v>
      </c>
      <c r="J9467" s="5">
        <v>15.835977</v>
      </c>
      <c r="K9467" s="5">
        <v>-96.670471000000006</v>
      </c>
      <c r="L9467" s="5" t="str">
        <f>HYPERLINK("https://maps.google.com/?q=15.835977,-96.670471000000006", "🔗 Ver Mapa")</f>
        <v>🔗 Ver Mapa</v>
      </c>
    </row>
    <row r="9468" spans="1:12" ht="58" x14ac:dyDescent="0.35">
      <c r="A9468" s="6" t="s">
        <v>98</v>
      </c>
      <c r="B9468" s="6" t="s">
        <v>99</v>
      </c>
      <c r="C9468" s="6" t="s">
        <v>1600</v>
      </c>
      <c r="D9468" s="6" t="s">
        <v>14</v>
      </c>
      <c r="E9468" s="6" t="s">
        <v>17</v>
      </c>
      <c r="F9468" s="6" t="s">
        <v>20</v>
      </c>
      <c r="G9468" s="6" t="s">
        <v>1320</v>
      </c>
      <c r="H9468" s="6" t="s">
        <v>1601</v>
      </c>
      <c r="I9468" s="6" t="s">
        <v>31</v>
      </c>
      <c r="J9468" s="6">
        <v>15.836510000000001</v>
      </c>
      <c r="K9468" s="6">
        <v>-96.668997000000005</v>
      </c>
      <c r="L9468" s="6" t="str">
        <f>HYPERLINK("https://maps.google.com/?q=15.83651,-96.668997000000005", "🔗 Ver Mapa")</f>
        <v>🔗 Ver Mapa</v>
      </c>
    </row>
    <row r="9469" spans="1:12" ht="29" x14ac:dyDescent="0.35">
      <c r="A9469" s="5" t="s">
        <v>782</v>
      </c>
      <c r="B9469" s="5" t="s">
        <v>783</v>
      </c>
      <c r="C9469" s="5" t="s">
        <v>1602</v>
      </c>
      <c r="D9469" s="5" t="s">
        <v>785</v>
      </c>
      <c r="E9469" s="5" t="s">
        <v>52</v>
      </c>
      <c r="F9469" s="5" t="s">
        <v>70</v>
      </c>
      <c r="G9469" s="5" t="s">
        <v>71</v>
      </c>
      <c r="H9469" s="5" t="s">
        <v>72</v>
      </c>
      <c r="I9469" s="5" t="s">
        <v>31</v>
      </c>
      <c r="J9469" s="5">
        <v>17.08204826587</v>
      </c>
      <c r="K9469" s="5">
        <v>-96.718172701130001</v>
      </c>
      <c r="L9469" s="5" t="str">
        <f>HYPERLINK("https://maps.google.com/?q=17.082048265870238,-96.71817270113024", "🔗 Ver Mapa")</f>
        <v>🔗 Ver Mapa</v>
      </c>
    </row>
    <row r="9470" spans="1:12" ht="29" x14ac:dyDescent="0.35">
      <c r="A9470" s="6" t="s">
        <v>782</v>
      </c>
      <c r="B9470" s="6" t="s">
        <v>783</v>
      </c>
      <c r="C9470" s="6" t="s">
        <v>1603</v>
      </c>
      <c r="D9470" s="6" t="s">
        <v>785</v>
      </c>
      <c r="E9470" s="6" t="s">
        <v>140</v>
      </c>
      <c r="F9470" s="6" t="s">
        <v>141</v>
      </c>
      <c r="G9470" s="6" t="s">
        <v>187</v>
      </c>
      <c r="H9470" s="6" t="s">
        <v>188</v>
      </c>
      <c r="I9470" s="6" t="s">
        <v>31</v>
      </c>
      <c r="J9470" s="6">
        <v>18.087364556615999</v>
      </c>
      <c r="K9470" s="6">
        <v>-96.129449280033</v>
      </c>
      <c r="L9470" s="6" t="str">
        <f>HYPERLINK("https://maps.google.com/?q=18.087364556615903,-96.12944928003344", "🔗 Ver Mapa")</f>
        <v>🔗 Ver Mapa</v>
      </c>
    </row>
    <row r="9471" spans="1:12" ht="29" x14ac:dyDescent="0.35">
      <c r="A9471" s="5" t="s">
        <v>782</v>
      </c>
      <c r="B9471" s="5" t="s">
        <v>783</v>
      </c>
      <c r="C9471" s="5" t="s">
        <v>1604</v>
      </c>
      <c r="D9471" s="5" t="s">
        <v>785</v>
      </c>
      <c r="E9471" s="5" t="s">
        <v>158</v>
      </c>
      <c r="F9471" s="5" t="s">
        <v>166</v>
      </c>
      <c r="G9471" s="5" t="s">
        <v>1605</v>
      </c>
      <c r="H9471" s="5" t="s">
        <v>1606</v>
      </c>
      <c r="I9471" s="5" t="s">
        <v>31</v>
      </c>
      <c r="J9471" s="5">
        <v>15.989748710561001</v>
      </c>
      <c r="K9471" s="5">
        <v>-95.675452990047006</v>
      </c>
      <c r="L9471" s="5" t="str">
        <f>HYPERLINK("https://maps.google.com/?q=15.9897487105611,-95.6754529900471", "🔗 Ver Mapa")</f>
        <v>🔗 Ver Mapa</v>
      </c>
    </row>
    <row r="9472" spans="1:12" ht="58" x14ac:dyDescent="0.35">
      <c r="A9472" s="6" t="s">
        <v>73</v>
      </c>
      <c r="B9472" s="6" t="s">
        <v>74</v>
      </c>
      <c r="C9472" s="6" t="s">
        <v>1607</v>
      </c>
      <c r="D9472" s="6" t="s">
        <v>76</v>
      </c>
      <c r="E9472" s="6" t="s">
        <v>52</v>
      </c>
      <c r="F9472" s="6" t="s">
        <v>421</v>
      </c>
      <c r="G9472" s="6" t="s">
        <v>1608</v>
      </c>
      <c r="H9472" s="6" t="s">
        <v>1609</v>
      </c>
      <c r="I9472" s="6" t="s">
        <v>31</v>
      </c>
      <c r="J9472" s="6">
        <v>16.511544754069</v>
      </c>
      <c r="K9472" s="6">
        <v>-96.789273723036004</v>
      </c>
      <c r="L9472" s="6" t="str">
        <f>HYPERLINK("https://maps.google.com/?q=16.511544754069455,-96.78927372303649", "🔗 Ver Mapa")</f>
        <v>🔗 Ver Mapa</v>
      </c>
    </row>
    <row r="9473" spans="1:12" ht="43.5" x14ac:dyDescent="0.35">
      <c r="A9473" s="5" t="s">
        <v>321</v>
      </c>
      <c r="B9473" s="5" t="s">
        <v>322</v>
      </c>
      <c r="C9473" s="5" t="s">
        <v>1610</v>
      </c>
      <c r="D9473" s="5" t="s">
        <v>69</v>
      </c>
      <c r="E9473" s="5" t="s">
        <v>324</v>
      </c>
      <c r="F9473" s="5" t="s">
        <v>325</v>
      </c>
      <c r="G9473" s="5" t="s">
        <v>326</v>
      </c>
      <c r="H9473" s="5" t="s">
        <v>327</v>
      </c>
      <c r="I9473" s="5" t="s">
        <v>31</v>
      </c>
      <c r="J9473" s="5">
        <v>15.746143999999999</v>
      </c>
      <c r="K9473" s="5">
        <v>-96.465182999999996</v>
      </c>
      <c r="L9473" s="5" t="str">
        <f>HYPERLINK("https://maps.google.com/?q=15.746144,-96.465182999999996", "🔗 Ver Mapa")</f>
        <v>🔗 Ver Mapa</v>
      </c>
    </row>
    <row r="9474" spans="1:12" ht="43.5" x14ac:dyDescent="0.35">
      <c r="A9474" s="6" t="s">
        <v>321</v>
      </c>
      <c r="B9474" s="6" t="s">
        <v>322</v>
      </c>
      <c r="C9474" s="6" t="s">
        <v>1610</v>
      </c>
      <c r="D9474" s="6" t="s">
        <v>69</v>
      </c>
      <c r="E9474" s="6" t="s">
        <v>324</v>
      </c>
      <c r="F9474" s="6" t="s">
        <v>325</v>
      </c>
      <c r="G9474" s="6" t="s">
        <v>326</v>
      </c>
      <c r="H9474" s="6" t="s">
        <v>327</v>
      </c>
      <c r="I9474" s="6" t="s">
        <v>31</v>
      </c>
      <c r="J9474" s="6">
        <v>16.237075999999998</v>
      </c>
      <c r="K9474" s="6">
        <v>-97.292351999999994</v>
      </c>
      <c r="L9474" s="6" t="str">
        <f>HYPERLINK("https://maps.google.com/?q=16.237076,-97.292351999999994", "🔗 Ver Mapa")</f>
        <v>🔗 Ver Mapa</v>
      </c>
    </row>
    <row r="9475" spans="1:12" ht="43.5" x14ac:dyDescent="0.35">
      <c r="A9475" s="5" t="s">
        <v>321</v>
      </c>
      <c r="B9475" s="5" t="s">
        <v>322</v>
      </c>
      <c r="C9475" s="5" t="s">
        <v>1610</v>
      </c>
      <c r="D9475" s="5" t="s">
        <v>69</v>
      </c>
      <c r="E9475" s="5" t="s">
        <v>324</v>
      </c>
      <c r="F9475" s="5" t="s">
        <v>325</v>
      </c>
      <c r="G9475" s="5" t="s">
        <v>326</v>
      </c>
      <c r="H9475" s="5" t="s">
        <v>327</v>
      </c>
      <c r="I9475" s="5" t="s">
        <v>31</v>
      </c>
      <c r="J9475" s="5">
        <v>16.332014000000001</v>
      </c>
      <c r="K9475" s="5">
        <v>-95.231966</v>
      </c>
      <c r="L9475" s="5" t="str">
        <f>HYPERLINK("https://maps.google.com/?q=16.332014,-95.231966", "🔗 Ver Mapa")</f>
        <v>🔗 Ver Mapa</v>
      </c>
    </row>
    <row r="9476" spans="1:12" ht="43.5" x14ac:dyDescent="0.35">
      <c r="A9476" s="6" t="s">
        <v>321</v>
      </c>
      <c r="B9476" s="6" t="s">
        <v>322</v>
      </c>
      <c r="C9476" s="6" t="s">
        <v>1610</v>
      </c>
      <c r="D9476" s="6" t="s">
        <v>69</v>
      </c>
      <c r="E9476" s="6" t="s">
        <v>324</v>
      </c>
      <c r="F9476" s="6" t="s">
        <v>325</v>
      </c>
      <c r="G9476" s="6" t="s">
        <v>326</v>
      </c>
      <c r="H9476" s="6" t="s">
        <v>327</v>
      </c>
      <c r="I9476" s="6" t="s">
        <v>31</v>
      </c>
      <c r="J9476" s="6">
        <v>16.433347000000001</v>
      </c>
      <c r="K9476" s="6">
        <v>-95.021687</v>
      </c>
      <c r="L9476" s="6" t="str">
        <f>HYPERLINK("https://maps.google.com/?q=16.433347,-95.021687", "🔗 Ver Mapa")</f>
        <v>🔗 Ver Mapa</v>
      </c>
    </row>
    <row r="9477" spans="1:12" ht="43.5" x14ac:dyDescent="0.35">
      <c r="A9477" s="5" t="s">
        <v>321</v>
      </c>
      <c r="B9477" s="5" t="s">
        <v>322</v>
      </c>
      <c r="C9477" s="5" t="s">
        <v>1610</v>
      </c>
      <c r="D9477" s="5" t="s">
        <v>69</v>
      </c>
      <c r="E9477" s="5" t="s">
        <v>324</v>
      </c>
      <c r="F9477" s="5" t="s">
        <v>325</v>
      </c>
      <c r="G9477" s="5" t="s">
        <v>326</v>
      </c>
      <c r="H9477" s="5" t="s">
        <v>327</v>
      </c>
      <c r="I9477" s="5" t="s">
        <v>31</v>
      </c>
      <c r="J9477" s="5">
        <v>16.519807</v>
      </c>
      <c r="K9477" s="5">
        <v>-96.983885000000001</v>
      </c>
      <c r="L9477" s="5" t="str">
        <f>HYPERLINK("https://maps.google.com/?q=16.519807,-96.983885000000001", "🔗 Ver Mapa")</f>
        <v>🔗 Ver Mapa</v>
      </c>
    </row>
    <row r="9478" spans="1:12" ht="43.5" x14ac:dyDescent="0.35">
      <c r="A9478" s="6" t="s">
        <v>321</v>
      </c>
      <c r="B9478" s="6" t="s">
        <v>322</v>
      </c>
      <c r="C9478" s="6" t="s">
        <v>1610</v>
      </c>
      <c r="D9478" s="6" t="s">
        <v>69</v>
      </c>
      <c r="E9478" s="6" t="s">
        <v>324</v>
      </c>
      <c r="F9478" s="6" t="s">
        <v>325</v>
      </c>
      <c r="G9478" s="6" t="s">
        <v>326</v>
      </c>
      <c r="H9478" s="6" t="s">
        <v>327</v>
      </c>
      <c r="I9478" s="6" t="s">
        <v>31</v>
      </c>
      <c r="J9478" s="6">
        <v>16.564243999999999</v>
      </c>
      <c r="K9478" s="6">
        <v>-96.731829000000005</v>
      </c>
      <c r="L9478" s="6" t="str">
        <f>HYPERLINK("https://maps.google.com/?q=16.564244,-96.731829000000005", "🔗 Ver Mapa")</f>
        <v>🔗 Ver Mapa</v>
      </c>
    </row>
    <row r="9479" spans="1:12" ht="43.5" x14ac:dyDescent="0.35">
      <c r="A9479" s="5" t="s">
        <v>321</v>
      </c>
      <c r="B9479" s="5" t="s">
        <v>322</v>
      </c>
      <c r="C9479" s="5" t="s">
        <v>1610</v>
      </c>
      <c r="D9479" s="5" t="s">
        <v>69</v>
      </c>
      <c r="E9479" s="5" t="s">
        <v>324</v>
      </c>
      <c r="F9479" s="5" t="s">
        <v>325</v>
      </c>
      <c r="G9479" s="5" t="s">
        <v>326</v>
      </c>
      <c r="H9479" s="5" t="s">
        <v>327</v>
      </c>
      <c r="I9479" s="5" t="s">
        <v>31</v>
      </c>
      <c r="J9479" s="5">
        <v>16.866371000000001</v>
      </c>
      <c r="K9479" s="5">
        <v>-96.785623000000001</v>
      </c>
      <c r="L9479" s="5" t="str">
        <f>HYPERLINK("https://maps.google.com/?q=16.866371,-96.785623000000001", "🔗 Ver Mapa")</f>
        <v>🔗 Ver Mapa</v>
      </c>
    </row>
    <row r="9480" spans="1:12" ht="43.5" x14ac:dyDescent="0.35">
      <c r="A9480" s="6" t="s">
        <v>321</v>
      </c>
      <c r="B9480" s="6" t="s">
        <v>322</v>
      </c>
      <c r="C9480" s="6" t="s">
        <v>1610</v>
      </c>
      <c r="D9480" s="6" t="s">
        <v>69</v>
      </c>
      <c r="E9480" s="6" t="s">
        <v>324</v>
      </c>
      <c r="F9480" s="6" t="s">
        <v>325</v>
      </c>
      <c r="G9480" s="6" t="s">
        <v>326</v>
      </c>
      <c r="H9480" s="6" t="s">
        <v>327</v>
      </c>
      <c r="I9480" s="6" t="s">
        <v>31</v>
      </c>
      <c r="J9480" s="6">
        <v>16.955580000000001</v>
      </c>
      <c r="K9480" s="6">
        <v>-96.479206000000005</v>
      </c>
      <c r="L9480" s="6" t="str">
        <f>HYPERLINK("https://maps.google.com/?q=16.95558,-96.479206000000005", "🔗 Ver Mapa")</f>
        <v>🔗 Ver Mapa</v>
      </c>
    </row>
    <row r="9481" spans="1:12" ht="43.5" x14ac:dyDescent="0.35">
      <c r="A9481" s="5" t="s">
        <v>321</v>
      </c>
      <c r="B9481" s="5" t="s">
        <v>322</v>
      </c>
      <c r="C9481" s="5" t="s">
        <v>1610</v>
      </c>
      <c r="D9481" s="5" t="s">
        <v>69</v>
      </c>
      <c r="E9481" s="5" t="s">
        <v>324</v>
      </c>
      <c r="F9481" s="5" t="s">
        <v>325</v>
      </c>
      <c r="G9481" s="5" t="s">
        <v>326</v>
      </c>
      <c r="H9481" s="5" t="s">
        <v>327</v>
      </c>
      <c r="I9481" s="5" t="s">
        <v>31</v>
      </c>
      <c r="J9481" s="5">
        <v>17.026216000000002</v>
      </c>
      <c r="K9481" s="5">
        <v>-97.928115000000005</v>
      </c>
      <c r="L9481" s="5" t="str">
        <f>HYPERLINK("https://maps.google.com/?q=17.026216,-97.928115000000005", "🔗 Ver Mapa")</f>
        <v>🔗 Ver Mapa</v>
      </c>
    </row>
    <row r="9482" spans="1:12" ht="43.5" x14ac:dyDescent="0.35">
      <c r="A9482" s="6" t="s">
        <v>321</v>
      </c>
      <c r="B9482" s="6" t="s">
        <v>322</v>
      </c>
      <c r="C9482" s="6" t="s">
        <v>1610</v>
      </c>
      <c r="D9482" s="6" t="s">
        <v>69</v>
      </c>
      <c r="E9482" s="6" t="s">
        <v>324</v>
      </c>
      <c r="F9482" s="6" t="s">
        <v>325</v>
      </c>
      <c r="G9482" s="6" t="s">
        <v>326</v>
      </c>
      <c r="H9482" s="6" t="s">
        <v>327</v>
      </c>
      <c r="I9482" s="6" t="s">
        <v>31</v>
      </c>
      <c r="J9482" s="6">
        <v>17.063777999999999</v>
      </c>
      <c r="K9482" s="6">
        <v>-96.729971000000006</v>
      </c>
      <c r="L9482" s="6" t="str">
        <f>HYPERLINK("https://maps.google.com/?q=17.063778,-96.729971000000006", "🔗 Ver Mapa")</f>
        <v>🔗 Ver Mapa</v>
      </c>
    </row>
    <row r="9483" spans="1:12" ht="43.5" x14ac:dyDescent="0.35">
      <c r="A9483" s="5" t="s">
        <v>321</v>
      </c>
      <c r="B9483" s="5" t="s">
        <v>322</v>
      </c>
      <c r="C9483" s="5" t="s">
        <v>1610</v>
      </c>
      <c r="D9483" s="5" t="s">
        <v>69</v>
      </c>
      <c r="E9483" s="5" t="s">
        <v>324</v>
      </c>
      <c r="F9483" s="5" t="s">
        <v>325</v>
      </c>
      <c r="G9483" s="5" t="s">
        <v>326</v>
      </c>
      <c r="H9483" s="5" t="s">
        <v>327</v>
      </c>
      <c r="I9483" s="5" t="s">
        <v>31</v>
      </c>
      <c r="J9483" s="5">
        <v>17.267448999999999</v>
      </c>
      <c r="K9483" s="5">
        <v>-97.680485000000004</v>
      </c>
      <c r="L9483" s="5" t="str">
        <f>HYPERLINK("https://maps.google.com/?q=17.267449,-97.680485000000004", "🔗 Ver Mapa")</f>
        <v>🔗 Ver Mapa</v>
      </c>
    </row>
    <row r="9484" spans="1:12" ht="43.5" x14ac:dyDescent="0.35">
      <c r="A9484" s="6" t="s">
        <v>321</v>
      </c>
      <c r="B9484" s="6" t="s">
        <v>322</v>
      </c>
      <c r="C9484" s="6" t="s">
        <v>1610</v>
      </c>
      <c r="D9484" s="6" t="s">
        <v>69</v>
      </c>
      <c r="E9484" s="6" t="s">
        <v>324</v>
      </c>
      <c r="F9484" s="6" t="s">
        <v>325</v>
      </c>
      <c r="G9484" s="6" t="s">
        <v>326</v>
      </c>
      <c r="H9484" s="6" t="s">
        <v>327</v>
      </c>
      <c r="I9484" s="6" t="s">
        <v>31</v>
      </c>
      <c r="J9484" s="6">
        <v>17.331247999999999</v>
      </c>
      <c r="K9484" s="6">
        <v>-96.487900999999994</v>
      </c>
      <c r="L9484" s="6" t="str">
        <f>HYPERLINK("https://maps.google.com/?q=17.331248,-96.487900999999994", "🔗 Ver Mapa")</f>
        <v>🔗 Ver Mapa</v>
      </c>
    </row>
    <row r="9485" spans="1:12" ht="43.5" x14ac:dyDescent="0.35">
      <c r="A9485" s="5" t="s">
        <v>321</v>
      </c>
      <c r="B9485" s="5" t="s">
        <v>322</v>
      </c>
      <c r="C9485" s="5" t="s">
        <v>1610</v>
      </c>
      <c r="D9485" s="5" t="s">
        <v>69</v>
      </c>
      <c r="E9485" s="5" t="s">
        <v>324</v>
      </c>
      <c r="F9485" s="5" t="s">
        <v>325</v>
      </c>
      <c r="G9485" s="5" t="s">
        <v>326</v>
      </c>
      <c r="H9485" s="5" t="s">
        <v>327</v>
      </c>
      <c r="I9485" s="5" t="s">
        <v>31</v>
      </c>
      <c r="J9485" s="5">
        <v>17.335315999999999</v>
      </c>
      <c r="K9485" s="5">
        <v>-98.012051</v>
      </c>
      <c r="L9485" s="5" t="str">
        <f>HYPERLINK("https://maps.google.com/?q=17.335316,-98.012051", "🔗 Ver Mapa")</f>
        <v>🔗 Ver Mapa</v>
      </c>
    </row>
    <row r="9486" spans="1:12" ht="43.5" x14ac:dyDescent="0.35">
      <c r="A9486" s="6" t="s">
        <v>321</v>
      </c>
      <c r="B9486" s="6" t="s">
        <v>322</v>
      </c>
      <c r="C9486" s="6" t="s">
        <v>1610</v>
      </c>
      <c r="D9486" s="6" t="s">
        <v>69</v>
      </c>
      <c r="E9486" s="6" t="s">
        <v>324</v>
      </c>
      <c r="F9486" s="6" t="s">
        <v>325</v>
      </c>
      <c r="G9486" s="6" t="s">
        <v>326</v>
      </c>
      <c r="H9486" s="6" t="s">
        <v>327</v>
      </c>
      <c r="I9486" s="6" t="s">
        <v>31</v>
      </c>
      <c r="J9486" s="6">
        <v>17.458341000000001</v>
      </c>
      <c r="K9486" s="6">
        <v>-97.225285</v>
      </c>
      <c r="L9486" s="6" t="str">
        <f>HYPERLINK("https://maps.google.com/?q=17.458341,-97.225285", "🔗 Ver Mapa")</f>
        <v>🔗 Ver Mapa</v>
      </c>
    </row>
    <row r="9487" spans="1:12" ht="43.5" x14ac:dyDescent="0.35">
      <c r="A9487" s="5" t="s">
        <v>321</v>
      </c>
      <c r="B9487" s="5" t="s">
        <v>322</v>
      </c>
      <c r="C9487" s="5" t="s">
        <v>1610</v>
      </c>
      <c r="D9487" s="5" t="s">
        <v>69</v>
      </c>
      <c r="E9487" s="5" t="s">
        <v>324</v>
      </c>
      <c r="F9487" s="5" t="s">
        <v>325</v>
      </c>
      <c r="G9487" s="5" t="s">
        <v>326</v>
      </c>
      <c r="H9487" s="5" t="s">
        <v>327</v>
      </c>
      <c r="I9487" s="5" t="s">
        <v>31</v>
      </c>
      <c r="J9487" s="5">
        <v>17.806621</v>
      </c>
      <c r="K9487" s="5">
        <v>-97.776161999999999</v>
      </c>
      <c r="L9487" s="5" t="str">
        <f>HYPERLINK("https://maps.google.com/?q=17.806621,-97.776161999999999", "🔗 Ver Mapa")</f>
        <v>🔗 Ver Mapa</v>
      </c>
    </row>
    <row r="9488" spans="1:12" ht="43.5" x14ac:dyDescent="0.35">
      <c r="A9488" s="6" t="s">
        <v>321</v>
      </c>
      <c r="B9488" s="6" t="s">
        <v>322</v>
      </c>
      <c r="C9488" s="6" t="s">
        <v>1610</v>
      </c>
      <c r="D9488" s="6" t="s">
        <v>69</v>
      </c>
      <c r="E9488" s="6" t="s">
        <v>324</v>
      </c>
      <c r="F9488" s="6" t="s">
        <v>325</v>
      </c>
      <c r="G9488" s="6" t="s">
        <v>326</v>
      </c>
      <c r="H9488" s="6" t="s">
        <v>327</v>
      </c>
      <c r="I9488" s="6" t="s">
        <v>31</v>
      </c>
      <c r="J9488" s="6">
        <v>18.081168999999999</v>
      </c>
      <c r="K9488" s="6">
        <v>-96.118475000000004</v>
      </c>
      <c r="L9488" s="6" t="str">
        <f>HYPERLINK("https://maps.google.com/?q=18.081169,-96.118475000000004", "🔗 Ver Mapa")</f>
        <v>🔗 Ver Mapa</v>
      </c>
    </row>
    <row r="9489" spans="1:12" ht="43.5" x14ac:dyDescent="0.35">
      <c r="A9489" s="5" t="s">
        <v>321</v>
      </c>
      <c r="B9489" s="5" t="s">
        <v>322</v>
      </c>
      <c r="C9489" s="5" t="s">
        <v>1610</v>
      </c>
      <c r="D9489" s="5" t="s">
        <v>69</v>
      </c>
      <c r="E9489" s="5" t="s">
        <v>324</v>
      </c>
      <c r="F9489" s="5" t="s">
        <v>325</v>
      </c>
      <c r="G9489" s="5" t="s">
        <v>326</v>
      </c>
      <c r="H9489" s="5" t="s">
        <v>327</v>
      </c>
      <c r="I9489" s="5" t="s">
        <v>31</v>
      </c>
      <c r="J9489" s="5">
        <v>18.13222</v>
      </c>
      <c r="K9489" s="5">
        <v>-97.070751000000001</v>
      </c>
      <c r="L9489" s="5" t="str">
        <f>HYPERLINK("https://maps.google.com/?q=18.13222,-97.070751000000001", "🔗 Ver Mapa")</f>
        <v>🔗 Ver Mapa</v>
      </c>
    </row>
    <row r="9490" spans="1:12" ht="43.5" x14ac:dyDescent="0.35">
      <c r="A9490" s="6" t="s">
        <v>321</v>
      </c>
      <c r="B9490" s="6" t="s">
        <v>322</v>
      </c>
      <c r="C9490" s="6" t="s">
        <v>1611</v>
      </c>
      <c r="D9490" s="6" t="s">
        <v>69</v>
      </c>
      <c r="E9490" s="6" t="s">
        <v>52</v>
      </c>
      <c r="F9490" s="6" t="s">
        <v>70</v>
      </c>
      <c r="G9490" s="6" t="s">
        <v>71</v>
      </c>
      <c r="H9490" s="6" t="s">
        <v>72</v>
      </c>
      <c r="I9490" s="6" t="s">
        <v>31</v>
      </c>
      <c r="J9490" s="6">
        <v>17.048821799801001</v>
      </c>
      <c r="K9490" s="6">
        <v>-96.727758313297997</v>
      </c>
      <c r="L9490" s="6" t="str">
        <f>HYPERLINK("https://maps.google.com/?q=17.04882179980103,-96.72775831329831", "🔗 Ver Mapa")</f>
        <v>🔗 Ver Mapa</v>
      </c>
    </row>
    <row r="9491" spans="1:12" ht="29" x14ac:dyDescent="0.35">
      <c r="A9491" s="5" t="s">
        <v>282</v>
      </c>
      <c r="B9491" s="5" t="s">
        <v>283</v>
      </c>
      <c r="C9491" s="5" t="s">
        <v>1612</v>
      </c>
      <c r="D9491" s="5" t="s">
        <v>76</v>
      </c>
      <c r="E9491" s="5" t="s">
        <v>52</v>
      </c>
      <c r="F9491" s="5" t="s">
        <v>70</v>
      </c>
      <c r="G9491" s="5" t="s">
        <v>71</v>
      </c>
      <c r="H9491" s="5" t="s">
        <v>72</v>
      </c>
      <c r="I9491" s="5" t="s">
        <v>31</v>
      </c>
      <c r="J9491" s="5">
        <v>17.055499999999999</v>
      </c>
      <c r="K9491" s="5">
        <v>-96.725629999999995</v>
      </c>
      <c r="L9491" s="5" t="str">
        <f>HYPERLINK("https://maps.google.com/?q=17.0555,-96.72563", "🔗 Ver Mapa")</f>
        <v>🔗 Ver Mapa</v>
      </c>
    </row>
    <row r="9492" spans="1:12" ht="29" x14ac:dyDescent="0.35">
      <c r="A9492" s="6" t="s">
        <v>282</v>
      </c>
      <c r="B9492" s="6" t="s">
        <v>283</v>
      </c>
      <c r="C9492" s="6" t="s">
        <v>1613</v>
      </c>
      <c r="D9492" s="6" t="s">
        <v>76</v>
      </c>
      <c r="E9492" s="6" t="s">
        <v>158</v>
      </c>
      <c r="F9492" s="6" t="s">
        <v>166</v>
      </c>
      <c r="G9492" s="6" t="s">
        <v>167</v>
      </c>
      <c r="H9492" s="6" t="s">
        <v>168</v>
      </c>
      <c r="I9492" s="6" t="s">
        <v>31</v>
      </c>
      <c r="J9492" s="6">
        <v>16.330629999999999</v>
      </c>
      <c r="K9492" s="6">
        <v>-95.231390000000005</v>
      </c>
      <c r="L9492" s="6" t="str">
        <f>HYPERLINK("https://maps.google.com/?q=16.33063,-95.23139", "🔗 Ver Mapa")</f>
        <v>🔗 Ver Mapa</v>
      </c>
    </row>
    <row r="9493" spans="1:12" ht="58" x14ac:dyDescent="0.35">
      <c r="A9493" s="5" t="s">
        <v>73</v>
      </c>
      <c r="B9493" s="5" t="s">
        <v>74</v>
      </c>
      <c r="C9493" s="5" t="s">
        <v>1614</v>
      </c>
      <c r="D9493" s="5" t="s">
        <v>76</v>
      </c>
      <c r="E9493" s="5" t="s">
        <v>90</v>
      </c>
      <c r="F9493" s="5" t="s">
        <v>119</v>
      </c>
      <c r="G9493" s="5" t="s">
        <v>350</v>
      </c>
      <c r="H9493" s="5" t="s">
        <v>351</v>
      </c>
      <c r="I9493" s="5" t="s">
        <v>31</v>
      </c>
      <c r="J9493" s="5">
        <v>17.320035560836001</v>
      </c>
      <c r="K9493" s="5">
        <v>-96.494896852105995</v>
      </c>
      <c r="L9493" s="5" t="str">
        <f>HYPERLINK("https://maps.google.com/?q=17.320035560836192,-96.49489685210582", "🔗 Ver Mapa")</f>
        <v>🔗 Ver Mapa</v>
      </c>
    </row>
    <row r="9494" spans="1:12" ht="43.5" x14ac:dyDescent="0.35">
      <c r="A9494" s="6" t="s">
        <v>1615</v>
      </c>
      <c r="B9494" s="6" t="s">
        <v>1616</v>
      </c>
      <c r="C9494" s="6" t="s">
        <v>1617</v>
      </c>
      <c r="D9494" s="6" t="s">
        <v>82</v>
      </c>
      <c r="E9494" s="6" t="s">
        <v>52</v>
      </c>
      <c r="F9494" s="6" t="s">
        <v>443</v>
      </c>
      <c r="G9494" s="6" t="s">
        <v>1618</v>
      </c>
      <c r="H9494" s="6" t="s">
        <v>1619</v>
      </c>
      <c r="I9494" s="6" t="s">
        <v>31</v>
      </c>
      <c r="J9494" s="6">
        <v>16.777975000000001</v>
      </c>
      <c r="K9494" s="6">
        <v>-96.959224000000006</v>
      </c>
      <c r="L9494" s="6" t="str">
        <f>HYPERLINK("https://maps.google.com/?q=16.777975,-96.959224", "🔗 Ver Mapa")</f>
        <v>🔗 Ver Mapa</v>
      </c>
    </row>
    <row r="9495" spans="1:12" ht="43.5" x14ac:dyDescent="0.35">
      <c r="A9495" s="5" t="s">
        <v>1615</v>
      </c>
      <c r="B9495" s="5" t="s">
        <v>1616</v>
      </c>
      <c r="C9495" s="5" t="s">
        <v>1620</v>
      </c>
      <c r="D9495" s="5" t="s">
        <v>82</v>
      </c>
      <c r="E9495" s="5" t="s">
        <v>52</v>
      </c>
      <c r="F9495" s="5" t="s">
        <v>443</v>
      </c>
      <c r="G9495" s="5" t="s">
        <v>1618</v>
      </c>
      <c r="H9495" s="5" t="s">
        <v>1619</v>
      </c>
      <c r="I9495" s="5" t="s">
        <v>31</v>
      </c>
      <c r="J9495" s="5">
        <v>16.777975000000001</v>
      </c>
      <c r="K9495" s="5">
        <v>-96.959224000000006</v>
      </c>
      <c r="L9495" s="5" t="str">
        <f>HYPERLINK("https://maps.google.com/?q=16.777975,-96.959224", "🔗 Ver Mapa")</f>
        <v>🔗 Ver Mapa</v>
      </c>
    </row>
    <row r="9496" spans="1:12" ht="29" x14ac:dyDescent="0.35">
      <c r="A9496" s="6" t="s">
        <v>782</v>
      </c>
      <c r="B9496" s="6" t="s">
        <v>783</v>
      </c>
      <c r="C9496" s="6" t="s">
        <v>1621</v>
      </c>
      <c r="D9496" s="6" t="s">
        <v>785</v>
      </c>
      <c r="E9496" s="6" t="s">
        <v>140</v>
      </c>
      <c r="F9496" s="6" t="s">
        <v>141</v>
      </c>
      <c r="G9496" s="6" t="s">
        <v>1622</v>
      </c>
      <c r="H9496" s="6" t="s">
        <v>1623</v>
      </c>
      <c r="I9496" s="6" t="s">
        <v>31</v>
      </c>
      <c r="J9496" s="6">
        <v>17.919149999999998</v>
      </c>
      <c r="K9496" s="6">
        <v>-96.437108300000006</v>
      </c>
      <c r="L9496" s="6" t="str">
        <f>HYPERLINK("https://maps.google.com/?q=17.91915,-96.4371083", "🔗 Ver Mapa")</f>
        <v>🔗 Ver Mapa</v>
      </c>
    </row>
    <row r="9497" spans="1:12" ht="29" x14ac:dyDescent="0.35">
      <c r="A9497" s="5" t="s">
        <v>344</v>
      </c>
      <c r="B9497" s="5" t="s">
        <v>345</v>
      </c>
      <c r="C9497" s="5" t="s">
        <v>1624</v>
      </c>
      <c r="D9497" s="5" t="s">
        <v>950</v>
      </c>
      <c r="E9497" s="5" t="s">
        <v>90</v>
      </c>
      <c r="F9497" s="5" t="s">
        <v>119</v>
      </c>
      <c r="G9497" s="5" t="s">
        <v>347</v>
      </c>
      <c r="H9497" s="5" t="s">
        <v>348</v>
      </c>
      <c r="I9497" s="5" t="s">
        <v>31</v>
      </c>
      <c r="J9497" s="5">
        <v>17.315704971995999</v>
      </c>
      <c r="K9497" s="5">
        <v>-96.483068992770995</v>
      </c>
      <c r="L9497" s="5" t="str">
        <f>HYPERLINK("https://maps.google.com/?q=17.315704971995554,-96.48306899277095", "🔗 Ver Mapa")</f>
        <v>🔗 Ver Mapa</v>
      </c>
    </row>
    <row r="9498" spans="1:12" ht="29" x14ac:dyDescent="0.35">
      <c r="A9498" s="6" t="s">
        <v>344</v>
      </c>
      <c r="B9498" s="6" t="s">
        <v>345</v>
      </c>
      <c r="C9498" s="6" t="s">
        <v>1625</v>
      </c>
      <c r="D9498" s="6" t="s">
        <v>950</v>
      </c>
      <c r="E9498" s="6" t="s">
        <v>90</v>
      </c>
      <c r="F9498" s="6" t="s">
        <v>119</v>
      </c>
      <c r="G9498" s="6" t="s">
        <v>347</v>
      </c>
      <c r="H9498" s="6" t="s">
        <v>348</v>
      </c>
      <c r="I9498" s="6" t="s">
        <v>31</v>
      </c>
      <c r="J9498" s="6">
        <v>17.317225351226</v>
      </c>
      <c r="K9498" s="6">
        <v>-96.483980943836002</v>
      </c>
      <c r="L9498" s="6" t="str">
        <f>HYPERLINK("https://maps.google.com/?q=17.317225351226146,-96.48398094383602", "🔗 Ver Mapa")</f>
        <v>🔗 Ver Mapa</v>
      </c>
    </row>
    <row r="9499" spans="1:12" ht="29" x14ac:dyDescent="0.35">
      <c r="A9499" s="5" t="s">
        <v>344</v>
      </c>
      <c r="B9499" s="5" t="s">
        <v>345</v>
      </c>
      <c r="C9499" s="5" t="s">
        <v>1626</v>
      </c>
      <c r="D9499" s="5" t="s">
        <v>950</v>
      </c>
      <c r="E9499" s="5" t="s">
        <v>90</v>
      </c>
      <c r="F9499" s="5" t="s">
        <v>119</v>
      </c>
      <c r="G9499" s="5" t="s">
        <v>347</v>
      </c>
      <c r="H9499" s="5" t="s">
        <v>348</v>
      </c>
      <c r="I9499" s="5" t="s">
        <v>31</v>
      </c>
      <c r="J9499" s="5">
        <v>17.316466763582</v>
      </c>
      <c r="K9499" s="5">
        <v>-96.483712722934996</v>
      </c>
      <c r="L9499" s="5" t="str">
        <f>HYPERLINK("https://maps.google.com/?q=17.316466763582362,-96.48371272293453", "🔗 Ver Mapa")</f>
        <v>🔗 Ver Mapa</v>
      </c>
    </row>
    <row r="9500" spans="1:12" ht="43.5" x14ac:dyDescent="0.35">
      <c r="A9500" s="6" t="s">
        <v>344</v>
      </c>
      <c r="B9500" s="6" t="s">
        <v>345</v>
      </c>
      <c r="C9500" s="6" t="s">
        <v>1627</v>
      </c>
      <c r="D9500" s="6" t="s">
        <v>76</v>
      </c>
      <c r="E9500" s="6" t="s">
        <v>90</v>
      </c>
      <c r="F9500" s="6" t="s">
        <v>119</v>
      </c>
      <c r="G9500" s="6" t="s">
        <v>347</v>
      </c>
      <c r="H9500" s="6" t="s">
        <v>348</v>
      </c>
      <c r="I9500" s="6" t="s">
        <v>31</v>
      </c>
      <c r="J9500" s="6">
        <v>17.315435937724999</v>
      </c>
      <c r="K9500" s="6">
        <v>-96.484636674943005</v>
      </c>
      <c r="L9500" s="6" t="str">
        <f>HYPERLINK("https://maps.google.com/?q=17.31543593772475,-96.48463667494343", "🔗 Ver Mapa")</f>
        <v>🔗 Ver Mapa</v>
      </c>
    </row>
    <row r="9501" spans="1:12" ht="43.5" x14ac:dyDescent="0.35">
      <c r="A9501" s="5" t="s">
        <v>344</v>
      </c>
      <c r="B9501" s="5" t="s">
        <v>345</v>
      </c>
      <c r="C9501" s="5" t="s">
        <v>1628</v>
      </c>
      <c r="D9501" s="5" t="s">
        <v>76</v>
      </c>
      <c r="E9501" s="5" t="s">
        <v>90</v>
      </c>
      <c r="F9501" s="5" t="s">
        <v>119</v>
      </c>
      <c r="G9501" s="5" t="s">
        <v>347</v>
      </c>
      <c r="H9501" s="5" t="s">
        <v>348</v>
      </c>
      <c r="I9501" s="5" t="s">
        <v>31</v>
      </c>
      <c r="J9501" s="5">
        <v>17.315448399581001</v>
      </c>
      <c r="K9501" s="5">
        <v>-96.484654165579002</v>
      </c>
      <c r="L9501" s="5" t="str">
        <f>HYPERLINK("https://maps.google.com/?q=17.315448399580774,-96.48465416557946", "🔗 Ver Mapa")</f>
        <v>🔗 Ver Mapa</v>
      </c>
    </row>
    <row r="9502" spans="1:12" ht="43.5" x14ac:dyDescent="0.35">
      <c r="A9502" s="6" t="s">
        <v>344</v>
      </c>
      <c r="B9502" s="6" t="s">
        <v>345</v>
      </c>
      <c r="C9502" s="6" t="s">
        <v>1629</v>
      </c>
      <c r="D9502" s="6" t="s">
        <v>58</v>
      </c>
      <c r="E9502" s="6" t="s">
        <v>90</v>
      </c>
      <c r="F9502" s="6" t="s">
        <v>119</v>
      </c>
      <c r="G9502" s="6" t="s">
        <v>347</v>
      </c>
      <c r="H9502" s="6" t="s">
        <v>348</v>
      </c>
      <c r="I9502" s="6" t="s">
        <v>31</v>
      </c>
      <c r="J9502" s="6">
        <v>17.317309660704002</v>
      </c>
      <c r="K9502" s="6">
        <v>-96.484599115592005</v>
      </c>
      <c r="L9502" s="6" t="str">
        <f>HYPERLINK("https://maps.google.com/?q=17.317309660703597,-96.48459911559165", "🔗 Ver Mapa")</f>
        <v>🔗 Ver Mapa</v>
      </c>
    </row>
    <row r="9503" spans="1:12" ht="72.5" x14ac:dyDescent="0.35">
      <c r="A9503" s="5" t="s">
        <v>1630</v>
      </c>
      <c r="B9503" s="5" t="s">
        <v>1631</v>
      </c>
      <c r="C9503" s="5" t="s">
        <v>1632</v>
      </c>
      <c r="D9503" s="5" t="s">
        <v>950</v>
      </c>
      <c r="E9503" s="5" t="s">
        <v>52</v>
      </c>
      <c r="F9503" s="5" t="s">
        <v>70</v>
      </c>
      <c r="G9503" s="5" t="s">
        <v>71</v>
      </c>
      <c r="H9503" s="5" t="s">
        <v>1633</v>
      </c>
      <c r="I9503" s="5" t="s">
        <v>31</v>
      </c>
      <c r="J9503" s="5">
        <v>17.126250795124001</v>
      </c>
      <c r="K9503" s="5">
        <v>-96.767706449982001</v>
      </c>
      <c r="L9503" s="5" t="str">
        <f>HYPERLINK("https://maps.google.com/?q=17.12625079512418,-96.7677064499824", "🔗 Ver Mapa")</f>
        <v>🔗 Ver Mapa</v>
      </c>
    </row>
    <row r="9504" spans="1:12" ht="43.5" x14ac:dyDescent="0.35">
      <c r="A9504" s="6" t="s">
        <v>73</v>
      </c>
      <c r="B9504" s="6" t="s">
        <v>74</v>
      </c>
      <c r="C9504" s="6" t="s">
        <v>1634</v>
      </c>
      <c r="D9504" s="6" t="s">
        <v>76</v>
      </c>
      <c r="E9504" s="6" t="s">
        <v>16</v>
      </c>
      <c r="F9504" s="6" t="s">
        <v>21</v>
      </c>
      <c r="G9504" s="6" t="s">
        <v>1635</v>
      </c>
      <c r="H9504" s="6" t="s">
        <v>1636</v>
      </c>
      <c r="I9504" s="6" t="s">
        <v>31</v>
      </c>
      <c r="J9504" s="6">
        <v>16.916353000000001</v>
      </c>
      <c r="K9504" s="6">
        <v>-97.521990000000002</v>
      </c>
      <c r="L9504" s="6" t="str">
        <f>HYPERLINK("https://maps.google.com/?q=16.916353,-97.521990", "🔗 Ver Mapa")</f>
        <v>🔗 Ver Mapa</v>
      </c>
    </row>
    <row r="9505" spans="1:12" ht="58" x14ac:dyDescent="0.35">
      <c r="A9505" s="5" t="s">
        <v>674</v>
      </c>
      <c r="B9505" s="5" t="s">
        <v>675</v>
      </c>
      <c r="C9505" s="5" t="s">
        <v>1637</v>
      </c>
      <c r="D9505" s="5" t="s">
        <v>677</v>
      </c>
      <c r="E9505" s="5" t="s">
        <v>52</v>
      </c>
      <c r="F9505" s="5" t="s">
        <v>70</v>
      </c>
      <c r="G9505" s="5" t="s">
        <v>123</v>
      </c>
      <c r="H9505" s="5" t="s">
        <v>307</v>
      </c>
      <c r="I9505" s="5" t="s">
        <v>31</v>
      </c>
      <c r="J9505" s="5">
        <v>17.001407</v>
      </c>
      <c r="K9505" s="5">
        <v>-96.716925000000003</v>
      </c>
      <c r="L9505" s="5" t="str">
        <f>HYPERLINK("https://maps.google.com/?q=17.001407,-96.716925", "🔗 Ver Mapa")</f>
        <v>🔗 Ver Mapa</v>
      </c>
    </row>
    <row r="9506" spans="1:12" ht="58" x14ac:dyDescent="0.35">
      <c r="A9506" s="6" t="s">
        <v>674</v>
      </c>
      <c r="B9506" s="6" t="s">
        <v>675</v>
      </c>
      <c r="C9506" s="6" t="s">
        <v>1637</v>
      </c>
      <c r="D9506" s="6" t="s">
        <v>677</v>
      </c>
      <c r="E9506" s="6" t="s">
        <v>52</v>
      </c>
      <c r="F9506" s="6" t="s">
        <v>70</v>
      </c>
      <c r="G9506" s="6" t="s">
        <v>123</v>
      </c>
      <c r="H9506" s="6" t="s">
        <v>307</v>
      </c>
      <c r="I9506" s="6" t="s">
        <v>31</v>
      </c>
      <c r="J9506" s="6">
        <v>17.014468999999998</v>
      </c>
      <c r="K9506" s="6">
        <v>-96.714291000000003</v>
      </c>
      <c r="L9506" s="6" t="str">
        <f>HYPERLINK("https://maps.google.com/?q=17.014469,-96.714291", "🔗 Ver Mapa")</f>
        <v>🔗 Ver Mapa</v>
      </c>
    </row>
    <row r="9507" spans="1:12" ht="58" x14ac:dyDescent="0.35">
      <c r="A9507" s="5" t="s">
        <v>674</v>
      </c>
      <c r="B9507" s="5" t="s">
        <v>675</v>
      </c>
      <c r="C9507" s="5" t="s">
        <v>1637</v>
      </c>
      <c r="D9507" s="5" t="s">
        <v>677</v>
      </c>
      <c r="E9507" s="5" t="s">
        <v>52</v>
      </c>
      <c r="F9507" s="5" t="s">
        <v>70</v>
      </c>
      <c r="G9507" s="5" t="s">
        <v>123</v>
      </c>
      <c r="H9507" s="5" t="s">
        <v>307</v>
      </c>
      <c r="I9507" s="5" t="s">
        <v>31</v>
      </c>
      <c r="J9507" s="5">
        <v>17.036760000000001</v>
      </c>
      <c r="K9507" s="5">
        <v>-96.727772000000002</v>
      </c>
      <c r="L9507" s="5" t="str">
        <f>HYPERLINK("https://maps.google.com/?q=17.03676,-96.727772", "🔗 Ver Mapa")</f>
        <v>🔗 Ver Mapa</v>
      </c>
    </row>
    <row r="9508" spans="1:12" ht="58" x14ac:dyDescent="0.35">
      <c r="A9508" s="6" t="s">
        <v>73</v>
      </c>
      <c r="B9508" s="6" t="s">
        <v>74</v>
      </c>
      <c r="C9508" s="6" t="s">
        <v>1638</v>
      </c>
      <c r="D9508" s="6" t="s">
        <v>76</v>
      </c>
      <c r="E9508" s="6" t="s">
        <v>90</v>
      </c>
      <c r="F9508" s="6" t="s">
        <v>119</v>
      </c>
      <c r="G9508" s="6" t="s">
        <v>350</v>
      </c>
      <c r="H9508" s="6" t="s">
        <v>351</v>
      </c>
      <c r="I9508" s="6" t="s">
        <v>31</v>
      </c>
      <c r="J9508" s="6">
        <v>17.316979990617</v>
      </c>
      <c r="K9508" s="6">
        <v>-96.493054148575993</v>
      </c>
      <c r="L9508" s="6" t="str">
        <f>HYPERLINK("https://maps.google.com/?q=17.316979990616545,-96.49305414857557", "🔗 Ver Mapa")</f>
        <v>🔗 Ver Mapa</v>
      </c>
    </row>
    <row r="9509" spans="1:12" ht="43.5" x14ac:dyDescent="0.35">
      <c r="A9509" s="5" t="s">
        <v>73</v>
      </c>
      <c r="B9509" s="5" t="s">
        <v>74</v>
      </c>
      <c r="C9509" s="5" t="s">
        <v>1639</v>
      </c>
      <c r="D9509" s="5" t="s">
        <v>76</v>
      </c>
      <c r="E9509" s="5" t="s">
        <v>52</v>
      </c>
      <c r="F9509" s="5" t="s">
        <v>83</v>
      </c>
      <c r="G9509" s="5" t="s">
        <v>1640</v>
      </c>
      <c r="H9509" s="5" t="s">
        <v>1641</v>
      </c>
      <c r="I9509" s="5" t="s">
        <v>31</v>
      </c>
      <c r="J9509" s="5">
        <v>17.246550434157001</v>
      </c>
      <c r="K9509" s="5">
        <v>-96.888716358574001</v>
      </c>
      <c r="L9509" s="5" t="str">
        <f>HYPERLINK("https://maps.google.com/?q=17.246550434157307,-96.88871635857369", "🔗 Ver Mapa")</f>
        <v>🔗 Ver Mapa</v>
      </c>
    </row>
    <row r="9510" spans="1:12" ht="43.5" x14ac:dyDescent="0.35">
      <c r="A9510" s="6" t="s">
        <v>73</v>
      </c>
      <c r="B9510" s="6" t="s">
        <v>74</v>
      </c>
      <c r="C9510" s="6" t="s">
        <v>1642</v>
      </c>
      <c r="D9510" s="6" t="s">
        <v>76</v>
      </c>
      <c r="E9510" s="6" t="s">
        <v>16</v>
      </c>
      <c r="F9510" s="6" t="s">
        <v>21</v>
      </c>
      <c r="G9510" s="6" t="s">
        <v>235</v>
      </c>
      <c r="H9510" s="6" t="s">
        <v>236</v>
      </c>
      <c r="I9510" s="6" t="s">
        <v>31</v>
      </c>
      <c r="J9510" s="6">
        <v>17.250637801164999</v>
      </c>
      <c r="K9510" s="6">
        <v>-97.693457644079004</v>
      </c>
      <c r="L9510" s="6" t="str">
        <f>HYPERLINK("https://maps.google.com/?q=17.250637801165333,-97.69345764407879", "🔗 Ver Mapa")</f>
        <v>🔗 Ver Mapa</v>
      </c>
    </row>
    <row r="9511" spans="1:12" ht="72.5" x14ac:dyDescent="0.35">
      <c r="A9511" s="5" t="s">
        <v>674</v>
      </c>
      <c r="B9511" s="5" t="s">
        <v>675</v>
      </c>
      <c r="C9511" s="5" t="s">
        <v>1643</v>
      </c>
      <c r="D9511" s="5" t="s">
        <v>677</v>
      </c>
      <c r="E9511" s="5" t="s">
        <v>52</v>
      </c>
      <c r="F9511" s="5" t="s">
        <v>53</v>
      </c>
      <c r="G9511" s="5" t="s">
        <v>974</v>
      </c>
      <c r="H9511" s="5" t="s">
        <v>975</v>
      </c>
      <c r="I9511" s="5" t="s">
        <v>31</v>
      </c>
      <c r="J9511" s="5">
        <v>16.899118999999999</v>
      </c>
      <c r="K9511" s="5" t="s">
        <v>1644</v>
      </c>
      <c r="L9511" s="5" t="str">
        <f>HYPERLINK("https://maps.google.com/?q=16.899119,-96.470527 ", "🔗 Ver Mapa")</f>
        <v>🔗 Ver Mapa</v>
      </c>
    </row>
    <row r="9512" spans="1:12" ht="72.5" x14ac:dyDescent="0.35">
      <c r="A9512" s="6" t="s">
        <v>674</v>
      </c>
      <c r="B9512" s="6" t="s">
        <v>675</v>
      </c>
      <c r="C9512" s="6" t="s">
        <v>1643</v>
      </c>
      <c r="D9512" s="6" t="s">
        <v>677</v>
      </c>
      <c r="E9512" s="6" t="s">
        <v>52</v>
      </c>
      <c r="F9512" s="6" t="s">
        <v>53</v>
      </c>
      <c r="G9512" s="6" t="s">
        <v>974</v>
      </c>
      <c r="H9512" s="6" t="s">
        <v>975</v>
      </c>
      <c r="I9512" s="6" t="s">
        <v>31</v>
      </c>
      <c r="J9512" s="6">
        <v>16.925042000000001</v>
      </c>
      <c r="K9512" s="6">
        <v>-96.467301000000006</v>
      </c>
      <c r="L9512" s="6" t="str">
        <f>HYPERLINK("https://maps.google.com/?q=16.925042,-96.467301", "🔗 Ver Mapa")</f>
        <v>🔗 Ver Mapa</v>
      </c>
    </row>
    <row r="9513" spans="1:12" ht="72.5" x14ac:dyDescent="0.35">
      <c r="A9513" s="5" t="s">
        <v>674</v>
      </c>
      <c r="B9513" s="5" t="s">
        <v>675</v>
      </c>
      <c r="C9513" s="5" t="s">
        <v>1643</v>
      </c>
      <c r="D9513" s="5" t="s">
        <v>677</v>
      </c>
      <c r="E9513" s="5" t="s">
        <v>52</v>
      </c>
      <c r="F9513" s="5" t="s">
        <v>53</v>
      </c>
      <c r="G9513" s="5" t="s">
        <v>974</v>
      </c>
      <c r="H9513" s="5" t="s">
        <v>975</v>
      </c>
      <c r="I9513" s="5" t="s">
        <v>31</v>
      </c>
      <c r="J9513" s="5">
        <v>16.947590000000002</v>
      </c>
      <c r="K9513" s="5">
        <v>-96.470641999999998</v>
      </c>
      <c r="L9513" s="5" t="str">
        <f>HYPERLINK("https://maps.google.com/?q=16.94759,-96.470642", "🔗 Ver Mapa")</f>
        <v>🔗 Ver Mapa</v>
      </c>
    </row>
    <row r="9514" spans="1:12" ht="58" x14ac:dyDescent="0.35">
      <c r="A9514" s="6" t="s">
        <v>73</v>
      </c>
      <c r="B9514" s="6" t="s">
        <v>74</v>
      </c>
      <c r="C9514" s="6" t="s">
        <v>1645</v>
      </c>
      <c r="D9514" s="6" t="s">
        <v>76</v>
      </c>
      <c r="E9514" s="6" t="s">
        <v>16</v>
      </c>
      <c r="F9514" s="6" t="s">
        <v>19</v>
      </c>
      <c r="G9514" s="6" t="s">
        <v>199</v>
      </c>
      <c r="H9514" s="6" t="s">
        <v>200</v>
      </c>
      <c r="I9514" s="6" t="s">
        <v>31</v>
      </c>
      <c r="J9514" s="6">
        <v>17.439014655327</v>
      </c>
      <c r="K9514" s="6">
        <v>-97.241738576022996</v>
      </c>
      <c r="L9514" s="6" t="str">
        <f>HYPERLINK("https://maps.google.com/?q=17.43901465532746,-97.24173857602307", "🔗 Ver Mapa")</f>
        <v>🔗 Ver Mapa</v>
      </c>
    </row>
    <row r="9515" spans="1:12" ht="58" x14ac:dyDescent="0.35">
      <c r="A9515" s="5" t="s">
        <v>73</v>
      </c>
      <c r="B9515" s="5" t="s">
        <v>74</v>
      </c>
      <c r="C9515" s="5" t="s">
        <v>1646</v>
      </c>
      <c r="D9515" s="5" t="s">
        <v>76</v>
      </c>
      <c r="E9515" s="5" t="s">
        <v>16</v>
      </c>
      <c r="F9515" s="5" t="s">
        <v>19</v>
      </c>
      <c r="G9515" s="5" t="s">
        <v>199</v>
      </c>
      <c r="H9515" s="5" t="s">
        <v>200</v>
      </c>
      <c r="I9515" s="5" t="s">
        <v>31</v>
      </c>
      <c r="J9515" s="5">
        <v>17.439014655327</v>
      </c>
      <c r="K9515" s="5">
        <v>-97.241738576022996</v>
      </c>
      <c r="L9515" s="5" t="str">
        <f>HYPERLINK("https://maps.google.com/?q=17.43901465532746,-97.24173857602307", "🔗 Ver Mapa")</f>
        <v>🔗 Ver Mapa</v>
      </c>
    </row>
    <row r="9516" spans="1:12" ht="43.5" x14ac:dyDescent="0.35">
      <c r="A9516" s="6" t="s">
        <v>1647</v>
      </c>
      <c r="B9516" s="6" t="s">
        <v>1648</v>
      </c>
      <c r="C9516" s="6" t="s">
        <v>1649</v>
      </c>
      <c r="D9516" s="6" t="s">
        <v>950</v>
      </c>
      <c r="E9516" s="6" t="s">
        <v>52</v>
      </c>
      <c r="F9516" s="6" t="s">
        <v>70</v>
      </c>
      <c r="G9516" s="6" t="s">
        <v>317</v>
      </c>
      <c r="H9516" s="6" t="s">
        <v>318</v>
      </c>
      <c r="I9516" s="6" t="s">
        <v>31</v>
      </c>
      <c r="J9516" s="6">
        <v>17.064108999999998</v>
      </c>
      <c r="K9516" s="6">
        <v>-96.704148000000004</v>
      </c>
      <c r="L9516" s="6" t="str">
        <f>HYPERLINK("https://maps.google.com/?q=17.064109,-96.704148", "🔗 Ver Mapa")</f>
        <v>🔗 Ver Mapa</v>
      </c>
    </row>
    <row r="9517" spans="1:12" ht="29" x14ac:dyDescent="0.35">
      <c r="A9517" s="5" t="s">
        <v>1650</v>
      </c>
      <c r="B9517" s="5" t="s">
        <v>1651</v>
      </c>
      <c r="C9517" s="5" t="s">
        <v>1652</v>
      </c>
      <c r="D9517" s="5" t="s">
        <v>399</v>
      </c>
      <c r="E9517" s="5" t="s">
        <v>52</v>
      </c>
      <c r="F9517" s="5" t="s">
        <v>70</v>
      </c>
      <c r="G9517" s="5" t="s">
        <v>71</v>
      </c>
      <c r="H9517" s="5" t="s">
        <v>72</v>
      </c>
      <c r="I9517" s="5" t="s">
        <v>31</v>
      </c>
      <c r="J9517" s="5">
        <v>17.0609</v>
      </c>
      <c r="K9517" s="5">
        <v>-96.72533</v>
      </c>
      <c r="L9517" s="5" t="str">
        <f>HYPERLINK("https://maps.google.com/?q=17.0609,-96.72533", "🔗 Ver Mapa")</f>
        <v>🔗 Ver Mapa</v>
      </c>
    </row>
    <row r="9518" spans="1:12" ht="29" x14ac:dyDescent="0.35">
      <c r="A9518" s="6" t="s">
        <v>1650</v>
      </c>
      <c r="B9518" s="6" t="s">
        <v>1651</v>
      </c>
      <c r="C9518" s="6" t="s">
        <v>1653</v>
      </c>
      <c r="D9518" s="6" t="s">
        <v>399</v>
      </c>
      <c r="E9518" s="6" t="s">
        <v>52</v>
      </c>
      <c r="F9518" s="6" t="s">
        <v>70</v>
      </c>
      <c r="G9518" s="6" t="s">
        <v>71</v>
      </c>
      <c r="H9518" s="6" t="s">
        <v>72</v>
      </c>
      <c r="I9518" s="6" t="s">
        <v>31</v>
      </c>
      <c r="J9518" s="6">
        <v>17.0609</v>
      </c>
      <c r="K9518" s="6">
        <v>-96.72533</v>
      </c>
      <c r="L9518" s="6" t="str">
        <f>HYPERLINK("https://maps.google.com/?q=17.0609,-96.72533", "🔗 Ver Mapa")</f>
        <v>🔗 Ver Mapa</v>
      </c>
    </row>
    <row r="9519" spans="1:12" ht="29" x14ac:dyDescent="0.35">
      <c r="A9519" s="5" t="s">
        <v>782</v>
      </c>
      <c r="B9519" s="5" t="s">
        <v>783</v>
      </c>
      <c r="C9519" s="5" t="s">
        <v>1654</v>
      </c>
      <c r="D9519" s="5" t="s">
        <v>785</v>
      </c>
      <c r="E9519" s="5" t="s">
        <v>17</v>
      </c>
      <c r="F9519" s="5" t="s">
        <v>46</v>
      </c>
      <c r="G9519" s="5" t="s">
        <v>241</v>
      </c>
      <c r="H9519" s="5" t="s">
        <v>799</v>
      </c>
      <c r="I9519" s="5" t="s">
        <v>31</v>
      </c>
      <c r="J9519" s="5">
        <v>15.880139700000001</v>
      </c>
      <c r="K9519" s="5">
        <v>-97.089251000000004</v>
      </c>
      <c r="L9519" s="5" t="str">
        <f>HYPERLINK("https://maps.google.com/?q=15.8801397,-97.089251", "🔗 Ver Mapa")</f>
        <v>🔗 Ver Mapa</v>
      </c>
    </row>
    <row r="9520" spans="1:12" ht="29" x14ac:dyDescent="0.35">
      <c r="A9520" s="6" t="s">
        <v>782</v>
      </c>
      <c r="B9520" s="6" t="s">
        <v>783</v>
      </c>
      <c r="C9520" s="6" t="s">
        <v>1655</v>
      </c>
      <c r="D9520" s="6" t="s">
        <v>785</v>
      </c>
      <c r="E9520" s="6" t="s">
        <v>140</v>
      </c>
      <c r="F9520" s="6" t="s">
        <v>141</v>
      </c>
      <c r="G9520" s="6" t="s">
        <v>1152</v>
      </c>
      <c r="H9520" s="6" t="s">
        <v>1656</v>
      </c>
      <c r="I9520" s="6" t="s">
        <v>31</v>
      </c>
      <c r="J9520" s="6">
        <v>18.142004</v>
      </c>
      <c r="K9520" s="6">
        <v>-96.505336999999997</v>
      </c>
      <c r="L9520" s="6" t="str">
        <f>HYPERLINK("https://maps.google.com/?q=18.142004,-96.505337", "🔗 Ver Mapa")</f>
        <v>🔗 Ver Mapa</v>
      </c>
    </row>
    <row r="9521" spans="1:12" ht="29" x14ac:dyDescent="0.35">
      <c r="A9521" s="5" t="s">
        <v>782</v>
      </c>
      <c r="B9521" s="5" t="s">
        <v>783</v>
      </c>
      <c r="C9521" s="5" t="s">
        <v>1657</v>
      </c>
      <c r="D9521" s="5" t="s">
        <v>785</v>
      </c>
      <c r="E9521" s="5" t="s">
        <v>140</v>
      </c>
      <c r="F9521" s="5" t="s">
        <v>141</v>
      </c>
      <c r="G9521" s="5" t="s">
        <v>187</v>
      </c>
      <c r="H9521" s="5" t="s">
        <v>1658</v>
      </c>
      <c r="I9521" s="5" t="s">
        <v>31</v>
      </c>
      <c r="J9521" s="5">
        <v>18.159226543397999</v>
      </c>
      <c r="K9521" s="5">
        <v>-96.095185900660994</v>
      </c>
      <c r="L9521" s="5" t="str">
        <f>HYPERLINK("https://maps.google.com/?q=18.159226543397764,-96.09518590066072", "🔗 Ver Mapa")</f>
        <v>🔗 Ver Mapa</v>
      </c>
    </row>
    <row r="9522" spans="1:12" ht="29" x14ac:dyDescent="0.35">
      <c r="A9522" s="6" t="s">
        <v>782</v>
      </c>
      <c r="B9522" s="6" t="s">
        <v>783</v>
      </c>
      <c r="C9522" s="6" t="s">
        <v>1659</v>
      </c>
      <c r="D9522" s="6" t="s">
        <v>785</v>
      </c>
      <c r="E9522" s="6" t="s">
        <v>140</v>
      </c>
      <c r="F9522" s="6" t="s">
        <v>141</v>
      </c>
      <c r="G9522" s="6" t="s">
        <v>187</v>
      </c>
      <c r="H9522" s="6" t="s">
        <v>1660</v>
      </c>
      <c r="I9522" s="6" t="s">
        <v>31</v>
      </c>
      <c r="J9522" s="6">
        <v>18.067515243805001</v>
      </c>
      <c r="K9522" s="6">
        <v>-96.270853132056999</v>
      </c>
      <c r="L9522" s="6" t="str">
        <f>HYPERLINK("https://maps.google.com/?q=18.067515243804852,-96.2708531320567", "🔗 Ver Mapa")</f>
        <v>🔗 Ver Mapa</v>
      </c>
    </row>
    <row r="9523" spans="1:12" ht="29" x14ac:dyDescent="0.35">
      <c r="A9523" s="5" t="s">
        <v>782</v>
      </c>
      <c r="B9523" s="5" t="s">
        <v>783</v>
      </c>
      <c r="C9523" s="5" t="s">
        <v>1661</v>
      </c>
      <c r="D9523" s="5" t="s">
        <v>785</v>
      </c>
      <c r="E9523" s="5" t="s">
        <v>140</v>
      </c>
      <c r="F9523" s="5" t="s">
        <v>141</v>
      </c>
      <c r="G9523" s="5" t="s">
        <v>1622</v>
      </c>
      <c r="H9523" s="5" t="s">
        <v>1662</v>
      </c>
      <c r="I9523" s="5" t="s">
        <v>31</v>
      </c>
      <c r="J9523" s="5">
        <v>17.739026281765</v>
      </c>
      <c r="K9523" s="5">
        <v>-96.558118543481996</v>
      </c>
      <c r="L9523" s="5" t="str">
        <f>HYPERLINK("https://maps.google.com/?q=17.739026281764914,-96.55811854348183", "🔗 Ver Mapa")</f>
        <v>🔗 Ver Mapa</v>
      </c>
    </row>
    <row r="9524" spans="1:12" ht="29" x14ac:dyDescent="0.35">
      <c r="A9524" s="6" t="s">
        <v>282</v>
      </c>
      <c r="B9524" s="6" t="s">
        <v>283</v>
      </c>
      <c r="C9524" s="6" t="s">
        <v>1663</v>
      </c>
      <c r="D9524" s="6" t="s">
        <v>76</v>
      </c>
      <c r="E9524" s="6" t="s">
        <v>52</v>
      </c>
      <c r="F9524" s="6" t="s">
        <v>70</v>
      </c>
      <c r="G9524" s="6" t="s">
        <v>71</v>
      </c>
      <c r="H9524" s="6" t="s">
        <v>72</v>
      </c>
      <c r="I9524" s="6" t="s">
        <v>31</v>
      </c>
      <c r="J9524" s="6">
        <v>17.051110000000001</v>
      </c>
      <c r="K9524" s="6">
        <v>-96.728149999999999</v>
      </c>
      <c r="L9524" s="6" t="str">
        <f>HYPERLINK("https://maps.google.com/?q=17.05111,-96.72815", "🔗 Ver Mapa")</f>
        <v>🔗 Ver Mapa</v>
      </c>
    </row>
    <row r="9525" spans="1:12" ht="29" x14ac:dyDescent="0.35">
      <c r="A9525" s="5" t="s">
        <v>782</v>
      </c>
      <c r="B9525" s="5" t="s">
        <v>783</v>
      </c>
      <c r="C9525" s="5" t="s">
        <v>1664</v>
      </c>
      <c r="D9525" s="5" t="s">
        <v>785</v>
      </c>
      <c r="E9525" s="5" t="s">
        <v>140</v>
      </c>
      <c r="F9525" s="5" t="s">
        <v>141</v>
      </c>
      <c r="G9525" s="5" t="s">
        <v>791</v>
      </c>
      <c r="H9525" s="5" t="s">
        <v>792</v>
      </c>
      <c r="I9525" s="5" t="s">
        <v>31</v>
      </c>
      <c r="J9525" s="5">
        <v>18.120239399999999</v>
      </c>
      <c r="K9525" s="5">
        <v>-95.885583699999998</v>
      </c>
      <c r="L9525" s="5" t="str">
        <f>HYPERLINK("https://maps.google.com/?q=18.1202394,-95.8855837", "🔗 Ver Mapa")</f>
        <v>🔗 Ver Mapa</v>
      </c>
    </row>
    <row r="9526" spans="1:12" ht="29" x14ac:dyDescent="0.35">
      <c r="A9526" s="6" t="s">
        <v>782</v>
      </c>
      <c r="B9526" s="6" t="s">
        <v>783</v>
      </c>
      <c r="C9526" s="6" t="s">
        <v>1665</v>
      </c>
      <c r="D9526" s="6" t="s">
        <v>785</v>
      </c>
      <c r="E9526" s="6" t="s">
        <v>110</v>
      </c>
      <c r="F9526" s="6" t="s">
        <v>111</v>
      </c>
      <c r="G9526" s="6" t="s">
        <v>1473</v>
      </c>
      <c r="H9526" s="6" t="s">
        <v>1474</v>
      </c>
      <c r="I9526" s="6" t="s">
        <v>31</v>
      </c>
      <c r="J9526" s="6">
        <v>18.163853995625001</v>
      </c>
      <c r="K9526" s="6">
        <v>-96.875097743127995</v>
      </c>
      <c r="L9526" s="6" t="str">
        <f>HYPERLINK("https://maps.google.com/?q=18.16385399562511,-96.87509774312771", "🔗 Ver Mapa")</f>
        <v>🔗 Ver Mapa</v>
      </c>
    </row>
    <row r="9527" spans="1:12" ht="29" x14ac:dyDescent="0.35">
      <c r="A9527" s="5" t="s">
        <v>339</v>
      </c>
      <c r="B9527" s="5" t="s">
        <v>340</v>
      </c>
      <c r="C9527" s="5" t="s">
        <v>1666</v>
      </c>
      <c r="D9527" s="5" t="s">
        <v>342</v>
      </c>
      <c r="E9527" s="5" t="s">
        <v>52</v>
      </c>
      <c r="F9527" s="5" t="s">
        <v>70</v>
      </c>
      <c r="G9527" s="5" t="s">
        <v>71</v>
      </c>
      <c r="H9527" s="5" t="s">
        <v>72</v>
      </c>
      <c r="I9527" s="5" t="s">
        <v>31</v>
      </c>
      <c r="J9527" s="5">
        <v>17.068498000000002</v>
      </c>
      <c r="K9527" s="5">
        <v>-96.720205000000007</v>
      </c>
      <c r="L9527" s="5" t="str">
        <f>HYPERLINK("https://maps.google.com/?q=17.068498,-96.720205", "🔗 Ver Mapa")</f>
        <v>🔗 Ver Mapa</v>
      </c>
    </row>
    <row r="9528" spans="1:12" ht="43.5" x14ac:dyDescent="0.35">
      <c r="A9528" s="6" t="s">
        <v>288</v>
      </c>
      <c r="B9528" s="6" t="s">
        <v>289</v>
      </c>
      <c r="C9528" s="6" t="s">
        <v>1667</v>
      </c>
      <c r="D9528" s="6" t="s">
        <v>745</v>
      </c>
      <c r="E9528" s="6" t="s">
        <v>52</v>
      </c>
      <c r="F9528" s="6" t="s">
        <v>83</v>
      </c>
      <c r="G9528" s="6" t="s">
        <v>1668</v>
      </c>
      <c r="H9528" s="6" t="s">
        <v>1669</v>
      </c>
      <c r="I9528" s="6" t="s">
        <v>31</v>
      </c>
      <c r="J9528" s="6">
        <v>17.269801000000001</v>
      </c>
      <c r="K9528" s="6">
        <v>-96.793954999999997</v>
      </c>
      <c r="L9528" s="6" t="str">
        <f>HYPERLINK("https://maps.google.com/?q=17.269801,-96.793955", "🔗 Ver Mapa")</f>
        <v>🔗 Ver Mapa</v>
      </c>
    </row>
    <row r="9529" spans="1:12" ht="43.5" x14ac:dyDescent="0.35">
      <c r="A9529" s="5" t="s">
        <v>288</v>
      </c>
      <c r="B9529" s="5" t="s">
        <v>289</v>
      </c>
      <c r="C9529" s="5" t="s">
        <v>1667</v>
      </c>
      <c r="D9529" s="5" t="s">
        <v>745</v>
      </c>
      <c r="E9529" s="5" t="s">
        <v>52</v>
      </c>
      <c r="F9529" s="5" t="s">
        <v>83</v>
      </c>
      <c r="G9529" s="5" t="s">
        <v>1668</v>
      </c>
      <c r="H9529" s="5" t="s">
        <v>1669</v>
      </c>
      <c r="I9529" s="5" t="s">
        <v>31</v>
      </c>
      <c r="J9529" s="5">
        <v>17.270049</v>
      </c>
      <c r="K9529" s="5">
        <v>-96.793538999999996</v>
      </c>
      <c r="L9529" s="5" t="str">
        <f>HYPERLINK("https://maps.google.com/?q=17.270049,-96.793539", "🔗 Ver Mapa")</f>
        <v>🔗 Ver Mapa</v>
      </c>
    </row>
    <row r="9530" spans="1:12" ht="43.5" x14ac:dyDescent="0.35">
      <c r="A9530" s="6" t="s">
        <v>288</v>
      </c>
      <c r="B9530" s="6" t="s">
        <v>289</v>
      </c>
      <c r="C9530" s="6" t="s">
        <v>1667</v>
      </c>
      <c r="D9530" s="6" t="s">
        <v>745</v>
      </c>
      <c r="E9530" s="6" t="s">
        <v>52</v>
      </c>
      <c r="F9530" s="6" t="s">
        <v>83</v>
      </c>
      <c r="G9530" s="6" t="s">
        <v>1668</v>
      </c>
      <c r="H9530" s="6" t="s">
        <v>1669</v>
      </c>
      <c r="I9530" s="6" t="s">
        <v>31</v>
      </c>
      <c r="J9530" s="6">
        <v>17.270479999999999</v>
      </c>
      <c r="K9530" s="6">
        <v>-96.793261000000001</v>
      </c>
      <c r="L9530" s="6" t="str">
        <f>HYPERLINK("https://maps.google.com/?q=17.27048,-96.793261", "🔗 Ver Mapa")</f>
        <v>🔗 Ver Mapa</v>
      </c>
    </row>
    <row r="9531" spans="1:12" ht="43.5" x14ac:dyDescent="0.35">
      <c r="A9531" s="5" t="s">
        <v>288</v>
      </c>
      <c r="B9531" s="5" t="s">
        <v>289</v>
      </c>
      <c r="C9531" s="5" t="s">
        <v>1667</v>
      </c>
      <c r="D9531" s="5" t="s">
        <v>745</v>
      </c>
      <c r="E9531" s="5" t="s">
        <v>52</v>
      </c>
      <c r="F9531" s="5" t="s">
        <v>83</v>
      </c>
      <c r="G9531" s="5" t="s">
        <v>1668</v>
      </c>
      <c r="H9531" s="5" t="s">
        <v>1669</v>
      </c>
      <c r="I9531" s="5" t="s">
        <v>31</v>
      </c>
      <c r="J9531" s="5">
        <v>17.270485000000001</v>
      </c>
      <c r="K9531" s="5">
        <v>-96.793750000000003</v>
      </c>
      <c r="L9531" s="5" t="str">
        <f>HYPERLINK("https://maps.google.com/?q=17.270485,-96.793750", "🔗 Ver Mapa")</f>
        <v>🔗 Ver Mapa</v>
      </c>
    </row>
    <row r="9532" spans="1:12" ht="43.5" x14ac:dyDescent="0.35">
      <c r="A9532" s="6" t="s">
        <v>288</v>
      </c>
      <c r="B9532" s="6" t="s">
        <v>289</v>
      </c>
      <c r="C9532" s="6" t="s">
        <v>1667</v>
      </c>
      <c r="D9532" s="6" t="s">
        <v>745</v>
      </c>
      <c r="E9532" s="6" t="s">
        <v>52</v>
      </c>
      <c r="F9532" s="6" t="s">
        <v>83</v>
      </c>
      <c r="G9532" s="6" t="s">
        <v>1668</v>
      </c>
      <c r="H9532" s="6" t="s">
        <v>1669</v>
      </c>
      <c r="I9532" s="6" t="s">
        <v>31</v>
      </c>
      <c r="J9532" s="6">
        <v>17.270544999999998</v>
      </c>
      <c r="K9532" s="6">
        <v>-96.794218999999998</v>
      </c>
      <c r="L9532" s="6" t="str">
        <f>HYPERLINK("https://maps.google.com/?q=17.270545,-96.794219", "🔗 Ver Mapa")</f>
        <v>🔗 Ver Mapa</v>
      </c>
    </row>
    <row r="9533" spans="1:12" ht="43.5" x14ac:dyDescent="0.35">
      <c r="A9533" s="5" t="s">
        <v>288</v>
      </c>
      <c r="B9533" s="5" t="s">
        <v>289</v>
      </c>
      <c r="C9533" s="5" t="s">
        <v>1667</v>
      </c>
      <c r="D9533" s="5" t="s">
        <v>745</v>
      </c>
      <c r="E9533" s="5" t="s">
        <v>52</v>
      </c>
      <c r="F9533" s="5" t="s">
        <v>83</v>
      </c>
      <c r="G9533" s="5" t="s">
        <v>1668</v>
      </c>
      <c r="H9533" s="5" t="s">
        <v>1669</v>
      </c>
      <c r="I9533" s="5" t="s">
        <v>31</v>
      </c>
      <c r="J9533" s="5">
        <v>17.270658000000001</v>
      </c>
      <c r="K9533" s="5">
        <v>-96.794679000000002</v>
      </c>
      <c r="L9533" s="5" t="str">
        <f>HYPERLINK("https://maps.google.com/?q=17.270658,-96.794679", "🔗 Ver Mapa")</f>
        <v>🔗 Ver Mapa</v>
      </c>
    </row>
    <row r="9534" spans="1:12" ht="43.5" x14ac:dyDescent="0.35">
      <c r="A9534" s="6" t="s">
        <v>288</v>
      </c>
      <c r="B9534" s="6" t="s">
        <v>289</v>
      </c>
      <c r="C9534" s="6" t="s">
        <v>1667</v>
      </c>
      <c r="D9534" s="6" t="s">
        <v>745</v>
      </c>
      <c r="E9534" s="6" t="s">
        <v>52</v>
      </c>
      <c r="F9534" s="6" t="s">
        <v>83</v>
      </c>
      <c r="G9534" s="6" t="s">
        <v>1668</v>
      </c>
      <c r="H9534" s="6" t="s">
        <v>1669</v>
      </c>
      <c r="I9534" s="6" t="s">
        <v>31</v>
      </c>
      <c r="J9534" s="6">
        <v>17.270693999999999</v>
      </c>
      <c r="K9534" s="6">
        <v>-96.794668999999999</v>
      </c>
      <c r="L9534" s="6" t="str">
        <f>HYPERLINK("https://maps.google.com/?q=17.270694,-96.794669", "🔗 Ver Mapa")</f>
        <v>🔗 Ver Mapa</v>
      </c>
    </row>
    <row r="9535" spans="1:12" ht="43.5" x14ac:dyDescent="0.35">
      <c r="A9535" s="5" t="s">
        <v>288</v>
      </c>
      <c r="B9535" s="5" t="s">
        <v>289</v>
      </c>
      <c r="C9535" s="5" t="s">
        <v>1667</v>
      </c>
      <c r="D9535" s="5" t="s">
        <v>745</v>
      </c>
      <c r="E9535" s="5" t="s">
        <v>52</v>
      </c>
      <c r="F9535" s="5" t="s">
        <v>83</v>
      </c>
      <c r="G9535" s="5" t="s">
        <v>1668</v>
      </c>
      <c r="H9535" s="5" t="s">
        <v>1669</v>
      </c>
      <c r="I9535" s="5" t="s">
        <v>31</v>
      </c>
      <c r="J9535" s="5">
        <v>17.270780999999999</v>
      </c>
      <c r="K9535" s="5">
        <v>-96.795175999999998</v>
      </c>
      <c r="L9535" s="5" t="str">
        <f>HYPERLINK("https://maps.google.com/?q=17.270781,-96.795176", "🔗 Ver Mapa")</f>
        <v>🔗 Ver Mapa</v>
      </c>
    </row>
    <row r="9536" spans="1:12" ht="43.5" x14ac:dyDescent="0.35">
      <c r="A9536" s="6" t="s">
        <v>288</v>
      </c>
      <c r="B9536" s="6" t="s">
        <v>289</v>
      </c>
      <c r="C9536" s="6" t="s">
        <v>1667</v>
      </c>
      <c r="D9536" s="6" t="s">
        <v>745</v>
      </c>
      <c r="E9536" s="6" t="s">
        <v>52</v>
      </c>
      <c r="F9536" s="6" t="s">
        <v>83</v>
      </c>
      <c r="G9536" s="6" t="s">
        <v>1668</v>
      </c>
      <c r="H9536" s="6" t="s">
        <v>1669</v>
      </c>
      <c r="I9536" s="6" t="s">
        <v>31</v>
      </c>
      <c r="J9536" s="6">
        <v>17.270886000000001</v>
      </c>
      <c r="K9536" s="6">
        <v>-96.795691000000005</v>
      </c>
      <c r="L9536" s="6" t="str">
        <f>HYPERLINK("https://maps.google.com/?q=17.270886,-96.795691", "🔗 Ver Mapa")</f>
        <v>🔗 Ver Mapa</v>
      </c>
    </row>
    <row r="9537" spans="1:12" ht="43.5" x14ac:dyDescent="0.35">
      <c r="A9537" s="5" t="s">
        <v>288</v>
      </c>
      <c r="B9537" s="5" t="s">
        <v>289</v>
      </c>
      <c r="C9537" s="5" t="s">
        <v>1667</v>
      </c>
      <c r="D9537" s="5" t="s">
        <v>745</v>
      </c>
      <c r="E9537" s="5" t="s">
        <v>52</v>
      </c>
      <c r="F9537" s="5" t="s">
        <v>83</v>
      </c>
      <c r="G9537" s="5" t="s">
        <v>1668</v>
      </c>
      <c r="H9537" s="5" t="s">
        <v>1669</v>
      </c>
      <c r="I9537" s="5" t="s">
        <v>31</v>
      </c>
      <c r="J9537" s="5">
        <v>17.270955000000001</v>
      </c>
      <c r="K9537" s="5">
        <v>-96.796207999999993</v>
      </c>
      <c r="L9537" s="5" t="str">
        <f>HYPERLINK("https://maps.google.com/?q=17.270955,-96.796208", "🔗 Ver Mapa")</f>
        <v>🔗 Ver Mapa</v>
      </c>
    </row>
    <row r="9538" spans="1:12" ht="43.5" x14ac:dyDescent="0.35">
      <c r="A9538" s="6" t="s">
        <v>288</v>
      </c>
      <c r="B9538" s="6" t="s">
        <v>289</v>
      </c>
      <c r="C9538" s="6" t="s">
        <v>1667</v>
      </c>
      <c r="D9538" s="6" t="s">
        <v>745</v>
      </c>
      <c r="E9538" s="6" t="s">
        <v>52</v>
      </c>
      <c r="F9538" s="6" t="s">
        <v>83</v>
      </c>
      <c r="G9538" s="6" t="s">
        <v>1668</v>
      </c>
      <c r="H9538" s="6" t="s">
        <v>1669</v>
      </c>
      <c r="I9538" s="6" t="s">
        <v>31</v>
      </c>
      <c r="J9538" s="6">
        <v>17.271014999999998</v>
      </c>
      <c r="K9538" s="6">
        <v>-96.796723999999998</v>
      </c>
      <c r="L9538" s="6" t="str">
        <f>HYPERLINK("https://maps.google.com/?q=17.271015,-96.796724", "🔗 Ver Mapa")</f>
        <v>🔗 Ver Mapa</v>
      </c>
    </row>
    <row r="9539" spans="1:12" ht="43.5" x14ac:dyDescent="0.35">
      <c r="A9539" s="5" t="s">
        <v>288</v>
      </c>
      <c r="B9539" s="5" t="s">
        <v>289</v>
      </c>
      <c r="C9539" s="5" t="s">
        <v>1667</v>
      </c>
      <c r="D9539" s="5" t="s">
        <v>745</v>
      </c>
      <c r="E9539" s="5" t="s">
        <v>52</v>
      </c>
      <c r="F9539" s="5" t="s">
        <v>83</v>
      </c>
      <c r="G9539" s="5" t="s">
        <v>1668</v>
      </c>
      <c r="H9539" s="5" t="s">
        <v>1669</v>
      </c>
      <c r="I9539" s="5" t="s">
        <v>31</v>
      </c>
      <c r="J9539" s="5">
        <v>17.271038000000001</v>
      </c>
      <c r="K9539" s="5">
        <v>-96.797241</v>
      </c>
      <c r="L9539" s="5" t="str">
        <f>HYPERLINK("https://maps.google.com/?q=17.271038,-96.797241", "🔗 Ver Mapa")</f>
        <v>🔗 Ver Mapa</v>
      </c>
    </row>
    <row r="9540" spans="1:12" ht="43.5" x14ac:dyDescent="0.35">
      <c r="A9540" s="6" t="s">
        <v>288</v>
      </c>
      <c r="B9540" s="6" t="s">
        <v>289</v>
      </c>
      <c r="C9540" s="6" t="s">
        <v>1667</v>
      </c>
      <c r="D9540" s="6" t="s">
        <v>745</v>
      </c>
      <c r="E9540" s="6" t="s">
        <v>52</v>
      </c>
      <c r="F9540" s="6" t="s">
        <v>83</v>
      </c>
      <c r="G9540" s="6" t="s">
        <v>1668</v>
      </c>
      <c r="H9540" s="6" t="s">
        <v>1669</v>
      </c>
      <c r="I9540" s="6" t="s">
        <v>31</v>
      </c>
      <c r="J9540" s="6">
        <v>17.273440000000001</v>
      </c>
      <c r="K9540" s="6">
        <v>-96.803691000000001</v>
      </c>
      <c r="L9540" s="6" t="str">
        <f>HYPERLINK("https://maps.google.com/?q=17.27344,-96.803691", "🔗 Ver Mapa")</f>
        <v>🔗 Ver Mapa</v>
      </c>
    </row>
    <row r="9541" spans="1:12" ht="43.5" x14ac:dyDescent="0.35">
      <c r="A9541" s="5" t="s">
        <v>288</v>
      </c>
      <c r="B9541" s="5" t="s">
        <v>289</v>
      </c>
      <c r="C9541" s="5" t="s">
        <v>1667</v>
      </c>
      <c r="D9541" s="5" t="s">
        <v>745</v>
      </c>
      <c r="E9541" s="5" t="s">
        <v>52</v>
      </c>
      <c r="F9541" s="5" t="s">
        <v>83</v>
      </c>
      <c r="G9541" s="5" t="s">
        <v>1668</v>
      </c>
      <c r="H9541" s="5" t="s">
        <v>1669</v>
      </c>
      <c r="I9541" s="5" t="s">
        <v>31</v>
      </c>
      <c r="J9541" s="5">
        <v>17.273565999999999</v>
      </c>
      <c r="K9541" s="5">
        <v>-96.799561999999995</v>
      </c>
      <c r="L9541" s="5" t="str">
        <f>HYPERLINK("https://maps.google.com/?q=17.273566,-96.799562", "🔗 Ver Mapa")</f>
        <v>🔗 Ver Mapa</v>
      </c>
    </row>
    <row r="9542" spans="1:12" ht="43.5" x14ac:dyDescent="0.35">
      <c r="A9542" s="6" t="s">
        <v>288</v>
      </c>
      <c r="B9542" s="6" t="s">
        <v>289</v>
      </c>
      <c r="C9542" s="6" t="s">
        <v>1667</v>
      </c>
      <c r="D9542" s="6" t="s">
        <v>745</v>
      </c>
      <c r="E9542" s="6" t="s">
        <v>52</v>
      </c>
      <c r="F9542" s="6" t="s">
        <v>83</v>
      </c>
      <c r="G9542" s="6" t="s">
        <v>1668</v>
      </c>
      <c r="H9542" s="6" t="s">
        <v>1669</v>
      </c>
      <c r="I9542" s="6" t="s">
        <v>31</v>
      </c>
      <c r="J9542" s="6">
        <v>17.273624000000002</v>
      </c>
      <c r="K9542" s="6">
        <v>-96.799927999999994</v>
      </c>
      <c r="L9542" s="6" t="str">
        <f>HYPERLINK("https://maps.google.com/?q=17.273624,-96.799928", "🔗 Ver Mapa")</f>
        <v>🔗 Ver Mapa</v>
      </c>
    </row>
    <row r="9543" spans="1:12" ht="43.5" x14ac:dyDescent="0.35">
      <c r="A9543" s="5" t="s">
        <v>288</v>
      </c>
      <c r="B9543" s="5" t="s">
        <v>289</v>
      </c>
      <c r="C9543" s="5" t="s">
        <v>1667</v>
      </c>
      <c r="D9543" s="5" t="s">
        <v>745</v>
      </c>
      <c r="E9543" s="5" t="s">
        <v>52</v>
      </c>
      <c r="F9543" s="5" t="s">
        <v>83</v>
      </c>
      <c r="G9543" s="5" t="s">
        <v>1668</v>
      </c>
      <c r="H9543" s="5" t="s">
        <v>1669</v>
      </c>
      <c r="I9543" s="5" t="s">
        <v>31</v>
      </c>
      <c r="J9543" s="5">
        <v>17.273728999999999</v>
      </c>
      <c r="K9543" s="5">
        <v>-96.800415000000001</v>
      </c>
      <c r="L9543" s="5" t="str">
        <f>HYPERLINK("https://maps.google.com/?q=17.273729,-96.800415", "🔗 Ver Mapa")</f>
        <v>🔗 Ver Mapa</v>
      </c>
    </row>
    <row r="9544" spans="1:12" ht="43.5" x14ac:dyDescent="0.35">
      <c r="A9544" s="6" t="s">
        <v>288</v>
      </c>
      <c r="B9544" s="6" t="s">
        <v>289</v>
      </c>
      <c r="C9544" s="6" t="s">
        <v>1667</v>
      </c>
      <c r="D9544" s="6" t="s">
        <v>745</v>
      </c>
      <c r="E9544" s="6" t="s">
        <v>52</v>
      </c>
      <c r="F9544" s="6" t="s">
        <v>83</v>
      </c>
      <c r="G9544" s="6" t="s">
        <v>1668</v>
      </c>
      <c r="H9544" s="6" t="s">
        <v>1669</v>
      </c>
      <c r="I9544" s="6" t="s">
        <v>31</v>
      </c>
      <c r="J9544" s="6">
        <v>17.273824999999999</v>
      </c>
      <c r="K9544" s="6">
        <v>-96.800912999999994</v>
      </c>
      <c r="L9544" s="6" t="str">
        <f>HYPERLINK("https://maps.google.com/?q=17.273825,-96.800913", "🔗 Ver Mapa")</f>
        <v>🔗 Ver Mapa</v>
      </c>
    </row>
    <row r="9545" spans="1:12" ht="43.5" x14ac:dyDescent="0.35">
      <c r="A9545" s="5" t="s">
        <v>288</v>
      </c>
      <c r="B9545" s="5" t="s">
        <v>289</v>
      </c>
      <c r="C9545" s="5" t="s">
        <v>1667</v>
      </c>
      <c r="D9545" s="5" t="s">
        <v>745</v>
      </c>
      <c r="E9545" s="5" t="s">
        <v>52</v>
      </c>
      <c r="F9545" s="5" t="s">
        <v>83</v>
      </c>
      <c r="G9545" s="5" t="s">
        <v>1668</v>
      </c>
      <c r="H9545" s="5" t="s">
        <v>1669</v>
      </c>
      <c r="I9545" s="5" t="s">
        <v>31</v>
      </c>
      <c r="J9545" s="5">
        <v>17.273824999999999</v>
      </c>
      <c r="K9545" s="5">
        <v>-96.803376</v>
      </c>
      <c r="L9545" s="5" t="str">
        <f>HYPERLINK("https://maps.google.com/?q=17.273825,-96.803376", "🔗 Ver Mapa")</f>
        <v>🔗 Ver Mapa</v>
      </c>
    </row>
    <row r="9546" spans="1:12" ht="43.5" x14ac:dyDescent="0.35">
      <c r="A9546" s="6" t="s">
        <v>288</v>
      </c>
      <c r="B9546" s="6" t="s">
        <v>289</v>
      </c>
      <c r="C9546" s="6" t="s">
        <v>1667</v>
      </c>
      <c r="D9546" s="6" t="s">
        <v>745</v>
      </c>
      <c r="E9546" s="6" t="s">
        <v>52</v>
      </c>
      <c r="F9546" s="6" t="s">
        <v>83</v>
      </c>
      <c r="G9546" s="6" t="s">
        <v>1668</v>
      </c>
      <c r="H9546" s="6" t="s">
        <v>1669</v>
      </c>
      <c r="I9546" s="6" t="s">
        <v>31</v>
      </c>
      <c r="J9546" s="6">
        <v>17.27393</v>
      </c>
      <c r="K9546" s="6">
        <v>-96.801381000000006</v>
      </c>
      <c r="L9546" s="6" t="str">
        <f>HYPERLINK("https://maps.google.com/?q=17.27393,-96.801381", "🔗 Ver Mapa")</f>
        <v>🔗 Ver Mapa</v>
      </c>
    </row>
    <row r="9547" spans="1:12" ht="43.5" x14ac:dyDescent="0.35">
      <c r="A9547" s="5" t="s">
        <v>288</v>
      </c>
      <c r="B9547" s="5" t="s">
        <v>289</v>
      </c>
      <c r="C9547" s="5" t="s">
        <v>1667</v>
      </c>
      <c r="D9547" s="5" t="s">
        <v>745</v>
      </c>
      <c r="E9547" s="5" t="s">
        <v>52</v>
      </c>
      <c r="F9547" s="5" t="s">
        <v>83</v>
      </c>
      <c r="G9547" s="5" t="s">
        <v>1668</v>
      </c>
      <c r="H9547" s="5" t="s">
        <v>1669</v>
      </c>
      <c r="I9547" s="5" t="s">
        <v>31</v>
      </c>
      <c r="J9547" s="5">
        <v>17.274131000000001</v>
      </c>
      <c r="K9547" s="5">
        <v>-96.802413000000001</v>
      </c>
      <c r="L9547" s="5" t="str">
        <f>HYPERLINK("https://maps.google.com/?q=17.274131,-96.802413", "🔗 Ver Mapa")</f>
        <v>🔗 Ver Mapa</v>
      </c>
    </row>
    <row r="9548" spans="1:12" ht="43.5" x14ac:dyDescent="0.35">
      <c r="A9548" s="6" t="s">
        <v>288</v>
      </c>
      <c r="B9548" s="6" t="s">
        <v>289</v>
      </c>
      <c r="C9548" s="6" t="s">
        <v>1667</v>
      </c>
      <c r="D9548" s="6" t="s">
        <v>745</v>
      </c>
      <c r="E9548" s="6" t="s">
        <v>52</v>
      </c>
      <c r="F9548" s="6" t="s">
        <v>83</v>
      </c>
      <c r="G9548" s="6" t="s">
        <v>1668</v>
      </c>
      <c r="H9548" s="6" t="s">
        <v>1669</v>
      </c>
      <c r="I9548" s="6" t="s">
        <v>31</v>
      </c>
      <c r="J9548" s="6">
        <v>17.274190000000001</v>
      </c>
      <c r="K9548" s="6">
        <v>-96.80292</v>
      </c>
      <c r="L9548" s="6" t="str">
        <f>HYPERLINK("https://maps.google.com/?q=17.27419,-96.802920", "🔗 Ver Mapa")</f>
        <v>🔗 Ver Mapa</v>
      </c>
    </row>
    <row r="9549" spans="1:12" ht="43.5" x14ac:dyDescent="0.35">
      <c r="A9549" s="5" t="s">
        <v>288</v>
      </c>
      <c r="B9549" s="5" t="s">
        <v>289</v>
      </c>
      <c r="C9549" s="5" t="s">
        <v>1667</v>
      </c>
      <c r="D9549" s="5" t="s">
        <v>745</v>
      </c>
      <c r="E9549" s="5" t="s">
        <v>52</v>
      </c>
      <c r="F9549" s="5" t="s">
        <v>83</v>
      </c>
      <c r="G9549" s="5" t="s">
        <v>1668</v>
      </c>
      <c r="H9549" s="5" t="s">
        <v>1669</v>
      </c>
      <c r="I9549" s="5" t="s">
        <v>31</v>
      </c>
      <c r="J9549" s="5">
        <v>17.274294999999999</v>
      </c>
      <c r="K9549" s="5">
        <v>-96.803436000000005</v>
      </c>
      <c r="L9549" s="5" t="str">
        <f>HYPERLINK("https://maps.google.com/?q=17.274295,-96.803436", "🔗 Ver Mapa")</f>
        <v>🔗 Ver Mapa</v>
      </c>
    </row>
    <row r="9550" spans="1:12" ht="43.5" x14ac:dyDescent="0.35">
      <c r="A9550" s="6" t="s">
        <v>288</v>
      </c>
      <c r="B9550" s="6" t="s">
        <v>289</v>
      </c>
      <c r="C9550" s="6" t="s">
        <v>1667</v>
      </c>
      <c r="D9550" s="6" t="s">
        <v>745</v>
      </c>
      <c r="E9550" s="6" t="s">
        <v>52</v>
      </c>
      <c r="F9550" s="6" t="s">
        <v>83</v>
      </c>
      <c r="G9550" s="6" t="s">
        <v>1668</v>
      </c>
      <c r="H9550" s="6" t="s">
        <v>1669</v>
      </c>
      <c r="I9550" s="6" t="s">
        <v>31</v>
      </c>
      <c r="J9550" s="6">
        <v>17.274391000000001</v>
      </c>
      <c r="K9550" s="6">
        <v>-96.803943000000004</v>
      </c>
      <c r="L9550" s="6" t="str">
        <f>HYPERLINK("https://maps.google.com/?q=17.274391,-96.803943", "🔗 Ver Mapa")</f>
        <v>🔗 Ver Mapa</v>
      </c>
    </row>
    <row r="9551" spans="1:12" ht="43.5" x14ac:dyDescent="0.35">
      <c r="A9551" s="5" t="s">
        <v>288</v>
      </c>
      <c r="B9551" s="5" t="s">
        <v>289</v>
      </c>
      <c r="C9551" s="5" t="s">
        <v>1667</v>
      </c>
      <c r="D9551" s="5" t="s">
        <v>745</v>
      </c>
      <c r="E9551" s="5" t="s">
        <v>52</v>
      </c>
      <c r="F9551" s="5" t="s">
        <v>83</v>
      </c>
      <c r="G9551" s="5" t="s">
        <v>1668</v>
      </c>
      <c r="H9551" s="5" t="s">
        <v>1669</v>
      </c>
      <c r="I9551" s="5" t="s">
        <v>31</v>
      </c>
      <c r="J9551" s="5">
        <v>17.274469</v>
      </c>
      <c r="K9551" s="5">
        <v>-96.804458999999994</v>
      </c>
      <c r="L9551" s="5" t="str">
        <f>HYPERLINK("https://maps.google.com/?q=17.274469,-96.804459", "🔗 Ver Mapa")</f>
        <v>🔗 Ver Mapa</v>
      </c>
    </row>
    <row r="9552" spans="1:12" ht="43.5" x14ac:dyDescent="0.35">
      <c r="A9552" s="6" t="s">
        <v>288</v>
      </c>
      <c r="B9552" s="6" t="s">
        <v>289</v>
      </c>
      <c r="C9552" s="6" t="s">
        <v>1670</v>
      </c>
      <c r="D9552" s="6" t="s">
        <v>414</v>
      </c>
      <c r="E9552" s="6" t="s">
        <v>90</v>
      </c>
      <c r="F9552" s="6" t="s">
        <v>678</v>
      </c>
      <c r="G9552" s="6" t="s">
        <v>1481</v>
      </c>
      <c r="H9552" s="6" t="s">
        <v>1671</v>
      </c>
      <c r="I9552" s="6" t="s">
        <v>31</v>
      </c>
      <c r="J9552" s="6">
        <v>17.357319</v>
      </c>
      <c r="K9552" s="6">
        <v>-96.295387000000005</v>
      </c>
      <c r="L9552" s="6" t="str">
        <f>HYPERLINK("https://maps.google.com/?q=17.357319,-96.295387000000005", "🔗 Ver Mapa")</f>
        <v>🔗 Ver Mapa</v>
      </c>
    </row>
    <row r="9553" spans="1:12" ht="43.5" x14ac:dyDescent="0.35">
      <c r="A9553" s="5" t="s">
        <v>288</v>
      </c>
      <c r="B9553" s="5" t="s">
        <v>289</v>
      </c>
      <c r="C9553" s="5" t="s">
        <v>1670</v>
      </c>
      <c r="D9553" s="5" t="s">
        <v>414</v>
      </c>
      <c r="E9553" s="5" t="s">
        <v>90</v>
      </c>
      <c r="F9553" s="5" t="s">
        <v>678</v>
      </c>
      <c r="G9553" s="5" t="s">
        <v>1481</v>
      </c>
      <c r="H9553" s="5" t="s">
        <v>1671</v>
      </c>
      <c r="I9553" s="5" t="s">
        <v>31</v>
      </c>
      <c r="J9553" s="5">
        <v>17.357543</v>
      </c>
      <c r="K9553" s="5">
        <v>-96.295252000000005</v>
      </c>
      <c r="L9553" s="5" t="str">
        <f>HYPERLINK("https://maps.google.com/?q=17.357543,-96.295252000000005", "🔗 Ver Mapa")</f>
        <v>🔗 Ver Mapa</v>
      </c>
    </row>
    <row r="9554" spans="1:12" ht="43.5" x14ac:dyDescent="0.35">
      <c r="A9554" s="6" t="s">
        <v>288</v>
      </c>
      <c r="B9554" s="6" t="s">
        <v>289</v>
      </c>
      <c r="C9554" s="6" t="s">
        <v>1670</v>
      </c>
      <c r="D9554" s="6" t="s">
        <v>414</v>
      </c>
      <c r="E9554" s="6" t="s">
        <v>90</v>
      </c>
      <c r="F9554" s="6" t="s">
        <v>678</v>
      </c>
      <c r="G9554" s="6" t="s">
        <v>1481</v>
      </c>
      <c r="H9554" s="6" t="s">
        <v>1671</v>
      </c>
      <c r="I9554" s="6" t="s">
        <v>31</v>
      </c>
      <c r="J9554" s="6">
        <v>17.357661</v>
      </c>
      <c r="K9554" s="6">
        <v>-96.294629999999998</v>
      </c>
      <c r="L9554" s="6" t="str">
        <f>HYPERLINK("https://maps.google.com/?q=17.357661,-96.294629999999998", "🔗 Ver Mapa")</f>
        <v>🔗 Ver Mapa</v>
      </c>
    </row>
    <row r="9555" spans="1:12" ht="43.5" x14ac:dyDescent="0.35">
      <c r="A9555" s="5" t="s">
        <v>288</v>
      </c>
      <c r="B9555" s="5" t="s">
        <v>289</v>
      </c>
      <c r="C9555" s="5" t="s">
        <v>1670</v>
      </c>
      <c r="D9555" s="5" t="s">
        <v>414</v>
      </c>
      <c r="E9555" s="5" t="s">
        <v>90</v>
      </c>
      <c r="F9555" s="5" t="s">
        <v>678</v>
      </c>
      <c r="G9555" s="5" t="s">
        <v>1481</v>
      </c>
      <c r="H9555" s="5" t="s">
        <v>1671</v>
      </c>
      <c r="I9555" s="5" t="s">
        <v>31</v>
      </c>
      <c r="J9555" s="5">
        <v>17.357787999999999</v>
      </c>
      <c r="K9555" s="5">
        <v>-96.294062999999994</v>
      </c>
      <c r="L9555" s="5" t="str">
        <f>HYPERLINK("https://maps.google.com/?q=17.357788,-96.294062999999994", "🔗 Ver Mapa")</f>
        <v>🔗 Ver Mapa</v>
      </c>
    </row>
    <row r="9556" spans="1:12" ht="43.5" x14ac:dyDescent="0.35">
      <c r="A9556" s="6" t="s">
        <v>288</v>
      </c>
      <c r="B9556" s="6" t="s">
        <v>289</v>
      </c>
      <c r="C9556" s="6" t="s">
        <v>1670</v>
      </c>
      <c r="D9556" s="6" t="s">
        <v>414</v>
      </c>
      <c r="E9556" s="6" t="s">
        <v>90</v>
      </c>
      <c r="F9556" s="6" t="s">
        <v>678</v>
      </c>
      <c r="G9556" s="6" t="s">
        <v>1481</v>
      </c>
      <c r="H9556" s="6" t="s">
        <v>1671</v>
      </c>
      <c r="I9556" s="6" t="s">
        <v>31</v>
      </c>
      <c r="J9556" s="6">
        <v>17.357806</v>
      </c>
      <c r="K9556" s="6">
        <v>-96.295370000000005</v>
      </c>
      <c r="L9556" s="6" t="str">
        <f>HYPERLINK("https://maps.google.com/?q=17.357806,-96.295370000000005", "🔗 Ver Mapa")</f>
        <v>🔗 Ver Mapa</v>
      </c>
    </row>
    <row r="9557" spans="1:12" ht="43.5" x14ac:dyDescent="0.35">
      <c r="A9557" s="5" t="s">
        <v>288</v>
      </c>
      <c r="B9557" s="5" t="s">
        <v>289</v>
      </c>
      <c r="C9557" s="5" t="s">
        <v>1670</v>
      </c>
      <c r="D9557" s="5" t="s">
        <v>414</v>
      </c>
      <c r="E9557" s="5" t="s">
        <v>90</v>
      </c>
      <c r="F9557" s="5" t="s">
        <v>678</v>
      </c>
      <c r="G9557" s="5" t="s">
        <v>1481</v>
      </c>
      <c r="H9557" s="5" t="s">
        <v>1671</v>
      </c>
      <c r="I9557" s="5" t="s">
        <v>31</v>
      </c>
      <c r="J9557" s="5">
        <v>17.357997999999998</v>
      </c>
      <c r="K9557" s="5">
        <v>-96.293561999999994</v>
      </c>
      <c r="L9557" s="5" t="str">
        <f>HYPERLINK("https://maps.google.com/?q=17.357998,-96.293561999999994", "🔗 Ver Mapa")</f>
        <v>🔗 Ver Mapa</v>
      </c>
    </row>
    <row r="9558" spans="1:12" ht="43.5" x14ac:dyDescent="0.35">
      <c r="A9558" s="6" t="s">
        <v>288</v>
      </c>
      <c r="B9558" s="6" t="s">
        <v>289</v>
      </c>
      <c r="C9558" s="6" t="s">
        <v>1670</v>
      </c>
      <c r="D9558" s="6" t="s">
        <v>414</v>
      </c>
      <c r="E9558" s="6" t="s">
        <v>90</v>
      </c>
      <c r="F9558" s="6" t="s">
        <v>678</v>
      </c>
      <c r="G9558" s="6" t="s">
        <v>1481</v>
      </c>
      <c r="H9558" s="6" t="s">
        <v>1671</v>
      </c>
      <c r="I9558" s="6" t="s">
        <v>31</v>
      </c>
      <c r="J9558" s="6">
        <v>17.358042999999999</v>
      </c>
      <c r="K9558" s="6">
        <v>-96.294859000000002</v>
      </c>
      <c r="L9558" s="6" t="str">
        <f>HYPERLINK("https://maps.google.com/?q=17.358043,-96.294859000000002", "🔗 Ver Mapa")</f>
        <v>🔗 Ver Mapa</v>
      </c>
    </row>
    <row r="9559" spans="1:12" ht="43.5" x14ac:dyDescent="0.35">
      <c r="A9559" s="5" t="s">
        <v>288</v>
      </c>
      <c r="B9559" s="5" t="s">
        <v>289</v>
      </c>
      <c r="C9559" s="5" t="s">
        <v>1670</v>
      </c>
      <c r="D9559" s="5" t="s">
        <v>414</v>
      </c>
      <c r="E9559" s="5" t="s">
        <v>90</v>
      </c>
      <c r="F9559" s="5" t="s">
        <v>678</v>
      </c>
      <c r="G9559" s="5" t="s">
        <v>1481</v>
      </c>
      <c r="H9559" s="5" t="s">
        <v>1671</v>
      </c>
      <c r="I9559" s="5" t="s">
        <v>31</v>
      </c>
      <c r="J9559" s="5">
        <v>17.358084999999999</v>
      </c>
      <c r="K9559" s="5">
        <v>-96.293955999999994</v>
      </c>
      <c r="L9559" s="5" t="str">
        <f>HYPERLINK("https://maps.google.com/?q=17.358085,-96.293955999999994", "🔗 Ver Mapa")</f>
        <v>🔗 Ver Mapa</v>
      </c>
    </row>
    <row r="9560" spans="1:12" ht="43.5" x14ac:dyDescent="0.35">
      <c r="A9560" s="6" t="s">
        <v>288</v>
      </c>
      <c r="B9560" s="6" t="s">
        <v>289</v>
      </c>
      <c r="C9560" s="6" t="s">
        <v>1670</v>
      </c>
      <c r="D9560" s="6" t="s">
        <v>414</v>
      </c>
      <c r="E9560" s="6" t="s">
        <v>90</v>
      </c>
      <c r="F9560" s="6" t="s">
        <v>678</v>
      </c>
      <c r="G9560" s="6" t="s">
        <v>1481</v>
      </c>
      <c r="H9560" s="6" t="s">
        <v>1671</v>
      </c>
      <c r="I9560" s="6" t="s">
        <v>31</v>
      </c>
      <c r="J9560" s="6">
        <v>17.35819</v>
      </c>
      <c r="K9560" s="6">
        <v>-96.294387</v>
      </c>
      <c r="L9560" s="6" t="str">
        <f>HYPERLINK("https://maps.google.com/?q=17.35819,-96.294387", "🔗 Ver Mapa")</f>
        <v>🔗 Ver Mapa</v>
      </c>
    </row>
    <row r="9561" spans="1:12" ht="43.5" x14ac:dyDescent="0.35">
      <c r="A9561" s="5" t="s">
        <v>288</v>
      </c>
      <c r="B9561" s="5" t="s">
        <v>289</v>
      </c>
      <c r="C9561" s="5" t="s">
        <v>1670</v>
      </c>
      <c r="D9561" s="5" t="s">
        <v>414</v>
      </c>
      <c r="E9561" s="5" t="s">
        <v>90</v>
      </c>
      <c r="F9561" s="5" t="s">
        <v>678</v>
      </c>
      <c r="G9561" s="5" t="s">
        <v>1481</v>
      </c>
      <c r="H9561" s="5" t="s">
        <v>1671</v>
      </c>
      <c r="I9561" s="5" t="s">
        <v>31</v>
      </c>
      <c r="J9561" s="5">
        <v>17.358226999999999</v>
      </c>
      <c r="K9561" s="5">
        <v>-96.295129000000003</v>
      </c>
      <c r="L9561" s="5" t="str">
        <f>HYPERLINK("https://maps.google.com/?q=17.358227,-96.295129000000003", "🔗 Ver Mapa")</f>
        <v>🔗 Ver Mapa</v>
      </c>
    </row>
    <row r="9562" spans="1:12" ht="43.5" x14ac:dyDescent="0.35">
      <c r="A9562" s="6" t="s">
        <v>288</v>
      </c>
      <c r="B9562" s="6" t="s">
        <v>289</v>
      </c>
      <c r="C9562" s="6" t="s">
        <v>1670</v>
      </c>
      <c r="D9562" s="6" t="s">
        <v>414</v>
      </c>
      <c r="E9562" s="6" t="s">
        <v>90</v>
      </c>
      <c r="F9562" s="6" t="s">
        <v>678</v>
      </c>
      <c r="G9562" s="6" t="s">
        <v>1481</v>
      </c>
      <c r="H9562" s="6" t="s">
        <v>1671</v>
      </c>
      <c r="I9562" s="6" t="s">
        <v>31</v>
      </c>
      <c r="J9562" s="6">
        <v>17.358483</v>
      </c>
      <c r="K9562" s="6">
        <v>-96.294044</v>
      </c>
      <c r="L9562" s="6" t="str">
        <f>HYPERLINK("https://maps.google.com/?q=17.358483,-96.294044", "🔗 Ver Mapa")</f>
        <v>🔗 Ver Mapa</v>
      </c>
    </row>
    <row r="9563" spans="1:12" ht="43.5" x14ac:dyDescent="0.35">
      <c r="A9563" s="5" t="s">
        <v>288</v>
      </c>
      <c r="B9563" s="5" t="s">
        <v>289</v>
      </c>
      <c r="C9563" s="5" t="s">
        <v>1670</v>
      </c>
      <c r="D9563" s="5" t="s">
        <v>414</v>
      </c>
      <c r="E9563" s="5" t="s">
        <v>90</v>
      </c>
      <c r="F9563" s="5" t="s">
        <v>678</v>
      </c>
      <c r="G9563" s="5" t="s">
        <v>1481</v>
      </c>
      <c r="H9563" s="5" t="s">
        <v>1671</v>
      </c>
      <c r="I9563" s="5" t="s">
        <v>31</v>
      </c>
      <c r="J9563" s="5">
        <v>17.358492999999999</v>
      </c>
      <c r="K9563" s="5">
        <v>-96.293395000000004</v>
      </c>
      <c r="L9563" s="5" t="str">
        <f>HYPERLINK("https://maps.google.com/?q=17.358493,-96.293395000000004", "🔗 Ver Mapa")</f>
        <v>🔗 Ver Mapa</v>
      </c>
    </row>
    <row r="9564" spans="1:12" ht="43.5" x14ac:dyDescent="0.35">
      <c r="A9564" s="6" t="s">
        <v>288</v>
      </c>
      <c r="B9564" s="6" t="s">
        <v>289</v>
      </c>
      <c r="C9564" s="6" t="s">
        <v>1670</v>
      </c>
      <c r="D9564" s="6" t="s">
        <v>414</v>
      </c>
      <c r="E9564" s="6" t="s">
        <v>90</v>
      </c>
      <c r="F9564" s="6" t="s">
        <v>678</v>
      </c>
      <c r="G9564" s="6" t="s">
        <v>1481</v>
      </c>
      <c r="H9564" s="6" t="s">
        <v>1671</v>
      </c>
      <c r="I9564" s="6" t="s">
        <v>31</v>
      </c>
      <c r="J9564" s="6">
        <v>17.358515000000001</v>
      </c>
      <c r="K9564" s="6">
        <v>-96.294343999999995</v>
      </c>
      <c r="L9564" s="6" t="str">
        <f>HYPERLINK("https://maps.google.com/?q=17.358515,-96.294343999999995", "🔗 Ver Mapa")</f>
        <v>🔗 Ver Mapa</v>
      </c>
    </row>
    <row r="9565" spans="1:12" ht="43.5" x14ac:dyDescent="0.35">
      <c r="A9565" s="5" t="s">
        <v>288</v>
      </c>
      <c r="B9565" s="5" t="s">
        <v>289</v>
      </c>
      <c r="C9565" s="5" t="s">
        <v>1670</v>
      </c>
      <c r="D9565" s="5" t="s">
        <v>414</v>
      </c>
      <c r="E9565" s="5" t="s">
        <v>90</v>
      </c>
      <c r="F9565" s="5" t="s">
        <v>678</v>
      </c>
      <c r="G9565" s="5" t="s">
        <v>1481</v>
      </c>
      <c r="H9565" s="5" t="s">
        <v>1671</v>
      </c>
      <c r="I9565" s="5" t="s">
        <v>31</v>
      </c>
      <c r="J9565" s="5">
        <v>17.358858999999999</v>
      </c>
      <c r="K9565" s="5">
        <v>-96.293802999999997</v>
      </c>
      <c r="L9565" s="5" t="str">
        <f>HYPERLINK("https://maps.google.com/?q=17.358859,-96.293802999999997", "🔗 Ver Mapa")</f>
        <v>🔗 Ver Mapa</v>
      </c>
    </row>
    <row r="9566" spans="1:12" ht="43.5" x14ac:dyDescent="0.35">
      <c r="A9566" s="6" t="s">
        <v>288</v>
      </c>
      <c r="B9566" s="6" t="s">
        <v>289</v>
      </c>
      <c r="C9566" s="6" t="s">
        <v>1670</v>
      </c>
      <c r="D9566" s="6" t="s">
        <v>414</v>
      </c>
      <c r="E9566" s="6" t="s">
        <v>90</v>
      </c>
      <c r="F9566" s="6" t="s">
        <v>678</v>
      </c>
      <c r="G9566" s="6" t="s">
        <v>1481</v>
      </c>
      <c r="H9566" s="6" t="s">
        <v>1671</v>
      </c>
      <c r="I9566" s="6" t="s">
        <v>31</v>
      </c>
      <c r="J9566" s="6">
        <v>17.359213</v>
      </c>
      <c r="K9566" s="6">
        <v>-96.293873000000005</v>
      </c>
      <c r="L9566" s="6" t="str">
        <f>HYPERLINK("https://maps.google.com/?q=17.359213,-96.293873000000005", "🔗 Ver Mapa")</f>
        <v>🔗 Ver Mapa</v>
      </c>
    </row>
    <row r="9567" spans="1:12" ht="43.5" x14ac:dyDescent="0.35">
      <c r="A9567" s="5" t="s">
        <v>288</v>
      </c>
      <c r="B9567" s="5" t="s">
        <v>289</v>
      </c>
      <c r="C9567" s="5" t="s">
        <v>1670</v>
      </c>
      <c r="D9567" s="5" t="s">
        <v>414</v>
      </c>
      <c r="E9567" s="5" t="s">
        <v>90</v>
      </c>
      <c r="F9567" s="5" t="s">
        <v>678</v>
      </c>
      <c r="G9567" s="5" t="s">
        <v>1481</v>
      </c>
      <c r="H9567" s="5" t="s">
        <v>1671</v>
      </c>
      <c r="I9567" s="5" t="s">
        <v>31</v>
      </c>
      <c r="J9567" s="5">
        <v>17.359611000000001</v>
      </c>
      <c r="K9567" s="5">
        <v>-96.293980000000005</v>
      </c>
      <c r="L9567" s="5" t="str">
        <f>HYPERLINK("https://maps.google.com/?q=17.359611,-96.293980000000005", "🔗 Ver Mapa")</f>
        <v>🔗 Ver Mapa</v>
      </c>
    </row>
    <row r="9568" spans="1:12" ht="43.5" x14ac:dyDescent="0.35">
      <c r="A9568" s="6" t="s">
        <v>288</v>
      </c>
      <c r="B9568" s="6" t="s">
        <v>289</v>
      </c>
      <c r="C9568" s="6" t="s">
        <v>1670</v>
      </c>
      <c r="D9568" s="6" t="s">
        <v>414</v>
      </c>
      <c r="E9568" s="6" t="s">
        <v>90</v>
      </c>
      <c r="F9568" s="6" t="s">
        <v>678</v>
      </c>
      <c r="G9568" s="6" t="s">
        <v>1481</v>
      </c>
      <c r="H9568" s="6" t="s">
        <v>1671</v>
      </c>
      <c r="I9568" s="6" t="s">
        <v>31</v>
      </c>
      <c r="J9568" s="6">
        <v>17.359614000000001</v>
      </c>
      <c r="K9568" s="6">
        <v>-96.294178000000002</v>
      </c>
      <c r="L9568" s="6" t="str">
        <f>HYPERLINK("https://maps.google.com/?q=17.359614,-96.294178000000002", "🔗 Ver Mapa")</f>
        <v>🔗 Ver Mapa</v>
      </c>
    </row>
    <row r="9569" spans="1:12" ht="43.5" x14ac:dyDescent="0.35">
      <c r="A9569" s="5" t="s">
        <v>288</v>
      </c>
      <c r="B9569" s="5" t="s">
        <v>289</v>
      </c>
      <c r="C9569" s="5" t="s">
        <v>1670</v>
      </c>
      <c r="D9569" s="5" t="s">
        <v>414</v>
      </c>
      <c r="E9569" s="5" t="s">
        <v>90</v>
      </c>
      <c r="F9569" s="5" t="s">
        <v>678</v>
      </c>
      <c r="G9569" s="5" t="s">
        <v>1481</v>
      </c>
      <c r="H9569" s="5" t="s">
        <v>1671</v>
      </c>
      <c r="I9569" s="5" t="s">
        <v>31</v>
      </c>
      <c r="J9569" s="5">
        <v>17.360029000000001</v>
      </c>
      <c r="K9569" s="5">
        <v>-96.294105999999999</v>
      </c>
      <c r="L9569" s="5" t="str">
        <f>HYPERLINK("https://maps.google.com/?q=17.360029,-96.294105999999999", "🔗 Ver Mapa")</f>
        <v>🔗 Ver Mapa</v>
      </c>
    </row>
    <row r="9570" spans="1:12" ht="43.5" x14ac:dyDescent="0.35">
      <c r="A9570" s="6" t="s">
        <v>288</v>
      </c>
      <c r="B9570" s="6" t="s">
        <v>289</v>
      </c>
      <c r="C9570" s="6" t="s">
        <v>1670</v>
      </c>
      <c r="D9570" s="6" t="s">
        <v>414</v>
      </c>
      <c r="E9570" s="6" t="s">
        <v>90</v>
      </c>
      <c r="F9570" s="6" t="s">
        <v>678</v>
      </c>
      <c r="G9570" s="6" t="s">
        <v>1481</v>
      </c>
      <c r="H9570" s="6" t="s">
        <v>1671</v>
      </c>
      <c r="I9570" s="6" t="s">
        <v>31</v>
      </c>
      <c r="J9570" s="6">
        <v>17.360409000000001</v>
      </c>
      <c r="K9570" s="6">
        <v>-96.294222000000005</v>
      </c>
      <c r="L9570" s="6" t="str">
        <f>HYPERLINK("https://maps.google.com/?q=17.360409,-96.294222000000005", "🔗 Ver Mapa")</f>
        <v>🔗 Ver Mapa</v>
      </c>
    </row>
    <row r="9571" spans="1:12" ht="43.5" x14ac:dyDescent="0.35">
      <c r="A9571" s="5" t="s">
        <v>288</v>
      </c>
      <c r="B9571" s="5" t="s">
        <v>289</v>
      </c>
      <c r="C9571" s="5" t="s">
        <v>1670</v>
      </c>
      <c r="D9571" s="5" t="s">
        <v>414</v>
      </c>
      <c r="E9571" s="5" t="s">
        <v>90</v>
      </c>
      <c r="F9571" s="5" t="s">
        <v>678</v>
      </c>
      <c r="G9571" s="5" t="s">
        <v>1481</v>
      </c>
      <c r="H9571" s="5" t="s">
        <v>1671</v>
      </c>
      <c r="I9571" s="5" t="s">
        <v>31</v>
      </c>
      <c r="J9571" s="5">
        <v>17.360780999999999</v>
      </c>
      <c r="K9571" s="5">
        <v>-96.294319999999999</v>
      </c>
      <c r="L9571" s="5" t="str">
        <f>HYPERLINK("https://maps.google.com/?q=17.360781,-96.294319999999999", "🔗 Ver Mapa")</f>
        <v>🔗 Ver Mapa</v>
      </c>
    </row>
    <row r="9572" spans="1:12" ht="72.5" x14ac:dyDescent="0.35">
      <c r="A9572" s="6" t="s">
        <v>674</v>
      </c>
      <c r="B9572" s="6" t="s">
        <v>675</v>
      </c>
      <c r="C9572" s="6" t="s">
        <v>1672</v>
      </c>
      <c r="D9572" s="6" t="s">
        <v>677</v>
      </c>
      <c r="E9572" s="6" t="s">
        <v>16</v>
      </c>
      <c r="F9572" s="6" t="s">
        <v>21</v>
      </c>
      <c r="G9572" s="6" t="s">
        <v>1432</v>
      </c>
      <c r="H9572" s="6" t="s">
        <v>1433</v>
      </c>
      <c r="I9572" s="6" t="s">
        <v>31</v>
      </c>
      <c r="J9572" s="6">
        <v>17.183993999999998</v>
      </c>
      <c r="K9572" s="6">
        <v>-97.533951999999999</v>
      </c>
      <c r="L9572" s="6" t="str">
        <f>HYPERLINK("https://maps.google.com/?q=17.183994,-97.533952", "🔗 Ver Mapa")</f>
        <v>🔗 Ver Mapa</v>
      </c>
    </row>
    <row r="9573" spans="1:12" ht="72.5" x14ac:dyDescent="0.35">
      <c r="A9573" s="5" t="s">
        <v>674</v>
      </c>
      <c r="B9573" s="5" t="s">
        <v>675</v>
      </c>
      <c r="C9573" s="5" t="s">
        <v>1672</v>
      </c>
      <c r="D9573" s="5" t="s">
        <v>677</v>
      </c>
      <c r="E9573" s="5" t="s">
        <v>16</v>
      </c>
      <c r="F9573" s="5" t="s">
        <v>21</v>
      </c>
      <c r="G9573" s="5" t="s">
        <v>1432</v>
      </c>
      <c r="H9573" s="5" t="s">
        <v>1433</v>
      </c>
      <c r="I9573" s="5" t="s">
        <v>31</v>
      </c>
      <c r="J9573" s="5">
        <v>17.185565</v>
      </c>
      <c r="K9573" s="5">
        <v>-97.537288000000004</v>
      </c>
      <c r="L9573" s="5" t="str">
        <f>HYPERLINK("https://maps.google.com/?q=17.185565,-97.537288", "🔗 Ver Mapa")</f>
        <v>🔗 Ver Mapa</v>
      </c>
    </row>
    <row r="9574" spans="1:12" ht="72.5" x14ac:dyDescent="0.35">
      <c r="A9574" s="6" t="s">
        <v>674</v>
      </c>
      <c r="B9574" s="6" t="s">
        <v>675</v>
      </c>
      <c r="C9574" s="6" t="s">
        <v>1672</v>
      </c>
      <c r="D9574" s="6" t="s">
        <v>677</v>
      </c>
      <c r="E9574" s="6" t="s">
        <v>16</v>
      </c>
      <c r="F9574" s="6" t="s">
        <v>21</v>
      </c>
      <c r="G9574" s="6" t="s">
        <v>1432</v>
      </c>
      <c r="H9574" s="6" t="s">
        <v>1433</v>
      </c>
      <c r="I9574" s="6" t="s">
        <v>31</v>
      </c>
      <c r="J9574" s="6">
        <v>17.187459</v>
      </c>
      <c r="K9574" s="6">
        <v>-97.540203000000005</v>
      </c>
      <c r="L9574" s="6" t="str">
        <f>HYPERLINK("https://maps.google.com/?q=17.187459,-97.540203", "🔗 Ver Mapa")</f>
        <v>🔗 Ver Mapa</v>
      </c>
    </row>
    <row r="9575" spans="1:12" ht="72.5" x14ac:dyDescent="0.35">
      <c r="A9575" s="5" t="s">
        <v>674</v>
      </c>
      <c r="B9575" s="5" t="s">
        <v>675</v>
      </c>
      <c r="C9575" s="5" t="s">
        <v>1673</v>
      </c>
      <c r="D9575" s="5" t="s">
        <v>677</v>
      </c>
      <c r="E9575" s="5" t="s">
        <v>17</v>
      </c>
      <c r="F9575" s="5" t="s">
        <v>46</v>
      </c>
      <c r="G9575" s="5" t="s">
        <v>152</v>
      </c>
      <c r="H9575" s="5" t="s">
        <v>1674</v>
      </c>
      <c r="I9575" s="5" t="s">
        <v>31</v>
      </c>
      <c r="J9575" s="5">
        <v>16.225292</v>
      </c>
      <c r="K9575" s="5">
        <v>-97.143073000000001</v>
      </c>
      <c r="L9575" s="5" t="str">
        <f>HYPERLINK("https://maps.google.com/?q=16.225292,-97.143073", "🔗 Ver Mapa")</f>
        <v>🔗 Ver Mapa</v>
      </c>
    </row>
    <row r="9576" spans="1:12" ht="72.5" x14ac:dyDescent="0.35">
      <c r="A9576" s="6" t="s">
        <v>674</v>
      </c>
      <c r="B9576" s="6" t="s">
        <v>675</v>
      </c>
      <c r="C9576" s="6" t="s">
        <v>1673</v>
      </c>
      <c r="D9576" s="6" t="s">
        <v>677</v>
      </c>
      <c r="E9576" s="6" t="s">
        <v>17</v>
      </c>
      <c r="F9576" s="6" t="s">
        <v>46</v>
      </c>
      <c r="G9576" s="6" t="s">
        <v>152</v>
      </c>
      <c r="H9576" s="6" t="s">
        <v>1674</v>
      </c>
      <c r="I9576" s="6" t="s">
        <v>31</v>
      </c>
      <c r="J9576" s="6">
        <v>16.226223999999998</v>
      </c>
      <c r="K9576" s="6">
        <v>-97.140867</v>
      </c>
      <c r="L9576" s="6" t="str">
        <f>HYPERLINK("https://maps.google.com/?q=16.226224,-97.140867", "🔗 Ver Mapa")</f>
        <v>🔗 Ver Mapa</v>
      </c>
    </row>
    <row r="9577" spans="1:12" ht="72.5" x14ac:dyDescent="0.35">
      <c r="A9577" s="5" t="s">
        <v>674</v>
      </c>
      <c r="B9577" s="5" t="s">
        <v>675</v>
      </c>
      <c r="C9577" s="5" t="s">
        <v>1673</v>
      </c>
      <c r="D9577" s="5" t="s">
        <v>677</v>
      </c>
      <c r="E9577" s="5" t="s">
        <v>17</v>
      </c>
      <c r="F9577" s="5" t="s">
        <v>46</v>
      </c>
      <c r="G9577" s="5" t="s">
        <v>152</v>
      </c>
      <c r="H9577" s="5" t="s">
        <v>1674</v>
      </c>
      <c r="I9577" s="5" t="s">
        <v>31</v>
      </c>
      <c r="J9577" s="5">
        <v>16.227912</v>
      </c>
      <c r="K9577" s="5">
        <v>-97.140035999999995</v>
      </c>
      <c r="L9577" s="5" t="str">
        <f>HYPERLINK("https://maps.google.com/?q=16.227912,-97.140036", "🔗 Ver Mapa")</f>
        <v>🔗 Ver Mapa</v>
      </c>
    </row>
    <row r="9578" spans="1:12" ht="72.5" x14ac:dyDescent="0.35">
      <c r="A9578" s="6" t="s">
        <v>674</v>
      </c>
      <c r="B9578" s="6" t="s">
        <v>675</v>
      </c>
      <c r="C9578" s="6" t="s">
        <v>1675</v>
      </c>
      <c r="D9578" s="6" t="s">
        <v>677</v>
      </c>
      <c r="E9578" s="6" t="s">
        <v>17</v>
      </c>
      <c r="F9578" s="6" t="s">
        <v>20</v>
      </c>
      <c r="G9578" s="6" t="s">
        <v>77</v>
      </c>
      <c r="H9578" s="6" t="s">
        <v>1676</v>
      </c>
      <c r="I9578" s="6" t="s">
        <v>31</v>
      </c>
      <c r="J9578" s="6">
        <v>15.893248</v>
      </c>
      <c r="K9578" s="6">
        <v>-96.685452999999995</v>
      </c>
      <c r="L9578" s="6" t="str">
        <f>HYPERLINK("https://maps.google.com/?q=15.893248,-96.685453", "🔗 Ver Mapa")</f>
        <v>🔗 Ver Mapa</v>
      </c>
    </row>
    <row r="9579" spans="1:12" ht="72.5" x14ac:dyDescent="0.35">
      <c r="A9579" s="5" t="s">
        <v>674</v>
      </c>
      <c r="B9579" s="5" t="s">
        <v>675</v>
      </c>
      <c r="C9579" s="5" t="s">
        <v>1675</v>
      </c>
      <c r="D9579" s="5" t="s">
        <v>677</v>
      </c>
      <c r="E9579" s="5" t="s">
        <v>17</v>
      </c>
      <c r="F9579" s="5" t="s">
        <v>20</v>
      </c>
      <c r="G9579" s="5" t="s">
        <v>77</v>
      </c>
      <c r="H9579" s="5" t="s">
        <v>1676</v>
      </c>
      <c r="I9579" s="5" t="s">
        <v>31</v>
      </c>
      <c r="J9579" s="5">
        <v>15.897743</v>
      </c>
      <c r="K9579" s="5">
        <v>-96.687396000000007</v>
      </c>
      <c r="L9579" s="5" t="str">
        <f>HYPERLINK("https://maps.google.com/?q=15.897743,-96.687396", "🔗 Ver Mapa")</f>
        <v>🔗 Ver Mapa</v>
      </c>
    </row>
    <row r="9580" spans="1:12" ht="72.5" x14ac:dyDescent="0.35">
      <c r="A9580" s="6" t="s">
        <v>674</v>
      </c>
      <c r="B9580" s="6" t="s">
        <v>675</v>
      </c>
      <c r="C9580" s="6" t="s">
        <v>1675</v>
      </c>
      <c r="D9580" s="6" t="s">
        <v>677</v>
      </c>
      <c r="E9580" s="6" t="s">
        <v>17</v>
      </c>
      <c r="F9580" s="6" t="s">
        <v>20</v>
      </c>
      <c r="G9580" s="6" t="s">
        <v>77</v>
      </c>
      <c r="H9580" s="6" t="s">
        <v>1676</v>
      </c>
      <c r="I9580" s="6" t="s">
        <v>31</v>
      </c>
      <c r="J9580" s="6">
        <v>15.899917</v>
      </c>
      <c r="K9580" s="6">
        <v>-96.692018000000004</v>
      </c>
      <c r="L9580" s="6" t="str">
        <f>HYPERLINK("https://maps.google.com/?q=15.899917,-96.692018", "🔗 Ver Mapa")</f>
        <v>🔗 Ver Mapa</v>
      </c>
    </row>
    <row r="9581" spans="1:12" ht="43.5" x14ac:dyDescent="0.35">
      <c r="A9581" s="5" t="s">
        <v>98</v>
      </c>
      <c r="B9581" s="5" t="s">
        <v>99</v>
      </c>
      <c r="C9581" s="5" t="s">
        <v>1677</v>
      </c>
      <c r="D9581" s="5" t="s">
        <v>14</v>
      </c>
      <c r="E9581" s="5" t="s">
        <v>110</v>
      </c>
      <c r="F9581" s="5" t="s">
        <v>126</v>
      </c>
      <c r="G9581" s="5" t="s">
        <v>894</v>
      </c>
      <c r="H9581" s="5" t="s">
        <v>1678</v>
      </c>
      <c r="I9581" s="5" t="s">
        <v>31</v>
      </c>
      <c r="J9581" s="5">
        <v>17.998861173367999</v>
      </c>
      <c r="K9581" s="5">
        <v>-96.761134553896994</v>
      </c>
      <c r="L9581" s="5" t="str">
        <f>HYPERLINK("https://maps.google.com/?q=17.9988611733685,-96.761134553897307", "🔗 Ver Mapa")</f>
        <v>🔗 Ver Mapa</v>
      </c>
    </row>
    <row r="9582" spans="1:12" ht="43.5" x14ac:dyDescent="0.35">
      <c r="A9582" s="6" t="s">
        <v>98</v>
      </c>
      <c r="B9582" s="6" t="s">
        <v>99</v>
      </c>
      <c r="C9582" s="6" t="s">
        <v>1679</v>
      </c>
      <c r="D9582" s="6" t="s">
        <v>14</v>
      </c>
      <c r="E9582" s="6" t="s">
        <v>110</v>
      </c>
      <c r="F9582" s="6" t="s">
        <v>126</v>
      </c>
      <c r="G9582" s="6" t="s">
        <v>894</v>
      </c>
      <c r="H9582" s="6" t="s">
        <v>1680</v>
      </c>
      <c r="I9582" s="6" t="s">
        <v>31</v>
      </c>
      <c r="J9582" s="6">
        <v>17.999079946161</v>
      </c>
      <c r="K9582" s="6">
        <v>-96.754548959147002</v>
      </c>
      <c r="L9582" s="6" t="str">
        <f>HYPERLINK("https://maps.google.com/?q=17.9990799461614,-96.754548959147201", "🔗 Ver Mapa")</f>
        <v>🔗 Ver Mapa</v>
      </c>
    </row>
    <row r="9583" spans="1:12" ht="43.5" x14ac:dyDescent="0.35">
      <c r="A9583" s="5" t="s">
        <v>98</v>
      </c>
      <c r="B9583" s="5" t="s">
        <v>99</v>
      </c>
      <c r="C9583" s="5" t="s">
        <v>1679</v>
      </c>
      <c r="D9583" s="5" t="s">
        <v>14</v>
      </c>
      <c r="E9583" s="5" t="s">
        <v>110</v>
      </c>
      <c r="F9583" s="5" t="s">
        <v>126</v>
      </c>
      <c r="G9583" s="5" t="s">
        <v>894</v>
      </c>
      <c r="H9583" s="5" t="s">
        <v>1680</v>
      </c>
      <c r="I9583" s="5" t="s">
        <v>31</v>
      </c>
      <c r="J9583" s="5">
        <v>17.999096674714998</v>
      </c>
      <c r="K9583" s="5">
        <v>-96.754254547776</v>
      </c>
      <c r="L9583" s="5" t="str">
        <f>HYPERLINK("https://maps.google.com/?q=17.9990966747155,-96.754254547775503", "🔗 Ver Mapa")</f>
        <v>🔗 Ver Mapa</v>
      </c>
    </row>
    <row r="9584" spans="1:12" ht="43.5" x14ac:dyDescent="0.35">
      <c r="A9584" s="6" t="s">
        <v>98</v>
      </c>
      <c r="B9584" s="6" t="s">
        <v>99</v>
      </c>
      <c r="C9584" s="6" t="s">
        <v>1681</v>
      </c>
      <c r="D9584" s="6" t="s">
        <v>14</v>
      </c>
      <c r="E9584" s="6" t="s">
        <v>110</v>
      </c>
      <c r="F9584" s="6" t="s">
        <v>126</v>
      </c>
      <c r="G9584" s="6" t="s">
        <v>894</v>
      </c>
      <c r="H9584" s="6" t="s">
        <v>895</v>
      </c>
      <c r="I9584" s="6" t="s">
        <v>31</v>
      </c>
      <c r="J9584" s="6">
        <v>17.989466193641</v>
      </c>
      <c r="K9584" s="6">
        <v>-96.738608828549005</v>
      </c>
      <c r="L9584" s="6" t="str">
        <f>HYPERLINK("https://maps.google.com/?q=17.9894661936408,-96.738608828549005", "🔗 Ver Mapa")</f>
        <v>🔗 Ver Mapa</v>
      </c>
    </row>
    <row r="9585" spans="1:12" ht="43.5" x14ac:dyDescent="0.35">
      <c r="A9585" s="5" t="s">
        <v>98</v>
      </c>
      <c r="B9585" s="5" t="s">
        <v>99</v>
      </c>
      <c r="C9585" s="5" t="s">
        <v>1681</v>
      </c>
      <c r="D9585" s="5" t="s">
        <v>14</v>
      </c>
      <c r="E9585" s="5" t="s">
        <v>110</v>
      </c>
      <c r="F9585" s="5" t="s">
        <v>126</v>
      </c>
      <c r="G9585" s="5" t="s">
        <v>894</v>
      </c>
      <c r="H9585" s="5" t="s">
        <v>895</v>
      </c>
      <c r="I9585" s="5" t="s">
        <v>31</v>
      </c>
      <c r="J9585" s="5">
        <v>17.989552930498999</v>
      </c>
      <c r="K9585" s="5">
        <v>-96.738788536553002</v>
      </c>
      <c r="L9585" s="5" t="str">
        <f>HYPERLINK("https://maps.google.com/?q=17.9895529304993,-96.738788536552804", "🔗 Ver Mapa")</f>
        <v>🔗 Ver Mapa</v>
      </c>
    </row>
    <row r="9586" spans="1:12" ht="43.5" x14ac:dyDescent="0.35">
      <c r="A9586" s="6" t="s">
        <v>98</v>
      </c>
      <c r="B9586" s="6" t="s">
        <v>99</v>
      </c>
      <c r="C9586" s="6" t="s">
        <v>1681</v>
      </c>
      <c r="D9586" s="6" t="s">
        <v>14</v>
      </c>
      <c r="E9586" s="6" t="s">
        <v>110</v>
      </c>
      <c r="F9586" s="6" t="s">
        <v>126</v>
      </c>
      <c r="G9586" s="6" t="s">
        <v>894</v>
      </c>
      <c r="H9586" s="6" t="s">
        <v>895</v>
      </c>
      <c r="I9586" s="6" t="s">
        <v>31</v>
      </c>
      <c r="J9586" s="6">
        <v>17.989577977016001</v>
      </c>
      <c r="K9586" s="6">
        <v>-96.738468636874998</v>
      </c>
      <c r="L9586" s="6" t="str">
        <f>HYPERLINK("https://maps.google.com/?q=17.9895779770164,-96.7384686368747", "🔗 Ver Mapa")</f>
        <v>🔗 Ver Mapa</v>
      </c>
    </row>
    <row r="9587" spans="1:12" ht="43.5" x14ac:dyDescent="0.35">
      <c r="A9587" s="5" t="s">
        <v>98</v>
      </c>
      <c r="B9587" s="5" t="s">
        <v>99</v>
      </c>
      <c r="C9587" s="5" t="s">
        <v>1681</v>
      </c>
      <c r="D9587" s="5" t="s">
        <v>14</v>
      </c>
      <c r="E9587" s="5" t="s">
        <v>110</v>
      </c>
      <c r="F9587" s="5" t="s">
        <v>126</v>
      </c>
      <c r="G9587" s="5" t="s">
        <v>894</v>
      </c>
      <c r="H9587" s="5" t="s">
        <v>895</v>
      </c>
      <c r="I9587" s="5" t="s">
        <v>31</v>
      </c>
      <c r="J9587" s="5">
        <v>17.989654316616999</v>
      </c>
      <c r="K9587" s="5">
        <v>-96.738384818089997</v>
      </c>
      <c r="L9587" s="5" t="str">
        <f>HYPERLINK("https://maps.google.com/?q=17.9896543166173,-96.738384818090196", "🔗 Ver Mapa")</f>
        <v>🔗 Ver Mapa</v>
      </c>
    </row>
    <row r="9588" spans="1:12" ht="43.5" x14ac:dyDescent="0.35">
      <c r="A9588" s="6" t="s">
        <v>98</v>
      </c>
      <c r="B9588" s="6" t="s">
        <v>99</v>
      </c>
      <c r="C9588" s="6" t="s">
        <v>1681</v>
      </c>
      <c r="D9588" s="6" t="s">
        <v>14</v>
      </c>
      <c r="E9588" s="6" t="s">
        <v>110</v>
      </c>
      <c r="F9588" s="6" t="s">
        <v>126</v>
      </c>
      <c r="G9588" s="6" t="s">
        <v>894</v>
      </c>
      <c r="H9588" s="6" t="s">
        <v>895</v>
      </c>
      <c r="I9588" s="6" t="s">
        <v>31</v>
      </c>
      <c r="J9588" s="6">
        <v>17.991615292974</v>
      </c>
      <c r="K9588" s="6">
        <v>-96.746805572436998</v>
      </c>
      <c r="L9588" s="6" t="str">
        <f>HYPERLINK("https://maps.google.com/?q=17.9916152929739,-96.746805572437495", "🔗 Ver Mapa")</f>
        <v>🔗 Ver Mapa</v>
      </c>
    </row>
    <row r="9589" spans="1:12" ht="43.5" x14ac:dyDescent="0.35">
      <c r="A9589" s="5" t="s">
        <v>98</v>
      </c>
      <c r="B9589" s="5" t="s">
        <v>99</v>
      </c>
      <c r="C9589" s="5" t="s">
        <v>1681</v>
      </c>
      <c r="D9589" s="5" t="s">
        <v>14</v>
      </c>
      <c r="E9589" s="5" t="s">
        <v>110</v>
      </c>
      <c r="F9589" s="5" t="s">
        <v>126</v>
      </c>
      <c r="G9589" s="5" t="s">
        <v>894</v>
      </c>
      <c r="H9589" s="5" t="s">
        <v>895</v>
      </c>
      <c r="I9589" s="5" t="s">
        <v>31</v>
      </c>
      <c r="J9589" s="5">
        <v>17.992125500722999</v>
      </c>
      <c r="K9589" s="5">
        <v>-96.744658856507996</v>
      </c>
      <c r="L9589" s="5" t="str">
        <f>HYPERLINK("https://maps.google.com/?q=17.9921255007234,-96.744658856508195", "🔗 Ver Mapa")</f>
        <v>🔗 Ver Mapa</v>
      </c>
    </row>
    <row r="9590" spans="1:12" ht="43.5" x14ac:dyDescent="0.35">
      <c r="A9590" s="6" t="s">
        <v>98</v>
      </c>
      <c r="B9590" s="6" t="s">
        <v>99</v>
      </c>
      <c r="C9590" s="6" t="s">
        <v>1681</v>
      </c>
      <c r="D9590" s="6" t="s">
        <v>14</v>
      </c>
      <c r="E9590" s="6" t="s">
        <v>110</v>
      </c>
      <c r="F9590" s="6" t="s">
        <v>126</v>
      </c>
      <c r="G9590" s="6" t="s">
        <v>894</v>
      </c>
      <c r="H9590" s="6" t="s">
        <v>895</v>
      </c>
      <c r="I9590" s="6" t="s">
        <v>31</v>
      </c>
      <c r="J9590" s="6">
        <v>17.992173970595001</v>
      </c>
      <c r="K9590" s="6">
        <v>-96.744592749587</v>
      </c>
      <c r="L9590" s="6" t="str">
        <f>HYPERLINK("https://maps.google.com/?q=17.9921739705955,-96.7445927495869", "🔗 Ver Mapa")</f>
        <v>🔗 Ver Mapa</v>
      </c>
    </row>
    <row r="9591" spans="1:12" ht="43.5" x14ac:dyDescent="0.35">
      <c r="A9591" s="5" t="s">
        <v>98</v>
      </c>
      <c r="B9591" s="5" t="s">
        <v>99</v>
      </c>
      <c r="C9591" s="5" t="s">
        <v>1681</v>
      </c>
      <c r="D9591" s="5" t="s">
        <v>14</v>
      </c>
      <c r="E9591" s="5" t="s">
        <v>110</v>
      </c>
      <c r="F9591" s="5" t="s">
        <v>126</v>
      </c>
      <c r="G9591" s="5" t="s">
        <v>894</v>
      </c>
      <c r="H9591" s="5" t="s">
        <v>895</v>
      </c>
      <c r="I9591" s="5" t="s">
        <v>31</v>
      </c>
      <c r="J9591" s="5">
        <v>17.992338111809001</v>
      </c>
      <c r="K9591" s="5">
        <v>-96.744203528634003</v>
      </c>
      <c r="L9591" s="5" t="str">
        <f>HYPERLINK("https://maps.google.com/?q=17.9923381118092,-96.744203528634202", "🔗 Ver Mapa")</f>
        <v>🔗 Ver Mapa</v>
      </c>
    </row>
    <row r="9592" spans="1:12" ht="43.5" x14ac:dyDescent="0.35">
      <c r="A9592" s="6" t="s">
        <v>98</v>
      </c>
      <c r="B9592" s="6" t="s">
        <v>99</v>
      </c>
      <c r="C9592" s="6" t="s">
        <v>1681</v>
      </c>
      <c r="D9592" s="6" t="s">
        <v>14</v>
      </c>
      <c r="E9592" s="6" t="s">
        <v>110</v>
      </c>
      <c r="F9592" s="6" t="s">
        <v>126</v>
      </c>
      <c r="G9592" s="6" t="s">
        <v>894</v>
      </c>
      <c r="H9592" s="6" t="s">
        <v>895</v>
      </c>
      <c r="I9592" s="6" t="s">
        <v>31</v>
      </c>
      <c r="J9592" s="6">
        <v>17.992378702065999</v>
      </c>
      <c r="K9592" s="6">
        <v>-96.739061099634995</v>
      </c>
      <c r="L9592" s="6" t="str">
        <f>HYPERLINK("https://maps.google.com/?q=17.9923787020656,-96.739061099634696", "🔗 Ver Mapa")</f>
        <v>🔗 Ver Mapa</v>
      </c>
    </row>
    <row r="9593" spans="1:12" ht="43.5" x14ac:dyDescent="0.35">
      <c r="A9593" s="5" t="s">
        <v>98</v>
      </c>
      <c r="B9593" s="5" t="s">
        <v>99</v>
      </c>
      <c r="C9593" s="5" t="s">
        <v>1681</v>
      </c>
      <c r="D9593" s="5" t="s">
        <v>14</v>
      </c>
      <c r="E9593" s="5" t="s">
        <v>110</v>
      </c>
      <c r="F9593" s="5" t="s">
        <v>126</v>
      </c>
      <c r="G9593" s="5" t="s">
        <v>894</v>
      </c>
      <c r="H9593" s="5" t="s">
        <v>895</v>
      </c>
      <c r="I9593" s="5" t="s">
        <v>31</v>
      </c>
      <c r="J9593" s="5">
        <v>17.992763249026002</v>
      </c>
      <c r="K9593" s="5">
        <v>-96.746838737987005</v>
      </c>
      <c r="L9593" s="5" t="str">
        <f>HYPERLINK("https://maps.google.com/?q=17.9927632490258,-96.746838737986593", "🔗 Ver Mapa")</f>
        <v>🔗 Ver Mapa</v>
      </c>
    </row>
    <row r="9594" spans="1:12" ht="43.5" x14ac:dyDescent="0.35">
      <c r="A9594" s="6" t="s">
        <v>98</v>
      </c>
      <c r="B9594" s="6" t="s">
        <v>99</v>
      </c>
      <c r="C9594" s="6" t="s">
        <v>1681</v>
      </c>
      <c r="D9594" s="6" t="s">
        <v>14</v>
      </c>
      <c r="E9594" s="6" t="s">
        <v>110</v>
      </c>
      <c r="F9594" s="6" t="s">
        <v>126</v>
      </c>
      <c r="G9594" s="6" t="s">
        <v>894</v>
      </c>
      <c r="H9594" s="6" t="s">
        <v>895</v>
      </c>
      <c r="I9594" s="6" t="s">
        <v>31</v>
      </c>
      <c r="J9594" s="6">
        <v>17.992858755244999</v>
      </c>
      <c r="K9594" s="6">
        <v>-96.746880118267001</v>
      </c>
      <c r="L9594" s="6" t="str">
        <f>HYPERLINK("https://maps.google.com/?q=17.9928587552453,-96.746880118266503", "🔗 Ver Mapa")</f>
        <v>🔗 Ver Mapa</v>
      </c>
    </row>
    <row r="9595" spans="1:12" ht="43.5" x14ac:dyDescent="0.35">
      <c r="A9595" s="5" t="s">
        <v>98</v>
      </c>
      <c r="B9595" s="5" t="s">
        <v>99</v>
      </c>
      <c r="C9595" s="5" t="s">
        <v>1681</v>
      </c>
      <c r="D9595" s="5" t="s">
        <v>14</v>
      </c>
      <c r="E9595" s="5" t="s">
        <v>110</v>
      </c>
      <c r="F9595" s="5" t="s">
        <v>126</v>
      </c>
      <c r="G9595" s="5" t="s">
        <v>894</v>
      </c>
      <c r="H9595" s="5" t="s">
        <v>895</v>
      </c>
      <c r="I9595" s="5" t="s">
        <v>31</v>
      </c>
      <c r="J9595" s="5">
        <v>17.993107855577001</v>
      </c>
      <c r="K9595" s="5">
        <v>-96.739807833808001</v>
      </c>
      <c r="L9595" s="5" t="str">
        <f>HYPERLINK("https://maps.google.com/?q=17.9931078555767,-96.739807833808001", "🔗 Ver Mapa")</f>
        <v>🔗 Ver Mapa</v>
      </c>
    </row>
    <row r="9596" spans="1:12" ht="43.5" x14ac:dyDescent="0.35">
      <c r="A9596" s="6" t="s">
        <v>98</v>
      </c>
      <c r="B9596" s="6" t="s">
        <v>99</v>
      </c>
      <c r="C9596" s="6" t="s">
        <v>1681</v>
      </c>
      <c r="D9596" s="6" t="s">
        <v>14</v>
      </c>
      <c r="E9596" s="6" t="s">
        <v>110</v>
      </c>
      <c r="F9596" s="6" t="s">
        <v>126</v>
      </c>
      <c r="G9596" s="6" t="s">
        <v>894</v>
      </c>
      <c r="H9596" s="6" t="s">
        <v>895</v>
      </c>
      <c r="I9596" s="6" t="s">
        <v>31</v>
      </c>
      <c r="J9596" s="6">
        <v>17.993589803641001</v>
      </c>
      <c r="K9596" s="6">
        <v>-96.744734290528996</v>
      </c>
      <c r="L9596" s="6" t="str">
        <f>HYPERLINK("https://maps.google.com/?q=17.9935898036411,-96.744734290528896", "🔗 Ver Mapa")</f>
        <v>🔗 Ver Mapa</v>
      </c>
    </row>
    <row r="9597" spans="1:12" ht="43.5" x14ac:dyDescent="0.35">
      <c r="A9597" s="5" t="s">
        <v>98</v>
      </c>
      <c r="B9597" s="5" t="s">
        <v>99</v>
      </c>
      <c r="C9597" s="5" t="s">
        <v>1681</v>
      </c>
      <c r="D9597" s="5" t="s">
        <v>14</v>
      </c>
      <c r="E9597" s="5" t="s">
        <v>110</v>
      </c>
      <c r="F9597" s="5" t="s">
        <v>126</v>
      </c>
      <c r="G9597" s="5" t="s">
        <v>894</v>
      </c>
      <c r="H9597" s="5" t="s">
        <v>895</v>
      </c>
      <c r="I9597" s="5" t="s">
        <v>31</v>
      </c>
      <c r="J9597" s="5">
        <v>17.993813441813</v>
      </c>
      <c r="K9597" s="5">
        <v>-96.745337653909999</v>
      </c>
      <c r="L9597" s="5" t="str">
        <f>HYPERLINK("https://maps.google.com/?q=17.9938134418126,-96.7453376539098", "🔗 Ver Mapa")</f>
        <v>🔗 Ver Mapa</v>
      </c>
    </row>
    <row r="9598" spans="1:12" ht="43.5" x14ac:dyDescent="0.35">
      <c r="A9598" s="6" t="s">
        <v>98</v>
      </c>
      <c r="B9598" s="6" t="s">
        <v>99</v>
      </c>
      <c r="C9598" s="6" t="s">
        <v>1681</v>
      </c>
      <c r="D9598" s="6" t="s">
        <v>14</v>
      </c>
      <c r="E9598" s="6" t="s">
        <v>110</v>
      </c>
      <c r="F9598" s="6" t="s">
        <v>126</v>
      </c>
      <c r="G9598" s="6" t="s">
        <v>894</v>
      </c>
      <c r="H9598" s="6" t="s">
        <v>895</v>
      </c>
      <c r="I9598" s="6" t="s">
        <v>31</v>
      </c>
      <c r="J9598" s="6">
        <v>17.994729382294999</v>
      </c>
      <c r="K9598" s="6">
        <v>-96.745216904667004</v>
      </c>
      <c r="L9598" s="6" t="str">
        <f>HYPERLINK("https://maps.google.com/?q=17.9947293822949,-96.745216904666904", "🔗 Ver Mapa")</f>
        <v>🔗 Ver Mapa</v>
      </c>
    </row>
    <row r="9599" spans="1:12" ht="43.5" x14ac:dyDescent="0.35">
      <c r="A9599" s="5" t="s">
        <v>98</v>
      </c>
      <c r="B9599" s="5" t="s">
        <v>99</v>
      </c>
      <c r="C9599" s="5" t="s">
        <v>1681</v>
      </c>
      <c r="D9599" s="5" t="s">
        <v>14</v>
      </c>
      <c r="E9599" s="5" t="s">
        <v>110</v>
      </c>
      <c r="F9599" s="5" t="s">
        <v>126</v>
      </c>
      <c r="G9599" s="5" t="s">
        <v>894</v>
      </c>
      <c r="H9599" s="5" t="s">
        <v>895</v>
      </c>
      <c r="I9599" s="5" t="s">
        <v>31</v>
      </c>
      <c r="J9599" s="5">
        <v>17.995584313193</v>
      </c>
      <c r="K9599" s="5">
        <v>-96.741228535955997</v>
      </c>
      <c r="L9599" s="5" t="str">
        <f>HYPERLINK("https://maps.google.com/?q=17.9955843131934,-96.741228535955898", "🔗 Ver Mapa")</f>
        <v>🔗 Ver Mapa</v>
      </c>
    </row>
    <row r="9600" spans="1:12" ht="43.5" x14ac:dyDescent="0.35">
      <c r="A9600" s="6" t="s">
        <v>98</v>
      </c>
      <c r="B9600" s="6" t="s">
        <v>99</v>
      </c>
      <c r="C9600" s="6" t="s">
        <v>1681</v>
      </c>
      <c r="D9600" s="6" t="s">
        <v>14</v>
      </c>
      <c r="E9600" s="6" t="s">
        <v>110</v>
      </c>
      <c r="F9600" s="6" t="s">
        <v>126</v>
      </c>
      <c r="G9600" s="6" t="s">
        <v>894</v>
      </c>
      <c r="H9600" s="6" t="s">
        <v>895</v>
      </c>
      <c r="I9600" s="6" t="s">
        <v>31</v>
      </c>
      <c r="J9600" s="6">
        <v>17.995664910991</v>
      </c>
      <c r="K9600" s="6">
        <v>-96.743459120412993</v>
      </c>
      <c r="L9600" s="6" t="str">
        <f>HYPERLINK("https://maps.google.com/?q=17.9956649109906,-96.743459120412794", "🔗 Ver Mapa")</f>
        <v>🔗 Ver Mapa</v>
      </c>
    </row>
    <row r="9601" spans="1:12" ht="43.5" x14ac:dyDescent="0.35">
      <c r="A9601" s="5" t="s">
        <v>98</v>
      </c>
      <c r="B9601" s="5" t="s">
        <v>99</v>
      </c>
      <c r="C9601" s="5" t="s">
        <v>1681</v>
      </c>
      <c r="D9601" s="5" t="s">
        <v>14</v>
      </c>
      <c r="E9601" s="5" t="s">
        <v>110</v>
      </c>
      <c r="F9601" s="5" t="s">
        <v>126</v>
      </c>
      <c r="G9601" s="5" t="s">
        <v>894</v>
      </c>
      <c r="H9601" s="5" t="s">
        <v>895</v>
      </c>
      <c r="I9601" s="5" t="s">
        <v>31</v>
      </c>
      <c r="J9601" s="5">
        <v>17.995696631495999</v>
      </c>
      <c r="K9601" s="5">
        <v>-96.743783902225999</v>
      </c>
      <c r="L9601" s="5" t="str">
        <f>HYPERLINK("https://maps.google.com/?q=17.9956966314964,-96.7437839022258", "🔗 Ver Mapa")</f>
        <v>🔗 Ver Mapa</v>
      </c>
    </row>
    <row r="9602" spans="1:12" ht="43.5" x14ac:dyDescent="0.35">
      <c r="A9602" s="6" t="s">
        <v>98</v>
      </c>
      <c r="B9602" s="6" t="s">
        <v>99</v>
      </c>
      <c r="C9602" s="6" t="s">
        <v>1681</v>
      </c>
      <c r="D9602" s="6" t="s">
        <v>14</v>
      </c>
      <c r="E9602" s="6" t="s">
        <v>110</v>
      </c>
      <c r="F9602" s="6" t="s">
        <v>126</v>
      </c>
      <c r="G9602" s="6" t="s">
        <v>894</v>
      </c>
      <c r="H9602" s="6" t="s">
        <v>895</v>
      </c>
      <c r="I9602" s="6" t="s">
        <v>31</v>
      </c>
      <c r="J9602" s="6">
        <v>17.995858298645</v>
      </c>
      <c r="K9602" s="6">
        <v>-96.746702965582003</v>
      </c>
      <c r="L9602" s="6" t="str">
        <f>HYPERLINK("https://maps.google.com/?q=17.9958582986446,-96.746702965582003", "🔗 Ver Mapa")</f>
        <v>🔗 Ver Mapa</v>
      </c>
    </row>
    <row r="9603" spans="1:12" ht="43.5" x14ac:dyDescent="0.35">
      <c r="A9603" s="5" t="s">
        <v>98</v>
      </c>
      <c r="B9603" s="5" t="s">
        <v>99</v>
      </c>
      <c r="C9603" s="5" t="s">
        <v>1681</v>
      </c>
      <c r="D9603" s="5" t="s">
        <v>14</v>
      </c>
      <c r="E9603" s="5" t="s">
        <v>110</v>
      </c>
      <c r="F9603" s="5" t="s">
        <v>126</v>
      </c>
      <c r="G9603" s="5" t="s">
        <v>894</v>
      </c>
      <c r="H9603" s="5" t="s">
        <v>895</v>
      </c>
      <c r="I9603" s="5" t="s">
        <v>31</v>
      </c>
      <c r="J9603" s="5">
        <v>17.995963713919998</v>
      </c>
      <c r="K9603" s="5">
        <v>-96.741709519013995</v>
      </c>
      <c r="L9603" s="5" t="str">
        <f>HYPERLINK("https://maps.google.com/?q=17.9959637139196,-96.741709519014407", "🔗 Ver Mapa")</f>
        <v>🔗 Ver Mapa</v>
      </c>
    </row>
    <row r="9604" spans="1:12" ht="43.5" x14ac:dyDescent="0.35">
      <c r="A9604" s="6" t="s">
        <v>98</v>
      </c>
      <c r="B9604" s="6" t="s">
        <v>99</v>
      </c>
      <c r="C9604" s="6" t="s">
        <v>1681</v>
      </c>
      <c r="D9604" s="6" t="s">
        <v>14</v>
      </c>
      <c r="E9604" s="6" t="s">
        <v>110</v>
      </c>
      <c r="F9604" s="6" t="s">
        <v>126</v>
      </c>
      <c r="G9604" s="6" t="s">
        <v>894</v>
      </c>
      <c r="H9604" s="6" t="s">
        <v>895</v>
      </c>
      <c r="I9604" s="6" t="s">
        <v>31</v>
      </c>
      <c r="J9604" s="6">
        <v>17.996018332835</v>
      </c>
      <c r="K9604" s="6">
        <v>-96.747420460179001</v>
      </c>
      <c r="L9604" s="6" t="str">
        <f>HYPERLINK("https://maps.google.com/?q=17.9960183328347,-96.747420460178503", "🔗 Ver Mapa")</f>
        <v>🔗 Ver Mapa</v>
      </c>
    </row>
    <row r="9605" spans="1:12" ht="43.5" x14ac:dyDescent="0.35">
      <c r="A9605" s="5" t="s">
        <v>98</v>
      </c>
      <c r="B9605" s="5" t="s">
        <v>99</v>
      </c>
      <c r="C9605" s="5" t="s">
        <v>1681</v>
      </c>
      <c r="D9605" s="5" t="s">
        <v>14</v>
      </c>
      <c r="E9605" s="5" t="s">
        <v>110</v>
      </c>
      <c r="F9605" s="5" t="s">
        <v>126</v>
      </c>
      <c r="G9605" s="5" t="s">
        <v>894</v>
      </c>
      <c r="H9605" s="5" t="s">
        <v>895</v>
      </c>
      <c r="I9605" s="5" t="s">
        <v>31</v>
      </c>
      <c r="J9605" s="5">
        <v>17.996381495639</v>
      </c>
      <c r="K9605" s="5">
        <v>-96.742462413550996</v>
      </c>
      <c r="L9605" s="5" t="str">
        <f>HYPERLINK("https://maps.google.com/?q=17.9963814956391,-96.742462413551294", "🔗 Ver Mapa")</f>
        <v>🔗 Ver Mapa</v>
      </c>
    </row>
    <row r="9606" spans="1:12" ht="43.5" x14ac:dyDescent="0.35">
      <c r="A9606" s="6" t="s">
        <v>98</v>
      </c>
      <c r="B9606" s="6" t="s">
        <v>99</v>
      </c>
      <c r="C9606" s="6" t="s">
        <v>1681</v>
      </c>
      <c r="D9606" s="6" t="s">
        <v>14</v>
      </c>
      <c r="E9606" s="6" t="s">
        <v>110</v>
      </c>
      <c r="F9606" s="6" t="s">
        <v>126</v>
      </c>
      <c r="G9606" s="6" t="s">
        <v>894</v>
      </c>
      <c r="H9606" s="6" t="s">
        <v>895</v>
      </c>
      <c r="I9606" s="6" t="s">
        <v>31</v>
      </c>
      <c r="J9606" s="6">
        <v>17.996435232709999</v>
      </c>
      <c r="K9606" s="6">
        <v>-96.742558338045995</v>
      </c>
      <c r="L9606" s="6" t="str">
        <f>HYPERLINK("https://maps.google.com/?q=17.9964352327105,-96.742558338046095", "🔗 Ver Mapa")</f>
        <v>🔗 Ver Mapa</v>
      </c>
    </row>
    <row r="9607" spans="1:12" ht="43.5" x14ac:dyDescent="0.35">
      <c r="A9607" s="5" t="s">
        <v>98</v>
      </c>
      <c r="B9607" s="5" t="s">
        <v>99</v>
      </c>
      <c r="C9607" s="5" t="s">
        <v>1681</v>
      </c>
      <c r="D9607" s="5" t="s">
        <v>14</v>
      </c>
      <c r="E9607" s="5" t="s">
        <v>110</v>
      </c>
      <c r="F9607" s="5" t="s">
        <v>126</v>
      </c>
      <c r="G9607" s="5" t="s">
        <v>894</v>
      </c>
      <c r="H9607" s="5" t="s">
        <v>895</v>
      </c>
      <c r="I9607" s="5" t="s">
        <v>31</v>
      </c>
      <c r="J9607" s="5">
        <v>17.996846197981</v>
      </c>
      <c r="K9607" s="5">
        <v>-96.744673378252003</v>
      </c>
      <c r="L9607" s="5" t="str">
        <f>HYPERLINK("https://maps.google.com/?q=17.9968461979806,-96.744673378252202", "🔗 Ver Mapa")</f>
        <v>🔗 Ver Mapa</v>
      </c>
    </row>
    <row r="9608" spans="1:12" ht="43.5" x14ac:dyDescent="0.35">
      <c r="A9608" s="6" t="s">
        <v>98</v>
      </c>
      <c r="B9608" s="6" t="s">
        <v>99</v>
      </c>
      <c r="C9608" s="6" t="s">
        <v>1681</v>
      </c>
      <c r="D9608" s="6" t="s">
        <v>14</v>
      </c>
      <c r="E9608" s="6" t="s">
        <v>110</v>
      </c>
      <c r="F9608" s="6" t="s">
        <v>126</v>
      </c>
      <c r="G9608" s="6" t="s">
        <v>894</v>
      </c>
      <c r="H9608" s="6" t="s">
        <v>895</v>
      </c>
      <c r="I9608" s="6" t="s">
        <v>31</v>
      </c>
      <c r="J9608" s="6">
        <v>17.996854262235999</v>
      </c>
      <c r="K9608" s="6">
        <v>-96.741551714162995</v>
      </c>
      <c r="L9608" s="6" t="str">
        <f>HYPERLINK("https://maps.google.com/?q=17.9968542622357,-96.741551714162895", "🔗 Ver Mapa")</f>
        <v>🔗 Ver Mapa</v>
      </c>
    </row>
    <row r="9609" spans="1:12" ht="43.5" x14ac:dyDescent="0.35">
      <c r="A9609" s="5" t="s">
        <v>98</v>
      </c>
      <c r="B9609" s="5" t="s">
        <v>99</v>
      </c>
      <c r="C9609" s="5" t="s">
        <v>1681</v>
      </c>
      <c r="D9609" s="5" t="s">
        <v>14</v>
      </c>
      <c r="E9609" s="5" t="s">
        <v>110</v>
      </c>
      <c r="F9609" s="5" t="s">
        <v>126</v>
      </c>
      <c r="G9609" s="5" t="s">
        <v>894</v>
      </c>
      <c r="H9609" s="5" t="s">
        <v>895</v>
      </c>
      <c r="I9609" s="5" t="s">
        <v>31</v>
      </c>
      <c r="J9609" s="5">
        <v>17.996925534797999</v>
      </c>
      <c r="K9609" s="5">
        <v>-96.741346714789998</v>
      </c>
      <c r="L9609" s="5" t="str">
        <f>HYPERLINK("https://maps.google.com/?q=17.9969255347977,-96.741346714790197", "🔗 Ver Mapa")</f>
        <v>🔗 Ver Mapa</v>
      </c>
    </row>
    <row r="9610" spans="1:12" ht="43.5" x14ac:dyDescent="0.35">
      <c r="A9610" s="6" t="s">
        <v>98</v>
      </c>
      <c r="B9610" s="6" t="s">
        <v>99</v>
      </c>
      <c r="C9610" s="6" t="s">
        <v>1681</v>
      </c>
      <c r="D9610" s="6" t="s">
        <v>14</v>
      </c>
      <c r="E9610" s="6" t="s">
        <v>110</v>
      </c>
      <c r="F9610" s="6" t="s">
        <v>126</v>
      </c>
      <c r="G9610" s="6" t="s">
        <v>894</v>
      </c>
      <c r="H9610" s="6" t="s">
        <v>895</v>
      </c>
      <c r="I9610" s="6" t="s">
        <v>31</v>
      </c>
      <c r="J9610" s="6">
        <v>17.997614631861001</v>
      </c>
      <c r="K9610" s="6">
        <v>-96.750324248403004</v>
      </c>
      <c r="L9610" s="6" t="str">
        <f>HYPERLINK("https://maps.google.com/?q=17.9976146318605,-96.750324248402706", "🔗 Ver Mapa")</f>
        <v>🔗 Ver Mapa</v>
      </c>
    </row>
    <row r="9611" spans="1:12" ht="43.5" x14ac:dyDescent="0.35">
      <c r="A9611" s="5" t="s">
        <v>98</v>
      </c>
      <c r="B9611" s="5" t="s">
        <v>99</v>
      </c>
      <c r="C9611" s="5" t="s">
        <v>1681</v>
      </c>
      <c r="D9611" s="5" t="s">
        <v>14</v>
      </c>
      <c r="E9611" s="5" t="s">
        <v>110</v>
      </c>
      <c r="F9611" s="5" t="s">
        <v>126</v>
      </c>
      <c r="G9611" s="5" t="s">
        <v>894</v>
      </c>
      <c r="H9611" s="5" t="s">
        <v>895</v>
      </c>
      <c r="I9611" s="5" t="s">
        <v>31</v>
      </c>
      <c r="J9611" s="5">
        <v>17.997619637770999</v>
      </c>
      <c r="K9611" s="5">
        <v>-96.744098324180996</v>
      </c>
      <c r="L9611" s="5" t="str">
        <f>HYPERLINK("https://maps.google.com/?q=17.9976196377707,-96.7440983241809", "🔗 Ver Mapa")</f>
        <v>🔗 Ver Mapa</v>
      </c>
    </row>
    <row r="9612" spans="1:12" ht="43.5" x14ac:dyDescent="0.35">
      <c r="A9612" s="6" t="s">
        <v>98</v>
      </c>
      <c r="B9612" s="6" t="s">
        <v>99</v>
      </c>
      <c r="C9612" s="6" t="s">
        <v>1681</v>
      </c>
      <c r="D9612" s="6" t="s">
        <v>14</v>
      </c>
      <c r="E9612" s="6" t="s">
        <v>110</v>
      </c>
      <c r="F9612" s="6" t="s">
        <v>126</v>
      </c>
      <c r="G9612" s="6" t="s">
        <v>894</v>
      </c>
      <c r="H9612" s="6" t="s">
        <v>895</v>
      </c>
      <c r="I9612" s="6" t="s">
        <v>31</v>
      </c>
      <c r="J9612" s="6">
        <v>17.997776078482001</v>
      </c>
      <c r="K9612" s="6">
        <v>-96.744872685275993</v>
      </c>
      <c r="L9612" s="6" t="str">
        <f>HYPERLINK("https://maps.google.com/?q=17.9977760784823,-96.744872685276107", "🔗 Ver Mapa")</f>
        <v>🔗 Ver Mapa</v>
      </c>
    </row>
    <row r="9613" spans="1:12" ht="43.5" x14ac:dyDescent="0.35">
      <c r="A9613" s="5" t="s">
        <v>98</v>
      </c>
      <c r="B9613" s="5" t="s">
        <v>99</v>
      </c>
      <c r="C9613" s="5" t="s">
        <v>1681</v>
      </c>
      <c r="D9613" s="5" t="s">
        <v>14</v>
      </c>
      <c r="E9613" s="5" t="s">
        <v>110</v>
      </c>
      <c r="F9613" s="5" t="s">
        <v>126</v>
      </c>
      <c r="G9613" s="5" t="s">
        <v>894</v>
      </c>
      <c r="H9613" s="5" t="s">
        <v>895</v>
      </c>
      <c r="I9613" s="5" t="s">
        <v>31</v>
      </c>
      <c r="J9613" s="5">
        <v>17.997867483798</v>
      </c>
      <c r="K9613" s="5">
        <v>-96.748036695072003</v>
      </c>
      <c r="L9613" s="5" t="str">
        <f>HYPERLINK("https://maps.google.com/?q=17.9978674837983,-96.748036695071903", "🔗 Ver Mapa")</f>
        <v>🔗 Ver Mapa</v>
      </c>
    </row>
    <row r="9614" spans="1:12" ht="43.5" x14ac:dyDescent="0.35">
      <c r="A9614" s="6" t="s">
        <v>98</v>
      </c>
      <c r="B9614" s="6" t="s">
        <v>99</v>
      </c>
      <c r="C9614" s="6" t="s">
        <v>1681</v>
      </c>
      <c r="D9614" s="6" t="s">
        <v>14</v>
      </c>
      <c r="E9614" s="6" t="s">
        <v>110</v>
      </c>
      <c r="F9614" s="6" t="s">
        <v>126</v>
      </c>
      <c r="G9614" s="6" t="s">
        <v>894</v>
      </c>
      <c r="H9614" s="6" t="s">
        <v>895</v>
      </c>
      <c r="I9614" s="6" t="s">
        <v>31</v>
      </c>
      <c r="J9614" s="6">
        <v>17.997954523583001</v>
      </c>
      <c r="K9614" s="6">
        <v>-96.744195103658996</v>
      </c>
      <c r="L9614" s="6" t="str">
        <f>HYPERLINK("https://maps.google.com/?q=17.9979545235833,-96.744195103659095", "🔗 Ver Mapa")</f>
        <v>🔗 Ver Mapa</v>
      </c>
    </row>
    <row r="9615" spans="1:12" ht="43.5" x14ac:dyDescent="0.35">
      <c r="A9615" s="5" t="s">
        <v>98</v>
      </c>
      <c r="B9615" s="5" t="s">
        <v>99</v>
      </c>
      <c r="C9615" s="5" t="s">
        <v>1681</v>
      </c>
      <c r="D9615" s="5" t="s">
        <v>14</v>
      </c>
      <c r="E9615" s="5" t="s">
        <v>110</v>
      </c>
      <c r="F9615" s="5" t="s">
        <v>126</v>
      </c>
      <c r="G9615" s="5" t="s">
        <v>894</v>
      </c>
      <c r="H9615" s="5" t="s">
        <v>895</v>
      </c>
      <c r="I9615" s="5" t="s">
        <v>31</v>
      </c>
      <c r="J9615" s="5">
        <v>17.997961945191001</v>
      </c>
      <c r="K9615" s="5">
        <v>-96.744481391104998</v>
      </c>
      <c r="L9615" s="5" t="str">
        <f>HYPERLINK("https://maps.google.com/?q=17.9979619451909,-96.7444813911045", "🔗 Ver Mapa")</f>
        <v>🔗 Ver Mapa</v>
      </c>
    </row>
    <row r="9616" spans="1:12" ht="43.5" x14ac:dyDescent="0.35">
      <c r="A9616" s="6" t="s">
        <v>98</v>
      </c>
      <c r="B9616" s="6" t="s">
        <v>99</v>
      </c>
      <c r="C9616" s="6" t="s">
        <v>1681</v>
      </c>
      <c r="D9616" s="6" t="s">
        <v>14</v>
      </c>
      <c r="E9616" s="6" t="s">
        <v>110</v>
      </c>
      <c r="F9616" s="6" t="s">
        <v>126</v>
      </c>
      <c r="G9616" s="6" t="s">
        <v>894</v>
      </c>
      <c r="H9616" s="6" t="s">
        <v>895</v>
      </c>
      <c r="I9616" s="6" t="s">
        <v>31</v>
      </c>
      <c r="J9616" s="6">
        <v>17.998069884193999</v>
      </c>
      <c r="K9616" s="6">
        <v>-96.744044683040997</v>
      </c>
      <c r="L9616" s="6" t="str">
        <f>HYPERLINK("https://maps.google.com/?q=17.998069884194,-96.744044683041096", "🔗 Ver Mapa")</f>
        <v>🔗 Ver Mapa</v>
      </c>
    </row>
    <row r="9617" spans="1:12" ht="43.5" x14ac:dyDescent="0.35">
      <c r="A9617" s="5" t="s">
        <v>98</v>
      </c>
      <c r="B9617" s="5" t="s">
        <v>99</v>
      </c>
      <c r="C9617" s="5" t="s">
        <v>1681</v>
      </c>
      <c r="D9617" s="5" t="s">
        <v>14</v>
      </c>
      <c r="E9617" s="5" t="s">
        <v>110</v>
      </c>
      <c r="F9617" s="5" t="s">
        <v>126</v>
      </c>
      <c r="G9617" s="5" t="s">
        <v>894</v>
      </c>
      <c r="H9617" s="5" t="s">
        <v>895</v>
      </c>
      <c r="I9617" s="5" t="s">
        <v>31</v>
      </c>
      <c r="J9617" s="5">
        <v>17.998113155934</v>
      </c>
      <c r="K9617" s="5">
        <v>-96.744215338657995</v>
      </c>
      <c r="L9617" s="5" t="str">
        <f>HYPERLINK("https://maps.google.com/?q=17.9981131559344,-96.744215338657696", "🔗 Ver Mapa")</f>
        <v>🔗 Ver Mapa</v>
      </c>
    </row>
    <row r="9618" spans="1:12" ht="43.5" x14ac:dyDescent="0.35">
      <c r="A9618" s="6" t="s">
        <v>98</v>
      </c>
      <c r="B9618" s="6" t="s">
        <v>99</v>
      </c>
      <c r="C9618" s="6" t="s">
        <v>1681</v>
      </c>
      <c r="D9618" s="6" t="s">
        <v>14</v>
      </c>
      <c r="E9618" s="6" t="s">
        <v>110</v>
      </c>
      <c r="F9618" s="6" t="s">
        <v>126</v>
      </c>
      <c r="G9618" s="6" t="s">
        <v>894</v>
      </c>
      <c r="H9618" s="6" t="s">
        <v>895</v>
      </c>
      <c r="I9618" s="6" t="s">
        <v>31</v>
      </c>
      <c r="J9618" s="6">
        <v>17.998161603328999</v>
      </c>
      <c r="K9618" s="6">
        <v>-96.744165901626999</v>
      </c>
      <c r="L9618" s="6" t="str">
        <f>HYPERLINK("https://maps.google.com/?q=17.9981616033287,-96.744165901626602", "🔗 Ver Mapa")</f>
        <v>🔗 Ver Mapa</v>
      </c>
    </row>
    <row r="9619" spans="1:12" ht="43.5" x14ac:dyDescent="0.35">
      <c r="A9619" s="5" t="s">
        <v>98</v>
      </c>
      <c r="B9619" s="5" t="s">
        <v>99</v>
      </c>
      <c r="C9619" s="5" t="s">
        <v>1681</v>
      </c>
      <c r="D9619" s="5" t="s">
        <v>14</v>
      </c>
      <c r="E9619" s="5" t="s">
        <v>110</v>
      </c>
      <c r="F9619" s="5" t="s">
        <v>126</v>
      </c>
      <c r="G9619" s="5" t="s">
        <v>894</v>
      </c>
      <c r="H9619" s="5" t="s">
        <v>895</v>
      </c>
      <c r="I9619" s="5" t="s">
        <v>31</v>
      </c>
      <c r="J9619" s="5">
        <v>17.998198244588</v>
      </c>
      <c r="K9619" s="5">
        <v>-96.746574214039001</v>
      </c>
      <c r="L9619" s="5" t="str">
        <f>HYPERLINK("https://maps.google.com/?q=17.9981982445877,-96.7465742140392", "🔗 Ver Mapa")</f>
        <v>🔗 Ver Mapa</v>
      </c>
    </row>
    <row r="9620" spans="1:12" ht="43.5" x14ac:dyDescent="0.35">
      <c r="A9620" s="6" t="s">
        <v>98</v>
      </c>
      <c r="B9620" s="6" t="s">
        <v>99</v>
      </c>
      <c r="C9620" s="6" t="s">
        <v>1681</v>
      </c>
      <c r="D9620" s="6" t="s">
        <v>14</v>
      </c>
      <c r="E9620" s="6" t="s">
        <v>110</v>
      </c>
      <c r="F9620" s="6" t="s">
        <v>126</v>
      </c>
      <c r="G9620" s="6" t="s">
        <v>894</v>
      </c>
      <c r="H9620" s="6" t="s">
        <v>895</v>
      </c>
      <c r="I9620" s="6" t="s">
        <v>31</v>
      </c>
      <c r="J9620" s="6">
        <v>17.998510959442999</v>
      </c>
      <c r="K9620" s="6">
        <v>-96.745593632267997</v>
      </c>
      <c r="L9620" s="6" t="str">
        <f>HYPERLINK("https://maps.google.com/?q=17.9985109594429,-96.745593632268196", "🔗 Ver Mapa")</f>
        <v>🔗 Ver Mapa</v>
      </c>
    </row>
    <row r="9621" spans="1:12" ht="43.5" x14ac:dyDescent="0.35">
      <c r="A9621" s="5" t="s">
        <v>98</v>
      </c>
      <c r="B9621" s="5" t="s">
        <v>99</v>
      </c>
      <c r="C9621" s="5" t="s">
        <v>1681</v>
      </c>
      <c r="D9621" s="5" t="s">
        <v>14</v>
      </c>
      <c r="E9621" s="5" t="s">
        <v>110</v>
      </c>
      <c r="F9621" s="5" t="s">
        <v>126</v>
      </c>
      <c r="G9621" s="5" t="s">
        <v>894</v>
      </c>
      <c r="H9621" s="5" t="s">
        <v>895</v>
      </c>
      <c r="I9621" s="5" t="s">
        <v>31</v>
      </c>
      <c r="J9621" s="5">
        <v>17.998642748216</v>
      </c>
      <c r="K9621" s="5">
        <v>-96.746289774828</v>
      </c>
      <c r="L9621" s="5" t="str">
        <f>HYPERLINK("https://maps.google.com/?q=17.9986427482156,-96.746289774827503", "🔗 Ver Mapa")</f>
        <v>🔗 Ver Mapa</v>
      </c>
    </row>
    <row r="9622" spans="1:12" ht="43.5" x14ac:dyDescent="0.35">
      <c r="A9622" s="6" t="s">
        <v>98</v>
      </c>
      <c r="B9622" s="6" t="s">
        <v>99</v>
      </c>
      <c r="C9622" s="6" t="s">
        <v>1681</v>
      </c>
      <c r="D9622" s="6" t="s">
        <v>14</v>
      </c>
      <c r="E9622" s="6" t="s">
        <v>110</v>
      </c>
      <c r="F9622" s="6" t="s">
        <v>126</v>
      </c>
      <c r="G9622" s="6" t="s">
        <v>894</v>
      </c>
      <c r="H9622" s="6" t="s">
        <v>895</v>
      </c>
      <c r="I9622" s="6" t="s">
        <v>31</v>
      </c>
      <c r="J9622" s="6">
        <v>17.998675068566001</v>
      </c>
      <c r="K9622" s="6">
        <v>-96.749495845403999</v>
      </c>
      <c r="L9622" s="6" t="str">
        <f>HYPERLINK("https://maps.google.com/?q=17.9986750685665,-96.7494958454037", "🔗 Ver Mapa")</f>
        <v>🔗 Ver Mapa</v>
      </c>
    </row>
    <row r="9623" spans="1:12" ht="43.5" x14ac:dyDescent="0.35">
      <c r="A9623" s="5" t="s">
        <v>98</v>
      </c>
      <c r="B9623" s="5" t="s">
        <v>99</v>
      </c>
      <c r="C9623" s="5" t="s">
        <v>1681</v>
      </c>
      <c r="D9623" s="5" t="s">
        <v>14</v>
      </c>
      <c r="E9623" s="5" t="s">
        <v>110</v>
      </c>
      <c r="F9623" s="5" t="s">
        <v>126</v>
      </c>
      <c r="G9623" s="5" t="s">
        <v>894</v>
      </c>
      <c r="H9623" s="5" t="s">
        <v>895</v>
      </c>
      <c r="I9623" s="5" t="s">
        <v>31</v>
      </c>
      <c r="J9623" s="5">
        <v>17.998710099644001</v>
      </c>
      <c r="K9623" s="5">
        <v>-96.749032830120996</v>
      </c>
      <c r="L9623" s="5" t="str">
        <f>HYPERLINK("https://maps.google.com/?q=17.9987100996442,-96.749032830120896", "🔗 Ver Mapa")</f>
        <v>🔗 Ver Mapa</v>
      </c>
    </row>
    <row r="9624" spans="1:12" ht="43.5" x14ac:dyDescent="0.35">
      <c r="A9624" s="6" t="s">
        <v>98</v>
      </c>
      <c r="B9624" s="6" t="s">
        <v>99</v>
      </c>
      <c r="C9624" s="6" t="s">
        <v>1681</v>
      </c>
      <c r="D9624" s="6" t="s">
        <v>14</v>
      </c>
      <c r="E9624" s="6" t="s">
        <v>110</v>
      </c>
      <c r="F9624" s="6" t="s">
        <v>126</v>
      </c>
      <c r="G9624" s="6" t="s">
        <v>894</v>
      </c>
      <c r="H9624" s="6" t="s">
        <v>895</v>
      </c>
      <c r="I9624" s="6" t="s">
        <v>31</v>
      </c>
      <c r="J9624" s="6">
        <v>17.998727863742001</v>
      </c>
      <c r="K9624" s="6">
        <v>-96.749740034978004</v>
      </c>
      <c r="L9624" s="6" t="str">
        <f>HYPERLINK("https://maps.google.com/?q=17.9987278637415,-96.749740034977705", "🔗 Ver Mapa")</f>
        <v>🔗 Ver Mapa</v>
      </c>
    </row>
    <row r="9625" spans="1:12" ht="43.5" x14ac:dyDescent="0.35">
      <c r="A9625" s="5" t="s">
        <v>98</v>
      </c>
      <c r="B9625" s="5" t="s">
        <v>99</v>
      </c>
      <c r="C9625" s="5" t="s">
        <v>1681</v>
      </c>
      <c r="D9625" s="5" t="s">
        <v>14</v>
      </c>
      <c r="E9625" s="5" t="s">
        <v>110</v>
      </c>
      <c r="F9625" s="5" t="s">
        <v>126</v>
      </c>
      <c r="G9625" s="5" t="s">
        <v>894</v>
      </c>
      <c r="H9625" s="5" t="s">
        <v>895</v>
      </c>
      <c r="I9625" s="5" t="s">
        <v>31</v>
      </c>
      <c r="J9625" s="5">
        <v>17.998746615407999</v>
      </c>
      <c r="K9625" s="5">
        <v>-96.745401227718006</v>
      </c>
      <c r="L9625" s="5" t="str">
        <f>HYPERLINK("https://maps.google.com/?q=17.9987466154076,-96.745401227718006", "🔗 Ver Mapa")</f>
        <v>🔗 Ver Mapa</v>
      </c>
    </row>
    <row r="9626" spans="1:12" ht="43.5" x14ac:dyDescent="0.35">
      <c r="A9626" s="6" t="s">
        <v>98</v>
      </c>
      <c r="B9626" s="6" t="s">
        <v>99</v>
      </c>
      <c r="C9626" s="6" t="s">
        <v>1681</v>
      </c>
      <c r="D9626" s="6" t="s">
        <v>14</v>
      </c>
      <c r="E9626" s="6" t="s">
        <v>110</v>
      </c>
      <c r="F9626" s="6" t="s">
        <v>126</v>
      </c>
      <c r="G9626" s="6" t="s">
        <v>894</v>
      </c>
      <c r="H9626" s="6" t="s">
        <v>895</v>
      </c>
      <c r="I9626" s="6" t="s">
        <v>31</v>
      </c>
      <c r="J9626" s="6">
        <v>17.998809893851</v>
      </c>
      <c r="K9626" s="6">
        <v>-96.749704168112999</v>
      </c>
      <c r="L9626" s="6" t="str">
        <f>HYPERLINK("https://maps.google.com/?q=17.9988098938512,-96.7497041681128", "🔗 Ver Mapa")</f>
        <v>🔗 Ver Mapa</v>
      </c>
    </row>
    <row r="9627" spans="1:12" ht="43.5" x14ac:dyDescent="0.35">
      <c r="A9627" s="5" t="s">
        <v>98</v>
      </c>
      <c r="B9627" s="5" t="s">
        <v>99</v>
      </c>
      <c r="C9627" s="5" t="s">
        <v>1681</v>
      </c>
      <c r="D9627" s="5" t="s">
        <v>14</v>
      </c>
      <c r="E9627" s="5" t="s">
        <v>110</v>
      </c>
      <c r="F9627" s="5" t="s">
        <v>126</v>
      </c>
      <c r="G9627" s="5" t="s">
        <v>894</v>
      </c>
      <c r="H9627" s="5" t="s">
        <v>895</v>
      </c>
      <c r="I9627" s="5" t="s">
        <v>31</v>
      </c>
      <c r="J9627" s="5">
        <v>17.999169837907999</v>
      </c>
      <c r="K9627" s="5">
        <v>-96.749605078445995</v>
      </c>
      <c r="L9627" s="5" t="str">
        <f>HYPERLINK("https://maps.google.com/?q=17.9991698379076,-96.749605078445697", "🔗 Ver Mapa")</f>
        <v>🔗 Ver Mapa</v>
      </c>
    </row>
    <row r="9628" spans="1:12" ht="43.5" x14ac:dyDescent="0.35">
      <c r="A9628" s="6" t="s">
        <v>98</v>
      </c>
      <c r="B9628" s="6" t="s">
        <v>99</v>
      </c>
      <c r="C9628" s="6" t="s">
        <v>1681</v>
      </c>
      <c r="D9628" s="6" t="s">
        <v>14</v>
      </c>
      <c r="E9628" s="6" t="s">
        <v>110</v>
      </c>
      <c r="F9628" s="6" t="s">
        <v>126</v>
      </c>
      <c r="G9628" s="6" t="s">
        <v>894</v>
      </c>
      <c r="H9628" s="6" t="s">
        <v>895</v>
      </c>
      <c r="I9628" s="6" t="s">
        <v>31</v>
      </c>
      <c r="J9628" s="6">
        <v>17.999196190723001</v>
      </c>
      <c r="K9628" s="6">
        <v>-96.749758977507994</v>
      </c>
      <c r="L9628" s="6" t="str">
        <f>HYPERLINK("https://maps.google.com/?q=17.9991961907235,-96.749758977507597", "🔗 Ver Mapa")</f>
        <v>🔗 Ver Mapa</v>
      </c>
    </row>
    <row r="9629" spans="1:12" ht="43.5" x14ac:dyDescent="0.35">
      <c r="A9629" s="5" t="s">
        <v>98</v>
      </c>
      <c r="B9629" s="5" t="s">
        <v>99</v>
      </c>
      <c r="C9629" s="5" t="s">
        <v>1681</v>
      </c>
      <c r="D9629" s="5" t="s">
        <v>14</v>
      </c>
      <c r="E9629" s="5" t="s">
        <v>110</v>
      </c>
      <c r="F9629" s="5" t="s">
        <v>126</v>
      </c>
      <c r="G9629" s="5" t="s">
        <v>894</v>
      </c>
      <c r="H9629" s="5" t="s">
        <v>895</v>
      </c>
      <c r="I9629" s="5" t="s">
        <v>31</v>
      </c>
      <c r="J9629" s="5">
        <v>17.999333451664999</v>
      </c>
      <c r="K9629" s="5">
        <v>-96.749555911599998</v>
      </c>
      <c r="L9629" s="5" t="str">
        <f>HYPERLINK("https://maps.google.com/?q=17.9993334516645,-96.749555911599998", "🔗 Ver Mapa")</f>
        <v>🔗 Ver Mapa</v>
      </c>
    </row>
    <row r="9630" spans="1:12" ht="43.5" x14ac:dyDescent="0.35">
      <c r="A9630" s="6" t="s">
        <v>98</v>
      </c>
      <c r="B9630" s="6" t="s">
        <v>99</v>
      </c>
      <c r="C9630" s="6" t="s">
        <v>1681</v>
      </c>
      <c r="D9630" s="6" t="s">
        <v>14</v>
      </c>
      <c r="E9630" s="6" t="s">
        <v>110</v>
      </c>
      <c r="F9630" s="6" t="s">
        <v>126</v>
      </c>
      <c r="G9630" s="6" t="s">
        <v>894</v>
      </c>
      <c r="H9630" s="6" t="s">
        <v>895</v>
      </c>
      <c r="I9630" s="6" t="s">
        <v>31</v>
      </c>
      <c r="J9630" s="6">
        <v>18.000082887276999</v>
      </c>
      <c r="K9630" s="6">
        <v>-96.747965837725999</v>
      </c>
      <c r="L9630" s="6" t="str">
        <f>HYPERLINK("https://maps.google.com/?q=18.000082887277,-96.747965837725502", "🔗 Ver Mapa")</f>
        <v>🔗 Ver Mapa</v>
      </c>
    </row>
    <row r="9631" spans="1:12" ht="43.5" x14ac:dyDescent="0.35">
      <c r="A9631" s="5" t="s">
        <v>98</v>
      </c>
      <c r="B9631" s="5" t="s">
        <v>99</v>
      </c>
      <c r="C9631" s="5" t="s">
        <v>1682</v>
      </c>
      <c r="D9631" s="5" t="s">
        <v>14</v>
      </c>
      <c r="E9631" s="5" t="s">
        <v>52</v>
      </c>
      <c r="F9631" s="5" t="s">
        <v>83</v>
      </c>
      <c r="G9631" s="5" t="s">
        <v>1683</v>
      </c>
      <c r="H9631" s="5" t="s">
        <v>1684</v>
      </c>
      <c r="I9631" s="5" t="s">
        <v>31</v>
      </c>
      <c r="J9631" s="5">
        <v>17.152761895575001</v>
      </c>
      <c r="K9631" s="5">
        <v>-96.752826173100999</v>
      </c>
      <c r="L9631" s="5" t="str">
        <f>HYPERLINK("https://maps.google.com/?q=17.1527618955753,-96.752826173100601", "🔗 Ver Mapa")</f>
        <v>🔗 Ver Mapa</v>
      </c>
    </row>
    <row r="9632" spans="1:12" ht="43.5" x14ac:dyDescent="0.35">
      <c r="A9632" s="6" t="s">
        <v>98</v>
      </c>
      <c r="B9632" s="6" t="s">
        <v>99</v>
      </c>
      <c r="C9632" s="6" t="s">
        <v>1682</v>
      </c>
      <c r="D9632" s="6" t="s">
        <v>14</v>
      </c>
      <c r="E9632" s="6" t="s">
        <v>52</v>
      </c>
      <c r="F9632" s="6" t="s">
        <v>83</v>
      </c>
      <c r="G9632" s="6" t="s">
        <v>1683</v>
      </c>
      <c r="H9632" s="6" t="s">
        <v>1684</v>
      </c>
      <c r="I9632" s="6" t="s">
        <v>31</v>
      </c>
      <c r="J9632" s="6">
        <v>17.153087817338001</v>
      </c>
      <c r="K9632" s="6">
        <v>-96.752974808107993</v>
      </c>
      <c r="L9632" s="6" t="str">
        <f>HYPERLINK("https://maps.google.com/?q=17.1530878173381,-96.752974808108306", "🔗 Ver Mapa")</f>
        <v>🔗 Ver Mapa</v>
      </c>
    </row>
    <row r="9633" spans="1:12" ht="43.5" x14ac:dyDescent="0.35">
      <c r="A9633" s="5" t="s">
        <v>98</v>
      </c>
      <c r="B9633" s="5" t="s">
        <v>99</v>
      </c>
      <c r="C9633" s="5" t="s">
        <v>1682</v>
      </c>
      <c r="D9633" s="5" t="s">
        <v>14</v>
      </c>
      <c r="E9633" s="5" t="s">
        <v>52</v>
      </c>
      <c r="F9633" s="5" t="s">
        <v>83</v>
      </c>
      <c r="G9633" s="5" t="s">
        <v>1683</v>
      </c>
      <c r="H9633" s="5" t="s">
        <v>1684</v>
      </c>
      <c r="I9633" s="5" t="s">
        <v>31</v>
      </c>
      <c r="J9633" s="5">
        <v>17.153201866566</v>
      </c>
      <c r="K9633" s="5">
        <v>-96.752152711044999</v>
      </c>
      <c r="L9633" s="5" t="str">
        <f>HYPERLINK("https://maps.google.com/?q=17.1532018665661,-96.752152711045198", "🔗 Ver Mapa")</f>
        <v>🔗 Ver Mapa</v>
      </c>
    </row>
    <row r="9634" spans="1:12" ht="43.5" x14ac:dyDescent="0.35">
      <c r="A9634" s="6" t="s">
        <v>98</v>
      </c>
      <c r="B9634" s="6" t="s">
        <v>99</v>
      </c>
      <c r="C9634" s="6" t="s">
        <v>1682</v>
      </c>
      <c r="D9634" s="6" t="s">
        <v>14</v>
      </c>
      <c r="E9634" s="6" t="s">
        <v>52</v>
      </c>
      <c r="F9634" s="6" t="s">
        <v>83</v>
      </c>
      <c r="G9634" s="6" t="s">
        <v>1683</v>
      </c>
      <c r="H9634" s="6" t="s">
        <v>1684</v>
      </c>
      <c r="I9634" s="6" t="s">
        <v>31</v>
      </c>
      <c r="J9634" s="6">
        <v>17.153284354145001</v>
      </c>
      <c r="K9634" s="6">
        <v>-96.753342140000001</v>
      </c>
      <c r="L9634" s="6" t="str">
        <f>HYPERLINK("https://maps.google.com/?q=17.1532843541446,-96.753342139999802", "🔗 Ver Mapa")</f>
        <v>🔗 Ver Mapa</v>
      </c>
    </row>
    <row r="9635" spans="1:12" ht="43.5" x14ac:dyDescent="0.35">
      <c r="A9635" s="5" t="s">
        <v>98</v>
      </c>
      <c r="B9635" s="5" t="s">
        <v>99</v>
      </c>
      <c r="C9635" s="5" t="s">
        <v>1682</v>
      </c>
      <c r="D9635" s="5" t="s">
        <v>14</v>
      </c>
      <c r="E9635" s="5" t="s">
        <v>52</v>
      </c>
      <c r="F9635" s="5" t="s">
        <v>83</v>
      </c>
      <c r="G9635" s="5" t="s">
        <v>1683</v>
      </c>
      <c r="H9635" s="5" t="s">
        <v>1684</v>
      </c>
      <c r="I9635" s="5" t="s">
        <v>31</v>
      </c>
      <c r="J9635" s="5">
        <v>17.153993234053001</v>
      </c>
      <c r="K9635" s="5">
        <v>-96.753858389827997</v>
      </c>
      <c r="L9635" s="5" t="str">
        <f>HYPERLINK("https://maps.google.com/?q=17.1539932340531,-96.753858389827897", "🔗 Ver Mapa")</f>
        <v>🔗 Ver Mapa</v>
      </c>
    </row>
    <row r="9636" spans="1:12" ht="43.5" x14ac:dyDescent="0.35">
      <c r="A9636" s="6" t="s">
        <v>98</v>
      </c>
      <c r="B9636" s="6" t="s">
        <v>99</v>
      </c>
      <c r="C9636" s="6" t="s">
        <v>1682</v>
      </c>
      <c r="D9636" s="6" t="s">
        <v>14</v>
      </c>
      <c r="E9636" s="6" t="s">
        <v>52</v>
      </c>
      <c r="F9636" s="6" t="s">
        <v>83</v>
      </c>
      <c r="G9636" s="6" t="s">
        <v>1683</v>
      </c>
      <c r="H9636" s="6" t="s">
        <v>1684</v>
      </c>
      <c r="I9636" s="6" t="s">
        <v>31</v>
      </c>
      <c r="J9636" s="6">
        <v>17.153995171866999</v>
      </c>
      <c r="K9636" s="6">
        <v>-96.754561775582005</v>
      </c>
      <c r="L9636" s="6" t="str">
        <f>HYPERLINK("https://maps.google.com/?q=17.1539951718671,-96.754561775582104", "🔗 Ver Mapa")</f>
        <v>🔗 Ver Mapa</v>
      </c>
    </row>
    <row r="9637" spans="1:12" ht="43.5" x14ac:dyDescent="0.35">
      <c r="A9637" s="5" t="s">
        <v>98</v>
      </c>
      <c r="B9637" s="5" t="s">
        <v>99</v>
      </c>
      <c r="C9637" s="5" t="s">
        <v>1682</v>
      </c>
      <c r="D9637" s="5" t="s">
        <v>14</v>
      </c>
      <c r="E9637" s="5" t="s">
        <v>52</v>
      </c>
      <c r="F9637" s="5" t="s">
        <v>83</v>
      </c>
      <c r="G9637" s="5" t="s">
        <v>1683</v>
      </c>
      <c r="H9637" s="5" t="s">
        <v>1684</v>
      </c>
      <c r="I9637" s="5" t="s">
        <v>31</v>
      </c>
      <c r="J9637" s="5">
        <v>17.154245802555</v>
      </c>
      <c r="K9637" s="5">
        <v>-96.755061941766002</v>
      </c>
      <c r="L9637" s="5" t="str">
        <f>HYPERLINK("https://maps.google.com/?q=17.1542458025553,-96.7550619417663", "🔗 Ver Mapa")</f>
        <v>🔗 Ver Mapa</v>
      </c>
    </row>
    <row r="9638" spans="1:12" ht="43.5" x14ac:dyDescent="0.35">
      <c r="A9638" s="6" t="s">
        <v>98</v>
      </c>
      <c r="B9638" s="6" t="s">
        <v>99</v>
      </c>
      <c r="C9638" s="6" t="s">
        <v>1682</v>
      </c>
      <c r="D9638" s="6" t="s">
        <v>14</v>
      </c>
      <c r="E9638" s="6" t="s">
        <v>52</v>
      </c>
      <c r="F9638" s="6" t="s">
        <v>83</v>
      </c>
      <c r="G9638" s="6" t="s">
        <v>1683</v>
      </c>
      <c r="H9638" s="6" t="s">
        <v>1684</v>
      </c>
      <c r="I9638" s="6" t="s">
        <v>31</v>
      </c>
      <c r="J9638" s="6">
        <v>17.155146655782001</v>
      </c>
      <c r="K9638" s="6">
        <v>-96.753728883885998</v>
      </c>
      <c r="L9638" s="6" t="str">
        <f>HYPERLINK("https://maps.google.com/?q=17.1551466557815,-96.753728883885898", "🔗 Ver Mapa")</f>
        <v>🔗 Ver Mapa</v>
      </c>
    </row>
    <row r="9639" spans="1:12" ht="43.5" x14ac:dyDescent="0.35">
      <c r="A9639" s="5" t="s">
        <v>98</v>
      </c>
      <c r="B9639" s="5" t="s">
        <v>99</v>
      </c>
      <c r="C9639" s="5" t="s">
        <v>1682</v>
      </c>
      <c r="D9639" s="5" t="s">
        <v>14</v>
      </c>
      <c r="E9639" s="5" t="s">
        <v>52</v>
      </c>
      <c r="F9639" s="5" t="s">
        <v>83</v>
      </c>
      <c r="G9639" s="5" t="s">
        <v>1683</v>
      </c>
      <c r="H9639" s="5" t="s">
        <v>1684</v>
      </c>
      <c r="I9639" s="5" t="s">
        <v>31</v>
      </c>
      <c r="J9639" s="5">
        <v>17.155906510072999</v>
      </c>
      <c r="K9639" s="5">
        <v>-96.752934785102994</v>
      </c>
      <c r="L9639" s="5" t="str">
        <f>HYPERLINK("https://maps.google.com/?q=17.1559065100729,-96.752934785103093", "🔗 Ver Mapa")</f>
        <v>🔗 Ver Mapa</v>
      </c>
    </row>
    <row r="9640" spans="1:12" ht="43.5" x14ac:dyDescent="0.35">
      <c r="A9640" s="6" t="s">
        <v>98</v>
      </c>
      <c r="B9640" s="6" t="s">
        <v>99</v>
      </c>
      <c r="C9640" s="6" t="s">
        <v>1685</v>
      </c>
      <c r="D9640" s="6" t="s">
        <v>14</v>
      </c>
      <c r="E9640" s="6" t="s">
        <v>39</v>
      </c>
      <c r="F9640" s="6" t="s">
        <v>353</v>
      </c>
      <c r="G9640" s="6" t="s">
        <v>1266</v>
      </c>
      <c r="H9640" s="6" t="s">
        <v>1686</v>
      </c>
      <c r="I9640" s="6" t="s">
        <v>31</v>
      </c>
      <c r="J9640" s="6">
        <v>16.470490428917</v>
      </c>
      <c r="K9640" s="6">
        <v>-96.681690618776997</v>
      </c>
      <c r="L9640" s="6" t="str">
        <f>HYPERLINK("https://maps.google.com/?q=16.4704904289171,-96.681690618777296", "🔗 Ver Mapa")</f>
        <v>🔗 Ver Mapa</v>
      </c>
    </row>
    <row r="9641" spans="1:12" ht="43.5" x14ac:dyDescent="0.35">
      <c r="A9641" s="5" t="s">
        <v>98</v>
      </c>
      <c r="B9641" s="5" t="s">
        <v>99</v>
      </c>
      <c r="C9641" s="5" t="s">
        <v>1685</v>
      </c>
      <c r="D9641" s="5" t="s">
        <v>14</v>
      </c>
      <c r="E9641" s="5" t="s">
        <v>39</v>
      </c>
      <c r="F9641" s="5" t="s">
        <v>353</v>
      </c>
      <c r="G9641" s="5" t="s">
        <v>1266</v>
      </c>
      <c r="H9641" s="5" t="s">
        <v>1686</v>
      </c>
      <c r="I9641" s="5" t="s">
        <v>31</v>
      </c>
      <c r="J9641" s="5">
        <v>16.470575985812001</v>
      </c>
      <c r="K9641" s="5">
        <v>-96.681957209193001</v>
      </c>
      <c r="L9641" s="5" t="str">
        <f>HYPERLINK("https://maps.google.com/?q=16.4705759858122,-96.681957209193101", "🔗 Ver Mapa")</f>
        <v>🔗 Ver Mapa</v>
      </c>
    </row>
    <row r="9642" spans="1:12" ht="43.5" x14ac:dyDescent="0.35">
      <c r="A9642" s="6" t="s">
        <v>98</v>
      </c>
      <c r="B9642" s="6" t="s">
        <v>99</v>
      </c>
      <c r="C9642" s="6" t="s">
        <v>1685</v>
      </c>
      <c r="D9642" s="6" t="s">
        <v>14</v>
      </c>
      <c r="E9642" s="6" t="s">
        <v>39</v>
      </c>
      <c r="F9642" s="6" t="s">
        <v>353</v>
      </c>
      <c r="G9642" s="6" t="s">
        <v>1266</v>
      </c>
      <c r="H9642" s="6" t="s">
        <v>1686</v>
      </c>
      <c r="I9642" s="6" t="s">
        <v>31</v>
      </c>
      <c r="J9642" s="6">
        <v>16.472364084087001</v>
      </c>
      <c r="K9642" s="6">
        <v>-96.686507375226</v>
      </c>
      <c r="L9642" s="6" t="str">
        <f>HYPERLINK("https://maps.google.com/?q=16.472364084087,-96.686507375225901", "🔗 Ver Mapa")</f>
        <v>🔗 Ver Mapa</v>
      </c>
    </row>
    <row r="9643" spans="1:12" ht="43.5" x14ac:dyDescent="0.35">
      <c r="A9643" s="5" t="s">
        <v>98</v>
      </c>
      <c r="B9643" s="5" t="s">
        <v>99</v>
      </c>
      <c r="C9643" s="5" t="s">
        <v>1685</v>
      </c>
      <c r="D9643" s="5" t="s">
        <v>14</v>
      </c>
      <c r="E9643" s="5" t="s">
        <v>39</v>
      </c>
      <c r="F9643" s="5" t="s">
        <v>353</v>
      </c>
      <c r="G9643" s="5" t="s">
        <v>1266</v>
      </c>
      <c r="H9643" s="5" t="s">
        <v>1686</v>
      </c>
      <c r="I9643" s="5" t="s">
        <v>31</v>
      </c>
      <c r="J9643" s="5">
        <v>16.47340360311</v>
      </c>
      <c r="K9643" s="5">
        <v>-96.685825108895997</v>
      </c>
      <c r="L9643" s="5" t="str">
        <f>HYPERLINK("https://maps.google.com/?q=16.4734036031102,-96.685825108895699", "🔗 Ver Mapa")</f>
        <v>🔗 Ver Mapa</v>
      </c>
    </row>
    <row r="9644" spans="1:12" ht="43.5" x14ac:dyDescent="0.35">
      <c r="A9644" s="6" t="s">
        <v>98</v>
      </c>
      <c r="B9644" s="6" t="s">
        <v>99</v>
      </c>
      <c r="C9644" s="6" t="s">
        <v>1685</v>
      </c>
      <c r="D9644" s="6" t="s">
        <v>14</v>
      </c>
      <c r="E9644" s="6" t="s">
        <v>39</v>
      </c>
      <c r="F9644" s="6" t="s">
        <v>353</v>
      </c>
      <c r="G9644" s="6" t="s">
        <v>1266</v>
      </c>
      <c r="H9644" s="6" t="s">
        <v>1686</v>
      </c>
      <c r="I9644" s="6" t="s">
        <v>31</v>
      </c>
      <c r="J9644" s="6">
        <v>16.474063081348</v>
      </c>
      <c r="K9644" s="6">
        <v>-96.685484558544005</v>
      </c>
      <c r="L9644" s="6" t="str">
        <f>HYPERLINK("https://maps.google.com/?q=16.4740630813483,-96.685484558543607", "🔗 Ver Mapa")</f>
        <v>🔗 Ver Mapa</v>
      </c>
    </row>
    <row r="9645" spans="1:12" ht="43.5" x14ac:dyDescent="0.35">
      <c r="A9645" s="5" t="s">
        <v>98</v>
      </c>
      <c r="B9645" s="5" t="s">
        <v>99</v>
      </c>
      <c r="C9645" s="5" t="s">
        <v>1685</v>
      </c>
      <c r="D9645" s="5" t="s">
        <v>14</v>
      </c>
      <c r="E9645" s="5" t="s">
        <v>39</v>
      </c>
      <c r="F9645" s="5" t="s">
        <v>353</v>
      </c>
      <c r="G9645" s="5" t="s">
        <v>1266</v>
      </c>
      <c r="H9645" s="5" t="s">
        <v>1686</v>
      </c>
      <c r="I9645" s="5" t="s">
        <v>31</v>
      </c>
      <c r="J9645" s="5">
        <v>16.474689276079999</v>
      </c>
      <c r="K9645" s="5">
        <v>-96.682760413254996</v>
      </c>
      <c r="L9645" s="5" t="str">
        <f>HYPERLINK("https://maps.google.com/?q=16.4746892760796,-96.682760413254698", "🔗 Ver Mapa")</f>
        <v>🔗 Ver Mapa</v>
      </c>
    </row>
    <row r="9646" spans="1:12" ht="43.5" x14ac:dyDescent="0.35">
      <c r="A9646" s="6" t="s">
        <v>98</v>
      </c>
      <c r="B9646" s="6" t="s">
        <v>99</v>
      </c>
      <c r="C9646" s="6" t="s">
        <v>1685</v>
      </c>
      <c r="D9646" s="6" t="s">
        <v>14</v>
      </c>
      <c r="E9646" s="6" t="s">
        <v>39</v>
      </c>
      <c r="F9646" s="6" t="s">
        <v>353</v>
      </c>
      <c r="G9646" s="6" t="s">
        <v>1266</v>
      </c>
      <c r="H9646" s="6" t="s">
        <v>1686</v>
      </c>
      <c r="I9646" s="6" t="s">
        <v>31</v>
      </c>
      <c r="J9646" s="6">
        <v>16.474853970937001</v>
      </c>
      <c r="K9646" s="6">
        <v>-96.678385132269</v>
      </c>
      <c r="L9646" s="6" t="str">
        <f>HYPERLINK("https://maps.google.com/?q=16.4748539709372,-96.678385132269", "🔗 Ver Mapa")</f>
        <v>🔗 Ver Mapa</v>
      </c>
    </row>
    <row r="9647" spans="1:12" ht="43.5" x14ac:dyDescent="0.35">
      <c r="A9647" s="5" t="s">
        <v>98</v>
      </c>
      <c r="B9647" s="5" t="s">
        <v>99</v>
      </c>
      <c r="C9647" s="5" t="s">
        <v>1685</v>
      </c>
      <c r="D9647" s="5" t="s">
        <v>14</v>
      </c>
      <c r="E9647" s="5" t="s">
        <v>39</v>
      </c>
      <c r="F9647" s="5" t="s">
        <v>353</v>
      </c>
      <c r="G9647" s="5" t="s">
        <v>1266</v>
      </c>
      <c r="H9647" s="5" t="s">
        <v>1686</v>
      </c>
      <c r="I9647" s="5" t="s">
        <v>31</v>
      </c>
      <c r="J9647" s="5">
        <v>16.474908977199998</v>
      </c>
      <c r="K9647" s="5">
        <v>-96.676756597671996</v>
      </c>
      <c r="L9647" s="5" t="str">
        <f>HYPERLINK("https://maps.google.com/?q=16.4749089771998,-96.676756597672394", "🔗 Ver Mapa")</f>
        <v>🔗 Ver Mapa</v>
      </c>
    </row>
    <row r="9648" spans="1:12" ht="43.5" x14ac:dyDescent="0.35">
      <c r="A9648" s="6" t="s">
        <v>98</v>
      </c>
      <c r="B9648" s="6" t="s">
        <v>99</v>
      </c>
      <c r="C9648" s="6" t="s">
        <v>1685</v>
      </c>
      <c r="D9648" s="6" t="s">
        <v>14</v>
      </c>
      <c r="E9648" s="6" t="s">
        <v>39</v>
      </c>
      <c r="F9648" s="6" t="s">
        <v>353</v>
      </c>
      <c r="G9648" s="6" t="s">
        <v>1266</v>
      </c>
      <c r="H9648" s="6" t="s">
        <v>1686</v>
      </c>
      <c r="I9648" s="6" t="s">
        <v>31</v>
      </c>
      <c r="J9648" s="6">
        <v>16.474974012798999</v>
      </c>
      <c r="K9648" s="6">
        <v>-96.679715404418999</v>
      </c>
      <c r="L9648" s="6" t="str">
        <f>HYPERLINK("https://maps.google.com/?q=16.4749740127995,-96.679715404418602", "🔗 Ver Mapa")</f>
        <v>🔗 Ver Mapa</v>
      </c>
    </row>
    <row r="9649" spans="1:12" ht="43.5" x14ac:dyDescent="0.35">
      <c r="A9649" s="5" t="s">
        <v>98</v>
      </c>
      <c r="B9649" s="5" t="s">
        <v>99</v>
      </c>
      <c r="C9649" s="5" t="s">
        <v>1685</v>
      </c>
      <c r="D9649" s="5" t="s">
        <v>14</v>
      </c>
      <c r="E9649" s="5" t="s">
        <v>39</v>
      </c>
      <c r="F9649" s="5" t="s">
        <v>353</v>
      </c>
      <c r="G9649" s="5" t="s">
        <v>1266</v>
      </c>
      <c r="H9649" s="5" t="s">
        <v>1686</v>
      </c>
      <c r="I9649" s="5" t="s">
        <v>31</v>
      </c>
      <c r="J9649" s="5">
        <v>16.475062393114001</v>
      </c>
      <c r="K9649" s="5">
        <v>-96.677877660391005</v>
      </c>
      <c r="L9649" s="5" t="str">
        <f>HYPERLINK("https://maps.google.com/?q=16.4750623931137,-96.677877660391104", "🔗 Ver Mapa")</f>
        <v>🔗 Ver Mapa</v>
      </c>
    </row>
    <row r="9650" spans="1:12" ht="43.5" x14ac:dyDescent="0.35">
      <c r="A9650" s="6" t="s">
        <v>98</v>
      </c>
      <c r="B9650" s="6" t="s">
        <v>99</v>
      </c>
      <c r="C9650" s="6" t="s">
        <v>1685</v>
      </c>
      <c r="D9650" s="6" t="s">
        <v>14</v>
      </c>
      <c r="E9650" s="6" t="s">
        <v>39</v>
      </c>
      <c r="F9650" s="6" t="s">
        <v>353</v>
      </c>
      <c r="G9650" s="6" t="s">
        <v>1266</v>
      </c>
      <c r="H9650" s="6" t="s">
        <v>1686</v>
      </c>
      <c r="I9650" s="6" t="s">
        <v>31</v>
      </c>
      <c r="J9650" s="6">
        <v>16.475192052581001</v>
      </c>
      <c r="K9650" s="6">
        <v>-96.679442821104999</v>
      </c>
      <c r="L9650" s="6" t="str">
        <f>HYPERLINK("https://maps.google.com/?q=16.4751920525809,-96.679442821105098", "🔗 Ver Mapa")</f>
        <v>🔗 Ver Mapa</v>
      </c>
    </row>
    <row r="9651" spans="1:12" ht="43.5" x14ac:dyDescent="0.35">
      <c r="A9651" s="5" t="s">
        <v>98</v>
      </c>
      <c r="B9651" s="5" t="s">
        <v>99</v>
      </c>
      <c r="C9651" s="5" t="s">
        <v>1685</v>
      </c>
      <c r="D9651" s="5" t="s">
        <v>14</v>
      </c>
      <c r="E9651" s="5" t="s">
        <v>39</v>
      </c>
      <c r="F9651" s="5" t="s">
        <v>353</v>
      </c>
      <c r="G9651" s="5" t="s">
        <v>1266</v>
      </c>
      <c r="H9651" s="5" t="s">
        <v>1686</v>
      </c>
      <c r="I9651" s="5" t="s">
        <v>31</v>
      </c>
      <c r="J9651" s="5">
        <v>16.475495786572001</v>
      </c>
      <c r="K9651" s="5">
        <v>-96.677432690985995</v>
      </c>
      <c r="L9651" s="5" t="str">
        <f>HYPERLINK("https://maps.google.com/?q=16.4754957865717,-96.677432690985896", "🔗 Ver Mapa")</f>
        <v>🔗 Ver Mapa</v>
      </c>
    </row>
    <row r="9652" spans="1:12" ht="43.5" x14ac:dyDescent="0.35">
      <c r="A9652" s="6" t="s">
        <v>98</v>
      </c>
      <c r="B9652" s="6" t="s">
        <v>99</v>
      </c>
      <c r="C9652" s="6" t="s">
        <v>1687</v>
      </c>
      <c r="D9652" s="6" t="s">
        <v>14</v>
      </c>
      <c r="E9652" s="6" t="s">
        <v>39</v>
      </c>
      <c r="F9652" s="6" t="s">
        <v>353</v>
      </c>
      <c r="G9652" s="6" t="s">
        <v>1266</v>
      </c>
      <c r="H9652" s="6" t="s">
        <v>1267</v>
      </c>
      <c r="I9652" s="6" t="s">
        <v>31</v>
      </c>
      <c r="J9652" s="6">
        <v>16.313508764312999</v>
      </c>
      <c r="K9652" s="6">
        <v>-96.578761772982006</v>
      </c>
      <c r="L9652" s="6" t="str">
        <f>HYPERLINK("https://maps.google.com/?q=16.3135087643133,-96.578761772981693", "🔗 Ver Mapa")</f>
        <v>🔗 Ver Mapa</v>
      </c>
    </row>
    <row r="9653" spans="1:12" ht="43.5" x14ac:dyDescent="0.35">
      <c r="A9653" s="5" t="s">
        <v>98</v>
      </c>
      <c r="B9653" s="5" t="s">
        <v>99</v>
      </c>
      <c r="C9653" s="5" t="s">
        <v>1687</v>
      </c>
      <c r="D9653" s="5" t="s">
        <v>14</v>
      </c>
      <c r="E9653" s="5" t="s">
        <v>39</v>
      </c>
      <c r="F9653" s="5" t="s">
        <v>353</v>
      </c>
      <c r="G9653" s="5" t="s">
        <v>1266</v>
      </c>
      <c r="H9653" s="5" t="s">
        <v>1267</v>
      </c>
      <c r="I9653" s="5" t="s">
        <v>31</v>
      </c>
      <c r="J9653" s="5">
        <v>16.316034692654</v>
      </c>
      <c r="K9653" s="5">
        <v>-96.586468889548996</v>
      </c>
      <c r="L9653" s="5" t="str">
        <f>HYPERLINK("https://maps.google.com/?q=16.3160346926537,-96.586468889549295", "🔗 Ver Mapa")</f>
        <v>🔗 Ver Mapa</v>
      </c>
    </row>
    <row r="9654" spans="1:12" ht="43.5" x14ac:dyDescent="0.35">
      <c r="A9654" s="6" t="s">
        <v>98</v>
      </c>
      <c r="B9654" s="6" t="s">
        <v>99</v>
      </c>
      <c r="C9654" s="6" t="s">
        <v>1687</v>
      </c>
      <c r="D9654" s="6" t="s">
        <v>14</v>
      </c>
      <c r="E9654" s="6" t="s">
        <v>39</v>
      </c>
      <c r="F9654" s="6" t="s">
        <v>353</v>
      </c>
      <c r="G9654" s="6" t="s">
        <v>1266</v>
      </c>
      <c r="H9654" s="6" t="s">
        <v>1267</v>
      </c>
      <c r="I9654" s="6" t="s">
        <v>31</v>
      </c>
      <c r="J9654" s="6">
        <v>16.316193628634998</v>
      </c>
      <c r="K9654" s="6">
        <v>-96.586229696923994</v>
      </c>
      <c r="L9654" s="6" t="str">
        <f>HYPERLINK("https://maps.google.com/?q=16.3161936286347,-96.586229696924207", "🔗 Ver Mapa")</f>
        <v>🔗 Ver Mapa</v>
      </c>
    </row>
    <row r="9655" spans="1:12" ht="43.5" x14ac:dyDescent="0.35">
      <c r="A9655" s="5" t="s">
        <v>98</v>
      </c>
      <c r="B9655" s="5" t="s">
        <v>99</v>
      </c>
      <c r="C9655" s="5" t="s">
        <v>1687</v>
      </c>
      <c r="D9655" s="5" t="s">
        <v>14</v>
      </c>
      <c r="E9655" s="5" t="s">
        <v>39</v>
      </c>
      <c r="F9655" s="5" t="s">
        <v>353</v>
      </c>
      <c r="G9655" s="5" t="s">
        <v>1266</v>
      </c>
      <c r="H9655" s="5" t="s">
        <v>1267</v>
      </c>
      <c r="I9655" s="5" t="s">
        <v>31</v>
      </c>
      <c r="J9655" s="5">
        <v>16.316225418721999</v>
      </c>
      <c r="K9655" s="5">
        <v>-96.586481673611004</v>
      </c>
      <c r="L9655" s="5" t="str">
        <f>HYPERLINK("https://maps.google.com/?q=16.3162254187218,-96.586481673610706", "🔗 Ver Mapa")</f>
        <v>🔗 Ver Mapa</v>
      </c>
    </row>
    <row r="9656" spans="1:12" ht="43.5" x14ac:dyDescent="0.35">
      <c r="A9656" s="6" t="s">
        <v>98</v>
      </c>
      <c r="B9656" s="6" t="s">
        <v>99</v>
      </c>
      <c r="C9656" s="6" t="s">
        <v>1687</v>
      </c>
      <c r="D9656" s="6" t="s">
        <v>14</v>
      </c>
      <c r="E9656" s="6" t="s">
        <v>39</v>
      </c>
      <c r="F9656" s="6" t="s">
        <v>353</v>
      </c>
      <c r="G9656" s="6" t="s">
        <v>1266</v>
      </c>
      <c r="H9656" s="6" t="s">
        <v>1267</v>
      </c>
      <c r="I9656" s="6" t="s">
        <v>31</v>
      </c>
      <c r="J9656" s="6">
        <v>16.316291340378999</v>
      </c>
      <c r="K9656" s="6">
        <v>-96.586706947256005</v>
      </c>
      <c r="L9656" s="6" t="str">
        <f>HYPERLINK("https://maps.google.com/?q=16.3162913403792,-96.586706947256005", "🔗 Ver Mapa")</f>
        <v>🔗 Ver Mapa</v>
      </c>
    </row>
    <row r="9657" spans="1:12" ht="43.5" x14ac:dyDescent="0.35">
      <c r="A9657" s="5" t="s">
        <v>98</v>
      </c>
      <c r="B9657" s="5" t="s">
        <v>99</v>
      </c>
      <c r="C9657" s="5" t="s">
        <v>1687</v>
      </c>
      <c r="D9657" s="5" t="s">
        <v>14</v>
      </c>
      <c r="E9657" s="5" t="s">
        <v>39</v>
      </c>
      <c r="F9657" s="5" t="s">
        <v>353</v>
      </c>
      <c r="G9657" s="5" t="s">
        <v>1266</v>
      </c>
      <c r="H9657" s="5" t="s">
        <v>1267</v>
      </c>
      <c r="I9657" s="5" t="s">
        <v>31</v>
      </c>
      <c r="J9657" s="5">
        <v>16.316321925419999</v>
      </c>
      <c r="K9657" s="5">
        <v>-96.586121355819998</v>
      </c>
      <c r="L9657" s="5" t="str">
        <f>HYPERLINK("https://maps.google.com/?q=16.3163219254201,-96.586121355819699", "🔗 Ver Mapa")</f>
        <v>🔗 Ver Mapa</v>
      </c>
    </row>
    <row r="9658" spans="1:12" ht="43.5" x14ac:dyDescent="0.35">
      <c r="A9658" s="6" t="s">
        <v>98</v>
      </c>
      <c r="B9658" s="6" t="s">
        <v>99</v>
      </c>
      <c r="C9658" s="6" t="s">
        <v>1687</v>
      </c>
      <c r="D9658" s="6" t="s">
        <v>14</v>
      </c>
      <c r="E9658" s="6" t="s">
        <v>39</v>
      </c>
      <c r="F9658" s="6" t="s">
        <v>353</v>
      </c>
      <c r="G9658" s="6" t="s">
        <v>1266</v>
      </c>
      <c r="H9658" s="6" t="s">
        <v>1267</v>
      </c>
      <c r="I9658" s="6" t="s">
        <v>31</v>
      </c>
      <c r="J9658" s="6">
        <v>16.317071763516999</v>
      </c>
      <c r="K9658" s="6">
        <v>-96.585302396329993</v>
      </c>
      <c r="L9658" s="6" t="str">
        <f>HYPERLINK("https://maps.google.com/?q=16.3170717635173,-96.585302396329894", "🔗 Ver Mapa")</f>
        <v>🔗 Ver Mapa</v>
      </c>
    </row>
    <row r="9659" spans="1:12" ht="43.5" x14ac:dyDescent="0.35">
      <c r="A9659" s="5" t="s">
        <v>98</v>
      </c>
      <c r="B9659" s="5" t="s">
        <v>99</v>
      </c>
      <c r="C9659" s="5" t="s">
        <v>1687</v>
      </c>
      <c r="D9659" s="5" t="s">
        <v>14</v>
      </c>
      <c r="E9659" s="5" t="s">
        <v>39</v>
      </c>
      <c r="F9659" s="5" t="s">
        <v>353</v>
      </c>
      <c r="G9659" s="5" t="s">
        <v>1266</v>
      </c>
      <c r="H9659" s="5" t="s">
        <v>1267</v>
      </c>
      <c r="I9659" s="5" t="s">
        <v>31</v>
      </c>
      <c r="J9659" s="5">
        <v>16.317549835047</v>
      </c>
      <c r="K9659" s="5">
        <v>-96.584984690807005</v>
      </c>
      <c r="L9659" s="5" t="str">
        <f>HYPERLINK("https://maps.google.com/?q=16.3175498350468,-96.584984690807303", "🔗 Ver Mapa")</f>
        <v>🔗 Ver Mapa</v>
      </c>
    </row>
    <row r="9660" spans="1:12" ht="43.5" x14ac:dyDescent="0.35">
      <c r="A9660" s="6" t="s">
        <v>98</v>
      </c>
      <c r="B9660" s="6" t="s">
        <v>99</v>
      </c>
      <c r="C9660" s="6" t="s">
        <v>1687</v>
      </c>
      <c r="D9660" s="6" t="s">
        <v>14</v>
      </c>
      <c r="E9660" s="6" t="s">
        <v>39</v>
      </c>
      <c r="F9660" s="6" t="s">
        <v>353</v>
      </c>
      <c r="G9660" s="6" t="s">
        <v>1266</v>
      </c>
      <c r="H9660" s="6" t="s">
        <v>1267</v>
      </c>
      <c r="I9660" s="6" t="s">
        <v>31</v>
      </c>
      <c r="J9660" s="6">
        <v>16.317605600488999</v>
      </c>
      <c r="K9660" s="6">
        <v>-96.585317809855994</v>
      </c>
      <c r="L9660" s="6" t="str">
        <f>HYPERLINK("https://maps.google.com/?q=16.3176056004893,-96.585317809856306", "🔗 Ver Mapa")</f>
        <v>🔗 Ver Mapa</v>
      </c>
    </row>
    <row r="9661" spans="1:12" ht="43.5" x14ac:dyDescent="0.35">
      <c r="A9661" s="5" t="s">
        <v>98</v>
      </c>
      <c r="B9661" s="5" t="s">
        <v>99</v>
      </c>
      <c r="C9661" s="5" t="s">
        <v>1687</v>
      </c>
      <c r="D9661" s="5" t="s">
        <v>14</v>
      </c>
      <c r="E9661" s="5" t="s">
        <v>39</v>
      </c>
      <c r="F9661" s="5" t="s">
        <v>353</v>
      </c>
      <c r="G9661" s="5" t="s">
        <v>1266</v>
      </c>
      <c r="H9661" s="5" t="s">
        <v>1267</v>
      </c>
      <c r="I9661" s="5" t="s">
        <v>31</v>
      </c>
      <c r="J9661" s="5">
        <v>16.317708815844998</v>
      </c>
      <c r="K9661" s="5">
        <v>-96.585051306710994</v>
      </c>
      <c r="L9661" s="5" t="str">
        <f>HYPERLINK("https://maps.google.com/?q=16.3177088158449,-96.585051306711307", "🔗 Ver Mapa")</f>
        <v>🔗 Ver Mapa</v>
      </c>
    </row>
    <row r="9662" spans="1:12" ht="43.5" x14ac:dyDescent="0.35">
      <c r="A9662" s="6" t="s">
        <v>98</v>
      </c>
      <c r="B9662" s="6" t="s">
        <v>99</v>
      </c>
      <c r="C9662" s="6" t="s">
        <v>1687</v>
      </c>
      <c r="D9662" s="6" t="s">
        <v>14</v>
      </c>
      <c r="E9662" s="6" t="s">
        <v>39</v>
      </c>
      <c r="F9662" s="6" t="s">
        <v>353</v>
      </c>
      <c r="G9662" s="6" t="s">
        <v>1266</v>
      </c>
      <c r="H9662" s="6" t="s">
        <v>1267</v>
      </c>
      <c r="I9662" s="6" t="s">
        <v>31</v>
      </c>
      <c r="J9662" s="6">
        <v>16.317829105295001</v>
      </c>
      <c r="K9662" s="6">
        <v>-96.588488709939</v>
      </c>
      <c r="L9662" s="6" t="str">
        <f>HYPERLINK("https://maps.google.com/?q=16.317829105295,-96.588488709939497", "🔗 Ver Mapa")</f>
        <v>🔗 Ver Mapa</v>
      </c>
    </row>
    <row r="9663" spans="1:12" ht="43.5" x14ac:dyDescent="0.35">
      <c r="A9663" s="5" t="s">
        <v>98</v>
      </c>
      <c r="B9663" s="5" t="s">
        <v>99</v>
      </c>
      <c r="C9663" s="5" t="s">
        <v>1687</v>
      </c>
      <c r="D9663" s="5" t="s">
        <v>14</v>
      </c>
      <c r="E9663" s="5" t="s">
        <v>39</v>
      </c>
      <c r="F9663" s="5" t="s">
        <v>353</v>
      </c>
      <c r="G9663" s="5" t="s">
        <v>1266</v>
      </c>
      <c r="H9663" s="5" t="s">
        <v>1267</v>
      </c>
      <c r="I9663" s="5" t="s">
        <v>31</v>
      </c>
      <c r="J9663" s="5">
        <v>16.318301696372</v>
      </c>
      <c r="K9663" s="5">
        <v>-96.585432574240002</v>
      </c>
      <c r="L9663" s="5" t="str">
        <f>HYPERLINK("https://maps.google.com/?q=16.3183016963723,-96.585432574239704", "🔗 Ver Mapa")</f>
        <v>🔗 Ver Mapa</v>
      </c>
    </row>
    <row r="9664" spans="1:12" ht="43.5" x14ac:dyDescent="0.35">
      <c r="A9664" s="6" t="s">
        <v>98</v>
      </c>
      <c r="B9664" s="6" t="s">
        <v>99</v>
      </c>
      <c r="C9664" s="6" t="s">
        <v>1687</v>
      </c>
      <c r="D9664" s="6" t="s">
        <v>14</v>
      </c>
      <c r="E9664" s="6" t="s">
        <v>39</v>
      </c>
      <c r="F9664" s="6" t="s">
        <v>353</v>
      </c>
      <c r="G9664" s="6" t="s">
        <v>1266</v>
      </c>
      <c r="H9664" s="6" t="s">
        <v>1267</v>
      </c>
      <c r="I9664" s="6" t="s">
        <v>31</v>
      </c>
      <c r="J9664" s="6">
        <v>16.320027835341001</v>
      </c>
      <c r="K9664" s="6">
        <v>-96.586071029430002</v>
      </c>
      <c r="L9664" s="6" t="str">
        <f>HYPERLINK("https://maps.google.com/?q=16.3200278353406,-96.5860710294304", "🔗 Ver Mapa")</f>
        <v>🔗 Ver Mapa</v>
      </c>
    </row>
    <row r="9665" spans="1:12" ht="43.5" x14ac:dyDescent="0.35">
      <c r="A9665" s="5" t="s">
        <v>98</v>
      </c>
      <c r="B9665" s="5" t="s">
        <v>99</v>
      </c>
      <c r="C9665" s="5" t="s">
        <v>1687</v>
      </c>
      <c r="D9665" s="5" t="s">
        <v>14</v>
      </c>
      <c r="E9665" s="5" t="s">
        <v>39</v>
      </c>
      <c r="F9665" s="5" t="s">
        <v>353</v>
      </c>
      <c r="G9665" s="5" t="s">
        <v>1266</v>
      </c>
      <c r="H9665" s="5" t="s">
        <v>1267</v>
      </c>
      <c r="I9665" s="5" t="s">
        <v>31</v>
      </c>
      <c r="J9665" s="5">
        <v>16.320762081400002</v>
      </c>
      <c r="K9665" s="5">
        <v>-96.587269635582004</v>
      </c>
      <c r="L9665" s="5" t="str">
        <f>HYPERLINK("https://maps.google.com/?q=16.3207620814004,-96.587269635582004", "🔗 Ver Mapa")</f>
        <v>🔗 Ver Mapa</v>
      </c>
    </row>
    <row r="9666" spans="1:12" ht="43.5" x14ac:dyDescent="0.35">
      <c r="A9666" s="6" t="s">
        <v>98</v>
      </c>
      <c r="B9666" s="6" t="s">
        <v>99</v>
      </c>
      <c r="C9666" s="6" t="s">
        <v>1687</v>
      </c>
      <c r="D9666" s="6" t="s">
        <v>14</v>
      </c>
      <c r="E9666" s="6" t="s">
        <v>39</v>
      </c>
      <c r="F9666" s="6" t="s">
        <v>353</v>
      </c>
      <c r="G9666" s="6" t="s">
        <v>1266</v>
      </c>
      <c r="H9666" s="6" t="s">
        <v>1267</v>
      </c>
      <c r="I9666" s="6" t="s">
        <v>31</v>
      </c>
      <c r="J9666" s="6">
        <v>16.329899999999999</v>
      </c>
      <c r="K9666" s="6">
        <v>-96.598179000000002</v>
      </c>
      <c r="L9666" s="6" t="str">
        <f>HYPERLINK("https://maps.google.com/?q=16.3299,-96.598179000000002", "🔗 Ver Mapa")</f>
        <v>🔗 Ver Mapa</v>
      </c>
    </row>
    <row r="9667" spans="1:12" ht="43.5" x14ac:dyDescent="0.35">
      <c r="A9667" s="5" t="s">
        <v>98</v>
      </c>
      <c r="B9667" s="5" t="s">
        <v>99</v>
      </c>
      <c r="C9667" s="5" t="s">
        <v>1688</v>
      </c>
      <c r="D9667" s="5" t="s">
        <v>14</v>
      </c>
      <c r="E9667" s="5" t="s">
        <v>39</v>
      </c>
      <c r="F9667" s="5" t="s">
        <v>353</v>
      </c>
      <c r="G9667" s="5" t="s">
        <v>1266</v>
      </c>
      <c r="H9667" s="5" t="s">
        <v>1689</v>
      </c>
      <c r="I9667" s="5" t="s">
        <v>31</v>
      </c>
      <c r="J9667" s="5">
        <v>16.46299209503</v>
      </c>
      <c r="K9667" s="5">
        <v>-96.645302799719005</v>
      </c>
      <c r="L9667" s="5" t="str">
        <f>HYPERLINK("https://maps.google.com/?q=16.4629920950303,-96.645302799719204", "🔗 Ver Mapa")</f>
        <v>🔗 Ver Mapa</v>
      </c>
    </row>
    <row r="9668" spans="1:12" ht="43.5" x14ac:dyDescent="0.35">
      <c r="A9668" s="6" t="s">
        <v>98</v>
      </c>
      <c r="B9668" s="6" t="s">
        <v>99</v>
      </c>
      <c r="C9668" s="6" t="s">
        <v>1688</v>
      </c>
      <c r="D9668" s="6" t="s">
        <v>14</v>
      </c>
      <c r="E9668" s="6" t="s">
        <v>39</v>
      </c>
      <c r="F9668" s="6" t="s">
        <v>353</v>
      </c>
      <c r="G9668" s="6" t="s">
        <v>1266</v>
      </c>
      <c r="H9668" s="6" t="s">
        <v>1689</v>
      </c>
      <c r="I9668" s="6" t="s">
        <v>31</v>
      </c>
      <c r="J9668" s="6">
        <v>16.463193874361998</v>
      </c>
      <c r="K9668" s="6">
        <v>-96.646810344505994</v>
      </c>
      <c r="L9668" s="6" t="str">
        <f>HYPERLINK("https://maps.google.com/?q=16.4631938743622,-96.646810344505994", "🔗 Ver Mapa")</f>
        <v>🔗 Ver Mapa</v>
      </c>
    </row>
    <row r="9669" spans="1:12" ht="43.5" x14ac:dyDescent="0.35">
      <c r="A9669" s="5" t="s">
        <v>98</v>
      </c>
      <c r="B9669" s="5" t="s">
        <v>99</v>
      </c>
      <c r="C9669" s="5" t="s">
        <v>1688</v>
      </c>
      <c r="D9669" s="5" t="s">
        <v>14</v>
      </c>
      <c r="E9669" s="5" t="s">
        <v>39</v>
      </c>
      <c r="F9669" s="5" t="s">
        <v>353</v>
      </c>
      <c r="G9669" s="5" t="s">
        <v>1266</v>
      </c>
      <c r="H9669" s="5" t="s">
        <v>1689</v>
      </c>
      <c r="I9669" s="5" t="s">
        <v>31</v>
      </c>
      <c r="J9669" s="5">
        <v>16.463273514638001</v>
      </c>
      <c r="K9669" s="5">
        <v>-96.646959927634001</v>
      </c>
      <c r="L9669" s="5" t="str">
        <f>HYPERLINK("https://maps.google.com/?q=16.4632735146382,-96.646959927633802", "🔗 Ver Mapa")</f>
        <v>🔗 Ver Mapa</v>
      </c>
    </row>
    <row r="9670" spans="1:12" ht="43.5" x14ac:dyDescent="0.35">
      <c r="A9670" s="6" t="s">
        <v>98</v>
      </c>
      <c r="B9670" s="6" t="s">
        <v>99</v>
      </c>
      <c r="C9670" s="6" t="s">
        <v>1688</v>
      </c>
      <c r="D9670" s="6" t="s">
        <v>14</v>
      </c>
      <c r="E9670" s="6" t="s">
        <v>39</v>
      </c>
      <c r="F9670" s="6" t="s">
        <v>353</v>
      </c>
      <c r="G9670" s="6" t="s">
        <v>1266</v>
      </c>
      <c r="H9670" s="6" t="s">
        <v>1689</v>
      </c>
      <c r="I9670" s="6" t="s">
        <v>31</v>
      </c>
      <c r="J9670" s="6">
        <v>16.464217183801001</v>
      </c>
      <c r="K9670" s="6">
        <v>-96.644803834990995</v>
      </c>
      <c r="L9670" s="6" t="str">
        <f>HYPERLINK("https://maps.google.com/?q=16.4642171838013,-96.644803834990995", "🔗 Ver Mapa")</f>
        <v>🔗 Ver Mapa</v>
      </c>
    </row>
    <row r="9671" spans="1:12" ht="43.5" x14ac:dyDescent="0.35">
      <c r="A9671" s="5" t="s">
        <v>98</v>
      </c>
      <c r="B9671" s="5" t="s">
        <v>99</v>
      </c>
      <c r="C9671" s="5" t="s">
        <v>1688</v>
      </c>
      <c r="D9671" s="5" t="s">
        <v>14</v>
      </c>
      <c r="E9671" s="5" t="s">
        <v>39</v>
      </c>
      <c r="F9671" s="5" t="s">
        <v>353</v>
      </c>
      <c r="G9671" s="5" t="s">
        <v>1266</v>
      </c>
      <c r="H9671" s="5" t="s">
        <v>1689</v>
      </c>
      <c r="I9671" s="5" t="s">
        <v>31</v>
      </c>
      <c r="J9671" s="5">
        <v>16.464282204033999</v>
      </c>
      <c r="K9671" s="5">
        <v>-96.647296303535995</v>
      </c>
      <c r="L9671" s="5" t="str">
        <f>HYPERLINK("https://maps.google.com/?q=16.4642822040343,-96.647296303535796", "🔗 Ver Mapa")</f>
        <v>🔗 Ver Mapa</v>
      </c>
    </row>
    <row r="9672" spans="1:12" ht="43.5" x14ac:dyDescent="0.35">
      <c r="A9672" s="6" t="s">
        <v>98</v>
      </c>
      <c r="B9672" s="6" t="s">
        <v>99</v>
      </c>
      <c r="C9672" s="6" t="s">
        <v>1688</v>
      </c>
      <c r="D9672" s="6" t="s">
        <v>14</v>
      </c>
      <c r="E9672" s="6" t="s">
        <v>39</v>
      </c>
      <c r="F9672" s="6" t="s">
        <v>353</v>
      </c>
      <c r="G9672" s="6" t="s">
        <v>1266</v>
      </c>
      <c r="H9672" s="6" t="s">
        <v>1689</v>
      </c>
      <c r="I9672" s="6" t="s">
        <v>31</v>
      </c>
      <c r="J9672" s="6">
        <v>16.464343145678999</v>
      </c>
      <c r="K9672" s="6">
        <v>-96.645228666983002</v>
      </c>
      <c r="L9672" s="6" t="str">
        <f>HYPERLINK("https://maps.google.com/?q=16.4643431456786,-96.645228666982902", "🔗 Ver Mapa")</f>
        <v>🔗 Ver Mapa</v>
      </c>
    </row>
    <row r="9673" spans="1:12" ht="43.5" x14ac:dyDescent="0.35">
      <c r="A9673" s="5" t="s">
        <v>98</v>
      </c>
      <c r="B9673" s="5" t="s">
        <v>99</v>
      </c>
      <c r="C9673" s="5" t="s">
        <v>1688</v>
      </c>
      <c r="D9673" s="5" t="s">
        <v>14</v>
      </c>
      <c r="E9673" s="5" t="s">
        <v>39</v>
      </c>
      <c r="F9673" s="5" t="s">
        <v>353</v>
      </c>
      <c r="G9673" s="5" t="s">
        <v>1266</v>
      </c>
      <c r="H9673" s="5" t="s">
        <v>1689</v>
      </c>
      <c r="I9673" s="5" t="s">
        <v>31</v>
      </c>
      <c r="J9673" s="5">
        <v>16.464853595548</v>
      </c>
      <c r="K9673" s="5">
        <v>-96.647705737435004</v>
      </c>
      <c r="L9673" s="5" t="str">
        <f>HYPERLINK("https://maps.google.com/?q=16.4648535955477,-96.647705737435302", "🔗 Ver Mapa")</f>
        <v>🔗 Ver Mapa</v>
      </c>
    </row>
    <row r="9674" spans="1:12" ht="43.5" x14ac:dyDescent="0.35">
      <c r="A9674" s="6" t="s">
        <v>98</v>
      </c>
      <c r="B9674" s="6" t="s">
        <v>99</v>
      </c>
      <c r="C9674" s="6" t="s">
        <v>1688</v>
      </c>
      <c r="D9674" s="6" t="s">
        <v>14</v>
      </c>
      <c r="E9674" s="6" t="s">
        <v>39</v>
      </c>
      <c r="F9674" s="6" t="s">
        <v>353</v>
      </c>
      <c r="G9674" s="6" t="s">
        <v>1266</v>
      </c>
      <c r="H9674" s="6" t="s">
        <v>1689</v>
      </c>
      <c r="I9674" s="6" t="s">
        <v>31</v>
      </c>
      <c r="J9674" s="6">
        <v>16.465561734415001</v>
      </c>
      <c r="K9674" s="6">
        <v>-96.648289371554995</v>
      </c>
      <c r="L9674" s="6" t="str">
        <f>HYPERLINK("https://maps.google.com/?q=16.4655617344155,-96.648289371555194", "🔗 Ver Mapa")</f>
        <v>🔗 Ver Mapa</v>
      </c>
    </row>
    <row r="9675" spans="1:12" ht="43.5" x14ac:dyDescent="0.35">
      <c r="A9675" s="5" t="s">
        <v>98</v>
      </c>
      <c r="B9675" s="5" t="s">
        <v>99</v>
      </c>
      <c r="C9675" s="5" t="s">
        <v>1688</v>
      </c>
      <c r="D9675" s="5" t="s">
        <v>14</v>
      </c>
      <c r="E9675" s="5" t="s">
        <v>39</v>
      </c>
      <c r="F9675" s="5" t="s">
        <v>353</v>
      </c>
      <c r="G9675" s="5" t="s">
        <v>1266</v>
      </c>
      <c r="H9675" s="5" t="s">
        <v>1689</v>
      </c>
      <c r="I9675" s="5" t="s">
        <v>31</v>
      </c>
      <c r="J9675" s="5">
        <v>16.465854307453998</v>
      </c>
      <c r="K9675" s="5">
        <v>-96.647526391490999</v>
      </c>
      <c r="L9675" s="5" t="str">
        <f>HYPERLINK("https://maps.google.com/?q=16.4658543074541,-96.6475263914907", "🔗 Ver Mapa")</f>
        <v>🔗 Ver Mapa</v>
      </c>
    </row>
    <row r="9676" spans="1:12" ht="43.5" x14ac:dyDescent="0.35">
      <c r="A9676" s="6" t="s">
        <v>98</v>
      </c>
      <c r="B9676" s="6" t="s">
        <v>99</v>
      </c>
      <c r="C9676" s="6" t="s">
        <v>1688</v>
      </c>
      <c r="D9676" s="6" t="s">
        <v>14</v>
      </c>
      <c r="E9676" s="6" t="s">
        <v>39</v>
      </c>
      <c r="F9676" s="6" t="s">
        <v>353</v>
      </c>
      <c r="G9676" s="6" t="s">
        <v>1266</v>
      </c>
      <c r="H9676" s="6" t="s">
        <v>1689</v>
      </c>
      <c r="I9676" s="6" t="s">
        <v>31</v>
      </c>
      <c r="J9676" s="6">
        <v>16.466236301563001</v>
      </c>
      <c r="K9676" s="6">
        <v>-96.647662772030998</v>
      </c>
      <c r="L9676" s="6" t="str">
        <f>HYPERLINK("https://maps.google.com/?q=16.4662363015628,-96.647662772030699", "🔗 Ver Mapa")</f>
        <v>🔗 Ver Mapa</v>
      </c>
    </row>
    <row r="9677" spans="1:12" ht="43.5" x14ac:dyDescent="0.35">
      <c r="A9677" s="5" t="s">
        <v>98</v>
      </c>
      <c r="B9677" s="5" t="s">
        <v>99</v>
      </c>
      <c r="C9677" s="5" t="s">
        <v>1688</v>
      </c>
      <c r="D9677" s="5" t="s">
        <v>14</v>
      </c>
      <c r="E9677" s="5" t="s">
        <v>39</v>
      </c>
      <c r="F9677" s="5" t="s">
        <v>353</v>
      </c>
      <c r="G9677" s="5" t="s">
        <v>1266</v>
      </c>
      <c r="H9677" s="5" t="s">
        <v>1689</v>
      </c>
      <c r="I9677" s="5" t="s">
        <v>31</v>
      </c>
      <c r="J9677" s="5">
        <v>16.466295300195</v>
      </c>
      <c r="K9677" s="5">
        <v>-96.644287978277006</v>
      </c>
      <c r="L9677" s="5" t="str">
        <f>HYPERLINK("https://maps.google.com/?q=16.4662953001947,-96.644287978276907", "🔗 Ver Mapa")</f>
        <v>🔗 Ver Mapa</v>
      </c>
    </row>
    <row r="9678" spans="1:12" ht="43.5" x14ac:dyDescent="0.35">
      <c r="A9678" s="6" t="s">
        <v>98</v>
      </c>
      <c r="B9678" s="6" t="s">
        <v>99</v>
      </c>
      <c r="C9678" s="6" t="s">
        <v>1688</v>
      </c>
      <c r="D9678" s="6" t="s">
        <v>14</v>
      </c>
      <c r="E9678" s="6" t="s">
        <v>39</v>
      </c>
      <c r="F9678" s="6" t="s">
        <v>353</v>
      </c>
      <c r="G9678" s="6" t="s">
        <v>1266</v>
      </c>
      <c r="H9678" s="6" t="s">
        <v>1689</v>
      </c>
      <c r="I9678" s="6" t="s">
        <v>31</v>
      </c>
      <c r="J9678" s="6">
        <v>16.466882452796</v>
      </c>
      <c r="K9678" s="6">
        <v>-96.645018165094001</v>
      </c>
      <c r="L9678" s="6" t="str">
        <f>HYPERLINK("https://maps.google.com/?q=16.4668824527963,-96.645018165093802", "🔗 Ver Mapa")</f>
        <v>🔗 Ver Mapa</v>
      </c>
    </row>
    <row r="9679" spans="1:12" ht="43.5" x14ac:dyDescent="0.35">
      <c r="A9679" s="5" t="s">
        <v>98</v>
      </c>
      <c r="B9679" s="5" t="s">
        <v>99</v>
      </c>
      <c r="C9679" s="5" t="s">
        <v>1688</v>
      </c>
      <c r="D9679" s="5" t="s">
        <v>14</v>
      </c>
      <c r="E9679" s="5" t="s">
        <v>39</v>
      </c>
      <c r="F9679" s="5" t="s">
        <v>353</v>
      </c>
      <c r="G9679" s="5" t="s">
        <v>1266</v>
      </c>
      <c r="H9679" s="5" t="s">
        <v>1689</v>
      </c>
      <c r="I9679" s="5" t="s">
        <v>31</v>
      </c>
      <c r="J9679" s="5">
        <v>16.466967896368999</v>
      </c>
      <c r="K9679" s="5">
        <v>-96.644628241795999</v>
      </c>
      <c r="L9679" s="5" t="str">
        <f>HYPERLINK("https://maps.google.com/?q=16.4669678963691,-96.644628241796298", "🔗 Ver Mapa")</f>
        <v>🔗 Ver Mapa</v>
      </c>
    </row>
    <row r="9680" spans="1:12" ht="43.5" x14ac:dyDescent="0.35">
      <c r="A9680" s="6" t="s">
        <v>98</v>
      </c>
      <c r="B9680" s="6" t="s">
        <v>99</v>
      </c>
      <c r="C9680" s="6" t="s">
        <v>1688</v>
      </c>
      <c r="D9680" s="6" t="s">
        <v>14</v>
      </c>
      <c r="E9680" s="6" t="s">
        <v>39</v>
      </c>
      <c r="F9680" s="6" t="s">
        <v>353</v>
      </c>
      <c r="G9680" s="6" t="s">
        <v>1266</v>
      </c>
      <c r="H9680" s="6" t="s">
        <v>1689</v>
      </c>
      <c r="I9680" s="6" t="s">
        <v>31</v>
      </c>
      <c r="J9680" s="6">
        <v>16.466998773987001</v>
      </c>
      <c r="K9680" s="6">
        <v>-96.648090827052997</v>
      </c>
      <c r="L9680" s="6" t="str">
        <f>HYPERLINK("https://maps.google.com/?q=16.4669987739869,-96.648090827052997", "🔗 Ver Mapa")</f>
        <v>🔗 Ver Mapa</v>
      </c>
    </row>
    <row r="9681" spans="1:12" ht="43.5" x14ac:dyDescent="0.35">
      <c r="A9681" s="5" t="s">
        <v>98</v>
      </c>
      <c r="B9681" s="5" t="s">
        <v>99</v>
      </c>
      <c r="C9681" s="5" t="s">
        <v>1688</v>
      </c>
      <c r="D9681" s="5" t="s">
        <v>14</v>
      </c>
      <c r="E9681" s="5" t="s">
        <v>39</v>
      </c>
      <c r="F9681" s="5" t="s">
        <v>353</v>
      </c>
      <c r="G9681" s="5" t="s">
        <v>1266</v>
      </c>
      <c r="H9681" s="5" t="s">
        <v>1689</v>
      </c>
      <c r="I9681" s="5" t="s">
        <v>31</v>
      </c>
      <c r="J9681" s="5">
        <v>16.468787486802999</v>
      </c>
      <c r="K9681" s="5">
        <v>-96.650136865394003</v>
      </c>
      <c r="L9681" s="5" t="str">
        <f>HYPERLINK("https://maps.google.com/?q=16.4687874868035,-96.650136865393804", "🔗 Ver Mapa")</f>
        <v>🔗 Ver Mapa</v>
      </c>
    </row>
    <row r="9682" spans="1:12" ht="43.5" x14ac:dyDescent="0.35">
      <c r="A9682" s="6" t="s">
        <v>98</v>
      </c>
      <c r="B9682" s="6" t="s">
        <v>99</v>
      </c>
      <c r="C9682" s="6" t="s">
        <v>1688</v>
      </c>
      <c r="D9682" s="6" t="s">
        <v>14</v>
      </c>
      <c r="E9682" s="6" t="s">
        <v>39</v>
      </c>
      <c r="F9682" s="6" t="s">
        <v>353</v>
      </c>
      <c r="G9682" s="6" t="s">
        <v>1266</v>
      </c>
      <c r="H9682" s="6" t="s">
        <v>1689</v>
      </c>
      <c r="I9682" s="6" t="s">
        <v>31</v>
      </c>
      <c r="J9682" s="6">
        <v>16.469415858480001</v>
      </c>
      <c r="K9682" s="6">
        <v>-96.647516905225004</v>
      </c>
      <c r="L9682" s="6" t="str">
        <f>HYPERLINK("https://maps.google.com/?q=16.4694158584799,-96.647516905225302", "🔗 Ver Mapa")</f>
        <v>🔗 Ver Mapa</v>
      </c>
    </row>
    <row r="9683" spans="1:12" ht="43.5" x14ac:dyDescent="0.35">
      <c r="A9683" s="5" t="s">
        <v>98</v>
      </c>
      <c r="B9683" s="5" t="s">
        <v>99</v>
      </c>
      <c r="C9683" s="5" t="s">
        <v>1690</v>
      </c>
      <c r="D9683" s="5" t="s">
        <v>14</v>
      </c>
      <c r="E9683" s="5" t="s">
        <v>39</v>
      </c>
      <c r="F9683" s="5" t="s">
        <v>353</v>
      </c>
      <c r="G9683" s="5" t="s">
        <v>1266</v>
      </c>
      <c r="H9683" s="5" t="s">
        <v>1267</v>
      </c>
      <c r="I9683" s="5" t="s">
        <v>31</v>
      </c>
      <c r="J9683" s="5">
        <v>16.317464832555</v>
      </c>
      <c r="K9683" s="5">
        <v>-96.585074340313</v>
      </c>
      <c r="L9683" s="5" t="str">
        <f>HYPERLINK("https://maps.google.com/?q=16.3174648325547,-96.585074340313497", "🔗 Ver Mapa")</f>
        <v>🔗 Ver Mapa</v>
      </c>
    </row>
    <row r="9684" spans="1:12" ht="43.5" x14ac:dyDescent="0.35">
      <c r="A9684" s="6" t="s">
        <v>98</v>
      </c>
      <c r="B9684" s="6" t="s">
        <v>99</v>
      </c>
      <c r="C9684" s="6" t="s">
        <v>1690</v>
      </c>
      <c r="D9684" s="6" t="s">
        <v>14</v>
      </c>
      <c r="E9684" s="6" t="s">
        <v>39</v>
      </c>
      <c r="F9684" s="6" t="s">
        <v>353</v>
      </c>
      <c r="G9684" s="6" t="s">
        <v>1266</v>
      </c>
      <c r="H9684" s="6" t="s">
        <v>1267</v>
      </c>
      <c r="I9684" s="6" t="s">
        <v>31</v>
      </c>
      <c r="J9684" s="6">
        <v>16.318641873855</v>
      </c>
      <c r="K9684" s="6">
        <v>-96.586035854924006</v>
      </c>
      <c r="L9684" s="6" t="str">
        <f>HYPERLINK("https://maps.google.com/?q=16.3186418738547,-96.586035854924205", "🔗 Ver Mapa")</f>
        <v>🔗 Ver Mapa</v>
      </c>
    </row>
    <row r="9685" spans="1:12" ht="43.5" x14ac:dyDescent="0.35">
      <c r="A9685" s="5" t="s">
        <v>98</v>
      </c>
      <c r="B9685" s="5" t="s">
        <v>99</v>
      </c>
      <c r="C9685" s="5" t="s">
        <v>1690</v>
      </c>
      <c r="D9685" s="5" t="s">
        <v>14</v>
      </c>
      <c r="E9685" s="5" t="s">
        <v>39</v>
      </c>
      <c r="F9685" s="5" t="s">
        <v>353</v>
      </c>
      <c r="G9685" s="5" t="s">
        <v>1266</v>
      </c>
      <c r="H9685" s="5" t="s">
        <v>1267</v>
      </c>
      <c r="I9685" s="5" t="s">
        <v>31</v>
      </c>
      <c r="J9685" s="5">
        <v>16.318743015048</v>
      </c>
      <c r="K9685" s="5">
        <v>-96.586319780818002</v>
      </c>
      <c r="L9685" s="5" t="str">
        <f>HYPERLINK("https://maps.google.com/?q=16.3187430150481,-96.586319780817703", "🔗 Ver Mapa")</f>
        <v>🔗 Ver Mapa</v>
      </c>
    </row>
    <row r="9686" spans="1:12" ht="43.5" x14ac:dyDescent="0.35">
      <c r="A9686" s="6" t="s">
        <v>98</v>
      </c>
      <c r="B9686" s="6" t="s">
        <v>99</v>
      </c>
      <c r="C9686" s="6" t="s">
        <v>1690</v>
      </c>
      <c r="D9686" s="6" t="s">
        <v>14</v>
      </c>
      <c r="E9686" s="6" t="s">
        <v>39</v>
      </c>
      <c r="F9686" s="6" t="s">
        <v>353</v>
      </c>
      <c r="G9686" s="6" t="s">
        <v>1266</v>
      </c>
      <c r="H9686" s="6" t="s">
        <v>1267</v>
      </c>
      <c r="I9686" s="6" t="s">
        <v>31</v>
      </c>
      <c r="J9686" s="6">
        <v>16.319636918592</v>
      </c>
      <c r="K9686" s="6">
        <v>-96.586241371976996</v>
      </c>
      <c r="L9686" s="6" t="str">
        <f>HYPERLINK("https://maps.google.com/?q=16.3196369185922,-96.586241371977394", "🔗 Ver Mapa")</f>
        <v>🔗 Ver Mapa</v>
      </c>
    </row>
    <row r="9687" spans="1:12" ht="43.5" x14ac:dyDescent="0.35">
      <c r="A9687" s="5" t="s">
        <v>98</v>
      </c>
      <c r="B9687" s="5" t="s">
        <v>99</v>
      </c>
      <c r="C9687" s="5" t="s">
        <v>1690</v>
      </c>
      <c r="D9687" s="5" t="s">
        <v>14</v>
      </c>
      <c r="E9687" s="5" t="s">
        <v>39</v>
      </c>
      <c r="F9687" s="5" t="s">
        <v>353</v>
      </c>
      <c r="G9687" s="5" t="s">
        <v>1266</v>
      </c>
      <c r="H9687" s="5" t="s">
        <v>1267</v>
      </c>
      <c r="I9687" s="5" t="s">
        <v>31</v>
      </c>
      <c r="J9687" s="5">
        <v>16.319793235011002</v>
      </c>
      <c r="K9687" s="5">
        <v>-96.586508431013002</v>
      </c>
      <c r="L9687" s="5" t="str">
        <f>HYPERLINK("https://maps.google.com/?q=16.319793235011,-96.586508431013499", "🔗 Ver Mapa")</f>
        <v>🔗 Ver Mapa</v>
      </c>
    </row>
    <row r="9688" spans="1:12" ht="43.5" x14ac:dyDescent="0.35">
      <c r="A9688" s="6" t="s">
        <v>98</v>
      </c>
      <c r="B9688" s="6" t="s">
        <v>99</v>
      </c>
      <c r="C9688" s="6" t="s">
        <v>1690</v>
      </c>
      <c r="D9688" s="6" t="s">
        <v>14</v>
      </c>
      <c r="E9688" s="6" t="s">
        <v>39</v>
      </c>
      <c r="F9688" s="6" t="s">
        <v>353</v>
      </c>
      <c r="G9688" s="6" t="s">
        <v>1266</v>
      </c>
      <c r="H9688" s="6" t="s">
        <v>1267</v>
      </c>
      <c r="I9688" s="6" t="s">
        <v>31</v>
      </c>
      <c r="J9688" s="6">
        <v>16.319856386556001</v>
      </c>
      <c r="K9688" s="6">
        <v>-96.586830070979005</v>
      </c>
      <c r="L9688" s="6" t="str">
        <f>HYPERLINK("https://maps.google.com/?q=16.3198563865562,-96.586830070979403", "🔗 Ver Mapa")</f>
        <v>🔗 Ver Mapa</v>
      </c>
    </row>
    <row r="9689" spans="1:12" ht="43.5" x14ac:dyDescent="0.35">
      <c r="A9689" s="5" t="s">
        <v>98</v>
      </c>
      <c r="B9689" s="5" t="s">
        <v>99</v>
      </c>
      <c r="C9689" s="5" t="s">
        <v>1690</v>
      </c>
      <c r="D9689" s="5" t="s">
        <v>14</v>
      </c>
      <c r="E9689" s="5" t="s">
        <v>39</v>
      </c>
      <c r="F9689" s="5" t="s">
        <v>353</v>
      </c>
      <c r="G9689" s="5" t="s">
        <v>1266</v>
      </c>
      <c r="H9689" s="5" t="s">
        <v>1267</v>
      </c>
      <c r="I9689" s="5" t="s">
        <v>31</v>
      </c>
      <c r="J9689" s="5">
        <v>16.319908310965001</v>
      </c>
      <c r="K9689" s="5">
        <v>-96.586763629211006</v>
      </c>
      <c r="L9689" s="5" t="str">
        <f>HYPERLINK("https://maps.google.com/?q=16.3199083109653,-96.586763629211006", "🔗 Ver Mapa")</f>
        <v>🔗 Ver Mapa</v>
      </c>
    </row>
    <row r="9690" spans="1:12" ht="43.5" x14ac:dyDescent="0.35">
      <c r="A9690" s="6" t="s">
        <v>98</v>
      </c>
      <c r="B9690" s="6" t="s">
        <v>99</v>
      </c>
      <c r="C9690" s="6" t="s">
        <v>561</v>
      </c>
      <c r="D9690" s="6" t="s">
        <v>14</v>
      </c>
      <c r="E9690" s="6" t="s">
        <v>140</v>
      </c>
      <c r="F9690" s="6" t="s">
        <v>141</v>
      </c>
      <c r="G9690" s="6" t="s">
        <v>187</v>
      </c>
      <c r="H9690" s="6" t="s">
        <v>188</v>
      </c>
      <c r="I9690" s="6" t="s">
        <v>31</v>
      </c>
      <c r="J9690" s="6">
        <v>18.069381926137002</v>
      </c>
      <c r="K9690" s="6">
        <v>-96.126556862599998</v>
      </c>
      <c r="L9690" s="6" t="str">
        <f>HYPERLINK("https://maps.google.com/?q=18.0693819261372,-96.126556862600296", "🔗 Ver Mapa")</f>
        <v>🔗 Ver Mapa</v>
      </c>
    </row>
    <row r="9691" spans="1:12" ht="43.5" x14ac:dyDescent="0.35">
      <c r="A9691" s="5" t="s">
        <v>98</v>
      </c>
      <c r="B9691" s="5" t="s">
        <v>99</v>
      </c>
      <c r="C9691" s="5" t="s">
        <v>561</v>
      </c>
      <c r="D9691" s="5" t="s">
        <v>14</v>
      </c>
      <c r="E9691" s="5" t="s">
        <v>140</v>
      </c>
      <c r="F9691" s="5" t="s">
        <v>141</v>
      </c>
      <c r="G9691" s="5" t="s">
        <v>187</v>
      </c>
      <c r="H9691" s="5" t="s">
        <v>188</v>
      </c>
      <c r="I9691" s="5" t="s">
        <v>31</v>
      </c>
      <c r="J9691" s="5">
        <v>18.074818936257</v>
      </c>
      <c r="K9691" s="5">
        <v>-96.128660171790997</v>
      </c>
      <c r="L9691" s="5" t="str">
        <f>HYPERLINK("https://maps.google.com/?q=18.074818936257,-96.128660171790997", "🔗 Ver Mapa")</f>
        <v>🔗 Ver Mapa</v>
      </c>
    </row>
    <row r="9692" spans="1:12" ht="43.5" x14ac:dyDescent="0.35">
      <c r="A9692" s="6" t="s">
        <v>98</v>
      </c>
      <c r="B9692" s="6" t="s">
        <v>99</v>
      </c>
      <c r="C9692" s="6" t="s">
        <v>561</v>
      </c>
      <c r="D9692" s="6" t="s">
        <v>14</v>
      </c>
      <c r="E9692" s="6" t="s">
        <v>140</v>
      </c>
      <c r="F9692" s="6" t="s">
        <v>141</v>
      </c>
      <c r="G9692" s="6" t="s">
        <v>187</v>
      </c>
      <c r="H9692" s="6" t="s">
        <v>188</v>
      </c>
      <c r="I9692" s="6" t="s">
        <v>31</v>
      </c>
      <c r="J9692" s="6">
        <v>18.075066925192001</v>
      </c>
      <c r="K9692" s="6">
        <v>-96.128600791704002</v>
      </c>
      <c r="L9692" s="6" t="str">
        <f>HYPERLINK("https://maps.google.com/?q=18.0750669251924,-96.1286007917045", "🔗 Ver Mapa")</f>
        <v>🔗 Ver Mapa</v>
      </c>
    </row>
    <row r="9693" spans="1:12" ht="43.5" x14ac:dyDescent="0.35">
      <c r="A9693" s="5" t="s">
        <v>98</v>
      </c>
      <c r="B9693" s="5" t="s">
        <v>99</v>
      </c>
      <c r="C9693" s="5" t="s">
        <v>561</v>
      </c>
      <c r="D9693" s="5" t="s">
        <v>14</v>
      </c>
      <c r="E9693" s="5" t="s">
        <v>140</v>
      </c>
      <c r="F9693" s="5" t="s">
        <v>141</v>
      </c>
      <c r="G9693" s="5" t="s">
        <v>187</v>
      </c>
      <c r="H9693" s="5" t="s">
        <v>188</v>
      </c>
      <c r="I9693" s="5" t="s">
        <v>31</v>
      </c>
      <c r="J9693" s="5">
        <v>18.076207976776001</v>
      </c>
      <c r="K9693" s="5">
        <v>-96.128469363435997</v>
      </c>
      <c r="L9693" s="5" t="str">
        <f>HYPERLINK("https://maps.google.com/?q=18.076207976776,-96.128469363436096", "🔗 Ver Mapa")</f>
        <v>🔗 Ver Mapa</v>
      </c>
    </row>
    <row r="9694" spans="1:12" ht="43.5" x14ac:dyDescent="0.35">
      <c r="A9694" s="6" t="s">
        <v>98</v>
      </c>
      <c r="B9694" s="6" t="s">
        <v>99</v>
      </c>
      <c r="C9694" s="6" t="s">
        <v>561</v>
      </c>
      <c r="D9694" s="6" t="s">
        <v>14</v>
      </c>
      <c r="E9694" s="6" t="s">
        <v>140</v>
      </c>
      <c r="F9694" s="6" t="s">
        <v>141</v>
      </c>
      <c r="G9694" s="6" t="s">
        <v>187</v>
      </c>
      <c r="H9694" s="6" t="s">
        <v>188</v>
      </c>
      <c r="I9694" s="6" t="s">
        <v>31</v>
      </c>
      <c r="J9694" s="6">
        <v>18.076411962801998</v>
      </c>
      <c r="K9694" s="6">
        <v>-96.127864525343995</v>
      </c>
      <c r="L9694" s="6" t="str">
        <f>HYPERLINK("https://maps.google.com/?q=18.0764119628017,-96.127864525344407", "🔗 Ver Mapa")</f>
        <v>🔗 Ver Mapa</v>
      </c>
    </row>
    <row r="9695" spans="1:12" ht="43.5" x14ac:dyDescent="0.35">
      <c r="A9695" s="5" t="s">
        <v>98</v>
      </c>
      <c r="B9695" s="5" t="s">
        <v>99</v>
      </c>
      <c r="C9695" s="5" t="s">
        <v>561</v>
      </c>
      <c r="D9695" s="5" t="s">
        <v>14</v>
      </c>
      <c r="E9695" s="5" t="s">
        <v>140</v>
      </c>
      <c r="F9695" s="5" t="s">
        <v>141</v>
      </c>
      <c r="G9695" s="5" t="s">
        <v>187</v>
      </c>
      <c r="H9695" s="5" t="s">
        <v>188</v>
      </c>
      <c r="I9695" s="5" t="s">
        <v>31</v>
      </c>
      <c r="J9695" s="5">
        <v>18.077057823886001</v>
      </c>
      <c r="K9695" s="5">
        <v>-96.127092256449004</v>
      </c>
      <c r="L9695" s="5" t="str">
        <f>HYPERLINK("https://maps.google.com/?q=18.0770578238865,-96.127092256448705", "🔗 Ver Mapa")</f>
        <v>🔗 Ver Mapa</v>
      </c>
    </row>
    <row r="9696" spans="1:12" ht="43.5" x14ac:dyDescent="0.35">
      <c r="A9696" s="6" t="s">
        <v>98</v>
      </c>
      <c r="B9696" s="6" t="s">
        <v>99</v>
      </c>
      <c r="C9696" s="6" t="s">
        <v>561</v>
      </c>
      <c r="D9696" s="6" t="s">
        <v>14</v>
      </c>
      <c r="E9696" s="6" t="s">
        <v>140</v>
      </c>
      <c r="F9696" s="6" t="s">
        <v>141</v>
      </c>
      <c r="G9696" s="6" t="s">
        <v>187</v>
      </c>
      <c r="H9696" s="6" t="s">
        <v>188</v>
      </c>
      <c r="I9696" s="6" t="s">
        <v>31</v>
      </c>
      <c r="J9696" s="6">
        <v>18.077393642569</v>
      </c>
      <c r="K9696" s="6">
        <v>-96.127486333874003</v>
      </c>
      <c r="L9696" s="6" t="str">
        <f>HYPERLINK("https://maps.google.com/?q=18.0773936425691,-96.127486333873506", "🔗 Ver Mapa")</f>
        <v>🔗 Ver Mapa</v>
      </c>
    </row>
    <row r="9697" spans="1:12" ht="43.5" x14ac:dyDescent="0.35">
      <c r="A9697" s="5" t="s">
        <v>98</v>
      </c>
      <c r="B9697" s="5" t="s">
        <v>99</v>
      </c>
      <c r="C9697" s="5" t="s">
        <v>561</v>
      </c>
      <c r="D9697" s="5" t="s">
        <v>14</v>
      </c>
      <c r="E9697" s="5" t="s">
        <v>140</v>
      </c>
      <c r="F9697" s="5" t="s">
        <v>141</v>
      </c>
      <c r="G9697" s="5" t="s">
        <v>187</v>
      </c>
      <c r="H9697" s="5" t="s">
        <v>188</v>
      </c>
      <c r="I9697" s="5" t="s">
        <v>31</v>
      </c>
      <c r="J9697" s="5">
        <v>18.082042923877999</v>
      </c>
      <c r="K9697" s="5">
        <v>-96.137120298805002</v>
      </c>
      <c r="L9697" s="5" t="str">
        <f>HYPERLINK("https://maps.google.com/?q=18.082042923878,-96.1371202988052", "🔗 Ver Mapa")</f>
        <v>🔗 Ver Mapa</v>
      </c>
    </row>
    <row r="9698" spans="1:12" ht="43.5" x14ac:dyDescent="0.35">
      <c r="A9698" s="6" t="s">
        <v>98</v>
      </c>
      <c r="B9698" s="6" t="s">
        <v>99</v>
      </c>
      <c r="C9698" s="6" t="s">
        <v>561</v>
      </c>
      <c r="D9698" s="6" t="s">
        <v>14</v>
      </c>
      <c r="E9698" s="6" t="s">
        <v>140</v>
      </c>
      <c r="F9698" s="6" t="s">
        <v>141</v>
      </c>
      <c r="G9698" s="6" t="s">
        <v>187</v>
      </c>
      <c r="H9698" s="6" t="s">
        <v>188</v>
      </c>
      <c r="I9698" s="6" t="s">
        <v>31</v>
      </c>
      <c r="J9698" s="6">
        <v>18.082073280094999</v>
      </c>
      <c r="K9698" s="6">
        <v>-96.137312883432003</v>
      </c>
      <c r="L9698" s="6" t="str">
        <f>HYPERLINK("https://maps.google.com/?q=18.0820732800951,-96.137312883432401", "🔗 Ver Mapa")</f>
        <v>🔗 Ver Mapa</v>
      </c>
    </row>
    <row r="9699" spans="1:12" ht="43.5" x14ac:dyDescent="0.35">
      <c r="A9699" s="5" t="s">
        <v>98</v>
      </c>
      <c r="B9699" s="5" t="s">
        <v>99</v>
      </c>
      <c r="C9699" s="5" t="s">
        <v>561</v>
      </c>
      <c r="D9699" s="5" t="s">
        <v>14</v>
      </c>
      <c r="E9699" s="5" t="s">
        <v>140</v>
      </c>
      <c r="F9699" s="5" t="s">
        <v>141</v>
      </c>
      <c r="G9699" s="5" t="s">
        <v>187</v>
      </c>
      <c r="H9699" s="5" t="s">
        <v>188</v>
      </c>
      <c r="I9699" s="5" t="s">
        <v>31</v>
      </c>
      <c r="J9699" s="5">
        <v>18.082153237317002</v>
      </c>
      <c r="K9699" s="5">
        <v>-96.137523145463007</v>
      </c>
      <c r="L9699" s="5" t="str">
        <f>HYPERLINK("https://maps.google.com/?q=18.0821532373166,-96.137523145463106", "🔗 Ver Mapa")</f>
        <v>🔗 Ver Mapa</v>
      </c>
    </row>
    <row r="9700" spans="1:12" ht="43.5" x14ac:dyDescent="0.35">
      <c r="A9700" s="6" t="s">
        <v>98</v>
      </c>
      <c r="B9700" s="6" t="s">
        <v>99</v>
      </c>
      <c r="C9700" s="6" t="s">
        <v>561</v>
      </c>
      <c r="D9700" s="6" t="s">
        <v>14</v>
      </c>
      <c r="E9700" s="6" t="s">
        <v>140</v>
      </c>
      <c r="F9700" s="6" t="s">
        <v>141</v>
      </c>
      <c r="G9700" s="6" t="s">
        <v>187</v>
      </c>
      <c r="H9700" s="6" t="s">
        <v>188</v>
      </c>
      <c r="I9700" s="6" t="s">
        <v>31</v>
      </c>
      <c r="J9700" s="6">
        <v>18.082837166994999</v>
      </c>
      <c r="K9700" s="6">
        <v>-96.136962048472995</v>
      </c>
      <c r="L9700" s="6" t="str">
        <f>HYPERLINK("https://maps.google.com/?q=18.0828371669947,-96.136962048473407", "🔗 Ver Mapa")</f>
        <v>🔗 Ver Mapa</v>
      </c>
    </row>
    <row r="9701" spans="1:12" ht="43.5" x14ac:dyDescent="0.35">
      <c r="A9701" s="5" t="s">
        <v>98</v>
      </c>
      <c r="B9701" s="5" t="s">
        <v>99</v>
      </c>
      <c r="C9701" s="5" t="s">
        <v>561</v>
      </c>
      <c r="D9701" s="5" t="s">
        <v>14</v>
      </c>
      <c r="E9701" s="5" t="s">
        <v>140</v>
      </c>
      <c r="F9701" s="5" t="s">
        <v>141</v>
      </c>
      <c r="G9701" s="5" t="s">
        <v>187</v>
      </c>
      <c r="H9701" s="5" t="s">
        <v>188</v>
      </c>
      <c r="I9701" s="5" t="s">
        <v>31</v>
      </c>
      <c r="J9701" s="5">
        <v>18.082850922561001</v>
      </c>
      <c r="K9701" s="5">
        <v>-96.137164705274998</v>
      </c>
      <c r="L9701" s="5" t="str">
        <f>HYPERLINK("https://maps.google.com/?q=18.0828509225611,-96.137164705274898", "🔗 Ver Mapa")</f>
        <v>🔗 Ver Mapa</v>
      </c>
    </row>
    <row r="9702" spans="1:12" ht="43.5" x14ac:dyDescent="0.35">
      <c r="A9702" s="6" t="s">
        <v>98</v>
      </c>
      <c r="B9702" s="6" t="s">
        <v>99</v>
      </c>
      <c r="C9702" s="6" t="s">
        <v>1691</v>
      </c>
      <c r="D9702" s="6" t="s">
        <v>14</v>
      </c>
      <c r="E9702" s="6" t="s">
        <v>158</v>
      </c>
      <c r="F9702" s="6" t="s">
        <v>159</v>
      </c>
      <c r="G9702" s="6" t="s">
        <v>278</v>
      </c>
      <c r="H9702" s="6" t="s">
        <v>279</v>
      </c>
      <c r="I9702" s="6" t="s">
        <v>31</v>
      </c>
      <c r="J9702" s="6">
        <v>16.421908304540001</v>
      </c>
      <c r="K9702" s="6">
        <v>-95.033154693588003</v>
      </c>
      <c r="L9702" s="6" t="str">
        <f>HYPERLINK("https://maps.google.com/?q=16.4219083045402,-95.033154693587903", "🔗 Ver Mapa")</f>
        <v>🔗 Ver Mapa</v>
      </c>
    </row>
    <row r="9703" spans="1:12" ht="43.5" x14ac:dyDescent="0.35">
      <c r="A9703" s="5" t="s">
        <v>98</v>
      </c>
      <c r="B9703" s="5" t="s">
        <v>99</v>
      </c>
      <c r="C9703" s="5" t="s">
        <v>1691</v>
      </c>
      <c r="D9703" s="5" t="s">
        <v>14</v>
      </c>
      <c r="E9703" s="5" t="s">
        <v>158</v>
      </c>
      <c r="F9703" s="5" t="s">
        <v>159</v>
      </c>
      <c r="G9703" s="5" t="s">
        <v>278</v>
      </c>
      <c r="H9703" s="5" t="s">
        <v>279</v>
      </c>
      <c r="I9703" s="5" t="s">
        <v>31</v>
      </c>
      <c r="J9703" s="5">
        <v>16.422713227149998</v>
      </c>
      <c r="K9703" s="5">
        <v>-95.024203422458996</v>
      </c>
      <c r="L9703" s="5" t="str">
        <f>HYPERLINK("https://maps.google.com/?q=16.4227132271505,-95.024203422458996", "🔗 Ver Mapa")</f>
        <v>🔗 Ver Mapa</v>
      </c>
    </row>
    <row r="9704" spans="1:12" ht="43.5" x14ac:dyDescent="0.35">
      <c r="A9704" s="6" t="s">
        <v>98</v>
      </c>
      <c r="B9704" s="6" t="s">
        <v>99</v>
      </c>
      <c r="C9704" s="6" t="s">
        <v>1691</v>
      </c>
      <c r="D9704" s="6" t="s">
        <v>14</v>
      </c>
      <c r="E9704" s="6" t="s">
        <v>158</v>
      </c>
      <c r="F9704" s="6" t="s">
        <v>159</v>
      </c>
      <c r="G9704" s="6" t="s">
        <v>278</v>
      </c>
      <c r="H9704" s="6" t="s">
        <v>279</v>
      </c>
      <c r="I9704" s="6" t="s">
        <v>31</v>
      </c>
      <c r="J9704" s="6">
        <v>16.425406028177001</v>
      </c>
      <c r="K9704" s="6">
        <v>-95.012048328706996</v>
      </c>
      <c r="L9704" s="6" t="str">
        <f>HYPERLINK("https://maps.google.com/?q=16.4254060281772,-95.012048328706896", "🔗 Ver Mapa")</f>
        <v>🔗 Ver Mapa</v>
      </c>
    </row>
    <row r="9705" spans="1:12" ht="43.5" x14ac:dyDescent="0.35">
      <c r="A9705" s="5" t="s">
        <v>98</v>
      </c>
      <c r="B9705" s="5" t="s">
        <v>99</v>
      </c>
      <c r="C9705" s="5" t="s">
        <v>1691</v>
      </c>
      <c r="D9705" s="5" t="s">
        <v>14</v>
      </c>
      <c r="E9705" s="5" t="s">
        <v>158</v>
      </c>
      <c r="F9705" s="5" t="s">
        <v>159</v>
      </c>
      <c r="G9705" s="5" t="s">
        <v>278</v>
      </c>
      <c r="H9705" s="5" t="s">
        <v>279</v>
      </c>
      <c r="I9705" s="5" t="s">
        <v>31</v>
      </c>
      <c r="J9705" s="5">
        <v>16.425654595887998</v>
      </c>
      <c r="K9705" s="5">
        <v>-95.033112432294999</v>
      </c>
      <c r="L9705" s="5" t="str">
        <f>HYPERLINK("https://maps.google.com/?q=16.4256545958882,-95.033112432294701", "🔗 Ver Mapa")</f>
        <v>🔗 Ver Mapa</v>
      </c>
    </row>
    <row r="9706" spans="1:12" ht="43.5" x14ac:dyDescent="0.35">
      <c r="A9706" s="6" t="s">
        <v>98</v>
      </c>
      <c r="B9706" s="6" t="s">
        <v>99</v>
      </c>
      <c r="C9706" s="6" t="s">
        <v>1691</v>
      </c>
      <c r="D9706" s="6" t="s">
        <v>14</v>
      </c>
      <c r="E9706" s="6" t="s">
        <v>158</v>
      </c>
      <c r="F9706" s="6" t="s">
        <v>159</v>
      </c>
      <c r="G9706" s="6" t="s">
        <v>278</v>
      </c>
      <c r="H9706" s="6" t="s">
        <v>279</v>
      </c>
      <c r="I9706" s="6" t="s">
        <v>31</v>
      </c>
      <c r="J9706" s="6">
        <v>16.426073325958999</v>
      </c>
      <c r="K9706" s="6">
        <v>-95.018853347440995</v>
      </c>
      <c r="L9706" s="6" t="str">
        <f>HYPERLINK("https://maps.google.com/?q=16.4260733259592,-95.018853347440597", "🔗 Ver Mapa")</f>
        <v>🔗 Ver Mapa</v>
      </c>
    </row>
    <row r="9707" spans="1:12" ht="43.5" x14ac:dyDescent="0.35">
      <c r="A9707" s="5" t="s">
        <v>98</v>
      </c>
      <c r="B9707" s="5" t="s">
        <v>99</v>
      </c>
      <c r="C9707" s="5" t="s">
        <v>1691</v>
      </c>
      <c r="D9707" s="5" t="s">
        <v>14</v>
      </c>
      <c r="E9707" s="5" t="s">
        <v>158</v>
      </c>
      <c r="F9707" s="5" t="s">
        <v>159</v>
      </c>
      <c r="G9707" s="5" t="s">
        <v>278</v>
      </c>
      <c r="H9707" s="5" t="s">
        <v>279</v>
      </c>
      <c r="I9707" s="5" t="s">
        <v>31</v>
      </c>
      <c r="J9707" s="5">
        <v>16.427168363850999</v>
      </c>
      <c r="K9707" s="5">
        <v>-95.034209137055996</v>
      </c>
      <c r="L9707" s="5" t="str">
        <f>HYPERLINK("https://maps.google.com/?q=16.427168363851,-95.034209137055797", "🔗 Ver Mapa")</f>
        <v>🔗 Ver Mapa</v>
      </c>
    </row>
    <row r="9708" spans="1:12" ht="43.5" x14ac:dyDescent="0.35">
      <c r="A9708" s="6" t="s">
        <v>98</v>
      </c>
      <c r="B9708" s="6" t="s">
        <v>99</v>
      </c>
      <c r="C9708" s="6" t="s">
        <v>1691</v>
      </c>
      <c r="D9708" s="6" t="s">
        <v>14</v>
      </c>
      <c r="E9708" s="6" t="s">
        <v>158</v>
      </c>
      <c r="F9708" s="6" t="s">
        <v>159</v>
      </c>
      <c r="G9708" s="6" t="s">
        <v>278</v>
      </c>
      <c r="H9708" s="6" t="s">
        <v>279</v>
      </c>
      <c r="I9708" s="6" t="s">
        <v>31</v>
      </c>
      <c r="J9708" s="6">
        <v>16.430995221079002</v>
      </c>
      <c r="K9708" s="6">
        <v>-95.028012359887001</v>
      </c>
      <c r="L9708" s="6" t="str">
        <f>HYPERLINK("https://maps.google.com/?q=16.4309952210795,-95.028012359887398", "🔗 Ver Mapa")</f>
        <v>🔗 Ver Mapa</v>
      </c>
    </row>
    <row r="9709" spans="1:12" ht="43.5" x14ac:dyDescent="0.35">
      <c r="A9709" s="5" t="s">
        <v>98</v>
      </c>
      <c r="B9709" s="5" t="s">
        <v>99</v>
      </c>
      <c r="C9709" s="5" t="s">
        <v>1691</v>
      </c>
      <c r="D9709" s="5" t="s">
        <v>14</v>
      </c>
      <c r="E9709" s="5" t="s">
        <v>158</v>
      </c>
      <c r="F9709" s="5" t="s">
        <v>159</v>
      </c>
      <c r="G9709" s="5" t="s">
        <v>278</v>
      </c>
      <c r="H9709" s="5" t="s">
        <v>279</v>
      </c>
      <c r="I9709" s="5" t="s">
        <v>31</v>
      </c>
      <c r="J9709" s="5">
        <v>16.433947483790998</v>
      </c>
      <c r="K9709" s="5">
        <v>-95.030958114371003</v>
      </c>
      <c r="L9709" s="5" t="str">
        <f>HYPERLINK("https://maps.google.com/?q=16.4339474837909,-95.030958114370705", "🔗 Ver Mapa")</f>
        <v>🔗 Ver Mapa</v>
      </c>
    </row>
    <row r="9710" spans="1:12" ht="43.5" x14ac:dyDescent="0.35">
      <c r="A9710" s="6" t="s">
        <v>98</v>
      </c>
      <c r="B9710" s="6" t="s">
        <v>99</v>
      </c>
      <c r="C9710" s="6" t="s">
        <v>1691</v>
      </c>
      <c r="D9710" s="6" t="s">
        <v>14</v>
      </c>
      <c r="E9710" s="6" t="s">
        <v>158</v>
      </c>
      <c r="F9710" s="6" t="s">
        <v>159</v>
      </c>
      <c r="G9710" s="6" t="s">
        <v>278</v>
      </c>
      <c r="H9710" s="6" t="s">
        <v>279</v>
      </c>
      <c r="I9710" s="6" t="s">
        <v>31</v>
      </c>
      <c r="J9710" s="6">
        <v>16.436017483114</v>
      </c>
      <c r="K9710" s="6">
        <v>-95.031481284663002</v>
      </c>
      <c r="L9710" s="6" t="str">
        <f>HYPERLINK("https://maps.google.com/?q=16.4360174831142,-95.031481284663101", "🔗 Ver Mapa")</f>
        <v>🔗 Ver Mapa</v>
      </c>
    </row>
    <row r="9711" spans="1:12" ht="43.5" x14ac:dyDescent="0.35">
      <c r="A9711" s="5" t="s">
        <v>98</v>
      </c>
      <c r="B9711" s="5" t="s">
        <v>99</v>
      </c>
      <c r="C9711" s="5" t="s">
        <v>1691</v>
      </c>
      <c r="D9711" s="5" t="s">
        <v>14</v>
      </c>
      <c r="E9711" s="5" t="s">
        <v>158</v>
      </c>
      <c r="F9711" s="5" t="s">
        <v>159</v>
      </c>
      <c r="G9711" s="5" t="s">
        <v>278</v>
      </c>
      <c r="H9711" s="5" t="s">
        <v>279</v>
      </c>
      <c r="I9711" s="5" t="s">
        <v>31</v>
      </c>
      <c r="J9711" s="5">
        <v>16.436688560880999</v>
      </c>
      <c r="K9711" s="5">
        <v>-95.028333214425999</v>
      </c>
      <c r="L9711" s="5" t="str">
        <f>HYPERLINK("https://maps.google.com/?q=16.436688560881,-95.028333214426397", "🔗 Ver Mapa")</f>
        <v>🔗 Ver Mapa</v>
      </c>
    </row>
    <row r="9712" spans="1:12" ht="43.5" x14ac:dyDescent="0.35">
      <c r="A9712" s="6" t="s">
        <v>98</v>
      </c>
      <c r="B9712" s="6" t="s">
        <v>99</v>
      </c>
      <c r="C9712" s="6" t="s">
        <v>1691</v>
      </c>
      <c r="D9712" s="6" t="s">
        <v>14</v>
      </c>
      <c r="E9712" s="6" t="s">
        <v>158</v>
      </c>
      <c r="F9712" s="6" t="s">
        <v>159</v>
      </c>
      <c r="G9712" s="6" t="s">
        <v>278</v>
      </c>
      <c r="H9712" s="6" t="s">
        <v>279</v>
      </c>
      <c r="I9712" s="6" t="s">
        <v>31</v>
      </c>
      <c r="J9712" s="6">
        <v>16.437100328999001</v>
      </c>
      <c r="K9712" s="6">
        <v>-95.012395207340006</v>
      </c>
      <c r="L9712" s="6" t="str">
        <f>HYPERLINK("https://maps.google.com/?q=16.4371003289987,-95.012395207340205", "🔗 Ver Mapa")</f>
        <v>🔗 Ver Mapa</v>
      </c>
    </row>
    <row r="9713" spans="1:12" ht="43.5" x14ac:dyDescent="0.35">
      <c r="A9713" s="5" t="s">
        <v>98</v>
      </c>
      <c r="B9713" s="5" t="s">
        <v>99</v>
      </c>
      <c r="C9713" s="5" t="s">
        <v>1691</v>
      </c>
      <c r="D9713" s="5" t="s">
        <v>14</v>
      </c>
      <c r="E9713" s="5" t="s">
        <v>158</v>
      </c>
      <c r="F9713" s="5" t="s">
        <v>159</v>
      </c>
      <c r="G9713" s="5" t="s">
        <v>278</v>
      </c>
      <c r="H9713" s="5" t="s">
        <v>279</v>
      </c>
      <c r="I9713" s="5" t="s">
        <v>31</v>
      </c>
      <c r="J9713" s="5">
        <v>16.437384262908999</v>
      </c>
      <c r="K9713" s="5">
        <v>-95.033501850367003</v>
      </c>
      <c r="L9713" s="5" t="str">
        <f>HYPERLINK("https://maps.google.com/?q=16.4373842629087,-95.033501850366605", "🔗 Ver Mapa")</f>
        <v>🔗 Ver Mapa</v>
      </c>
    </row>
    <row r="9714" spans="1:12" ht="43.5" x14ac:dyDescent="0.35">
      <c r="A9714" s="6" t="s">
        <v>98</v>
      </c>
      <c r="B9714" s="6" t="s">
        <v>99</v>
      </c>
      <c r="C9714" s="6" t="s">
        <v>1691</v>
      </c>
      <c r="D9714" s="6" t="s">
        <v>14</v>
      </c>
      <c r="E9714" s="6" t="s">
        <v>158</v>
      </c>
      <c r="F9714" s="6" t="s">
        <v>159</v>
      </c>
      <c r="G9714" s="6" t="s">
        <v>278</v>
      </c>
      <c r="H9714" s="6" t="s">
        <v>279</v>
      </c>
      <c r="I9714" s="6" t="s">
        <v>31</v>
      </c>
      <c r="J9714" s="6">
        <v>16.437769474850001</v>
      </c>
      <c r="K9714" s="6">
        <v>-95.032943332190996</v>
      </c>
      <c r="L9714" s="6" t="str">
        <f>HYPERLINK("https://maps.google.com/?q=16.4377694748503,-95.032943332191493", "🔗 Ver Mapa")</f>
        <v>🔗 Ver Mapa</v>
      </c>
    </row>
    <row r="9715" spans="1:12" ht="43.5" x14ac:dyDescent="0.35">
      <c r="A9715" s="5" t="s">
        <v>98</v>
      </c>
      <c r="B9715" s="5" t="s">
        <v>99</v>
      </c>
      <c r="C9715" s="5" t="s">
        <v>1691</v>
      </c>
      <c r="D9715" s="5" t="s">
        <v>14</v>
      </c>
      <c r="E9715" s="5" t="s">
        <v>158</v>
      </c>
      <c r="F9715" s="5" t="s">
        <v>159</v>
      </c>
      <c r="G9715" s="5" t="s">
        <v>278</v>
      </c>
      <c r="H9715" s="5" t="s">
        <v>279</v>
      </c>
      <c r="I9715" s="5" t="s">
        <v>31</v>
      </c>
      <c r="J9715" s="5">
        <v>16.437847600232999</v>
      </c>
      <c r="K9715" s="5">
        <v>-95.034661509659998</v>
      </c>
      <c r="L9715" s="5" t="str">
        <f>HYPERLINK("https://maps.google.com/?q=16.4378476002334,-95.034661509660296", "🔗 Ver Mapa")</f>
        <v>🔗 Ver Mapa</v>
      </c>
    </row>
    <row r="9716" spans="1:12" ht="43.5" x14ac:dyDescent="0.35">
      <c r="A9716" s="6" t="s">
        <v>98</v>
      </c>
      <c r="B9716" s="6" t="s">
        <v>99</v>
      </c>
      <c r="C9716" s="6" t="s">
        <v>1691</v>
      </c>
      <c r="D9716" s="6" t="s">
        <v>14</v>
      </c>
      <c r="E9716" s="6" t="s">
        <v>158</v>
      </c>
      <c r="F9716" s="6" t="s">
        <v>159</v>
      </c>
      <c r="G9716" s="6" t="s">
        <v>278</v>
      </c>
      <c r="H9716" s="6" t="s">
        <v>279</v>
      </c>
      <c r="I9716" s="6" t="s">
        <v>31</v>
      </c>
      <c r="J9716" s="6">
        <v>16.438057902061999</v>
      </c>
      <c r="K9716" s="6">
        <v>-95.034263113215005</v>
      </c>
      <c r="L9716" s="6" t="str">
        <f>HYPERLINK("https://maps.google.com/?q=16.4380579020623,-95.034263113215303", "🔗 Ver Mapa")</f>
        <v>🔗 Ver Mapa</v>
      </c>
    </row>
    <row r="9717" spans="1:12" ht="43.5" x14ac:dyDescent="0.35">
      <c r="A9717" s="5" t="s">
        <v>98</v>
      </c>
      <c r="B9717" s="5" t="s">
        <v>99</v>
      </c>
      <c r="C9717" s="5" t="s">
        <v>1691</v>
      </c>
      <c r="D9717" s="5" t="s">
        <v>14</v>
      </c>
      <c r="E9717" s="5" t="s">
        <v>158</v>
      </c>
      <c r="F9717" s="5" t="s">
        <v>159</v>
      </c>
      <c r="G9717" s="5" t="s">
        <v>278</v>
      </c>
      <c r="H9717" s="5" t="s">
        <v>279</v>
      </c>
      <c r="I9717" s="5" t="s">
        <v>31</v>
      </c>
      <c r="J9717" s="5">
        <v>16.438231582191001</v>
      </c>
      <c r="K9717" s="5">
        <v>-95.029019262350999</v>
      </c>
      <c r="L9717" s="5" t="str">
        <f>HYPERLINK("https://maps.google.com/?q=16.438231582191,-95.029019262351497", "🔗 Ver Mapa")</f>
        <v>🔗 Ver Mapa</v>
      </c>
    </row>
    <row r="9718" spans="1:12" ht="43.5" x14ac:dyDescent="0.35">
      <c r="A9718" s="6" t="s">
        <v>98</v>
      </c>
      <c r="B9718" s="6" t="s">
        <v>99</v>
      </c>
      <c r="C9718" s="6" t="s">
        <v>1691</v>
      </c>
      <c r="D9718" s="6" t="s">
        <v>14</v>
      </c>
      <c r="E9718" s="6" t="s">
        <v>158</v>
      </c>
      <c r="F9718" s="6" t="s">
        <v>159</v>
      </c>
      <c r="G9718" s="6" t="s">
        <v>278</v>
      </c>
      <c r="H9718" s="6" t="s">
        <v>279</v>
      </c>
      <c r="I9718" s="6" t="s">
        <v>31</v>
      </c>
      <c r="J9718" s="6">
        <v>16.438325132018999</v>
      </c>
      <c r="K9718" s="6">
        <v>-95.029481623042003</v>
      </c>
      <c r="L9718" s="6" t="str">
        <f>HYPERLINK("https://maps.google.com/?q=16.4383251320187,-95.029481623042102", "🔗 Ver Mapa")</f>
        <v>🔗 Ver Mapa</v>
      </c>
    </row>
    <row r="9719" spans="1:12" ht="43.5" x14ac:dyDescent="0.35">
      <c r="A9719" s="5" t="s">
        <v>98</v>
      </c>
      <c r="B9719" s="5" t="s">
        <v>99</v>
      </c>
      <c r="C9719" s="5" t="s">
        <v>1691</v>
      </c>
      <c r="D9719" s="5" t="s">
        <v>14</v>
      </c>
      <c r="E9719" s="5" t="s">
        <v>158</v>
      </c>
      <c r="F9719" s="5" t="s">
        <v>159</v>
      </c>
      <c r="G9719" s="5" t="s">
        <v>278</v>
      </c>
      <c r="H9719" s="5" t="s">
        <v>279</v>
      </c>
      <c r="I9719" s="5" t="s">
        <v>31</v>
      </c>
      <c r="J9719" s="5">
        <v>16.438346557696999</v>
      </c>
      <c r="K9719" s="5">
        <v>-95.028562728835993</v>
      </c>
      <c r="L9719" s="5" t="str">
        <f>HYPERLINK("https://maps.google.com/?q=16.4383465576967,-95.028562728835993", "🔗 Ver Mapa")</f>
        <v>🔗 Ver Mapa</v>
      </c>
    </row>
    <row r="9720" spans="1:12" ht="43.5" x14ac:dyDescent="0.35">
      <c r="A9720" s="6" t="s">
        <v>98</v>
      </c>
      <c r="B9720" s="6" t="s">
        <v>99</v>
      </c>
      <c r="C9720" s="6" t="s">
        <v>1691</v>
      </c>
      <c r="D9720" s="6" t="s">
        <v>14</v>
      </c>
      <c r="E9720" s="6" t="s">
        <v>158</v>
      </c>
      <c r="F9720" s="6" t="s">
        <v>159</v>
      </c>
      <c r="G9720" s="6" t="s">
        <v>278</v>
      </c>
      <c r="H9720" s="6" t="s">
        <v>279</v>
      </c>
      <c r="I9720" s="6" t="s">
        <v>31</v>
      </c>
      <c r="J9720" s="6">
        <v>16.438650522911999</v>
      </c>
      <c r="K9720" s="6">
        <v>-95.028168756528999</v>
      </c>
      <c r="L9720" s="6" t="str">
        <f>HYPERLINK("https://maps.google.com/?q=16.4386505229123,-95.028168756529197", "🔗 Ver Mapa")</f>
        <v>🔗 Ver Mapa</v>
      </c>
    </row>
    <row r="9721" spans="1:12" ht="43.5" x14ac:dyDescent="0.35">
      <c r="A9721" s="5" t="s">
        <v>98</v>
      </c>
      <c r="B9721" s="5" t="s">
        <v>99</v>
      </c>
      <c r="C9721" s="5" t="s">
        <v>1691</v>
      </c>
      <c r="D9721" s="5" t="s">
        <v>14</v>
      </c>
      <c r="E9721" s="5" t="s">
        <v>158</v>
      </c>
      <c r="F9721" s="5" t="s">
        <v>159</v>
      </c>
      <c r="G9721" s="5" t="s">
        <v>278</v>
      </c>
      <c r="H9721" s="5" t="s">
        <v>279</v>
      </c>
      <c r="I9721" s="5" t="s">
        <v>31</v>
      </c>
      <c r="J9721" s="5">
        <v>16.438890503549999</v>
      </c>
      <c r="K9721" s="5">
        <v>-95.033162550925994</v>
      </c>
      <c r="L9721" s="5" t="str">
        <f>HYPERLINK("https://maps.google.com/?q=16.4388905035503,-95.033162550926207", "🔗 Ver Mapa")</f>
        <v>🔗 Ver Mapa</v>
      </c>
    </row>
    <row r="9722" spans="1:12" ht="43.5" x14ac:dyDescent="0.35">
      <c r="A9722" s="6" t="s">
        <v>98</v>
      </c>
      <c r="B9722" s="6" t="s">
        <v>99</v>
      </c>
      <c r="C9722" s="6" t="s">
        <v>1691</v>
      </c>
      <c r="D9722" s="6" t="s">
        <v>14</v>
      </c>
      <c r="E9722" s="6" t="s">
        <v>158</v>
      </c>
      <c r="F9722" s="6" t="s">
        <v>159</v>
      </c>
      <c r="G9722" s="6" t="s">
        <v>278</v>
      </c>
      <c r="H9722" s="6" t="s">
        <v>279</v>
      </c>
      <c r="I9722" s="6" t="s">
        <v>31</v>
      </c>
      <c r="J9722" s="6">
        <v>16.439778448209999</v>
      </c>
      <c r="K9722" s="6">
        <v>-95.015344668547996</v>
      </c>
      <c r="L9722" s="6" t="str">
        <f>HYPERLINK("https://maps.google.com/?q=16.4397784482101,-95.015344668547996", "🔗 Ver Mapa")</f>
        <v>🔗 Ver Mapa</v>
      </c>
    </row>
    <row r="9723" spans="1:12" ht="43.5" x14ac:dyDescent="0.35">
      <c r="A9723" s="5" t="s">
        <v>98</v>
      </c>
      <c r="B9723" s="5" t="s">
        <v>99</v>
      </c>
      <c r="C9723" s="5" t="s">
        <v>1691</v>
      </c>
      <c r="D9723" s="5" t="s">
        <v>14</v>
      </c>
      <c r="E9723" s="5" t="s">
        <v>158</v>
      </c>
      <c r="F9723" s="5" t="s">
        <v>159</v>
      </c>
      <c r="G9723" s="5" t="s">
        <v>278</v>
      </c>
      <c r="H9723" s="5" t="s">
        <v>279</v>
      </c>
      <c r="I9723" s="5" t="s">
        <v>31</v>
      </c>
      <c r="J9723" s="5">
        <v>16.441483907712001</v>
      </c>
      <c r="K9723" s="5">
        <v>-95.033815272715998</v>
      </c>
      <c r="L9723" s="5" t="str">
        <f>HYPERLINK("https://maps.google.com/?q=16.4414839077118,-95.033815272715998", "🔗 Ver Mapa")</f>
        <v>🔗 Ver Mapa</v>
      </c>
    </row>
    <row r="9724" spans="1:12" ht="43.5" x14ac:dyDescent="0.35">
      <c r="A9724" s="6" t="s">
        <v>98</v>
      </c>
      <c r="B9724" s="6" t="s">
        <v>99</v>
      </c>
      <c r="C9724" s="6" t="s">
        <v>1691</v>
      </c>
      <c r="D9724" s="6" t="s">
        <v>14</v>
      </c>
      <c r="E9724" s="6" t="s">
        <v>158</v>
      </c>
      <c r="F9724" s="6" t="s">
        <v>159</v>
      </c>
      <c r="G9724" s="6" t="s">
        <v>278</v>
      </c>
      <c r="H9724" s="6" t="s">
        <v>279</v>
      </c>
      <c r="I9724" s="6" t="s">
        <v>31</v>
      </c>
      <c r="J9724" s="6">
        <v>16.448608826922001</v>
      </c>
      <c r="K9724" s="6">
        <v>-95.013398091222001</v>
      </c>
      <c r="L9724" s="6" t="str">
        <f>HYPERLINK("https://maps.google.com/?q=16.4486088269219,-95.013398091222498", "🔗 Ver Mapa")</f>
        <v>🔗 Ver Mapa</v>
      </c>
    </row>
    <row r="9725" spans="1:12" ht="43.5" x14ac:dyDescent="0.35">
      <c r="A9725" s="5" t="s">
        <v>98</v>
      </c>
      <c r="B9725" s="5" t="s">
        <v>99</v>
      </c>
      <c r="C9725" s="5" t="s">
        <v>493</v>
      </c>
      <c r="D9725" s="5" t="s">
        <v>14</v>
      </c>
      <c r="E9725" s="5" t="s">
        <v>39</v>
      </c>
      <c r="F9725" s="5" t="s">
        <v>494</v>
      </c>
      <c r="G9725" s="5" t="s">
        <v>495</v>
      </c>
      <c r="H9725" s="5" t="s">
        <v>496</v>
      </c>
      <c r="I9725" s="5" t="s">
        <v>31</v>
      </c>
      <c r="J9725" s="5">
        <v>16.514688587266001</v>
      </c>
      <c r="K9725" s="5">
        <v>-96.969938139999996</v>
      </c>
      <c r="L9725" s="5" t="str">
        <f>HYPERLINK("https://maps.google.com/?q=16.5146885872662,-96.96993814", "🔗 Ver Mapa")</f>
        <v>🔗 Ver Mapa</v>
      </c>
    </row>
    <row r="9726" spans="1:12" ht="43.5" x14ac:dyDescent="0.35">
      <c r="A9726" s="6" t="s">
        <v>98</v>
      </c>
      <c r="B9726" s="6" t="s">
        <v>99</v>
      </c>
      <c r="C9726" s="6" t="s">
        <v>493</v>
      </c>
      <c r="D9726" s="6" t="s">
        <v>14</v>
      </c>
      <c r="E9726" s="6" t="s">
        <v>39</v>
      </c>
      <c r="F9726" s="6" t="s">
        <v>494</v>
      </c>
      <c r="G9726" s="6" t="s">
        <v>495</v>
      </c>
      <c r="H9726" s="6" t="s">
        <v>496</v>
      </c>
      <c r="I9726" s="6" t="s">
        <v>31</v>
      </c>
      <c r="J9726" s="6">
        <v>16.515092007046999</v>
      </c>
      <c r="K9726" s="6">
        <v>-96.976030820000005</v>
      </c>
      <c r="L9726" s="6" t="str">
        <f>HYPERLINK("https://maps.google.com/?q=16.5150920070473,-96.97603082", "🔗 Ver Mapa")</f>
        <v>🔗 Ver Mapa</v>
      </c>
    </row>
    <row r="9727" spans="1:12" ht="43.5" x14ac:dyDescent="0.35">
      <c r="A9727" s="5" t="s">
        <v>98</v>
      </c>
      <c r="B9727" s="5" t="s">
        <v>99</v>
      </c>
      <c r="C9727" s="5" t="s">
        <v>493</v>
      </c>
      <c r="D9727" s="5" t="s">
        <v>14</v>
      </c>
      <c r="E9727" s="5" t="s">
        <v>39</v>
      </c>
      <c r="F9727" s="5" t="s">
        <v>494</v>
      </c>
      <c r="G9727" s="5" t="s">
        <v>495</v>
      </c>
      <c r="H9727" s="5" t="s">
        <v>496</v>
      </c>
      <c r="I9727" s="5" t="s">
        <v>31</v>
      </c>
      <c r="J9727" s="5">
        <v>16.517330485820999</v>
      </c>
      <c r="K9727" s="5" t="s">
        <v>1692</v>
      </c>
      <c r="L9727" s="5" t="str">
        <f>HYPERLINK("https://maps.google.com/?q=16.5173304858214, -96.97556340429881", "🔗 Ver Mapa")</f>
        <v>🔗 Ver Mapa</v>
      </c>
    </row>
    <row r="9728" spans="1:12" ht="43.5" x14ac:dyDescent="0.35">
      <c r="A9728" s="6" t="s">
        <v>98</v>
      </c>
      <c r="B9728" s="6" t="s">
        <v>99</v>
      </c>
      <c r="C9728" s="6" t="s">
        <v>493</v>
      </c>
      <c r="D9728" s="6" t="s">
        <v>14</v>
      </c>
      <c r="E9728" s="6" t="s">
        <v>39</v>
      </c>
      <c r="F9728" s="6" t="s">
        <v>494</v>
      </c>
      <c r="G9728" s="6" t="s">
        <v>495</v>
      </c>
      <c r="H9728" s="6" t="s">
        <v>496</v>
      </c>
      <c r="I9728" s="6" t="s">
        <v>31</v>
      </c>
      <c r="J9728" s="6">
        <v>16.517511298022001</v>
      </c>
      <c r="K9728" s="6">
        <v>-96.972968394418004</v>
      </c>
      <c r="L9728" s="6" t="str">
        <f>HYPERLINK("https://maps.google.com/?q=16.5175112980221,-96.972968394417506", "🔗 Ver Mapa")</f>
        <v>🔗 Ver Mapa</v>
      </c>
    </row>
    <row r="9729" spans="1:12" ht="43.5" x14ac:dyDescent="0.35">
      <c r="A9729" s="5" t="s">
        <v>98</v>
      </c>
      <c r="B9729" s="5" t="s">
        <v>99</v>
      </c>
      <c r="C9729" s="5" t="s">
        <v>493</v>
      </c>
      <c r="D9729" s="5" t="s">
        <v>14</v>
      </c>
      <c r="E9729" s="5" t="s">
        <v>39</v>
      </c>
      <c r="F9729" s="5" t="s">
        <v>494</v>
      </c>
      <c r="G9729" s="5" t="s">
        <v>495</v>
      </c>
      <c r="H9729" s="5" t="s">
        <v>496</v>
      </c>
      <c r="I9729" s="5" t="s">
        <v>31</v>
      </c>
      <c r="J9729" s="5">
        <v>16.519514431327</v>
      </c>
      <c r="K9729" s="5">
        <v>-96.970126759999999</v>
      </c>
      <c r="L9729" s="5" t="str">
        <f>HYPERLINK("https://maps.google.com/?q=16.5195144313266,-96.97012676", "🔗 Ver Mapa")</f>
        <v>🔗 Ver Mapa</v>
      </c>
    </row>
    <row r="9730" spans="1:12" ht="43.5" x14ac:dyDescent="0.35">
      <c r="A9730" s="6" t="s">
        <v>98</v>
      </c>
      <c r="B9730" s="6" t="s">
        <v>99</v>
      </c>
      <c r="C9730" s="6" t="s">
        <v>1693</v>
      </c>
      <c r="D9730" s="6" t="s">
        <v>14</v>
      </c>
      <c r="E9730" s="6" t="s">
        <v>52</v>
      </c>
      <c r="F9730" s="6" t="s">
        <v>83</v>
      </c>
      <c r="G9730" s="6" t="s">
        <v>1668</v>
      </c>
      <c r="H9730" s="6" t="s">
        <v>1669</v>
      </c>
      <c r="I9730" s="6" t="s">
        <v>31</v>
      </c>
      <c r="J9730" s="6">
        <v>17.268059375496001</v>
      </c>
      <c r="K9730" s="6">
        <v>-96.796655324477001</v>
      </c>
      <c r="L9730" s="6" t="str">
        <f>HYPERLINK("https://maps.google.com/?q=17.2680593754957,-96.796655324477499", "🔗 Ver Mapa")</f>
        <v>🔗 Ver Mapa</v>
      </c>
    </row>
    <row r="9731" spans="1:12" ht="43.5" x14ac:dyDescent="0.35">
      <c r="A9731" s="5" t="s">
        <v>98</v>
      </c>
      <c r="B9731" s="5" t="s">
        <v>99</v>
      </c>
      <c r="C9731" s="5" t="s">
        <v>1693</v>
      </c>
      <c r="D9731" s="5" t="s">
        <v>14</v>
      </c>
      <c r="E9731" s="5" t="s">
        <v>52</v>
      </c>
      <c r="F9731" s="5" t="s">
        <v>83</v>
      </c>
      <c r="G9731" s="5" t="s">
        <v>1668</v>
      </c>
      <c r="H9731" s="5" t="s">
        <v>1669</v>
      </c>
      <c r="I9731" s="5" t="s">
        <v>31</v>
      </c>
      <c r="J9731" s="5">
        <v>17.268113544693001</v>
      </c>
      <c r="K9731" s="5">
        <v>-96.800277040794001</v>
      </c>
      <c r="L9731" s="5" t="str">
        <f>HYPERLINK("https://maps.google.com/?q=17.2681135446928,-96.800277040794199", "🔗 Ver Mapa")</f>
        <v>🔗 Ver Mapa</v>
      </c>
    </row>
    <row r="9732" spans="1:12" ht="43.5" x14ac:dyDescent="0.35">
      <c r="A9732" s="6" t="s">
        <v>98</v>
      </c>
      <c r="B9732" s="6" t="s">
        <v>99</v>
      </c>
      <c r="C9732" s="6" t="s">
        <v>1693</v>
      </c>
      <c r="D9732" s="6" t="s">
        <v>14</v>
      </c>
      <c r="E9732" s="6" t="s">
        <v>52</v>
      </c>
      <c r="F9732" s="6" t="s">
        <v>83</v>
      </c>
      <c r="G9732" s="6" t="s">
        <v>1668</v>
      </c>
      <c r="H9732" s="6" t="s">
        <v>1669</v>
      </c>
      <c r="I9732" s="6" t="s">
        <v>31</v>
      </c>
      <c r="J9732" s="6">
        <v>17.270467798237998</v>
      </c>
      <c r="K9732" s="6">
        <v>-96.792707953925003</v>
      </c>
      <c r="L9732" s="6" t="str">
        <f>HYPERLINK("https://maps.google.com/?q=17.2704677982375,-96.792707953925301", "🔗 Ver Mapa")</f>
        <v>🔗 Ver Mapa</v>
      </c>
    </row>
    <row r="9733" spans="1:12" ht="43.5" x14ac:dyDescent="0.35">
      <c r="A9733" s="5" t="s">
        <v>98</v>
      </c>
      <c r="B9733" s="5" t="s">
        <v>99</v>
      </c>
      <c r="C9733" s="5" t="s">
        <v>1693</v>
      </c>
      <c r="D9733" s="5" t="s">
        <v>14</v>
      </c>
      <c r="E9733" s="5" t="s">
        <v>52</v>
      </c>
      <c r="F9733" s="5" t="s">
        <v>83</v>
      </c>
      <c r="G9733" s="5" t="s">
        <v>1668</v>
      </c>
      <c r="H9733" s="5" t="s">
        <v>1669</v>
      </c>
      <c r="I9733" s="5" t="s">
        <v>31</v>
      </c>
      <c r="J9733" s="5">
        <v>17.270612832289999</v>
      </c>
      <c r="K9733" s="5">
        <v>-96.805642122267997</v>
      </c>
      <c r="L9733" s="5" t="str">
        <f>HYPERLINK("https://maps.google.com/?q=17.2706128322899,-96.805642122268196", "🔗 Ver Mapa")</f>
        <v>🔗 Ver Mapa</v>
      </c>
    </row>
    <row r="9734" spans="1:12" ht="43.5" x14ac:dyDescent="0.35">
      <c r="A9734" s="6" t="s">
        <v>98</v>
      </c>
      <c r="B9734" s="6" t="s">
        <v>99</v>
      </c>
      <c r="C9734" s="6" t="s">
        <v>1693</v>
      </c>
      <c r="D9734" s="6" t="s">
        <v>14</v>
      </c>
      <c r="E9734" s="6" t="s">
        <v>52</v>
      </c>
      <c r="F9734" s="6" t="s">
        <v>83</v>
      </c>
      <c r="G9734" s="6" t="s">
        <v>1668</v>
      </c>
      <c r="H9734" s="6" t="s">
        <v>1669</v>
      </c>
      <c r="I9734" s="6" t="s">
        <v>31</v>
      </c>
      <c r="J9734" s="6">
        <v>17.270698160041999</v>
      </c>
      <c r="K9734" s="6">
        <v>-96.805922366068003</v>
      </c>
      <c r="L9734" s="6" t="str">
        <f>HYPERLINK("https://maps.google.com/?q=17.2706981600418,-96.805922366068103", "🔗 Ver Mapa")</f>
        <v>🔗 Ver Mapa</v>
      </c>
    </row>
    <row r="9735" spans="1:12" ht="43.5" x14ac:dyDescent="0.35">
      <c r="A9735" s="5" t="s">
        <v>98</v>
      </c>
      <c r="B9735" s="5" t="s">
        <v>99</v>
      </c>
      <c r="C9735" s="5" t="s">
        <v>1693</v>
      </c>
      <c r="D9735" s="5" t="s">
        <v>14</v>
      </c>
      <c r="E9735" s="5" t="s">
        <v>52</v>
      </c>
      <c r="F9735" s="5" t="s">
        <v>83</v>
      </c>
      <c r="G9735" s="5" t="s">
        <v>1668</v>
      </c>
      <c r="H9735" s="5" t="s">
        <v>1669</v>
      </c>
      <c r="I9735" s="5" t="s">
        <v>31</v>
      </c>
      <c r="J9735" s="5">
        <v>17.270866510167</v>
      </c>
      <c r="K9735" s="5">
        <v>-96.80547012785</v>
      </c>
      <c r="L9735" s="5" t="str">
        <f>HYPERLINK("https://maps.google.com/?q=17.2708665101667,-96.805470127850498", "🔗 Ver Mapa")</f>
        <v>🔗 Ver Mapa</v>
      </c>
    </row>
    <row r="9736" spans="1:12" ht="43.5" x14ac:dyDescent="0.35">
      <c r="A9736" s="6" t="s">
        <v>98</v>
      </c>
      <c r="B9736" s="6" t="s">
        <v>99</v>
      </c>
      <c r="C9736" s="6" t="s">
        <v>1693</v>
      </c>
      <c r="D9736" s="6" t="s">
        <v>14</v>
      </c>
      <c r="E9736" s="6" t="s">
        <v>52</v>
      </c>
      <c r="F9736" s="6" t="s">
        <v>83</v>
      </c>
      <c r="G9736" s="6" t="s">
        <v>1668</v>
      </c>
      <c r="H9736" s="6" t="s">
        <v>1669</v>
      </c>
      <c r="I9736" s="6" t="s">
        <v>31</v>
      </c>
      <c r="J9736" s="6">
        <v>17.271381183418001</v>
      </c>
      <c r="K9736" s="6">
        <v>-96.797911030679003</v>
      </c>
      <c r="L9736" s="6" t="str">
        <f>HYPERLINK("https://maps.google.com/?q=17.2713811834178,-96.797911030679003", "🔗 Ver Mapa")</f>
        <v>🔗 Ver Mapa</v>
      </c>
    </row>
    <row r="9737" spans="1:12" ht="43.5" x14ac:dyDescent="0.35">
      <c r="A9737" s="5" t="s">
        <v>98</v>
      </c>
      <c r="B9737" s="5" t="s">
        <v>99</v>
      </c>
      <c r="C9737" s="5" t="s">
        <v>1693</v>
      </c>
      <c r="D9737" s="5" t="s">
        <v>14</v>
      </c>
      <c r="E9737" s="5" t="s">
        <v>52</v>
      </c>
      <c r="F9737" s="5" t="s">
        <v>83</v>
      </c>
      <c r="G9737" s="5" t="s">
        <v>1668</v>
      </c>
      <c r="H9737" s="5" t="s">
        <v>1669</v>
      </c>
      <c r="I9737" s="5" t="s">
        <v>31</v>
      </c>
      <c r="J9737" s="5">
        <v>17.272087250879999</v>
      </c>
      <c r="K9737" s="5">
        <v>-96.798620505344005</v>
      </c>
      <c r="L9737" s="5" t="str">
        <f>HYPERLINK("https://maps.google.com/?q=17.27208725088,-96.798620505343806", "🔗 Ver Mapa")</f>
        <v>🔗 Ver Mapa</v>
      </c>
    </row>
    <row r="9738" spans="1:12" ht="43.5" x14ac:dyDescent="0.35">
      <c r="A9738" s="6" t="s">
        <v>98</v>
      </c>
      <c r="B9738" s="6" t="s">
        <v>99</v>
      </c>
      <c r="C9738" s="6" t="s">
        <v>1693</v>
      </c>
      <c r="D9738" s="6" t="s">
        <v>14</v>
      </c>
      <c r="E9738" s="6" t="s">
        <v>52</v>
      </c>
      <c r="F9738" s="6" t="s">
        <v>83</v>
      </c>
      <c r="G9738" s="6" t="s">
        <v>1668</v>
      </c>
      <c r="H9738" s="6" t="s">
        <v>1669</v>
      </c>
      <c r="I9738" s="6" t="s">
        <v>31</v>
      </c>
      <c r="J9738" s="6">
        <v>17.272478989899</v>
      </c>
      <c r="K9738" s="6">
        <v>-96.806657658283996</v>
      </c>
      <c r="L9738" s="6" t="str">
        <f>HYPERLINK("https://maps.google.com/?q=17.2724789898991,-96.806657658283797", "🔗 Ver Mapa")</f>
        <v>🔗 Ver Mapa</v>
      </c>
    </row>
    <row r="9739" spans="1:12" ht="43.5" x14ac:dyDescent="0.35">
      <c r="A9739" s="5" t="s">
        <v>98</v>
      </c>
      <c r="B9739" s="5" t="s">
        <v>99</v>
      </c>
      <c r="C9739" s="5" t="s">
        <v>1693</v>
      </c>
      <c r="D9739" s="5" t="s">
        <v>14</v>
      </c>
      <c r="E9739" s="5" t="s">
        <v>52</v>
      </c>
      <c r="F9739" s="5" t="s">
        <v>83</v>
      </c>
      <c r="G9739" s="5" t="s">
        <v>1668</v>
      </c>
      <c r="H9739" s="5" t="s">
        <v>1669</v>
      </c>
      <c r="I9739" s="5" t="s">
        <v>31</v>
      </c>
      <c r="J9739" s="5">
        <v>17.272516770604</v>
      </c>
      <c r="K9739" s="5">
        <v>-96.804957237227995</v>
      </c>
      <c r="L9739" s="5" t="str">
        <f>HYPERLINK("https://maps.google.com/?q=17.272516770604,-96.804957237227597", "🔗 Ver Mapa")</f>
        <v>🔗 Ver Mapa</v>
      </c>
    </row>
    <row r="9740" spans="1:12" ht="43.5" x14ac:dyDescent="0.35">
      <c r="A9740" s="6" t="s">
        <v>98</v>
      </c>
      <c r="B9740" s="6" t="s">
        <v>99</v>
      </c>
      <c r="C9740" s="6" t="s">
        <v>1693</v>
      </c>
      <c r="D9740" s="6" t="s">
        <v>14</v>
      </c>
      <c r="E9740" s="6" t="s">
        <v>52</v>
      </c>
      <c r="F9740" s="6" t="s">
        <v>83</v>
      </c>
      <c r="G9740" s="6" t="s">
        <v>1668</v>
      </c>
      <c r="H9740" s="6" t="s">
        <v>1669</v>
      </c>
      <c r="I9740" s="6" t="s">
        <v>31</v>
      </c>
      <c r="J9740" s="6">
        <v>17.272548440213999</v>
      </c>
      <c r="K9740" s="6">
        <v>-96.806175801104999</v>
      </c>
      <c r="L9740" s="6" t="str">
        <f>HYPERLINK("https://maps.google.com/?q=17.2725484402138,-96.806175801104501", "🔗 Ver Mapa")</f>
        <v>🔗 Ver Mapa</v>
      </c>
    </row>
    <row r="9741" spans="1:12" ht="43.5" x14ac:dyDescent="0.35">
      <c r="A9741" s="5" t="s">
        <v>98</v>
      </c>
      <c r="B9741" s="5" t="s">
        <v>99</v>
      </c>
      <c r="C9741" s="5" t="s">
        <v>1693</v>
      </c>
      <c r="D9741" s="5" t="s">
        <v>14</v>
      </c>
      <c r="E9741" s="5" t="s">
        <v>52</v>
      </c>
      <c r="F9741" s="5" t="s">
        <v>83</v>
      </c>
      <c r="G9741" s="5" t="s">
        <v>1668</v>
      </c>
      <c r="H9741" s="5" t="s">
        <v>1669</v>
      </c>
      <c r="I9741" s="5" t="s">
        <v>31</v>
      </c>
      <c r="J9741" s="5">
        <v>17.272629239585001</v>
      </c>
      <c r="K9741" s="5">
        <v>-96.806091280472998</v>
      </c>
      <c r="L9741" s="5" t="str">
        <f>HYPERLINK("https://maps.google.com/?q=17.2726292395848,-96.806091280473197", "🔗 Ver Mapa")</f>
        <v>🔗 Ver Mapa</v>
      </c>
    </row>
    <row r="9742" spans="1:12" ht="43.5" x14ac:dyDescent="0.35">
      <c r="A9742" s="6" t="s">
        <v>98</v>
      </c>
      <c r="B9742" s="6" t="s">
        <v>99</v>
      </c>
      <c r="C9742" s="6" t="s">
        <v>1693</v>
      </c>
      <c r="D9742" s="6" t="s">
        <v>14</v>
      </c>
      <c r="E9742" s="6" t="s">
        <v>52</v>
      </c>
      <c r="F9742" s="6" t="s">
        <v>83</v>
      </c>
      <c r="G9742" s="6" t="s">
        <v>1668</v>
      </c>
      <c r="H9742" s="6" t="s">
        <v>1669</v>
      </c>
      <c r="I9742" s="6" t="s">
        <v>31</v>
      </c>
      <c r="J9742" s="6">
        <v>17.272681780248</v>
      </c>
      <c r="K9742" s="6">
        <v>-96.806188918816005</v>
      </c>
      <c r="L9742" s="6" t="str">
        <f>HYPERLINK("https://maps.google.com/?q=17.2726817802482,-96.806188918816005", "🔗 Ver Mapa")</f>
        <v>🔗 Ver Mapa</v>
      </c>
    </row>
    <row r="9743" spans="1:12" ht="43.5" x14ac:dyDescent="0.35">
      <c r="A9743" s="5" t="s">
        <v>98</v>
      </c>
      <c r="B9743" s="5" t="s">
        <v>99</v>
      </c>
      <c r="C9743" s="5" t="s">
        <v>1693</v>
      </c>
      <c r="D9743" s="5" t="s">
        <v>14</v>
      </c>
      <c r="E9743" s="5" t="s">
        <v>52</v>
      </c>
      <c r="F9743" s="5" t="s">
        <v>83</v>
      </c>
      <c r="G9743" s="5" t="s">
        <v>1668</v>
      </c>
      <c r="H9743" s="5" t="s">
        <v>1669</v>
      </c>
      <c r="I9743" s="5" t="s">
        <v>31</v>
      </c>
      <c r="J9743" s="5">
        <v>17.272807418304001</v>
      </c>
      <c r="K9743" s="5">
        <v>-96.806659145829002</v>
      </c>
      <c r="L9743" s="5" t="str">
        <f>HYPERLINK("https://maps.google.com/?q=17.2728074183035,-96.806659145828903", "🔗 Ver Mapa")</f>
        <v>🔗 Ver Mapa</v>
      </c>
    </row>
    <row r="9744" spans="1:12" ht="43.5" x14ac:dyDescent="0.35">
      <c r="A9744" s="6" t="s">
        <v>98</v>
      </c>
      <c r="B9744" s="6" t="s">
        <v>99</v>
      </c>
      <c r="C9744" s="6" t="s">
        <v>1693</v>
      </c>
      <c r="D9744" s="6" t="s">
        <v>14</v>
      </c>
      <c r="E9744" s="6" t="s">
        <v>52</v>
      </c>
      <c r="F9744" s="6" t="s">
        <v>83</v>
      </c>
      <c r="G9744" s="6" t="s">
        <v>1668</v>
      </c>
      <c r="H9744" s="6" t="s">
        <v>1669</v>
      </c>
      <c r="I9744" s="6" t="s">
        <v>31</v>
      </c>
      <c r="J9744" s="6">
        <v>17.273238202085</v>
      </c>
      <c r="K9744" s="6">
        <v>-96.805919610781999</v>
      </c>
      <c r="L9744" s="6" t="str">
        <f>HYPERLINK("https://maps.google.com/?q=17.2732382020853,-96.805919610782098", "🔗 Ver Mapa")</f>
        <v>🔗 Ver Mapa</v>
      </c>
    </row>
    <row r="9745" spans="1:12" ht="43.5" x14ac:dyDescent="0.35">
      <c r="A9745" s="5" t="s">
        <v>98</v>
      </c>
      <c r="B9745" s="5" t="s">
        <v>99</v>
      </c>
      <c r="C9745" s="5" t="s">
        <v>1693</v>
      </c>
      <c r="D9745" s="5" t="s">
        <v>14</v>
      </c>
      <c r="E9745" s="5" t="s">
        <v>52</v>
      </c>
      <c r="F9745" s="5" t="s">
        <v>83</v>
      </c>
      <c r="G9745" s="5" t="s">
        <v>1668</v>
      </c>
      <c r="H9745" s="5" t="s">
        <v>1669</v>
      </c>
      <c r="I9745" s="5" t="s">
        <v>31</v>
      </c>
      <c r="J9745" s="5">
        <v>17.273830397796999</v>
      </c>
      <c r="K9745" s="5">
        <v>-96.806199899635004</v>
      </c>
      <c r="L9745" s="5" t="str">
        <f>HYPERLINK("https://maps.google.com/?q=17.2738303977972,-96.806199899634606", "🔗 Ver Mapa")</f>
        <v>🔗 Ver Mapa</v>
      </c>
    </row>
    <row r="9746" spans="1:12" ht="43.5" x14ac:dyDescent="0.35">
      <c r="A9746" s="6" t="s">
        <v>98</v>
      </c>
      <c r="B9746" s="6" t="s">
        <v>99</v>
      </c>
      <c r="C9746" s="6" t="s">
        <v>1693</v>
      </c>
      <c r="D9746" s="6" t="s">
        <v>14</v>
      </c>
      <c r="E9746" s="6" t="s">
        <v>52</v>
      </c>
      <c r="F9746" s="6" t="s">
        <v>83</v>
      </c>
      <c r="G9746" s="6" t="s">
        <v>1668</v>
      </c>
      <c r="H9746" s="6" t="s">
        <v>1669</v>
      </c>
      <c r="I9746" s="6" t="s">
        <v>31</v>
      </c>
      <c r="J9746" s="6">
        <v>17.273938590535</v>
      </c>
      <c r="K9746" s="6">
        <v>-96.798753912273995</v>
      </c>
      <c r="L9746" s="6" t="str">
        <f>HYPERLINK("https://maps.google.com/?q=17.2739385905348,-96.798753912274407", "🔗 Ver Mapa")</f>
        <v>🔗 Ver Mapa</v>
      </c>
    </row>
    <row r="9747" spans="1:12" ht="43.5" x14ac:dyDescent="0.35">
      <c r="A9747" s="5" t="s">
        <v>98</v>
      </c>
      <c r="B9747" s="5" t="s">
        <v>99</v>
      </c>
      <c r="C9747" s="5" t="s">
        <v>1693</v>
      </c>
      <c r="D9747" s="5" t="s">
        <v>14</v>
      </c>
      <c r="E9747" s="5" t="s">
        <v>52</v>
      </c>
      <c r="F9747" s="5" t="s">
        <v>83</v>
      </c>
      <c r="G9747" s="5" t="s">
        <v>1668</v>
      </c>
      <c r="H9747" s="5" t="s">
        <v>1669</v>
      </c>
      <c r="I9747" s="5" t="s">
        <v>31</v>
      </c>
      <c r="J9747" s="5">
        <v>17.274592812942998</v>
      </c>
      <c r="K9747" s="5">
        <v>-96.804862972208994</v>
      </c>
      <c r="L9747" s="5" t="str">
        <f>HYPERLINK("https://maps.google.com/?q=17.2745928129432,-96.804862972209094", "🔗 Ver Mapa")</f>
        <v>🔗 Ver Mapa</v>
      </c>
    </row>
    <row r="9748" spans="1:12" ht="43.5" x14ac:dyDescent="0.35">
      <c r="A9748" s="6" t="s">
        <v>98</v>
      </c>
      <c r="B9748" s="6" t="s">
        <v>99</v>
      </c>
      <c r="C9748" s="6" t="s">
        <v>1693</v>
      </c>
      <c r="D9748" s="6" t="s">
        <v>14</v>
      </c>
      <c r="E9748" s="6" t="s">
        <v>52</v>
      </c>
      <c r="F9748" s="6" t="s">
        <v>83</v>
      </c>
      <c r="G9748" s="6" t="s">
        <v>1668</v>
      </c>
      <c r="H9748" s="6" t="s">
        <v>1669</v>
      </c>
      <c r="I9748" s="6" t="s">
        <v>31</v>
      </c>
      <c r="J9748" s="6">
        <v>17.274950382313001</v>
      </c>
      <c r="K9748" s="6">
        <v>-96.805214475344002</v>
      </c>
      <c r="L9748" s="6" t="str">
        <f>HYPERLINK("https://maps.google.com/?q=17.2749503823125,-96.8052144753443", "🔗 Ver Mapa")</f>
        <v>🔗 Ver Mapa</v>
      </c>
    </row>
    <row r="9749" spans="1:12" ht="43.5" x14ac:dyDescent="0.35">
      <c r="A9749" s="5" t="s">
        <v>98</v>
      </c>
      <c r="B9749" s="5" t="s">
        <v>99</v>
      </c>
      <c r="C9749" s="5" t="s">
        <v>1693</v>
      </c>
      <c r="D9749" s="5" t="s">
        <v>14</v>
      </c>
      <c r="E9749" s="5" t="s">
        <v>52</v>
      </c>
      <c r="F9749" s="5" t="s">
        <v>83</v>
      </c>
      <c r="G9749" s="5" t="s">
        <v>1668</v>
      </c>
      <c r="H9749" s="5" t="s">
        <v>1669</v>
      </c>
      <c r="I9749" s="5" t="s">
        <v>31</v>
      </c>
      <c r="J9749" s="5">
        <v>17.275166380211001</v>
      </c>
      <c r="K9749" s="5">
        <v>-96.805266104180006</v>
      </c>
      <c r="L9749" s="5" t="str">
        <f>HYPERLINK("https://maps.google.com/?q=17.2751663802108,-96.805266104180404", "🔗 Ver Mapa")</f>
        <v>🔗 Ver Mapa</v>
      </c>
    </row>
    <row r="9750" spans="1:12" ht="43.5" x14ac:dyDescent="0.35">
      <c r="A9750" s="6" t="s">
        <v>98</v>
      </c>
      <c r="B9750" s="6" t="s">
        <v>99</v>
      </c>
      <c r="C9750" s="6" t="s">
        <v>1693</v>
      </c>
      <c r="D9750" s="6" t="s">
        <v>14</v>
      </c>
      <c r="E9750" s="6" t="s">
        <v>52</v>
      </c>
      <c r="F9750" s="6" t="s">
        <v>83</v>
      </c>
      <c r="G9750" s="6" t="s">
        <v>1668</v>
      </c>
      <c r="H9750" s="6" t="s">
        <v>1669</v>
      </c>
      <c r="I9750" s="6" t="s">
        <v>31</v>
      </c>
      <c r="J9750" s="6">
        <v>17.275758876933001</v>
      </c>
      <c r="K9750" s="6">
        <v>-96.798524011536998</v>
      </c>
      <c r="L9750" s="6" t="str">
        <f>HYPERLINK("https://maps.google.com/?q=17.2757588769326,-96.798524011537495", "🔗 Ver Mapa")</f>
        <v>🔗 Ver Mapa</v>
      </c>
    </row>
    <row r="9751" spans="1:12" ht="43.5" x14ac:dyDescent="0.35">
      <c r="A9751" s="5" t="s">
        <v>98</v>
      </c>
      <c r="B9751" s="5" t="s">
        <v>99</v>
      </c>
      <c r="C9751" s="5" t="s">
        <v>1693</v>
      </c>
      <c r="D9751" s="5" t="s">
        <v>14</v>
      </c>
      <c r="E9751" s="5" t="s">
        <v>52</v>
      </c>
      <c r="F9751" s="5" t="s">
        <v>83</v>
      </c>
      <c r="G9751" s="5" t="s">
        <v>1668</v>
      </c>
      <c r="H9751" s="5" t="s">
        <v>1669</v>
      </c>
      <c r="I9751" s="5" t="s">
        <v>31</v>
      </c>
      <c r="J9751" s="5">
        <v>17.276034670611999</v>
      </c>
      <c r="K9751" s="5">
        <v>-96.805044540552004</v>
      </c>
      <c r="L9751" s="5" t="str">
        <f>HYPERLINK("https://maps.google.com/?q=17.2760346706117,-96.805044540551805", "🔗 Ver Mapa")</f>
        <v>🔗 Ver Mapa</v>
      </c>
    </row>
    <row r="9752" spans="1:12" ht="43.5" x14ac:dyDescent="0.35">
      <c r="A9752" s="6" t="s">
        <v>98</v>
      </c>
      <c r="B9752" s="6" t="s">
        <v>99</v>
      </c>
      <c r="C9752" s="6" t="s">
        <v>1693</v>
      </c>
      <c r="D9752" s="6" t="s">
        <v>14</v>
      </c>
      <c r="E9752" s="6" t="s">
        <v>52</v>
      </c>
      <c r="F9752" s="6" t="s">
        <v>83</v>
      </c>
      <c r="G9752" s="6" t="s">
        <v>1668</v>
      </c>
      <c r="H9752" s="6" t="s">
        <v>1669</v>
      </c>
      <c r="I9752" s="6" t="s">
        <v>31</v>
      </c>
      <c r="J9752" s="6">
        <v>17.276081521512999</v>
      </c>
      <c r="K9752" s="6">
        <v>-96.796107512328007</v>
      </c>
      <c r="L9752" s="6" t="str">
        <f>HYPERLINK("https://maps.google.com/?q=17.2760815215134,-96.796107512328007", "🔗 Ver Mapa")</f>
        <v>🔗 Ver Mapa</v>
      </c>
    </row>
    <row r="9753" spans="1:12" ht="43.5" x14ac:dyDescent="0.35">
      <c r="A9753" s="5" t="s">
        <v>98</v>
      </c>
      <c r="B9753" s="5" t="s">
        <v>99</v>
      </c>
      <c r="C9753" s="5" t="s">
        <v>1693</v>
      </c>
      <c r="D9753" s="5" t="s">
        <v>14</v>
      </c>
      <c r="E9753" s="5" t="s">
        <v>52</v>
      </c>
      <c r="F9753" s="5" t="s">
        <v>83</v>
      </c>
      <c r="G9753" s="5" t="s">
        <v>1668</v>
      </c>
      <c r="H9753" s="5" t="s">
        <v>1669</v>
      </c>
      <c r="I9753" s="5" t="s">
        <v>31</v>
      </c>
      <c r="J9753" s="5">
        <v>17.276181599415999</v>
      </c>
      <c r="K9753" s="5">
        <v>-96.795055319447997</v>
      </c>
      <c r="L9753" s="5" t="str">
        <f>HYPERLINK("https://maps.google.com/?q=17.2761815994159,-96.795055319447798", "🔗 Ver Mapa")</f>
        <v>🔗 Ver Mapa</v>
      </c>
    </row>
    <row r="9754" spans="1:12" ht="43.5" x14ac:dyDescent="0.35">
      <c r="A9754" s="6" t="s">
        <v>98</v>
      </c>
      <c r="B9754" s="6" t="s">
        <v>99</v>
      </c>
      <c r="C9754" s="6" t="s">
        <v>1693</v>
      </c>
      <c r="D9754" s="6" t="s">
        <v>14</v>
      </c>
      <c r="E9754" s="6" t="s">
        <v>52</v>
      </c>
      <c r="F9754" s="6" t="s">
        <v>83</v>
      </c>
      <c r="G9754" s="6" t="s">
        <v>1668</v>
      </c>
      <c r="H9754" s="6" t="s">
        <v>1669</v>
      </c>
      <c r="I9754" s="6" t="s">
        <v>31</v>
      </c>
      <c r="J9754" s="6">
        <v>17.276213905013002</v>
      </c>
      <c r="K9754" s="6">
        <v>-96.795140479584006</v>
      </c>
      <c r="L9754" s="6" t="str">
        <f>HYPERLINK("https://maps.google.com/?q=17.2762139050133,-96.795140479584006", "🔗 Ver Mapa")</f>
        <v>🔗 Ver Mapa</v>
      </c>
    </row>
    <row r="9755" spans="1:12" ht="43.5" x14ac:dyDescent="0.35">
      <c r="A9755" s="5" t="s">
        <v>98</v>
      </c>
      <c r="B9755" s="5" t="s">
        <v>99</v>
      </c>
      <c r="C9755" s="5" t="s">
        <v>1693</v>
      </c>
      <c r="D9755" s="5" t="s">
        <v>14</v>
      </c>
      <c r="E9755" s="5" t="s">
        <v>52</v>
      </c>
      <c r="F9755" s="5" t="s">
        <v>83</v>
      </c>
      <c r="G9755" s="5" t="s">
        <v>1668</v>
      </c>
      <c r="H9755" s="5" t="s">
        <v>1669</v>
      </c>
      <c r="I9755" s="5" t="s">
        <v>31</v>
      </c>
      <c r="J9755" s="5">
        <v>17.276245430484</v>
      </c>
      <c r="K9755" s="5">
        <v>-96.795911398597994</v>
      </c>
      <c r="L9755" s="5" t="str">
        <f>HYPERLINK("https://maps.google.com/?q=17.2762454304842,-96.795911398598406", "🔗 Ver Mapa")</f>
        <v>🔗 Ver Mapa</v>
      </c>
    </row>
    <row r="9756" spans="1:12" ht="43.5" x14ac:dyDescent="0.35">
      <c r="A9756" s="6" t="s">
        <v>98</v>
      </c>
      <c r="B9756" s="6" t="s">
        <v>99</v>
      </c>
      <c r="C9756" s="6" t="s">
        <v>1693</v>
      </c>
      <c r="D9756" s="6" t="s">
        <v>14</v>
      </c>
      <c r="E9756" s="6" t="s">
        <v>52</v>
      </c>
      <c r="F9756" s="6" t="s">
        <v>83</v>
      </c>
      <c r="G9756" s="6" t="s">
        <v>1668</v>
      </c>
      <c r="H9756" s="6" t="s">
        <v>1669</v>
      </c>
      <c r="I9756" s="6" t="s">
        <v>31</v>
      </c>
      <c r="J9756" s="6">
        <v>17.277621498870001</v>
      </c>
      <c r="K9756" s="6">
        <v>-96.805654570135999</v>
      </c>
      <c r="L9756" s="6" t="str">
        <f>HYPERLINK("https://maps.google.com/?q=17.2776214988703,-96.805654570135999", "🔗 Ver Mapa")</f>
        <v>🔗 Ver Mapa</v>
      </c>
    </row>
    <row r="9757" spans="1:12" ht="43.5" x14ac:dyDescent="0.35">
      <c r="A9757" s="5" t="s">
        <v>98</v>
      </c>
      <c r="B9757" s="5" t="s">
        <v>99</v>
      </c>
      <c r="C9757" s="5" t="s">
        <v>1693</v>
      </c>
      <c r="D9757" s="5" t="s">
        <v>14</v>
      </c>
      <c r="E9757" s="5" t="s">
        <v>52</v>
      </c>
      <c r="F9757" s="5" t="s">
        <v>83</v>
      </c>
      <c r="G9757" s="5" t="s">
        <v>1668</v>
      </c>
      <c r="H9757" s="5" t="s">
        <v>1669</v>
      </c>
      <c r="I9757" s="5" t="s">
        <v>31</v>
      </c>
      <c r="J9757" s="5">
        <v>17.277881926835999</v>
      </c>
      <c r="K9757" s="5">
        <v>-96.793905444478</v>
      </c>
      <c r="L9757" s="5" t="str">
        <f>HYPERLINK("https://maps.google.com/?q=17.2778819268361,-96.793905444477502", "🔗 Ver Mapa")</f>
        <v>🔗 Ver Mapa</v>
      </c>
    </row>
    <row r="9758" spans="1:12" ht="43.5" x14ac:dyDescent="0.35">
      <c r="A9758" s="6" t="s">
        <v>98</v>
      </c>
      <c r="B9758" s="6" t="s">
        <v>99</v>
      </c>
      <c r="C9758" s="6" t="s">
        <v>1693</v>
      </c>
      <c r="D9758" s="6" t="s">
        <v>14</v>
      </c>
      <c r="E9758" s="6" t="s">
        <v>52</v>
      </c>
      <c r="F9758" s="6" t="s">
        <v>83</v>
      </c>
      <c r="G9758" s="6" t="s">
        <v>1668</v>
      </c>
      <c r="H9758" s="6" t="s">
        <v>1669</v>
      </c>
      <c r="I9758" s="6" t="s">
        <v>31</v>
      </c>
      <c r="J9758" s="6">
        <v>17.277999360366</v>
      </c>
      <c r="K9758" s="6">
        <v>-96.805825690118994</v>
      </c>
      <c r="L9758" s="6" t="str">
        <f>HYPERLINK("https://maps.google.com/?q=17.2779993603662,-96.805825690118894", "🔗 Ver Mapa")</f>
        <v>🔗 Ver Mapa</v>
      </c>
    </row>
    <row r="9759" spans="1:12" ht="43.5" x14ac:dyDescent="0.35">
      <c r="A9759" s="5" t="s">
        <v>98</v>
      </c>
      <c r="B9759" s="5" t="s">
        <v>99</v>
      </c>
      <c r="C9759" s="5" t="s">
        <v>1693</v>
      </c>
      <c r="D9759" s="5" t="s">
        <v>14</v>
      </c>
      <c r="E9759" s="5" t="s">
        <v>52</v>
      </c>
      <c r="F9759" s="5" t="s">
        <v>83</v>
      </c>
      <c r="G9759" s="5" t="s">
        <v>1668</v>
      </c>
      <c r="H9759" s="5" t="s">
        <v>1669</v>
      </c>
      <c r="I9759" s="5" t="s">
        <v>31</v>
      </c>
      <c r="J9759" s="5">
        <v>17.278685655044001</v>
      </c>
      <c r="K9759" s="5">
        <v>-96.796705568223999</v>
      </c>
      <c r="L9759" s="5" t="str">
        <f>HYPERLINK("https://maps.google.com/?q=17.2786856550437,-96.796705568224397", "🔗 Ver Mapa")</f>
        <v>🔗 Ver Mapa</v>
      </c>
    </row>
    <row r="9760" spans="1:12" ht="43.5" x14ac:dyDescent="0.35">
      <c r="A9760" s="6" t="s">
        <v>98</v>
      </c>
      <c r="B9760" s="6" t="s">
        <v>99</v>
      </c>
      <c r="C9760" s="6" t="s">
        <v>1693</v>
      </c>
      <c r="D9760" s="6" t="s">
        <v>14</v>
      </c>
      <c r="E9760" s="6" t="s">
        <v>52</v>
      </c>
      <c r="F9760" s="6" t="s">
        <v>83</v>
      </c>
      <c r="G9760" s="6" t="s">
        <v>1668</v>
      </c>
      <c r="H9760" s="6" t="s">
        <v>1669</v>
      </c>
      <c r="I9760" s="6" t="s">
        <v>31</v>
      </c>
      <c r="J9760" s="6">
        <v>17.278972069207001</v>
      </c>
      <c r="K9760" s="6">
        <v>-96.804697476409999</v>
      </c>
      <c r="L9760" s="6" t="str">
        <f>HYPERLINK("https://maps.google.com/?q=17.2789720692074,-96.804697476409501", "🔗 Ver Mapa")</f>
        <v>🔗 Ver Mapa</v>
      </c>
    </row>
    <row r="9761" spans="1:12" ht="43.5" x14ac:dyDescent="0.35">
      <c r="A9761" s="5" t="s">
        <v>98</v>
      </c>
      <c r="B9761" s="5" t="s">
        <v>99</v>
      </c>
      <c r="C9761" s="5" t="s">
        <v>1693</v>
      </c>
      <c r="D9761" s="5" t="s">
        <v>14</v>
      </c>
      <c r="E9761" s="5" t="s">
        <v>52</v>
      </c>
      <c r="F9761" s="5" t="s">
        <v>83</v>
      </c>
      <c r="G9761" s="5" t="s">
        <v>1668</v>
      </c>
      <c r="H9761" s="5" t="s">
        <v>1669</v>
      </c>
      <c r="I9761" s="5" t="s">
        <v>31</v>
      </c>
      <c r="J9761" s="5">
        <v>17.279215826123998</v>
      </c>
      <c r="K9761" s="5">
        <v>-96.793981000958993</v>
      </c>
      <c r="L9761" s="5" t="str">
        <f>HYPERLINK("https://maps.google.com/?q=17.2792158261238,-96.793981000959405", "🔗 Ver Mapa")</f>
        <v>🔗 Ver Mapa</v>
      </c>
    </row>
    <row r="9762" spans="1:12" ht="43.5" x14ac:dyDescent="0.35">
      <c r="A9762" s="6" t="s">
        <v>98</v>
      </c>
      <c r="B9762" s="6" t="s">
        <v>99</v>
      </c>
      <c r="C9762" s="6" t="s">
        <v>1693</v>
      </c>
      <c r="D9762" s="6" t="s">
        <v>14</v>
      </c>
      <c r="E9762" s="6" t="s">
        <v>52</v>
      </c>
      <c r="F9762" s="6" t="s">
        <v>83</v>
      </c>
      <c r="G9762" s="6" t="s">
        <v>1668</v>
      </c>
      <c r="H9762" s="6" t="s">
        <v>1669</v>
      </c>
      <c r="I9762" s="6" t="s">
        <v>31</v>
      </c>
      <c r="J9762" s="6">
        <v>17.279749695157999</v>
      </c>
      <c r="K9762" s="6">
        <v>-96.799244663254001</v>
      </c>
      <c r="L9762" s="6" t="str">
        <f>HYPERLINK("https://maps.google.com/?q=17.279749695158,-96.7992446632541", "🔗 Ver Mapa")</f>
        <v>🔗 Ver Mapa</v>
      </c>
    </row>
    <row r="9763" spans="1:12" ht="43.5" x14ac:dyDescent="0.35">
      <c r="A9763" s="5" t="s">
        <v>98</v>
      </c>
      <c r="B9763" s="5" t="s">
        <v>99</v>
      </c>
      <c r="C9763" s="5" t="s">
        <v>1693</v>
      </c>
      <c r="D9763" s="5" t="s">
        <v>14</v>
      </c>
      <c r="E9763" s="5" t="s">
        <v>52</v>
      </c>
      <c r="F9763" s="5" t="s">
        <v>83</v>
      </c>
      <c r="G9763" s="5" t="s">
        <v>1668</v>
      </c>
      <c r="H9763" s="5" t="s">
        <v>1669</v>
      </c>
      <c r="I9763" s="5" t="s">
        <v>31</v>
      </c>
      <c r="J9763" s="5">
        <v>17.280688109902002</v>
      </c>
      <c r="K9763" s="5">
        <v>-96.792967865736998</v>
      </c>
      <c r="L9763" s="5" t="str">
        <f>HYPERLINK("https://maps.google.com/?q=17.2806881099018,-96.792967865737097", "🔗 Ver Mapa")</f>
        <v>🔗 Ver Mapa</v>
      </c>
    </row>
    <row r="9764" spans="1:12" ht="43.5" x14ac:dyDescent="0.35">
      <c r="A9764" s="6" t="s">
        <v>98</v>
      </c>
      <c r="B9764" s="6" t="s">
        <v>99</v>
      </c>
      <c r="C9764" s="6" t="s">
        <v>1693</v>
      </c>
      <c r="D9764" s="6" t="s">
        <v>14</v>
      </c>
      <c r="E9764" s="6" t="s">
        <v>52</v>
      </c>
      <c r="F9764" s="6" t="s">
        <v>83</v>
      </c>
      <c r="G9764" s="6" t="s">
        <v>1668</v>
      </c>
      <c r="H9764" s="6" t="s">
        <v>1669</v>
      </c>
      <c r="I9764" s="6" t="s">
        <v>31</v>
      </c>
      <c r="J9764" s="6">
        <v>17.281496108871</v>
      </c>
      <c r="K9764" s="6">
        <v>-96.796024030281998</v>
      </c>
      <c r="L9764" s="6" t="str">
        <f>HYPERLINK("https://maps.google.com/?q=17.2814961088712,-96.796024030281501", "🔗 Ver Mapa")</f>
        <v>🔗 Ver Mapa</v>
      </c>
    </row>
    <row r="9765" spans="1:12" ht="43.5" x14ac:dyDescent="0.35">
      <c r="A9765" s="5" t="s">
        <v>98</v>
      </c>
      <c r="B9765" s="5" t="s">
        <v>99</v>
      </c>
      <c r="C9765" s="5" t="s">
        <v>1693</v>
      </c>
      <c r="D9765" s="5" t="s">
        <v>14</v>
      </c>
      <c r="E9765" s="5" t="s">
        <v>52</v>
      </c>
      <c r="F9765" s="5" t="s">
        <v>83</v>
      </c>
      <c r="G9765" s="5" t="s">
        <v>1668</v>
      </c>
      <c r="H9765" s="5" t="s">
        <v>1669</v>
      </c>
      <c r="I9765" s="5" t="s">
        <v>31</v>
      </c>
      <c r="J9765" s="5">
        <v>17.281526129126998</v>
      </c>
      <c r="K9765" s="5">
        <v>-96.796396717594007</v>
      </c>
      <c r="L9765" s="5" t="str">
        <f>HYPERLINK("https://maps.google.com/?q=17.2815261291268,-96.796396717593794", "🔗 Ver Mapa")</f>
        <v>🔗 Ver Mapa</v>
      </c>
    </row>
    <row r="9766" spans="1:12" ht="43.5" x14ac:dyDescent="0.35">
      <c r="A9766" s="6" t="s">
        <v>98</v>
      </c>
      <c r="B9766" s="6" t="s">
        <v>99</v>
      </c>
      <c r="C9766" s="6" t="s">
        <v>1693</v>
      </c>
      <c r="D9766" s="6" t="s">
        <v>14</v>
      </c>
      <c r="E9766" s="6" t="s">
        <v>52</v>
      </c>
      <c r="F9766" s="6" t="s">
        <v>83</v>
      </c>
      <c r="G9766" s="6" t="s">
        <v>1668</v>
      </c>
      <c r="H9766" s="6" t="s">
        <v>1669</v>
      </c>
      <c r="I9766" s="6" t="s">
        <v>31</v>
      </c>
      <c r="J9766" s="6">
        <v>17.2819735456</v>
      </c>
      <c r="K9766" s="6">
        <v>-96.803338935156006</v>
      </c>
      <c r="L9766" s="6" t="str">
        <f>HYPERLINK("https://maps.google.com/?q=17.2819735455996,-96.803338935156106", "🔗 Ver Mapa")</f>
        <v>🔗 Ver Mapa</v>
      </c>
    </row>
    <row r="9767" spans="1:12" ht="43.5" x14ac:dyDescent="0.35">
      <c r="A9767" s="5" t="s">
        <v>98</v>
      </c>
      <c r="B9767" s="5" t="s">
        <v>99</v>
      </c>
      <c r="C9767" s="5" t="s">
        <v>1693</v>
      </c>
      <c r="D9767" s="5" t="s">
        <v>14</v>
      </c>
      <c r="E9767" s="5" t="s">
        <v>52</v>
      </c>
      <c r="F9767" s="5" t="s">
        <v>83</v>
      </c>
      <c r="G9767" s="5" t="s">
        <v>1668</v>
      </c>
      <c r="H9767" s="5" t="s">
        <v>1669</v>
      </c>
      <c r="I9767" s="5" t="s">
        <v>31</v>
      </c>
      <c r="J9767" s="5">
        <v>17.282092820759999</v>
      </c>
      <c r="K9767" s="5">
        <v>-96.803841181655997</v>
      </c>
      <c r="L9767" s="5" t="str">
        <f>HYPERLINK("https://maps.google.com/?q=17.28209282076,-96.803841181656296", "🔗 Ver Mapa")</f>
        <v>🔗 Ver Mapa</v>
      </c>
    </row>
    <row r="9768" spans="1:12" ht="43.5" x14ac:dyDescent="0.35">
      <c r="A9768" s="6" t="s">
        <v>98</v>
      </c>
      <c r="B9768" s="6" t="s">
        <v>99</v>
      </c>
      <c r="C9768" s="6" t="s">
        <v>1693</v>
      </c>
      <c r="D9768" s="6" t="s">
        <v>14</v>
      </c>
      <c r="E9768" s="6" t="s">
        <v>52</v>
      </c>
      <c r="F9768" s="6" t="s">
        <v>83</v>
      </c>
      <c r="G9768" s="6" t="s">
        <v>1668</v>
      </c>
      <c r="H9768" s="6" t="s">
        <v>1669</v>
      </c>
      <c r="I9768" s="6" t="s">
        <v>31</v>
      </c>
      <c r="J9768" s="6">
        <v>17.282367990518001</v>
      </c>
      <c r="K9768" s="6">
        <v>-96.800677630435004</v>
      </c>
      <c r="L9768" s="6" t="str">
        <f>HYPERLINK("https://maps.google.com/?q=17.282367990518,-96.800677630435402", "🔗 Ver Mapa")</f>
        <v>🔗 Ver Mapa</v>
      </c>
    </row>
    <row r="9769" spans="1:12" ht="43.5" x14ac:dyDescent="0.35">
      <c r="A9769" s="5" t="s">
        <v>98</v>
      </c>
      <c r="B9769" s="5" t="s">
        <v>99</v>
      </c>
      <c r="C9769" s="5" t="s">
        <v>1693</v>
      </c>
      <c r="D9769" s="5" t="s">
        <v>14</v>
      </c>
      <c r="E9769" s="5" t="s">
        <v>52</v>
      </c>
      <c r="F9769" s="5" t="s">
        <v>83</v>
      </c>
      <c r="G9769" s="5" t="s">
        <v>1668</v>
      </c>
      <c r="H9769" s="5" t="s">
        <v>1669</v>
      </c>
      <c r="I9769" s="5" t="s">
        <v>31</v>
      </c>
      <c r="J9769" s="5">
        <v>17.282377778819001</v>
      </c>
      <c r="K9769" s="5">
        <v>-96.801433386075004</v>
      </c>
      <c r="L9769" s="5" t="str">
        <f>HYPERLINK("https://maps.google.com/?q=17.282377778819,-96.801433386074805", "🔗 Ver Mapa")</f>
        <v>🔗 Ver Mapa</v>
      </c>
    </row>
    <row r="9770" spans="1:12" ht="43.5" x14ac:dyDescent="0.35">
      <c r="A9770" s="6" t="s">
        <v>98</v>
      </c>
      <c r="B9770" s="6" t="s">
        <v>99</v>
      </c>
      <c r="C9770" s="6" t="s">
        <v>1693</v>
      </c>
      <c r="D9770" s="6" t="s">
        <v>14</v>
      </c>
      <c r="E9770" s="6" t="s">
        <v>52</v>
      </c>
      <c r="F9770" s="6" t="s">
        <v>83</v>
      </c>
      <c r="G9770" s="6" t="s">
        <v>1668</v>
      </c>
      <c r="H9770" s="6" t="s">
        <v>1669</v>
      </c>
      <c r="I9770" s="6" t="s">
        <v>31</v>
      </c>
      <c r="J9770" s="6">
        <v>17.284280943256999</v>
      </c>
      <c r="K9770" s="6">
        <v>-96.799320467569999</v>
      </c>
      <c r="L9770" s="6" t="str">
        <f>HYPERLINK("https://maps.google.com/?q=17.2842809432568,-96.799320467570297", "🔗 Ver Mapa")</f>
        <v>🔗 Ver Mapa</v>
      </c>
    </row>
    <row r="9771" spans="1:12" ht="43.5" x14ac:dyDescent="0.35">
      <c r="A9771" s="5" t="s">
        <v>98</v>
      </c>
      <c r="B9771" s="5" t="s">
        <v>99</v>
      </c>
      <c r="C9771" s="5" t="s">
        <v>1693</v>
      </c>
      <c r="D9771" s="5" t="s">
        <v>14</v>
      </c>
      <c r="E9771" s="5" t="s">
        <v>52</v>
      </c>
      <c r="F9771" s="5" t="s">
        <v>83</v>
      </c>
      <c r="G9771" s="5" t="s">
        <v>1668</v>
      </c>
      <c r="H9771" s="5" t="s">
        <v>1669</v>
      </c>
      <c r="I9771" s="5" t="s">
        <v>31</v>
      </c>
      <c r="J9771" s="5">
        <v>17.284411970120001</v>
      </c>
      <c r="K9771" s="5">
        <v>-96.794429466490996</v>
      </c>
      <c r="L9771" s="5" t="str">
        <f>HYPERLINK("https://maps.google.com/?q=17.2844119701201,-96.794429466491295", "🔗 Ver Mapa")</f>
        <v>🔗 Ver Mapa</v>
      </c>
    </row>
    <row r="9772" spans="1:12" ht="43.5" x14ac:dyDescent="0.35">
      <c r="A9772" s="6" t="s">
        <v>98</v>
      </c>
      <c r="B9772" s="6" t="s">
        <v>99</v>
      </c>
      <c r="C9772" s="6" t="s">
        <v>1693</v>
      </c>
      <c r="D9772" s="6" t="s">
        <v>14</v>
      </c>
      <c r="E9772" s="6" t="s">
        <v>52</v>
      </c>
      <c r="F9772" s="6" t="s">
        <v>83</v>
      </c>
      <c r="G9772" s="6" t="s">
        <v>1668</v>
      </c>
      <c r="H9772" s="6" t="s">
        <v>1669</v>
      </c>
      <c r="I9772" s="6" t="s">
        <v>31</v>
      </c>
      <c r="J9772" s="6">
        <v>17.284723443990998</v>
      </c>
      <c r="K9772" s="6">
        <v>-96.793840576286001</v>
      </c>
      <c r="L9772" s="6" t="str">
        <f>HYPERLINK("https://maps.google.com/?q=17.2847234439911,-96.793840576285703", "🔗 Ver Mapa")</f>
        <v>🔗 Ver Mapa</v>
      </c>
    </row>
    <row r="9773" spans="1:12" ht="43.5" x14ac:dyDescent="0.35">
      <c r="A9773" s="5" t="s">
        <v>98</v>
      </c>
      <c r="B9773" s="5" t="s">
        <v>99</v>
      </c>
      <c r="C9773" s="5" t="s">
        <v>1693</v>
      </c>
      <c r="D9773" s="5" t="s">
        <v>14</v>
      </c>
      <c r="E9773" s="5" t="s">
        <v>52</v>
      </c>
      <c r="F9773" s="5" t="s">
        <v>83</v>
      </c>
      <c r="G9773" s="5" t="s">
        <v>1668</v>
      </c>
      <c r="H9773" s="5" t="s">
        <v>1669</v>
      </c>
      <c r="I9773" s="5" t="s">
        <v>31</v>
      </c>
      <c r="J9773" s="5">
        <v>17.284927379094</v>
      </c>
      <c r="K9773" s="5">
        <v>-96.794801686194006</v>
      </c>
      <c r="L9773" s="5" t="str">
        <f>HYPERLINK("https://maps.google.com/?q=17.284927379094,-96.794801686193694", "🔗 Ver Mapa")</f>
        <v>🔗 Ver Mapa</v>
      </c>
    </row>
    <row r="9774" spans="1:12" ht="43.5" x14ac:dyDescent="0.35">
      <c r="A9774" s="6" t="s">
        <v>98</v>
      </c>
      <c r="B9774" s="6" t="s">
        <v>99</v>
      </c>
      <c r="C9774" s="6" t="s">
        <v>1693</v>
      </c>
      <c r="D9774" s="6" t="s">
        <v>14</v>
      </c>
      <c r="E9774" s="6" t="s">
        <v>52</v>
      </c>
      <c r="F9774" s="6" t="s">
        <v>83</v>
      </c>
      <c r="G9774" s="6" t="s">
        <v>1668</v>
      </c>
      <c r="H9774" s="6" t="s">
        <v>1669</v>
      </c>
      <c r="I9774" s="6" t="s">
        <v>31</v>
      </c>
      <c r="J9774" s="6">
        <v>17.285585839243002</v>
      </c>
      <c r="K9774" s="6">
        <v>-96.798427000551996</v>
      </c>
      <c r="L9774" s="6" t="str">
        <f>HYPERLINK("https://maps.google.com/?q=17.2855858392429,-96.798427000552294", "🔗 Ver Mapa")</f>
        <v>🔗 Ver Mapa</v>
      </c>
    </row>
    <row r="9775" spans="1:12" ht="43.5" x14ac:dyDescent="0.35">
      <c r="A9775" s="5" t="s">
        <v>98</v>
      </c>
      <c r="B9775" s="5" t="s">
        <v>99</v>
      </c>
      <c r="C9775" s="5" t="s">
        <v>1693</v>
      </c>
      <c r="D9775" s="5" t="s">
        <v>14</v>
      </c>
      <c r="E9775" s="5" t="s">
        <v>52</v>
      </c>
      <c r="F9775" s="5" t="s">
        <v>83</v>
      </c>
      <c r="G9775" s="5" t="s">
        <v>1668</v>
      </c>
      <c r="H9775" s="5" t="s">
        <v>1669</v>
      </c>
      <c r="I9775" s="5" t="s">
        <v>31</v>
      </c>
      <c r="J9775" s="5">
        <v>17.285842976975999</v>
      </c>
      <c r="K9775" s="5">
        <v>-96.798400131454997</v>
      </c>
      <c r="L9775" s="5" t="str">
        <f>HYPERLINK("https://maps.google.com/?q=17.2858429769761,-96.798400131454699", "🔗 Ver Mapa")</f>
        <v>🔗 Ver Mapa</v>
      </c>
    </row>
    <row r="9776" spans="1:12" ht="43.5" x14ac:dyDescent="0.35">
      <c r="A9776" s="6" t="s">
        <v>98</v>
      </c>
      <c r="B9776" s="6" t="s">
        <v>99</v>
      </c>
      <c r="C9776" s="6" t="s">
        <v>1693</v>
      </c>
      <c r="D9776" s="6" t="s">
        <v>14</v>
      </c>
      <c r="E9776" s="6" t="s">
        <v>52</v>
      </c>
      <c r="F9776" s="6" t="s">
        <v>83</v>
      </c>
      <c r="G9776" s="6" t="s">
        <v>1668</v>
      </c>
      <c r="H9776" s="6" t="s">
        <v>1669</v>
      </c>
      <c r="I9776" s="6" t="s">
        <v>31</v>
      </c>
      <c r="J9776" s="6">
        <v>17.285937392192999</v>
      </c>
      <c r="K9776" s="6">
        <v>-96.794229496593005</v>
      </c>
      <c r="L9776" s="6" t="str">
        <f>HYPERLINK("https://maps.google.com/?q=17.2859373921934,-96.794229496592607", "🔗 Ver Mapa")</f>
        <v>🔗 Ver Mapa</v>
      </c>
    </row>
    <row r="9777" spans="1:12" ht="43.5" x14ac:dyDescent="0.35">
      <c r="A9777" s="5" t="s">
        <v>98</v>
      </c>
      <c r="B9777" s="5" t="s">
        <v>99</v>
      </c>
      <c r="C9777" s="5" t="s">
        <v>1693</v>
      </c>
      <c r="D9777" s="5" t="s">
        <v>14</v>
      </c>
      <c r="E9777" s="5" t="s">
        <v>52</v>
      </c>
      <c r="F9777" s="5" t="s">
        <v>83</v>
      </c>
      <c r="G9777" s="5" t="s">
        <v>1668</v>
      </c>
      <c r="H9777" s="5" t="s">
        <v>1669</v>
      </c>
      <c r="I9777" s="5" t="s">
        <v>31</v>
      </c>
      <c r="J9777" s="5">
        <v>17.286434237883</v>
      </c>
      <c r="K9777" s="5">
        <v>-96.794079292888</v>
      </c>
      <c r="L9777" s="5" t="str">
        <f>HYPERLINK("https://maps.google.com/?q=17.2864342378833,-96.794079292887801", "🔗 Ver Mapa")</f>
        <v>🔗 Ver Mapa</v>
      </c>
    </row>
    <row r="9778" spans="1:12" ht="43.5" x14ac:dyDescent="0.35">
      <c r="A9778" s="6" t="s">
        <v>98</v>
      </c>
      <c r="B9778" s="6" t="s">
        <v>99</v>
      </c>
      <c r="C9778" s="6" t="s">
        <v>1693</v>
      </c>
      <c r="D9778" s="6" t="s">
        <v>14</v>
      </c>
      <c r="E9778" s="6" t="s">
        <v>52</v>
      </c>
      <c r="F9778" s="6" t="s">
        <v>83</v>
      </c>
      <c r="G9778" s="6" t="s">
        <v>1668</v>
      </c>
      <c r="H9778" s="6" t="s">
        <v>1669</v>
      </c>
      <c r="I9778" s="6" t="s">
        <v>31</v>
      </c>
      <c r="J9778" s="6">
        <v>17.288109052180001</v>
      </c>
      <c r="K9778" s="6">
        <v>-96.798048721396995</v>
      </c>
      <c r="L9778" s="6" t="str">
        <f>HYPERLINK("https://maps.google.com/?q=17.2881090521796,-96.798048721397095", "🔗 Ver Mapa")</f>
        <v>🔗 Ver Mapa</v>
      </c>
    </row>
    <row r="9779" spans="1:12" ht="43.5" x14ac:dyDescent="0.35">
      <c r="A9779" s="5" t="s">
        <v>98</v>
      </c>
      <c r="B9779" s="5" t="s">
        <v>99</v>
      </c>
      <c r="C9779" s="5" t="s">
        <v>1693</v>
      </c>
      <c r="D9779" s="5" t="s">
        <v>14</v>
      </c>
      <c r="E9779" s="5" t="s">
        <v>52</v>
      </c>
      <c r="F9779" s="5" t="s">
        <v>83</v>
      </c>
      <c r="G9779" s="5" t="s">
        <v>1668</v>
      </c>
      <c r="H9779" s="5" t="s">
        <v>1669</v>
      </c>
      <c r="I9779" s="5" t="s">
        <v>31</v>
      </c>
      <c r="J9779" s="5">
        <v>17.288533494307998</v>
      </c>
      <c r="K9779" s="5">
        <v>-96.798346779013997</v>
      </c>
      <c r="L9779" s="5" t="str">
        <f>HYPERLINK("https://maps.google.com/?q=17.2885334943081,-96.798346779014395", "🔗 Ver Mapa")</f>
        <v>🔗 Ver Mapa</v>
      </c>
    </row>
    <row r="9780" spans="1:12" ht="43.5" x14ac:dyDescent="0.35">
      <c r="A9780" s="6" t="s">
        <v>98</v>
      </c>
      <c r="B9780" s="6" t="s">
        <v>99</v>
      </c>
      <c r="C9780" s="6" t="s">
        <v>1694</v>
      </c>
      <c r="D9780" s="6" t="s">
        <v>14</v>
      </c>
      <c r="E9780" s="6" t="s">
        <v>52</v>
      </c>
      <c r="F9780" s="6" t="s">
        <v>421</v>
      </c>
      <c r="G9780" s="6" t="s">
        <v>422</v>
      </c>
      <c r="H9780" s="6" t="s">
        <v>1695</v>
      </c>
      <c r="I9780" s="6" t="s">
        <v>31</v>
      </c>
      <c r="J9780" s="6">
        <v>16.638644972415999</v>
      </c>
      <c r="K9780" s="6">
        <v>-96.751933932208999</v>
      </c>
      <c r="L9780" s="6" t="str">
        <f>HYPERLINK("https://maps.google.com/?q=16.6386449724159,-96.751933932209099", "🔗 Ver Mapa")</f>
        <v>🔗 Ver Mapa</v>
      </c>
    </row>
    <row r="9781" spans="1:12" ht="43.5" x14ac:dyDescent="0.35">
      <c r="A9781" s="5" t="s">
        <v>98</v>
      </c>
      <c r="B9781" s="5" t="s">
        <v>99</v>
      </c>
      <c r="C9781" s="5" t="s">
        <v>1694</v>
      </c>
      <c r="D9781" s="5" t="s">
        <v>14</v>
      </c>
      <c r="E9781" s="5" t="s">
        <v>52</v>
      </c>
      <c r="F9781" s="5" t="s">
        <v>421</v>
      </c>
      <c r="G9781" s="5" t="s">
        <v>422</v>
      </c>
      <c r="H9781" s="5" t="s">
        <v>1695</v>
      </c>
      <c r="I9781" s="5" t="s">
        <v>31</v>
      </c>
      <c r="J9781" s="5">
        <v>16.639035592709</v>
      </c>
      <c r="K9781" s="5">
        <v>-96.751744835582002</v>
      </c>
      <c r="L9781" s="5" t="str">
        <f>HYPERLINK("https://maps.google.com/?q=16.6390355927092,-96.751744835582102", "🔗 Ver Mapa")</f>
        <v>🔗 Ver Mapa</v>
      </c>
    </row>
    <row r="9782" spans="1:12" ht="43.5" x14ac:dyDescent="0.35">
      <c r="A9782" s="6" t="s">
        <v>98</v>
      </c>
      <c r="B9782" s="6" t="s">
        <v>99</v>
      </c>
      <c r="C9782" s="6" t="s">
        <v>1694</v>
      </c>
      <c r="D9782" s="6" t="s">
        <v>14</v>
      </c>
      <c r="E9782" s="6" t="s">
        <v>52</v>
      </c>
      <c r="F9782" s="6" t="s">
        <v>421</v>
      </c>
      <c r="G9782" s="6" t="s">
        <v>422</v>
      </c>
      <c r="H9782" s="6" t="s">
        <v>1695</v>
      </c>
      <c r="I9782" s="6" t="s">
        <v>31</v>
      </c>
      <c r="J9782" s="6">
        <v>16.639267412294998</v>
      </c>
      <c r="K9782" s="6">
        <v>-96.752195720000003</v>
      </c>
      <c r="L9782" s="6" t="str">
        <f>HYPERLINK("https://maps.google.com/?q=16.6392674122952,-96.752195720000003", "🔗 Ver Mapa")</f>
        <v>🔗 Ver Mapa</v>
      </c>
    </row>
    <row r="9783" spans="1:12" ht="43.5" x14ac:dyDescent="0.35">
      <c r="A9783" s="5" t="s">
        <v>98</v>
      </c>
      <c r="B9783" s="5" t="s">
        <v>99</v>
      </c>
      <c r="C9783" s="5" t="s">
        <v>1694</v>
      </c>
      <c r="D9783" s="5" t="s">
        <v>14</v>
      </c>
      <c r="E9783" s="5" t="s">
        <v>52</v>
      </c>
      <c r="F9783" s="5" t="s">
        <v>421</v>
      </c>
      <c r="G9783" s="5" t="s">
        <v>422</v>
      </c>
      <c r="H9783" s="5" t="s">
        <v>1695</v>
      </c>
      <c r="I9783" s="5" t="s">
        <v>31</v>
      </c>
      <c r="J9783" s="5">
        <v>16.639480192286999</v>
      </c>
      <c r="K9783" s="5">
        <v>-96.751294226626996</v>
      </c>
      <c r="L9783" s="5" t="str">
        <f>HYPERLINK("https://maps.google.com/?q=16.6394801922867,-96.751294226627095", "🔗 Ver Mapa")</f>
        <v>🔗 Ver Mapa</v>
      </c>
    </row>
    <row r="9784" spans="1:12" ht="43.5" x14ac:dyDescent="0.35">
      <c r="A9784" s="6" t="s">
        <v>98</v>
      </c>
      <c r="B9784" s="6" t="s">
        <v>99</v>
      </c>
      <c r="C9784" s="6" t="s">
        <v>1694</v>
      </c>
      <c r="D9784" s="6" t="s">
        <v>14</v>
      </c>
      <c r="E9784" s="6" t="s">
        <v>52</v>
      </c>
      <c r="F9784" s="6" t="s">
        <v>421</v>
      </c>
      <c r="G9784" s="6" t="s">
        <v>422</v>
      </c>
      <c r="H9784" s="6" t="s">
        <v>1695</v>
      </c>
      <c r="I9784" s="6" t="s">
        <v>31</v>
      </c>
      <c r="J9784" s="6">
        <v>16.639499642823001</v>
      </c>
      <c r="K9784" s="6">
        <v>-96.753213766626999</v>
      </c>
      <c r="L9784" s="6" t="str">
        <f>HYPERLINK("https://maps.google.com/?q=16.639499642823,-96.753213766627098", "🔗 Ver Mapa")</f>
        <v>🔗 Ver Mapa</v>
      </c>
    </row>
    <row r="9785" spans="1:12" ht="43.5" x14ac:dyDescent="0.35">
      <c r="A9785" s="5" t="s">
        <v>98</v>
      </c>
      <c r="B9785" s="5" t="s">
        <v>99</v>
      </c>
      <c r="C9785" s="5" t="s">
        <v>1694</v>
      </c>
      <c r="D9785" s="5" t="s">
        <v>14</v>
      </c>
      <c r="E9785" s="5" t="s">
        <v>52</v>
      </c>
      <c r="F9785" s="5" t="s">
        <v>421</v>
      </c>
      <c r="G9785" s="5" t="s">
        <v>422</v>
      </c>
      <c r="H9785" s="5" t="s">
        <v>1695</v>
      </c>
      <c r="I9785" s="5" t="s">
        <v>31</v>
      </c>
      <c r="J9785" s="5">
        <v>16.639756632497001</v>
      </c>
      <c r="K9785" s="5">
        <v>-96.752300472209001</v>
      </c>
      <c r="L9785" s="5" t="str">
        <f>HYPERLINK("https://maps.google.com/?q=16.6397566324972,-96.7523004722091", "🔗 Ver Mapa")</f>
        <v>🔗 Ver Mapa</v>
      </c>
    </row>
    <row r="9786" spans="1:12" ht="43.5" x14ac:dyDescent="0.35">
      <c r="A9786" s="6" t="s">
        <v>98</v>
      </c>
      <c r="B9786" s="6" t="s">
        <v>99</v>
      </c>
      <c r="C9786" s="6" t="s">
        <v>1694</v>
      </c>
      <c r="D9786" s="6" t="s">
        <v>14</v>
      </c>
      <c r="E9786" s="6" t="s">
        <v>52</v>
      </c>
      <c r="F9786" s="6" t="s">
        <v>421</v>
      </c>
      <c r="G9786" s="6" t="s">
        <v>422</v>
      </c>
      <c r="H9786" s="6" t="s">
        <v>1695</v>
      </c>
      <c r="I9786" s="6" t="s">
        <v>31</v>
      </c>
      <c r="J9786" s="6">
        <v>16.639939102721002</v>
      </c>
      <c r="K9786" s="6">
        <v>-96.753031376627007</v>
      </c>
      <c r="L9786" s="6" t="str">
        <f>HYPERLINK("https://maps.google.com/?q=16.6399391027214,-96.753031376626893", "🔗 Ver Mapa")</f>
        <v>🔗 Ver Mapa</v>
      </c>
    </row>
    <row r="9787" spans="1:12" ht="43.5" x14ac:dyDescent="0.35">
      <c r="A9787" s="5" t="s">
        <v>98</v>
      </c>
      <c r="B9787" s="5" t="s">
        <v>99</v>
      </c>
      <c r="C9787" s="5" t="s">
        <v>1694</v>
      </c>
      <c r="D9787" s="5" t="s">
        <v>14</v>
      </c>
      <c r="E9787" s="5" t="s">
        <v>52</v>
      </c>
      <c r="F9787" s="5" t="s">
        <v>421</v>
      </c>
      <c r="G9787" s="5" t="s">
        <v>422</v>
      </c>
      <c r="H9787" s="5" t="s">
        <v>1695</v>
      </c>
      <c r="I9787" s="5" t="s">
        <v>31</v>
      </c>
      <c r="J9787" s="5">
        <v>16.640140652376001</v>
      </c>
      <c r="K9787" s="5">
        <v>-96.751012592208994</v>
      </c>
      <c r="L9787" s="5" t="str">
        <f>HYPERLINK("https://maps.google.com/?q=16.6401406523762,-96.751012592208994", "🔗 Ver Mapa")</f>
        <v>🔗 Ver Mapa</v>
      </c>
    </row>
    <row r="9788" spans="1:12" ht="43.5" x14ac:dyDescent="0.35">
      <c r="A9788" s="6" t="s">
        <v>98</v>
      </c>
      <c r="B9788" s="6" t="s">
        <v>99</v>
      </c>
      <c r="C9788" s="6" t="s">
        <v>1694</v>
      </c>
      <c r="D9788" s="6" t="s">
        <v>14</v>
      </c>
      <c r="E9788" s="6" t="s">
        <v>52</v>
      </c>
      <c r="F9788" s="6" t="s">
        <v>421</v>
      </c>
      <c r="G9788" s="6" t="s">
        <v>422</v>
      </c>
      <c r="H9788" s="6" t="s">
        <v>1695</v>
      </c>
      <c r="I9788" s="6" t="s">
        <v>31</v>
      </c>
      <c r="J9788" s="6">
        <v>16.640180173146</v>
      </c>
      <c r="K9788" s="6">
        <v>-96.751931519440006</v>
      </c>
      <c r="L9788" s="6" t="str">
        <f>HYPERLINK("https://maps.google.com/?q=16.6401801731463,-96.751931519440404", "🔗 Ver Mapa")</f>
        <v>🔗 Ver Mapa</v>
      </c>
    </row>
    <row r="9789" spans="1:12" ht="43.5" x14ac:dyDescent="0.35">
      <c r="A9789" s="5" t="s">
        <v>98</v>
      </c>
      <c r="B9789" s="5" t="s">
        <v>99</v>
      </c>
      <c r="C9789" s="5" t="s">
        <v>1694</v>
      </c>
      <c r="D9789" s="5" t="s">
        <v>14</v>
      </c>
      <c r="E9789" s="5" t="s">
        <v>52</v>
      </c>
      <c r="F9789" s="5" t="s">
        <v>421</v>
      </c>
      <c r="G9789" s="5" t="s">
        <v>422</v>
      </c>
      <c r="H9789" s="5" t="s">
        <v>1695</v>
      </c>
      <c r="I9789" s="5" t="s">
        <v>31</v>
      </c>
      <c r="J9789" s="5">
        <v>16.640221978433001</v>
      </c>
      <c r="K9789" s="5">
        <v>-96.752595615434004</v>
      </c>
      <c r="L9789" s="5" t="str">
        <f>HYPERLINK("https://maps.google.com/?q=16.6402219784326,-96.752595615433705", "🔗 Ver Mapa")</f>
        <v>🔗 Ver Mapa</v>
      </c>
    </row>
    <row r="9790" spans="1:12" ht="43.5" x14ac:dyDescent="0.35">
      <c r="A9790" s="6" t="s">
        <v>98</v>
      </c>
      <c r="B9790" s="6" t="s">
        <v>99</v>
      </c>
      <c r="C9790" s="6" t="s">
        <v>1694</v>
      </c>
      <c r="D9790" s="6" t="s">
        <v>14</v>
      </c>
      <c r="E9790" s="6" t="s">
        <v>52</v>
      </c>
      <c r="F9790" s="6" t="s">
        <v>421</v>
      </c>
      <c r="G9790" s="6" t="s">
        <v>422</v>
      </c>
      <c r="H9790" s="6" t="s">
        <v>1695</v>
      </c>
      <c r="I9790" s="6" t="s">
        <v>31</v>
      </c>
      <c r="J9790" s="6">
        <v>16.640456932608</v>
      </c>
      <c r="K9790" s="6">
        <v>-96.753044785582006</v>
      </c>
      <c r="L9790" s="6" t="str">
        <f>HYPERLINK("https://maps.google.com/?q=16.6404569326082,-96.753044785582006", "🔗 Ver Mapa")</f>
        <v>🔗 Ver Mapa</v>
      </c>
    </row>
    <row r="9791" spans="1:12" ht="43.5" x14ac:dyDescent="0.35">
      <c r="A9791" s="5" t="s">
        <v>98</v>
      </c>
      <c r="B9791" s="5" t="s">
        <v>99</v>
      </c>
      <c r="C9791" s="5" t="s">
        <v>1694</v>
      </c>
      <c r="D9791" s="5" t="s">
        <v>14</v>
      </c>
      <c r="E9791" s="5" t="s">
        <v>52</v>
      </c>
      <c r="F9791" s="5" t="s">
        <v>421</v>
      </c>
      <c r="G9791" s="5" t="s">
        <v>422</v>
      </c>
      <c r="H9791" s="5" t="s">
        <v>1695</v>
      </c>
      <c r="I9791" s="5" t="s">
        <v>31</v>
      </c>
      <c r="J9791" s="5">
        <v>16.640789232608</v>
      </c>
      <c r="K9791" s="5">
        <v>-96.751684752209002</v>
      </c>
      <c r="L9791" s="5" t="str">
        <f>HYPERLINK("https://maps.google.com/?q=16.6407892326083,-96.751684752209101", "🔗 Ver Mapa")</f>
        <v>🔗 Ver Mapa</v>
      </c>
    </row>
    <row r="9792" spans="1:12" ht="43.5" x14ac:dyDescent="0.35">
      <c r="A9792" s="6" t="s">
        <v>98</v>
      </c>
      <c r="B9792" s="6" t="s">
        <v>99</v>
      </c>
      <c r="C9792" s="6" t="s">
        <v>1694</v>
      </c>
      <c r="D9792" s="6" t="s">
        <v>14</v>
      </c>
      <c r="E9792" s="6" t="s">
        <v>52</v>
      </c>
      <c r="F9792" s="6" t="s">
        <v>421</v>
      </c>
      <c r="G9792" s="6" t="s">
        <v>422</v>
      </c>
      <c r="H9792" s="6" t="s">
        <v>1695</v>
      </c>
      <c r="I9792" s="6" t="s">
        <v>31</v>
      </c>
      <c r="J9792" s="6">
        <v>16.640955172607999</v>
      </c>
      <c r="K9792" s="6">
        <v>-96.752688095582002</v>
      </c>
      <c r="L9792" s="6" t="str">
        <f>HYPERLINK("https://maps.google.com/?q=16.6409551726082,-96.752688095582002", "🔗 Ver Mapa")</f>
        <v>🔗 Ver Mapa</v>
      </c>
    </row>
    <row r="9793" spans="1:12" ht="43.5" x14ac:dyDescent="0.35">
      <c r="A9793" s="5" t="s">
        <v>98</v>
      </c>
      <c r="B9793" s="5" t="s">
        <v>99</v>
      </c>
      <c r="C9793" s="5" t="s">
        <v>1694</v>
      </c>
      <c r="D9793" s="5" t="s">
        <v>14</v>
      </c>
      <c r="E9793" s="5" t="s">
        <v>52</v>
      </c>
      <c r="F9793" s="5" t="s">
        <v>421</v>
      </c>
      <c r="G9793" s="5" t="s">
        <v>422</v>
      </c>
      <c r="H9793" s="5" t="s">
        <v>1695</v>
      </c>
      <c r="I9793" s="5" t="s">
        <v>31</v>
      </c>
      <c r="J9793" s="5">
        <v>16.640966005008998</v>
      </c>
      <c r="K9793" s="5">
        <v>-96.749495805878993</v>
      </c>
      <c r="L9793" s="5" t="str">
        <f>HYPERLINK("https://maps.google.com/?q=16.6409660050095,-96.749495805879207", "🔗 Ver Mapa")</f>
        <v>🔗 Ver Mapa</v>
      </c>
    </row>
    <row r="9794" spans="1:12" ht="43.5" x14ac:dyDescent="0.35">
      <c r="A9794" s="6" t="s">
        <v>98</v>
      </c>
      <c r="B9794" s="6" t="s">
        <v>99</v>
      </c>
      <c r="C9794" s="6" t="s">
        <v>1694</v>
      </c>
      <c r="D9794" s="6" t="s">
        <v>14</v>
      </c>
      <c r="E9794" s="6" t="s">
        <v>52</v>
      </c>
      <c r="F9794" s="6" t="s">
        <v>421</v>
      </c>
      <c r="G9794" s="6" t="s">
        <v>422</v>
      </c>
      <c r="H9794" s="6" t="s">
        <v>1695</v>
      </c>
      <c r="I9794" s="6" t="s">
        <v>31</v>
      </c>
      <c r="J9794" s="6">
        <v>16.641072865057001</v>
      </c>
      <c r="K9794" s="6">
        <v>-96.750626054681007</v>
      </c>
      <c r="L9794" s="6" t="str">
        <f>HYPERLINK("https://maps.google.com/?q=16.6410728650565,-96.750626054680794", "🔗 Ver Mapa")</f>
        <v>🔗 Ver Mapa</v>
      </c>
    </row>
    <row r="9795" spans="1:12" ht="43.5" x14ac:dyDescent="0.35">
      <c r="A9795" s="5" t="s">
        <v>98</v>
      </c>
      <c r="B9795" s="5" t="s">
        <v>99</v>
      </c>
      <c r="C9795" s="5" t="s">
        <v>1694</v>
      </c>
      <c r="D9795" s="5" t="s">
        <v>14</v>
      </c>
      <c r="E9795" s="5" t="s">
        <v>52</v>
      </c>
      <c r="F9795" s="5" t="s">
        <v>421</v>
      </c>
      <c r="G9795" s="5" t="s">
        <v>422</v>
      </c>
      <c r="H9795" s="5" t="s">
        <v>1695</v>
      </c>
      <c r="I9795" s="5" t="s">
        <v>31</v>
      </c>
      <c r="J9795" s="5">
        <v>16.641285952739999</v>
      </c>
      <c r="K9795" s="5">
        <v>-96.749169918836003</v>
      </c>
      <c r="L9795" s="5" t="str">
        <f>HYPERLINK("https://maps.google.com/?q=16.6412859527398,-96.749169918836103", "🔗 Ver Mapa")</f>
        <v>🔗 Ver Mapa</v>
      </c>
    </row>
    <row r="9796" spans="1:12" ht="43.5" x14ac:dyDescent="0.35">
      <c r="A9796" s="6" t="s">
        <v>98</v>
      </c>
      <c r="B9796" s="6" t="s">
        <v>99</v>
      </c>
      <c r="C9796" s="6" t="s">
        <v>1694</v>
      </c>
      <c r="D9796" s="6" t="s">
        <v>14</v>
      </c>
      <c r="E9796" s="6" t="s">
        <v>52</v>
      </c>
      <c r="F9796" s="6" t="s">
        <v>421</v>
      </c>
      <c r="G9796" s="6" t="s">
        <v>422</v>
      </c>
      <c r="H9796" s="6" t="s">
        <v>1695</v>
      </c>
      <c r="I9796" s="6" t="s">
        <v>31</v>
      </c>
      <c r="J9796" s="6">
        <v>16.641286692870999</v>
      </c>
      <c r="K9796" s="6">
        <v>-96.752728334417995</v>
      </c>
      <c r="L9796" s="6" t="str">
        <f>HYPERLINK("https://maps.google.com/?q=16.6412866928712,-96.752728334417995", "🔗 Ver Mapa")</f>
        <v>🔗 Ver Mapa</v>
      </c>
    </row>
    <row r="9797" spans="1:12" ht="43.5" x14ac:dyDescent="0.35">
      <c r="A9797" s="5" t="s">
        <v>98</v>
      </c>
      <c r="B9797" s="5" t="s">
        <v>99</v>
      </c>
      <c r="C9797" s="5" t="s">
        <v>1694</v>
      </c>
      <c r="D9797" s="5" t="s">
        <v>14</v>
      </c>
      <c r="E9797" s="5" t="s">
        <v>52</v>
      </c>
      <c r="F9797" s="5" t="s">
        <v>421</v>
      </c>
      <c r="G9797" s="5" t="s">
        <v>422</v>
      </c>
      <c r="H9797" s="5" t="s">
        <v>1695</v>
      </c>
      <c r="I9797" s="5" t="s">
        <v>31</v>
      </c>
      <c r="J9797" s="5">
        <v>16.641309083663</v>
      </c>
      <c r="K9797" s="5">
        <v>-96.749859246176001</v>
      </c>
      <c r="L9797" s="5" t="str">
        <f>HYPERLINK("https://maps.google.com/?q=16.6413090836627,-96.749859246175902", "🔗 Ver Mapa")</f>
        <v>🔗 Ver Mapa</v>
      </c>
    </row>
    <row r="9798" spans="1:12" ht="43.5" x14ac:dyDescent="0.35">
      <c r="A9798" s="6" t="s">
        <v>98</v>
      </c>
      <c r="B9798" s="6" t="s">
        <v>99</v>
      </c>
      <c r="C9798" s="6" t="s">
        <v>1694</v>
      </c>
      <c r="D9798" s="6" t="s">
        <v>14</v>
      </c>
      <c r="E9798" s="6" t="s">
        <v>52</v>
      </c>
      <c r="F9798" s="6" t="s">
        <v>421</v>
      </c>
      <c r="G9798" s="6" t="s">
        <v>422</v>
      </c>
      <c r="H9798" s="6" t="s">
        <v>1695</v>
      </c>
      <c r="I9798" s="6" t="s">
        <v>31</v>
      </c>
      <c r="J9798" s="6">
        <v>16.641376329172001</v>
      </c>
      <c r="K9798" s="6">
        <v>-96.751721234656003</v>
      </c>
      <c r="L9798" s="6" t="str">
        <f>HYPERLINK("https://maps.google.com/?q=16.6413763291725,-96.751721234655804", "🔗 Ver Mapa")</f>
        <v>🔗 Ver Mapa</v>
      </c>
    </row>
    <row r="9799" spans="1:12" ht="43.5" x14ac:dyDescent="0.35">
      <c r="A9799" s="5" t="s">
        <v>98</v>
      </c>
      <c r="B9799" s="5" t="s">
        <v>99</v>
      </c>
      <c r="C9799" s="5" t="s">
        <v>1694</v>
      </c>
      <c r="D9799" s="5" t="s">
        <v>14</v>
      </c>
      <c r="E9799" s="5" t="s">
        <v>52</v>
      </c>
      <c r="F9799" s="5" t="s">
        <v>421</v>
      </c>
      <c r="G9799" s="5" t="s">
        <v>422</v>
      </c>
      <c r="H9799" s="5" t="s">
        <v>1695</v>
      </c>
      <c r="I9799" s="5" t="s">
        <v>31</v>
      </c>
      <c r="J9799" s="5">
        <v>16.641832782470001</v>
      </c>
      <c r="K9799" s="5">
        <v>-96.75280343</v>
      </c>
      <c r="L9799" s="5" t="str">
        <f>HYPERLINK("https://maps.google.com/?q=16.6418327824698,-96.7528034300001", "🔗 Ver Mapa")</f>
        <v>🔗 Ver Mapa</v>
      </c>
    </row>
    <row r="9800" spans="1:12" ht="43.5" x14ac:dyDescent="0.35">
      <c r="A9800" s="6" t="s">
        <v>98</v>
      </c>
      <c r="B9800" s="6" t="s">
        <v>99</v>
      </c>
      <c r="C9800" s="6" t="s">
        <v>1694</v>
      </c>
      <c r="D9800" s="6" t="s">
        <v>14</v>
      </c>
      <c r="E9800" s="6" t="s">
        <v>52</v>
      </c>
      <c r="F9800" s="6" t="s">
        <v>421</v>
      </c>
      <c r="G9800" s="6" t="s">
        <v>422</v>
      </c>
      <c r="H9800" s="6" t="s">
        <v>1695</v>
      </c>
      <c r="I9800" s="6" t="s">
        <v>31</v>
      </c>
      <c r="J9800" s="6">
        <v>16.641858497289</v>
      </c>
      <c r="K9800" s="6">
        <v>-96.752192084594995</v>
      </c>
      <c r="L9800" s="6" t="str">
        <f>HYPERLINK("https://maps.google.com/?q=16.6418584972888,-96.752192084594597", "🔗 Ver Mapa")</f>
        <v>🔗 Ver Mapa</v>
      </c>
    </row>
    <row r="9801" spans="1:12" ht="43.5" x14ac:dyDescent="0.35">
      <c r="A9801" s="5" t="s">
        <v>98</v>
      </c>
      <c r="B9801" s="5" t="s">
        <v>99</v>
      </c>
      <c r="C9801" s="5" t="s">
        <v>1694</v>
      </c>
      <c r="D9801" s="5" t="s">
        <v>14</v>
      </c>
      <c r="E9801" s="5" t="s">
        <v>52</v>
      </c>
      <c r="F9801" s="5" t="s">
        <v>421</v>
      </c>
      <c r="G9801" s="5" t="s">
        <v>422</v>
      </c>
      <c r="H9801" s="5" t="s">
        <v>1695</v>
      </c>
      <c r="I9801" s="5" t="s">
        <v>31</v>
      </c>
      <c r="J9801" s="5">
        <v>16.641968802889998</v>
      </c>
      <c r="K9801" s="5">
        <v>-96.751874268955007</v>
      </c>
      <c r="L9801" s="5" t="str">
        <f>HYPERLINK("https://maps.google.com/?q=16.6419688028896,-96.751874268955007", "🔗 Ver Mapa")</f>
        <v>🔗 Ver Mapa</v>
      </c>
    </row>
    <row r="9802" spans="1:12" ht="43.5" x14ac:dyDescent="0.35">
      <c r="A9802" s="6" t="s">
        <v>98</v>
      </c>
      <c r="B9802" s="6" t="s">
        <v>99</v>
      </c>
      <c r="C9802" s="6" t="s">
        <v>1694</v>
      </c>
      <c r="D9802" s="6" t="s">
        <v>14</v>
      </c>
      <c r="E9802" s="6" t="s">
        <v>52</v>
      </c>
      <c r="F9802" s="6" t="s">
        <v>421</v>
      </c>
      <c r="G9802" s="6" t="s">
        <v>422</v>
      </c>
      <c r="H9802" s="6" t="s">
        <v>1695</v>
      </c>
      <c r="I9802" s="6" t="s">
        <v>31</v>
      </c>
      <c r="J9802" s="6">
        <v>16.642010082466999</v>
      </c>
      <c r="K9802" s="6">
        <v>-96.752462510000001</v>
      </c>
      <c r="L9802" s="6" t="str">
        <f>HYPERLINK("https://maps.google.com/?q=16.6420100824674,-96.752462509999702", "🔗 Ver Mapa")</f>
        <v>🔗 Ver Mapa</v>
      </c>
    </row>
    <row r="9803" spans="1:12" ht="43.5" x14ac:dyDescent="0.35">
      <c r="A9803" s="5" t="s">
        <v>98</v>
      </c>
      <c r="B9803" s="5" t="s">
        <v>99</v>
      </c>
      <c r="C9803" s="5" t="s">
        <v>1694</v>
      </c>
      <c r="D9803" s="5" t="s">
        <v>14</v>
      </c>
      <c r="E9803" s="5" t="s">
        <v>52</v>
      </c>
      <c r="F9803" s="5" t="s">
        <v>421</v>
      </c>
      <c r="G9803" s="5" t="s">
        <v>422</v>
      </c>
      <c r="H9803" s="5" t="s">
        <v>1695</v>
      </c>
      <c r="I9803" s="5" t="s">
        <v>31</v>
      </c>
      <c r="J9803" s="5">
        <v>16.642107792750998</v>
      </c>
      <c r="K9803" s="5">
        <v>-96.750416417910003</v>
      </c>
      <c r="L9803" s="5" t="str">
        <f>HYPERLINK("https://maps.google.com/?q=16.6421077927509,-96.750416417909904", "🔗 Ver Mapa")</f>
        <v>🔗 Ver Mapa</v>
      </c>
    </row>
    <row r="9804" spans="1:12" ht="43.5" x14ac:dyDescent="0.35">
      <c r="A9804" s="6" t="s">
        <v>98</v>
      </c>
      <c r="B9804" s="6" t="s">
        <v>99</v>
      </c>
      <c r="C9804" s="6" t="s">
        <v>1694</v>
      </c>
      <c r="D9804" s="6" t="s">
        <v>14</v>
      </c>
      <c r="E9804" s="6" t="s">
        <v>52</v>
      </c>
      <c r="F9804" s="6" t="s">
        <v>421</v>
      </c>
      <c r="G9804" s="6" t="s">
        <v>422</v>
      </c>
      <c r="H9804" s="6" t="s">
        <v>1695</v>
      </c>
      <c r="I9804" s="6" t="s">
        <v>31</v>
      </c>
      <c r="J9804" s="6">
        <v>16.642230932753002</v>
      </c>
      <c r="K9804" s="6">
        <v>-96.752188087790998</v>
      </c>
      <c r="L9804" s="6" t="str">
        <f>HYPERLINK("https://maps.google.com/?q=16.6422309327525,-96.752188087791097", "🔗 Ver Mapa")</f>
        <v>🔗 Ver Mapa</v>
      </c>
    </row>
    <row r="9805" spans="1:12" ht="43.5" x14ac:dyDescent="0.35">
      <c r="A9805" s="5" t="s">
        <v>98</v>
      </c>
      <c r="B9805" s="5" t="s">
        <v>99</v>
      </c>
      <c r="C9805" s="5" t="s">
        <v>1694</v>
      </c>
      <c r="D9805" s="5" t="s">
        <v>14</v>
      </c>
      <c r="E9805" s="5" t="s">
        <v>52</v>
      </c>
      <c r="F9805" s="5" t="s">
        <v>421</v>
      </c>
      <c r="G9805" s="5" t="s">
        <v>422</v>
      </c>
      <c r="H9805" s="5" t="s">
        <v>1695</v>
      </c>
      <c r="I9805" s="5" t="s">
        <v>31</v>
      </c>
      <c r="J9805" s="5">
        <v>16.642368146729002</v>
      </c>
      <c r="K9805" s="5">
        <v>-96.748860941168005</v>
      </c>
      <c r="L9805" s="5" t="str">
        <f>HYPERLINK("https://maps.google.com/?q=16.642368146729,-96.748860941168005", "🔗 Ver Mapa")</f>
        <v>🔗 Ver Mapa</v>
      </c>
    </row>
    <row r="9806" spans="1:12" ht="43.5" x14ac:dyDescent="0.35">
      <c r="A9806" s="6" t="s">
        <v>98</v>
      </c>
      <c r="B9806" s="6" t="s">
        <v>99</v>
      </c>
      <c r="C9806" s="6" t="s">
        <v>1694</v>
      </c>
      <c r="D9806" s="6" t="s">
        <v>14</v>
      </c>
      <c r="E9806" s="6" t="s">
        <v>52</v>
      </c>
      <c r="F9806" s="6" t="s">
        <v>421</v>
      </c>
      <c r="G9806" s="6" t="s">
        <v>422</v>
      </c>
      <c r="H9806" s="6" t="s">
        <v>1695</v>
      </c>
      <c r="I9806" s="6" t="s">
        <v>31</v>
      </c>
      <c r="J9806" s="6">
        <v>16.642547237896999</v>
      </c>
      <c r="K9806" s="6">
        <v>-96.750781198336</v>
      </c>
      <c r="L9806" s="6" t="str">
        <f>HYPERLINK("https://maps.google.com/?q=16.6425472378973,-96.750781198336", "🔗 Ver Mapa")</f>
        <v>🔗 Ver Mapa</v>
      </c>
    </row>
    <row r="9807" spans="1:12" ht="43.5" x14ac:dyDescent="0.35">
      <c r="A9807" s="5" t="s">
        <v>98</v>
      </c>
      <c r="B9807" s="5" t="s">
        <v>99</v>
      </c>
      <c r="C9807" s="5" t="s">
        <v>1694</v>
      </c>
      <c r="D9807" s="5" t="s">
        <v>14</v>
      </c>
      <c r="E9807" s="5" t="s">
        <v>52</v>
      </c>
      <c r="F9807" s="5" t="s">
        <v>421</v>
      </c>
      <c r="G9807" s="5" t="s">
        <v>422</v>
      </c>
      <c r="H9807" s="5" t="s">
        <v>1695</v>
      </c>
      <c r="I9807" s="5" t="s">
        <v>31</v>
      </c>
      <c r="J9807" s="5">
        <v>16.642793946872999</v>
      </c>
      <c r="K9807" s="5">
        <v>-96.749824987519006</v>
      </c>
      <c r="L9807" s="5" t="str">
        <f>HYPERLINK("https://maps.google.com/?q=16.6427939468727,-96.749824987518593", "🔗 Ver Mapa")</f>
        <v>🔗 Ver Mapa</v>
      </c>
    </row>
    <row r="9808" spans="1:12" ht="43.5" x14ac:dyDescent="0.35">
      <c r="A9808" s="6" t="s">
        <v>98</v>
      </c>
      <c r="B9808" s="6" t="s">
        <v>99</v>
      </c>
      <c r="C9808" s="6" t="s">
        <v>1694</v>
      </c>
      <c r="D9808" s="6" t="s">
        <v>14</v>
      </c>
      <c r="E9808" s="6" t="s">
        <v>52</v>
      </c>
      <c r="F9808" s="6" t="s">
        <v>421</v>
      </c>
      <c r="G9808" s="6" t="s">
        <v>422</v>
      </c>
      <c r="H9808" s="6" t="s">
        <v>1695</v>
      </c>
      <c r="I9808" s="6" t="s">
        <v>31</v>
      </c>
      <c r="J9808" s="6">
        <v>16.642950294334</v>
      </c>
      <c r="K9808" s="6">
        <v>-96.749751130416001</v>
      </c>
      <c r="L9808" s="6" t="str">
        <f>HYPERLINK("https://maps.google.com/?q=16.6429502943339,-96.749751130416101", "🔗 Ver Mapa")</f>
        <v>🔗 Ver Mapa</v>
      </c>
    </row>
    <row r="9809" spans="1:12" ht="43.5" x14ac:dyDescent="0.35">
      <c r="A9809" s="5" t="s">
        <v>98</v>
      </c>
      <c r="B9809" s="5" t="s">
        <v>99</v>
      </c>
      <c r="C9809" s="5" t="s">
        <v>1694</v>
      </c>
      <c r="D9809" s="5" t="s">
        <v>14</v>
      </c>
      <c r="E9809" s="5" t="s">
        <v>52</v>
      </c>
      <c r="F9809" s="5" t="s">
        <v>421</v>
      </c>
      <c r="G9809" s="5" t="s">
        <v>422</v>
      </c>
      <c r="H9809" s="5" t="s">
        <v>1695</v>
      </c>
      <c r="I9809" s="5" t="s">
        <v>31</v>
      </c>
      <c r="J9809" s="5">
        <v>16.642978312762999</v>
      </c>
      <c r="K9809" s="5">
        <v>-96.752197632209004</v>
      </c>
      <c r="L9809" s="5" t="str">
        <f>HYPERLINK("https://maps.google.com/?q=16.6429783127627,-96.752197632209104", "🔗 Ver Mapa")</f>
        <v>🔗 Ver Mapa</v>
      </c>
    </row>
    <row r="9810" spans="1:12" ht="43.5" x14ac:dyDescent="0.35">
      <c r="A9810" s="6" t="s">
        <v>98</v>
      </c>
      <c r="B9810" s="6" t="s">
        <v>99</v>
      </c>
      <c r="C9810" s="6" t="s">
        <v>1694</v>
      </c>
      <c r="D9810" s="6" t="s">
        <v>14</v>
      </c>
      <c r="E9810" s="6" t="s">
        <v>52</v>
      </c>
      <c r="F9810" s="6" t="s">
        <v>421</v>
      </c>
      <c r="G9810" s="6" t="s">
        <v>422</v>
      </c>
      <c r="H9810" s="6" t="s">
        <v>1695</v>
      </c>
      <c r="I9810" s="6" t="s">
        <v>31</v>
      </c>
      <c r="J9810" s="6">
        <v>16.642983542763002</v>
      </c>
      <c r="K9810" s="6">
        <v>-96.752956027791001</v>
      </c>
      <c r="L9810" s="6" t="str">
        <f>HYPERLINK("https://maps.google.com/?q=16.6429835427628,-96.752956027790603", "🔗 Ver Mapa")</f>
        <v>🔗 Ver Mapa</v>
      </c>
    </row>
    <row r="9811" spans="1:12" ht="43.5" x14ac:dyDescent="0.35">
      <c r="A9811" s="5" t="s">
        <v>98</v>
      </c>
      <c r="B9811" s="5" t="s">
        <v>99</v>
      </c>
      <c r="C9811" s="5" t="s">
        <v>1694</v>
      </c>
      <c r="D9811" s="5" t="s">
        <v>14</v>
      </c>
      <c r="E9811" s="5" t="s">
        <v>52</v>
      </c>
      <c r="F9811" s="5" t="s">
        <v>421</v>
      </c>
      <c r="G9811" s="5" t="s">
        <v>422</v>
      </c>
      <c r="H9811" s="5" t="s">
        <v>1695</v>
      </c>
      <c r="I9811" s="5" t="s">
        <v>31</v>
      </c>
      <c r="J9811" s="5">
        <v>16.643006833072</v>
      </c>
      <c r="K9811" s="5">
        <v>-96.750974551164006</v>
      </c>
      <c r="L9811" s="5" t="str">
        <f>HYPERLINK("https://maps.google.com/?q=16.6430068330721,-96.750974551164106", "🔗 Ver Mapa")</f>
        <v>🔗 Ver Mapa</v>
      </c>
    </row>
    <row r="9812" spans="1:12" ht="43.5" x14ac:dyDescent="0.35">
      <c r="A9812" s="6" t="s">
        <v>98</v>
      </c>
      <c r="B9812" s="6" t="s">
        <v>99</v>
      </c>
      <c r="C9812" s="6" t="s">
        <v>1694</v>
      </c>
      <c r="D9812" s="6" t="s">
        <v>14</v>
      </c>
      <c r="E9812" s="6" t="s">
        <v>52</v>
      </c>
      <c r="F9812" s="6" t="s">
        <v>421</v>
      </c>
      <c r="G9812" s="6" t="s">
        <v>422</v>
      </c>
      <c r="H9812" s="6" t="s">
        <v>1695</v>
      </c>
      <c r="I9812" s="6" t="s">
        <v>31</v>
      </c>
      <c r="J9812" s="6">
        <v>16.643527071963</v>
      </c>
      <c r="K9812" s="6">
        <v>-96.752868857791</v>
      </c>
      <c r="L9812" s="6" t="str">
        <f>HYPERLINK("https://maps.google.com/?q=16.6435270719632,-96.752868857791", "🔗 Ver Mapa")</f>
        <v>🔗 Ver Mapa</v>
      </c>
    </row>
    <row r="9813" spans="1:12" ht="43.5" x14ac:dyDescent="0.35">
      <c r="A9813" s="5" t="s">
        <v>98</v>
      </c>
      <c r="B9813" s="5" t="s">
        <v>99</v>
      </c>
      <c r="C9813" s="5" t="s">
        <v>1694</v>
      </c>
      <c r="D9813" s="5" t="s">
        <v>14</v>
      </c>
      <c r="E9813" s="5" t="s">
        <v>52</v>
      </c>
      <c r="F9813" s="5" t="s">
        <v>421</v>
      </c>
      <c r="G9813" s="5" t="s">
        <v>422</v>
      </c>
      <c r="H9813" s="5" t="s">
        <v>1695</v>
      </c>
      <c r="I9813" s="5" t="s">
        <v>31</v>
      </c>
      <c r="J9813" s="5">
        <v>16.643569173256999</v>
      </c>
      <c r="K9813" s="5">
        <v>-96.752508722328002</v>
      </c>
      <c r="L9813" s="5" t="str">
        <f>HYPERLINK("https://maps.google.com/?q=16.643569173257,-96.752508722327903", "🔗 Ver Mapa")</f>
        <v>🔗 Ver Mapa</v>
      </c>
    </row>
    <row r="9814" spans="1:12" ht="43.5" x14ac:dyDescent="0.35">
      <c r="A9814" s="6" t="s">
        <v>98</v>
      </c>
      <c r="B9814" s="6" t="s">
        <v>99</v>
      </c>
      <c r="C9814" s="6" t="s">
        <v>1694</v>
      </c>
      <c r="D9814" s="6" t="s">
        <v>14</v>
      </c>
      <c r="E9814" s="6" t="s">
        <v>52</v>
      </c>
      <c r="F9814" s="6" t="s">
        <v>421</v>
      </c>
      <c r="G9814" s="6" t="s">
        <v>422</v>
      </c>
      <c r="H9814" s="6" t="s">
        <v>1695</v>
      </c>
      <c r="I9814" s="6" t="s">
        <v>31</v>
      </c>
      <c r="J9814" s="6">
        <v>16.644049042946001</v>
      </c>
      <c r="K9814" s="6">
        <v>-96.751538827790995</v>
      </c>
      <c r="L9814" s="6" t="str">
        <f>HYPERLINK("https://maps.google.com/?q=16.6440490429458,-96.751538827790995", "🔗 Ver Mapa")</f>
        <v>🔗 Ver Mapa</v>
      </c>
    </row>
    <row r="9815" spans="1:12" ht="43.5" x14ac:dyDescent="0.35">
      <c r="A9815" s="5" t="s">
        <v>98</v>
      </c>
      <c r="B9815" s="5" t="s">
        <v>99</v>
      </c>
      <c r="C9815" s="5" t="s">
        <v>1694</v>
      </c>
      <c r="D9815" s="5" t="s">
        <v>14</v>
      </c>
      <c r="E9815" s="5" t="s">
        <v>52</v>
      </c>
      <c r="F9815" s="5" t="s">
        <v>421</v>
      </c>
      <c r="G9815" s="5" t="s">
        <v>422</v>
      </c>
      <c r="H9815" s="5" t="s">
        <v>1695</v>
      </c>
      <c r="I9815" s="5" t="s">
        <v>31</v>
      </c>
      <c r="J9815" s="5">
        <v>16.644429382435</v>
      </c>
      <c r="K9815" s="5">
        <v>-96.750380108955</v>
      </c>
      <c r="L9815" s="5" t="str">
        <f>HYPERLINK("https://maps.google.com/?q=16.6444293824353,-96.750380108954801", "🔗 Ver Mapa")</f>
        <v>🔗 Ver Mapa</v>
      </c>
    </row>
    <row r="9816" spans="1:12" ht="43.5" x14ac:dyDescent="0.35">
      <c r="A9816" s="6" t="s">
        <v>98</v>
      </c>
      <c r="B9816" s="6" t="s">
        <v>99</v>
      </c>
      <c r="C9816" s="6" t="s">
        <v>1694</v>
      </c>
      <c r="D9816" s="6" t="s">
        <v>14</v>
      </c>
      <c r="E9816" s="6" t="s">
        <v>52</v>
      </c>
      <c r="F9816" s="6" t="s">
        <v>421</v>
      </c>
      <c r="G9816" s="6" t="s">
        <v>422</v>
      </c>
      <c r="H9816" s="6" t="s">
        <v>1695</v>
      </c>
      <c r="I9816" s="6" t="s">
        <v>31</v>
      </c>
      <c r="J9816" s="6">
        <v>16.644503903133</v>
      </c>
      <c r="K9816" s="6">
        <v>-96.751426174418</v>
      </c>
      <c r="L9816" s="6" t="str">
        <f>HYPERLINK("https://maps.google.com/?q=16.6445039031326,-96.751426174418", "🔗 Ver Mapa")</f>
        <v>🔗 Ver Mapa</v>
      </c>
    </row>
    <row r="9817" spans="1:12" ht="43.5" x14ac:dyDescent="0.35">
      <c r="A9817" s="5" t="s">
        <v>98</v>
      </c>
      <c r="B9817" s="5" t="s">
        <v>99</v>
      </c>
      <c r="C9817" s="5" t="s">
        <v>1694</v>
      </c>
      <c r="D9817" s="5" t="s">
        <v>14</v>
      </c>
      <c r="E9817" s="5" t="s">
        <v>52</v>
      </c>
      <c r="F9817" s="5" t="s">
        <v>421</v>
      </c>
      <c r="G9817" s="5" t="s">
        <v>422</v>
      </c>
      <c r="H9817" s="5" t="s">
        <v>1695</v>
      </c>
      <c r="I9817" s="5" t="s">
        <v>31</v>
      </c>
      <c r="J9817" s="5">
        <v>16.645282562424001</v>
      </c>
      <c r="K9817" s="5">
        <v>-96.751407394417996</v>
      </c>
      <c r="L9817" s="5" t="str">
        <f>HYPERLINK("https://maps.google.com/?q=16.6452825624241,-96.751407394418095", "🔗 Ver Mapa")</f>
        <v>🔗 Ver Mapa</v>
      </c>
    </row>
    <row r="9818" spans="1:12" ht="43.5" x14ac:dyDescent="0.35">
      <c r="A9818" s="6" t="s">
        <v>98</v>
      </c>
      <c r="B9818" s="6" t="s">
        <v>99</v>
      </c>
      <c r="C9818" s="6" t="s">
        <v>1696</v>
      </c>
      <c r="D9818" s="6" t="s">
        <v>14</v>
      </c>
      <c r="E9818" s="6" t="s">
        <v>52</v>
      </c>
      <c r="F9818" s="6" t="s">
        <v>421</v>
      </c>
      <c r="G9818" s="6" t="s">
        <v>422</v>
      </c>
      <c r="H9818" s="6" t="s">
        <v>1697</v>
      </c>
      <c r="I9818" s="6" t="s">
        <v>31</v>
      </c>
      <c r="J9818" s="6">
        <v>16.631273362497002</v>
      </c>
      <c r="K9818" s="6">
        <v>-96.849918309242</v>
      </c>
      <c r="L9818" s="6" t="str">
        <f>HYPERLINK("https://maps.google.com/?q=16.6312733624975,-96.849918309242199", "🔗 Ver Mapa")</f>
        <v>🔗 Ver Mapa</v>
      </c>
    </row>
    <row r="9819" spans="1:12" ht="43.5" x14ac:dyDescent="0.35">
      <c r="A9819" s="5" t="s">
        <v>98</v>
      </c>
      <c r="B9819" s="5" t="s">
        <v>99</v>
      </c>
      <c r="C9819" s="5" t="s">
        <v>1696</v>
      </c>
      <c r="D9819" s="5" t="s">
        <v>14</v>
      </c>
      <c r="E9819" s="5" t="s">
        <v>52</v>
      </c>
      <c r="F9819" s="5" t="s">
        <v>421</v>
      </c>
      <c r="G9819" s="5" t="s">
        <v>422</v>
      </c>
      <c r="H9819" s="5" t="s">
        <v>1697</v>
      </c>
      <c r="I9819" s="5" t="s">
        <v>31</v>
      </c>
      <c r="J9819" s="5">
        <v>16.631702552486999</v>
      </c>
      <c r="K9819" s="5">
        <v>-96.851111892253996</v>
      </c>
      <c r="L9819" s="5" t="str">
        <f>HYPERLINK("https://maps.google.com/?q=16.6317025524875,-96.851111892253698", "🔗 Ver Mapa")</f>
        <v>🔗 Ver Mapa</v>
      </c>
    </row>
    <row r="9820" spans="1:12" ht="43.5" x14ac:dyDescent="0.35">
      <c r="A9820" s="6" t="s">
        <v>98</v>
      </c>
      <c r="B9820" s="6" t="s">
        <v>99</v>
      </c>
      <c r="C9820" s="6" t="s">
        <v>1696</v>
      </c>
      <c r="D9820" s="6" t="s">
        <v>14</v>
      </c>
      <c r="E9820" s="6" t="s">
        <v>52</v>
      </c>
      <c r="F9820" s="6" t="s">
        <v>421</v>
      </c>
      <c r="G9820" s="6" t="s">
        <v>422</v>
      </c>
      <c r="H9820" s="6" t="s">
        <v>1697</v>
      </c>
      <c r="I9820" s="6" t="s">
        <v>31</v>
      </c>
      <c r="J9820" s="6">
        <v>16.631754492239001</v>
      </c>
      <c r="K9820" s="6">
        <v>-96.851467534937001</v>
      </c>
      <c r="L9820" s="6" t="str">
        <f>HYPERLINK("https://maps.google.com/?q=16.6317544922387,-96.851467534937299", "🔗 Ver Mapa")</f>
        <v>🔗 Ver Mapa</v>
      </c>
    </row>
    <row r="9821" spans="1:12" ht="43.5" x14ac:dyDescent="0.35">
      <c r="A9821" s="5" t="s">
        <v>98</v>
      </c>
      <c r="B9821" s="5" t="s">
        <v>99</v>
      </c>
      <c r="C9821" s="5" t="s">
        <v>1696</v>
      </c>
      <c r="D9821" s="5" t="s">
        <v>14</v>
      </c>
      <c r="E9821" s="5" t="s">
        <v>52</v>
      </c>
      <c r="F9821" s="5" t="s">
        <v>421</v>
      </c>
      <c r="G9821" s="5" t="s">
        <v>422</v>
      </c>
      <c r="H9821" s="5" t="s">
        <v>1697</v>
      </c>
      <c r="I9821" s="5" t="s">
        <v>31</v>
      </c>
      <c r="J9821" s="5">
        <v>16.631788642402999</v>
      </c>
      <c r="K9821" s="5">
        <v>-96.851052877360004</v>
      </c>
      <c r="L9821" s="5" t="str">
        <f>HYPERLINK("https://maps.google.com/?q=16.6317886424034,-96.851052877360203", "🔗 Ver Mapa")</f>
        <v>🔗 Ver Mapa</v>
      </c>
    </row>
    <row r="9822" spans="1:12" ht="43.5" x14ac:dyDescent="0.35">
      <c r="A9822" s="6" t="s">
        <v>98</v>
      </c>
      <c r="B9822" s="6" t="s">
        <v>99</v>
      </c>
      <c r="C9822" s="6" t="s">
        <v>1696</v>
      </c>
      <c r="D9822" s="6" t="s">
        <v>14</v>
      </c>
      <c r="E9822" s="6" t="s">
        <v>52</v>
      </c>
      <c r="F9822" s="6" t="s">
        <v>421</v>
      </c>
      <c r="G9822" s="6" t="s">
        <v>422</v>
      </c>
      <c r="H9822" s="6" t="s">
        <v>1697</v>
      </c>
      <c r="I9822" s="6" t="s">
        <v>31</v>
      </c>
      <c r="J9822" s="6">
        <v>16.631847787619002</v>
      </c>
      <c r="K9822" s="6">
        <v>-96.851230089891999</v>
      </c>
      <c r="L9822" s="6" t="str">
        <f>HYPERLINK("https://maps.google.com/?q=16.6318477876192,-96.851230089892198", "🔗 Ver Mapa")</f>
        <v>🔗 Ver Mapa</v>
      </c>
    </row>
    <row r="9823" spans="1:12" ht="43.5" x14ac:dyDescent="0.35">
      <c r="A9823" s="5" t="s">
        <v>98</v>
      </c>
      <c r="B9823" s="5" t="s">
        <v>99</v>
      </c>
      <c r="C9823" s="5" t="s">
        <v>1696</v>
      </c>
      <c r="D9823" s="5" t="s">
        <v>14</v>
      </c>
      <c r="E9823" s="5" t="s">
        <v>52</v>
      </c>
      <c r="F9823" s="5" t="s">
        <v>421</v>
      </c>
      <c r="G9823" s="5" t="s">
        <v>422</v>
      </c>
      <c r="H9823" s="5" t="s">
        <v>1697</v>
      </c>
      <c r="I9823" s="5" t="s">
        <v>31</v>
      </c>
      <c r="J9823" s="5">
        <v>16.632024341667002</v>
      </c>
      <c r="K9823" s="5">
        <v>-96.851526543535002</v>
      </c>
      <c r="L9823" s="5" t="str">
        <f>HYPERLINK("https://maps.google.com/?q=16.6320243416674,-96.851526543535499", "🔗 Ver Mapa")</f>
        <v>🔗 Ver Mapa</v>
      </c>
    </row>
    <row r="9824" spans="1:12" ht="43.5" x14ac:dyDescent="0.35">
      <c r="A9824" s="6" t="s">
        <v>98</v>
      </c>
      <c r="B9824" s="6" t="s">
        <v>99</v>
      </c>
      <c r="C9824" s="6" t="s">
        <v>1696</v>
      </c>
      <c r="D9824" s="6" t="s">
        <v>14</v>
      </c>
      <c r="E9824" s="6" t="s">
        <v>52</v>
      </c>
      <c r="F9824" s="6" t="s">
        <v>421</v>
      </c>
      <c r="G9824" s="6" t="s">
        <v>422</v>
      </c>
      <c r="H9824" s="6" t="s">
        <v>1697</v>
      </c>
      <c r="I9824" s="6" t="s">
        <v>31</v>
      </c>
      <c r="J9824" s="6">
        <v>16.632039497788998</v>
      </c>
      <c r="K9824" s="6">
        <v>-96.851361471101001</v>
      </c>
      <c r="L9824" s="6" t="str">
        <f>HYPERLINK("https://maps.google.com/?q=16.6320394977892,-96.851361471100503", "🔗 Ver Mapa")</f>
        <v>🔗 Ver Mapa</v>
      </c>
    </row>
    <row r="9825" spans="1:12" ht="43.5" x14ac:dyDescent="0.35">
      <c r="A9825" s="5" t="s">
        <v>98</v>
      </c>
      <c r="B9825" s="5" t="s">
        <v>99</v>
      </c>
      <c r="C9825" s="5" t="s">
        <v>1696</v>
      </c>
      <c r="D9825" s="5" t="s">
        <v>14</v>
      </c>
      <c r="E9825" s="5" t="s">
        <v>52</v>
      </c>
      <c r="F9825" s="5" t="s">
        <v>421</v>
      </c>
      <c r="G9825" s="5" t="s">
        <v>422</v>
      </c>
      <c r="H9825" s="5" t="s">
        <v>1697</v>
      </c>
      <c r="I9825" s="5" t="s">
        <v>31</v>
      </c>
      <c r="J9825" s="5">
        <v>16.632238766267001</v>
      </c>
      <c r="K9825" s="5">
        <v>-96.852235196722006</v>
      </c>
      <c r="L9825" s="5" t="str">
        <f>HYPERLINK("https://maps.google.com/?q=16.632238766267,-96.8522351967216", "🔗 Ver Mapa")</f>
        <v>🔗 Ver Mapa</v>
      </c>
    </row>
    <row r="9826" spans="1:12" ht="43.5" x14ac:dyDescent="0.35">
      <c r="A9826" s="6" t="s">
        <v>98</v>
      </c>
      <c r="B9826" s="6" t="s">
        <v>99</v>
      </c>
      <c r="C9826" s="6" t="s">
        <v>1696</v>
      </c>
      <c r="D9826" s="6" t="s">
        <v>14</v>
      </c>
      <c r="E9826" s="6" t="s">
        <v>52</v>
      </c>
      <c r="F9826" s="6" t="s">
        <v>421</v>
      </c>
      <c r="G9826" s="6" t="s">
        <v>422</v>
      </c>
      <c r="H9826" s="6" t="s">
        <v>1697</v>
      </c>
      <c r="I9826" s="6" t="s">
        <v>31</v>
      </c>
      <c r="J9826" s="6">
        <v>16.632292360943001</v>
      </c>
      <c r="K9826" s="6">
        <v>-96.850807459687999</v>
      </c>
      <c r="L9826" s="6" t="str">
        <f>HYPERLINK("https://maps.google.com/?q=16.6322923609435,-96.850807459688397", "🔗 Ver Mapa")</f>
        <v>🔗 Ver Mapa</v>
      </c>
    </row>
    <row r="9827" spans="1:12" ht="43.5" x14ac:dyDescent="0.35">
      <c r="A9827" s="5" t="s">
        <v>98</v>
      </c>
      <c r="B9827" s="5" t="s">
        <v>99</v>
      </c>
      <c r="C9827" s="5" t="s">
        <v>1696</v>
      </c>
      <c r="D9827" s="5" t="s">
        <v>14</v>
      </c>
      <c r="E9827" s="5" t="s">
        <v>52</v>
      </c>
      <c r="F9827" s="5" t="s">
        <v>421</v>
      </c>
      <c r="G9827" s="5" t="s">
        <v>422</v>
      </c>
      <c r="H9827" s="5" t="s">
        <v>1697</v>
      </c>
      <c r="I9827" s="5" t="s">
        <v>31</v>
      </c>
      <c r="J9827" s="5">
        <v>16.632419232707999</v>
      </c>
      <c r="K9827" s="5">
        <v>-96.850140671093996</v>
      </c>
      <c r="L9827" s="5" t="str">
        <f>HYPERLINK("https://maps.google.com/?q=16.6324192327083,-96.850140671094493", "🔗 Ver Mapa")</f>
        <v>🔗 Ver Mapa</v>
      </c>
    </row>
    <row r="9828" spans="1:12" ht="43.5" x14ac:dyDescent="0.35">
      <c r="A9828" s="6" t="s">
        <v>98</v>
      </c>
      <c r="B9828" s="6" t="s">
        <v>99</v>
      </c>
      <c r="C9828" s="6" t="s">
        <v>1696</v>
      </c>
      <c r="D9828" s="6" t="s">
        <v>14</v>
      </c>
      <c r="E9828" s="6" t="s">
        <v>52</v>
      </c>
      <c r="F9828" s="6" t="s">
        <v>421</v>
      </c>
      <c r="G9828" s="6" t="s">
        <v>422</v>
      </c>
      <c r="H9828" s="6" t="s">
        <v>1697</v>
      </c>
      <c r="I9828" s="6" t="s">
        <v>31</v>
      </c>
      <c r="J9828" s="6">
        <v>16.632439792606998</v>
      </c>
      <c r="K9828" s="6">
        <v>-96.850583235581993</v>
      </c>
      <c r="L9828" s="6" t="str">
        <f>HYPERLINK("https://maps.google.com/?q=16.6324397926069,-96.850583235582107", "🔗 Ver Mapa")</f>
        <v>🔗 Ver Mapa</v>
      </c>
    </row>
    <row r="9829" spans="1:12" ht="43.5" x14ac:dyDescent="0.35">
      <c r="A9829" s="5" t="s">
        <v>98</v>
      </c>
      <c r="B9829" s="5" t="s">
        <v>99</v>
      </c>
      <c r="C9829" s="5" t="s">
        <v>1696</v>
      </c>
      <c r="D9829" s="5" t="s">
        <v>14</v>
      </c>
      <c r="E9829" s="5" t="s">
        <v>52</v>
      </c>
      <c r="F9829" s="5" t="s">
        <v>421</v>
      </c>
      <c r="G9829" s="5" t="s">
        <v>422</v>
      </c>
      <c r="H9829" s="5" t="s">
        <v>1697</v>
      </c>
      <c r="I9829" s="5" t="s">
        <v>31</v>
      </c>
      <c r="J9829" s="5">
        <v>16.632476900035002</v>
      </c>
      <c r="K9829" s="5">
        <v>-96.850707158594005</v>
      </c>
      <c r="L9829" s="5" t="str">
        <f>HYPERLINK("https://maps.google.com/?q=16.6324769000346,-96.850707158594105", "🔗 Ver Mapa")</f>
        <v>🔗 Ver Mapa</v>
      </c>
    </row>
    <row r="9830" spans="1:12" ht="43.5" x14ac:dyDescent="0.35">
      <c r="A9830" s="6" t="s">
        <v>98</v>
      </c>
      <c r="B9830" s="6" t="s">
        <v>99</v>
      </c>
      <c r="C9830" s="6" t="s">
        <v>1696</v>
      </c>
      <c r="D9830" s="6" t="s">
        <v>14</v>
      </c>
      <c r="E9830" s="6" t="s">
        <v>52</v>
      </c>
      <c r="F9830" s="6" t="s">
        <v>421</v>
      </c>
      <c r="G9830" s="6" t="s">
        <v>422</v>
      </c>
      <c r="H9830" s="6" t="s">
        <v>1697</v>
      </c>
      <c r="I9830" s="6" t="s">
        <v>31</v>
      </c>
      <c r="J9830" s="6">
        <v>16.632500905055998</v>
      </c>
      <c r="K9830" s="6">
        <v>-96.852178870331997</v>
      </c>
      <c r="L9830" s="6" t="str">
        <f>HYPERLINK("https://maps.google.com/?q=16.6325009050555,-96.8521788703323", "🔗 Ver Mapa")</f>
        <v>🔗 Ver Mapa</v>
      </c>
    </row>
    <row r="9831" spans="1:12" ht="43.5" x14ac:dyDescent="0.35">
      <c r="A9831" s="5" t="s">
        <v>98</v>
      </c>
      <c r="B9831" s="5" t="s">
        <v>99</v>
      </c>
      <c r="C9831" s="5" t="s">
        <v>1696</v>
      </c>
      <c r="D9831" s="5" t="s">
        <v>14</v>
      </c>
      <c r="E9831" s="5" t="s">
        <v>52</v>
      </c>
      <c r="F9831" s="5" t="s">
        <v>421</v>
      </c>
      <c r="G9831" s="5" t="s">
        <v>422</v>
      </c>
      <c r="H9831" s="5" t="s">
        <v>1697</v>
      </c>
      <c r="I9831" s="5" t="s">
        <v>31</v>
      </c>
      <c r="J9831" s="5">
        <v>16.632542782579002</v>
      </c>
      <c r="K9831" s="5">
        <v>-96.849915935582004</v>
      </c>
      <c r="L9831" s="5" t="str">
        <f>HYPERLINK("https://maps.google.com/?q=16.6325427825786,-96.849915935582104", "🔗 Ver Mapa")</f>
        <v>🔗 Ver Mapa</v>
      </c>
    </row>
    <row r="9832" spans="1:12" ht="43.5" x14ac:dyDescent="0.35">
      <c r="A9832" s="6" t="s">
        <v>98</v>
      </c>
      <c r="B9832" s="6" t="s">
        <v>99</v>
      </c>
      <c r="C9832" s="6" t="s">
        <v>1696</v>
      </c>
      <c r="D9832" s="6" t="s">
        <v>14</v>
      </c>
      <c r="E9832" s="6" t="s">
        <v>52</v>
      </c>
      <c r="F9832" s="6" t="s">
        <v>421</v>
      </c>
      <c r="G9832" s="6" t="s">
        <v>422</v>
      </c>
      <c r="H9832" s="6" t="s">
        <v>1697</v>
      </c>
      <c r="I9832" s="6" t="s">
        <v>31</v>
      </c>
      <c r="J9832" s="6">
        <v>16.632595562592002</v>
      </c>
      <c r="K9832" s="6">
        <v>-96.850616582209</v>
      </c>
      <c r="L9832" s="6" t="str">
        <f>HYPERLINK("https://maps.google.com/?q=16.632595562592,-96.8506165822089", "🔗 Ver Mapa")</f>
        <v>🔗 Ver Mapa</v>
      </c>
    </row>
    <row r="9833" spans="1:12" ht="43.5" x14ac:dyDescent="0.35">
      <c r="A9833" s="5" t="s">
        <v>98</v>
      </c>
      <c r="B9833" s="5" t="s">
        <v>99</v>
      </c>
      <c r="C9833" s="5" t="s">
        <v>1696</v>
      </c>
      <c r="D9833" s="5" t="s">
        <v>14</v>
      </c>
      <c r="E9833" s="5" t="s">
        <v>52</v>
      </c>
      <c r="F9833" s="5" t="s">
        <v>421</v>
      </c>
      <c r="G9833" s="5" t="s">
        <v>422</v>
      </c>
      <c r="H9833" s="5" t="s">
        <v>1697</v>
      </c>
      <c r="I9833" s="5" t="s">
        <v>31</v>
      </c>
      <c r="J9833" s="5">
        <v>16.632663652312999</v>
      </c>
      <c r="K9833" s="5">
        <v>-96.849730089594004</v>
      </c>
      <c r="L9833" s="5" t="str">
        <f>HYPERLINK("https://maps.google.com/?q=16.6326636523126,-96.849730089593805", "🔗 Ver Mapa")</f>
        <v>🔗 Ver Mapa</v>
      </c>
    </row>
    <row r="9834" spans="1:12" ht="43.5" x14ac:dyDescent="0.35">
      <c r="A9834" s="6" t="s">
        <v>98</v>
      </c>
      <c r="B9834" s="6" t="s">
        <v>99</v>
      </c>
      <c r="C9834" s="6" t="s">
        <v>1696</v>
      </c>
      <c r="D9834" s="6" t="s">
        <v>14</v>
      </c>
      <c r="E9834" s="6" t="s">
        <v>52</v>
      </c>
      <c r="F9834" s="6" t="s">
        <v>421</v>
      </c>
      <c r="G9834" s="6" t="s">
        <v>422</v>
      </c>
      <c r="H9834" s="6" t="s">
        <v>1697</v>
      </c>
      <c r="I9834" s="6" t="s">
        <v>31</v>
      </c>
      <c r="J9834" s="6">
        <v>16.632699332329999</v>
      </c>
      <c r="K9834" s="6">
        <v>-96.849927429999994</v>
      </c>
      <c r="L9834" s="6" t="str">
        <f>HYPERLINK("https://maps.google.com/?q=16.6326993323298,-96.849927430000093", "🔗 Ver Mapa")</f>
        <v>🔗 Ver Mapa</v>
      </c>
    </row>
    <row r="9835" spans="1:12" ht="43.5" x14ac:dyDescent="0.35">
      <c r="A9835" s="5" t="s">
        <v>98</v>
      </c>
      <c r="B9835" s="5" t="s">
        <v>99</v>
      </c>
      <c r="C9835" s="5" t="s">
        <v>1696</v>
      </c>
      <c r="D9835" s="5" t="s">
        <v>14</v>
      </c>
      <c r="E9835" s="5" t="s">
        <v>52</v>
      </c>
      <c r="F9835" s="5" t="s">
        <v>421</v>
      </c>
      <c r="G9835" s="5" t="s">
        <v>422</v>
      </c>
      <c r="H9835" s="5" t="s">
        <v>1697</v>
      </c>
      <c r="I9835" s="5" t="s">
        <v>31</v>
      </c>
      <c r="J9835" s="5">
        <v>16.632705556556001</v>
      </c>
      <c r="K9835" s="5">
        <v>-96.850309262492999</v>
      </c>
      <c r="L9835" s="5" t="str">
        <f>HYPERLINK("https://maps.google.com/?q=16.6327055565558,-96.850309262493397", "🔗 Ver Mapa")</f>
        <v>🔗 Ver Mapa</v>
      </c>
    </row>
    <row r="9836" spans="1:12" ht="43.5" x14ac:dyDescent="0.35">
      <c r="A9836" s="6" t="s">
        <v>98</v>
      </c>
      <c r="B9836" s="6" t="s">
        <v>99</v>
      </c>
      <c r="C9836" s="6" t="s">
        <v>1696</v>
      </c>
      <c r="D9836" s="6" t="s">
        <v>14</v>
      </c>
      <c r="E9836" s="6" t="s">
        <v>52</v>
      </c>
      <c r="F9836" s="6" t="s">
        <v>421</v>
      </c>
      <c r="G9836" s="6" t="s">
        <v>422</v>
      </c>
      <c r="H9836" s="6" t="s">
        <v>1697</v>
      </c>
      <c r="I9836" s="6" t="s">
        <v>31</v>
      </c>
      <c r="J9836" s="6">
        <v>16.632777712572</v>
      </c>
      <c r="K9836" s="6">
        <v>-96.851108774417995</v>
      </c>
      <c r="L9836" s="6" t="str">
        <f>HYPERLINK("https://maps.google.com/?q=16.6327777125724,-96.851108774417995", "🔗 Ver Mapa")</f>
        <v>🔗 Ver Mapa</v>
      </c>
    </row>
    <row r="9837" spans="1:12" ht="43.5" x14ac:dyDescent="0.35">
      <c r="A9837" s="5" t="s">
        <v>98</v>
      </c>
      <c r="B9837" s="5" t="s">
        <v>99</v>
      </c>
      <c r="C9837" s="5" t="s">
        <v>1696</v>
      </c>
      <c r="D9837" s="5" t="s">
        <v>14</v>
      </c>
      <c r="E9837" s="5" t="s">
        <v>52</v>
      </c>
      <c r="F9837" s="5" t="s">
        <v>421</v>
      </c>
      <c r="G9837" s="5" t="s">
        <v>422</v>
      </c>
      <c r="H9837" s="5" t="s">
        <v>1697</v>
      </c>
      <c r="I9837" s="5" t="s">
        <v>31</v>
      </c>
      <c r="J9837" s="5">
        <v>16.632825480809</v>
      </c>
      <c r="K9837" s="5">
        <v>-96.850224389619001</v>
      </c>
      <c r="L9837" s="5" t="str">
        <f>HYPERLINK("https://maps.google.com/?q=16.632825480809,-96.8502243896191", "🔗 Ver Mapa")</f>
        <v>🔗 Ver Mapa</v>
      </c>
    </row>
    <row r="9838" spans="1:12" ht="43.5" x14ac:dyDescent="0.35">
      <c r="A9838" s="6" t="s">
        <v>98</v>
      </c>
      <c r="B9838" s="6" t="s">
        <v>99</v>
      </c>
      <c r="C9838" s="6" t="s">
        <v>1696</v>
      </c>
      <c r="D9838" s="6" t="s">
        <v>14</v>
      </c>
      <c r="E9838" s="6" t="s">
        <v>52</v>
      </c>
      <c r="F9838" s="6" t="s">
        <v>421</v>
      </c>
      <c r="G9838" s="6" t="s">
        <v>422</v>
      </c>
      <c r="H9838" s="6" t="s">
        <v>1697</v>
      </c>
      <c r="I9838" s="6" t="s">
        <v>31</v>
      </c>
      <c r="J9838" s="6">
        <v>16.632857567620999</v>
      </c>
      <c r="K9838" s="6">
        <v>-96.849659370357003</v>
      </c>
      <c r="L9838" s="6" t="str">
        <f>HYPERLINK("https://maps.google.com/?q=16.6328575676215,-96.849659370356804", "🔗 Ver Mapa")</f>
        <v>🔗 Ver Mapa</v>
      </c>
    </row>
    <row r="9839" spans="1:12" ht="43.5" x14ac:dyDescent="0.35">
      <c r="A9839" s="5" t="s">
        <v>98</v>
      </c>
      <c r="B9839" s="5" t="s">
        <v>99</v>
      </c>
      <c r="C9839" s="5" t="s">
        <v>1696</v>
      </c>
      <c r="D9839" s="5" t="s">
        <v>14</v>
      </c>
      <c r="E9839" s="5" t="s">
        <v>52</v>
      </c>
      <c r="F9839" s="5" t="s">
        <v>421</v>
      </c>
      <c r="G9839" s="5" t="s">
        <v>422</v>
      </c>
      <c r="H9839" s="5" t="s">
        <v>1697</v>
      </c>
      <c r="I9839" s="5" t="s">
        <v>31</v>
      </c>
      <c r="J9839" s="5">
        <v>16.632861392607001</v>
      </c>
      <c r="K9839" s="5">
        <v>-96.850530971164005</v>
      </c>
      <c r="L9839" s="5" t="str">
        <f>HYPERLINK("https://maps.google.com/?q=16.6328613926069,-96.850530971163906", "🔗 Ver Mapa")</f>
        <v>🔗 Ver Mapa</v>
      </c>
    </row>
    <row r="9840" spans="1:12" ht="43.5" x14ac:dyDescent="0.35">
      <c r="A9840" s="6" t="s">
        <v>98</v>
      </c>
      <c r="B9840" s="6" t="s">
        <v>99</v>
      </c>
      <c r="C9840" s="6" t="s">
        <v>1696</v>
      </c>
      <c r="D9840" s="6" t="s">
        <v>14</v>
      </c>
      <c r="E9840" s="6" t="s">
        <v>52</v>
      </c>
      <c r="F9840" s="6" t="s">
        <v>421</v>
      </c>
      <c r="G9840" s="6" t="s">
        <v>422</v>
      </c>
      <c r="H9840" s="6" t="s">
        <v>1697</v>
      </c>
      <c r="I9840" s="6" t="s">
        <v>31</v>
      </c>
      <c r="J9840" s="6">
        <v>16.632954392626999</v>
      </c>
      <c r="K9840" s="6">
        <v>-96.851256300000003</v>
      </c>
      <c r="L9840" s="6" t="str">
        <f>HYPERLINK("https://maps.google.com/?q=16.6329543926267,-96.851256300000102", "🔗 Ver Mapa")</f>
        <v>🔗 Ver Mapa</v>
      </c>
    </row>
    <row r="9841" spans="1:12" ht="43.5" x14ac:dyDescent="0.35">
      <c r="A9841" s="5" t="s">
        <v>98</v>
      </c>
      <c r="B9841" s="5" t="s">
        <v>99</v>
      </c>
      <c r="C9841" s="5" t="s">
        <v>1696</v>
      </c>
      <c r="D9841" s="5" t="s">
        <v>14</v>
      </c>
      <c r="E9841" s="5" t="s">
        <v>52</v>
      </c>
      <c r="F9841" s="5" t="s">
        <v>421</v>
      </c>
      <c r="G9841" s="5" t="s">
        <v>422</v>
      </c>
      <c r="H9841" s="5" t="s">
        <v>1697</v>
      </c>
      <c r="I9841" s="5" t="s">
        <v>31</v>
      </c>
      <c r="J9841" s="5">
        <v>16.633018310569</v>
      </c>
      <c r="K9841" s="5">
        <v>-96.849742364102994</v>
      </c>
      <c r="L9841" s="5" t="str">
        <f>HYPERLINK("https://maps.google.com/?q=16.6330183105694,-96.849742364102795", "🔗 Ver Mapa")</f>
        <v>🔗 Ver Mapa</v>
      </c>
    </row>
    <row r="9842" spans="1:12" ht="43.5" x14ac:dyDescent="0.35">
      <c r="A9842" s="6" t="s">
        <v>98</v>
      </c>
      <c r="B9842" s="6" t="s">
        <v>99</v>
      </c>
      <c r="C9842" s="6" t="s">
        <v>1696</v>
      </c>
      <c r="D9842" s="6" t="s">
        <v>14</v>
      </c>
      <c r="E9842" s="6" t="s">
        <v>52</v>
      </c>
      <c r="F9842" s="6" t="s">
        <v>421</v>
      </c>
      <c r="G9842" s="6" t="s">
        <v>422</v>
      </c>
      <c r="H9842" s="6" t="s">
        <v>1697</v>
      </c>
      <c r="I9842" s="6" t="s">
        <v>31</v>
      </c>
      <c r="J9842" s="6">
        <v>16.633106462607</v>
      </c>
      <c r="K9842" s="6">
        <v>-96.850076802209003</v>
      </c>
      <c r="L9842" s="6" t="str">
        <f>HYPERLINK("https://maps.google.com/?q=16.6331064626068,-96.850076802209003", "🔗 Ver Mapa")</f>
        <v>🔗 Ver Mapa</v>
      </c>
    </row>
    <row r="9843" spans="1:12" ht="43.5" x14ac:dyDescent="0.35">
      <c r="A9843" s="5" t="s">
        <v>98</v>
      </c>
      <c r="B9843" s="5" t="s">
        <v>99</v>
      </c>
      <c r="C9843" s="5" t="s">
        <v>1696</v>
      </c>
      <c r="D9843" s="5" t="s">
        <v>14</v>
      </c>
      <c r="E9843" s="5" t="s">
        <v>52</v>
      </c>
      <c r="F9843" s="5" t="s">
        <v>421</v>
      </c>
      <c r="G9843" s="5" t="s">
        <v>422</v>
      </c>
      <c r="H9843" s="5" t="s">
        <v>1697</v>
      </c>
      <c r="I9843" s="5" t="s">
        <v>31</v>
      </c>
      <c r="J9843" s="5">
        <v>16.633209652653001</v>
      </c>
      <c r="K9843" s="5">
        <v>-96.849894066627002</v>
      </c>
      <c r="L9843" s="5" t="str">
        <f>HYPERLINK("https://maps.google.com/?q=16.6332096526533,-96.849894066627101", "🔗 Ver Mapa")</f>
        <v>🔗 Ver Mapa</v>
      </c>
    </row>
    <row r="9844" spans="1:12" ht="43.5" x14ac:dyDescent="0.35">
      <c r="A9844" s="6" t="s">
        <v>98</v>
      </c>
      <c r="B9844" s="6" t="s">
        <v>99</v>
      </c>
      <c r="C9844" s="6" t="s">
        <v>1696</v>
      </c>
      <c r="D9844" s="6" t="s">
        <v>14</v>
      </c>
      <c r="E9844" s="6" t="s">
        <v>52</v>
      </c>
      <c r="F9844" s="6" t="s">
        <v>421</v>
      </c>
      <c r="G9844" s="6" t="s">
        <v>422</v>
      </c>
      <c r="H9844" s="6" t="s">
        <v>1697</v>
      </c>
      <c r="I9844" s="6" t="s">
        <v>31</v>
      </c>
      <c r="J9844" s="6">
        <v>16.633384622607</v>
      </c>
      <c r="K9844" s="6">
        <v>-96.851483920000007</v>
      </c>
      <c r="L9844" s="6" t="str">
        <f>HYPERLINK("https://maps.google.com/?q=16.633384622607,-96.851483919999893", "🔗 Ver Mapa")</f>
        <v>🔗 Ver Mapa</v>
      </c>
    </row>
    <row r="9845" spans="1:12" ht="43.5" x14ac:dyDescent="0.35">
      <c r="A9845" s="5" t="s">
        <v>98</v>
      </c>
      <c r="B9845" s="5" t="s">
        <v>99</v>
      </c>
      <c r="C9845" s="5" t="s">
        <v>1696</v>
      </c>
      <c r="D9845" s="5" t="s">
        <v>14</v>
      </c>
      <c r="E9845" s="5" t="s">
        <v>52</v>
      </c>
      <c r="F9845" s="5" t="s">
        <v>421</v>
      </c>
      <c r="G9845" s="5" t="s">
        <v>422</v>
      </c>
      <c r="H9845" s="5" t="s">
        <v>1697</v>
      </c>
      <c r="I9845" s="5" t="s">
        <v>31</v>
      </c>
      <c r="J9845" s="5">
        <v>16.633436212818001</v>
      </c>
      <c r="K9845" s="5">
        <v>-96.852010548954993</v>
      </c>
      <c r="L9845" s="5" t="str">
        <f>HYPERLINK("https://maps.google.com/?q=16.6334362128175,-96.852010548954993", "🔗 Ver Mapa")</f>
        <v>🔗 Ver Mapa</v>
      </c>
    </row>
    <row r="9846" spans="1:12" ht="43.5" x14ac:dyDescent="0.35">
      <c r="A9846" s="6" t="s">
        <v>98</v>
      </c>
      <c r="B9846" s="6" t="s">
        <v>99</v>
      </c>
      <c r="C9846" s="6" t="s">
        <v>1696</v>
      </c>
      <c r="D9846" s="6" t="s">
        <v>14</v>
      </c>
      <c r="E9846" s="6" t="s">
        <v>52</v>
      </c>
      <c r="F9846" s="6" t="s">
        <v>421</v>
      </c>
      <c r="G9846" s="6" t="s">
        <v>422</v>
      </c>
      <c r="H9846" s="6" t="s">
        <v>1697</v>
      </c>
      <c r="I9846" s="6" t="s">
        <v>31</v>
      </c>
      <c r="J9846" s="6">
        <v>16.633441152606999</v>
      </c>
      <c r="K9846" s="6">
        <v>-96.851693132208993</v>
      </c>
      <c r="L9846" s="6" t="str">
        <f>HYPERLINK("https://maps.google.com/?q=16.6334411526071,-96.851693132209107", "🔗 Ver Mapa")</f>
        <v>🔗 Ver Mapa</v>
      </c>
    </row>
    <row r="9847" spans="1:12" ht="43.5" x14ac:dyDescent="0.35">
      <c r="A9847" s="5" t="s">
        <v>98</v>
      </c>
      <c r="B9847" s="5" t="s">
        <v>99</v>
      </c>
      <c r="C9847" s="5" t="s">
        <v>1696</v>
      </c>
      <c r="D9847" s="5" t="s">
        <v>14</v>
      </c>
      <c r="E9847" s="5" t="s">
        <v>52</v>
      </c>
      <c r="F9847" s="5" t="s">
        <v>421</v>
      </c>
      <c r="G9847" s="5" t="s">
        <v>422</v>
      </c>
      <c r="H9847" s="5" t="s">
        <v>1697</v>
      </c>
      <c r="I9847" s="5" t="s">
        <v>31</v>
      </c>
      <c r="J9847" s="5">
        <v>16.633554612784</v>
      </c>
      <c r="K9847" s="5">
        <v>-96.852071911394006</v>
      </c>
      <c r="L9847" s="5" t="str">
        <f>HYPERLINK("https://maps.google.com/?q=16.6335546127838,-96.852071911393594", "🔗 Ver Mapa")</f>
        <v>🔗 Ver Mapa</v>
      </c>
    </row>
    <row r="9848" spans="1:12" ht="43.5" x14ac:dyDescent="0.35">
      <c r="A9848" s="6" t="s">
        <v>98</v>
      </c>
      <c r="B9848" s="6" t="s">
        <v>99</v>
      </c>
      <c r="C9848" s="6" t="s">
        <v>1696</v>
      </c>
      <c r="D9848" s="6" t="s">
        <v>14</v>
      </c>
      <c r="E9848" s="6" t="s">
        <v>52</v>
      </c>
      <c r="F9848" s="6" t="s">
        <v>421</v>
      </c>
      <c r="G9848" s="6" t="s">
        <v>422</v>
      </c>
      <c r="H9848" s="6" t="s">
        <v>1697</v>
      </c>
      <c r="I9848" s="6" t="s">
        <v>31</v>
      </c>
      <c r="J9848" s="6">
        <v>16.633573702579</v>
      </c>
      <c r="K9848" s="6">
        <v>-96.852218427791001</v>
      </c>
      <c r="L9848" s="6" t="str">
        <f>HYPERLINK("https://maps.google.com/?q=16.633573702579,-96.852218427791101", "🔗 Ver Mapa")</f>
        <v>🔗 Ver Mapa</v>
      </c>
    </row>
    <row r="9849" spans="1:12" ht="43.5" x14ac:dyDescent="0.35">
      <c r="A9849" s="5" t="s">
        <v>98</v>
      </c>
      <c r="B9849" s="5" t="s">
        <v>99</v>
      </c>
      <c r="C9849" s="5" t="s">
        <v>1696</v>
      </c>
      <c r="D9849" s="5" t="s">
        <v>14</v>
      </c>
      <c r="E9849" s="5" t="s">
        <v>52</v>
      </c>
      <c r="F9849" s="5" t="s">
        <v>421</v>
      </c>
      <c r="G9849" s="5" t="s">
        <v>422</v>
      </c>
      <c r="H9849" s="5" t="s">
        <v>1697</v>
      </c>
      <c r="I9849" s="5" t="s">
        <v>31</v>
      </c>
      <c r="J9849" s="5">
        <v>16.633614509830998</v>
      </c>
      <c r="K9849" s="5">
        <v>-96.850235948999995</v>
      </c>
      <c r="L9849" s="5" t="str">
        <f>HYPERLINK("https://maps.google.com/?q=16.6336145098315,-96.850235948999796", "🔗 Ver Mapa")</f>
        <v>🔗 Ver Mapa</v>
      </c>
    </row>
    <row r="9850" spans="1:12" ht="43.5" x14ac:dyDescent="0.35">
      <c r="A9850" s="6" t="s">
        <v>98</v>
      </c>
      <c r="B9850" s="6" t="s">
        <v>99</v>
      </c>
      <c r="C9850" s="6" t="s">
        <v>1696</v>
      </c>
      <c r="D9850" s="6" t="s">
        <v>14</v>
      </c>
      <c r="E9850" s="6" t="s">
        <v>52</v>
      </c>
      <c r="F9850" s="6" t="s">
        <v>421</v>
      </c>
      <c r="G9850" s="6" t="s">
        <v>422</v>
      </c>
      <c r="H9850" s="6" t="s">
        <v>1697</v>
      </c>
      <c r="I9850" s="6" t="s">
        <v>31</v>
      </c>
      <c r="J9850" s="6">
        <v>16.633638733965999</v>
      </c>
      <c r="K9850" s="6">
        <v>-96.851943168271006</v>
      </c>
      <c r="L9850" s="6" t="str">
        <f>HYPERLINK("https://maps.google.com/?q=16.6336387339665,-96.851943168271106", "🔗 Ver Mapa")</f>
        <v>🔗 Ver Mapa</v>
      </c>
    </row>
    <row r="9851" spans="1:12" ht="43.5" x14ac:dyDescent="0.35">
      <c r="A9851" s="5" t="s">
        <v>98</v>
      </c>
      <c r="B9851" s="5" t="s">
        <v>99</v>
      </c>
      <c r="C9851" s="5" t="s">
        <v>1696</v>
      </c>
      <c r="D9851" s="5" t="s">
        <v>14</v>
      </c>
      <c r="E9851" s="5" t="s">
        <v>52</v>
      </c>
      <c r="F9851" s="5" t="s">
        <v>421</v>
      </c>
      <c r="G9851" s="5" t="s">
        <v>422</v>
      </c>
      <c r="H9851" s="5" t="s">
        <v>1697</v>
      </c>
      <c r="I9851" s="5" t="s">
        <v>31</v>
      </c>
      <c r="J9851" s="5">
        <v>16.633761952638</v>
      </c>
      <c r="K9851" s="5">
        <v>-96.851998445581998</v>
      </c>
      <c r="L9851" s="5" t="str">
        <f>HYPERLINK("https://maps.google.com/?q=16.6337619526376,-96.851998445581899", "🔗 Ver Mapa")</f>
        <v>🔗 Ver Mapa</v>
      </c>
    </row>
    <row r="9852" spans="1:12" ht="43.5" x14ac:dyDescent="0.35">
      <c r="A9852" s="6" t="s">
        <v>98</v>
      </c>
      <c r="B9852" s="6" t="s">
        <v>99</v>
      </c>
      <c r="C9852" s="6" t="s">
        <v>1696</v>
      </c>
      <c r="D9852" s="6" t="s">
        <v>14</v>
      </c>
      <c r="E9852" s="6" t="s">
        <v>52</v>
      </c>
      <c r="F9852" s="6" t="s">
        <v>421</v>
      </c>
      <c r="G9852" s="6" t="s">
        <v>422</v>
      </c>
      <c r="H9852" s="6" t="s">
        <v>1697</v>
      </c>
      <c r="I9852" s="6" t="s">
        <v>31</v>
      </c>
      <c r="J9852" s="6">
        <v>16.634132592642999</v>
      </c>
      <c r="K9852" s="6">
        <v>-96.850425157790994</v>
      </c>
      <c r="L9852" s="6" t="str">
        <f>HYPERLINK("https://maps.google.com/?q=16.6341325926427,-96.850425157791094", "🔗 Ver Mapa")</f>
        <v>🔗 Ver Mapa</v>
      </c>
    </row>
    <row r="9853" spans="1:12" ht="43.5" x14ac:dyDescent="0.35">
      <c r="A9853" s="5" t="s">
        <v>98</v>
      </c>
      <c r="B9853" s="5" t="s">
        <v>99</v>
      </c>
      <c r="C9853" s="5" t="s">
        <v>1696</v>
      </c>
      <c r="D9853" s="5" t="s">
        <v>14</v>
      </c>
      <c r="E9853" s="5" t="s">
        <v>52</v>
      </c>
      <c r="F9853" s="5" t="s">
        <v>421</v>
      </c>
      <c r="G9853" s="5" t="s">
        <v>422</v>
      </c>
      <c r="H9853" s="5" t="s">
        <v>1697</v>
      </c>
      <c r="I9853" s="5" t="s">
        <v>31</v>
      </c>
      <c r="J9853" s="5">
        <v>16.634445887548001</v>
      </c>
      <c r="K9853" s="5">
        <v>-96.849853735522998</v>
      </c>
      <c r="L9853" s="5" t="str">
        <f>HYPERLINK("https://maps.google.com/?q=16.6344458875477,-96.849853735522601", "🔗 Ver Mapa")</f>
        <v>🔗 Ver Mapa</v>
      </c>
    </row>
    <row r="9854" spans="1:12" ht="43.5" x14ac:dyDescent="0.35">
      <c r="A9854" s="6" t="s">
        <v>98</v>
      </c>
      <c r="B9854" s="6" t="s">
        <v>99</v>
      </c>
      <c r="C9854" s="6" t="s">
        <v>1696</v>
      </c>
      <c r="D9854" s="6" t="s">
        <v>14</v>
      </c>
      <c r="E9854" s="6" t="s">
        <v>52</v>
      </c>
      <c r="F9854" s="6" t="s">
        <v>421</v>
      </c>
      <c r="G9854" s="6" t="s">
        <v>422</v>
      </c>
      <c r="H9854" s="6" t="s">
        <v>1697</v>
      </c>
      <c r="I9854" s="6" t="s">
        <v>31</v>
      </c>
      <c r="J9854" s="6">
        <v>16.634596012732999</v>
      </c>
      <c r="K9854" s="6">
        <v>-96.850251578861005</v>
      </c>
      <c r="L9854" s="6" t="str">
        <f>HYPERLINK("https://maps.google.com/?q=16.6345960127326,-96.850251578860707", "🔗 Ver Mapa")</f>
        <v>🔗 Ver Mapa</v>
      </c>
    </row>
    <row r="9855" spans="1:12" ht="43.5" x14ac:dyDescent="0.35">
      <c r="A9855" s="5" t="s">
        <v>98</v>
      </c>
      <c r="B9855" s="5" t="s">
        <v>99</v>
      </c>
      <c r="C9855" s="5" t="s">
        <v>1696</v>
      </c>
      <c r="D9855" s="5" t="s">
        <v>14</v>
      </c>
      <c r="E9855" s="5" t="s">
        <v>52</v>
      </c>
      <c r="F9855" s="5" t="s">
        <v>421</v>
      </c>
      <c r="G9855" s="5" t="s">
        <v>422</v>
      </c>
      <c r="H9855" s="5" t="s">
        <v>1697</v>
      </c>
      <c r="I9855" s="5" t="s">
        <v>31</v>
      </c>
      <c r="J9855" s="5">
        <v>16.634603722607</v>
      </c>
      <c r="K9855" s="5">
        <v>-96.850468837790999</v>
      </c>
      <c r="L9855" s="5" t="str">
        <f>HYPERLINK("https://maps.google.com/?q=16.6346037226072,-96.850468837790899", "🔗 Ver Mapa")</f>
        <v>🔗 Ver Mapa</v>
      </c>
    </row>
    <row r="9856" spans="1:12" ht="43.5" x14ac:dyDescent="0.35">
      <c r="A9856" s="6" t="s">
        <v>98</v>
      </c>
      <c r="B9856" s="6" t="s">
        <v>99</v>
      </c>
      <c r="C9856" s="6" t="s">
        <v>1696</v>
      </c>
      <c r="D9856" s="6" t="s">
        <v>14</v>
      </c>
      <c r="E9856" s="6" t="s">
        <v>52</v>
      </c>
      <c r="F9856" s="6" t="s">
        <v>421</v>
      </c>
      <c r="G9856" s="6" t="s">
        <v>422</v>
      </c>
      <c r="H9856" s="6" t="s">
        <v>1697</v>
      </c>
      <c r="I9856" s="6" t="s">
        <v>31</v>
      </c>
      <c r="J9856" s="6">
        <v>16.634720652651001</v>
      </c>
      <c r="K9856" s="6">
        <v>-96.851677370000004</v>
      </c>
      <c r="L9856" s="6" t="str">
        <f>HYPERLINK("https://maps.google.com/?q=16.6347206526507,-96.851677370000104", "🔗 Ver Mapa")</f>
        <v>🔗 Ver Mapa</v>
      </c>
    </row>
    <row r="9857" spans="1:12" ht="43.5" x14ac:dyDescent="0.35">
      <c r="A9857" s="5" t="s">
        <v>98</v>
      </c>
      <c r="B9857" s="5" t="s">
        <v>99</v>
      </c>
      <c r="C9857" s="5" t="s">
        <v>1696</v>
      </c>
      <c r="D9857" s="5" t="s">
        <v>14</v>
      </c>
      <c r="E9857" s="5" t="s">
        <v>52</v>
      </c>
      <c r="F9857" s="5" t="s">
        <v>421</v>
      </c>
      <c r="G9857" s="5" t="s">
        <v>422</v>
      </c>
      <c r="H9857" s="5" t="s">
        <v>1697</v>
      </c>
      <c r="I9857" s="5" t="s">
        <v>31</v>
      </c>
      <c r="J9857" s="5">
        <v>16.634732187747002</v>
      </c>
      <c r="K9857" s="5">
        <v>-96.849281340188</v>
      </c>
      <c r="L9857" s="5" t="str">
        <f>HYPERLINK("https://maps.google.com/?q=16.6347321877465,-96.849281340188398", "🔗 Ver Mapa")</f>
        <v>🔗 Ver Mapa</v>
      </c>
    </row>
    <row r="9858" spans="1:12" ht="43.5" x14ac:dyDescent="0.35">
      <c r="A9858" s="6" t="s">
        <v>98</v>
      </c>
      <c r="B9858" s="6" t="s">
        <v>99</v>
      </c>
      <c r="C9858" s="6" t="s">
        <v>1696</v>
      </c>
      <c r="D9858" s="6" t="s">
        <v>14</v>
      </c>
      <c r="E9858" s="6" t="s">
        <v>52</v>
      </c>
      <c r="F9858" s="6" t="s">
        <v>421</v>
      </c>
      <c r="G9858" s="6" t="s">
        <v>422</v>
      </c>
      <c r="H9858" s="6" t="s">
        <v>1697</v>
      </c>
      <c r="I9858" s="6" t="s">
        <v>31</v>
      </c>
      <c r="J9858" s="6">
        <v>16.634832442697</v>
      </c>
      <c r="K9858" s="6">
        <v>-96.850454087790993</v>
      </c>
      <c r="L9858" s="6" t="str">
        <f>HYPERLINK("https://maps.google.com/?q=16.634832442697,-96.850454087791107", "🔗 Ver Mapa")</f>
        <v>🔗 Ver Mapa</v>
      </c>
    </row>
    <row r="9859" spans="1:12" ht="43.5" x14ac:dyDescent="0.35">
      <c r="A9859" s="5" t="s">
        <v>98</v>
      </c>
      <c r="B9859" s="5" t="s">
        <v>99</v>
      </c>
      <c r="C9859" s="5" t="s">
        <v>1696</v>
      </c>
      <c r="D9859" s="5" t="s">
        <v>14</v>
      </c>
      <c r="E9859" s="5" t="s">
        <v>52</v>
      </c>
      <c r="F9859" s="5" t="s">
        <v>421</v>
      </c>
      <c r="G9859" s="5" t="s">
        <v>422</v>
      </c>
      <c r="H9859" s="5" t="s">
        <v>1697</v>
      </c>
      <c r="I9859" s="5" t="s">
        <v>31</v>
      </c>
      <c r="J9859" s="5">
        <v>16.635009742844002</v>
      </c>
      <c r="K9859" s="5">
        <v>-96.848873644418006</v>
      </c>
      <c r="L9859" s="5" t="str">
        <f>HYPERLINK("https://maps.google.com/?q=16.635009742844,-96.848873644418006", "🔗 Ver Mapa")</f>
        <v>🔗 Ver Mapa</v>
      </c>
    </row>
    <row r="9860" spans="1:12" ht="43.5" x14ac:dyDescent="0.35">
      <c r="A9860" s="6" t="s">
        <v>98</v>
      </c>
      <c r="B9860" s="6" t="s">
        <v>99</v>
      </c>
      <c r="C9860" s="6" t="s">
        <v>1696</v>
      </c>
      <c r="D9860" s="6" t="s">
        <v>14</v>
      </c>
      <c r="E9860" s="6" t="s">
        <v>52</v>
      </c>
      <c r="F9860" s="6" t="s">
        <v>421</v>
      </c>
      <c r="G9860" s="6" t="s">
        <v>422</v>
      </c>
      <c r="H9860" s="6" t="s">
        <v>1697</v>
      </c>
      <c r="I9860" s="6" t="s">
        <v>31</v>
      </c>
      <c r="J9860" s="6">
        <v>16.635017542655</v>
      </c>
      <c r="K9860" s="6">
        <v>-96.852043504418006</v>
      </c>
      <c r="L9860" s="6" t="str">
        <f>HYPERLINK("https://maps.google.com/?q=16.6350175426546,-96.852043504418006", "🔗 Ver Mapa")</f>
        <v>🔗 Ver Mapa</v>
      </c>
    </row>
    <row r="9861" spans="1:12" ht="43.5" x14ac:dyDescent="0.35">
      <c r="A9861" s="5" t="s">
        <v>98</v>
      </c>
      <c r="B9861" s="5" t="s">
        <v>99</v>
      </c>
      <c r="C9861" s="5" t="s">
        <v>1696</v>
      </c>
      <c r="D9861" s="5" t="s">
        <v>14</v>
      </c>
      <c r="E9861" s="5" t="s">
        <v>52</v>
      </c>
      <c r="F9861" s="5" t="s">
        <v>421</v>
      </c>
      <c r="G9861" s="5" t="s">
        <v>422</v>
      </c>
      <c r="H9861" s="5" t="s">
        <v>1697</v>
      </c>
      <c r="I9861" s="5" t="s">
        <v>31</v>
      </c>
      <c r="J9861" s="5">
        <v>16.635045722179001</v>
      </c>
      <c r="K9861" s="5">
        <v>-96.851067691392998</v>
      </c>
      <c r="L9861" s="5" t="str">
        <f>HYPERLINK("https://maps.google.com/?q=16.6350457221791,-96.851067691392601", "🔗 Ver Mapa")</f>
        <v>🔗 Ver Mapa</v>
      </c>
    </row>
    <row r="9862" spans="1:12" ht="43.5" x14ac:dyDescent="0.35">
      <c r="A9862" s="6" t="s">
        <v>98</v>
      </c>
      <c r="B9862" s="6" t="s">
        <v>99</v>
      </c>
      <c r="C9862" s="6" t="s">
        <v>1696</v>
      </c>
      <c r="D9862" s="6" t="s">
        <v>14</v>
      </c>
      <c r="E9862" s="6" t="s">
        <v>52</v>
      </c>
      <c r="F9862" s="6" t="s">
        <v>421</v>
      </c>
      <c r="G9862" s="6" t="s">
        <v>422</v>
      </c>
      <c r="H9862" s="6" t="s">
        <v>1697</v>
      </c>
      <c r="I9862" s="6" t="s">
        <v>31</v>
      </c>
      <c r="J9862" s="6">
        <v>16.635088452607</v>
      </c>
      <c r="K9862" s="6">
        <v>-96.851794594477994</v>
      </c>
      <c r="L9862" s="6" t="str">
        <f>HYPERLINK("https://maps.google.com/?q=16.6350884526074,-96.851794594477596", "🔗 Ver Mapa")</f>
        <v>🔗 Ver Mapa</v>
      </c>
    </row>
    <row r="9863" spans="1:12" ht="43.5" x14ac:dyDescent="0.35">
      <c r="A9863" s="5" t="s">
        <v>98</v>
      </c>
      <c r="B9863" s="5" t="s">
        <v>99</v>
      </c>
      <c r="C9863" s="5" t="s">
        <v>1696</v>
      </c>
      <c r="D9863" s="5" t="s">
        <v>14</v>
      </c>
      <c r="E9863" s="5" t="s">
        <v>52</v>
      </c>
      <c r="F9863" s="5" t="s">
        <v>421</v>
      </c>
      <c r="G9863" s="5" t="s">
        <v>422</v>
      </c>
      <c r="H9863" s="5" t="s">
        <v>1697</v>
      </c>
      <c r="I9863" s="5" t="s">
        <v>31</v>
      </c>
      <c r="J9863" s="5">
        <v>16.635107432656</v>
      </c>
      <c r="K9863" s="5">
        <v>-96.850806802208993</v>
      </c>
      <c r="L9863" s="5" t="str">
        <f>HYPERLINK("https://maps.google.com/?q=16.6351074326559,-96.850806802209107", "🔗 Ver Mapa")</f>
        <v>🔗 Ver Mapa</v>
      </c>
    </row>
    <row r="9864" spans="1:12" ht="43.5" x14ac:dyDescent="0.35">
      <c r="A9864" s="6" t="s">
        <v>98</v>
      </c>
      <c r="B9864" s="6" t="s">
        <v>99</v>
      </c>
      <c r="C9864" s="6" t="s">
        <v>1696</v>
      </c>
      <c r="D9864" s="6" t="s">
        <v>14</v>
      </c>
      <c r="E9864" s="6" t="s">
        <v>52</v>
      </c>
      <c r="F9864" s="6" t="s">
        <v>421</v>
      </c>
      <c r="G9864" s="6" t="s">
        <v>422</v>
      </c>
      <c r="H9864" s="6" t="s">
        <v>1697</v>
      </c>
      <c r="I9864" s="6" t="s">
        <v>31</v>
      </c>
      <c r="J9864" s="6">
        <v>16.635224924117999</v>
      </c>
      <c r="K9864" s="6">
        <v>-96.851841829636001</v>
      </c>
      <c r="L9864" s="6" t="str">
        <f>HYPERLINK("https://maps.google.com/?q=16.635224924118,-96.851841829635703", "🔗 Ver Mapa")</f>
        <v>🔗 Ver Mapa</v>
      </c>
    </row>
    <row r="9865" spans="1:12" ht="43.5" x14ac:dyDescent="0.35">
      <c r="A9865" s="5" t="s">
        <v>98</v>
      </c>
      <c r="B9865" s="5" t="s">
        <v>99</v>
      </c>
      <c r="C9865" s="5" t="s">
        <v>1696</v>
      </c>
      <c r="D9865" s="5" t="s">
        <v>14</v>
      </c>
      <c r="E9865" s="5" t="s">
        <v>52</v>
      </c>
      <c r="F9865" s="5" t="s">
        <v>421</v>
      </c>
      <c r="G9865" s="5" t="s">
        <v>422</v>
      </c>
      <c r="H9865" s="5" t="s">
        <v>1697</v>
      </c>
      <c r="I9865" s="5" t="s">
        <v>31</v>
      </c>
      <c r="J9865" s="5">
        <v>16.635417592606998</v>
      </c>
      <c r="K9865" s="5">
        <v>-96.8518136</v>
      </c>
      <c r="L9865" s="5" t="str">
        <f>HYPERLINK("https://maps.google.com/?q=16.6354175926074,-96.851813600000199", "🔗 Ver Mapa")</f>
        <v>🔗 Ver Mapa</v>
      </c>
    </row>
    <row r="9866" spans="1:12" ht="43.5" x14ac:dyDescent="0.35">
      <c r="A9866" s="6" t="s">
        <v>98</v>
      </c>
      <c r="B9866" s="6" t="s">
        <v>99</v>
      </c>
      <c r="C9866" s="6" t="s">
        <v>1696</v>
      </c>
      <c r="D9866" s="6" t="s">
        <v>14</v>
      </c>
      <c r="E9866" s="6" t="s">
        <v>52</v>
      </c>
      <c r="F9866" s="6" t="s">
        <v>421</v>
      </c>
      <c r="G9866" s="6" t="s">
        <v>422</v>
      </c>
      <c r="H9866" s="6" t="s">
        <v>1697</v>
      </c>
      <c r="I9866" s="6" t="s">
        <v>31</v>
      </c>
      <c r="J9866" s="6">
        <v>16.635525497867</v>
      </c>
      <c r="K9866" s="6">
        <v>-96.851710936808004</v>
      </c>
      <c r="L9866" s="6" t="str">
        <f>HYPERLINK("https://maps.google.com/?q=16.6355254978667,-96.851710936807507", "🔗 Ver Mapa")</f>
        <v>🔗 Ver Mapa</v>
      </c>
    </row>
    <row r="9867" spans="1:12" ht="43.5" x14ac:dyDescent="0.35">
      <c r="A9867" s="5" t="s">
        <v>98</v>
      </c>
      <c r="B9867" s="5" t="s">
        <v>99</v>
      </c>
      <c r="C9867" s="5" t="s">
        <v>1696</v>
      </c>
      <c r="D9867" s="5" t="s">
        <v>14</v>
      </c>
      <c r="E9867" s="5" t="s">
        <v>52</v>
      </c>
      <c r="F9867" s="5" t="s">
        <v>421</v>
      </c>
      <c r="G9867" s="5" t="s">
        <v>422</v>
      </c>
      <c r="H9867" s="5" t="s">
        <v>1697</v>
      </c>
      <c r="I9867" s="5" t="s">
        <v>31</v>
      </c>
      <c r="J9867" s="5">
        <v>16.635571602772</v>
      </c>
      <c r="K9867" s="5">
        <v>-96.849436236627</v>
      </c>
      <c r="L9867" s="5" t="str">
        <f>HYPERLINK("https://maps.google.com/?q=16.6355716027719,-96.8494362366269", "🔗 Ver Mapa")</f>
        <v>🔗 Ver Mapa</v>
      </c>
    </row>
    <row r="9868" spans="1:12" ht="43.5" x14ac:dyDescent="0.35">
      <c r="A9868" s="6" t="s">
        <v>98</v>
      </c>
      <c r="B9868" s="6" t="s">
        <v>99</v>
      </c>
      <c r="C9868" s="6" t="s">
        <v>1696</v>
      </c>
      <c r="D9868" s="6" t="s">
        <v>14</v>
      </c>
      <c r="E9868" s="6" t="s">
        <v>52</v>
      </c>
      <c r="F9868" s="6" t="s">
        <v>421</v>
      </c>
      <c r="G9868" s="6" t="s">
        <v>422</v>
      </c>
      <c r="H9868" s="6" t="s">
        <v>1697</v>
      </c>
      <c r="I9868" s="6" t="s">
        <v>31</v>
      </c>
      <c r="J9868" s="6">
        <v>16.635612722718001</v>
      </c>
      <c r="K9868" s="6">
        <v>-96.849873433373006</v>
      </c>
      <c r="L9868" s="6" t="str">
        <f>HYPERLINK("https://maps.google.com/?q=16.6356127227182,-96.849873433373006", "🔗 Ver Mapa")</f>
        <v>🔗 Ver Mapa</v>
      </c>
    </row>
    <row r="9869" spans="1:12" ht="43.5" x14ac:dyDescent="0.35">
      <c r="A9869" s="5" t="s">
        <v>98</v>
      </c>
      <c r="B9869" s="5" t="s">
        <v>99</v>
      </c>
      <c r="C9869" s="5" t="s">
        <v>1696</v>
      </c>
      <c r="D9869" s="5" t="s">
        <v>14</v>
      </c>
      <c r="E9869" s="5" t="s">
        <v>52</v>
      </c>
      <c r="F9869" s="5" t="s">
        <v>421</v>
      </c>
      <c r="G9869" s="5" t="s">
        <v>422</v>
      </c>
      <c r="H9869" s="5" t="s">
        <v>1697</v>
      </c>
      <c r="I9869" s="5" t="s">
        <v>31</v>
      </c>
      <c r="J9869" s="5">
        <v>16.635770657578998</v>
      </c>
      <c r="K9869" s="5">
        <v>-96.851729867790993</v>
      </c>
      <c r="L9869" s="5" t="str">
        <f>HYPERLINK("https://maps.google.com/?q=16.6357706575787,-96.851729867790894", "🔗 Ver Mapa")</f>
        <v>🔗 Ver Mapa</v>
      </c>
    </row>
    <row r="9870" spans="1:12" ht="43.5" x14ac:dyDescent="0.35">
      <c r="A9870" s="6" t="s">
        <v>98</v>
      </c>
      <c r="B9870" s="6" t="s">
        <v>99</v>
      </c>
      <c r="C9870" s="6" t="s">
        <v>1696</v>
      </c>
      <c r="D9870" s="6" t="s">
        <v>14</v>
      </c>
      <c r="E9870" s="6" t="s">
        <v>52</v>
      </c>
      <c r="F9870" s="6" t="s">
        <v>421</v>
      </c>
      <c r="G9870" s="6" t="s">
        <v>422</v>
      </c>
      <c r="H9870" s="6" t="s">
        <v>1697</v>
      </c>
      <c r="I9870" s="6" t="s">
        <v>31</v>
      </c>
      <c r="J9870" s="6">
        <v>16.635778702522</v>
      </c>
      <c r="K9870" s="6">
        <v>-96.850540435588997</v>
      </c>
      <c r="L9870" s="6" t="str">
        <f>HYPERLINK("https://maps.google.com/?q=16.6357787025216,-96.850540435589494", "🔗 Ver Mapa")</f>
        <v>🔗 Ver Mapa</v>
      </c>
    </row>
    <row r="9871" spans="1:12" ht="43.5" x14ac:dyDescent="0.35">
      <c r="A9871" s="5" t="s">
        <v>98</v>
      </c>
      <c r="B9871" s="5" t="s">
        <v>99</v>
      </c>
      <c r="C9871" s="5" t="s">
        <v>1696</v>
      </c>
      <c r="D9871" s="5" t="s">
        <v>14</v>
      </c>
      <c r="E9871" s="5" t="s">
        <v>52</v>
      </c>
      <c r="F9871" s="5" t="s">
        <v>421</v>
      </c>
      <c r="G9871" s="5" t="s">
        <v>422</v>
      </c>
      <c r="H9871" s="5" t="s">
        <v>1697</v>
      </c>
      <c r="I9871" s="5" t="s">
        <v>31</v>
      </c>
      <c r="J9871" s="5">
        <v>16.635840702724</v>
      </c>
      <c r="K9871" s="5">
        <v>-96.848384251164006</v>
      </c>
      <c r="L9871" s="5" t="str">
        <f>HYPERLINK("https://maps.google.com/?q=16.6358407027243,-96.848384251164006", "🔗 Ver Mapa")</f>
        <v>🔗 Ver Mapa</v>
      </c>
    </row>
    <row r="9872" spans="1:12" ht="43.5" x14ac:dyDescent="0.35">
      <c r="A9872" s="6" t="s">
        <v>98</v>
      </c>
      <c r="B9872" s="6" t="s">
        <v>99</v>
      </c>
      <c r="C9872" s="6" t="s">
        <v>1696</v>
      </c>
      <c r="D9872" s="6" t="s">
        <v>14</v>
      </c>
      <c r="E9872" s="6" t="s">
        <v>52</v>
      </c>
      <c r="F9872" s="6" t="s">
        <v>421</v>
      </c>
      <c r="G9872" s="6" t="s">
        <v>422</v>
      </c>
      <c r="H9872" s="6" t="s">
        <v>1697</v>
      </c>
      <c r="I9872" s="6" t="s">
        <v>31</v>
      </c>
      <c r="J9872" s="6">
        <v>16.635900652667001</v>
      </c>
      <c r="K9872" s="6">
        <v>-96.850567125582003</v>
      </c>
      <c r="L9872" s="6" t="str">
        <f>HYPERLINK("https://maps.google.com/?q=16.6359006526667,-96.850567125582003", "🔗 Ver Mapa")</f>
        <v>🔗 Ver Mapa</v>
      </c>
    </row>
    <row r="9873" spans="1:12" ht="43.5" x14ac:dyDescent="0.35">
      <c r="A9873" s="5" t="s">
        <v>98</v>
      </c>
      <c r="B9873" s="5" t="s">
        <v>99</v>
      </c>
      <c r="C9873" s="5" t="s">
        <v>1696</v>
      </c>
      <c r="D9873" s="5" t="s">
        <v>14</v>
      </c>
      <c r="E9873" s="5" t="s">
        <v>52</v>
      </c>
      <c r="F9873" s="5" t="s">
        <v>421</v>
      </c>
      <c r="G9873" s="5" t="s">
        <v>422</v>
      </c>
      <c r="H9873" s="5" t="s">
        <v>1697</v>
      </c>
      <c r="I9873" s="5" t="s">
        <v>31</v>
      </c>
      <c r="J9873" s="5">
        <v>16.635957622787998</v>
      </c>
      <c r="K9873" s="5">
        <v>-96.851900258954998</v>
      </c>
      <c r="L9873" s="5" t="str">
        <f>HYPERLINK("https://maps.google.com/?q=16.6359576227875,-96.851900258954899", "🔗 Ver Mapa")</f>
        <v>🔗 Ver Mapa</v>
      </c>
    </row>
    <row r="9874" spans="1:12" ht="43.5" x14ac:dyDescent="0.35">
      <c r="A9874" s="6" t="s">
        <v>98</v>
      </c>
      <c r="B9874" s="6" t="s">
        <v>99</v>
      </c>
      <c r="C9874" s="6" t="s">
        <v>1696</v>
      </c>
      <c r="D9874" s="6" t="s">
        <v>14</v>
      </c>
      <c r="E9874" s="6" t="s">
        <v>52</v>
      </c>
      <c r="F9874" s="6" t="s">
        <v>421</v>
      </c>
      <c r="G9874" s="6" t="s">
        <v>422</v>
      </c>
      <c r="H9874" s="6" t="s">
        <v>1697</v>
      </c>
      <c r="I9874" s="6" t="s">
        <v>31</v>
      </c>
      <c r="J9874" s="6">
        <v>16.636004732547001</v>
      </c>
      <c r="K9874" s="6">
        <v>-96.850510797791003</v>
      </c>
      <c r="L9874" s="6" t="str">
        <f>HYPERLINK("https://maps.google.com/?q=16.6360047325469,-96.850510797791102", "🔗 Ver Mapa")</f>
        <v>🔗 Ver Mapa</v>
      </c>
    </row>
    <row r="9875" spans="1:12" ht="43.5" x14ac:dyDescent="0.35">
      <c r="A9875" s="5" t="s">
        <v>98</v>
      </c>
      <c r="B9875" s="5" t="s">
        <v>99</v>
      </c>
      <c r="C9875" s="5" t="s">
        <v>1696</v>
      </c>
      <c r="D9875" s="5" t="s">
        <v>14</v>
      </c>
      <c r="E9875" s="5" t="s">
        <v>52</v>
      </c>
      <c r="F9875" s="5" t="s">
        <v>421</v>
      </c>
      <c r="G9875" s="5" t="s">
        <v>422</v>
      </c>
      <c r="H9875" s="5" t="s">
        <v>1697</v>
      </c>
      <c r="I9875" s="5" t="s">
        <v>31</v>
      </c>
      <c r="J9875" s="5">
        <v>16.636079562669</v>
      </c>
      <c r="K9875" s="5">
        <v>-96.850875262209001</v>
      </c>
      <c r="L9875" s="5" t="str">
        <f>HYPERLINK("https://maps.google.com/?q=16.6360795626691,-96.850875262209001", "🔗 Ver Mapa")</f>
        <v>🔗 Ver Mapa</v>
      </c>
    </row>
    <row r="9876" spans="1:12" ht="43.5" x14ac:dyDescent="0.35">
      <c r="A9876" s="6" t="s">
        <v>98</v>
      </c>
      <c r="B9876" s="6" t="s">
        <v>99</v>
      </c>
      <c r="C9876" s="6" t="s">
        <v>1696</v>
      </c>
      <c r="D9876" s="6" t="s">
        <v>14</v>
      </c>
      <c r="E9876" s="6" t="s">
        <v>52</v>
      </c>
      <c r="F9876" s="6" t="s">
        <v>421</v>
      </c>
      <c r="G9876" s="6" t="s">
        <v>422</v>
      </c>
      <c r="H9876" s="6" t="s">
        <v>1697</v>
      </c>
      <c r="I9876" s="6" t="s">
        <v>31</v>
      </c>
      <c r="J9876" s="6">
        <v>16.636262231227001</v>
      </c>
      <c r="K9876" s="6">
        <v>-96.850569794934003</v>
      </c>
      <c r="L9876" s="6" t="str">
        <f>HYPERLINK("https://maps.google.com/?q=16.6362622312269,-96.850569794933804", "🔗 Ver Mapa")</f>
        <v>🔗 Ver Mapa</v>
      </c>
    </row>
    <row r="9877" spans="1:12" ht="43.5" x14ac:dyDescent="0.35">
      <c r="A9877" s="5" t="s">
        <v>98</v>
      </c>
      <c r="B9877" s="5" t="s">
        <v>99</v>
      </c>
      <c r="C9877" s="5" t="s">
        <v>1696</v>
      </c>
      <c r="D9877" s="5" t="s">
        <v>14</v>
      </c>
      <c r="E9877" s="5" t="s">
        <v>52</v>
      </c>
      <c r="F9877" s="5" t="s">
        <v>421</v>
      </c>
      <c r="G9877" s="5" t="s">
        <v>422</v>
      </c>
      <c r="H9877" s="5" t="s">
        <v>1697</v>
      </c>
      <c r="I9877" s="5" t="s">
        <v>31</v>
      </c>
      <c r="J9877" s="5">
        <v>16.636264712736001</v>
      </c>
      <c r="K9877" s="5">
        <v>-96.848344299999994</v>
      </c>
      <c r="L9877" s="5" t="str">
        <f>HYPERLINK("https://maps.google.com/?q=16.6362647127357,-96.848344299999994", "🔗 Ver Mapa")</f>
        <v>🔗 Ver Mapa</v>
      </c>
    </row>
    <row r="9878" spans="1:12" ht="43.5" x14ac:dyDescent="0.35">
      <c r="A9878" s="6" t="s">
        <v>98</v>
      </c>
      <c r="B9878" s="6" t="s">
        <v>99</v>
      </c>
      <c r="C9878" s="6" t="s">
        <v>1696</v>
      </c>
      <c r="D9878" s="6" t="s">
        <v>14</v>
      </c>
      <c r="E9878" s="6" t="s">
        <v>52</v>
      </c>
      <c r="F9878" s="6" t="s">
        <v>421</v>
      </c>
      <c r="G9878" s="6" t="s">
        <v>422</v>
      </c>
      <c r="H9878" s="6" t="s">
        <v>1697</v>
      </c>
      <c r="I9878" s="6" t="s">
        <v>31</v>
      </c>
      <c r="J9878" s="6">
        <v>16.636339104712999</v>
      </c>
      <c r="K9878" s="6">
        <v>-96.851094440329007</v>
      </c>
      <c r="L9878" s="6" t="str">
        <f>HYPERLINK("https://maps.google.com/?q=16.6363391047133,-96.851094440328595", "🔗 Ver Mapa")</f>
        <v>🔗 Ver Mapa</v>
      </c>
    </row>
    <row r="9879" spans="1:12" ht="43.5" x14ac:dyDescent="0.35">
      <c r="A9879" s="5" t="s">
        <v>98</v>
      </c>
      <c r="B9879" s="5" t="s">
        <v>99</v>
      </c>
      <c r="C9879" s="5" t="s">
        <v>1696</v>
      </c>
      <c r="D9879" s="5" t="s">
        <v>14</v>
      </c>
      <c r="E9879" s="5" t="s">
        <v>52</v>
      </c>
      <c r="F9879" s="5" t="s">
        <v>421</v>
      </c>
      <c r="G9879" s="5" t="s">
        <v>422</v>
      </c>
      <c r="H9879" s="5" t="s">
        <v>1697</v>
      </c>
      <c r="I9879" s="5" t="s">
        <v>31</v>
      </c>
      <c r="J9879" s="5">
        <v>16.636352092412</v>
      </c>
      <c r="K9879" s="5">
        <v>-96.848466345581997</v>
      </c>
      <c r="L9879" s="5" t="str">
        <f>HYPERLINK("https://maps.google.com/?q=16.636352092412,-96.848466345582196", "🔗 Ver Mapa")</f>
        <v>🔗 Ver Mapa</v>
      </c>
    </row>
    <row r="9880" spans="1:12" ht="43.5" x14ac:dyDescent="0.35">
      <c r="A9880" s="6" t="s">
        <v>98</v>
      </c>
      <c r="B9880" s="6" t="s">
        <v>99</v>
      </c>
      <c r="C9880" s="6" t="s">
        <v>1696</v>
      </c>
      <c r="D9880" s="6" t="s">
        <v>14</v>
      </c>
      <c r="E9880" s="6" t="s">
        <v>52</v>
      </c>
      <c r="F9880" s="6" t="s">
        <v>421</v>
      </c>
      <c r="G9880" s="6" t="s">
        <v>422</v>
      </c>
      <c r="H9880" s="6" t="s">
        <v>1697</v>
      </c>
      <c r="I9880" s="6" t="s">
        <v>31</v>
      </c>
      <c r="J9880" s="6">
        <v>16.636523079549001</v>
      </c>
      <c r="K9880" s="6">
        <v>-96.850854109088999</v>
      </c>
      <c r="L9880" s="6" t="str">
        <f>HYPERLINK("https://maps.google.com/?q=16.6365230795494,-96.850854109089397", "🔗 Ver Mapa")</f>
        <v>🔗 Ver Mapa</v>
      </c>
    </row>
    <row r="9881" spans="1:12" ht="43.5" x14ac:dyDescent="0.35">
      <c r="A9881" s="5" t="s">
        <v>98</v>
      </c>
      <c r="B9881" s="5" t="s">
        <v>99</v>
      </c>
      <c r="C9881" s="5" t="s">
        <v>1696</v>
      </c>
      <c r="D9881" s="5" t="s">
        <v>14</v>
      </c>
      <c r="E9881" s="5" t="s">
        <v>52</v>
      </c>
      <c r="F9881" s="5" t="s">
        <v>421</v>
      </c>
      <c r="G9881" s="5" t="s">
        <v>422</v>
      </c>
      <c r="H9881" s="5" t="s">
        <v>1697</v>
      </c>
      <c r="I9881" s="5" t="s">
        <v>31</v>
      </c>
      <c r="J9881" s="5">
        <v>16.636560343567002</v>
      </c>
      <c r="K9881" s="5">
        <v>-96.850521515170996</v>
      </c>
      <c r="L9881" s="5" t="str">
        <f>HYPERLINK("https://maps.google.com/?q=16.6365603435667,-96.850521515171394", "🔗 Ver Mapa")</f>
        <v>🔗 Ver Mapa</v>
      </c>
    </row>
    <row r="9882" spans="1:12" ht="43.5" x14ac:dyDescent="0.35">
      <c r="A9882" s="6" t="s">
        <v>98</v>
      </c>
      <c r="B9882" s="6" t="s">
        <v>99</v>
      </c>
      <c r="C9882" s="6" t="s">
        <v>1696</v>
      </c>
      <c r="D9882" s="6" t="s">
        <v>14</v>
      </c>
      <c r="E9882" s="6" t="s">
        <v>52</v>
      </c>
      <c r="F9882" s="6" t="s">
        <v>421</v>
      </c>
      <c r="G9882" s="6" t="s">
        <v>422</v>
      </c>
      <c r="H9882" s="6" t="s">
        <v>1697</v>
      </c>
      <c r="I9882" s="6" t="s">
        <v>31</v>
      </c>
      <c r="J9882" s="6">
        <v>16.636864427967001</v>
      </c>
      <c r="K9882" s="6">
        <v>-96.849391027419998</v>
      </c>
      <c r="L9882" s="6" t="str">
        <f>HYPERLINK("https://maps.google.com/?q=16.6368644279668,-96.849391027419799", "🔗 Ver Mapa")</f>
        <v>🔗 Ver Mapa</v>
      </c>
    </row>
    <row r="9883" spans="1:12" ht="43.5" x14ac:dyDescent="0.35">
      <c r="A9883" s="5" t="s">
        <v>98</v>
      </c>
      <c r="B9883" s="5" t="s">
        <v>99</v>
      </c>
      <c r="C9883" s="5" t="s">
        <v>1696</v>
      </c>
      <c r="D9883" s="5" t="s">
        <v>14</v>
      </c>
      <c r="E9883" s="5" t="s">
        <v>52</v>
      </c>
      <c r="F9883" s="5" t="s">
        <v>421</v>
      </c>
      <c r="G9883" s="5" t="s">
        <v>422</v>
      </c>
      <c r="H9883" s="5" t="s">
        <v>1697</v>
      </c>
      <c r="I9883" s="5" t="s">
        <v>31</v>
      </c>
      <c r="J9883" s="5">
        <v>16.636916452462</v>
      </c>
      <c r="K9883" s="5">
        <v>-96.849138319999994</v>
      </c>
      <c r="L9883" s="5" t="str">
        <f>HYPERLINK("https://maps.google.com/?q=16.6369164524621,-96.849138320000094", "🔗 Ver Mapa")</f>
        <v>🔗 Ver Mapa</v>
      </c>
    </row>
    <row r="9884" spans="1:12" ht="43.5" x14ac:dyDescent="0.35">
      <c r="A9884" s="6" t="s">
        <v>98</v>
      </c>
      <c r="B9884" s="6" t="s">
        <v>99</v>
      </c>
      <c r="C9884" s="6" t="s">
        <v>1696</v>
      </c>
      <c r="D9884" s="6" t="s">
        <v>14</v>
      </c>
      <c r="E9884" s="6" t="s">
        <v>52</v>
      </c>
      <c r="F9884" s="6" t="s">
        <v>421</v>
      </c>
      <c r="G9884" s="6" t="s">
        <v>422</v>
      </c>
      <c r="H9884" s="6" t="s">
        <v>1697</v>
      </c>
      <c r="I9884" s="6" t="s">
        <v>31</v>
      </c>
      <c r="J9884" s="6">
        <v>16.636958682608</v>
      </c>
      <c r="K9884" s="6">
        <v>-96.848861227791005</v>
      </c>
      <c r="L9884" s="6" t="str">
        <f>HYPERLINK("https://maps.google.com/?q=16.6369586826077,-96.848861227791005", "🔗 Ver Mapa")</f>
        <v>🔗 Ver Mapa</v>
      </c>
    </row>
    <row r="9885" spans="1:12" ht="43.5" x14ac:dyDescent="0.35">
      <c r="A9885" s="5" t="s">
        <v>98</v>
      </c>
      <c r="B9885" s="5" t="s">
        <v>99</v>
      </c>
      <c r="C9885" s="5" t="s">
        <v>1696</v>
      </c>
      <c r="D9885" s="5" t="s">
        <v>14</v>
      </c>
      <c r="E9885" s="5" t="s">
        <v>52</v>
      </c>
      <c r="F9885" s="5" t="s">
        <v>421</v>
      </c>
      <c r="G9885" s="5" t="s">
        <v>422</v>
      </c>
      <c r="H9885" s="5" t="s">
        <v>1697</v>
      </c>
      <c r="I9885" s="5" t="s">
        <v>31</v>
      </c>
      <c r="J9885" s="5">
        <v>16.637006406809</v>
      </c>
      <c r="K9885" s="5">
        <v>-96.851425875439006</v>
      </c>
      <c r="L9885" s="5" t="str">
        <f>HYPERLINK("https://maps.google.com/?q=16.637006406809,-96.851425875438593", "🔗 Ver Mapa")</f>
        <v>🔗 Ver Mapa</v>
      </c>
    </row>
    <row r="9886" spans="1:12" ht="43.5" x14ac:dyDescent="0.35">
      <c r="A9886" s="6" t="s">
        <v>98</v>
      </c>
      <c r="B9886" s="6" t="s">
        <v>99</v>
      </c>
      <c r="C9886" s="6" t="s">
        <v>1696</v>
      </c>
      <c r="D9886" s="6" t="s">
        <v>14</v>
      </c>
      <c r="E9886" s="6" t="s">
        <v>52</v>
      </c>
      <c r="F9886" s="6" t="s">
        <v>421</v>
      </c>
      <c r="G9886" s="6" t="s">
        <v>422</v>
      </c>
      <c r="H9886" s="6" t="s">
        <v>1697</v>
      </c>
      <c r="I9886" s="6" t="s">
        <v>31</v>
      </c>
      <c r="J9886" s="6">
        <v>16.637439797807001</v>
      </c>
      <c r="K9886" s="6">
        <v>-96.850505460229002</v>
      </c>
      <c r="L9886" s="6" t="str">
        <f>HYPERLINK("https://maps.google.com/?q=16.6374397978073,-96.850505460228803", "🔗 Ver Mapa")</f>
        <v>🔗 Ver Mapa</v>
      </c>
    </row>
    <row r="9887" spans="1:12" ht="43.5" x14ac:dyDescent="0.35">
      <c r="A9887" s="5" t="s">
        <v>98</v>
      </c>
      <c r="B9887" s="5" t="s">
        <v>99</v>
      </c>
      <c r="C9887" s="5" t="s">
        <v>1696</v>
      </c>
      <c r="D9887" s="5" t="s">
        <v>14</v>
      </c>
      <c r="E9887" s="5" t="s">
        <v>52</v>
      </c>
      <c r="F9887" s="5" t="s">
        <v>421</v>
      </c>
      <c r="G9887" s="5" t="s">
        <v>422</v>
      </c>
      <c r="H9887" s="5" t="s">
        <v>1697</v>
      </c>
      <c r="I9887" s="5" t="s">
        <v>31</v>
      </c>
      <c r="J9887" s="5">
        <v>16.637486982365999</v>
      </c>
      <c r="K9887" s="5">
        <v>-96.851184476626997</v>
      </c>
      <c r="L9887" s="5" t="str">
        <f>HYPERLINK("https://maps.google.com/?q=16.6374869823664,-96.851184476627196", "🔗 Ver Mapa")</f>
        <v>🔗 Ver Mapa</v>
      </c>
    </row>
    <row r="9888" spans="1:12" ht="43.5" x14ac:dyDescent="0.35">
      <c r="A9888" s="6" t="s">
        <v>98</v>
      </c>
      <c r="B9888" s="6" t="s">
        <v>99</v>
      </c>
      <c r="C9888" s="6" t="s">
        <v>1696</v>
      </c>
      <c r="D9888" s="6" t="s">
        <v>14</v>
      </c>
      <c r="E9888" s="6" t="s">
        <v>52</v>
      </c>
      <c r="F9888" s="6" t="s">
        <v>421</v>
      </c>
      <c r="G9888" s="6" t="s">
        <v>422</v>
      </c>
      <c r="H9888" s="6" t="s">
        <v>1697</v>
      </c>
      <c r="I9888" s="6" t="s">
        <v>31</v>
      </c>
      <c r="J9888" s="6">
        <v>16.637531323095001</v>
      </c>
      <c r="K9888" s="6">
        <v>-96.848627938955005</v>
      </c>
      <c r="L9888" s="6" t="str">
        <f>HYPERLINK("https://maps.google.com/?q=16.6375313230947,-96.848627938955104", "🔗 Ver Mapa")</f>
        <v>🔗 Ver Mapa</v>
      </c>
    </row>
    <row r="9889" spans="1:12" ht="43.5" x14ac:dyDescent="0.35">
      <c r="A9889" s="5" t="s">
        <v>98</v>
      </c>
      <c r="B9889" s="5" t="s">
        <v>99</v>
      </c>
      <c r="C9889" s="5" t="s">
        <v>1696</v>
      </c>
      <c r="D9889" s="5" t="s">
        <v>14</v>
      </c>
      <c r="E9889" s="5" t="s">
        <v>52</v>
      </c>
      <c r="F9889" s="5" t="s">
        <v>421</v>
      </c>
      <c r="G9889" s="5" t="s">
        <v>422</v>
      </c>
      <c r="H9889" s="5" t="s">
        <v>1697</v>
      </c>
      <c r="I9889" s="5" t="s">
        <v>31</v>
      </c>
      <c r="J9889" s="5">
        <v>16.637545672769999</v>
      </c>
      <c r="K9889" s="5">
        <v>-96.850264403373004</v>
      </c>
      <c r="L9889" s="5" t="str">
        <f>HYPERLINK("https://maps.google.com/?q=16.6375456727703,-96.850264403373004", "🔗 Ver Mapa")</f>
        <v>🔗 Ver Mapa</v>
      </c>
    </row>
    <row r="9890" spans="1:12" ht="43.5" x14ac:dyDescent="0.35">
      <c r="A9890" s="6" t="s">
        <v>98</v>
      </c>
      <c r="B9890" s="6" t="s">
        <v>99</v>
      </c>
      <c r="C9890" s="6" t="s">
        <v>1696</v>
      </c>
      <c r="D9890" s="6" t="s">
        <v>14</v>
      </c>
      <c r="E9890" s="6" t="s">
        <v>52</v>
      </c>
      <c r="F9890" s="6" t="s">
        <v>421</v>
      </c>
      <c r="G9890" s="6" t="s">
        <v>422</v>
      </c>
      <c r="H9890" s="6" t="s">
        <v>1697</v>
      </c>
      <c r="I9890" s="6" t="s">
        <v>31</v>
      </c>
      <c r="J9890" s="6">
        <v>16.637777753032001</v>
      </c>
      <c r="K9890" s="6">
        <v>-96.851486648036001</v>
      </c>
      <c r="L9890" s="6" t="str">
        <f>HYPERLINK("https://maps.google.com/?q=16.6377777530315,-96.8514866480362", "🔗 Ver Mapa")</f>
        <v>🔗 Ver Mapa</v>
      </c>
    </row>
    <row r="9891" spans="1:12" ht="43.5" x14ac:dyDescent="0.35">
      <c r="A9891" s="5" t="s">
        <v>98</v>
      </c>
      <c r="B9891" s="5" t="s">
        <v>99</v>
      </c>
      <c r="C9891" s="5" t="s">
        <v>1696</v>
      </c>
      <c r="D9891" s="5" t="s">
        <v>14</v>
      </c>
      <c r="E9891" s="5" t="s">
        <v>52</v>
      </c>
      <c r="F9891" s="5" t="s">
        <v>421</v>
      </c>
      <c r="G9891" s="5" t="s">
        <v>422</v>
      </c>
      <c r="H9891" s="5" t="s">
        <v>1697</v>
      </c>
      <c r="I9891" s="5" t="s">
        <v>31</v>
      </c>
      <c r="J9891" s="5">
        <v>16.638138542429001</v>
      </c>
      <c r="K9891" s="5">
        <v>-96.851703372209002</v>
      </c>
      <c r="L9891" s="5" t="str">
        <f>HYPERLINK("https://maps.google.com/?q=16.6381385424295,-96.851703372209101", "🔗 Ver Mapa")</f>
        <v>🔗 Ver Mapa</v>
      </c>
    </row>
    <row r="9892" spans="1:12" ht="43.5" x14ac:dyDescent="0.35">
      <c r="A9892" s="6" t="s">
        <v>98</v>
      </c>
      <c r="B9892" s="6" t="s">
        <v>99</v>
      </c>
      <c r="C9892" s="6" t="s">
        <v>1696</v>
      </c>
      <c r="D9892" s="6" t="s">
        <v>14</v>
      </c>
      <c r="E9892" s="6" t="s">
        <v>52</v>
      </c>
      <c r="F9892" s="6" t="s">
        <v>421</v>
      </c>
      <c r="G9892" s="6" t="s">
        <v>422</v>
      </c>
      <c r="H9892" s="6" t="s">
        <v>1697</v>
      </c>
      <c r="I9892" s="6" t="s">
        <v>31</v>
      </c>
      <c r="J9892" s="6">
        <v>16.638243454847998</v>
      </c>
      <c r="K9892" s="6">
        <v>-96.850058210708994</v>
      </c>
      <c r="L9892" s="6" t="str">
        <f>HYPERLINK("https://maps.google.com/?q=16.6382434548484,-96.850058210708696", "🔗 Ver Mapa")</f>
        <v>🔗 Ver Mapa</v>
      </c>
    </row>
    <row r="9893" spans="1:12" ht="43.5" x14ac:dyDescent="0.35">
      <c r="A9893" s="5" t="s">
        <v>98</v>
      </c>
      <c r="B9893" s="5" t="s">
        <v>99</v>
      </c>
      <c r="C9893" s="5" t="s">
        <v>1696</v>
      </c>
      <c r="D9893" s="5" t="s">
        <v>14</v>
      </c>
      <c r="E9893" s="5" t="s">
        <v>52</v>
      </c>
      <c r="F9893" s="5" t="s">
        <v>421</v>
      </c>
      <c r="G9893" s="5" t="s">
        <v>422</v>
      </c>
      <c r="H9893" s="5" t="s">
        <v>1697</v>
      </c>
      <c r="I9893" s="5" t="s">
        <v>31</v>
      </c>
      <c r="J9893" s="5">
        <v>16.638549273824001</v>
      </c>
      <c r="K9893" s="5">
        <v>-96.850750220635007</v>
      </c>
      <c r="L9893" s="5" t="str">
        <f>HYPERLINK("https://maps.google.com/?q=16.638549273824,-96.850750220634794", "🔗 Ver Mapa")</f>
        <v>🔗 Ver Mapa</v>
      </c>
    </row>
    <row r="9894" spans="1:12" ht="43.5" x14ac:dyDescent="0.35">
      <c r="A9894" s="6" t="s">
        <v>98</v>
      </c>
      <c r="B9894" s="6" t="s">
        <v>99</v>
      </c>
      <c r="C9894" s="6" t="s">
        <v>1696</v>
      </c>
      <c r="D9894" s="6" t="s">
        <v>14</v>
      </c>
      <c r="E9894" s="6" t="s">
        <v>52</v>
      </c>
      <c r="F9894" s="6" t="s">
        <v>421</v>
      </c>
      <c r="G9894" s="6" t="s">
        <v>422</v>
      </c>
      <c r="H9894" s="6" t="s">
        <v>1697</v>
      </c>
      <c r="I9894" s="6" t="s">
        <v>31</v>
      </c>
      <c r="J9894" s="6">
        <v>16.638837103002</v>
      </c>
      <c r="K9894" s="6">
        <v>-96.849076522209003</v>
      </c>
      <c r="L9894" s="6" t="str">
        <f>HYPERLINK("https://maps.google.com/?q=16.6388371030024,-96.849076522209003", "🔗 Ver Mapa")</f>
        <v>🔗 Ver Mapa</v>
      </c>
    </row>
    <row r="9895" spans="1:12" ht="43.5" x14ac:dyDescent="0.35">
      <c r="A9895" s="5" t="s">
        <v>98</v>
      </c>
      <c r="B9895" s="5" t="s">
        <v>99</v>
      </c>
      <c r="C9895" s="5" t="s">
        <v>1696</v>
      </c>
      <c r="D9895" s="5" t="s">
        <v>14</v>
      </c>
      <c r="E9895" s="5" t="s">
        <v>52</v>
      </c>
      <c r="F9895" s="5" t="s">
        <v>421</v>
      </c>
      <c r="G9895" s="5" t="s">
        <v>422</v>
      </c>
      <c r="H9895" s="5" t="s">
        <v>1697</v>
      </c>
      <c r="I9895" s="5" t="s">
        <v>31</v>
      </c>
      <c r="J9895" s="5">
        <v>16.638910872707999</v>
      </c>
      <c r="K9895" s="5">
        <v>-96.849257527790996</v>
      </c>
      <c r="L9895" s="5" t="str">
        <f>HYPERLINK("https://maps.google.com/?q=16.6389108727076,-96.849257527791096", "🔗 Ver Mapa")</f>
        <v>🔗 Ver Mapa</v>
      </c>
    </row>
    <row r="9896" spans="1:12" ht="43.5" x14ac:dyDescent="0.35">
      <c r="A9896" s="6" t="s">
        <v>98</v>
      </c>
      <c r="B9896" s="6" t="s">
        <v>99</v>
      </c>
      <c r="C9896" s="6" t="s">
        <v>1696</v>
      </c>
      <c r="D9896" s="6" t="s">
        <v>14</v>
      </c>
      <c r="E9896" s="6" t="s">
        <v>52</v>
      </c>
      <c r="F9896" s="6" t="s">
        <v>421</v>
      </c>
      <c r="G9896" s="6" t="s">
        <v>422</v>
      </c>
      <c r="H9896" s="6" t="s">
        <v>1697</v>
      </c>
      <c r="I9896" s="6" t="s">
        <v>31</v>
      </c>
      <c r="J9896" s="6">
        <v>16.639090473016001</v>
      </c>
      <c r="K9896" s="6">
        <v>-96.850824880000005</v>
      </c>
      <c r="L9896" s="6" t="str">
        <f>HYPERLINK("https://maps.google.com/?q=16.6390904730161,-96.850824880000104", "🔗 Ver Mapa")</f>
        <v>🔗 Ver Mapa</v>
      </c>
    </row>
    <row r="9897" spans="1:12" ht="43.5" x14ac:dyDescent="0.35">
      <c r="A9897" s="5" t="s">
        <v>98</v>
      </c>
      <c r="B9897" s="5" t="s">
        <v>99</v>
      </c>
      <c r="C9897" s="5" t="s">
        <v>1696</v>
      </c>
      <c r="D9897" s="5" t="s">
        <v>14</v>
      </c>
      <c r="E9897" s="5" t="s">
        <v>52</v>
      </c>
      <c r="F9897" s="5" t="s">
        <v>421</v>
      </c>
      <c r="G9897" s="5" t="s">
        <v>422</v>
      </c>
      <c r="H9897" s="5" t="s">
        <v>1697</v>
      </c>
      <c r="I9897" s="5" t="s">
        <v>31</v>
      </c>
      <c r="J9897" s="5">
        <v>16.639147281227999</v>
      </c>
      <c r="K9897" s="5">
        <v>-96.851838084567007</v>
      </c>
      <c r="L9897" s="5" t="str">
        <f>HYPERLINK("https://maps.google.com/?q=16.6391472812285,-96.851838084566694", "🔗 Ver Mapa")</f>
        <v>🔗 Ver Mapa</v>
      </c>
    </row>
    <row r="9898" spans="1:12" ht="43.5" x14ac:dyDescent="0.35">
      <c r="A9898" s="6" t="s">
        <v>98</v>
      </c>
      <c r="B9898" s="6" t="s">
        <v>99</v>
      </c>
      <c r="C9898" s="6" t="s">
        <v>1696</v>
      </c>
      <c r="D9898" s="6" t="s">
        <v>14</v>
      </c>
      <c r="E9898" s="6" t="s">
        <v>52</v>
      </c>
      <c r="F9898" s="6" t="s">
        <v>421</v>
      </c>
      <c r="G9898" s="6" t="s">
        <v>422</v>
      </c>
      <c r="H9898" s="6" t="s">
        <v>1697</v>
      </c>
      <c r="I9898" s="6" t="s">
        <v>31</v>
      </c>
      <c r="J9898" s="6">
        <v>16.639176723020999</v>
      </c>
      <c r="K9898" s="6">
        <v>-96.849780635581993</v>
      </c>
      <c r="L9898" s="6" t="str">
        <f>HYPERLINK("https://maps.google.com/?q=16.6391767230207,-96.849780635581993", "🔗 Ver Mapa")</f>
        <v>🔗 Ver Mapa</v>
      </c>
    </row>
    <row r="9899" spans="1:12" ht="43.5" x14ac:dyDescent="0.35">
      <c r="A9899" s="5" t="s">
        <v>98</v>
      </c>
      <c r="B9899" s="5" t="s">
        <v>99</v>
      </c>
      <c r="C9899" s="5" t="s">
        <v>1698</v>
      </c>
      <c r="D9899" s="5" t="s">
        <v>14</v>
      </c>
      <c r="E9899" s="5" t="s">
        <v>52</v>
      </c>
      <c r="F9899" s="5" t="s">
        <v>228</v>
      </c>
      <c r="G9899" s="5" t="s">
        <v>1508</v>
      </c>
      <c r="H9899" s="5" t="s">
        <v>1699</v>
      </c>
      <c r="I9899" s="5" t="s">
        <v>31</v>
      </c>
      <c r="J9899" s="5">
        <v>16.788815041549999</v>
      </c>
      <c r="K9899" s="5">
        <v>-96.655565139692996</v>
      </c>
      <c r="L9899" s="5" t="str">
        <f>HYPERLINK("https://maps.google.com/?q=16.7888150415496,-96.655565139693195", "🔗 Ver Mapa")</f>
        <v>🔗 Ver Mapa</v>
      </c>
    </row>
    <row r="9900" spans="1:12" ht="43.5" x14ac:dyDescent="0.35">
      <c r="A9900" s="6" t="s">
        <v>98</v>
      </c>
      <c r="B9900" s="6" t="s">
        <v>99</v>
      </c>
      <c r="C9900" s="6" t="s">
        <v>1698</v>
      </c>
      <c r="D9900" s="6" t="s">
        <v>14</v>
      </c>
      <c r="E9900" s="6" t="s">
        <v>52</v>
      </c>
      <c r="F9900" s="6" t="s">
        <v>228</v>
      </c>
      <c r="G9900" s="6" t="s">
        <v>1508</v>
      </c>
      <c r="H9900" s="6" t="s">
        <v>1699</v>
      </c>
      <c r="I9900" s="6" t="s">
        <v>31</v>
      </c>
      <c r="J9900" s="6">
        <v>16.789073162632999</v>
      </c>
      <c r="K9900" s="6">
        <v>-96.655029616627004</v>
      </c>
      <c r="L9900" s="6" t="str">
        <f>HYPERLINK("https://maps.google.com/?q=16.7890731626329,-96.655029616627004", "🔗 Ver Mapa")</f>
        <v>🔗 Ver Mapa</v>
      </c>
    </row>
    <row r="9901" spans="1:12" ht="43.5" x14ac:dyDescent="0.35">
      <c r="A9901" s="5" t="s">
        <v>98</v>
      </c>
      <c r="B9901" s="5" t="s">
        <v>99</v>
      </c>
      <c r="C9901" s="5" t="s">
        <v>1698</v>
      </c>
      <c r="D9901" s="5" t="s">
        <v>14</v>
      </c>
      <c r="E9901" s="5" t="s">
        <v>52</v>
      </c>
      <c r="F9901" s="5" t="s">
        <v>228</v>
      </c>
      <c r="G9901" s="5" t="s">
        <v>1508</v>
      </c>
      <c r="H9901" s="5" t="s">
        <v>1699</v>
      </c>
      <c r="I9901" s="5" t="s">
        <v>31</v>
      </c>
      <c r="J9901" s="5">
        <v>16.789090881395001</v>
      </c>
      <c r="K9901" s="5">
        <v>-96.655954205225001</v>
      </c>
      <c r="L9901" s="5" t="str">
        <f>HYPERLINK("https://maps.google.com/?q=16.7890908813948,-96.655954205225498", "🔗 Ver Mapa")</f>
        <v>🔗 Ver Mapa</v>
      </c>
    </row>
    <row r="9902" spans="1:12" ht="43.5" x14ac:dyDescent="0.35">
      <c r="A9902" s="6" t="s">
        <v>98</v>
      </c>
      <c r="B9902" s="6" t="s">
        <v>99</v>
      </c>
      <c r="C9902" s="6" t="s">
        <v>1698</v>
      </c>
      <c r="D9902" s="6" t="s">
        <v>14</v>
      </c>
      <c r="E9902" s="6" t="s">
        <v>52</v>
      </c>
      <c r="F9902" s="6" t="s">
        <v>228</v>
      </c>
      <c r="G9902" s="6" t="s">
        <v>1508</v>
      </c>
      <c r="H9902" s="6" t="s">
        <v>1699</v>
      </c>
      <c r="I9902" s="6" t="s">
        <v>31</v>
      </c>
      <c r="J9902" s="6">
        <v>16.789097313054999</v>
      </c>
      <c r="K9902" s="6">
        <v>-96.655528447427997</v>
      </c>
      <c r="L9902" s="6" t="str">
        <f>HYPERLINK("https://maps.google.com/?q=16.7890973130548,-96.655528447427798", "🔗 Ver Mapa")</f>
        <v>🔗 Ver Mapa</v>
      </c>
    </row>
    <row r="9903" spans="1:12" ht="43.5" x14ac:dyDescent="0.35">
      <c r="A9903" s="5" t="s">
        <v>98</v>
      </c>
      <c r="B9903" s="5" t="s">
        <v>99</v>
      </c>
      <c r="C9903" s="5" t="s">
        <v>1698</v>
      </c>
      <c r="D9903" s="5" t="s">
        <v>14</v>
      </c>
      <c r="E9903" s="5" t="s">
        <v>52</v>
      </c>
      <c r="F9903" s="5" t="s">
        <v>228</v>
      </c>
      <c r="G9903" s="5" t="s">
        <v>1508</v>
      </c>
      <c r="H9903" s="5" t="s">
        <v>1699</v>
      </c>
      <c r="I9903" s="5" t="s">
        <v>31</v>
      </c>
      <c r="J9903" s="5">
        <v>16.789826418451</v>
      </c>
      <c r="K9903" s="5">
        <v>-96.654290350327003</v>
      </c>
      <c r="L9903" s="5" t="str">
        <f>HYPERLINK("https://maps.google.com/?q=16.7898264184508,-96.654290350326704", "🔗 Ver Mapa")</f>
        <v>🔗 Ver Mapa</v>
      </c>
    </row>
    <row r="9904" spans="1:12" ht="58" x14ac:dyDescent="0.35">
      <c r="A9904" s="6" t="s">
        <v>98</v>
      </c>
      <c r="B9904" s="6" t="s">
        <v>99</v>
      </c>
      <c r="C9904" s="6" t="s">
        <v>1700</v>
      </c>
      <c r="D9904" s="6" t="s">
        <v>14</v>
      </c>
      <c r="E9904" s="6" t="s">
        <v>52</v>
      </c>
      <c r="F9904" s="6" t="s">
        <v>421</v>
      </c>
      <c r="G9904" s="6" t="s">
        <v>422</v>
      </c>
      <c r="H9904" s="6" t="s">
        <v>423</v>
      </c>
      <c r="I9904" s="6" t="s">
        <v>31</v>
      </c>
      <c r="J9904" s="6">
        <v>16.551626044729002</v>
      </c>
      <c r="K9904" s="6">
        <v>-96.724810053373005</v>
      </c>
      <c r="L9904" s="6" t="str">
        <f>HYPERLINK("https://maps.google.com/?q=16.5516260447285,-96.724810053372906", "🔗 Ver Mapa")</f>
        <v>🔗 Ver Mapa</v>
      </c>
    </row>
    <row r="9905" spans="1:12" ht="58" x14ac:dyDescent="0.35">
      <c r="A9905" s="5" t="s">
        <v>98</v>
      </c>
      <c r="B9905" s="5" t="s">
        <v>99</v>
      </c>
      <c r="C9905" s="5" t="s">
        <v>1700</v>
      </c>
      <c r="D9905" s="5" t="s">
        <v>14</v>
      </c>
      <c r="E9905" s="5" t="s">
        <v>52</v>
      </c>
      <c r="F9905" s="5" t="s">
        <v>421</v>
      </c>
      <c r="G9905" s="5" t="s">
        <v>422</v>
      </c>
      <c r="H9905" s="5" t="s">
        <v>423</v>
      </c>
      <c r="I9905" s="5" t="s">
        <v>31</v>
      </c>
      <c r="J9905" s="5">
        <v>16.552020507704</v>
      </c>
      <c r="K9905" s="5">
        <v>-96.724602675523002</v>
      </c>
      <c r="L9905" s="5" t="str">
        <f>HYPERLINK("https://maps.google.com/?q=16.5520205077036,-96.724602675522505", "🔗 Ver Mapa")</f>
        <v>🔗 Ver Mapa</v>
      </c>
    </row>
    <row r="9906" spans="1:12" ht="58" x14ac:dyDescent="0.35">
      <c r="A9906" s="6" t="s">
        <v>98</v>
      </c>
      <c r="B9906" s="6" t="s">
        <v>99</v>
      </c>
      <c r="C9906" s="6" t="s">
        <v>1700</v>
      </c>
      <c r="D9906" s="6" t="s">
        <v>14</v>
      </c>
      <c r="E9906" s="6" t="s">
        <v>52</v>
      </c>
      <c r="F9906" s="6" t="s">
        <v>421</v>
      </c>
      <c r="G9906" s="6" t="s">
        <v>422</v>
      </c>
      <c r="H9906" s="6" t="s">
        <v>423</v>
      </c>
      <c r="I9906" s="6" t="s">
        <v>31</v>
      </c>
      <c r="J9906" s="6">
        <v>16.552026361161001</v>
      </c>
      <c r="K9906" s="6">
        <v>-96.72435248072</v>
      </c>
      <c r="L9906" s="6" t="str">
        <f>HYPERLINK("https://maps.google.com/?q=16.5520263611608,-96.724352480719801", "🔗 Ver Mapa")</f>
        <v>🔗 Ver Mapa</v>
      </c>
    </row>
    <row r="9907" spans="1:12" ht="58" x14ac:dyDescent="0.35">
      <c r="A9907" s="5" t="s">
        <v>98</v>
      </c>
      <c r="B9907" s="5" t="s">
        <v>99</v>
      </c>
      <c r="C9907" s="5" t="s">
        <v>1700</v>
      </c>
      <c r="D9907" s="5" t="s">
        <v>14</v>
      </c>
      <c r="E9907" s="5" t="s">
        <v>52</v>
      </c>
      <c r="F9907" s="5" t="s">
        <v>421</v>
      </c>
      <c r="G9907" s="5" t="s">
        <v>422</v>
      </c>
      <c r="H9907" s="5" t="s">
        <v>423</v>
      </c>
      <c r="I9907" s="5" t="s">
        <v>31</v>
      </c>
      <c r="J9907" s="5">
        <v>16.553533018791001</v>
      </c>
      <c r="K9907" s="5">
        <v>-96.725047097791006</v>
      </c>
      <c r="L9907" s="5" t="str">
        <f>HYPERLINK("https://maps.google.com/?q=16.5535330187913,-96.725047097791006", "🔗 Ver Mapa")</f>
        <v>🔗 Ver Mapa</v>
      </c>
    </row>
    <row r="9908" spans="1:12" ht="58" x14ac:dyDescent="0.35">
      <c r="A9908" s="6" t="s">
        <v>98</v>
      </c>
      <c r="B9908" s="6" t="s">
        <v>99</v>
      </c>
      <c r="C9908" s="6" t="s">
        <v>1700</v>
      </c>
      <c r="D9908" s="6" t="s">
        <v>14</v>
      </c>
      <c r="E9908" s="6" t="s">
        <v>52</v>
      </c>
      <c r="F9908" s="6" t="s">
        <v>421</v>
      </c>
      <c r="G9908" s="6" t="s">
        <v>422</v>
      </c>
      <c r="H9908" s="6" t="s">
        <v>423</v>
      </c>
      <c r="I9908" s="6" t="s">
        <v>31</v>
      </c>
      <c r="J9908" s="6">
        <v>16.553732053274999</v>
      </c>
      <c r="K9908" s="6">
        <v>-96.724952549999998</v>
      </c>
      <c r="L9908" s="6" t="str">
        <f>HYPERLINK("https://maps.google.com/?q=16.553732053275,-96.724952549999998", "🔗 Ver Mapa")</f>
        <v>🔗 Ver Mapa</v>
      </c>
    </row>
    <row r="9909" spans="1:12" ht="58" x14ac:dyDescent="0.35">
      <c r="A9909" s="5" t="s">
        <v>98</v>
      </c>
      <c r="B9909" s="5" t="s">
        <v>99</v>
      </c>
      <c r="C9909" s="5" t="s">
        <v>1700</v>
      </c>
      <c r="D9909" s="5" t="s">
        <v>14</v>
      </c>
      <c r="E9909" s="5" t="s">
        <v>52</v>
      </c>
      <c r="F9909" s="5" t="s">
        <v>421</v>
      </c>
      <c r="G9909" s="5" t="s">
        <v>422</v>
      </c>
      <c r="H9909" s="5" t="s">
        <v>423</v>
      </c>
      <c r="I9909" s="5" t="s">
        <v>31</v>
      </c>
      <c r="J9909" s="5">
        <v>16.556051743363</v>
      </c>
      <c r="K9909" s="5">
        <v>-96.726470578716999</v>
      </c>
      <c r="L9909" s="5" t="str">
        <f>HYPERLINK("https://maps.google.com/?q=16.5560517433634,-96.726470578717198", "🔗 Ver Mapa")</f>
        <v>🔗 Ver Mapa</v>
      </c>
    </row>
    <row r="9910" spans="1:12" ht="43.5" x14ac:dyDescent="0.35">
      <c r="A9910" s="6" t="s">
        <v>98</v>
      </c>
      <c r="B9910" s="6" t="s">
        <v>99</v>
      </c>
      <c r="C9910" s="6" t="s">
        <v>1701</v>
      </c>
      <c r="D9910" s="6" t="s">
        <v>14</v>
      </c>
      <c r="E9910" s="6" t="s">
        <v>52</v>
      </c>
      <c r="F9910" s="6" t="s">
        <v>228</v>
      </c>
      <c r="G9910" s="6" t="s">
        <v>1702</v>
      </c>
      <c r="H9910" s="6" t="s">
        <v>1703</v>
      </c>
      <c r="I9910" s="6" t="s">
        <v>31</v>
      </c>
      <c r="J9910" s="6">
        <v>0</v>
      </c>
      <c r="K9910" s="6" t="s">
        <v>1704</v>
      </c>
      <c r="L9910" s="6" t="str">
        <f>HYPERLINK("https://maps.google.com/?q=0, -96.709304", "🔗 Ver Mapa")</f>
        <v>🔗 Ver Mapa</v>
      </c>
    </row>
    <row r="9911" spans="1:12" ht="43.5" x14ac:dyDescent="0.35">
      <c r="A9911" s="5" t="s">
        <v>98</v>
      </c>
      <c r="B9911" s="5" t="s">
        <v>99</v>
      </c>
      <c r="C9911" s="5" t="s">
        <v>1701</v>
      </c>
      <c r="D9911" s="5" t="s">
        <v>14</v>
      </c>
      <c r="E9911" s="5" t="s">
        <v>52</v>
      </c>
      <c r="F9911" s="5" t="s">
        <v>228</v>
      </c>
      <c r="G9911" s="5" t="s">
        <v>1702</v>
      </c>
      <c r="H9911" s="5" t="s">
        <v>1703</v>
      </c>
      <c r="I9911" s="5" t="s">
        <v>31</v>
      </c>
      <c r="J9911" s="5">
        <v>0</v>
      </c>
      <c r="K9911" s="5">
        <v>-96.709023000000002</v>
      </c>
      <c r="L9911" s="5" t="str">
        <f>HYPERLINK("https://maps.google.com/?q=0,-96.709023000000002", "🔗 Ver Mapa")</f>
        <v>🔗 Ver Mapa</v>
      </c>
    </row>
    <row r="9912" spans="1:12" ht="43.5" x14ac:dyDescent="0.35">
      <c r="A9912" s="6" t="s">
        <v>98</v>
      </c>
      <c r="B9912" s="6" t="s">
        <v>99</v>
      </c>
      <c r="C9912" s="6" t="s">
        <v>1701</v>
      </c>
      <c r="D9912" s="6" t="s">
        <v>14</v>
      </c>
      <c r="E9912" s="6" t="s">
        <v>52</v>
      </c>
      <c r="F9912" s="6" t="s">
        <v>228</v>
      </c>
      <c r="G9912" s="6" t="s">
        <v>1702</v>
      </c>
      <c r="H9912" s="6" t="s">
        <v>1703</v>
      </c>
      <c r="I9912" s="6" t="s">
        <v>31</v>
      </c>
      <c r="J9912" s="6">
        <v>0</v>
      </c>
      <c r="K9912" s="6">
        <v>-96.712307999999993</v>
      </c>
      <c r="L9912" s="6" t="str">
        <f>HYPERLINK("https://maps.google.com/?q=0,-96.712307999999993", "🔗 Ver Mapa")</f>
        <v>🔗 Ver Mapa</v>
      </c>
    </row>
    <row r="9913" spans="1:12" ht="43.5" x14ac:dyDescent="0.35">
      <c r="A9913" s="5" t="s">
        <v>98</v>
      </c>
      <c r="B9913" s="5" t="s">
        <v>99</v>
      </c>
      <c r="C9913" s="5" t="s">
        <v>1701</v>
      </c>
      <c r="D9913" s="5" t="s">
        <v>14</v>
      </c>
      <c r="E9913" s="5" t="s">
        <v>52</v>
      </c>
      <c r="F9913" s="5" t="s">
        <v>228</v>
      </c>
      <c r="G9913" s="5" t="s">
        <v>1702</v>
      </c>
      <c r="H9913" s="5" t="s">
        <v>1703</v>
      </c>
      <c r="I9913" s="5" t="s">
        <v>31</v>
      </c>
      <c r="J9913" s="5">
        <v>16.70561</v>
      </c>
      <c r="K9913" s="5">
        <v>-96.709675000000004</v>
      </c>
      <c r="L9913" s="5" t="str">
        <f>HYPERLINK("https://maps.google.com/?q=16.70561,-96.709675000000004", "🔗 Ver Mapa")</f>
        <v>🔗 Ver Mapa</v>
      </c>
    </row>
    <row r="9914" spans="1:12" ht="43.5" x14ac:dyDescent="0.35">
      <c r="A9914" s="6" t="s">
        <v>98</v>
      </c>
      <c r="B9914" s="6" t="s">
        <v>99</v>
      </c>
      <c r="C9914" s="6" t="s">
        <v>1701</v>
      </c>
      <c r="D9914" s="6" t="s">
        <v>14</v>
      </c>
      <c r="E9914" s="6" t="s">
        <v>52</v>
      </c>
      <c r="F9914" s="6" t="s">
        <v>228</v>
      </c>
      <c r="G9914" s="6" t="s">
        <v>1702</v>
      </c>
      <c r="H9914" s="6" t="s">
        <v>1703</v>
      </c>
      <c r="I9914" s="6" t="s">
        <v>31</v>
      </c>
      <c r="J9914" s="6">
        <v>16.705771858327001</v>
      </c>
      <c r="K9914" s="6">
        <v>-96.713260467251004</v>
      </c>
      <c r="L9914" s="6" t="str">
        <f>HYPERLINK("https://maps.google.com/?q=16.7057718583274,-96.713260467251004", "🔗 Ver Mapa")</f>
        <v>🔗 Ver Mapa</v>
      </c>
    </row>
    <row r="9915" spans="1:12" ht="43.5" x14ac:dyDescent="0.35">
      <c r="A9915" s="5" t="s">
        <v>98</v>
      </c>
      <c r="B9915" s="5" t="s">
        <v>99</v>
      </c>
      <c r="C9915" s="5" t="s">
        <v>1701</v>
      </c>
      <c r="D9915" s="5" t="s">
        <v>14</v>
      </c>
      <c r="E9915" s="5" t="s">
        <v>52</v>
      </c>
      <c r="F9915" s="5" t="s">
        <v>228</v>
      </c>
      <c r="G9915" s="5" t="s">
        <v>1702</v>
      </c>
      <c r="H9915" s="5" t="s">
        <v>1703</v>
      </c>
      <c r="I9915" s="5" t="s">
        <v>31</v>
      </c>
      <c r="J9915" s="5">
        <v>16.706219999999998</v>
      </c>
      <c r="K9915" s="5">
        <v>-96.709524999999999</v>
      </c>
      <c r="L9915" s="5" t="str">
        <f>HYPERLINK("https://maps.google.com/?q=16.70622,-96.709524999999999", "🔗 Ver Mapa")</f>
        <v>🔗 Ver Mapa</v>
      </c>
    </row>
    <row r="9916" spans="1:12" ht="43.5" x14ac:dyDescent="0.35">
      <c r="A9916" s="6" t="s">
        <v>98</v>
      </c>
      <c r="B9916" s="6" t="s">
        <v>99</v>
      </c>
      <c r="C9916" s="6" t="s">
        <v>1701</v>
      </c>
      <c r="D9916" s="6" t="s">
        <v>14</v>
      </c>
      <c r="E9916" s="6" t="s">
        <v>52</v>
      </c>
      <c r="F9916" s="6" t="s">
        <v>228</v>
      </c>
      <c r="G9916" s="6" t="s">
        <v>1702</v>
      </c>
      <c r="H9916" s="6" t="s">
        <v>1703</v>
      </c>
      <c r="I9916" s="6" t="s">
        <v>31</v>
      </c>
      <c r="J9916" s="6">
        <v>16.707001000000002</v>
      </c>
      <c r="K9916" s="6">
        <v>-96.710536000000005</v>
      </c>
      <c r="L9916" s="6" t="str">
        <f>HYPERLINK("https://maps.google.com/?q=16.707001,-96.710536000000005", "🔗 Ver Mapa")</f>
        <v>🔗 Ver Mapa</v>
      </c>
    </row>
    <row r="9917" spans="1:12" ht="43.5" x14ac:dyDescent="0.35">
      <c r="A9917" s="5" t="s">
        <v>98</v>
      </c>
      <c r="B9917" s="5" t="s">
        <v>99</v>
      </c>
      <c r="C9917" s="5" t="s">
        <v>1701</v>
      </c>
      <c r="D9917" s="5" t="s">
        <v>14</v>
      </c>
      <c r="E9917" s="5" t="s">
        <v>52</v>
      </c>
      <c r="F9917" s="5" t="s">
        <v>228</v>
      </c>
      <c r="G9917" s="5" t="s">
        <v>1702</v>
      </c>
      <c r="H9917" s="5" t="s">
        <v>1703</v>
      </c>
      <c r="I9917" s="5" t="s">
        <v>31</v>
      </c>
      <c r="J9917" s="5">
        <v>16.707018999999999</v>
      </c>
      <c r="K9917" s="5">
        <v>-96.706770000000006</v>
      </c>
      <c r="L9917" s="5" t="str">
        <f>HYPERLINK("https://maps.google.com/?q=16.707019,-96.706770000000006", "🔗 Ver Mapa")</f>
        <v>🔗 Ver Mapa</v>
      </c>
    </row>
    <row r="9918" spans="1:12" ht="43.5" x14ac:dyDescent="0.35">
      <c r="A9918" s="6" t="s">
        <v>98</v>
      </c>
      <c r="B9918" s="6" t="s">
        <v>99</v>
      </c>
      <c r="C9918" s="6" t="s">
        <v>1701</v>
      </c>
      <c r="D9918" s="6" t="s">
        <v>14</v>
      </c>
      <c r="E9918" s="6" t="s">
        <v>52</v>
      </c>
      <c r="F9918" s="6" t="s">
        <v>228</v>
      </c>
      <c r="G9918" s="6" t="s">
        <v>1702</v>
      </c>
      <c r="H9918" s="6" t="s">
        <v>1703</v>
      </c>
      <c r="I9918" s="6" t="s">
        <v>31</v>
      </c>
      <c r="J9918" s="6">
        <v>16.707062000000001</v>
      </c>
      <c r="K9918" s="6">
        <v>-96.707736999999995</v>
      </c>
      <c r="L9918" s="6" t="str">
        <f>HYPERLINK("https://maps.google.com/?q=16.707062,-96.707736999999995", "🔗 Ver Mapa")</f>
        <v>🔗 Ver Mapa</v>
      </c>
    </row>
    <row r="9919" spans="1:12" ht="43.5" x14ac:dyDescent="0.35">
      <c r="A9919" s="5" t="s">
        <v>98</v>
      </c>
      <c r="B9919" s="5" t="s">
        <v>99</v>
      </c>
      <c r="C9919" s="5" t="s">
        <v>1701</v>
      </c>
      <c r="D9919" s="5" t="s">
        <v>14</v>
      </c>
      <c r="E9919" s="5" t="s">
        <v>52</v>
      </c>
      <c r="F9919" s="5" t="s">
        <v>228</v>
      </c>
      <c r="G9919" s="5" t="s">
        <v>1702</v>
      </c>
      <c r="H9919" s="5" t="s">
        <v>1703</v>
      </c>
      <c r="I9919" s="5" t="s">
        <v>31</v>
      </c>
      <c r="J9919" s="5">
        <v>16.707070000000002</v>
      </c>
      <c r="K9919" s="5">
        <v>-96.710255000000004</v>
      </c>
      <c r="L9919" s="5" t="str">
        <f>HYPERLINK("https://maps.google.com/?q=16.70707,-96.710255000000004", "🔗 Ver Mapa")</f>
        <v>🔗 Ver Mapa</v>
      </c>
    </row>
    <row r="9920" spans="1:12" ht="43.5" x14ac:dyDescent="0.35">
      <c r="A9920" s="6" t="s">
        <v>98</v>
      </c>
      <c r="B9920" s="6" t="s">
        <v>99</v>
      </c>
      <c r="C9920" s="6" t="s">
        <v>1701</v>
      </c>
      <c r="D9920" s="6" t="s">
        <v>14</v>
      </c>
      <c r="E9920" s="6" t="s">
        <v>52</v>
      </c>
      <c r="F9920" s="6" t="s">
        <v>228</v>
      </c>
      <c r="G9920" s="6" t="s">
        <v>1702</v>
      </c>
      <c r="H9920" s="6" t="s">
        <v>1703</v>
      </c>
      <c r="I9920" s="6" t="s">
        <v>31</v>
      </c>
      <c r="J9920" s="6">
        <v>16.707234433637002</v>
      </c>
      <c r="K9920" s="6">
        <v>-96.712208705522002</v>
      </c>
      <c r="L9920" s="6" t="str">
        <f>HYPERLINK("https://maps.google.com/?q=16.7072344336366,-96.712208705522499", "🔗 Ver Mapa")</f>
        <v>🔗 Ver Mapa</v>
      </c>
    </row>
    <row r="9921" spans="1:12" ht="43.5" x14ac:dyDescent="0.35">
      <c r="A9921" s="5" t="s">
        <v>98</v>
      </c>
      <c r="B9921" s="5" t="s">
        <v>99</v>
      </c>
      <c r="C9921" s="5" t="s">
        <v>1701</v>
      </c>
      <c r="D9921" s="5" t="s">
        <v>14</v>
      </c>
      <c r="E9921" s="5" t="s">
        <v>52</v>
      </c>
      <c r="F9921" s="5" t="s">
        <v>228</v>
      </c>
      <c r="G9921" s="5" t="s">
        <v>1702</v>
      </c>
      <c r="H9921" s="5" t="s">
        <v>1703</v>
      </c>
      <c r="I9921" s="5" t="s">
        <v>31</v>
      </c>
      <c r="J9921" s="5">
        <v>16.707315864656</v>
      </c>
      <c r="K9921" s="5">
        <v>-96.708954658894996</v>
      </c>
      <c r="L9921" s="5" t="str">
        <f>HYPERLINK("https://maps.google.com/?q=16.707315864656,-96.708954658895493", "🔗 Ver Mapa")</f>
        <v>🔗 Ver Mapa</v>
      </c>
    </row>
    <row r="9922" spans="1:12" ht="43.5" x14ac:dyDescent="0.35">
      <c r="A9922" s="6" t="s">
        <v>98</v>
      </c>
      <c r="B9922" s="6" t="s">
        <v>99</v>
      </c>
      <c r="C9922" s="6" t="s">
        <v>1701</v>
      </c>
      <c r="D9922" s="6" t="s">
        <v>14</v>
      </c>
      <c r="E9922" s="6" t="s">
        <v>52</v>
      </c>
      <c r="F9922" s="6" t="s">
        <v>228</v>
      </c>
      <c r="G9922" s="6" t="s">
        <v>1702</v>
      </c>
      <c r="H9922" s="6" t="s">
        <v>1703</v>
      </c>
      <c r="I9922" s="6" t="s">
        <v>31</v>
      </c>
      <c r="J9922" s="6">
        <v>16.707340295674999</v>
      </c>
      <c r="K9922" s="6">
        <v>-96.712037658894999</v>
      </c>
      <c r="L9922" s="6" t="str">
        <f>HYPERLINK("https://maps.google.com/?q=16.7073402956754,-96.712037658895497", "🔗 Ver Mapa")</f>
        <v>🔗 Ver Mapa</v>
      </c>
    </row>
    <row r="9923" spans="1:12" ht="43.5" x14ac:dyDescent="0.35">
      <c r="A9923" s="5" t="s">
        <v>98</v>
      </c>
      <c r="B9923" s="5" t="s">
        <v>99</v>
      </c>
      <c r="C9923" s="5" t="s">
        <v>1701</v>
      </c>
      <c r="D9923" s="5" t="s">
        <v>14</v>
      </c>
      <c r="E9923" s="5" t="s">
        <v>52</v>
      </c>
      <c r="F9923" s="5" t="s">
        <v>228</v>
      </c>
      <c r="G9923" s="5" t="s">
        <v>1702</v>
      </c>
      <c r="H9923" s="5" t="s">
        <v>1703</v>
      </c>
      <c r="I9923" s="5" t="s">
        <v>31</v>
      </c>
      <c r="J9923" s="5">
        <v>16.707868999999999</v>
      </c>
      <c r="K9923" s="5" t="s">
        <v>1705</v>
      </c>
      <c r="L9923" s="5" t="str">
        <f>HYPERLINK("https://maps.google.com/?q=16.707869, -96.709917", "🔗 Ver Mapa")</f>
        <v>🔗 Ver Mapa</v>
      </c>
    </row>
    <row r="9924" spans="1:12" ht="43.5" x14ac:dyDescent="0.35">
      <c r="A9924" s="6" t="s">
        <v>98</v>
      </c>
      <c r="B9924" s="6" t="s">
        <v>99</v>
      </c>
      <c r="C9924" s="6" t="s">
        <v>1701</v>
      </c>
      <c r="D9924" s="6" t="s">
        <v>14</v>
      </c>
      <c r="E9924" s="6" t="s">
        <v>52</v>
      </c>
      <c r="F9924" s="6" t="s">
        <v>228</v>
      </c>
      <c r="G9924" s="6" t="s">
        <v>1702</v>
      </c>
      <c r="H9924" s="6" t="s">
        <v>1703</v>
      </c>
      <c r="I9924" s="6" t="s">
        <v>31</v>
      </c>
      <c r="J9924" s="6">
        <v>16.708393067279001</v>
      </c>
      <c r="K9924" s="6">
        <v>-96.707891894512002</v>
      </c>
      <c r="L9924" s="6" t="str">
        <f>HYPERLINK("https://maps.google.com/?q=16.7083930672794,-96.707891894512102", "🔗 Ver Mapa")</f>
        <v>🔗 Ver Mapa</v>
      </c>
    </row>
    <row r="9925" spans="1:12" ht="43.5" x14ac:dyDescent="0.35">
      <c r="A9925" s="5" t="s">
        <v>98</v>
      </c>
      <c r="B9925" s="5" t="s">
        <v>99</v>
      </c>
      <c r="C9925" s="5" t="s">
        <v>1701</v>
      </c>
      <c r="D9925" s="5" t="s">
        <v>14</v>
      </c>
      <c r="E9925" s="5" t="s">
        <v>52</v>
      </c>
      <c r="F9925" s="5" t="s">
        <v>228</v>
      </c>
      <c r="G9925" s="5" t="s">
        <v>1702</v>
      </c>
      <c r="H9925" s="5" t="s">
        <v>1703</v>
      </c>
      <c r="I9925" s="5" t="s">
        <v>31</v>
      </c>
      <c r="J9925" s="5">
        <v>16.709106433662001</v>
      </c>
      <c r="K9925" s="5">
        <v>-96.708860341104</v>
      </c>
      <c r="L9925" s="5" t="str">
        <f>HYPERLINK("https://maps.google.com/?q=16.709106433662,-96.708860341104497", "🔗 Ver Mapa")</f>
        <v>🔗 Ver Mapa</v>
      </c>
    </row>
    <row r="9926" spans="1:12" ht="43.5" x14ac:dyDescent="0.35">
      <c r="A9926" s="6" t="s">
        <v>98</v>
      </c>
      <c r="B9926" s="6" t="s">
        <v>99</v>
      </c>
      <c r="C9926" s="6" t="s">
        <v>1701</v>
      </c>
      <c r="D9926" s="6" t="s">
        <v>14</v>
      </c>
      <c r="E9926" s="6" t="s">
        <v>52</v>
      </c>
      <c r="F9926" s="6" t="s">
        <v>228</v>
      </c>
      <c r="G9926" s="6" t="s">
        <v>1702</v>
      </c>
      <c r="H9926" s="6" t="s">
        <v>1703</v>
      </c>
      <c r="I9926" s="6" t="s">
        <v>31</v>
      </c>
      <c r="J9926" s="6">
        <v>16.709125080001002</v>
      </c>
      <c r="K9926" s="6">
        <v>-96.710429766288001</v>
      </c>
      <c r="L9926" s="6" t="str">
        <f>HYPERLINK("https://maps.google.com/?q=16.7091250800014,-96.710429766287703", "🔗 Ver Mapa")</f>
        <v>🔗 Ver Mapa</v>
      </c>
    </row>
    <row r="9927" spans="1:12" ht="43.5" x14ac:dyDescent="0.35">
      <c r="A9927" s="5" t="s">
        <v>98</v>
      </c>
      <c r="B9927" s="5" t="s">
        <v>99</v>
      </c>
      <c r="C9927" s="5" t="s">
        <v>1701</v>
      </c>
      <c r="D9927" s="5" t="s">
        <v>14</v>
      </c>
      <c r="E9927" s="5" t="s">
        <v>52</v>
      </c>
      <c r="F9927" s="5" t="s">
        <v>228</v>
      </c>
      <c r="G9927" s="5" t="s">
        <v>1702</v>
      </c>
      <c r="H9927" s="5" t="s">
        <v>1703</v>
      </c>
      <c r="I9927" s="5" t="s">
        <v>31</v>
      </c>
      <c r="J9927" s="5">
        <v>16.709418002620001</v>
      </c>
      <c r="K9927" s="5">
        <v>-96.710204271164002</v>
      </c>
      <c r="L9927" s="5" t="str">
        <f>HYPERLINK("https://maps.google.com/?q=16.7094180026197,-96.710204271163903", "🔗 Ver Mapa")</f>
        <v>🔗 Ver Mapa</v>
      </c>
    </row>
    <row r="9928" spans="1:12" ht="43.5" x14ac:dyDescent="0.35">
      <c r="A9928" s="6" t="s">
        <v>98</v>
      </c>
      <c r="B9928" s="6" t="s">
        <v>99</v>
      </c>
      <c r="C9928" s="6" t="s">
        <v>1701</v>
      </c>
      <c r="D9928" s="6" t="s">
        <v>14</v>
      </c>
      <c r="E9928" s="6" t="s">
        <v>52</v>
      </c>
      <c r="F9928" s="6" t="s">
        <v>228</v>
      </c>
      <c r="G9928" s="6" t="s">
        <v>1702</v>
      </c>
      <c r="H9928" s="6" t="s">
        <v>1703</v>
      </c>
      <c r="I9928" s="6" t="s">
        <v>31</v>
      </c>
      <c r="J9928" s="6">
        <v>16.709451999999999</v>
      </c>
      <c r="K9928" s="6" t="s">
        <v>1706</v>
      </c>
      <c r="L9928" s="6" t="str">
        <f>HYPERLINK("https://maps.google.com/?q=16.709452, -96.708868", "🔗 Ver Mapa")</f>
        <v>🔗 Ver Mapa</v>
      </c>
    </row>
    <row r="9929" spans="1:12" ht="43.5" x14ac:dyDescent="0.35">
      <c r="A9929" s="5" t="s">
        <v>98</v>
      </c>
      <c r="B9929" s="5" t="s">
        <v>99</v>
      </c>
      <c r="C9929" s="5" t="s">
        <v>1701</v>
      </c>
      <c r="D9929" s="5" t="s">
        <v>14</v>
      </c>
      <c r="E9929" s="5" t="s">
        <v>52</v>
      </c>
      <c r="F9929" s="5" t="s">
        <v>228</v>
      </c>
      <c r="G9929" s="5" t="s">
        <v>1702</v>
      </c>
      <c r="H9929" s="5" t="s">
        <v>1703</v>
      </c>
      <c r="I9929" s="5" t="s">
        <v>31</v>
      </c>
      <c r="J9929" s="5">
        <v>16.710469480840001</v>
      </c>
      <c r="K9929" s="5">
        <v>-96.713481658896001</v>
      </c>
      <c r="L9929" s="5" t="str">
        <f>HYPERLINK("https://maps.google.com/?q=16.7104694808396,-96.713481658895503", "🔗 Ver Mapa")</f>
        <v>🔗 Ver Mapa</v>
      </c>
    </row>
    <row r="9930" spans="1:12" ht="43.5" x14ac:dyDescent="0.35">
      <c r="A9930" s="6" t="s">
        <v>98</v>
      </c>
      <c r="B9930" s="6" t="s">
        <v>99</v>
      </c>
      <c r="C9930" s="6" t="s">
        <v>1701</v>
      </c>
      <c r="D9930" s="6" t="s">
        <v>14</v>
      </c>
      <c r="E9930" s="6" t="s">
        <v>52</v>
      </c>
      <c r="F9930" s="6" t="s">
        <v>228</v>
      </c>
      <c r="G9930" s="6" t="s">
        <v>1702</v>
      </c>
      <c r="H9930" s="6" t="s">
        <v>1703</v>
      </c>
      <c r="I9930" s="6" t="s">
        <v>31</v>
      </c>
      <c r="J9930" s="6">
        <v>16.711902017560998</v>
      </c>
      <c r="K9930" s="6">
        <v>-96.712109999999996</v>
      </c>
      <c r="L9930" s="6" t="str">
        <f>HYPERLINK("https://maps.google.com/?q=16.7119020175609,-96.712109999999996", "🔗 Ver Mapa")</f>
        <v>🔗 Ver Mapa</v>
      </c>
    </row>
    <row r="9931" spans="1:12" ht="43.5" x14ac:dyDescent="0.35">
      <c r="A9931" s="5" t="s">
        <v>98</v>
      </c>
      <c r="B9931" s="5" t="s">
        <v>99</v>
      </c>
      <c r="C9931" s="5" t="s">
        <v>1701</v>
      </c>
      <c r="D9931" s="5" t="s">
        <v>14</v>
      </c>
      <c r="E9931" s="5" t="s">
        <v>52</v>
      </c>
      <c r="F9931" s="5" t="s">
        <v>228</v>
      </c>
      <c r="G9931" s="5" t="s">
        <v>1702</v>
      </c>
      <c r="H9931" s="5" t="s">
        <v>1703</v>
      </c>
      <c r="I9931" s="5" t="s">
        <v>31</v>
      </c>
      <c r="J9931" s="5">
        <v>16.712065111015999</v>
      </c>
      <c r="K9931" s="5">
        <v>-96.713254607305998</v>
      </c>
      <c r="L9931" s="5" t="str">
        <f>HYPERLINK("https://maps.google.com/?q=16.7120651110161,-96.713254607306098", "🔗 Ver Mapa")</f>
        <v>🔗 Ver Mapa</v>
      </c>
    </row>
    <row r="9932" spans="1:12" ht="43.5" x14ac:dyDescent="0.35">
      <c r="A9932" s="6" t="s">
        <v>98</v>
      </c>
      <c r="B9932" s="6" t="s">
        <v>99</v>
      </c>
      <c r="C9932" s="6" t="s">
        <v>1701</v>
      </c>
      <c r="D9932" s="6" t="s">
        <v>14</v>
      </c>
      <c r="E9932" s="6" t="s">
        <v>52</v>
      </c>
      <c r="F9932" s="6" t="s">
        <v>228</v>
      </c>
      <c r="G9932" s="6" t="s">
        <v>1702</v>
      </c>
      <c r="H9932" s="6" t="s">
        <v>1703</v>
      </c>
      <c r="I9932" s="6" t="s">
        <v>31</v>
      </c>
      <c r="J9932" s="6">
        <v>16.712781</v>
      </c>
      <c r="K9932" s="6">
        <v>-96.710993000000002</v>
      </c>
      <c r="L9932" s="6" t="str">
        <f>HYPERLINK("https://maps.google.com/?q=16.712781,-96.710993000000002", "🔗 Ver Mapa")</f>
        <v>🔗 Ver Mapa</v>
      </c>
    </row>
    <row r="9933" spans="1:12" ht="43.5" x14ac:dyDescent="0.35">
      <c r="A9933" s="5" t="s">
        <v>98</v>
      </c>
      <c r="B9933" s="5" t="s">
        <v>99</v>
      </c>
      <c r="C9933" s="5" t="s">
        <v>1701</v>
      </c>
      <c r="D9933" s="5" t="s">
        <v>14</v>
      </c>
      <c r="E9933" s="5" t="s">
        <v>52</v>
      </c>
      <c r="F9933" s="5" t="s">
        <v>228</v>
      </c>
      <c r="G9933" s="5" t="s">
        <v>1702</v>
      </c>
      <c r="H9933" s="5" t="s">
        <v>1703</v>
      </c>
      <c r="I9933" s="5" t="s">
        <v>31</v>
      </c>
      <c r="J9933" s="5">
        <v>16.71404557188</v>
      </c>
      <c r="K9933" s="5">
        <v>-96.711186146108005</v>
      </c>
      <c r="L9933" s="5" t="str">
        <f>HYPERLINK("https://maps.google.com/?q=16.7140455718802,-96.711186146108304", "🔗 Ver Mapa")</f>
        <v>🔗 Ver Mapa</v>
      </c>
    </row>
    <row r="9934" spans="1:12" ht="43.5" x14ac:dyDescent="0.35">
      <c r="A9934" s="6" t="s">
        <v>98</v>
      </c>
      <c r="B9934" s="6" t="s">
        <v>99</v>
      </c>
      <c r="C9934" s="6" t="s">
        <v>1701</v>
      </c>
      <c r="D9934" s="6" t="s">
        <v>14</v>
      </c>
      <c r="E9934" s="6" t="s">
        <v>52</v>
      </c>
      <c r="F9934" s="6" t="s">
        <v>228</v>
      </c>
      <c r="G9934" s="6" t="s">
        <v>1702</v>
      </c>
      <c r="H9934" s="6" t="s">
        <v>1703</v>
      </c>
      <c r="I9934" s="6" t="s">
        <v>31</v>
      </c>
      <c r="J9934" s="6">
        <v>16.714098251534999</v>
      </c>
      <c r="K9934" s="6">
        <v>-96.710675324809003</v>
      </c>
      <c r="L9934" s="6" t="str">
        <f>HYPERLINK("https://maps.google.com/?q=16.7140982515349,-96.710675324808804", "🔗 Ver Mapa")</f>
        <v>🔗 Ver Mapa</v>
      </c>
    </row>
    <row r="9935" spans="1:12" ht="43.5" x14ac:dyDescent="0.35">
      <c r="A9935" s="5" t="s">
        <v>98</v>
      </c>
      <c r="B9935" s="5" t="s">
        <v>99</v>
      </c>
      <c r="C9935" s="5" t="s">
        <v>1707</v>
      </c>
      <c r="D9935" s="5" t="s">
        <v>14</v>
      </c>
      <c r="E9935" s="5" t="s">
        <v>52</v>
      </c>
      <c r="F9935" s="5" t="s">
        <v>228</v>
      </c>
      <c r="G9935" s="5" t="s">
        <v>1702</v>
      </c>
      <c r="H9935" s="5" t="s">
        <v>1703</v>
      </c>
      <c r="I9935" s="5" t="s">
        <v>31</v>
      </c>
      <c r="J9935" s="5">
        <v>0</v>
      </c>
      <c r="K9935" s="5">
        <v>-96.711450999999997</v>
      </c>
      <c r="L9935" s="5" t="str">
        <f>HYPERLINK("https://maps.google.com/?q=0,-96.711450999999997", "🔗 Ver Mapa")</f>
        <v>🔗 Ver Mapa</v>
      </c>
    </row>
    <row r="9936" spans="1:12" ht="43.5" x14ac:dyDescent="0.35">
      <c r="A9936" s="6" t="s">
        <v>98</v>
      </c>
      <c r="B9936" s="6" t="s">
        <v>99</v>
      </c>
      <c r="C9936" s="6" t="s">
        <v>1707</v>
      </c>
      <c r="D9936" s="6" t="s">
        <v>14</v>
      </c>
      <c r="E9936" s="6" t="s">
        <v>52</v>
      </c>
      <c r="F9936" s="6" t="s">
        <v>228</v>
      </c>
      <c r="G9936" s="6" t="s">
        <v>1702</v>
      </c>
      <c r="H9936" s="6" t="s">
        <v>1703</v>
      </c>
      <c r="I9936" s="6" t="s">
        <v>31</v>
      </c>
      <c r="J9936" s="6">
        <v>0</v>
      </c>
      <c r="K9936" s="6">
        <v>-96.713018000000005</v>
      </c>
      <c r="L9936" s="6" t="str">
        <f>HYPERLINK("https://maps.google.com/?q=0,-96.713018000000005", "🔗 Ver Mapa")</f>
        <v>🔗 Ver Mapa</v>
      </c>
    </row>
    <row r="9937" spans="1:12" ht="43.5" x14ac:dyDescent="0.35">
      <c r="A9937" s="5" t="s">
        <v>98</v>
      </c>
      <c r="B9937" s="5" t="s">
        <v>99</v>
      </c>
      <c r="C9937" s="5" t="s">
        <v>1707</v>
      </c>
      <c r="D9937" s="5" t="s">
        <v>14</v>
      </c>
      <c r="E9937" s="5" t="s">
        <v>52</v>
      </c>
      <c r="F9937" s="5" t="s">
        <v>228</v>
      </c>
      <c r="G9937" s="5" t="s">
        <v>1702</v>
      </c>
      <c r="H9937" s="5" t="s">
        <v>1703</v>
      </c>
      <c r="I9937" s="5" t="s">
        <v>31</v>
      </c>
      <c r="J9937" s="5">
        <v>0</v>
      </c>
      <c r="K9937" s="5">
        <v>-96.708237999999994</v>
      </c>
      <c r="L9937" s="5" t="str">
        <f>HYPERLINK("https://maps.google.com/?q=0,-96.708237999999994", "🔗 Ver Mapa")</f>
        <v>🔗 Ver Mapa</v>
      </c>
    </row>
    <row r="9938" spans="1:12" ht="43.5" x14ac:dyDescent="0.35">
      <c r="A9938" s="6" t="s">
        <v>98</v>
      </c>
      <c r="B9938" s="6" t="s">
        <v>99</v>
      </c>
      <c r="C9938" s="6" t="s">
        <v>1707</v>
      </c>
      <c r="D9938" s="6" t="s">
        <v>14</v>
      </c>
      <c r="E9938" s="6" t="s">
        <v>52</v>
      </c>
      <c r="F9938" s="6" t="s">
        <v>228</v>
      </c>
      <c r="G9938" s="6" t="s">
        <v>1702</v>
      </c>
      <c r="H9938" s="6" t="s">
        <v>1703</v>
      </c>
      <c r="I9938" s="6" t="s">
        <v>31</v>
      </c>
      <c r="J9938" s="6">
        <v>16.705203103808</v>
      </c>
      <c r="K9938" s="6">
        <v>-96.709751548444999</v>
      </c>
      <c r="L9938" s="6" t="str">
        <f>HYPERLINK("https://maps.google.com/?q=16.7052031038082,-96.7097515484448", "🔗 Ver Mapa")</f>
        <v>🔗 Ver Mapa</v>
      </c>
    </row>
    <row r="9939" spans="1:12" ht="43.5" x14ac:dyDescent="0.35">
      <c r="A9939" s="5" t="s">
        <v>98</v>
      </c>
      <c r="B9939" s="5" t="s">
        <v>99</v>
      </c>
      <c r="C9939" s="5" t="s">
        <v>1707</v>
      </c>
      <c r="D9939" s="5" t="s">
        <v>14</v>
      </c>
      <c r="E9939" s="5" t="s">
        <v>52</v>
      </c>
      <c r="F9939" s="5" t="s">
        <v>228</v>
      </c>
      <c r="G9939" s="5" t="s">
        <v>1702</v>
      </c>
      <c r="H9939" s="5" t="s">
        <v>1703</v>
      </c>
      <c r="I9939" s="5" t="s">
        <v>31</v>
      </c>
      <c r="J9939" s="5">
        <v>16.705270201733999</v>
      </c>
      <c r="K9939" s="5">
        <v>-96.712583340088997</v>
      </c>
      <c r="L9939" s="5" t="str">
        <f>HYPERLINK("https://maps.google.com/?q=16.7052702017343,-96.712583340088699", "🔗 Ver Mapa")</f>
        <v>🔗 Ver Mapa</v>
      </c>
    </row>
    <row r="9940" spans="1:12" ht="43.5" x14ac:dyDescent="0.35">
      <c r="A9940" s="6" t="s">
        <v>98</v>
      </c>
      <c r="B9940" s="6" t="s">
        <v>99</v>
      </c>
      <c r="C9940" s="6" t="s">
        <v>1707</v>
      </c>
      <c r="D9940" s="6" t="s">
        <v>14</v>
      </c>
      <c r="E9940" s="6" t="s">
        <v>52</v>
      </c>
      <c r="F9940" s="6" t="s">
        <v>228</v>
      </c>
      <c r="G9940" s="6" t="s">
        <v>1702</v>
      </c>
      <c r="H9940" s="6" t="s">
        <v>1703</v>
      </c>
      <c r="I9940" s="6" t="s">
        <v>31</v>
      </c>
      <c r="J9940" s="6">
        <v>16.706258999999999</v>
      </c>
      <c r="K9940" s="6">
        <v>-96.709200999999993</v>
      </c>
      <c r="L9940" s="6" t="str">
        <f>HYPERLINK("https://maps.google.com/?q=16.706259,-96.709200999999993", "🔗 Ver Mapa")</f>
        <v>🔗 Ver Mapa</v>
      </c>
    </row>
    <row r="9941" spans="1:12" ht="43.5" x14ac:dyDescent="0.35">
      <c r="A9941" s="5" t="s">
        <v>98</v>
      </c>
      <c r="B9941" s="5" t="s">
        <v>99</v>
      </c>
      <c r="C9941" s="5" t="s">
        <v>1707</v>
      </c>
      <c r="D9941" s="5" t="s">
        <v>14</v>
      </c>
      <c r="E9941" s="5" t="s">
        <v>52</v>
      </c>
      <c r="F9941" s="5" t="s">
        <v>228</v>
      </c>
      <c r="G9941" s="5" t="s">
        <v>1702</v>
      </c>
      <c r="H9941" s="5" t="s">
        <v>1703</v>
      </c>
      <c r="I9941" s="5" t="s">
        <v>31</v>
      </c>
      <c r="J9941" s="5">
        <v>16.706821999999999</v>
      </c>
      <c r="K9941" s="5" t="s">
        <v>1708</v>
      </c>
      <c r="L9941" s="5" t="str">
        <f>HYPERLINK("https://maps.google.com/?q=16.706822, -96.707729", "🔗 Ver Mapa")</f>
        <v>🔗 Ver Mapa</v>
      </c>
    </row>
    <row r="9942" spans="1:12" ht="43.5" x14ac:dyDescent="0.35">
      <c r="A9942" s="6" t="s">
        <v>98</v>
      </c>
      <c r="B9942" s="6" t="s">
        <v>99</v>
      </c>
      <c r="C9942" s="6" t="s">
        <v>1707</v>
      </c>
      <c r="D9942" s="6" t="s">
        <v>14</v>
      </c>
      <c r="E9942" s="6" t="s">
        <v>52</v>
      </c>
      <c r="F9942" s="6" t="s">
        <v>228</v>
      </c>
      <c r="G9942" s="6" t="s">
        <v>1702</v>
      </c>
      <c r="H9942" s="6" t="s">
        <v>1703</v>
      </c>
      <c r="I9942" s="6" t="s">
        <v>31</v>
      </c>
      <c r="J9942" s="6">
        <v>16.707211000000001</v>
      </c>
      <c r="K9942" s="6">
        <v>-96.707099999999997</v>
      </c>
      <c r="L9942" s="6" t="str">
        <f>HYPERLINK("https://maps.google.com/?q=16.707211,-96.707099999999997", "🔗 Ver Mapa")</f>
        <v>🔗 Ver Mapa</v>
      </c>
    </row>
    <row r="9943" spans="1:12" ht="43.5" x14ac:dyDescent="0.35">
      <c r="A9943" s="5" t="s">
        <v>98</v>
      </c>
      <c r="B9943" s="5" t="s">
        <v>99</v>
      </c>
      <c r="C9943" s="5" t="s">
        <v>1707</v>
      </c>
      <c r="D9943" s="5" t="s">
        <v>14</v>
      </c>
      <c r="E9943" s="5" t="s">
        <v>52</v>
      </c>
      <c r="F9943" s="5" t="s">
        <v>228</v>
      </c>
      <c r="G9943" s="5" t="s">
        <v>1702</v>
      </c>
      <c r="H9943" s="5" t="s">
        <v>1703</v>
      </c>
      <c r="I9943" s="5" t="s">
        <v>31</v>
      </c>
      <c r="J9943" s="5">
        <v>16.707307</v>
      </c>
      <c r="K9943" s="5">
        <v>-96.710606999999996</v>
      </c>
      <c r="L9943" s="5" t="str">
        <f>HYPERLINK("https://maps.google.com/?q=16.707307,-96.710606999999996", "🔗 Ver Mapa")</f>
        <v>🔗 Ver Mapa</v>
      </c>
    </row>
    <row r="9944" spans="1:12" ht="43.5" x14ac:dyDescent="0.35">
      <c r="A9944" s="6" t="s">
        <v>98</v>
      </c>
      <c r="B9944" s="6" t="s">
        <v>99</v>
      </c>
      <c r="C9944" s="6" t="s">
        <v>1707</v>
      </c>
      <c r="D9944" s="6" t="s">
        <v>14</v>
      </c>
      <c r="E9944" s="6" t="s">
        <v>52</v>
      </c>
      <c r="F9944" s="6" t="s">
        <v>228</v>
      </c>
      <c r="G9944" s="6" t="s">
        <v>1702</v>
      </c>
      <c r="H9944" s="6" t="s">
        <v>1703</v>
      </c>
      <c r="I9944" s="6" t="s">
        <v>31</v>
      </c>
      <c r="J9944" s="6">
        <v>16.707364999999999</v>
      </c>
      <c r="K9944" s="6">
        <v>-96.712118000000004</v>
      </c>
      <c r="L9944" s="6" t="str">
        <f>HYPERLINK("https://maps.google.com/?q=16.707365,-96.712118000000004", "🔗 Ver Mapa")</f>
        <v>🔗 Ver Mapa</v>
      </c>
    </row>
    <row r="9945" spans="1:12" ht="43.5" x14ac:dyDescent="0.35">
      <c r="A9945" s="5" t="s">
        <v>98</v>
      </c>
      <c r="B9945" s="5" t="s">
        <v>99</v>
      </c>
      <c r="C9945" s="5" t="s">
        <v>1707</v>
      </c>
      <c r="D9945" s="5" t="s">
        <v>14</v>
      </c>
      <c r="E9945" s="5" t="s">
        <v>52</v>
      </c>
      <c r="F9945" s="5" t="s">
        <v>228</v>
      </c>
      <c r="G9945" s="5" t="s">
        <v>1702</v>
      </c>
      <c r="H9945" s="5" t="s">
        <v>1703</v>
      </c>
      <c r="I9945" s="5" t="s">
        <v>31</v>
      </c>
      <c r="J9945" s="5">
        <v>16.707405999999999</v>
      </c>
      <c r="K9945" s="5">
        <v>-96.708687999999995</v>
      </c>
      <c r="L9945" s="5" t="str">
        <f>HYPERLINK("https://maps.google.com/?q=16.707406,-96.708687999999995", "🔗 Ver Mapa")</f>
        <v>🔗 Ver Mapa</v>
      </c>
    </row>
    <row r="9946" spans="1:12" ht="43.5" x14ac:dyDescent="0.35">
      <c r="A9946" s="6" t="s">
        <v>98</v>
      </c>
      <c r="B9946" s="6" t="s">
        <v>99</v>
      </c>
      <c r="C9946" s="6" t="s">
        <v>1707</v>
      </c>
      <c r="D9946" s="6" t="s">
        <v>14</v>
      </c>
      <c r="E9946" s="6" t="s">
        <v>52</v>
      </c>
      <c r="F9946" s="6" t="s">
        <v>228</v>
      </c>
      <c r="G9946" s="6" t="s">
        <v>1702</v>
      </c>
      <c r="H9946" s="6" t="s">
        <v>1703</v>
      </c>
      <c r="I9946" s="6" t="s">
        <v>31</v>
      </c>
      <c r="J9946" s="6">
        <v>16.707673330416998</v>
      </c>
      <c r="K9946" s="6">
        <v>-96.71244386331</v>
      </c>
      <c r="L9946" s="6" t="str">
        <f>HYPERLINK("https://maps.google.com/?q=16.7076733304166,-96.712443863309502", "🔗 Ver Mapa")</f>
        <v>🔗 Ver Mapa</v>
      </c>
    </row>
    <row r="9947" spans="1:12" ht="43.5" x14ac:dyDescent="0.35">
      <c r="A9947" s="5" t="s">
        <v>98</v>
      </c>
      <c r="B9947" s="5" t="s">
        <v>99</v>
      </c>
      <c r="C9947" s="5" t="s">
        <v>1707</v>
      </c>
      <c r="D9947" s="5" t="s">
        <v>14</v>
      </c>
      <c r="E9947" s="5" t="s">
        <v>52</v>
      </c>
      <c r="F9947" s="5" t="s">
        <v>228</v>
      </c>
      <c r="G9947" s="5" t="s">
        <v>1702</v>
      </c>
      <c r="H9947" s="5" t="s">
        <v>1703</v>
      </c>
      <c r="I9947" s="5" t="s">
        <v>31</v>
      </c>
      <c r="J9947" s="5">
        <v>16.707731433643001</v>
      </c>
      <c r="K9947" s="5">
        <v>-96.710628</v>
      </c>
      <c r="L9947" s="5" t="str">
        <f>HYPERLINK("https://maps.google.com/?q=16.7077314336433,-96.710628", "🔗 Ver Mapa")</f>
        <v>🔗 Ver Mapa</v>
      </c>
    </row>
    <row r="9948" spans="1:12" ht="43.5" x14ac:dyDescent="0.35">
      <c r="A9948" s="6" t="s">
        <v>98</v>
      </c>
      <c r="B9948" s="6" t="s">
        <v>99</v>
      </c>
      <c r="C9948" s="6" t="s">
        <v>1707</v>
      </c>
      <c r="D9948" s="6" t="s">
        <v>14</v>
      </c>
      <c r="E9948" s="6" t="s">
        <v>52</v>
      </c>
      <c r="F9948" s="6" t="s">
        <v>228</v>
      </c>
      <c r="G9948" s="6" t="s">
        <v>1702</v>
      </c>
      <c r="H9948" s="6" t="s">
        <v>1703</v>
      </c>
      <c r="I9948" s="6" t="s">
        <v>31</v>
      </c>
      <c r="J9948" s="6">
        <v>16.708174</v>
      </c>
      <c r="K9948" s="6">
        <v>-96.709447999999995</v>
      </c>
      <c r="L9948" s="6" t="str">
        <f>HYPERLINK("https://maps.google.com/?q=16.708174,-96.709447999999995", "🔗 Ver Mapa")</f>
        <v>🔗 Ver Mapa</v>
      </c>
    </row>
    <row r="9949" spans="1:12" ht="43.5" x14ac:dyDescent="0.35">
      <c r="A9949" s="5" t="s">
        <v>98</v>
      </c>
      <c r="B9949" s="5" t="s">
        <v>99</v>
      </c>
      <c r="C9949" s="5" t="s">
        <v>1707</v>
      </c>
      <c r="D9949" s="5" t="s">
        <v>14</v>
      </c>
      <c r="E9949" s="5" t="s">
        <v>52</v>
      </c>
      <c r="F9949" s="5" t="s">
        <v>228</v>
      </c>
      <c r="G9949" s="5" t="s">
        <v>1702</v>
      </c>
      <c r="H9949" s="5" t="s">
        <v>1703</v>
      </c>
      <c r="I9949" s="5" t="s">
        <v>31</v>
      </c>
      <c r="J9949" s="5">
        <v>16.708476999999998</v>
      </c>
      <c r="K9949" s="5">
        <v>-96.712033000000005</v>
      </c>
      <c r="L9949" s="5" t="str">
        <f>HYPERLINK("https://maps.google.com/?q=16.708477,-96.712033000000005", "🔗 Ver Mapa")</f>
        <v>🔗 Ver Mapa</v>
      </c>
    </row>
    <row r="9950" spans="1:12" ht="43.5" x14ac:dyDescent="0.35">
      <c r="A9950" s="6" t="s">
        <v>98</v>
      </c>
      <c r="B9950" s="6" t="s">
        <v>99</v>
      </c>
      <c r="C9950" s="6" t="s">
        <v>1707</v>
      </c>
      <c r="D9950" s="6" t="s">
        <v>14</v>
      </c>
      <c r="E9950" s="6" t="s">
        <v>52</v>
      </c>
      <c r="F9950" s="6" t="s">
        <v>228</v>
      </c>
      <c r="G9950" s="6" t="s">
        <v>1702</v>
      </c>
      <c r="H9950" s="6" t="s">
        <v>1703</v>
      </c>
      <c r="I9950" s="6" t="s">
        <v>31</v>
      </c>
      <c r="J9950" s="6">
        <v>16.709402999999998</v>
      </c>
      <c r="K9950" s="6">
        <v>-96.710016999999993</v>
      </c>
      <c r="L9950" s="6" t="str">
        <f>HYPERLINK("https://maps.google.com/?q=16.709403,-96.710016999999993", "🔗 Ver Mapa")</f>
        <v>🔗 Ver Mapa</v>
      </c>
    </row>
    <row r="9951" spans="1:12" ht="43.5" x14ac:dyDescent="0.35">
      <c r="A9951" s="5" t="s">
        <v>98</v>
      </c>
      <c r="B9951" s="5" t="s">
        <v>99</v>
      </c>
      <c r="C9951" s="5" t="s">
        <v>1707</v>
      </c>
      <c r="D9951" s="5" t="s">
        <v>14</v>
      </c>
      <c r="E9951" s="5" t="s">
        <v>52</v>
      </c>
      <c r="F9951" s="5" t="s">
        <v>228</v>
      </c>
      <c r="G9951" s="5" t="s">
        <v>1702</v>
      </c>
      <c r="H9951" s="5" t="s">
        <v>1703</v>
      </c>
      <c r="I9951" s="5" t="s">
        <v>31</v>
      </c>
      <c r="J9951" s="5">
        <v>16.711337554042</v>
      </c>
      <c r="K9951" s="5">
        <v>-96.711278446015001</v>
      </c>
      <c r="L9951" s="5" t="str">
        <f>HYPERLINK("https://maps.google.com/?q=16.7113375540416,-96.711278446015299", "🔗 Ver Mapa")</f>
        <v>🔗 Ver Mapa</v>
      </c>
    </row>
    <row r="9952" spans="1:12" ht="43.5" x14ac:dyDescent="0.35">
      <c r="A9952" s="6" t="s">
        <v>98</v>
      </c>
      <c r="B9952" s="6" t="s">
        <v>99</v>
      </c>
      <c r="C9952" s="6" t="s">
        <v>1707</v>
      </c>
      <c r="D9952" s="6" t="s">
        <v>14</v>
      </c>
      <c r="E9952" s="6" t="s">
        <v>52</v>
      </c>
      <c r="F9952" s="6" t="s">
        <v>228</v>
      </c>
      <c r="G9952" s="6" t="s">
        <v>1702</v>
      </c>
      <c r="H9952" s="6" t="s">
        <v>1703</v>
      </c>
      <c r="I9952" s="6" t="s">
        <v>31</v>
      </c>
      <c r="J9952" s="6">
        <v>16.712089181471001</v>
      </c>
      <c r="K9952" s="6">
        <v>-96.712972051416997</v>
      </c>
      <c r="L9952" s="6" t="str">
        <f>HYPERLINK("https://maps.google.com/?q=16.7120891814706,-96.7129720514166", "🔗 Ver Mapa")</f>
        <v>🔗 Ver Mapa</v>
      </c>
    </row>
    <row r="9953" spans="1:12" ht="43.5" x14ac:dyDescent="0.35">
      <c r="A9953" s="5" t="s">
        <v>98</v>
      </c>
      <c r="B9953" s="5" t="s">
        <v>99</v>
      </c>
      <c r="C9953" s="5" t="s">
        <v>1707</v>
      </c>
      <c r="D9953" s="5" t="s">
        <v>14</v>
      </c>
      <c r="E9953" s="5" t="s">
        <v>52</v>
      </c>
      <c r="F9953" s="5" t="s">
        <v>228</v>
      </c>
      <c r="G9953" s="5" t="s">
        <v>1702</v>
      </c>
      <c r="H9953" s="5" t="s">
        <v>1703</v>
      </c>
      <c r="I9953" s="5" t="s">
        <v>31</v>
      </c>
      <c r="J9953" s="5">
        <v>16.713285746545999</v>
      </c>
      <c r="K9953" s="5">
        <v>-96.711574446089003</v>
      </c>
      <c r="L9953" s="5" t="str">
        <f>HYPERLINK("https://maps.google.com/?q=16.7132857465461,-96.711574446088804", "🔗 Ver Mapa")</f>
        <v>🔗 Ver Mapa</v>
      </c>
    </row>
    <row r="9954" spans="1:12" ht="43.5" x14ac:dyDescent="0.35">
      <c r="A9954" s="6" t="s">
        <v>98</v>
      </c>
      <c r="B9954" s="6" t="s">
        <v>99</v>
      </c>
      <c r="C9954" s="6" t="s">
        <v>1707</v>
      </c>
      <c r="D9954" s="6" t="s">
        <v>14</v>
      </c>
      <c r="E9954" s="6" t="s">
        <v>52</v>
      </c>
      <c r="F9954" s="6" t="s">
        <v>228</v>
      </c>
      <c r="G9954" s="6" t="s">
        <v>1702</v>
      </c>
      <c r="H9954" s="6" t="s">
        <v>1703</v>
      </c>
      <c r="I9954" s="6" t="s">
        <v>31</v>
      </c>
      <c r="J9954" s="6">
        <v>16.714221922633001</v>
      </c>
      <c r="K9954" s="6">
        <v>-96.710522746033007</v>
      </c>
      <c r="L9954" s="6" t="str">
        <f>HYPERLINK("https://maps.google.com/?q=16.7142219226327,-96.710522746032694", "🔗 Ver Mapa")</f>
        <v>🔗 Ver Mapa</v>
      </c>
    </row>
    <row r="9955" spans="1:12" ht="43.5" x14ac:dyDescent="0.35">
      <c r="A9955" s="5" t="s">
        <v>73</v>
      </c>
      <c r="B9955" s="5" t="s">
        <v>74</v>
      </c>
      <c r="C9955" s="5" t="s">
        <v>1709</v>
      </c>
      <c r="D9955" s="5" t="s">
        <v>76</v>
      </c>
      <c r="E9955" s="5" t="s">
        <v>52</v>
      </c>
      <c r="F9955" s="5" t="s">
        <v>421</v>
      </c>
      <c r="G9955" s="5" t="s">
        <v>1437</v>
      </c>
      <c r="H9955" s="5" t="s">
        <v>1438</v>
      </c>
      <c r="I9955" s="5" t="s">
        <v>31</v>
      </c>
      <c r="J9955" s="5">
        <v>16.627998889998999</v>
      </c>
      <c r="K9955" s="5">
        <v>-96.796926645240006</v>
      </c>
      <c r="L9955" s="5" t="str">
        <f>HYPERLINK("https://maps.google.com/?q=16.62799888999858,-96.79692664524048", "🔗 Ver Mapa")</f>
        <v>🔗 Ver Mapa</v>
      </c>
    </row>
    <row r="9956" spans="1:12" ht="58" x14ac:dyDescent="0.35">
      <c r="A9956" s="6" t="s">
        <v>73</v>
      </c>
      <c r="B9956" s="6" t="s">
        <v>74</v>
      </c>
      <c r="C9956" s="6" t="s">
        <v>1710</v>
      </c>
      <c r="D9956" s="6" t="s">
        <v>76</v>
      </c>
      <c r="E9956" s="6" t="s">
        <v>16</v>
      </c>
      <c r="F9956" s="6" t="s">
        <v>195</v>
      </c>
      <c r="G9956" s="6" t="s">
        <v>758</v>
      </c>
      <c r="H9956" s="6" t="s">
        <v>759</v>
      </c>
      <c r="I9956" s="6" t="s">
        <v>31</v>
      </c>
      <c r="J9956" s="6">
        <v>17.610427924810999</v>
      </c>
      <c r="K9956" s="6">
        <v>-98.014344260127004</v>
      </c>
      <c r="L9956" s="6" t="str">
        <f>HYPERLINK("https://maps.google.com/?q=17.610427924810683,-98.01434426012715", "🔗 Ver Mapa")</f>
        <v>🔗 Ver Mapa</v>
      </c>
    </row>
    <row r="9957" spans="1:12" ht="58" x14ac:dyDescent="0.35">
      <c r="A9957" s="5" t="s">
        <v>73</v>
      </c>
      <c r="B9957" s="5" t="s">
        <v>74</v>
      </c>
      <c r="C9957" s="5" t="s">
        <v>1711</v>
      </c>
      <c r="D9957" s="5" t="s">
        <v>76</v>
      </c>
      <c r="E9957" s="5" t="s">
        <v>90</v>
      </c>
      <c r="F9957" s="5" t="s">
        <v>119</v>
      </c>
      <c r="G9957" s="5" t="s">
        <v>1712</v>
      </c>
      <c r="H9957" s="5" t="s">
        <v>1713</v>
      </c>
      <c r="I9957" s="5" t="s">
        <v>31</v>
      </c>
      <c r="J9957" s="5">
        <v>17.406371609564001</v>
      </c>
      <c r="K9957" s="5">
        <v>-96.537566400708997</v>
      </c>
      <c r="L9957" s="5" t="str">
        <f>HYPERLINK("https://maps.google.com/?q=17.406371609564093,-96.5375664007092", "🔗 Ver Mapa")</f>
        <v>🔗 Ver Mapa</v>
      </c>
    </row>
    <row r="9958" spans="1:12" ht="58" x14ac:dyDescent="0.35">
      <c r="A9958" s="6" t="s">
        <v>1714</v>
      </c>
      <c r="B9958" s="6" t="s">
        <v>1715</v>
      </c>
      <c r="C9958" s="6" t="s">
        <v>1716</v>
      </c>
      <c r="D9958" s="6" t="s">
        <v>69</v>
      </c>
      <c r="E9958" s="6" t="s">
        <v>52</v>
      </c>
      <c r="F9958" s="6" t="s">
        <v>70</v>
      </c>
      <c r="G9958" s="6" t="s">
        <v>601</v>
      </c>
      <c r="H9958" s="6" t="s">
        <v>602</v>
      </c>
      <c r="I9958" s="6" t="s">
        <v>31</v>
      </c>
      <c r="J9958" s="6">
        <v>17.055143416151999</v>
      </c>
      <c r="K9958" s="6">
        <v>-96.653731672510006</v>
      </c>
      <c r="L9958" s="6" t="str">
        <f>HYPERLINK("https://maps.google.com/?q=17.055143416151942,-96.6537316725096", "🔗 Ver Mapa")</f>
        <v>🔗 Ver Mapa</v>
      </c>
    </row>
    <row r="9959" spans="1:12" ht="58" x14ac:dyDescent="0.35">
      <c r="A9959" s="5" t="s">
        <v>1714</v>
      </c>
      <c r="B9959" s="5" t="s">
        <v>1715</v>
      </c>
      <c r="C9959" s="5" t="s">
        <v>1717</v>
      </c>
      <c r="D9959" s="5" t="s">
        <v>69</v>
      </c>
      <c r="E9959" s="5" t="s">
        <v>52</v>
      </c>
      <c r="F9959" s="5" t="s">
        <v>70</v>
      </c>
      <c r="G9959" s="5" t="s">
        <v>601</v>
      </c>
      <c r="H9959" s="5" t="s">
        <v>602</v>
      </c>
      <c r="I9959" s="5" t="s">
        <v>31</v>
      </c>
      <c r="J9959" s="5">
        <v>17.05440594529</v>
      </c>
      <c r="K9959" s="5">
        <v>-96.653994469040001</v>
      </c>
      <c r="L9959" s="5" t="str">
        <f>HYPERLINK("https://maps.google.com/?q=17.054405945289908,-96.65399446903992", "🔗 Ver Mapa")</f>
        <v>🔗 Ver Mapa</v>
      </c>
    </row>
    <row r="9960" spans="1:12" ht="58" x14ac:dyDescent="0.35">
      <c r="A9960" s="6" t="s">
        <v>1714</v>
      </c>
      <c r="B9960" s="6" t="s">
        <v>1715</v>
      </c>
      <c r="C9960" s="6" t="s">
        <v>1718</v>
      </c>
      <c r="D9960" s="6" t="s">
        <v>69</v>
      </c>
      <c r="E9960" s="6" t="s">
        <v>52</v>
      </c>
      <c r="F9960" s="6" t="s">
        <v>70</v>
      </c>
      <c r="G9960" s="6" t="s">
        <v>601</v>
      </c>
      <c r="H9960" s="6" t="s">
        <v>602</v>
      </c>
      <c r="I9960" s="6" t="s">
        <v>31</v>
      </c>
      <c r="J9960" s="6">
        <v>17.055300387862999</v>
      </c>
      <c r="K9960" s="6">
        <v>-96.653770689053005</v>
      </c>
      <c r="L9960" s="6" t="str">
        <f>HYPERLINK("https://maps.google.com/?q=17.055300387863465,-96.65377068905299", "🔗 Ver Mapa")</f>
        <v>🔗 Ver Mapa</v>
      </c>
    </row>
    <row r="9961" spans="1:12" ht="72.5" x14ac:dyDescent="0.35">
      <c r="A9961" s="5" t="s">
        <v>674</v>
      </c>
      <c r="B9961" s="5" t="s">
        <v>675</v>
      </c>
      <c r="C9961" s="5" t="s">
        <v>1719</v>
      </c>
      <c r="D9961" s="5" t="s">
        <v>677</v>
      </c>
      <c r="E9961" s="5" t="s">
        <v>16</v>
      </c>
      <c r="F9961" s="5" t="s">
        <v>145</v>
      </c>
      <c r="G9961" s="5" t="s">
        <v>537</v>
      </c>
      <c r="H9961" s="5" t="s">
        <v>1720</v>
      </c>
      <c r="I9961" s="5" t="s">
        <v>31</v>
      </c>
      <c r="J9961" s="5">
        <v>17.946801000000001</v>
      </c>
      <c r="K9961" s="5">
        <v>-98.055364999999995</v>
      </c>
      <c r="L9961" s="5" t="str">
        <f>HYPERLINK("https://maps.google.com/?q=17.946801,-98.055365", "🔗 Ver Mapa")</f>
        <v>🔗 Ver Mapa</v>
      </c>
    </row>
    <row r="9962" spans="1:12" ht="72.5" x14ac:dyDescent="0.35">
      <c r="A9962" s="6" t="s">
        <v>674</v>
      </c>
      <c r="B9962" s="6" t="s">
        <v>675</v>
      </c>
      <c r="C9962" s="6" t="s">
        <v>1719</v>
      </c>
      <c r="D9962" s="6" t="s">
        <v>677</v>
      </c>
      <c r="E9962" s="6" t="s">
        <v>16</v>
      </c>
      <c r="F9962" s="6" t="s">
        <v>145</v>
      </c>
      <c r="G9962" s="6" t="s">
        <v>537</v>
      </c>
      <c r="H9962" s="6" t="s">
        <v>1720</v>
      </c>
      <c r="I9962" s="6" t="s">
        <v>31</v>
      </c>
      <c r="J9962" s="6">
        <v>17.950713</v>
      </c>
      <c r="K9962" s="6">
        <v>-98.059507999999994</v>
      </c>
      <c r="L9962" s="6" t="str">
        <f>HYPERLINK("https://maps.google.com/?q=17.950713,-98.059508", "🔗 Ver Mapa")</f>
        <v>🔗 Ver Mapa</v>
      </c>
    </row>
    <row r="9963" spans="1:12" ht="72.5" x14ac:dyDescent="0.35">
      <c r="A9963" s="5" t="s">
        <v>674</v>
      </c>
      <c r="B9963" s="5" t="s">
        <v>675</v>
      </c>
      <c r="C9963" s="5" t="s">
        <v>1719</v>
      </c>
      <c r="D9963" s="5" t="s">
        <v>677</v>
      </c>
      <c r="E9963" s="5" t="s">
        <v>16</v>
      </c>
      <c r="F9963" s="5" t="s">
        <v>145</v>
      </c>
      <c r="G9963" s="5" t="s">
        <v>537</v>
      </c>
      <c r="H9963" s="5" t="s">
        <v>1720</v>
      </c>
      <c r="I9963" s="5" t="s">
        <v>31</v>
      </c>
      <c r="J9963" s="5">
        <v>17.954750000000001</v>
      </c>
      <c r="K9963" s="5">
        <v>-98.062977000000004</v>
      </c>
      <c r="L9963" s="5" t="str">
        <f>HYPERLINK("https://maps.google.com/?q=17.95475,-98.062977", "🔗 Ver Mapa")</f>
        <v>🔗 Ver Mapa</v>
      </c>
    </row>
    <row r="9964" spans="1:12" ht="87" x14ac:dyDescent="0.35">
      <c r="A9964" s="6" t="s">
        <v>674</v>
      </c>
      <c r="B9964" s="6" t="s">
        <v>675</v>
      </c>
      <c r="C9964" s="6" t="s">
        <v>1721</v>
      </c>
      <c r="D9964" s="6" t="s">
        <v>677</v>
      </c>
      <c r="E9964" s="6" t="s">
        <v>90</v>
      </c>
      <c r="F9964" s="6" t="s">
        <v>91</v>
      </c>
      <c r="G9964" s="6" t="s">
        <v>1722</v>
      </c>
      <c r="H9964" s="6" t="s">
        <v>1723</v>
      </c>
      <c r="I9964" s="6" t="s">
        <v>31</v>
      </c>
      <c r="J9964" s="6">
        <v>17.012471000000001</v>
      </c>
      <c r="K9964" s="6">
        <v>-96.121579999999994</v>
      </c>
      <c r="L9964" s="6" t="str">
        <f>HYPERLINK("https://maps.google.com/?q=17.012471,-96.121580", "🔗 Ver Mapa")</f>
        <v>🔗 Ver Mapa</v>
      </c>
    </row>
    <row r="9965" spans="1:12" ht="87" x14ac:dyDescent="0.35">
      <c r="A9965" s="5" t="s">
        <v>674</v>
      </c>
      <c r="B9965" s="5" t="s">
        <v>675</v>
      </c>
      <c r="C9965" s="5" t="s">
        <v>1721</v>
      </c>
      <c r="D9965" s="5" t="s">
        <v>677</v>
      </c>
      <c r="E9965" s="5" t="s">
        <v>90</v>
      </c>
      <c r="F9965" s="5" t="s">
        <v>91</v>
      </c>
      <c r="G9965" s="5" t="s">
        <v>1722</v>
      </c>
      <c r="H9965" s="5" t="s">
        <v>1723</v>
      </c>
      <c r="I9965" s="5" t="s">
        <v>31</v>
      </c>
      <c r="J9965" s="5">
        <v>17.015642</v>
      </c>
      <c r="K9965" s="5">
        <v>-96.121594000000002</v>
      </c>
      <c r="L9965" s="5" t="str">
        <f>HYPERLINK("https://maps.google.com/?q=17.015642,-96.121594", "🔗 Ver Mapa")</f>
        <v>🔗 Ver Mapa</v>
      </c>
    </row>
    <row r="9966" spans="1:12" ht="87" x14ac:dyDescent="0.35">
      <c r="A9966" s="6" t="s">
        <v>674</v>
      </c>
      <c r="B9966" s="6" t="s">
        <v>675</v>
      </c>
      <c r="C9966" s="6" t="s">
        <v>1721</v>
      </c>
      <c r="D9966" s="6" t="s">
        <v>677</v>
      </c>
      <c r="E9966" s="6" t="s">
        <v>90</v>
      </c>
      <c r="F9966" s="6" t="s">
        <v>91</v>
      </c>
      <c r="G9966" s="6" t="s">
        <v>1722</v>
      </c>
      <c r="H9966" s="6" t="s">
        <v>1723</v>
      </c>
      <c r="I9966" s="6" t="s">
        <v>31</v>
      </c>
      <c r="J9966" s="6">
        <v>17.018502000000002</v>
      </c>
      <c r="K9966" s="6">
        <v>-96.125155000000007</v>
      </c>
      <c r="L9966" s="6" t="str">
        <f>HYPERLINK("https://maps.google.com/?q=17.018502,-96.125155", "🔗 Ver Mapa")</f>
        <v>🔗 Ver Mapa</v>
      </c>
    </row>
    <row r="9967" spans="1:12" ht="72.5" x14ac:dyDescent="0.35">
      <c r="A9967" s="5" t="s">
        <v>674</v>
      </c>
      <c r="B9967" s="5" t="s">
        <v>675</v>
      </c>
      <c r="C9967" s="5" t="s">
        <v>1724</v>
      </c>
      <c r="D9967" s="5" t="s">
        <v>677</v>
      </c>
      <c r="E9967" s="5" t="s">
        <v>16</v>
      </c>
      <c r="F9967" s="5" t="s">
        <v>21</v>
      </c>
      <c r="G9967" s="5" t="s">
        <v>1199</v>
      </c>
      <c r="H9967" s="5" t="s">
        <v>1200</v>
      </c>
      <c r="I9967" s="5" t="s">
        <v>31</v>
      </c>
      <c r="J9967" s="5">
        <v>17.006029999999999</v>
      </c>
      <c r="K9967" s="5">
        <v>-97.630059000000003</v>
      </c>
      <c r="L9967" s="5" t="str">
        <f>HYPERLINK("https://maps.google.com/?q=17.00603,-97.630059", "🔗 Ver Mapa")</f>
        <v>🔗 Ver Mapa</v>
      </c>
    </row>
    <row r="9968" spans="1:12" ht="72.5" x14ac:dyDescent="0.35">
      <c r="A9968" s="6" t="s">
        <v>674</v>
      </c>
      <c r="B9968" s="6" t="s">
        <v>675</v>
      </c>
      <c r="C9968" s="6" t="s">
        <v>1724</v>
      </c>
      <c r="D9968" s="6" t="s">
        <v>677</v>
      </c>
      <c r="E9968" s="6" t="s">
        <v>16</v>
      </c>
      <c r="F9968" s="6" t="s">
        <v>21</v>
      </c>
      <c r="G9968" s="6" t="s">
        <v>1199</v>
      </c>
      <c r="H9968" s="6" t="s">
        <v>1200</v>
      </c>
      <c r="I9968" s="6" t="s">
        <v>31</v>
      </c>
      <c r="J9968" s="6">
        <v>17.013452000000001</v>
      </c>
      <c r="K9968" s="6">
        <v>-97.630275999999995</v>
      </c>
      <c r="L9968" s="6" t="str">
        <f>HYPERLINK("https://maps.google.com/?q=17.013452,-97.630276", "🔗 Ver Mapa")</f>
        <v>🔗 Ver Mapa</v>
      </c>
    </row>
    <row r="9969" spans="1:12" ht="72.5" x14ac:dyDescent="0.35">
      <c r="A9969" s="5" t="s">
        <v>674</v>
      </c>
      <c r="B9969" s="5" t="s">
        <v>675</v>
      </c>
      <c r="C9969" s="5" t="s">
        <v>1724</v>
      </c>
      <c r="D9969" s="5" t="s">
        <v>677</v>
      </c>
      <c r="E9969" s="5" t="s">
        <v>16</v>
      </c>
      <c r="F9969" s="5" t="s">
        <v>21</v>
      </c>
      <c r="G9969" s="5" t="s">
        <v>1199</v>
      </c>
      <c r="H9969" s="5" t="s">
        <v>1200</v>
      </c>
      <c r="I9969" s="5" t="s">
        <v>31</v>
      </c>
      <c r="J9969" s="5">
        <v>17.020779999999998</v>
      </c>
      <c r="K9969" s="5">
        <v>-97.630341000000001</v>
      </c>
      <c r="L9969" s="5" t="str">
        <f>HYPERLINK("https://maps.google.com/?q=17.02078,-97.630341", "🔗 Ver Mapa")</f>
        <v>🔗 Ver Mapa</v>
      </c>
    </row>
    <row r="9970" spans="1:12" ht="72.5" x14ac:dyDescent="0.35">
      <c r="A9970" s="6" t="s">
        <v>674</v>
      </c>
      <c r="B9970" s="6" t="s">
        <v>675</v>
      </c>
      <c r="C9970" s="6" t="s">
        <v>1725</v>
      </c>
      <c r="D9970" s="6" t="s">
        <v>677</v>
      </c>
      <c r="E9970" s="6" t="s">
        <v>17</v>
      </c>
      <c r="F9970" s="6" t="s">
        <v>59</v>
      </c>
      <c r="G9970" s="6" t="s">
        <v>286</v>
      </c>
      <c r="H9970" s="6" t="s">
        <v>1726</v>
      </c>
      <c r="I9970" s="6" t="s">
        <v>31</v>
      </c>
      <c r="J9970" s="6">
        <v>16.534310999999999</v>
      </c>
      <c r="K9970" s="6">
        <v>-97.975517999999994</v>
      </c>
      <c r="L9970" s="6" t="str">
        <f>HYPERLINK("https://maps.google.com/?q=16.534311,-97.975518", "🔗 Ver Mapa")</f>
        <v>🔗 Ver Mapa</v>
      </c>
    </row>
    <row r="9971" spans="1:12" ht="72.5" x14ac:dyDescent="0.35">
      <c r="A9971" s="5" t="s">
        <v>674</v>
      </c>
      <c r="B9971" s="5" t="s">
        <v>675</v>
      </c>
      <c r="C9971" s="5" t="s">
        <v>1725</v>
      </c>
      <c r="D9971" s="5" t="s">
        <v>677</v>
      </c>
      <c r="E9971" s="5" t="s">
        <v>17</v>
      </c>
      <c r="F9971" s="5" t="s">
        <v>59</v>
      </c>
      <c r="G9971" s="5" t="s">
        <v>286</v>
      </c>
      <c r="H9971" s="5" t="s">
        <v>1726</v>
      </c>
      <c r="I9971" s="5" t="s">
        <v>31</v>
      </c>
      <c r="J9971" s="5">
        <v>16.535834999999999</v>
      </c>
      <c r="K9971" s="5">
        <v>-97.971857999999997</v>
      </c>
      <c r="L9971" s="5" t="str">
        <f>HYPERLINK("https://maps.google.com/?q=16.535835,-97.971858", "🔗 Ver Mapa")</f>
        <v>🔗 Ver Mapa</v>
      </c>
    </row>
    <row r="9972" spans="1:12" ht="72.5" x14ac:dyDescent="0.35">
      <c r="A9972" s="6" t="s">
        <v>674</v>
      </c>
      <c r="B9972" s="6" t="s">
        <v>675</v>
      </c>
      <c r="C9972" s="6" t="s">
        <v>1725</v>
      </c>
      <c r="D9972" s="6" t="s">
        <v>677</v>
      </c>
      <c r="E9972" s="6" t="s">
        <v>17</v>
      </c>
      <c r="F9972" s="6" t="s">
        <v>59</v>
      </c>
      <c r="G9972" s="6" t="s">
        <v>286</v>
      </c>
      <c r="H9972" s="6" t="s">
        <v>1726</v>
      </c>
      <c r="I9972" s="6" t="s">
        <v>31</v>
      </c>
      <c r="J9972" s="6">
        <v>16.53586</v>
      </c>
      <c r="K9972" s="6">
        <v>-97.974464999999995</v>
      </c>
      <c r="L9972" s="6" t="str">
        <f>HYPERLINK("https://maps.google.com/?q=16.53586,-97.974465", "🔗 Ver Mapa")</f>
        <v>🔗 Ver Mapa</v>
      </c>
    </row>
    <row r="9973" spans="1:12" ht="72.5" x14ac:dyDescent="0.35">
      <c r="A9973" s="5" t="s">
        <v>674</v>
      </c>
      <c r="B9973" s="5" t="s">
        <v>675</v>
      </c>
      <c r="C9973" s="5" t="s">
        <v>1727</v>
      </c>
      <c r="D9973" s="5" t="s">
        <v>677</v>
      </c>
      <c r="E9973" s="5" t="s">
        <v>39</v>
      </c>
      <c r="F9973" s="5" t="s">
        <v>133</v>
      </c>
      <c r="G9973" s="5" t="s">
        <v>1561</v>
      </c>
      <c r="H9973" s="5" t="s">
        <v>1562</v>
      </c>
      <c r="I9973" s="5" t="s">
        <v>31</v>
      </c>
      <c r="J9973" s="5">
        <v>16.630234999999999</v>
      </c>
      <c r="K9973" s="5">
        <v>-95.932523000000003</v>
      </c>
      <c r="L9973" s="5" t="str">
        <f>HYPERLINK("https://maps.google.com/?q=16.630235,-95.932523", "🔗 Ver Mapa")</f>
        <v>🔗 Ver Mapa</v>
      </c>
    </row>
    <row r="9974" spans="1:12" ht="72.5" x14ac:dyDescent="0.35">
      <c r="A9974" s="6" t="s">
        <v>674</v>
      </c>
      <c r="B9974" s="6" t="s">
        <v>675</v>
      </c>
      <c r="C9974" s="6" t="s">
        <v>1727</v>
      </c>
      <c r="D9974" s="6" t="s">
        <v>677</v>
      </c>
      <c r="E9974" s="6" t="s">
        <v>39</v>
      </c>
      <c r="F9974" s="6" t="s">
        <v>133</v>
      </c>
      <c r="G9974" s="6" t="s">
        <v>1561</v>
      </c>
      <c r="H9974" s="6" t="s">
        <v>1562</v>
      </c>
      <c r="I9974" s="6" t="s">
        <v>31</v>
      </c>
      <c r="J9974" s="6">
        <v>16.643829</v>
      </c>
      <c r="K9974" s="6">
        <v>-95.926311999999996</v>
      </c>
      <c r="L9974" s="6" t="str">
        <f>HYPERLINK("https://maps.google.com/?q=16.643829,-95.926312", "🔗 Ver Mapa")</f>
        <v>🔗 Ver Mapa</v>
      </c>
    </row>
    <row r="9975" spans="1:12" ht="72.5" x14ac:dyDescent="0.35">
      <c r="A9975" s="5" t="s">
        <v>674</v>
      </c>
      <c r="B9975" s="5" t="s">
        <v>675</v>
      </c>
      <c r="C9975" s="5" t="s">
        <v>1727</v>
      </c>
      <c r="D9975" s="5" t="s">
        <v>677</v>
      </c>
      <c r="E9975" s="5" t="s">
        <v>39</v>
      </c>
      <c r="F9975" s="5" t="s">
        <v>133</v>
      </c>
      <c r="G9975" s="5" t="s">
        <v>1561</v>
      </c>
      <c r="H9975" s="5" t="s">
        <v>1562</v>
      </c>
      <c r="I9975" s="5" t="s">
        <v>31</v>
      </c>
      <c r="J9975" s="5">
        <v>16.654252</v>
      </c>
      <c r="K9975" s="5">
        <v>-95.913087000000004</v>
      </c>
      <c r="L9975" s="5" t="str">
        <f>HYPERLINK("https://maps.google.com/?q=16.654252,-95.913087", "🔗 Ver Mapa")</f>
        <v>🔗 Ver Mapa</v>
      </c>
    </row>
    <row r="9976" spans="1:12" ht="72.5" x14ac:dyDescent="0.35">
      <c r="A9976" s="6" t="s">
        <v>674</v>
      </c>
      <c r="B9976" s="6" t="s">
        <v>675</v>
      </c>
      <c r="C9976" s="6" t="s">
        <v>1728</v>
      </c>
      <c r="D9976" s="6" t="s">
        <v>677</v>
      </c>
      <c r="E9976" s="6" t="s">
        <v>16</v>
      </c>
      <c r="F9976" s="6" t="s">
        <v>21</v>
      </c>
      <c r="G9976" s="6" t="s">
        <v>25</v>
      </c>
      <c r="H9976" s="6" t="s">
        <v>1550</v>
      </c>
      <c r="I9976" s="6" t="s">
        <v>31</v>
      </c>
      <c r="J9976" s="6">
        <v>17.097992999999999</v>
      </c>
      <c r="K9976" s="6" t="s">
        <v>1729</v>
      </c>
      <c r="L9976" s="6" t="str">
        <f>HYPERLINK("https://maps.google.com/?q=17.097993,-97.496183 ", "🔗 Ver Mapa")</f>
        <v>🔗 Ver Mapa</v>
      </c>
    </row>
    <row r="9977" spans="1:12" ht="72.5" x14ac:dyDescent="0.35">
      <c r="A9977" s="5" t="s">
        <v>674</v>
      </c>
      <c r="B9977" s="5" t="s">
        <v>675</v>
      </c>
      <c r="C9977" s="5" t="s">
        <v>1728</v>
      </c>
      <c r="D9977" s="5" t="s">
        <v>677</v>
      </c>
      <c r="E9977" s="5" t="s">
        <v>16</v>
      </c>
      <c r="F9977" s="5" t="s">
        <v>21</v>
      </c>
      <c r="G9977" s="5" t="s">
        <v>25</v>
      </c>
      <c r="H9977" s="5" t="s">
        <v>1550</v>
      </c>
      <c r="I9977" s="5" t="s">
        <v>31</v>
      </c>
      <c r="J9977" s="5">
        <v>17.101137000000001</v>
      </c>
      <c r="K9977" s="5">
        <v>-97.498332000000005</v>
      </c>
      <c r="L9977" s="5" t="str">
        <f>HYPERLINK("https://maps.google.com/?q=17.101137,-97.498332", "🔗 Ver Mapa")</f>
        <v>🔗 Ver Mapa</v>
      </c>
    </row>
    <row r="9978" spans="1:12" ht="72.5" x14ac:dyDescent="0.35">
      <c r="A9978" s="6" t="s">
        <v>674</v>
      </c>
      <c r="B9978" s="6" t="s">
        <v>675</v>
      </c>
      <c r="C9978" s="6" t="s">
        <v>1728</v>
      </c>
      <c r="D9978" s="6" t="s">
        <v>677</v>
      </c>
      <c r="E9978" s="6" t="s">
        <v>16</v>
      </c>
      <c r="F9978" s="6" t="s">
        <v>21</v>
      </c>
      <c r="G9978" s="6" t="s">
        <v>25</v>
      </c>
      <c r="H9978" s="6" t="s">
        <v>1550</v>
      </c>
      <c r="I9978" s="6" t="s">
        <v>31</v>
      </c>
      <c r="J9978" s="6">
        <v>17.103884999999998</v>
      </c>
      <c r="K9978" s="6">
        <v>-97.497388000000001</v>
      </c>
      <c r="L9978" s="6" t="str">
        <f>HYPERLINK("https://maps.google.com/?q=17.103885,-97.497388", "🔗 Ver Mapa")</f>
        <v>🔗 Ver Mapa</v>
      </c>
    </row>
    <row r="9979" spans="1:12" ht="43.5" x14ac:dyDescent="0.35">
      <c r="A9979" s="5" t="s">
        <v>98</v>
      </c>
      <c r="B9979" s="5" t="s">
        <v>99</v>
      </c>
      <c r="C9979" s="5" t="s">
        <v>1730</v>
      </c>
      <c r="D9979" s="5" t="s">
        <v>14</v>
      </c>
      <c r="E9979" s="5" t="s">
        <v>158</v>
      </c>
      <c r="F9979" s="5" t="s">
        <v>166</v>
      </c>
      <c r="G9979" s="5" t="s">
        <v>167</v>
      </c>
      <c r="H9979" s="5" t="s">
        <v>1731</v>
      </c>
      <c r="I9979" s="5" t="s">
        <v>31</v>
      </c>
      <c r="J9979" s="5">
        <v>16.104139857376001</v>
      </c>
      <c r="K9979" s="5">
        <v>-95.379653457314006</v>
      </c>
      <c r="L9979" s="5" t="str">
        <f>HYPERLINK("https://maps.google.com/?q=16.104139857376,-95.379653457314404", "🔗 Ver Mapa")</f>
        <v>🔗 Ver Mapa</v>
      </c>
    </row>
    <row r="9980" spans="1:12" ht="43.5" x14ac:dyDescent="0.35">
      <c r="A9980" s="6" t="s">
        <v>98</v>
      </c>
      <c r="B9980" s="6" t="s">
        <v>99</v>
      </c>
      <c r="C9980" s="6" t="s">
        <v>1730</v>
      </c>
      <c r="D9980" s="6" t="s">
        <v>14</v>
      </c>
      <c r="E9980" s="6" t="s">
        <v>158</v>
      </c>
      <c r="F9980" s="6" t="s">
        <v>166</v>
      </c>
      <c r="G9980" s="6" t="s">
        <v>167</v>
      </c>
      <c r="H9980" s="6" t="s">
        <v>1731</v>
      </c>
      <c r="I9980" s="6" t="s">
        <v>31</v>
      </c>
      <c r="J9980" s="6">
        <v>16.104182386870999</v>
      </c>
      <c r="K9980" s="6">
        <v>-95.383523014714996</v>
      </c>
      <c r="L9980" s="6" t="str">
        <f>HYPERLINK("https://maps.google.com/?q=16.1041823868709,-95.383523014715195", "🔗 Ver Mapa")</f>
        <v>🔗 Ver Mapa</v>
      </c>
    </row>
    <row r="9981" spans="1:12" ht="43.5" x14ac:dyDescent="0.35">
      <c r="A9981" s="5" t="s">
        <v>98</v>
      </c>
      <c r="B9981" s="5" t="s">
        <v>99</v>
      </c>
      <c r="C9981" s="5" t="s">
        <v>1730</v>
      </c>
      <c r="D9981" s="5" t="s">
        <v>14</v>
      </c>
      <c r="E9981" s="5" t="s">
        <v>158</v>
      </c>
      <c r="F9981" s="5" t="s">
        <v>166</v>
      </c>
      <c r="G9981" s="5" t="s">
        <v>167</v>
      </c>
      <c r="H9981" s="5" t="s">
        <v>1731</v>
      </c>
      <c r="I9981" s="5" t="s">
        <v>31</v>
      </c>
      <c r="J9981" s="5">
        <v>16.104489291493</v>
      </c>
      <c r="K9981" s="5">
        <v>-95.382244551919001</v>
      </c>
      <c r="L9981" s="5" t="str">
        <f>HYPERLINK("https://maps.google.com/?q=16.1044892914931,-95.382244551918504", "🔗 Ver Mapa")</f>
        <v>🔗 Ver Mapa</v>
      </c>
    </row>
    <row r="9982" spans="1:12" ht="43.5" x14ac:dyDescent="0.35">
      <c r="A9982" s="6" t="s">
        <v>98</v>
      </c>
      <c r="B9982" s="6" t="s">
        <v>99</v>
      </c>
      <c r="C9982" s="6" t="s">
        <v>1730</v>
      </c>
      <c r="D9982" s="6" t="s">
        <v>14</v>
      </c>
      <c r="E9982" s="6" t="s">
        <v>158</v>
      </c>
      <c r="F9982" s="6" t="s">
        <v>166</v>
      </c>
      <c r="G9982" s="6" t="s">
        <v>167</v>
      </c>
      <c r="H9982" s="6" t="s">
        <v>1731</v>
      </c>
      <c r="I9982" s="6" t="s">
        <v>31</v>
      </c>
      <c r="J9982" s="6">
        <v>16.104863340442002</v>
      </c>
      <c r="K9982" s="6">
        <v>-95.381121406099993</v>
      </c>
      <c r="L9982" s="6" t="str">
        <f>HYPERLINK("https://maps.google.com/?q=16.104863340442,-95.381121406100206", "🔗 Ver Mapa")</f>
        <v>🔗 Ver Mapa</v>
      </c>
    </row>
    <row r="9983" spans="1:12" ht="43.5" x14ac:dyDescent="0.35">
      <c r="A9983" s="5" t="s">
        <v>98</v>
      </c>
      <c r="B9983" s="5" t="s">
        <v>99</v>
      </c>
      <c r="C9983" s="5" t="s">
        <v>1730</v>
      </c>
      <c r="D9983" s="5" t="s">
        <v>14</v>
      </c>
      <c r="E9983" s="5" t="s">
        <v>158</v>
      </c>
      <c r="F9983" s="5" t="s">
        <v>166</v>
      </c>
      <c r="G9983" s="5" t="s">
        <v>167</v>
      </c>
      <c r="H9983" s="5" t="s">
        <v>1731</v>
      </c>
      <c r="I9983" s="5" t="s">
        <v>31</v>
      </c>
      <c r="J9983" s="5">
        <v>16.109735501003001</v>
      </c>
      <c r="K9983" s="5">
        <v>-95.385294868182001</v>
      </c>
      <c r="L9983" s="5" t="str">
        <f>HYPERLINK("https://maps.google.com/?q=16.109735501003,-95.385294868182299", "🔗 Ver Mapa")</f>
        <v>🔗 Ver Mapa</v>
      </c>
    </row>
    <row r="9984" spans="1:12" ht="43.5" x14ac:dyDescent="0.35">
      <c r="A9984" s="6" t="s">
        <v>98</v>
      </c>
      <c r="B9984" s="6" t="s">
        <v>99</v>
      </c>
      <c r="C9984" s="6" t="s">
        <v>1732</v>
      </c>
      <c r="D9984" s="6" t="s">
        <v>14</v>
      </c>
      <c r="E9984" s="6" t="s">
        <v>158</v>
      </c>
      <c r="F9984" s="6" t="s">
        <v>166</v>
      </c>
      <c r="G9984" s="6" t="s">
        <v>167</v>
      </c>
      <c r="H9984" s="6" t="s">
        <v>1733</v>
      </c>
      <c r="I9984" s="6" t="s">
        <v>31</v>
      </c>
      <c r="J9984" s="6">
        <v>16.094534467574</v>
      </c>
      <c r="K9984" s="6">
        <v>-95.529282887286001</v>
      </c>
      <c r="L9984" s="6" t="str">
        <f>HYPERLINK("https://maps.google.com/?q=16.0945344675738,-95.529282887286101", "🔗 Ver Mapa")</f>
        <v>🔗 Ver Mapa</v>
      </c>
    </row>
    <row r="9985" spans="1:12" ht="43.5" x14ac:dyDescent="0.35">
      <c r="A9985" s="5" t="s">
        <v>98</v>
      </c>
      <c r="B9985" s="5" t="s">
        <v>99</v>
      </c>
      <c r="C9985" s="5" t="s">
        <v>1732</v>
      </c>
      <c r="D9985" s="5" t="s">
        <v>14</v>
      </c>
      <c r="E9985" s="5" t="s">
        <v>158</v>
      </c>
      <c r="F9985" s="5" t="s">
        <v>166</v>
      </c>
      <c r="G9985" s="5" t="s">
        <v>167</v>
      </c>
      <c r="H9985" s="5" t="s">
        <v>1733</v>
      </c>
      <c r="I9985" s="5" t="s">
        <v>31</v>
      </c>
      <c r="J9985" s="5">
        <v>16.094633319056999</v>
      </c>
      <c r="K9985" s="5">
        <v>-95.529698782373998</v>
      </c>
      <c r="L9985" s="5" t="str">
        <f>HYPERLINK("https://maps.google.com/?q=16.0946333190567,-95.529698782373501", "🔗 Ver Mapa")</f>
        <v>🔗 Ver Mapa</v>
      </c>
    </row>
    <row r="9986" spans="1:12" ht="43.5" x14ac:dyDescent="0.35">
      <c r="A9986" s="6" t="s">
        <v>98</v>
      </c>
      <c r="B9986" s="6" t="s">
        <v>99</v>
      </c>
      <c r="C9986" s="6" t="s">
        <v>1732</v>
      </c>
      <c r="D9986" s="6" t="s">
        <v>14</v>
      </c>
      <c r="E9986" s="6" t="s">
        <v>158</v>
      </c>
      <c r="F9986" s="6" t="s">
        <v>166</v>
      </c>
      <c r="G9986" s="6" t="s">
        <v>167</v>
      </c>
      <c r="H9986" s="6" t="s">
        <v>1733</v>
      </c>
      <c r="I9986" s="6" t="s">
        <v>31</v>
      </c>
      <c r="J9986" s="6">
        <v>16.094853381147001</v>
      </c>
      <c r="K9986" s="6">
        <v>-95.528577466314999</v>
      </c>
      <c r="L9986" s="6" t="str">
        <f>HYPERLINK("https://maps.google.com/?q=16.0948533811471,-95.528577466315397", "🔗 Ver Mapa")</f>
        <v>🔗 Ver Mapa</v>
      </c>
    </row>
    <row r="9987" spans="1:12" ht="43.5" x14ac:dyDescent="0.35">
      <c r="A9987" s="5" t="s">
        <v>98</v>
      </c>
      <c r="B9987" s="5" t="s">
        <v>99</v>
      </c>
      <c r="C9987" s="5" t="s">
        <v>1732</v>
      </c>
      <c r="D9987" s="5" t="s">
        <v>14</v>
      </c>
      <c r="E9987" s="5" t="s">
        <v>158</v>
      </c>
      <c r="F9987" s="5" t="s">
        <v>166</v>
      </c>
      <c r="G9987" s="5" t="s">
        <v>167</v>
      </c>
      <c r="H9987" s="5" t="s">
        <v>1733</v>
      </c>
      <c r="I9987" s="5" t="s">
        <v>31</v>
      </c>
      <c r="J9987" s="5">
        <v>16.095024816864999</v>
      </c>
      <c r="K9987" s="5">
        <v>-95.529233869064001</v>
      </c>
      <c r="L9987" s="5" t="str">
        <f>HYPERLINK("https://maps.google.com/?q=16.0950248168648,-95.529233869064001", "🔗 Ver Mapa")</f>
        <v>🔗 Ver Mapa</v>
      </c>
    </row>
    <row r="9988" spans="1:12" ht="43.5" x14ac:dyDescent="0.35">
      <c r="A9988" s="6" t="s">
        <v>98</v>
      </c>
      <c r="B9988" s="6" t="s">
        <v>99</v>
      </c>
      <c r="C9988" s="6" t="s">
        <v>1732</v>
      </c>
      <c r="D9988" s="6" t="s">
        <v>14</v>
      </c>
      <c r="E9988" s="6" t="s">
        <v>158</v>
      </c>
      <c r="F9988" s="6" t="s">
        <v>166</v>
      </c>
      <c r="G9988" s="6" t="s">
        <v>167</v>
      </c>
      <c r="H9988" s="6" t="s">
        <v>1733</v>
      </c>
      <c r="I9988" s="6" t="s">
        <v>31</v>
      </c>
      <c r="J9988" s="6">
        <v>16.095069855523001</v>
      </c>
      <c r="K9988" s="6">
        <v>-95.529670466488994</v>
      </c>
      <c r="L9988" s="6" t="str">
        <f>HYPERLINK("https://maps.google.com/?q=16.0950698555232,-95.529670466488696", "🔗 Ver Mapa")</f>
        <v>🔗 Ver Mapa</v>
      </c>
    </row>
    <row r="9989" spans="1:12" ht="58" x14ac:dyDescent="0.35">
      <c r="A9989" s="5" t="s">
        <v>98</v>
      </c>
      <c r="B9989" s="5" t="s">
        <v>99</v>
      </c>
      <c r="C9989" s="5" t="s">
        <v>1734</v>
      </c>
      <c r="D9989" s="5" t="s">
        <v>14</v>
      </c>
      <c r="E9989" s="5" t="s">
        <v>158</v>
      </c>
      <c r="F9989" s="5" t="s">
        <v>166</v>
      </c>
      <c r="G9989" s="5" t="s">
        <v>167</v>
      </c>
      <c r="H9989" s="5" t="s">
        <v>1735</v>
      </c>
      <c r="I9989" s="5" t="s">
        <v>31</v>
      </c>
      <c r="J9989" s="5">
        <v>16.028513</v>
      </c>
      <c r="K9989" s="5">
        <v>-95.423935</v>
      </c>
      <c r="L9989" s="5" t="str">
        <f>HYPERLINK("https://maps.google.com/?q=16.028513,-95.423935", "🔗 Ver Mapa")</f>
        <v>🔗 Ver Mapa</v>
      </c>
    </row>
    <row r="9990" spans="1:12" ht="58" x14ac:dyDescent="0.35">
      <c r="A9990" s="6" t="s">
        <v>98</v>
      </c>
      <c r="B9990" s="6" t="s">
        <v>99</v>
      </c>
      <c r="C9990" s="6" t="s">
        <v>1734</v>
      </c>
      <c r="D9990" s="6" t="s">
        <v>14</v>
      </c>
      <c r="E9990" s="6" t="s">
        <v>158</v>
      </c>
      <c r="F9990" s="6" t="s">
        <v>166</v>
      </c>
      <c r="G9990" s="6" t="s">
        <v>167</v>
      </c>
      <c r="H9990" s="6" t="s">
        <v>1735</v>
      </c>
      <c r="I9990" s="6" t="s">
        <v>31</v>
      </c>
      <c r="J9990" s="6">
        <v>16.028915941158001</v>
      </c>
      <c r="K9990" s="6">
        <v>-95.423893150961007</v>
      </c>
      <c r="L9990" s="6" t="str">
        <f>HYPERLINK("https://maps.google.com/?q=16.0289159411581,-95.423893150960794", "🔗 Ver Mapa")</f>
        <v>🔗 Ver Mapa</v>
      </c>
    </row>
    <row r="9991" spans="1:12" ht="58" x14ac:dyDescent="0.35">
      <c r="A9991" s="5" t="s">
        <v>98</v>
      </c>
      <c r="B9991" s="5" t="s">
        <v>99</v>
      </c>
      <c r="C9991" s="5" t="s">
        <v>1734</v>
      </c>
      <c r="D9991" s="5" t="s">
        <v>14</v>
      </c>
      <c r="E9991" s="5" t="s">
        <v>158</v>
      </c>
      <c r="F9991" s="5" t="s">
        <v>166</v>
      </c>
      <c r="G9991" s="5" t="s">
        <v>167</v>
      </c>
      <c r="H9991" s="5" t="s">
        <v>1735</v>
      </c>
      <c r="I9991" s="5" t="s">
        <v>31</v>
      </c>
      <c r="J9991" s="5">
        <v>16.029140726476999</v>
      </c>
      <c r="K9991" s="5">
        <v>-95.423194693289005</v>
      </c>
      <c r="L9991" s="5" t="str">
        <f>HYPERLINK("https://maps.google.com/?q=16.0291407264771,-95.423194693289005", "🔗 Ver Mapa")</f>
        <v>🔗 Ver Mapa</v>
      </c>
    </row>
    <row r="9992" spans="1:12" ht="58" x14ac:dyDescent="0.35">
      <c r="A9992" s="6" t="s">
        <v>98</v>
      </c>
      <c r="B9992" s="6" t="s">
        <v>99</v>
      </c>
      <c r="C9992" s="6" t="s">
        <v>1734</v>
      </c>
      <c r="D9992" s="6" t="s">
        <v>14</v>
      </c>
      <c r="E9992" s="6" t="s">
        <v>158</v>
      </c>
      <c r="F9992" s="6" t="s">
        <v>166</v>
      </c>
      <c r="G9992" s="6" t="s">
        <v>167</v>
      </c>
      <c r="H9992" s="6" t="s">
        <v>1735</v>
      </c>
      <c r="I9992" s="6" t="s">
        <v>31</v>
      </c>
      <c r="J9992" s="6">
        <v>16.029505503016999</v>
      </c>
      <c r="K9992" s="6">
        <v>-95.423259066304993</v>
      </c>
      <c r="L9992" s="6" t="str">
        <f>HYPERLINK("https://maps.google.com/?q=16.029505503017,-95.423259066305405", "🔗 Ver Mapa")</f>
        <v>🔗 Ver Mapa</v>
      </c>
    </row>
    <row r="9993" spans="1:12" ht="58" x14ac:dyDescent="0.35">
      <c r="A9993" s="5" t="s">
        <v>98</v>
      </c>
      <c r="B9993" s="5" t="s">
        <v>99</v>
      </c>
      <c r="C9993" s="5" t="s">
        <v>1734</v>
      </c>
      <c r="D9993" s="5" t="s">
        <v>14</v>
      </c>
      <c r="E9993" s="5" t="s">
        <v>158</v>
      </c>
      <c r="F9993" s="5" t="s">
        <v>166</v>
      </c>
      <c r="G9993" s="5" t="s">
        <v>167</v>
      </c>
      <c r="H9993" s="5" t="s">
        <v>1735</v>
      </c>
      <c r="I9993" s="5" t="s">
        <v>31</v>
      </c>
      <c r="J9993" s="5">
        <v>16.029954487201</v>
      </c>
      <c r="K9993" s="5">
        <v>-95.423138124833997</v>
      </c>
      <c r="L9993" s="5" t="str">
        <f>HYPERLINK("https://maps.google.com/?q=16.0299544872008,-95.423138124834097", "🔗 Ver Mapa")</f>
        <v>🔗 Ver Mapa</v>
      </c>
    </row>
    <row r="9994" spans="1:12" ht="43.5" x14ac:dyDescent="0.35">
      <c r="A9994" s="6" t="s">
        <v>98</v>
      </c>
      <c r="B9994" s="6" t="s">
        <v>99</v>
      </c>
      <c r="C9994" s="6" t="s">
        <v>1736</v>
      </c>
      <c r="D9994" s="6" t="s">
        <v>14</v>
      </c>
      <c r="E9994" s="6" t="s">
        <v>16</v>
      </c>
      <c r="F9994" s="6" t="s">
        <v>21</v>
      </c>
      <c r="G9994" s="6" t="s">
        <v>25</v>
      </c>
      <c r="H9994" s="6" t="s">
        <v>1550</v>
      </c>
      <c r="I9994" s="6" t="s">
        <v>31</v>
      </c>
      <c r="J9994" s="6">
        <v>17.100819084074001</v>
      </c>
      <c r="K9994" s="6">
        <v>-97.490924874257004</v>
      </c>
      <c r="L9994" s="6" t="str">
        <f>HYPERLINK("https://maps.google.com/?q=17.1008190840741,-97.490924874256905", "🔗 Ver Mapa")</f>
        <v>🔗 Ver Mapa</v>
      </c>
    </row>
    <row r="9995" spans="1:12" ht="43.5" x14ac:dyDescent="0.35">
      <c r="A9995" s="5" t="s">
        <v>98</v>
      </c>
      <c r="B9995" s="5" t="s">
        <v>99</v>
      </c>
      <c r="C9995" s="5" t="s">
        <v>1736</v>
      </c>
      <c r="D9995" s="5" t="s">
        <v>14</v>
      </c>
      <c r="E9995" s="5" t="s">
        <v>16</v>
      </c>
      <c r="F9995" s="5" t="s">
        <v>21</v>
      </c>
      <c r="G9995" s="5" t="s">
        <v>25</v>
      </c>
      <c r="H9995" s="5" t="s">
        <v>1550</v>
      </c>
      <c r="I9995" s="5" t="s">
        <v>31</v>
      </c>
      <c r="J9995" s="5">
        <v>17.104121919105001</v>
      </c>
      <c r="K9995" s="5">
        <v>-97.494993731045</v>
      </c>
      <c r="L9995" s="5" t="str">
        <f>HYPERLINK("https://maps.google.com/?q=17.1041219191055,-97.494993731045099", "🔗 Ver Mapa")</f>
        <v>🔗 Ver Mapa</v>
      </c>
    </row>
    <row r="9996" spans="1:12" ht="43.5" x14ac:dyDescent="0.35">
      <c r="A9996" s="6" t="s">
        <v>98</v>
      </c>
      <c r="B9996" s="6" t="s">
        <v>99</v>
      </c>
      <c r="C9996" s="6" t="s">
        <v>1736</v>
      </c>
      <c r="D9996" s="6" t="s">
        <v>14</v>
      </c>
      <c r="E9996" s="6" t="s">
        <v>16</v>
      </c>
      <c r="F9996" s="6" t="s">
        <v>21</v>
      </c>
      <c r="G9996" s="6" t="s">
        <v>25</v>
      </c>
      <c r="H9996" s="6" t="s">
        <v>1550</v>
      </c>
      <c r="I9996" s="6" t="s">
        <v>31</v>
      </c>
      <c r="J9996" s="6">
        <v>17.104493870898001</v>
      </c>
      <c r="K9996" s="6">
        <v>-97.495276513313001</v>
      </c>
      <c r="L9996" s="6" t="str">
        <f>HYPERLINK("https://maps.google.com/?q=17.104493870898,-97.495276513313499", "🔗 Ver Mapa")</f>
        <v>🔗 Ver Mapa</v>
      </c>
    </row>
    <row r="9997" spans="1:12" ht="43.5" x14ac:dyDescent="0.35">
      <c r="A9997" s="5" t="s">
        <v>98</v>
      </c>
      <c r="B9997" s="5" t="s">
        <v>99</v>
      </c>
      <c r="C9997" s="5" t="s">
        <v>1736</v>
      </c>
      <c r="D9997" s="5" t="s">
        <v>14</v>
      </c>
      <c r="E9997" s="5" t="s">
        <v>16</v>
      </c>
      <c r="F9997" s="5" t="s">
        <v>21</v>
      </c>
      <c r="G9997" s="5" t="s">
        <v>25</v>
      </c>
      <c r="H9997" s="5" t="s">
        <v>1550</v>
      </c>
      <c r="I9997" s="5" t="s">
        <v>31</v>
      </c>
      <c r="J9997" s="5">
        <v>17.106882432686</v>
      </c>
      <c r="K9997" s="5">
        <v>-97.491860793865996</v>
      </c>
      <c r="L9997" s="5" t="str">
        <f>HYPERLINK("https://maps.google.com/?q=17.1068824326858,-97.491860793865797", "🔗 Ver Mapa")</f>
        <v>🔗 Ver Mapa</v>
      </c>
    </row>
    <row r="9998" spans="1:12" ht="43.5" x14ac:dyDescent="0.35">
      <c r="A9998" s="6" t="s">
        <v>98</v>
      </c>
      <c r="B9998" s="6" t="s">
        <v>99</v>
      </c>
      <c r="C9998" s="6" t="s">
        <v>1737</v>
      </c>
      <c r="D9998" s="6" t="s">
        <v>14</v>
      </c>
      <c r="E9998" s="6" t="s">
        <v>16</v>
      </c>
      <c r="F9998" s="6" t="s">
        <v>21</v>
      </c>
      <c r="G9998" s="6" t="s">
        <v>25</v>
      </c>
      <c r="H9998" s="6" t="s">
        <v>1738</v>
      </c>
      <c r="I9998" s="6" t="s">
        <v>31</v>
      </c>
      <c r="J9998" s="6">
        <v>17.119816617552001</v>
      </c>
      <c r="K9998" s="6">
        <v>-97.515810927790994</v>
      </c>
      <c r="L9998" s="6" t="str">
        <f>HYPERLINK("https://maps.google.com/?q=17.1198166175516,-97.515810927790994", "🔗 Ver Mapa")</f>
        <v>🔗 Ver Mapa</v>
      </c>
    </row>
    <row r="9999" spans="1:12" ht="43.5" x14ac:dyDescent="0.35">
      <c r="A9999" s="5" t="s">
        <v>98</v>
      </c>
      <c r="B9999" s="5" t="s">
        <v>99</v>
      </c>
      <c r="C9999" s="5" t="s">
        <v>1737</v>
      </c>
      <c r="D9999" s="5" t="s">
        <v>14</v>
      </c>
      <c r="E9999" s="5" t="s">
        <v>16</v>
      </c>
      <c r="F9999" s="5" t="s">
        <v>21</v>
      </c>
      <c r="G9999" s="5" t="s">
        <v>25</v>
      </c>
      <c r="H9999" s="5" t="s">
        <v>1738</v>
      </c>
      <c r="I9999" s="5" t="s">
        <v>31</v>
      </c>
      <c r="J9999" s="5">
        <v>17.120450991011001</v>
      </c>
      <c r="K9999" s="5">
        <v>-97.515233088895002</v>
      </c>
      <c r="L9999" s="5" t="str">
        <f>HYPERLINK("https://maps.google.com/?q=17.1204509910106,-97.515233088895499", "🔗 Ver Mapa")</f>
        <v>🔗 Ver Mapa</v>
      </c>
    </row>
    <row r="10000" spans="1:12" ht="43.5" x14ac:dyDescent="0.35">
      <c r="A10000" s="6" t="s">
        <v>98</v>
      </c>
      <c r="B10000" s="6" t="s">
        <v>99</v>
      </c>
      <c r="C10000" s="6" t="s">
        <v>1737</v>
      </c>
      <c r="D10000" s="6" t="s">
        <v>14</v>
      </c>
      <c r="E10000" s="6" t="s">
        <v>16</v>
      </c>
      <c r="F10000" s="6" t="s">
        <v>21</v>
      </c>
      <c r="G10000" s="6" t="s">
        <v>25</v>
      </c>
      <c r="H10000" s="6" t="s">
        <v>1738</v>
      </c>
      <c r="I10000" s="6" t="s">
        <v>31</v>
      </c>
      <c r="J10000" s="6">
        <v>17.120633694136998</v>
      </c>
      <c r="K10000" s="6">
        <v>-97.514346121044994</v>
      </c>
      <c r="L10000" s="6" t="str">
        <f>HYPERLINK("https://maps.google.com/?q=17.1206336941373,-97.514346121045094", "🔗 Ver Mapa")</f>
        <v>🔗 Ver Mapa</v>
      </c>
    </row>
    <row r="10001" spans="1:12" ht="43.5" x14ac:dyDescent="0.35">
      <c r="A10001" s="5" t="s">
        <v>98</v>
      </c>
      <c r="B10001" s="5" t="s">
        <v>99</v>
      </c>
      <c r="C10001" s="5" t="s">
        <v>1737</v>
      </c>
      <c r="D10001" s="5" t="s">
        <v>14</v>
      </c>
      <c r="E10001" s="5" t="s">
        <v>16</v>
      </c>
      <c r="F10001" s="5" t="s">
        <v>21</v>
      </c>
      <c r="G10001" s="5" t="s">
        <v>25</v>
      </c>
      <c r="H10001" s="5" t="s">
        <v>1738</v>
      </c>
      <c r="I10001" s="5" t="s">
        <v>31</v>
      </c>
      <c r="J10001" s="5">
        <v>17.120751602635998</v>
      </c>
      <c r="K10001" s="5">
        <v>-97.513351569703005</v>
      </c>
      <c r="L10001" s="5" t="str">
        <f>HYPERLINK("https://maps.google.com/?q=17.1207516026358,-97.513351569702806", "🔗 Ver Mapa")</f>
        <v>🔗 Ver Mapa</v>
      </c>
    </row>
    <row r="10002" spans="1:12" ht="43.5" x14ac:dyDescent="0.35">
      <c r="A10002" s="6" t="s">
        <v>98</v>
      </c>
      <c r="B10002" s="6" t="s">
        <v>99</v>
      </c>
      <c r="C10002" s="6" t="s">
        <v>1737</v>
      </c>
      <c r="D10002" s="6" t="s">
        <v>14</v>
      </c>
      <c r="E10002" s="6" t="s">
        <v>16</v>
      </c>
      <c r="F10002" s="6" t="s">
        <v>21</v>
      </c>
      <c r="G10002" s="6" t="s">
        <v>25</v>
      </c>
      <c r="H10002" s="6" t="s">
        <v>1738</v>
      </c>
      <c r="I10002" s="6" t="s">
        <v>31</v>
      </c>
      <c r="J10002" s="6">
        <v>17.121261714427</v>
      </c>
      <c r="K10002" s="6">
        <v>-97.514045713634999</v>
      </c>
      <c r="L10002" s="6" t="str">
        <f>HYPERLINK("https://maps.google.com/?q=17.1212617144274,-97.514045713635497", "🔗 Ver Mapa")</f>
        <v>🔗 Ver Mapa</v>
      </c>
    </row>
    <row r="10003" spans="1:12" ht="43.5" x14ac:dyDescent="0.35">
      <c r="A10003" s="5" t="s">
        <v>98</v>
      </c>
      <c r="B10003" s="5" t="s">
        <v>99</v>
      </c>
      <c r="C10003" s="5" t="s">
        <v>1739</v>
      </c>
      <c r="D10003" s="5" t="s">
        <v>14</v>
      </c>
      <c r="E10003" s="5" t="s">
        <v>16</v>
      </c>
      <c r="F10003" s="5" t="s">
        <v>21</v>
      </c>
      <c r="G10003" s="5" t="s">
        <v>25</v>
      </c>
      <c r="H10003" s="5" t="s">
        <v>29</v>
      </c>
      <c r="I10003" s="5" t="s">
        <v>31</v>
      </c>
      <c r="J10003" s="5">
        <v>17.091674260807999</v>
      </c>
      <c r="K10003" s="5">
        <v>-97.496700509999997</v>
      </c>
      <c r="L10003" s="5" t="str">
        <f>HYPERLINK("https://maps.google.com/?q=17.0916742608077,-97.496700509999997", "🔗 Ver Mapa")</f>
        <v>🔗 Ver Mapa</v>
      </c>
    </row>
    <row r="10004" spans="1:12" ht="43.5" x14ac:dyDescent="0.35">
      <c r="A10004" s="6" t="s">
        <v>98</v>
      </c>
      <c r="B10004" s="6" t="s">
        <v>99</v>
      </c>
      <c r="C10004" s="6" t="s">
        <v>1739</v>
      </c>
      <c r="D10004" s="6" t="s">
        <v>14</v>
      </c>
      <c r="E10004" s="6" t="s">
        <v>16</v>
      </c>
      <c r="F10004" s="6" t="s">
        <v>21</v>
      </c>
      <c r="G10004" s="6" t="s">
        <v>25</v>
      </c>
      <c r="H10004" s="6" t="s">
        <v>29</v>
      </c>
      <c r="I10004" s="6" t="s">
        <v>31</v>
      </c>
      <c r="J10004" s="6">
        <v>17.091957293924999</v>
      </c>
      <c r="K10004" s="6">
        <v>-97.493256963806004</v>
      </c>
      <c r="L10004" s="6" t="str">
        <f>HYPERLINK("https://maps.google.com/?q=17.0919572939254,-97.493256963806402", "🔗 Ver Mapa")</f>
        <v>🔗 Ver Mapa</v>
      </c>
    </row>
    <row r="10005" spans="1:12" ht="43.5" x14ac:dyDescent="0.35">
      <c r="A10005" s="5" t="s">
        <v>98</v>
      </c>
      <c r="B10005" s="5" t="s">
        <v>99</v>
      </c>
      <c r="C10005" s="5" t="s">
        <v>1739</v>
      </c>
      <c r="D10005" s="5" t="s">
        <v>14</v>
      </c>
      <c r="E10005" s="5" t="s">
        <v>16</v>
      </c>
      <c r="F10005" s="5" t="s">
        <v>21</v>
      </c>
      <c r="G10005" s="5" t="s">
        <v>25</v>
      </c>
      <c r="H10005" s="5" t="s">
        <v>29</v>
      </c>
      <c r="I10005" s="5" t="s">
        <v>31</v>
      </c>
      <c r="J10005" s="5">
        <v>17.092015678768998</v>
      </c>
      <c r="K10005" s="5">
        <v>-97.493385381055006</v>
      </c>
      <c r="L10005" s="5" t="str">
        <f>HYPERLINK("https://maps.google.com/?q=17.0920156787688,-97.493385381055106", "🔗 Ver Mapa")</f>
        <v>🔗 Ver Mapa</v>
      </c>
    </row>
    <row r="10006" spans="1:12" ht="43.5" x14ac:dyDescent="0.35">
      <c r="A10006" s="6" t="s">
        <v>98</v>
      </c>
      <c r="B10006" s="6" t="s">
        <v>99</v>
      </c>
      <c r="C10006" s="6" t="s">
        <v>1739</v>
      </c>
      <c r="D10006" s="6" t="s">
        <v>14</v>
      </c>
      <c r="E10006" s="6" t="s">
        <v>16</v>
      </c>
      <c r="F10006" s="6" t="s">
        <v>21</v>
      </c>
      <c r="G10006" s="6" t="s">
        <v>25</v>
      </c>
      <c r="H10006" s="6" t="s">
        <v>29</v>
      </c>
      <c r="I10006" s="6" t="s">
        <v>31</v>
      </c>
      <c r="J10006" s="6">
        <v>17.093388074547001</v>
      </c>
      <c r="K10006" s="6">
        <v>-97.497734539999996</v>
      </c>
      <c r="L10006" s="6" t="str">
        <f>HYPERLINK("https://maps.google.com/?q=17.0933880745474,-97.497734539999996", "🔗 Ver Mapa")</f>
        <v>🔗 Ver Mapa</v>
      </c>
    </row>
    <row r="10007" spans="1:12" ht="43.5" x14ac:dyDescent="0.35">
      <c r="A10007" s="5" t="s">
        <v>98</v>
      </c>
      <c r="B10007" s="5" t="s">
        <v>99</v>
      </c>
      <c r="C10007" s="5" t="s">
        <v>1739</v>
      </c>
      <c r="D10007" s="5" t="s">
        <v>14</v>
      </c>
      <c r="E10007" s="5" t="s">
        <v>16</v>
      </c>
      <c r="F10007" s="5" t="s">
        <v>21</v>
      </c>
      <c r="G10007" s="5" t="s">
        <v>25</v>
      </c>
      <c r="H10007" s="5" t="s">
        <v>29</v>
      </c>
      <c r="I10007" s="5" t="s">
        <v>31</v>
      </c>
      <c r="J10007" s="5">
        <v>17.095595765289001</v>
      </c>
      <c r="K10007" s="5">
        <v>-97.498540191103999</v>
      </c>
      <c r="L10007" s="5" t="str">
        <f>HYPERLINK("https://maps.google.com/?q=17.0955957652895,-97.498540191104496", "🔗 Ver Mapa")</f>
        <v>🔗 Ver Mapa</v>
      </c>
    </row>
    <row r="10008" spans="1:12" ht="43.5" x14ac:dyDescent="0.35">
      <c r="A10008" s="6" t="s">
        <v>98</v>
      </c>
      <c r="B10008" s="6" t="s">
        <v>99</v>
      </c>
      <c r="C10008" s="6" t="s">
        <v>1740</v>
      </c>
      <c r="D10008" s="6" t="s">
        <v>14</v>
      </c>
      <c r="E10008" s="6" t="s">
        <v>90</v>
      </c>
      <c r="F10008" s="6" t="s">
        <v>91</v>
      </c>
      <c r="G10008" s="6" t="s">
        <v>1722</v>
      </c>
      <c r="H10008" s="6" t="s">
        <v>1741</v>
      </c>
      <c r="I10008" s="6" t="s">
        <v>31</v>
      </c>
      <c r="J10008" s="6">
        <v>17.011797339653</v>
      </c>
      <c r="K10008" s="6">
        <v>-96.079044075224999</v>
      </c>
      <c r="L10008" s="6" t="str">
        <f>HYPERLINK("https://maps.google.com/?q=17.0117973396527,-96.079044075225397", "🔗 Ver Mapa")</f>
        <v>🔗 Ver Mapa</v>
      </c>
    </row>
    <row r="10009" spans="1:12" ht="43.5" x14ac:dyDescent="0.35">
      <c r="A10009" s="5" t="s">
        <v>98</v>
      </c>
      <c r="B10009" s="5" t="s">
        <v>99</v>
      </c>
      <c r="C10009" s="5" t="s">
        <v>1740</v>
      </c>
      <c r="D10009" s="5" t="s">
        <v>14</v>
      </c>
      <c r="E10009" s="5" t="s">
        <v>90</v>
      </c>
      <c r="F10009" s="5" t="s">
        <v>91</v>
      </c>
      <c r="G10009" s="5" t="s">
        <v>1722</v>
      </c>
      <c r="H10009" s="5" t="s">
        <v>1741</v>
      </c>
      <c r="I10009" s="5" t="s">
        <v>31</v>
      </c>
      <c r="J10009" s="5">
        <v>17.012260907510999</v>
      </c>
      <c r="K10009" s="5">
        <v>-96.078064534418004</v>
      </c>
      <c r="L10009" s="5" t="str">
        <f>HYPERLINK("https://maps.google.com/?q=17.0122609075114,-96.078064534418004", "🔗 Ver Mapa")</f>
        <v>🔗 Ver Mapa</v>
      </c>
    </row>
    <row r="10010" spans="1:12" ht="43.5" x14ac:dyDescent="0.35">
      <c r="A10010" s="6" t="s">
        <v>98</v>
      </c>
      <c r="B10010" s="6" t="s">
        <v>99</v>
      </c>
      <c r="C10010" s="6" t="s">
        <v>1740</v>
      </c>
      <c r="D10010" s="6" t="s">
        <v>14</v>
      </c>
      <c r="E10010" s="6" t="s">
        <v>90</v>
      </c>
      <c r="F10010" s="6" t="s">
        <v>91</v>
      </c>
      <c r="G10010" s="6" t="s">
        <v>1722</v>
      </c>
      <c r="H10010" s="6" t="s">
        <v>1741</v>
      </c>
      <c r="I10010" s="6" t="s">
        <v>31</v>
      </c>
      <c r="J10010" s="6">
        <v>17.012478922505</v>
      </c>
      <c r="K10010" s="6">
        <v>-96.078592450117</v>
      </c>
      <c r="L10010" s="6" t="str">
        <f>HYPERLINK("https://maps.google.com/?q=17.0124789225047,-96.078592450116801", "🔗 Ver Mapa")</f>
        <v>🔗 Ver Mapa</v>
      </c>
    </row>
    <row r="10011" spans="1:12" ht="43.5" x14ac:dyDescent="0.35">
      <c r="A10011" s="5" t="s">
        <v>98</v>
      </c>
      <c r="B10011" s="5" t="s">
        <v>99</v>
      </c>
      <c r="C10011" s="5" t="s">
        <v>1742</v>
      </c>
      <c r="D10011" s="5" t="s">
        <v>14</v>
      </c>
      <c r="E10011" s="5" t="s">
        <v>90</v>
      </c>
      <c r="F10011" s="5" t="s">
        <v>91</v>
      </c>
      <c r="G10011" s="5" t="s">
        <v>1722</v>
      </c>
      <c r="H10011" s="5" t="s">
        <v>1743</v>
      </c>
      <c r="I10011" s="5" t="s">
        <v>31</v>
      </c>
      <c r="J10011" s="5">
        <v>17.009096941679001</v>
      </c>
      <c r="K10011" s="5">
        <v>-96.076501213865996</v>
      </c>
      <c r="L10011" s="5" t="str">
        <f>HYPERLINK("https://maps.google.com/?q=17.009096941679,-96.076501213865797", "🔗 Ver Mapa")</f>
        <v>🔗 Ver Mapa</v>
      </c>
    </row>
    <row r="10012" spans="1:12" ht="43.5" x14ac:dyDescent="0.35">
      <c r="A10012" s="6" t="s">
        <v>98</v>
      </c>
      <c r="B10012" s="6" t="s">
        <v>99</v>
      </c>
      <c r="C10012" s="6" t="s">
        <v>1742</v>
      </c>
      <c r="D10012" s="6" t="s">
        <v>14</v>
      </c>
      <c r="E10012" s="6" t="s">
        <v>90</v>
      </c>
      <c r="F10012" s="6" t="s">
        <v>91</v>
      </c>
      <c r="G10012" s="6" t="s">
        <v>1722</v>
      </c>
      <c r="H10012" s="6" t="s">
        <v>1743</v>
      </c>
      <c r="I10012" s="6" t="s">
        <v>31</v>
      </c>
      <c r="J10012" s="6">
        <v>17.009131867871002</v>
      </c>
      <c r="K10012" s="6">
        <v>-96.076595110290995</v>
      </c>
      <c r="L10012" s="6" t="str">
        <f>HYPERLINK("https://maps.google.com/?q=17.0091318678715,-96.076595110290796", "🔗 Ver Mapa")</f>
        <v>🔗 Ver Mapa</v>
      </c>
    </row>
    <row r="10013" spans="1:12" ht="43.5" x14ac:dyDescent="0.35">
      <c r="A10013" s="5" t="s">
        <v>98</v>
      </c>
      <c r="B10013" s="5" t="s">
        <v>99</v>
      </c>
      <c r="C10013" s="5" t="s">
        <v>1742</v>
      </c>
      <c r="D10013" s="5" t="s">
        <v>14</v>
      </c>
      <c r="E10013" s="5" t="s">
        <v>90</v>
      </c>
      <c r="F10013" s="5" t="s">
        <v>91</v>
      </c>
      <c r="G10013" s="5" t="s">
        <v>1722</v>
      </c>
      <c r="H10013" s="5" t="s">
        <v>1743</v>
      </c>
      <c r="I10013" s="5" t="s">
        <v>31</v>
      </c>
      <c r="J10013" s="5">
        <v>17.009154738542001</v>
      </c>
      <c r="K10013" s="5">
        <v>-96.076010438835993</v>
      </c>
      <c r="L10013" s="5" t="str">
        <f>HYPERLINK("https://maps.google.com/?q=17.0091547385424,-96.076010438836093", "🔗 Ver Mapa")</f>
        <v>🔗 Ver Mapa</v>
      </c>
    </row>
    <row r="10014" spans="1:12" ht="43.5" x14ac:dyDescent="0.35">
      <c r="A10014" s="6" t="s">
        <v>98</v>
      </c>
      <c r="B10014" s="6" t="s">
        <v>99</v>
      </c>
      <c r="C10014" s="6" t="s">
        <v>1742</v>
      </c>
      <c r="D10014" s="6" t="s">
        <v>14</v>
      </c>
      <c r="E10014" s="6" t="s">
        <v>90</v>
      </c>
      <c r="F10014" s="6" t="s">
        <v>91</v>
      </c>
      <c r="G10014" s="6" t="s">
        <v>1722</v>
      </c>
      <c r="H10014" s="6" t="s">
        <v>1743</v>
      </c>
      <c r="I10014" s="6" t="s">
        <v>31</v>
      </c>
      <c r="J10014" s="6">
        <v>17.009822830358999</v>
      </c>
      <c r="K10014" s="6">
        <v>-96.076408971419994</v>
      </c>
      <c r="L10014" s="6" t="str">
        <f>HYPERLINK("https://maps.google.com/?q=17.0098228303593,-96.076408971419596", "🔗 Ver Mapa")</f>
        <v>🔗 Ver Mapa</v>
      </c>
    </row>
    <row r="10015" spans="1:12" ht="43.5" x14ac:dyDescent="0.35">
      <c r="A10015" s="5" t="s">
        <v>98</v>
      </c>
      <c r="B10015" s="5" t="s">
        <v>99</v>
      </c>
      <c r="C10015" s="5" t="s">
        <v>1742</v>
      </c>
      <c r="D10015" s="5" t="s">
        <v>14</v>
      </c>
      <c r="E10015" s="5" t="s">
        <v>90</v>
      </c>
      <c r="F10015" s="5" t="s">
        <v>91</v>
      </c>
      <c r="G10015" s="5" t="s">
        <v>1722</v>
      </c>
      <c r="H10015" s="5" t="s">
        <v>1743</v>
      </c>
      <c r="I10015" s="5" t="s">
        <v>31</v>
      </c>
      <c r="J10015" s="5">
        <v>17.009848368046999</v>
      </c>
      <c r="K10015" s="5">
        <v>-96.075059281657005</v>
      </c>
      <c r="L10015" s="5" t="str">
        <f>HYPERLINK("https://maps.google.com/?q=17.0098483680466,-96.075059281656806", "🔗 Ver Mapa")</f>
        <v>🔗 Ver Mapa</v>
      </c>
    </row>
    <row r="10016" spans="1:12" ht="43.5" x14ac:dyDescent="0.35">
      <c r="A10016" s="6" t="s">
        <v>98</v>
      </c>
      <c r="B10016" s="6" t="s">
        <v>99</v>
      </c>
      <c r="C10016" s="6" t="s">
        <v>1744</v>
      </c>
      <c r="D10016" s="6" t="s">
        <v>14</v>
      </c>
      <c r="E10016" s="6" t="s">
        <v>90</v>
      </c>
      <c r="F10016" s="6" t="s">
        <v>91</v>
      </c>
      <c r="G10016" s="6" t="s">
        <v>1722</v>
      </c>
      <c r="H10016" s="6" t="s">
        <v>1745</v>
      </c>
      <c r="I10016" s="6" t="s">
        <v>31</v>
      </c>
      <c r="J10016" s="6">
        <v>16.993101594355998</v>
      </c>
      <c r="K10016" s="6">
        <v>-96.064574558800999</v>
      </c>
      <c r="L10016" s="6" t="str">
        <f>HYPERLINK("https://maps.google.com/?q=16.9931015943561,-96.0645745588008", "🔗 Ver Mapa")</f>
        <v>🔗 Ver Mapa</v>
      </c>
    </row>
    <row r="10017" spans="1:12" ht="43.5" x14ac:dyDescent="0.35">
      <c r="A10017" s="5" t="s">
        <v>98</v>
      </c>
      <c r="B10017" s="5" t="s">
        <v>99</v>
      </c>
      <c r="C10017" s="5" t="s">
        <v>1744</v>
      </c>
      <c r="D10017" s="5" t="s">
        <v>14</v>
      </c>
      <c r="E10017" s="5" t="s">
        <v>90</v>
      </c>
      <c r="F10017" s="5" t="s">
        <v>91</v>
      </c>
      <c r="G10017" s="5" t="s">
        <v>1722</v>
      </c>
      <c r="H10017" s="5" t="s">
        <v>1745</v>
      </c>
      <c r="I10017" s="5" t="s">
        <v>31</v>
      </c>
      <c r="J10017" s="5">
        <v>16.993791577761002</v>
      </c>
      <c r="K10017" s="5">
        <v>-96.072239926627006</v>
      </c>
      <c r="L10017" s="5" t="str">
        <f>HYPERLINK("https://maps.google.com/?q=16.9937915777612,-96.072239926627006", "🔗 Ver Mapa")</f>
        <v>🔗 Ver Mapa</v>
      </c>
    </row>
    <row r="10018" spans="1:12" ht="43.5" x14ac:dyDescent="0.35">
      <c r="A10018" s="6" t="s">
        <v>98</v>
      </c>
      <c r="B10018" s="6" t="s">
        <v>99</v>
      </c>
      <c r="C10018" s="6" t="s">
        <v>1744</v>
      </c>
      <c r="D10018" s="6" t="s">
        <v>14</v>
      </c>
      <c r="E10018" s="6" t="s">
        <v>90</v>
      </c>
      <c r="F10018" s="6" t="s">
        <v>91</v>
      </c>
      <c r="G10018" s="6" t="s">
        <v>1722</v>
      </c>
      <c r="H10018" s="6" t="s">
        <v>1745</v>
      </c>
      <c r="I10018" s="6" t="s">
        <v>31</v>
      </c>
      <c r="J10018" s="6">
        <v>16.993989573756998</v>
      </c>
      <c r="K10018" s="6">
        <v>-96.072433239448003</v>
      </c>
      <c r="L10018" s="6" t="str">
        <f>HYPERLINK("https://maps.google.com/?q=16.9939895737569,-96.072433239447705", "🔗 Ver Mapa")</f>
        <v>🔗 Ver Mapa</v>
      </c>
    </row>
    <row r="10019" spans="1:12" ht="43.5" x14ac:dyDescent="0.35">
      <c r="A10019" s="5" t="s">
        <v>98</v>
      </c>
      <c r="B10019" s="5" t="s">
        <v>99</v>
      </c>
      <c r="C10019" s="5" t="s">
        <v>1744</v>
      </c>
      <c r="D10019" s="5" t="s">
        <v>14</v>
      </c>
      <c r="E10019" s="5" t="s">
        <v>90</v>
      </c>
      <c r="F10019" s="5" t="s">
        <v>91</v>
      </c>
      <c r="G10019" s="5" t="s">
        <v>1722</v>
      </c>
      <c r="H10019" s="5" t="s">
        <v>1745</v>
      </c>
      <c r="I10019" s="5" t="s">
        <v>31</v>
      </c>
      <c r="J10019" s="5">
        <v>16.994386731808</v>
      </c>
      <c r="K10019" s="5">
        <v>-96.072186721223005</v>
      </c>
      <c r="L10019" s="5" t="str">
        <f>HYPERLINK("https://maps.google.com/?q=16.9943867318083,-96.072186721223403", "🔗 Ver Mapa")</f>
        <v>🔗 Ver Mapa</v>
      </c>
    </row>
    <row r="10020" spans="1:12" ht="43.5" x14ac:dyDescent="0.35">
      <c r="A10020" s="6" t="s">
        <v>98</v>
      </c>
      <c r="B10020" s="6" t="s">
        <v>99</v>
      </c>
      <c r="C10020" s="6" t="s">
        <v>1744</v>
      </c>
      <c r="D10020" s="6" t="s">
        <v>14</v>
      </c>
      <c r="E10020" s="6" t="s">
        <v>90</v>
      </c>
      <c r="F10020" s="6" t="s">
        <v>91</v>
      </c>
      <c r="G10020" s="6" t="s">
        <v>1722</v>
      </c>
      <c r="H10020" s="6" t="s">
        <v>1745</v>
      </c>
      <c r="I10020" s="6" t="s">
        <v>31</v>
      </c>
      <c r="J10020" s="6">
        <v>16.994655652997</v>
      </c>
      <c r="K10020" s="6">
        <v>-96.071484542150003</v>
      </c>
      <c r="L10020" s="6" t="str">
        <f>HYPERLINK("https://maps.google.com/?q=16.9946556529969,-96.071484542149605", "🔗 Ver Mapa")</f>
        <v>🔗 Ver Mapa</v>
      </c>
    </row>
    <row r="10021" spans="1:12" ht="43.5" x14ac:dyDescent="0.35">
      <c r="A10021" s="5" t="s">
        <v>98</v>
      </c>
      <c r="B10021" s="5" t="s">
        <v>99</v>
      </c>
      <c r="C10021" s="5" t="s">
        <v>1744</v>
      </c>
      <c r="D10021" s="5" t="s">
        <v>14</v>
      </c>
      <c r="E10021" s="5" t="s">
        <v>90</v>
      </c>
      <c r="F10021" s="5" t="s">
        <v>91</v>
      </c>
      <c r="G10021" s="5" t="s">
        <v>1722</v>
      </c>
      <c r="H10021" s="5" t="s">
        <v>1745</v>
      </c>
      <c r="I10021" s="5" t="s">
        <v>31</v>
      </c>
      <c r="J10021" s="5">
        <v>16.995233151398999</v>
      </c>
      <c r="K10021" s="5">
        <v>-96.072382926627</v>
      </c>
      <c r="L10021" s="5" t="str">
        <f>HYPERLINK("https://maps.google.com/?q=16.9952331513986,-96.072382926627", "🔗 Ver Mapa")</f>
        <v>🔗 Ver Mapa</v>
      </c>
    </row>
    <row r="10022" spans="1:12" ht="43.5" x14ac:dyDescent="0.35">
      <c r="A10022" s="6" t="s">
        <v>98</v>
      </c>
      <c r="B10022" s="6" t="s">
        <v>99</v>
      </c>
      <c r="C10022" s="6" t="s">
        <v>1744</v>
      </c>
      <c r="D10022" s="6" t="s">
        <v>14</v>
      </c>
      <c r="E10022" s="6" t="s">
        <v>90</v>
      </c>
      <c r="F10022" s="6" t="s">
        <v>91</v>
      </c>
      <c r="G10022" s="6" t="s">
        <v>1722</v>
      </c>
      <c r="H10022" s="6" t="s">
        <v>1745</v>
      </c>
      <c r="I10022" s="6" t="s">
        <v>31</v>
      </c>
      <c r="J10022" s="6">
        <v>16.995796928583001</v>
      </c>
      <c r="K10022" s="6">
        <v>-96.073732603118003</v>
      </c>
      <c r="L10022" s="6" t="str">
        <f>HYPERLINK("https://maps.google.com/?q=16.9957969285832,-96.073732603117904", "🔗 Ver Mapa")</f>
        <v>🔗 Ver Mapa</v>
      </c>
    </row>
    <row r="10023" spans="1:12" ht="43.5" x14ac:dyDescent="0.35">
      <c r="A10023" s="5" t="s">
        <v>98</v>
      </c>
      <c r="B10023" s="5" t="s">
        <v>99</v>
      </c>
      <c r="C10023" s="5" t="s">
        <v>1744</v>
      </c>
      <c r="D10023" s="5" t="s">
        <v>14</v>
      </c>
      <c r="E10023" s="5" t="s">
        <v>90</v>
      </c>
      <c r="F10023" s="5" t="s">
        <v>91</v>
      </c>
      <c r="G10023" s="5" t="s">
        <v>1722</v>
      </c>
      <c r="H10023" s="5" t="s">
        <v>1745</v>
      </c>
      <c r="I10023" s="5" t="s">
        <v>31</v>
      </c>
      <c r="J10023" s="5">
        <v>16.996501042553</v>
      </c>
      <c r="K10023" s="5">
        <v>-96.076632738954999</v>
      </c>
      <c r="L10023" s="5" t="str">
        <f>HYPERLINK("https://maps.google.com/?q=16.9965010425532,-96.076632738954899", "🔗 Ver Mapa")</f>
        <v>🔗 Ver Mapa</v>
      </c>
    </row>
    <row r="10024" spans="1:12" ht="43.5" x14ac:dyDescent="0.35">
      <c r="A10024" s="6" t="s">
        <v>98</v>
      </c>
      <c r="B10024" s="6" t="s">
        <v>99</v>
      </c>
      <c r="C10024" s="6" t="s">
        <v>1744</v>
      </c>
      <c r="D10024" s="6" t="s">
        <v>14</v>
      </c>
      <c r="E10024" s="6" t="s">
        <v>90</v>
      </c>
      <c r="F10024" s="6" t="s">
        <v>91</v>
      </c>
      <c r="G10024" s="6" t="s">
        <v>1722</v>
      </c>
      <c r="H10024" s="6" t="s">
        <v>1745</v>
      </c>
      <c r="I10024" s="6" t="s">
        <v>31</v>
      </c>
      <c r="J10024" s="6">
        <v>16.997375056542001</v>
      </c>
      <c r="K10024" s="6">
        <v>-96.074075518835997</v>
      </c>
      <c r="L10024" s="6" t="str">
        <f>HYPERLINK("https://maps.google.com/?q=16.9973750565419,-96.074075518835997", "🔗 Ver Mapa")</f>
        <v>🔗 Ver Mapa</v>
      </c>
    </row>
    <row r="10025" spans="1:12" ht="43.5" x14ac:dyDescent="0.35">
      <c r="A10025" s="5" t="s">
        <v>98</v>
      </c>
      <c r="B10025" s="5" t="s">
        <v>99</v>
      </c>
      <c r="C10025" s="5" t="s">
        <v>1744</v>
      </c>
      <c r="D10025" s="5" t="s">
        <v>14</v>
      </c>
      <c r="E10025" s="5" t="s">
        <v>90</v>
      </c>
      <c r="F10025" s="5" t="s">
        <v>91</v>
      </c>
      <c r="G10025" s="5" t="s">
        <v>1722</v>
      </c>
      <c r="H10025" s="5" t="s">
        <v>1745</v>
      </c>
      <c r="I10025" s="5" t="s">
        <v>31</v>
      </c>
      <c r="J10025" s="5">
        <v>16.997626947709001</v>
      </c>
      <c r="K10025" s="5">
        <v>-96.073869372269002</v>
      </c>
      <c r="L10025" s="5" t="str">
        <f>HYPERLINK("https://maps.google.com/?q=16.9976269477093,-96.073869372268504", "🔗 Ver Mapa")</f>
        <v>🔗 Ver Mapa</v>
      </c>
    </row>
    <row r="10026" spans="1:12" ht="43.5" x14ac:dyDescent="0.35">
      <c r="A10026" s="6" t="s">
        <v>98</v>
      </c>
      <c r="B10026" s="6" t="s">
        <v>99</v>
      </c>
      <c r="C10026" s="6" t="s">
        <v>1744</v>
      </c>
      <c r="D10026" s="6" t="s">
        <v>14</v>
      </c>
      <c r="E10026" s="6" t="s">
        <v>90</v>
      </c>
      <c r="F10026" s="6" t="s">
        <v>91</v>
      </c>
      <c r="G10026" s="6" t="s">
        <v>1722</v>
      </c>
      <c r="H10026" s="6" t="s">
        <v>1745</v>
      </c>
      <c r="I10026" s="6" t="s">
        <v>31</v>
      </c>
      <c r="J10026" s="6">
        <v>17.000102074130002</v>
      </c>
      <c r="K10026" s="6">
        <v>-96.079626915125999</v>
      </c>
      <c r="L10026" s="6" t="str">
        <f>HYPERLINK("https://maps.google.com/?q=17.0001020741296,-96.0796269151259", "🔗 Ver Mapa")</f>
        <v>🔗 Ver Mapa</v>
      </c>
    </row>
    <row r="10027" spans="1:12" ht="43.5" x14ac:dyDescent="0.35">
      <c r="A10027" s="5" t="s">
        <v>98</v>
      </c>
      <c r="B10027" s="5" t="s">
        <v>99</v>
      </c>
      <c r="C10027" s="5" t="s">
        <v>1744</v>
      </c>
      <c r="D10027" s="5" t="s">
        <v>14</v>
      </c>
      <c r="E10027" s="5" t="s">
        <v>90</v>
      </c>
      <c r="F10027" s="5" t="s">
        <v>91</v>
      </c>
      <c r="G10027" s="5" t="s">
        <v>1722</v>
      </c>
      <c r="H10027" s="5" t="s">
        <v>1745</v>
      </c>
      <c r="I10027" s="5" t="s">
        <v>31</v>
      </c>
      <c r="J10027" s="5">
        <v>17.001090047674001</v>
      </c>
      <c r="K10027" s="5">
        <v>-96.075042978835995</v>
      </c>
      <c r="L10027" s="5" t="str">
        <f>HYPERLINK("https://maps.google.com/?q=17.0010900476739,-96.075042978836095", "🔗 Ver Mapa")</f>
        <v>🔗 Ver Mapa</v>
      </c>
    </row>
    <row r="10028" spans="1:12" ht="43.5" x14ac:dyDescent="0.35">
      <c r="A10028" s="6" t="s">
        <v>98</v>
      </c>
      <c r="B10028" s="6" t="s">
        <v>99</v>
      </c>
      <c r="C10028" s="6" t="s">
        <v>1744</v>
      </c>
      <c r="D10028" s="6" t="s">
        <v>14</v>
      </c>
      <c r="E10028" s="6" t="s">
        <v>90</v>
      </c>
      <c r="F10028" s="6" t="s">
        <v>91</v>
      </c>
      <c r="G10028" s="6" t="s">
        <v>1722</v>
      </c>
      <c r="H10028" s="6" t="s">
        <v>1745</v>
      </c>
      <c r="I10028" s="6" t="s">
        <v>31</v>
      </c>
      <c r="J10028" s="6">
        <v>17.002498646399999</v>
      </c>
      <c r="K10028" s="6">
        <v>-96.073674656015001</v>
      </c>
      <c r="L10028" s="6" t="str">
        <f>HYPERLINK("https://maps.google.com/?q=17.0024986463997,-96.073674656015399", "🔗 Ver Mapa")</f>
        <v>🔗 Ver Mapa</v>
      </c>
    </row>
    <row r="10029" spans="1:12" ht="43.5" x14ac:dyDescent="0.35">
      <c r="A10029" s="5" t="s">
        <v>98</v>
      </c>
      <c r="B10029" s="5" t="s">
        <v>99</v>
      </c>
      <c r="C10029" s="5" t="s">
        <v>1744</v>
      </c>
      <c r="D10029" s="5" t="s">
        <v>14</v>
      </c>
      <c r="E10029" s="5" t="s">
        <v>90</v>
      </c>
      <c r="F10029" s="5" t="s">
        <v>91</v>
      </c>
      <c r="G10029" s="5" t="s">
        <v>1722</v>
      </c>
      <c r="H10029" s="5" t="s">
        <v>1745</v>
      </c>
      <c r="I10029" s="5" t="s">
        <v>31</v>
      </c>
      <c r="J10029" s="5">
        <v>17.003128044951001</v>
      </c>
      <c r="K10029" s="5">
        <v>-96.066981315522995</v>
      </c>
      <c r="L10029" s="5" t="str">
        <f>HYPERLINK("https://maps.google.com/?q=17.003128044951,-96.066981315522597", "🔗 Ver Mapa")</f>
        <v>🔗 Ver Mapa</v>
      </c>
    </row>
    <row r="10030" spans="1:12" ht="43.5" x14ac:dyDescent="0.35">
      <c r="A10030" s="6" t="s">
        <v>98</v>
      </c>
      <c r="B10030" s="6" t="s">
        <v>99</v>
      </c>
      <c r="C10030" s="6" t="s">
        <v>1744</v>
      </c>
      <c r="D10030" s="6" t="s">
        <v>14</v>
      </c>
      <c r="E10030" s="6" t="s">
        <v>90</v>
      </c>
      <c r="F10030" s="6" t="s">
        <v>91</v>
      </c>
      <c r="G10030" s="6" t="s">
        <v>1722</v>
      </c>
      <c r="H10030" s="6" t="s">
        <v>1745</v>
      </c>
      <c r="I10030" s="6" t="s">
        <v>31</v>
      </c>
      <c r="J10030" s="6">
        <v>17.003323128253001</v>
      </c>
      <c r="K10030" s="6">
        <v>-96.069226108004003</v>
      </c>
      <c r="L10030" s="6" t="str">
        <f>HYPERLINK("https://maps.google.com/?q=17.0033231282526,-96.069226108004", "🔗 Ver Mapa")</f>
        <v>🔗 Ver Mapa</v>
      </c>
    </row>
    <row r="10031" spans="1:12" ht="43.5" x14ac:dyDescent="0.35">
      <c r="A10031" s="5" t="s">
        <v>98</v>
      </c>
      <c r="B10031" s="5" t="s">
        <v>99</v>
      </c>
      <c r="C10031" s="5" t="s">
        <v>1744</v>
      </c>
      <c r="D10031" s="5" t="s">
        <v>14</v>
      </c>
      <c r="E10031" s="5" t="s">
        <v>90</v>
      </c>
      <c r="F10031" s="5" t="s">
        <v>91</v>
      </c>
      <c r="G10031" s="5" t="s">
        <v>1722</v>
      </c>
      <c r="H10031" s="5" t="s">
        <v>1745</v>
      </c>
      <c r="I10031" s="5" t="s">
        <v>31</v>
      </c>
      <c r="J10031" s="5">
        <v>17.003454000188</v>
      </c>
      <c r="K10031" s="5">
        <v>-96.066904841105</v>
      </c>
      <c r="L10031" s="5" t="str">
        <f>HYPERLINK("https://maps.google.com/?q=17.0034540001876,-96.066904841104503", "🔗 Ver Mapa")</f>
        <v>🔗 Ver Mapa</v>
      </c>
    </row>
    <row r="10032" spans="1:12" ht="43.5" x14ac:dyDescent="0.35">
      <c r="A10032" s="6" t="s">
        <v>98</v>
      </c>
      <c r="B10032" s="6" t="s">
        <v>99</v>
      </c>
      <c r="C10032" s="6" t="s">
        <v>1744</v>
      </c>
      <c r="D10032" s="6" t="s">
        <v>14</v>
      </c>
      <c r="E10032" s="6" t="s">
        <v>90</v>
      </c>
      <c r="F10032" s="6" t="s">
        <v>91</v>
      </c>
      <c r="G10032" s="6" t="s">
        <v>1722</v>
      </c>
      <c r="H10032" s="6" t="s">
        <v>1745</v>
      </c>
      <c r="I10032" s="6" t="s">
        <v>31</v>
      </c>
      <c r="J10032" s="6">
        <v>17.003692482750999</v>
      </c>
      <c r="K10032" s="6">
        <v>-96.069046399941001</v>
      </c>
      <c r="L10032" s="6" t="str">
        <f>HYPERLINK("https://maps.google.com/?q=17.0036924827513,-96.069046399940603", "🔗 Ver Mapa")</f>
        <v>🔗 Ver Mapa</v>
      </c>
    </row>
    <row r="10033" spans="1:12" ht="43.5" x14ac:dyDescent="0.35">
      <c r="A10033" s="5" t="s">
        <v>98</v>
      </c>
      <c r="B10033" s="5" t="s">
        <v>99</v>
      </c>
      <c r="C10033" s="5" t="s">
        <v>1746</v>
      </c>
      <c r="D10033" s="5" t="s">
        <v>14</v>
      </c>
      <c r="E10033" s="5" t="s">
        <v>52</v>
      </c>
      <c r="F10033" s="5" t="s">
        <v>53</v>
      </c>
      <c r="G10033" s="5" t="s">
        <v>1747</v>
      </c>
      <c r="H10033" s="5" t="s">
        <v>1748</v>
      </c>
      <c r="I10033" s="5" t="s">
        <v>31</v>
      </c>
      <c r="J10033" s="5">
        <v>16.901087413039999</v>
      </c>
      <c r="K10033" s="5">
        <v>-96.324904593823007</v>
      </c>
      <c r="L10033" s="5" t="str">
        <f>HYPERLINK("https://maps.google.com/?q=16.9010874130405,-96.324904593822595", "🔗 Ver Mapa")</f>
        <v>🔗 Ver Mapa</v>
      </c>
    </row>
    <row r="10034" spans="1:12" ht="43.5" x14ac:dyDescent="0.35">
      <c r="A10034" s="6" t="s">
        <v>98</v>
      </c>
      <c r="B10034" s="6" t="s">
        <v>99</v>
      </c>
      <c r="C10034" s="6" t="s">
        <v>1746</v>
      </c>
      <c r="D10034" s="6" t="s">
        <v>14</v>
      </c>
      <c r="E10034" s="6" t="s">
        <v>52</v>
      </c>
      <c r="F10034" s="6" t="s">
        <v>53</v>
      </c>
      <c r="G10034" s="6" t="s">
        <v>1747</v>
      </c>
      <c r="H10034" s="6" t="s">
        <v>1748</v>
      </c>
      <c r="I10034" s="6" t="s">
        <v>31</v>
      </c>
      <c r="J10034" s="6">
        <v>16.902954983183999</v>
      </c>
      <c r="K10034" s="6">
        <v>-96.330162617385994</v>
      </c>
      <c r="L10034" s="6" t="str">
        <f>HYPERLINK("https://maps.google.com/?q=16.9029549831843,-96.330162617386407", "🔗 Ver Mapa")</f>
        <v>🔗 Ver Mapa</v>
      </c>
    </row>
    <row r="10035" spans="1:12" ht="43.5" x14ac:dyDescent="0.35">
      <c r="A10035" s="5" t="s">
        <v>98</v>
      </c>
      <c r="B10035" s="5" t="s">
        <v>99</v>
      </c>
      <c r="C10035" s="5" t="s">
        <v>1746</v>
      </c>
      <c r="D10035" s="5" t="s">
        <v>14</v>
      </c>
      <c r="E10035" s="5" t="s">
        <v>52</v>
      </c>
      <c r="F10035" s="5" t="s">
        <v>53</v>
      </c>
      <c r="G10035" s="5" t="s">
        <v>1747</v>
      </c>
      <c r="H10035" s="5" t="s">
        <v>1748</v>
      </c>
      <c r="I10035" s="5" t="s">
        <v>31</v>
      </c>
      <c r="J10035" s="5">
        <v>16.90461172102</v>
      </c>
      <c r="K10035" s="5">
        <v>-96.326775746411997</v>
      </c>
      <c r="L10035" s="5" t="str">
        <f>HYPERLINK("https://maps.google.com/?q=16.9046117210203,-96.326775746411599", "🔗 Ver Mapa")</f>
        <v>🔗 Ver Mapa</v>
      </c>
    </row>
    <row r="10036" spans="1:12" ht="43.5" x14ac:dyDescent="0.35">
      <c r="A10036" s="6" t="s">
        <v>98</v>
      </c>
      <c r="B10036" s="6" t="s">
        <v>99</v>
      </c>
      <c r="C10036" s="6" t="s">
        <v>1746</v>
      </c>
      <c r="D10036" s="6" t="s">
        <v>14</v>
      </c>
      <c r="E10036" s="6" t="s">
        <v>52</v>
      </c>
      <c r="F10036" s="6" t="s">
        <v>53</v>
      </c>
      <c r="G10036" s="6" t="s">
        <v>1747</v>
      </c>
      <c r="H10036" s="6" t="s">
        <v>1748</v>
      </c>
      <c r="I10036" s="6" t="s">
        <v>31</v>
      </c>
      <c r="J10036" s="6">
        <v>16.904799688133998</v>
      </c>
      <c r="K10036" s="6">
        <v>-96.326617500937004</v>
      </c>
      <c r="L10036" s="6" t="str">
        <f>HYPERLINK("https://maps.google.com/?q=16.9047996881345,-96.326617500936607", "🔗 Ver Mapa")</f>
        <v>🔗 Ver Mapa</v>
      </c>
    </row>
    <row r="10037" spans="1:12" ht="43.5" x14ac:dyDescent="0.35">
      <c r="A10037" s="5" t="s">
        <v>98</v>
      </c>
      <c r="B10037" s="5" t="s">
        <v>99</v>
      </c>
      <c r="C10037" s="5" t="s">
        <v>1746</v>
      </c>
      <c r="D10037" s="5" t="s">
        <v>14</v>
      </c>
      <c r="E10037" s="5" t="s">
        <v>52</v>
      </c>
      <c r="F10037" s="5" t="s">
        <v>53</v>
      </c>
      <c r="G10037" s="5" t="s">
        <v>1747</v>
      </c>
      <c r="H10037" s="5" t="s">
        <v>1748</v>
      </c>
      <c r="I10037" s="5" t="s">
        <v>31</v>
      </c>
      <c r="J10037" s="5">
        <v>16.906457392974001</v>
      </c>
      <c r="K10037" s="5">
        <v>-96.327449923030997</v>
      </c>
      <c r="L10037" s="5" t="str">
        <f>HYPERLINK("https://maps.google.com/?q=16.9064573929744,-96.327449923030898", "🔗 Ver Mapa")</f>
        <v>🔗 Ver Mapa</v>
      </c>
    </row>
    <row r="10038" spans="1:12" ht="43.5" x14ac:dyDescent="0.35">
      <c r="A10038" s="6" t="s">
        <v>98</v>
      </c>
      <c r="B10038" s="6" t="s">
        <v>99</v>
      </c>
      <c r="C10038" s="6" t="s">
        <v>1749</v>
      </c>
      <c r="D10038" s="6" t="s">
        <v>14</v>
      </c>
      <c r="E10038" s="6" t="s">
        <v>52</v>
      </c>
      <c r="F10038" s="6" t="s">
        <v>53</v>
      </c>
      <c r="G10038" s="6" t="s">
        <v>1747</v>
      </c>
      <c r="H10038" s="6" t="s">
        <v>1750</v>
      </c>
      <c r="I10038" s="6" t="s">
        <v>31</v>
      </c>
      <c r="J10038" s="6">
        <v>16.915711836808001</v>
      </c>
      <c r="K10038" s="6">
        <v>-96.360203780161001</v>
      </c>
      <c r="L10038" s="6" t="str">
        <f>HYPERLINK("https://maps.google.com/?q=16.9157118368082,-96.360203780160603", "🔗 Ver Mapa")</f>
        <v>🔗 Ver Mapa</v>
      </c>
    </row>
    <row r="10039" spans="1:12" ht="43.5" x14ac:dyDescent="0.35">
      <c r="A10039" s="5" t="s">
        <v>98</v>
      </c>
      <c r="B10039" s="5" t="s">
        <v>99</v>
      </c>
      <c r="C10039" s="5" t="s">
        <v>1749</v>
      </c>
      <c r="D10039" s="5" t="s">
        <v>14</v>
      </c>
      <c r="E10039" s="5" t="s">
        <v>52</v>
      </c>
      <c r="F10039" s="5" t="s">
        <v>53</v>
      </c>
      <c r="G10039" s="5" t="s">
        <v>1747</v>
      </c>
      <c r="H10039" s="5" t="s">
        <v>1750</v>
      </c>
      <c r="I10039" s="5" t="s">
        <v>31</v>
      </c>
      <c r="J10039" s="5">
        <v>16.917285597644</v>
      </c>
      <c r="K10039" s="5">
        <v>-96.364016316268007</v>
      </c>
      <c r="L10039" s="5" t="str">
        <f>HYPERLINK("https://maps.google.com/?q=16.9172855976441,-96.364016316268106", "🔗 Ver Mapa")</f>
        <v>🔗 Ver Mapa</v>
      </c>
    </row>
    <row r="10040" spans="1:12" ht="43.5" x14ac:dyDescent="0.35">
      <c r="A10040" s="6" t="s">
        <v>98</v>
      </c>
      <c r="B10040" s="6" t="s">
        <v>99</v>
      </c>
      <c r="C10040" s="6" t="s">
        <v>1749</v>
      </c>
      <c r="D10040" s="6" t="s">
        <v>14</v>
      </c>
      <c r="E10040" s="6" t="s">
        <v>52</v>
      </c>
      <c r="F10040" s="6" t="s">
        <v>53</v>
      </c>
      <c r="G10040" s="6" t="s">
        <v>1747</v>
      </c>
      <c r="H10040" s="6" t="s">
        <v>1750</v>
      </c>
      <c r="I10040" s="6" t="s">
        <v>31</v>
      </c>
      <c r="J10040" s="6">
        <v>16.919247592005998</v>
      </c>
      <c r="K10040" s="6">
        <v>-96.373290114086004</v>
      </c>
      <c r="L10040" s="6" t="str">
        <f>HYPERLINK("https://maps.google.com/?q=16.9192475920058,-96.373290114086103", "🔗 Ver Mapa")</f>
        <v>🔗 Ver Mapa</v>
      </c>
    </row>
    <row r="10041" spans="1:12" ht="43.5" x14ac:dyDescent="0.35">
      <c r="A10041" s="5" t="s">
        <v>98</v>
      </c>
      <c r="B10041" s="5" t="s">
        <v>99</v>
      </c>
      <c r="C10041" s="5" t="s">
        <v>1749</v>
      </c>
      <c r="D10041" s="5" t="s">
        <v>14</v>
      </c>
      <c r="E10041" s="5" t="s">
        <v>52</v>
      </c>
      <c r="F10041" s="5" t="s">
        <v>53</v>
      </c>
      <c r="G10041" s="5" t="s">
        <v>1747</v>
      </c>
      <c r="H10041" s="5" t="s">
        <v>1750</v>
      </c>
      <c r="I10041" s="5" t="s">
        <v>31</v>
      </c>
      <c r="J10041" s="5">
        <v>16.919327184726999</v>
      </c>
      <c r="K10041" s="5">
        <v>-96.348058544636004</v>
      </c>
      <c r="L10041" s="5" t="str">
        <f>HYPERLINK("https://maps.google.com/?q=16.9193271847273,-96.348058544635606", "🔗 Ver Mapa")</f>
        <v>🔗 Ver Mapa</v>
      </c>
    </row>
    <row r="10042" spans="1:12" ht="43.5" x14ac:dyDescent="0.35">
      <c r="A10042" s="6" t="s">
        <v>98</v>
      </c>
      <c r="B10042" s="6" t="s">
        <v>99</v>
      </c>
      <c r="C10042" s="6" t="s">
        <v>1749</v>
      </c>
      <c r="D10042" s="6" t="s">
        <v>14</v>
      </c>
      <c r="E10042" s="6" t="s">
        <v>52</v>
      </c>
      <c r="F10042" s="6" t="s">
        <v>53</v>
      </c>
      <c r="G10042" s="6" t="s">
        <v>1747</v>
      </c>
      <c r="H10042" s="6" t="s">
        <v>1750</v>
      </c>
      <c r="I10042" s="6" t="s">
        <v>31</v>
      </c>
      <c r="J10042" s="6">
        <v>16.922977291628001</v>
      </c>
      <c r="K10042" s="6">
        <v>-96.358296865179994</v>
      </c>
      <c r="L10042" s="6" t="str">
        <f>HYPERLINK("https://maps.google.com/?q=16.9229772916278,-96.358296865179696", "🔗 Ver Mapa")</f>
        <v>🔗 Ver Mapa</v>
      </c>
    </row>
    <row r="10043" spans="1:12" ht="43.5" x14ac:dyDescent="0.35">
      <c r="A10043" s="5" t="s">
        <v>98</v>
      </c>
      <c r="B10043" s="5" t="s">
        <v>99</v>
      </c>
      <c r="C10043" s="5" t="s">
        <v>1749</v>
      </c>
      <c r="D10043" s="5" t="s">
        <v>14</v>
      </c>
      <c r="E10043" s="5" t="s">
        <v>52</v>
      </c>
      <c r="F10043" s="5" t="s">
        <v>53</v>
      </c>
      <c r="G10043" s="5" t="s">
        <v>1747</v>
      </c>
      <c r="H10043" s="5" t="s">
        <v>1750</v>
      </c>
      <c r="I10043" s="5" t="s">
        <v>31</v>
      </c>
      <c r="J10043" s="5">
        <v>16.923417390211998</v>
      </c>
      <c r="K10043" s="5">
        <v>-96.361548417500003</v>
      </c>
      <c r="L10043" s="5" t="str">
        <f>HYPERLINK("https://maps.google.com/?q=16.9234173902115,-96.361548417499904", "🔗 Ver Mapa")</f>
        <v>🔗 Ver Mapa</v>
      </c>
    </row>
    <row r="10044" spans="1:12" ht="43.5" x14ac:dyDescent="0.35">
      <c r="A10044" s="6" t="s">
        <v>98</v>
      </c>
      <c r="B10044" s="6" t="s">
        <v>99</v>
      </c>
      <c r="C10044" s="6" t="s">
        <v>1749</v>
      </c>
      <c r="D10044" s="6" t="s">
        <v>14</v>
      </c>
      <c r="E10044" s="6" t="s">
        <v>52</v>
      </c>
      <c r="F10044" s="6" t="s">
        <v>53</v>
      </c>
      <c r="G10044" s="6" t="s">
        <v>1747</v>
      </c>
      <c r="H10044" s="6" t="s">
        <v>1750</v>
      </c>
      <c r="I10044" s="6" t="s">
        <v>31</v>
      </c>
      <c r="J10044" s="6">
        <v>16.923458355257999</v>
      </c>
      <c r="K10044" s="6">
        <v>-96.365969832649</v>
      </c>
      <c r="L10044" s="6" t="str">
        <f>HYPERLINK("https://maps.google.com/?q=16.9234583552576,-96.365969832648801", "🔗 Ver Mapa")</f>
        <v>🔗 Ver Mapa</v>
      </c>
    </row>
    <row r="10045" spans="1:12" ht="43.5" x14ac:dyDescent="0.35">
      <c r="A10045" s="5" t="s">
        <v>98</v>
      </c>
      <c r="B10045" s="5" t="s">
        <v>99</v>
      </c>
      <c r="C10045" s="5" t="s">
        <v>1749</v>
      </c>
      <c r="D10045" s="5" t="s">
        <v>14</v>
      </c>
      <c r="E10045" s="5" t="s">
        <v>52</v>
      </c>
      <c r="F10045" s="5" t="s">
        <v>53</v>
      </c>
      <c r="G10045" s="5" t="s">
        <v>1747</v>
      </c>
      <c r="H10045" s="5" t="s">
        <v>1750</v>
      </c>
      <c r="I10045" s="5" t="s">
        <v>31</v>
      </c>
      <c r="J10045" s="5">
        <v>16.92457714907</v>
      </c>
      <c r="K10045" s="5">
        <v>-96.366506274451993</v>
      </c>
      <c r="L10045" s="5" t="str">
        <f>HYPERLINK("https://maps.google.com/?q=16.9245771490699,-96.366506274451794", "🔗 Ver Mapa")</f>
        <v>🔗 Ver Mapa</v>
      </c>
    </row>
    <row r="10046" spans="1:12" ht="43.5" x14ac:dyDescent="0.35">
      <c r="A10046" s="6" t="s">
        <v>98</v>
      </c>
      <c r="B10046" s="6" t="s">
        <v>99</v>
      </c>
      <c r="C10046" s="6" t="s">
        <v>1749</v>
      </c>
      <c r="D10046" s="6" t="s">
        <v>14</v>
      </c>
      <c r="E10046" s="6" t="s">
        <v>52</v>
      </c>
      <c r="F10046" s="6" t="s">
        <v>53</v>
      </c>
      <c r="G10046" s="6" t="s">
        <v>1747</v>
      </c>
      <c r="H10046" s="6" t="s">
        <v>1750</v>
      </c>
      <c r="I10046" s="6" t="s">
        <v>31</v>
      </c>
      <c r="J10046" s="6">
        <v>16.924856849804002</v>
      </c>
      <c r="K10046" s="6">
        <v>-96.366693358530995</v>
      </c>
      <c r="L10046" s="6" t="str">
        <f>HYPERLINK("https://maps.google.com/?q=16.9248568498036,-96.366693358530597", "🔗 Ver Mapa")</f>
        <v>🔗 Ver Mapa</v>
      </c>
    </row>
    <row r="10047" spans="1:12" ht="43.5" x14ac:dyDescent="0.35">
      <c r="A10047" s="5" t="s">
        <v>98</v>
      </c>
      <c r="B10047" s="5" t="s">
        <v>99</v>
      </c>
      <c r="C10047" s="5" t="s">
        <v>1749</v>
      </c>
      <c r="D10047" s="5" t="s">
        <v>14</v>
      </c>
      <c r="E10047" s="5" t="s">
        <v>52</v>
      </c>
      <c r="F10047" s="5" t="s">
        <v>53</v>
      </c>
      <c r="G10047" s="5" t="s">
        <v>1747</v>
      </c>
      <c r="H10047" s="5" t="s">
        <v>1750</v>
      </c>
      <c r="I10047" s="5" t="s">
        <v>31</v>
      </c>
      <c r="J10047" s="5">
        <v>16.925252733777999</v>
      </c>
      <c r="K10047" s="5">
        <v>-96.365094881325007</v>
      </c>
      <c r="L10047" s="5" t="str">
        <f>HYPERLINK("https://maps.google.com/?q=16.9252527337776,-96.365094881324893", "🔗 Ver Mapa")</f>
        <v>🔗 Ver Mapa</v>
      </c>
    </row>
    <row r="10048" spans="1:12" ht="43.5" x14ac:dyDescent="0.35">
      <c r="A10048" s="6" t="s">
        <v>98</v>
      </c>
      <c r="B10048" s="6" t="s">
        <v>99</v>
      </c>
      <c r="C10048" s="6" t="s">
        <v>1749</v>
      </c>
      <c r="D10048" s="6" t="s">
        <v>14</v>
      </c>
      <c r="E10048" s="6" t="s">
        <v>52</v>
      </c>
      <c r="F10048" s="6" t="s">
        <v>53</v>
      </c>
      <c r="G10048" s="6" t="s">
        <v>1747</v>
      </c>
      <c r="H10048" s="6" t="s">
        <v>1750</v>
      </c>
      <c r="I10048" s="6" t="s">
        <v>31</v>
      </c>
      <c r="J10048" s="6">
        <v>16.925526581225</v>
      </c>
      <c r="K10048" s="6">
        <v>-96.353862341153999</v>
      </c>
      <c r="L10048" s="6" t="str">
        <f>HYPERLINK("https://maps.google.com/?q=16.9255265812248,-96.353862341153899", "🔗 Ver Mapa")</f>
        <v>🔗 Ver Mapa</v>
      </c>
    </row>
    <row r="10049" spans="1:12" ht="43.5" x14ac:dyDescent="0.35">
      <c r="A10049" s="5" t="s">
        <v>98</v>
      </c>
      <c r="B10049" s="5" t="s">
        <v>99</v>
      </c>
      <c r="C10049" s="5" t="s">
        <v>1749</v>
      </c>
      <c r="D10049" s="5" t="s">
        <v>14</v>
      </c>
      <c r="E10049" s="5" t="s">
        <v>52</v>
      </c>
      <c r="F10049" s="5" t="s">
        <v>53</v>
      </c>
      <c r="G10049" s="5" t="s">
        <v>1747</v>
      </c>
      <c r="H10049" s="5" t="s">
        <v>1750</v>
      </c>
      <c r="I10049" s="5" t="s">
        <v>31</v>
      </c>
      <c r="J10049" s="5">
        <v>16.925915229800999</v>
      </c>
      <c r="K10049" s="5">
        <v>-96.358882746033004</v>
      </c>
      <c r="L10049" s="5" t="str">
        <f>HYPERLINK("https://maps.google.com/?q=16.9259152298009,-96.358882746032705", "🔗 Ver Mapa")</f>
        <v>🔗 Ver Mapa</v>
      </c>
    </row>
    <row r="10050" spans="1:12" ht="43.5" x14ac:dyDescent="0.35">
      <c r="A10050" s="6" t="s">
        <v>98</v>
      </c>
      <c r="B10050" s="6" t="s">
        <v>99</v>
      </c>
      <c r="C10050" s="6" t="s">
        <v>1749</v>
      </c>
      <c r="D10050" s="6" t="s">
        <v>14</v>
      </c>
      <c r="E10050" s="6" t="s">
        <v>52</v>
      </c>
      <c r="F10050" s="6" t="s">
        <v>53</v>
      </c>
      <c r="G10050" s="6" t="s">
        <v>1747</v>
      </c>
      <c r="H10050" s="6" t="s">
        <v>1750</v>
      </c>
      <c r="I10050" s="6" t="s">
        <v>31</v>
      </c>
      <c r="J10050" s="6">
        <v>16.926150199474002</v>
      </c>
      <c r="K10050" s="6">
        <v>-96.368998208598001</v>
      </c>
      <c r="L10050" s="6" t="str">
        <f>HYPERLINK("https://maps.google.com/?q=16.9261501994737,-96.368998208598299", "🔗 Ver Mapa")</f>
        <v>🔗 Ver Mapa</v>
      </c>
    </row>
    <row r="10051" spans="1:12" ht="43.5" x14ac:dyDescent="0.35">
      <c r="A10051" s="5" t="s">
        <v>98</v>
      </c>
      <c r="B10051" s="5" t="s">
        <v>99</v>
      </c>
      <c r="C10051" s="5" t="s">
        <v>1749</v>
      </c>
      <c r="D10051" s="5" t="s">
        <v>14</v>
      </c>
      <c r="E10051" s="5" t="s">
        <v>52</v>
      </c>
      <c r="F10051" s="5" t="s">
        <v>53</v>
      </c>
      <c r="G10051" s="5" t="s">
        <v>1747</v>
      </c>
      <c r="H10051" s="5" t="s">
        <v>1750</v>
      </c>
      <c r="I10051" s="5" t="s">
        <v>31</v>
      </c>
      <c r="J10051" s="5">
        <v>16.926440087056001</v>
      </c>
      <c r="K10051" s="5">
        <v>-96.368744577875006</v>
      </c>
      <c r="L10051" s="5" t="str">
        <f>HYPERLINK("https://maps.google.com/?q=16.9264400870562,-96.368744577875006", "🔗 Ver Mapa")</f>
        <v>🔗 Ver Mapa</v>
      </c>
    </row>
    <row r="10052" spans="1:12" ht="43.5" x14ac:dyDescent="0.35">
      <c r="A10052" s="6" t="s">
        <v>98</v>
      </c>
      <c r="B10052" s="6" t="s">
        <v>99</v>
      </c>
      <c r="C10052" s="6" t="s">
        <v>1749</v>
      </c>
      <c r="D10052" s="6" t="s">
        <v>14</v>
      </c>
      <c r="E10052" s="6" t="s">
        <v>52</v>
      </c>
      <c r="F10052" s="6" t="s">
        <v>53</v>
      </c>
      <c r="G10052" s="6" t="s">
        <v>1747</v>
      </c>
      <c r="H10052" s="6" t="s">
        <v>1750</v>
      </c>
      <c r="I10052" s="6" t="s">
        <v>31</v>
      </c>
      <c r="J10052" s="6">
        <v>16.926606881916999</v>
      </c>
      <c r="K10052" s="6">
        <v>-96.369670627888993</v>
      </c>
      <c r="L10052" s="6" t="str">
        <f>HYPERLINK("https://maps.google.com/?q=16.9266068819174,-96.369670627889207", "🔗 Ver Mapa")</f>
        <v>🔗 Ver Mapa</v>
      </c>
    </row>
    <row r="10053" spans="1:12" ht="43.5" x14ac:dyDescent="0.35">
      <c r="A10053" s="5" t="s">
        <v>98</v>
      </c>
      <c r="B10053" s="5" t="s">
        <v>99</v>
      </c>
      <c r="C10053" s="5" t="s">
        <v>1749</v>
      </c>
      <c r="D10053" s="5" t="s">
        <v>14</v>
      </c>
      <c r="E10053" s="5" t="s">
        <v>52</v>
      </c>
      <c r="F10053" s="5" t="s">
        <v>53</v>
      </c>
      <c r="G10053" s="5" t="s">
        <v>1747</v>
      </c>
      <c r="H10053" s="5" t="s">
        <v>1750</v>
      </c>
      <c r="I10053" s="5" t="s">
        <v>31</v>
      </c>
      <c r="J10053" s="5">
        <v>16.926614645482001</v>
      </c>
      <c r="K10053" s="5">
        <v>-96.357738295152004</v>
      </c>
      <c r="L10053" s="5" t="str">
        <f>HYPERLINK("https://maps.google.com/?q=16.9266146454818,-96.357738295152203", "🔗 Ver Mapa")</f>
        <v>🔗 Ver Mapa</v>
      </c>
    </row>
    <row r="10054" spans="1:12" ht="43.5" x14ac:dyDescent="0.35">
      <c r="A10054" s="6" t="s">
        <v>98</v>
      </c>
      <c r="B10054" s="6" t="s">
        <v>99</v>
      </c>
      <c r="C10054" s="6" t="s">
        <v>1749</v>
      </c>
      <c r="D10054" s="6" t="s">
        <v>14</v>
      </c>
      <c r="E10054" s="6" t="s">
        <v>52</v>
      </c>
      <c r="F10054" s="6" t="s">
        <v>53</v>
      </c>
      <c r="G10054" s="6" t="s">
        <v>1747</v>
      </c>
      <c r="H10054" s="6" t="s">
        <v>1750</v>
      </c>
      <c r="I10054" s="6" t="s">
        <v>31</v>
      </c>
      <c r="J10054" s="6">
        <v>16.926922497056999</v>
      </c>
      <c r="K10054" s="6">
        <v>-96.368715073575999</v>
      </c>
      <c r="L10054" s="6" t="str">
        <f>HYPERLINK("https://maps.google.com/?q=16.9269224970574,-96.368715073575899", "🔗 Ver Mapa")</f>
        <v>🔗 Ver Mapa</v>
      </c>
    </row>
    <row r="10055" spans="1:12" ht="43.5" x14ac:dyDescent="0.35">
      <c r="A10055" s="5" t="s">
        <v>98</v>
      </c>
      <c r="B10055" s="5" t="s">
        <v>99</v>
      </c>
      <c r="C10055" s="5" t="s">
        <v>1749</v>
      </c>
      <c r="D10055" s="5" t="s">
        <v>14</v>
      </c>
      <c r="E10055" s="5" t="s">
        <v>52</v>
      </c>
      <c r="F10055" s="5" t="s">
        <v>53</v>
      </c>
      <c r="G10055" s="5" t="s">
        <v>1747</v>
      </c>
      <c r="H10055" s="5" t="s">
        <v>1750</v>
      </c>
      <c r="I10055" s="5" t="s">
        <v>31</v>
      </c>
      <c r="J10055" s="5">
        <v>16.926943022459</v>
      </c>
      <c r="K10055" s="5">
        <v>-96.369741018523996</v>
      </c>
      <c r="L10055" s="5" t="str">
        <f>HYPERLINK("https://maps.google.com/?q=16.9269430224592,-96.369741018524195", "🔗 Ver Mapa")</f>
        <v>🔗 Ver Mapa</v>
      </c>
    </row>
    <row r="10056" spans="1:12" ht="43.5" x14ac:dyDescent="0.35">
      <c r="A10056" s="6" t="s">
        <v>98</v>
      </c>
      <c r="B10056" s="6" t="s">
        <v>99</v>
      </c>
      <c r="C10056" s="6" t="s">
        <v>1749</v>
      </c>
      <c r="D10056" s="6" t="s">
        <v>14</v>
      </c>
      <c r="E10056" s="6" t="s">
        <v>52</v>
      </c>
      <c r="F10056" s="6" t="s">
        <v>53</v>
      </c>
      <c r="G10056" s="6" t="s">
        <v>1747</v>
      </c>
      <c r="H10056" s="6" t="s">
        <v>1750</v>
      </c>
      <c r="I10056" s="6" t="s">
        <v>31</v>
      </c>
      <c r="J10056" s="6">
        <v>16.926989738629999</v>
      </c>
      <c r="K10056" s="6">
        <v>-96.369042915343996</v>
      </c>
      <c r="L10056" s="6" t="str">
        <f>HYPERLINK("https://maps.google.com/?q=16.9269897386303,-96.369042915344195", "🔗 Ver Mapa")</f>
        <v>🔗 Ver Mapa</v>
      </c>
    </row>
    <row r="10057" spans="1:12" ht="43.5" x14ac:dyDescent="0.35">
      <c r="A10057" s="5" t="s">
        <v>98</v>
      </c>
      <c r="B10057" s="5" t="s">
        <v>99</v>
      </c>
      <c r="C10057" s="5" t="s">
        <v>1749</v>
      </c>
      <c r="D10057" s="5" t="s">
        <v>14</v>
      </c>
      <c r="E10057" s="5" t="s">
        <v>52</v>
      </c>
      <c r="F10057" s="5" t="s">
        <v>53</v>
      </c>
      <c r="G10057" s="5" t="s">
        <v>1747</v>
      </c>
      <c r="H10057" s="5" t="s">
        <v>1750</v>
      </c>
      <c r="I10057" s="5" t="s">
        <v>31</v>
      </c>
      <c r="J10057" s="5">
        <v>16.927003326272001</v>
      </c>
      <c r="K10057" s="5">
        <v>-96.369240115991005</v>
      </c>
      <c r="L10057" s="5" t="str">
        <f>HYPERLINK("https://maps.google.com/?q=16.9270033262717,-96.369240115990706", "🔗 Ver Mapa")</f>
        <v>🔗 Ver Mapa</v>
      </c>
    </row>
    <row r="10058" spans="1:12" ht="43.5" x14ac:dyDescent="0.35">
      <c r="A10058" s="6" t="s">
        <v>98</v>
      </c>
      <c r="B10058" s="6" t="s">
        <v>99</v>
      </c>
      <c r="C10058" s="6" t="s">
        <v>1749</v>
      </c>
      <c r="D10058" s="6" t="s">
        <v>14</v>
      </c>
      <c r="E10058" s="6" t="s">
        <v>52</v>
      </c>
      <c r="F10058" s="6" t="s">
        <v>53</v>
      </c>
      <c r="G10058" s="6" t="s">
        <v>1747</v>
      </c>
      <c r="H10058" s="6" t="s">
        <v>1750</v>
      </c>
      <c r="I10058" s="6" t="s">
        <v>31</v>
      </c>
      <c r="J10058" s="6">
        <v>16.927168830947</v>
      </c>
      <c r="K10058" s="6">
        <v>-96.361318882215997</v>
      </c>
      <c r="L10058" s="6" t="str">
        <f>HYPERLINK("https://maps.google.com/?q=16.9271688309466,-96.361318882216295", "🔗 Ver Mapa")</f>
        <v>🔗 Ver Mapa</v>
      </c>
    </row>
    <row r="10059" spans="1:12" ht="43.5" x14ac:dyDescent="0.35">
      <c r="A10059" s="5" t="s">
        <v>98</v>
      </c>
      <c r="B10059" s="5" t="s">
        <v>99</v>
      </c>
      <c r="C10059" s="5" t="s">
        <v>1749</v>
      </c>
      <c r="D10059" s="5" t="s">
        <v>14</v>
      </c>
      <c r="E10059" s="5" t="s">
        <v>52</v>
      </c>
      <c r="F10059" s="5" t="s">
        <v>53</v>
      </c>
      <c r="G10059" s="5" t="s">
        <v>1747</v>
      </c>
      <c r="H10059" s="5" t="s">
        <v>1750</v>
      </c>
      <c r="I10059" s="5" t="s">
        <v>31</v>
      </c>
      <c r="J10059" s="5">
        <v>16.927861650751002</v>
      </c>
      <c r="K10059" s="5">
        <v>-96.369590814819006</v>
      </c>
      <c r="L10059" s="5" t="str">
        <f>HYPERLINK("https://maps.google.com/?q=16.9278616507514,-96.369590814819404", "🔗 Ver Mapa")</f>
        <v>🔗 Ver Mapa</v>
      </c>
    </row>
    <row r="10060" spans="1:12" ht="43.5" x14ac:dyDescent="0.35">
      <c r="A10060" s="6" t="s">
        <v>98</v>
      </c>
      <c r="B10060" s="6" t="s">
        <v>99</v>
      </c>
      <c r="C10060" s="6" t="s">
        <v>1749</v>
      </c>
      <c r="D10060" s="6" t="s">
        <v>14</v>
      </c>
      <c r="E10060" s="6" t="s">
        <v>52</v>
      </c>
      <c r="F10060" s="6" t="s">
        <v>53</v>
      </c>
      <c r="G10060" s="6" t="s">
        <v>1747</v>
      </c>
      <c r="H10060" s="6" t="s">
        <v>1750</v>
      </c>
      <c r="I10060" s="6" t="s">
        <v>31</v>
      </c>
      <c r="J10060" s="6">
        <v>16.927891401526001</v>
      </c>
      <c r="K10060" s="6">
        <v>-96.370319769532003</v>
      </c>
      <c r="L10060" s="6" t="str">
        <f>HYPERLINK("https://maps.google.com/?q=16.9278914015259,-96.370319769532102", "🔗 Ver Mapa")</f>
        <v>🔗 Ver Mapa</v>
      </c>
    </row>
    <row r="10061" spans="1:12" ht="43.5" x14ac:dyDescent="0.35">
      <c r="A10061" s="5" t="s">
        <v>98</v>
      </c>
      <c r="B10061" s="5" t="s">
        <v>99</v>
      </c>
      <c r="C10061" s="5" t="s">
        <v>1749</v>
      </c>
      <c r="D10061" s="5" t="s">
        <v>14</v>
      </c>
      <c r="E10061" s="5" t="s">
        <v>52</v>
      </c>
      <c r="F10061" s="5" t="s">
        <v>53</v>
      </c>
      <c r="G10061" s="5" t="s">
        <v>1747</v>
      </c>
      <c r="H10061" s="5" t="s">
        <v>1750</v>
      </c>
      <c r="I10061" s="5" t="s">
        <v>31</v>
      </c>
      <c r="J10061" s="5">
        <v>16.928382549582</v>
      </c>
      <c r="K10061" s="5">
        <v>-96.370724048127997</v>
      </c>
      <c r="L10061" s="5" t="str">
        <f>HYPERLINK("https://maps.google.com/?q=16.9283825495816,-96.370724048128295", "🔗 Ver Mapa")</f>
        <v>🔗 Ver Mapa</v>
      </c>
    </row>
    <row r="10062" spans="1:12" ht="43.5" x14ac:dyDescent="0.35">
      <c r="A10062" s="6" t="s">
        <v>98</v>
      </c>
      <c r="B10062" s="6" t="s">
        <v>99</v>
      </c>
      <c r="C10062" s="6" t="s">
        <v>1749</v>
      </c>
      <c r="D10062" s="6" t="s">
        <v>14</v>
      </c>
      <c r="E10062" s="6" t="s">
        <v>52</v>
      </c>
      <c r="F10062" s="6" t="s">
        <v>53</v>
      </c>
      <c r="G10062" s="6" t="s">
        <v>1747</v>
      </c>
      <c r="H10062" s="6" t="s">
        <v>1750</v>
      </c>
      <c r="I10062" s="6" t="s">
        <v>31</v>
      </c>
      <c r="J10062" s="6">
        <v>16.931062950483</v>
      </c>
      <c r="K10062" s="6">
        <v>-96.360388844002003</v>
      </c>
      <c r="L10062" s="6" t="str">
        <f>HYPERLINK("https://maps.google.com/?q=16.931062950483,-96.3603888440019", "🔗 Ver Mapa")</f>
        <v>🔗 Ver Mapa</v>
      </c>
    </row>
    <row r="10063" spans="1:12" ht="43.5" x14ac:dyDescent="0.35">
      <c r="A10063" s="5" t="s">
        <v>98</v>
      </c>
      <c r="B10063" s="5" t="s">
        <v>99</v>
      </c>
      <c r="C10063" s="5" t="s">
        <v>1751</v>
      </c>
      <c r="D10063" s="5" t="s">
        <v>14</v>
      </c>
      <c r="E10063" s="5" t="s">
        <v>90</v>
      </c>
      <c r="F10063" s="5" t="s">
        <v>91</v>
      </c>
      <c r="G10063" s="5" t="s">
        <v>1722</v>
      </c>
      <c r="H10063" s="5" t="s">
        <v>1752</v>
      </c>
      <c r="I10063" s="5" t="s">
        <v>31</v>
      </c>
      <c r="J10063" s="5">
        <v>16.981829008447001</v>
      </c>
      <c r="K10063" s="5">
        <v>-96.153747370847</v>
      </c>
      <c r="L10063" s="5" t="str">
        <f>HYPERLINK("https://maps.google.com/?q=16.9818290084468,-96.153747370847", "🔗 Ver Mapa")</f>
        <v>🔗 Ver Mapa</v>
      </c>
    </row>
    <row r="10064" spans="1:12" ht="43.5" x14ac:dyDescent="0.35">
      <c r="A10064" s="6" t="s">
        <v>98</v>
      </c>
      <c r="B10064" s="6" t="s">
        <v>99</v>
      </c>
      <c r="C10064" s="6" t="s">
        <v>1753</v>
      </c>
      <c r="D10064" s="6" t="s">
        <v>14</v>
      </c>
      <c r="E10064" s="6" t="s">
        <v>90</v>
      </c>
      <c r="F10064" s="6" t="s">
        <v>91</v>
      </c>
      <c r="G10064" s="6" t="s">
        <v>1722</v>
      </c>
      <c r="H10064" s="6" t="s">
        <v>1754</v>
      </c>
      <c r="I10064" s="6" t="s">
        <v>31</v>
      </c>
      <c r="J10064" s="6">
        <v>17.004542359999999</v>
      </c>
      <c r="K10064" s="6">
        <v>-96.123880979999996</v>
      </c>
      <c r="L10064" s="6" t="str">
        <f>HYPERLINK("https://maps.google.com/?q=17.00454236,-96.123880979999996", "🔗 Ver Mapa")</f>
        <v>🔗 Ver Mapa</v>
      </c>
    </row>
    <row r="10065" spans="1:12" ht="43.5" x14ac:dyDescent="0.35">
      <c r="A10065" s="5" t="s">
        <v>98</v>
      </c>
      <c r="B10065" s="5" t="s">
        <v>99</v>
      </c>
      <c r="C10065" s="5" t="s">
        <v>1753</v>
      </c>
      <c r="D10065" s="5" t="s">
        <v>14</v>
      </c>
      <c r="E10065" s="5" t="s">
        <v>90</v>
      </c>
      <c r="F10065" s="5" t="s">
        <v>91</v>
      </c>
      <c r="G10065" s="5" t="s">
        <v>1722</v>
      </c>
      <c r="H10065" s="5" t="s">
        <v>1754</v>
      </c>
      <c r="I10065" s="5" t="s">
        <v>31</v>
      </c>
      <c r="J10065" s="5">
        <v>17.005360660000001</v>
      </c>
      <c r="K10065" s="5">
        <v>-96.122789490000002</v>
      </c>
      <c r="L10065" s="5" t="str">
        <f>HYPERLINK("https://maps.google.com/?q=17.00536066,-96.122789490000002", "🔗 Ver Mapa")</f>
        <v>🔗 Ver Mapa</v>
      </c>
    </row>
    <row r="10066" spans="1:12" ht="43.5" x14ac:dyDescent="0.35">
      <c r="A10066" s="6" t="s">
        <v>98</v>
      </c>
      <c r="B10066" s="6" t="s">
        <v>99</v>
      </c>
      <c r="C10066" s="6" t="s">
        <v>1753</v>
      </c>
      <c r="D10066" s="6" t="s">
        <v>14</v>
      </c>
      <c r="E10066" s="6" t="s">
        <v>90</v>
      </c>
      <c r="F10066" s="6" t="s">
        <v>91</v>
      </c>
      <c r="G10066" s="6" t="s">
        <v>1722</v>
      </c>
      <c r="H10066" s="6" t="s">
        <v>1754</v>
      </c>
      <c r="I10066" s="6" t="s">
        <v>31</v>
      </c>
      <c r="J10066" s="6">
        <v>17.007250920000001</v>
      </c>
      <c r="K10066" s="6">
        <v>-96.124385239999995</v>
      </c>
      <c r="L10066" s="6" t="str">
        <f>HYPERLINK("https://maps.google.com/?q=17.00725092,-96.124385239999995", "🔗 Ver Mapa")</f>
        <v>🔗 Ver Mapa</v>
      </c>
    </row>
    <row r="10067" spans="1:12" ht="43.5" x14ac:dyDescent="0.35">
      <c r="A10067" s="5" t="s">
        <v>98</v>
      </c>
      <c r="B10067" s="5" t="s">
        <v>99</v>
      </c>
      <c r="C10067" s="5" t="s">
        <v>1755</v>
      </c>
      <c r="D10067" s="5" t="s">
        <v>14</v>
      </c>
      <c r="E10067" s="5" t="s">
        <v>90</v>
      </c>
      <c r="F10067" s="5" t="s">
        <v>91</v>
      </c>
      <c r="G10067" s="5" t="s">
        <v>1722</v>
      </c>
      <c r="H10067" s="5" t="s">
        <v>1756</v>
      </c>
      <c r="I10067" s="5" t="s">
        <v>31</v>
      </c>
      <c r="J10067" s="5">
        <v>16.968442888464999</v>
      </c>
      <c r="K10067" s="5">
        <v>-96.164547212765001</v>
      </c>
      <c r="L10067" s="5" t="str">
        <f>HYPERLINK("https://maps.google.com/?q=16.9684428884655,-96.164547212764703", "🔗 Ver Mapa")</f>
        <v>🔗 Ver Mapa</v>
      </c>
    </row>
    <row r="10068" spans="1:12" ht="43.5" x14ac:dyDescent="0.35">
      <c r="A10068" s="6" t="s">
        <v>98</v>
      </c>
      <c r="B10068" s="6" t="s">
        <v>99</v>
      </c>
      <c r="C10068" s="6" t="s">
        <v>1755</v>
      </c>
      <c r="D10068" s="6" t="s">
        <v>14</v>
      </c>
      <c r="E10068" s="6" t="s">
        <v>90</v>
      </c>
      <c r="F10068" s="6" t="s">
        <v>91</v>
      </c>
      <c r="G10068" s="6" t="s">
        <v>1722</v>
      </c>
      <c r="H10068" s="6" t="s">
        <v>1756</v>
      </c>
      <c r="I10068" s="6" t="s">
        <v>31</v>
      </c>
      <c r="J10068" s="6">
        <v>16.969433787347</v>
      </c>
      <c r="K10068" s="6">
        <v>-96.162677713082005</v>
      </c>
      <c r="L10068" s="6" t="str">
        <f>HYPERLINK("https://maps.google.com/?q=16.9694337873472,-96.162677713081905", "🔗 Ver Mapa")</f>
        <v>🔗 Ver Mapa</v>
      </c>
    </row>
    <row r="10069" spans="1:12" ht="43.5" x14ac:dyDescent="0.35">
      <c r="A10069" s="5" t="s">
        <v>98</v>
      </c>
      <c r="B10069" s="5" t="s">
        <v>99</v>
      </c>
      <c r="C10069" s="5" t="s">
        <v>1755</v>
      </c>
      <c r="D10069" s="5" t="s">
        <v>14</v>
      </c>
      <c r="E10069" s="5" t="s">
        <v>90</v>
      </c>
      <c r="F10069" s="5" t="s">
        <v>91</v>
      </c>
      <c r="G10069" s="5" t="s">
        <v>1722</v>
      </c>
      <c r="H10069" s="5" t="s">
        <v>1756</v>
      </c>
      <c r="I10069" s="5" t="s">
        <v>31</v>
      </c>
      <c r="J10069" s="5">
        <v>16.969880171153999</v>
      </c>
      <c r="K10069" s="5">
        <v>-96.167052395984001</v>
      </c>
      <c r="L10069" s="5" t="str">
        <f>HYPERLINK("https://maps.google.com/?q=16.9698801711543,-96.167052395983902", "🔗 Ver Mapa")</f>
        <v>🔗 Ver Mapa</v>
      </c>
    </row>
    <row r="10070" spans="1:12" ht="43.5" x14ac:dyDescent="0.35">
      <c r="A10070" s="6" t="s">
        <v>98</v>
      </c>
      <c r="B10070" s="6" t="s">
        <v>99</v>
      </c>
      <c r="C10070" s="6" t="s">
        <v>1755</v>
      </c>
      <c r="D10070" s="6" t="s">
        <v>14</v>
      </c>
      <c r="E10070" s="6" t="s">
        <v>90</v>
      </c>
      <c r="F10070" s="6" t="s">
        <v>91</v>
      </c>
      <c r="G10070" s="6" t="s">
        <v>1722</v>
      </c>
      <c r="H10070" s="6" t="s">
        <v>1756</v>
      </c>
      <c r="I10070" s="6" t="s">
        <v>31</v>
      </c>
      <c r="J10070" s="6">
        <v>16.970190608652</v>
      </c>
      <c r="K10070" s="6">
        <v>-96.167816869578999</v>
      </c>
      <c r="L10070" s="6" t="str">
        <f>HYPERLINK("https://maps.google.com/?q=16.9701906086522,-96.1678168695788", "🔗 Ver Mapa")</f>
        <v>🔗 Ver Mapa</v>
      </c>
    </row>
    <row r="10071" spans="1:12" ht="43.5" x14ac:dyDescent="0.35">
      <c r="A10071" s="5" t="s">
        <v>98</v>
      </c>
      <c r="B10071" s="5" t="s">
        <v>99</v>
      </c>
      <c r="C10071" s="5" t="s">
        <v>1757</v>
      </c>
      <c r="D10071" s="5" t="s">
        <v>14</v>
      </c>
      <c r="E10071" s="5" t="s">
        <v>90</v>
      </c>
      <c r="F10071" s="5" t="s">
        <v>91</v>
      </c>
      <c r="G10071" s="5" t="s">
        <v>1722</v>
      </c>
      <c r="H10071" s="5" t="s">
        <v>1758</v>
      </c>
      <c r="I10071" s="5" t="s">
        <v>31</v>
      </c>
      <c r="J10071" s="5">
        <v>16.989156797183</v>
      </c>
      <c r="K10071" s="5">
        <v>-96.109104725975001</v>
      </c>
      <c r="L10071" s="5" t="str">
        <f>HYPERLINK("https://maps.google.com/?q=16.9891567971827,-96.109104725974802", "🔗 Ver Mapa")</f>
        <v>🔗 Ver Mapa</v>
      </c>
    </row>
    <row r="10072" spans="1:12" ht="43.5" x14ac:dyDescent="0.35">
      <c r="A10072" s="6" t="s">
        <v>98</v>
      </c>
      <c r="B10072" s="6" t="s">
        <v>99</v>
      </c>
      <c r="C10072" s="6" t="s">
        <v>1757</v>
      </c>
      <c r="D10072" s="6" t="s">
        <v>14</v>
      </c>
      <c r="E10072" s="6" t="s">
        <v>90</v>
      </c>
      <c r="F10072" s="6" t="s">
        <v>91</v>
      </c>
      <c r="G10072" s="6" t="s">
        <v>1722</v>
      </c>
      <c r="H10072" s="6" t="s">
        <v>1758</v>
      </c>
      <c r="I10072" s="6" t="s">
        <v>31</v>
      </c>
      <c r="J10072" s="6">
        <v>16.989224769404998</v>
      </c>
      <c r="K10072" s="6">
        <v>-96.108979144613997</v>
      </c>
      <c r="L10072" s="6" t="str">
        <f>HYPERLINK("https://maps.google.com/?q=16.9892247694048,-96.108979144614395", "🔗 Ver Mapa")</f>
        <v>🔗 Ver Mapa</v>
      </c>
    </row>
    <row r="10073" spans="1:12" ht="43.5" x14ac:dyDescent="0.35">
      <c r="A10073" s="5" t="s">
        <v>98</v>
      </c>
      <c r="B10073" s="5" t="s">
        <v>99</v>
      </c>
      <c r="C10073" s="5" t="s">
        <v>1757</v>
      </c>
      <c r="D10073" s="5" t="s">
        <v>14</v>
      </c>
      <c r="E10073" s="5" t="s">
        <v>90</v>
      </c>
      <c r="F10073" s="5" t="s">
        <v>91</v>
      </c>
      <c r="G10073" s="5" t="s">
        <v>1722</v>
      </c>
      <c r="H10073" s="5" t="s">
        <v>1758</v>
      </c>
      <c r="I10073" s="5" t="s">
        <v>31</v>
      </c>
      <c r="J10073" s="5">
        <v>16.989593367563</v>
      </c>
      <c r="K10073" s="5">
        <v>-96.103993252541997</v>
      </c>
      <c r="L10073" s="5" t="str">
        <f>HYPERLINK("https://maps.google.com/?q=16.989593367563,-96.103993252541599", "🔗 Ver Mapa")</f>
        <v>🔗 Ver Mapa</v>
      </c>
    </row>
    <row r="10074" spans="1:12" ht="43.5" x14ac:dyDescent="0.35">
      <c r="A10074" s="6" t="s">
        <v>98</v>
      </c>
      <c r="B10074" s="6" t="s">
        <v>99</v>
      </c>
      <c r="C10074" s="6" t="s">
        <v>1757</v>
      </c>
      <c r="D10074" s="6" t="s">
        <v>14</v>
      </c>
      <c r="E10074" s="6" t="s">
        <v>90</v>
      </c>
      <c r="F10074" s="6" t="s">
        <v>91</v>
      </c>
      <c r="G10074" s="6" t="s">
        <v>1722</v>
      </c>
      <c r="H10074" s="6" t="s">
        <v>1758</v>
      </c>
      <c r="I10074" s="6" t="s">
        <v>31</v>
      </c>
      <c r="J10074" s="6">
        <v>16.990299745236999</v>
      </c>
      <c r="K10074" s="6">
        <v>-96.107282897790995</v>
      </c>
      <c r="L10074" s="6" t="str">
        <f>HYPERLINK("https://maps.google.com/?q=16.9902997452374,-96.107282897791094", "🔗 Ver Mapa")</f>
        <v>🔗 Ver Mapa</v>
      </c>
    </row>
    <row r="10075" spans="1:12" ht="43.5" x14ac:dyDescent="0.35">
      <c r="A10075" s="5" t="s">
        <v>98</v>
      </c>
      <c r="B10075" s="5" t="s">
        <v>99</v>
      </c>
      <c r="C10075" s="5" t="s">
        <v>1757</v>
      </c>
      <c r="D10075" s="5" t="s">
        <v>14</v>
      </c>
      <c r="E10075" s="5" t="s">
        <v>90</v>
      </c>
      <c r="F10075" s="5" t="s">
        <v>91</v>
      </c>
      <c r="G10075" s="5" t="s">
        <v>1722</v>
      </c>
      <c r="H10075" s="5" t="s">
        <v>1758</v>
      </c>
      <c r="I10075" s="5" t="s">
        <v>31</v>
      </c>
      <c r="J10075" s="5">
        <v>16.990423949722999</v>
      </c>
      <c r="K10075" s="5">
        <v>-96.112084904591995</v>
      </c>
      <c r="L10075" s="5" t="str">
        <f>HYPERLINK("https://maps.google.com/?q=16.9904239497231,-96.112084904591995", "🔗 Ver Mapa")</f>
        <v>🔗 Ver Mapa</v>
      </c>
    </row>
    <row r="10076" spans="1:12" ht="43.5" x14ac:dyDescent="0.35">
      <c r="A10076" s="6" t="s">
        <v>98</v>
      </c>
      <c r="B10076" s="6" t="s">
        <v>99</v>
      </c>
      <c r="C10076" s="6" t="s">
        <v>1757</v>
      </c>
      <c r="D10076" s="6" t="s">
        <v>14</v>
      </c>
      <c r="E10076" s="6" t="s">
        <v>90</v>
      </c>
      <c r="F10076" s="6" t="s">
        <v>91</v>
      </c>
      <c r="G10076" s="6" t="s">
        <v>1722</v>
      </c>
      <c r="H10076" s="6" t="s">
        <v>1758</v>
      </c>
      <c r="I10076" s="6" t="s">
        <v>31</v>
      </c>
      <c r="J10076" s="6">
        <v>16.990659472392</v>
      </c>
      <c r="K10076" s="6">
        <v>-96.107090708954999</v>
      </c>
      <c r="L10076" s="6" t="str">
        <f>HYPERLINK("https://maps.google.com/?q=16.9906594723924,-96.1070907089549", "🔗 Ver Mapa")</f>
        <v>🔗 Ver Mapa</v>
      </c>
    </row>
    <row r="10077" spans="1:12" ht="43.5" x14ac:dyDescent="0.35">
      <c r="A10077" s="5" t="s">
        <v>98</v>
      </c>
      <c r="B10077" s="5" t="s">
        <v>99</v>
      </c>
      <c r="C10077" s="5" t="s">
        <v>1757</v>
      </c>
      <c r="D10077" s="5" t="s">
        <v>14</v>
      </c>
      <c r="E10077" s="5" t="s">
        <v>90</v>
      </c>
      <c r="F10077" s="5" t="s">
        <v>91</v>
      </c>
      <c r="G10077" s="5" t="s">
        <v>1722</v>
      </c>
      <c r="H10077" s="5" t="s">
        <v>1758</v>
      </c>
      <c r="I10077" s="5" t="s">
        <v>31</v>
      </c>
      <c r="J10077" s="5">
        <v>16.990734498618998</v>
      </c>
      <c r="K10077" s="5">
        <v>-96.106790908657999</v>
      </c>
      <c r="L10077" s="5" t="str">
        <f>HYPERLINK("https://maps.google.com/?q=16.9907344986195,-96.1067909086577", "🔗 Ver Mapa")</f>
        <v>🔗 Ver Mapa</v>
      </c>
    </row>
    <row r="10078" spans="1:12" ht="43.5" x14ac:dyDescent="0.35">
      <c r="A10078" s="6" t="s">
        <v>98</v>
      </c>
      <c r="B10078" s="6" t="s">
        <v>99</v>
      </c>
      <c r="C10078" s="6" t="s">
        <v>1757</v>
      </c>
      <c r="D10078" s="6" t="s">
        <v>14</v>
      </c>
      <c r="E10078" s="6" t="s">
        <v>90</v>
      </c>
      <c r="F10078" s="6" t="s">
        <v>91</v>
      </c>
      <c r="G10078" s="6" t="s">
        <v>1722</v>
      </c>
      <c r="H10078" s="6" t="s">
        <v>1758</v>
      </c>
      <c r="I10078" s="6" t="s">
        <v>31</v>
      </c>
      <c r="J10078" s="6">
        <v>16.990842063681001</v>
      </c>
      <c r="K10078" s="6">
        <v>-96.107054527239001</v>
      </c>
      <c r="L10078" s="6" t="str">
        <f>HYPERLINK("https://maps.google.com/?q=16.9908420636811,-96.107054527238702", "🔗 Ver Mapa")</f>
        <v>🔗 Ver Mapa</v>
      </c>
    </row>
    <row r="10079" spans="1:12" ht="43.5" x14ac:dyDescent="0.35">
      <c r="A10079" s="5" t="s">
        <v>98</v>
      </c>
      <c r="B10079" s="5" t="s">
        <v>99</v>
      </c>
      <c r="C10079" s="5" t="s">
        <v>1757</v>
      </c>
      <c r="D10079" s="5" t="s">
        <v>14</v>
      </c>
      <c r="E10079" s="5" t="s">
        <v>90</v>
      </c>
      <c r="F10079" s="5" t="s">
        <v>91</v>
      </c>
      <c r="G10079" s="5" t="s">
        <v>1722</v>
      </c>
      <c r="H10079" s="5" t="s">
        <v>1758</v>
      </c>
      <c r="I10079" s="5" t="s">
        <v>31</v>
      </c>
      <c r="J10079" s="5">
        <v>16.990847569292999</v>
      </c>
      <c r="K10079" s="5">
        <v>-96.105780767850007</v>
      </c>
      <c r="L10079" s="5" t="str">
        <f>HYPERLINK("https://maps.google.com/?q=16.9908475692931,-96.105780767850405", "🔗 Ver Mapa")</f>
        <v>🔗 Ver Mapa</v>
      </c>
    </row>
    <row r="10080" spans="1:12" ht="43.5" x14ac:dyDescent="0.35">
      <c r="A10080" s="6" t="s">
        <v>98</v>
      </c>
      <c r="B10080" s="6" t="s">
        <v>99</v>
      </c>
      <c r="C10080" s="6" t="s">
        <v>1757</v>
      </c>
      <c r="D10080" s="6" t="s">
        <v>14</v>
      </c>
      <c r="E10080" s="6" t="s">
        <v>90</v>
      </c>
      <c r="F10080" s="6" t="s">
        <v>91</v>
      </c>
      <c r="G10080" s="6" t="s">
        <v>1722</v>
      </c>
      <c r="H10080" s="6" t="s">
        <v>1758</v>
      </c>
      <c r="I10080" s="6" t="s">
        <v>31</v>
      </c>
      <c r="J10080" s="6">
        <v>16.991130090127001</v>
      </c>
      <c r="K10080" s="6">
        <v>-96.105501425735</v>
      </c>
      <c r="L10080" s="6" t="str">
        <f>HYPERLINK("https://maps.google.com/?q=16.9911300901274,-96.105501425735497", "🔗 Ver Mapa")</f>
        <v>🔗 Ver Mapa</v>
      </c>
    </row>
    <row r="10081" spans="1:12" ht="43.5" x14ac:dyDescent="0.35">
      <c r="A10081" s="5" t="s">
        <v>98</v>
      </c>
      <c r="B10081" s="5" t="s">
        <v>99</v>
      </c>
      <c r="C10081" s="5" t="s">
        <v>1757</v>
      </c>
      <c r="D10081" s="5" t="s">
        <v>14</v>
      </c>
      <c r="E10081" s="5" t="s">
        <v>90</v>
      </c>
      <c r="F10081" s="5" t="s">
        <v>91</v>
      </c>
      <c r="G10081" s="5" t="s">
        <v>1722</v>
      </c>
      <c r="H10081" s="5" t="s">
        <v>1758</v>
      </c>
      <c r="I10081" s="5" t="s">
        <v>31</v>
      </c>
      <c r="J10081" s="5">
        <v>16.992914184958</v>
      </c>
      <c r="K10081" s="5">
        <v>-96.103519553675994</v>
      </c>
      <c r="L10081" s="5" t="str">
        <f>HYPERLINK("https://maps.google.com/?q=16.9929141849582,-96.103519553675795", "🔗 Ver Mapa")</f>
        <v>🔗 Ver Mapa</v>
      </c>
    </row>
    <row r="10082" spans="1:12" ht="43.5" x14ac:dyDescent="0.35">
      <c r="A10082" s="6" t="s">
        <v>98</v>
      </c>
      <c r="B10082" s="6" t="s">
        <v>99</v>
      </c>
      <c r="C10082" s="6" t="s">
        <v>1757</v>
      </c>
      <c r="D10082" s="6" t="s">
        <v>14</v>
      </c>
      <c r="E10082" s="6" t="s">
        <v>90</v>
      </c>
      <c r="F10082" s="6" t="s">
        <v>91</v>
      </c>
      <c r="G10082" s="6" t="s">
        <v>1722</v>
      </c>
      <c r="H10082" s="6" t="s">
        <v>1758</v>
      </c>
      <c r="I10082" s="6" t="s">
        <v>31</v>
      </c>
      <c r="J10082" s="6">
        <v>16.993721340884001</v>
      </c>
      <c r="K10082" s="6">
        <v>-96.109595699156998</v>
      </c>
      <c r="L10082" s="6" t="str">
        <f>HYPERLINK("https://maps.google.com/?q=16.9937213408841,-96.109595699157197", "🔗 Ver Mapa")</f>
        <v>🔗 Ver Mapa</v>
      </c>
    </row>
    <row r="10083" spans="1:12" ht="43.5" x14ac:dyDescent="0.35">
      <c r="A10083" s="5" t="s">
        <v>98</v>
      </c>
      <c r="B10083" s="5" t="s">
        <v>99</v>
      </c>
      <c r="C10083" s="5" t="s">
        <v>1757</v>
      </c>
      <c r="D10083" s="5" t="s">
        <v>14</v>
      </c>
      <c r="E10083" s="5" t="s">
        <v>90</v>
      </c>
      <c r="F10083" s="5" t="s">
        <v>91</v>
      </c>
      <c r="G10083" s="5" t="s">
        <v>1722</v>
      </c>
      <c r="H10083" s="5" t="s">
        <v>1758</v>
      </c>
      <c r="I10083" s="5" t="s">
        <v>31</v>
      </c>
      <c r="J10083" s="5">
        <v>16.993789859298001</v>
      </c>
      <c r="K10083" s="5">
        <v>-96.109650022226006</v>
      </c>
      <c r="L10083" s="5" t="str">
        <f>HYPERLINK("https://maps.google.com/?q=16.9937898592978,-96.109650022226305", "🔗 Ver Mapa")</f>
        <v>🔗 Ver Mapa</v>
      </c>
    </row>
    <row r="10084" spans="1:12" ht="43.5" x14ac:dyDescent="0.35">
      <c r="A10084" s="6" t="s">
        <v>98</v>
      </c>
      <c r="B10084" s="6" t="s">
        <v>99</v>
      </c>
      <c r="C10084" s="6" t="s">
        <v>1757</v>
      </c>
      <c r="D10084" s="6" t="s">
        <v>14</v>
      </c>
      <c r="E10084" s="6" t="s">
        <v>90</v>
      </c>
      <c r="F10084" s="6" t="s">
        <v>91</v>
      </c>
      <c r="G10084" s="6" t="s">
        <v>1722</v>
      </c>
      <c r="H10084" s="6" t="s">
        <v>1758</v>
      </c>
      <c r="I10084" s="6" t="s">
        <v>31</v>
      </c>
      <c r="J10084" s="6">
        <v>16.993941164656</v>
      </c>
      <c r="K10084" s="6">
        <v>-96.110804550332006</v>
      </c>
      <c r="L10084" s="6" t="str">
        <f>HYPERLINK("https://maps.google.com/?q=16.9939411646562,-96.110804550331807", "🔗 Ver Mapa")</f>
        <v>🔗 Ver Mapa</v>
      </c>
    </row>
    <row r="10085" spans="1:12" ht="43.5" x14ac:dyDescent="0.35">
      <c r="A10085" s="5" t="s">
        <v>98</v>
      </c>
      <c r="B10085" s="5" t="s">
        <v>99</v>
      </c>
      <c r="C10085" s="5" t="s">
        <v>1757</v>
      </c>
      <c r="D10085" s="5" t="s">
        <v>14</v>
      </c>
      <c r="E10085" s="5" t="s">
        <v>90</v>
      </c>
      <c r="F10085" s="5" t="s">
        <v>91</v>
      </c>
      <c r="G10085" s="5" t="s">
        <v>1722</v>
      </c>
      <c r="H10085" s="5" t="s">
        <v>1758</v>
      </c>
      <c r="I10085" s="5" t="s">
        <v>31</v>
      </c>
      <c r="J10085" s="5">
        <v>16.994436952495999</v>
      </c>
      <c r="K10085" s="5">
        <v>-96.114252219999997</v>
      </c>
      <c r="L10085" s="5" t="str">
        <f>HYPERLINK("https://maps.google.com/?q=16.9944369524964,-96.114252219999997", "🔗 Ver Mapa")</f>
        <v>🔗 Ver Mapa</v>
      </c>
    </row>
    <row r="10086" spans="1:12" ht="43.5" x14ac:dyDescent="0.35">
      <c r="A10086" s="6" t="s">
        <v>98</v>
      </c>
      <c r="B10086" s="6" t="s">
        <v>99</v>
      </c>
      <c r="C10086" s="6" t="s">
        <v>1757</v>
      </c>
      <c r="D10086" s="6" t="s">
        <v>14</v>
      </c>
      <c r="E10086" s="6" t="s">
        <v>90</v>
      </c>
      <c r="F10086" s="6" t="s">
        <v>91</v>
      </c>
      <c r="G10086" s="6" t="s">
        <v>1722</v>
      </c>
      <c r="H10086" s="6" t="s">
        <v>1758</v>
      </c>
      <c r="I10086" s="6" t="s">
        <v>31</v>
      </c>
      <c r="J10086" s="6">
        <v>16.994839689176999</v>
      </c>
      <c r="K10086" s="6">
        <v>-96.109810401044996</v>
      </c>
      <c r="L10086" s="6" t="str">
        <f>HYPERLINK("https://maps.google.com/?q=16.9948396891769,-96.109810401045095", "🔗 Ver Mapa")</f>
        <v>🔗 Ver Mapa</v>
      </c>
    </row>
    <row r="10087" spans="1:12" ht="43.5" x14ac:dyDescent="0.35">
      <c r="A10087" s="5" t="s">
        <v>98</v>
      </c>
      <c r="B10087" s="5" t="s">
        <v>99</v>
      </c>
      <c r="C10087" s="5" t="s">
        <v>1757</v>
      </c>
      <c r="D10087" s="5" t="s">
        <v>14</v>
      </c>
      <c r="E10087" s="5" t="s">
        <v>90</v>
      </c>
      <c r="F10087" s="5" t="s">
        <v>91</v>
      </c>
      <c r="G10087" s="5" t="s">
        <v>1722</v>
      </c>
      <c r="H10087" s="5" t="s">
        <v>1758</v>
      </c>
      <c r="I10087" s="5" t="s">
        <v>31</v>
      </c>
      <c r="J10087" s="5">
        <v>16.994940339500999</v>
      </c>
      <c r="K10087" s="5">
        <v>-96.104492906746003</v>
      </c>
      <c r="L10087" s="5" t="str">
        <f>HYPERLINK("https://maps.google.com/?q=16.9949403395014,-96.104492906745904", "🔗 Ver Mapa")</f>
        <v>🔗 Ver Mapa</v>
      </c>
    </row>
    <row r="10088" spans="1:12" ht="43.5" x14ac:dyDescent="0.35">
      <c r="A10088" s="6" t="s">
        <v>98</v>
      </c>
      <c r="B10088" s="6" t="s">
        <v>99</v>
      </c>
      <c r="C10088" s="6" t="s">
        <v>1757</v>
      </c>
      <c r="D10088" s="6" t="s">
        <v>14</v>
      </c>
      <c r="E10088" s="6" t="s">
        <v>90</v>
      </c>
      <c r="F10088" s="6" t="s">
        <v>91</v>
      </c>
      <c r="G10088" s="6" t="s">
        <v>1722</v>
      </c>
      <c r="H10088" s="6" t="s">
        <v>1758</v>
      </c>
      <c r="I10088" s="6" t="s">
        <v>31</v>
      </c>
      <c r="J10088" s="6">
        <v>16.995112336321998</v>
      </c>
      <c r="K10088" s="6">
        <v>-96.112454179447994</v>
      </c>
      <c r="L10088" s="6" t="str">
        <f>HYPERLINK("https://maps.google.com/?q=16.995112336322,-96.112454179447695", "🔗 Ver Mapa")</f>
        <v>🔗 Ver Mapa</v>
      </c>
    </row>
    <row r="10089" spans="1:12" ht="43.5" x14ac:dyDescent="0.35">
      <c r="A10089" s="5" t="s">
        <v>98</v>
      </c>
      <c r="B10089" s="5" t="s">
        <v>99</v>
      </c>
      <c r="C10089" s="5" t="s">
        <v>1757</v>
      </c>
      <c r="D10089" s="5" t="s">
        <v>14</v>
      </c>
      <c r="E10089" s="5" t="s">
        <v>90</v>
      </c>
      <c r="F10089" s="5" t="s">
        <v>91</v>
      </c>
      <c r="G10089" s="5" t="s">
        <v>1722</v>
      </c>
      <c r="H10089" s="5" t="s">
        <v>1758</v>
      </c>
      <c r="I10089" s="5" t="s">
        <v>31</v>
      </c>
      <c r="J10089" s="5">
        <v>16.996187163298998</v>
      </c>
      <c r="K10089" s="5">
        <v>-96.111136536304002</v>
      </c>
      <c r="L10089" s="5" t="str">
        <f>HYPERLINK("https://maps.google.com/?q=16.9961871632995,-96.111136536303903", "🔗 Ver Mapa")</f>
        <v>🔗 Ver Mapa</v>
      </c>
    </row>
    <row r="10090" spans="1:12" ht="43.5" x14ac:dyDescent="0.35">
      <c r="A10090" s="6" t="s">
        <v>98</v>
      </c>
      <c r="B10090" s="6" t="s">
        <v>99</v>
      </c>
      <c r="C10090" s="6" t="s">
        <v>1757</v>
      </c>
      <c r="D10090" s="6" t="s">
        <v>14</v>
      </c>
      <c r="E10090" s="6" t="s">
        <v>90</v>
      </c>
      <c r="F10090" s="6" t="s">
        <v>91</v>
      </c>
      <c r="G10090" s="6" t="s">
        <v>1722</v>
      </c>
      <c r="H10090" s="6" t="s">
        <v>1758</v>
      </c>
      <c r="I10090" s="6" t="s">
        <v>31</v>
      </c>
      <c r="J10090" s="6">
        <v>16.996268987246001</v>
      </c>
      <c r="K10090" s="6">
        <v>-96.113505369999999</v>
      </c>
      <c r="L10090" s="6" t="str">
        <f>HYPERLINK("https://maps.google.com/?q=16.9962689872462,-96.1135053699997", "🔗 Ver Mapa")</f>
        <v>🔗 Ver Mapa</v>
      </c>
    </row>
    <row r="10091" spans="1:12" ht="43.5" x14ac:dyDescent="0.35">
      <c r="A10091" s="5" t="s">
        <v>98</v>
      </c>
      <c r="B10091" s="5" t="s">
        <v>99</v>
      </c>
      <c r="C10091" s="5" t="s">
        <v>1757</v>
      </c>
      <c r="D10091" s="5" t="s">
        <v>14</v>
      </c>
      <c r="E10091" s="5" t="s">
        <v>90</v>
      </c>
      <c r="F10091" s="5" t="s">
        <v>91</v>
      </c>
      <c r="G10091" s="5" t="s">
        <v>1722</v>
      </c>
      <c r="H10091" s="5" t="s">
        <v>1758</v>
      </c>
      <c r="I10091" s="5" t="s">
        <v>31</v>
      </c>
      <c r="J10091" s="5">
        <v>16.996338331834998</v>
      </c>
      <c r="K10091" s="5">
        <v>-96.111085674601995</v>
      </c>
      <c r="L10091" s="5" t="str">
        <f>HYPERLINK("https://maps.google.com/?q=16.9963383318353,-96.111085674601995", "🔗 Ver Mapa")</f>
        <v>🔗 Ver Mapa</v>
      </c>
    </row>
    <row r="10092" spans="1:12" ht="43.5" x14ac:dyDescent="0.35">
      <c r="A10092" s="6" t="s">
        <v>98</v>
      </c>
      <c r="B10092" s="6" t="s">
        <v>99</v>
      </c>
      <c r="C10092" s="6" t="s">
        <v>1757</v>
      </c>
      <c r="D10092" s="6" t="s">
        <v>14</v>
      </c>
      <c r="E10092" s="6" t="s">
        <v>90</v>
      </c>
      <c r="F10092" s="6" t="s">
        <v>91</v>
      </c>
      <c r="G10092" s="6" t="s">
        <v>1722</v>
      </c>
      <c r="H10092" s="6" t="s">
        <v>1758</v>
      </c>
      <c r="I10092" s="6" t="s">
        <v>31</v>
      </c>
      <c r="J10092" s="6">
        <v>16.996569099060999</v>
      </c>
      <c r="K10092" s="6">
        <v>-96.114515221694006</v>
      </c>
      <c r="L10092" s="6" t="str">
        <f>HYPERLINK("https://maps.google.com/?q=16.9965690990608,-96.114515221693907", "🔗 Ver Mapa")</f>
        <v>🔗 Ver Mapa</v>
      </c>
    </row>
    <row r="10093" spans="1:12" ht="43.5" x14ac:dyDescent="0.35">
      <c r="A10093" s="5" t="s">
        <v>98</v>
      </c>
      <c r="B10093" s="5" t="s">
        <v>99</v>
      </c>
      <c r="C10093" s="5" t="s">
        <v>1757</v>
      </c>
      <c r="D10093" s="5" t="s">
        <v>14</v>
      </c>
      <c r="E10093" s="5" t="s">
        <v>90</v>
      </c>
      <c r="F10093" s="5" t="s">
        <v>91</v>
      </c>
      <c r="G10093" s="5" t="s">
        <v>1722</v>
      </c>
      <c r="H10093" s="5" t="s">
        <v>1758</v>
      </c>
      <c r="I10093" s="5" t="s">
        <v>31</v>
      </c>
      <c r="J10093" s="5">
        <v>16.997705724568</v>
      </c>
      <c r="K10093" s="5">
        <v>-96.113747783277006</v>
      </c>
      <c r="L10093" s="5" t="str">
        <f>HYPERLINK("https://maps.google.com/?q=16.9977057245683,-96.113747783276807", "🔗 Ver Mapa")</f>
        <v>🔗 Ver Mapa</v>
      </c>
    </row>
    <row r="10094" spans="1:12" ht="43.5" x14ac:dyDescent="0.35">
      <c r="A10094" s="6" t="s">
        <v>98</v>
      </c>
      <c r="B10094" s="6" t="s">
        <v>99</v>
      </c>
      <c r="C10094" s="6" t="s">
        <v>1759</v>
      </c>
      <c r="D10094" s="6" t="s">
        <v>14</v>
      </c>
      <c r="E10094" s="6" t="s">
        <v>90</v>
      </c>
      <c r="F10094" s="6" t="s">
        <v>91</v>
      </c>
      <c r="G10094" s="6" t="s">
        <v>1722</v>
      </c>
      <c r="H10094" s="6" t="s">
        <v>1723</v>
      </c>
      <c r="I10094" s="6" t="s">
        <v>31</v>
      </c>
      <c r="J10094" s="6">
        <v>17.017579319546002</v>
      </c>
      <c r="K10094" s="6">
        <v>-96.126092140268</v>
      </c>
      <c r="L10094" s="6" t="str">
        <f>HYPERLINK("https://maps.google.com/?q=17.0175793195464,-96.126092140267602", "🔗 Ver Mapa")</f>
        <v>🔗 Ver Mapa</v>
      </c>
    </row>
    <row r="10095" spans="1:12" ht="43.5" x14ac:dyDescent="0.35">
      <c r="A10095" s="5" t="s">
        <v>98</v>
      </c>
      <c r="B10095" s="5" t="s">
        <v>99</v>
      </c>
      <c r="C10095" s="5" t="s">
        <v>1759</v>
      </c>
      <c r="D10095" s="5" t="s">
        <v>14</v>
      </c>
      <c r="E10095" s="5" t="s">
        <v>90</v>
      </c>
      <c r="F10095" s="5" t="s">
        <v>91</v>
      </c>
      <c r="G10095" s="5" t="s">
        <v>1722</v>
      </c>
      <c r="H10095" s="5" t="s">
        <v>1723</v>
      </c>
      <c r="I10095" s="5" t="s">
        <v>31</v>
      </c>
      <c r="J10095" s="5">
        <v>17.019015800297002</v>
      </c>
      <c r="K10095" s="5">
        <v>-96.129542808894996</v>
      </c>
      <c r="L10095" s="5" t="str">
        <f>HYPERLINK("https://maps.google.com/?q=17.0190158002968,-96.129542808895494", "🔗 Ver Mapa")</f>
        <v>🔗 Ver Mapa</v>
      </c>
    </row>
    <row r="10096" spans="1:12" ht="43.5" x14ac:dyDescent="0.35">
      <c r="A10096" s="6" t="s">
        <v>98</v>
      </c>
      <c r="B10096" s="6" t="s">
        <v>99</v>
      </c>
      <c r="C10096" s="6" t="s">
        <v>1759</v>
      </c>
      <c r="D10096" s="6" t="s">
        <v>14</v>
      </c>
      <c r="E10096" s="6" t="s">
        <v>90</v>
      </c>
      <c r="F10096" s="6" t="s">
        <v>91</v>
      </c>
      <c r="G10096" s="6" t="s">
        <v>1722</v>
      </c>
      <c r="H10096" s="6" t="s">
        <v>1723</v>
      </c>
      <c r="I10096" s="6" t="s">
        <v>31</v>
      </c>
      <c r="J10096" s="6">
        <v>17.019158905550999</v>
      </c>
      <c r="K10096" s="6">
        <v>-96.129423914970005</v>
      </c>
      <c r="L10096" s="6" t="str">
        <f>HYPERLINK("https://maps.google.com/?q=17.0191589055509,-96.129423914970303", "🔗 Ver Mapa")</f>
        <v>🔗 Ver Mapa</v>
      </c>
    </row>
    <row r="10097" spans="1:12" ht="43.5" x14ac:dyDescent="0.35">
      <c r="A10097" s="5" t="s">
        <v>98</v>
      </c>
      <c r="B10097" s="5" t="s">
        <v>99</v>
      </c>
      <c r="C10097" s="5" t="s">
        <v>1759</v>
      </c>
      <c r="D10097" s="5" t="s">
        <v>14</v>
      </c>
      <c r="E10097" s="5" t="s">
        <v>90</v>
      </c>
      <c r="F10097" s="5" t="s">
        <v>91</v>
      </c>
      <c r="G10097" s="5" t="s">
        <v>1722</v>
      </c>
      <c r="H10097" s="5" t="s">
        <v>1723</v>
      </c>
      <c r="I10097" s="5" t="s">
        <v>31</v>
      </c>
      <c r="J10097" s="5">
        <v>17.019346533183001</v>
      </c>
      <c r="K10097" s="5">
        <v>-96.124660698895994</v>
      </c>
      <c r="L10097" s="5" t="str">
        <f>HYPERLINK("https://maps.google.com/?q=17.0193465331827,-96.124660698895596", "🔗 Ver Mapa")</f>
        <v>🔗 Ver Mapa</v>
      </c>
    </row>
    <row r="10098" spans="1:12" ht="43.5" x14ac:dyDescent="0.35">
      <c r="A10098" s="6" t="s">
        <v>98</v>
      </c>
      <c r="B10098" s="6" t="s">
        <v>99</v>
      </c>
      <c r="C10098" s="6" t="s">
        <v>1759</v>
      </c>
      <c r="D10098" s="6" t="s">
        <v>14</v>
      </c>
      <c r="E10098" s="6" t="s">
        <v>90</v>
      </c>
      <c r="F10098" s="6" t="s">
        <v>91</v>
      </c>
      <c r="G10098" s="6" t="s">
        <v>1722</v>
      </c>
      <c r="H10098" s="6" t="s">
        <v>1723</v>
      </c>
      <c r="I10098" s="6" t="s">
        <v>31</v>
      </c>
      <c r="J10098" s="6">
        <v>17.019387338440001</v>
      </c>
      <c r="K10098" s="6">
        <v>-96.129635511103999</v>
      </c>
      <c r="L10098" s="6" t="str">
        <f>HYPERLINK("https://maps.google.com/?q=17.0193873384402,-96.129635511104496", "🔗 Ver Mapa")</f>
        <v>🔗 Ver Mapa</v>
      </c>
    </row>
    <row r="10099" spans="1:12" ht="43.5" x14ac:dyDescent="0.35">
      <c r="A10099" s="5" t="s">
        <v>98</v>
      </c>
      <c r="B10099" s="5" t="s">
        <v>99</v>
      </c>
      <c r="C10099" s="5" t="s">
        <v>1759</v>
      </c>
      <c r="D10099" s="5" t="s">
        <v>14</v>
      </c>
      <c r="E10099" s="5" t="s">
        <v>90</v>
      </c>
      <c r="F10099" s="5" t="s">
        <v>91</v>
      </c>
      <c r="G10099" s="5" t="s">
        <v>1722</v>
      </c>
      <c r="H10099" s="5" t="s">
        <v>1723</v>
      </c>
      <c r="I10099" s="5" t="s">
        <v>31</v>
      </c>
      <c r="J10099" s="5">
        <v>17.019395664139001</v>
      </c>
      <c r="K10099" s="5">
        <v>-96.120189563238995</v>
      </c>
      <c r="L10099" s="5" t="str">
        <f>HYPERLINK("https://maps.google.com/?q=17.0193956641386,-96.120189563238796", "🔗 Ver Mapa")</f>
        <v>🔗 Ver Mapa</v>
      </c>
    </row>
    <row r="10100" spans="1:12" ht="43.5" x14ac:dyDescent="0.35">
      <c r="A10100" s="6" t="s">
        <v>98</v>
      </c>
      <c r="B10100" s="6" t="s">
        <v>99</v>
      </c>
      <c r="C10100" s="6" t="s">
        <v>1759</v>
      </c>
      <c r="D10100" s="6" t="s">
        <v>14</v>
      </c>
      <c r="E10100" s="6" t="s">
        <v>90</v>
      </c>
      <c r="F10100" s="6" t="s">
        <v>91</v>
      </c>
      <c r="G10100" s="6" t="s">
        <v>1722</v>
      </c>
      <c r="H10100" s="6" t="s">
        <v>1723</v>
      </c>
      <c r="I10100" s="6" t="s">
        <v>31</v>
      </c>
      <c r="J10100" s="6">
        <v>17.019533662949001</v>
      </c>
      <c r="K10100" s="6">
        <v>-96.127238784620999</v>
      </c>
      <c r="L10100" s="6" t="str">
        <f>HYPERLINK("https://maps.google.com/?q=17.0195336629486,-96.127238784621099", "🔗 Ver Mapa")</f>
        <v>🔗 Ver Mapa</v>
      </c>
    </row>
    <row r="10101" spans="1:12" ht="43.5" x14ac:dyDescent="0.35">
      <c r="A10101" s="5" t="s">
        <v>98</v>
      </c>
      <c r="B10101" s="5" t="s">
        <v>99</v>
      </c>
      <c r="C10101" s="5" t="s">
        <v>1759</v>
      </c>
      <c r="D10101" s="5" t="s">
        <v>14</v>
      </c>
      <c r="E10101" s="5" t="s">
        <v>90</v>
      </c>
      <c r="F10101" s="5" t="s">
        <v>91</v>
      </c>
      <c r="G10101" s="5" t="s">
        <v>1722</v>
      </c>
      <c r="H10101" s="5" t="s">
        <v>1723</v>
      </c>
      <c r="I10101" s="5" t="s">
        <v>31</v>
      </c>
      <c r="J10101" s="5">
        <v>17.019603463189998</v>
      </c>
      <c r="K10101" s="5">
        <v>-96.123976878896002</v>
      </c>
      <c r="L10101" s="5" t="str">
        <f>HYPERLINK("https://maps.google.com/?q=17.0196034631898,-96.123976878895505", "🔗 Ver Mapa")</f>
        <v>🔗 Ver Mapa</v>
      </c>
    </row>
    <row r="10102" spans="1:12" ht="43.5" x14ac:dyDescent="0.35">
      <c r="A10102" s="6" t="s">
        <v>98</v>
      </c>
      <c r="B10102" s="6" t="s">
        <v>99</v>
      </c>
      <c r="C10102" s="6" t="s">
        <v>1759</v>
      </c>
      <c r="D10102" s="6" t="s">
        <v>14</v>
      </c>
      <c r="E10102" s="6" t="s">
        <v>90</v>
      </c>
      <c r="F10102" s="6" t="s">
        <v>91</v>
      </c>
      <c r="G10102" s="6" t="s">
        <v>1722</v>
      </c>
      <c r="H10102" s="6" t="s">
        <v>1723</v>
      </c>
      <c r="I10102" s="6" t="s">
        <v>31</v>
      </c>
      <c r="J10102" s="6">
        <v>17.020009826790002</v>
      </c>
      <c r="K10102" s="6">
        <v>-96.129020934834003</v>
      </c>
      <c r="L10102" s="6" t="str">
        <f>HYPERLINK("https://maps.google.com/?q=17.0200098267895,-96.129020934834102", "🔗 Ver Mapa")</f>
        <v>🔗 Ver Mapa</v>
      </c>
    </row>
    <row r="10103" spans="1:12" ht="43.5" x14ac:dyDescent="0.35">
      <c r="A10103" s="5" t="s">
        <v>98</v>
      </c>
      <c r="B10103" s="5" t="s">
        <v>99</v>
      </c>
      <c r="C10103" s="5" t="s">
        <v>1759</v>
      </c>
      <c r="D10103" s="5" t="s">
        <v>14</v>
      </c>
      <c r="E10103" s="5" t="s">
        <v>90</v>
      </c>
      <c r="F10103" s="5" t="s">
        <v>91</v>
      </c>
      <c r="G10103" s="5" t="s">
        <v>1722</v>
      </c>
      <c r="H10103" s="5" t="s">
        <v>1723</v>
      </c>
      <c r="I10103" s="5" t="s">
        <v>31</v>
      </c>
      <c r="J10103" s="5">
        <v>17.020167449771002</v>
      </c>
      <c r="K10103" s="5">
        <v>-96.130336416687001</v>
      </c>
      <c r="L10103" s="5" t="str">
        <f>HYPERLINK("https://maps.google.com/?q=17.020167449771,-96.130336416686504", "🔗 Ver Mapa")</f>
        <v>🔗 Ver Mapa</v>
      </c>
    </row>
    <row r="10104" spans="1:12" ht="43.5" x14ac:dyDescent="0.35">
      <c r="A10104" s="6" t="s">
        <v>98</v>
      </c>
      <c r="B10104" s="6" t="s">
        <v>99</v>
      </c>
      <c r="C10104" s="6" t="s">
        <v>1759</v>
      </c>
      <c r="D10104" s="6" t="s">
        <v>14</v>
      </c>
      <c r="E10104" s="6" t="s">
        <v>90</v>
      </c>
      <c r="F10104" s="6" t="s">
        <v>91</v>
      </c>
      <c r="G10104" s="6" t="s">
        <v>1722</v>
      </c>
      <c r="H10104" s="6" t="s">
        <v>1723</v>
      </c>
      <c r="I10104" s="6" t="s">
        <v>31</v>
      </c>
      <c r="J10104" s="6">
        <v>17.020170933740001</v>
      </c>
      <c r="K10104" s="6">
        <v>-96.132264647791004</v>
      </c>
      <c r="L10104" s="6" t="str">
        <f>HYPERLINK("https://maps.google.com/?q=17.0201709337396,-96.132264647791004", "🔗 Ver Mapa")</f>
        <v>🔗 Ver Mapa</v>
      </c>
    </row>
    <row r="10105" spans="1:12" ht="43.5" x14ac:dyDescent="0.35">
      <c r="A10105" s="5" t="s">
        <v>98</v>
      </c>
      <c r="B10105" s="5" t="s">
        <v>99</v>
      </c>
      <c r="C10105" s="5" t="s">
        <v>1759</v>
      </c>
      <c r="D10105" s="5" t="s">
        <v>14</v>
      </c>
      <c r="E10105" s="5" t="s">
        <v>90</v>
      </c>
      <c r="F10105" s="5" t="s">
        <v>91</v>
      </c>
      <c r="G10105" s="5" t="s">
        <v>1722</v>
      </c>
      <c r="H10105" s="5" t="s">
        <v>1723</v>
      </c>
      <c r="I10105" s="5" t="s">
        <v>31</v>
      </c>
      <c r="J10105" s="5">
        <v>17.020267800306002</v>
      </c>
      <c r="K10105" s="5">
        <v>-96.131445769999999</v>
      </c>
      <c r="L10105" s="5" t="str">
        <f>HYPERLINK("https://maps.google.com/?q=17.0202678003055,-96.131445769999999", "🔗 Ver Mapa")</f>
        <v>🔗 Ver Mapa</v>
      </c>
    </row>
    <row r="10106" spans="1:12" ht="43.5" x14ac:dyDescent="0.35">
      <c r="A10106" s="6" t="s">
        <v>98</v>
      </c>
      <c r="B10106" s="6" t="s">
        <v>99</v>
      </c>
      <c r="C10106" s="6" t="s">
        <v>1759</v>
      </c>
      <c r="D10106" s="6" t="s">
        <v>14</v>
      </c>
      <c r="E10106" s="6" t="s">
        <v>90</v>
      </c>
      <c r="F10106" s="6" t="s">
        <v>91</v>
      </c>
      <c r="G10106" s="6" t="s">
        <v>1722</v>
      </c>
      <c r="H10106" s="6" t="s">
        <v>1723</v>
      </c>
      <c r="I10106" s="6" t="s">
        <v>31</v>
      </c>
      <c r="J10106" s="6">
        <v>17.020294357840999</v>
      </c>
      <c r="K10106" s="6">
        <v>-96.130233961282997</v>
      </c>
      <c r="L10106" s="6" t="str">
        <f>HYPERLINK("https://maps.google.com/?q=17.0202943578406,-96.130233961282798", "🔗 Ver Mapa")</f>
        <v>🔗 Ver Mapa</v>
      </c>
    </row>
    <row r="10107" spans="1:12" ht="43.5" x14ac:dyDescent="0.35">
      <c r="A10107" s="5" t="s">
        <v>98</v>
      </c>
      <c r="B10107" s="5" t="s">
        <v>99</v>
      </c>
      <c r="C10107" s="5" t="s">
        <v>1759</v>
      </c>
      <c r="D10107" s="5" t="s">
        <v>14</v>
      </c>
      <c r="E10107" s="5" t="s">
        <v>90</v>
      </c>
      <c r="F10107" s="5" t="s">
        <v>91</v>
      </c>
      <c r="G10107" s="5" t="s">
        <v>1722</v>
      </c>
      <c r="H10107" s="5" t="s">
        <v>1723</v>
      </c>
      <c r="I10107" s="5" t="s">
        <v>31</v>
      </c>
      <c r="J10107" s="5">
        <v>17.020306289015998</v>
      </c>
      <c r="K10107" s="5">
        <v>-96.132501587790998</v>
      </c>
      <c r="L10107" s="5" t="str">
        <f>HYPERLINK("https://maps.google.com/?q=17.0203062890161,-96.132501587790998", "🔗 Ver Mapa")</f>
        <v>🔗 Ver Mapa</v>
      </c>
    </row>
    <row r="10108" spans="1:12" ht="43.5" x14ac:dyDescent="0.35">
      <c r="A10108" s="6" t="s">
        <v>98</v>
      </c>
      <c r="B10108" s="6" t="s">
        <v>99</v>
      </c>
      <c r="C10108" s="6" t="s">
        <v>1759</v>
      </c>
      <c r="D10108" s="6" t="s">
        <v>14</v>
      </c>
      <c r="E10108" s="6" t="s">
        <v>90</v>
      </c>
      <c r="F10108" s="6" t="s">
        <v>91</v>
      </c>
      <c r="G10108" s="6" t="s">
        <v>1722</v>
      </c>
      <c r="H10108" s="6" t="s">
        <v>1723</v>
      </c>
      <c r="I10108" s="6" t="s">
        <v>31</v>
      </c>
      <c r="J10108" s="6">
        <v>17.020530259030998</v>
      </c>
      <c r="K10108" s="6">
        <v>-96.126554725581997</v>
      </c>
      <c r="L10108" s="6" t="str">
        <f>HYPERLINK("https://maps.google.com/?q=17.0205302590315,-96.126554725581997", "🔗 Ver Mapa")</f>
        <v>🔗 Ver Mapa</v>
      </c>
    </row>
    <row r="10109" spans="1:12" ht="43.5" x14ac:dyDescent="0.35">
      <c r="A10109" s="5" t="s">
        <v>98</v>
      </c>
      <c r="B10109" s="5" t="s">
        <v>99</v>
      </c>
      <c r="C10109" s="5" t="s">
        <v>1759</v>
      </c>
      <c r="D10109" s="5" t="s">
        <v>14</v>
      </c>
      <c r="E10109" s="5" t="s">
        <v>90</v>
      </c>
      <c r="F10109" s="5" t="s">
        <v>91</v>
      </c>
      <c r="G10109" s="5" t="s">
        <v>1722</v>
      </c>
      <c r="H10109" s="5" t="s">
        <v>1723</v>
      </c>
      <c r="I10109" s="5" t="s">
        <v>31</v>
      </c>
      <c r="J10109" s="5">
        <v>17.022812967975</v>
      </c>
      <c r="K10109" s="5">
        <v>-96.133102221163995</v>
      </c>
      <c r="L10109" s="5" t="str">
        <f>HYPERLINK("https://maps.google.com/?q=17.022812967975,-96.133102221163895", "🔗 Ver Mapa")</f>
        <v>🔗 Ver Mapa</v>
      </c>
    </row>
    <row r="10110" spans="1:12" ht="43.5" x14ac:dyDescent="0.35">
      <c r="A10110" s="6" t="s">
        <v>98</v>
      </c>
      <c r="B10110" s="6" t="s">
        <v>99</v>
      </c>
      <c r="C10110" s="6" t="s">
        <v>1759</v>
      </c>
      <c r="D10110" s="6" t="s">
        <v>14</v>
      </c>
      <c r="E10110" s="6" t="s">
        <v>90</v>
      </c>
      <c r="F10110" s="6" t="s">
        <v>91</v>
      </c>
      <c r="G10110" s="6" t="s">
        <v>1722</v>
      </c>
      <c r="H10110" s="6" t="s">
        <v>1723</v>
      </c>
      <c r="I10110" s="6" t="s">
        <v>31</v>
      </c>
      <c r="J10110" s="6">
        <v>17.022915292672</v>
      </c>
      <c r="K10110" s="6">
        <v>-96.129856118836003</v>
      </c>
      <c r="L10110" s="6" t="str">
        <f>HYPERLINK("https://maps.google.com/?q=17.0229152926718,-96.129856118836102", "🔗 Ver Mapa")</f>
        <v>🔗 Ver Mapa</v>
      </c>
    </row>
    <row r="10111" spans="1:12" ht="43.5" x14ac:dyDescent="0.35">
      <c r="A10111" s="5" t="s">
        <v>98</v>
      </c>
      <c r="B10111" s="5" t="s">
        <v>99</v>
      </c>
      <c r="C10111" s="5" t="s">
        <v>1759</v>
      </c>
      <c r="D10111" s="5" t="s">
        <v>14</v>
      </c>
      <c r="E10111" s="5" t="s">
        <v>90</v>
      </c>
      <c r="F10111" s="5" t="s">
        <v>91</v>
      </c>
      <c r="G10111" s="5" t="s">
        <v>1722</v>
      </c>
      <c r="H10111" s="5" t="s">
        <v>1723</v>
      </c>
      <c r="I10111" s="5" t="s">
        <v>31</v>
      </c>
      <c r="J10111" s="5">
        <v>17.023545281499999</v>
      </c>
      <c r="K10111" s="5">
        <v>-96.137759875582006</v>
      </c>
      <c r="L10111" s="5" t="str">
        <f>HYPERLINK("https://maps.google.com/?q=17.0235452815002,-96.137759875582006", "🔗 Ver Mapa")</f>
        <v>🔗 Ver Mapa</v>
      </c>
    </row>
    <row r="10112" spans="1:12" ht="43.5" x14ac:dyDescent="0.35">
      <c r="A10112" s="6" t="s">
        <v>98</v>
      </c>
      <c r="B10112" s="6" t="s">
        <v>99</v>
      </c>
      <c r="C10112" s="6" t="s">
        <v>1759</v>
      </c>
      <c r="D10112" s="6" t="s">
        <v>14</v>
      </c>
      <c r="E10112" s="6" t="s">
        <v>90</v>
      </c>
      <c r="F10112" s="6" t="s">
        <v>91</v>
      </c>
      <c r="G10112" s="6" t="s">
        <v>1722</v>
      </c>
      <c r="H10112" s="6" t="s">
        <v>1723</v>
      </c>
      <c r="I10112" s="6" t="s">
        <v>31</v>
      </c>
      <c r="J10112" s="6">
        <v>17.023651111115999</v>
      </c>
      <c r="K10112" s="6">
        <v>-96.133199128954999</v>
      </c>
      <c r="L10112" s="6" t="str">
        <f>HYPERLINK("https://maps.google.com/?q=17.023651111116,-96.133199128954899", "🔗 Ver Mapa")</f>
        <v>🔗 Ver Mapa</v>
      </c>
    </row>
    <row r="10113" spans="1:12" ht="43.5" x14ac:dyDescent="0.35">
      <c r="A10113" s="5" t="s">
        <v>98</v>
      </c>
      <c r="B10113" s="5" t="s">
        <v>99</v>
      </c>
      <c r="C10113" s="5" t="s">
        <v>1759</v>
      </c>
      <c r="D10113" s="5" t="s">
        <v>14</v>
      </c>
      <c r="E10113" s="5" t="s">
        <v>90</v>
      </c>
      <c r="F10113" s="5" t="s">
        <v>91</v>
      </c>
      <c r="G10113" s="5" t="s">
        <v>1722</v>
      </c>
      <c r="H10113" s="5" t="s">
        <v>1723</v>
      </c>
      <c r="I10113" s="5" t="s">
        <v>31</v>
      </c>
      <c r="J10113" s="5">
        <v>17.023801872187999</v>
      </c>
      <c r="K10113" s="5">
        <v>-96.138081769961005</v>
      </c>
      <c r="L10113" s="5" t="str">
        <f>HYPERLINK("https://maps.google.com/?q=17.0238018721884,-96.138081769961005", "🔗 Ver Mapa")</f>
        <v>🔗 Ver Mapa</v>
      </c>
    </row>
    <row r="10114" spans="1:12" ht="43.5" x14ac:dyDescent="0.35">
      <c r="A10114" s="6" t="s">
        <v>98</v>
      </c>
      <c r="B10114" s="6" t="s">
        <v>99</v>
      </c>
      <c r="C10114" s="6" t="s">
        <v>1759</v>
      </c>
      <c r="D10114" s="6" t="s">
        <v>14</v>
      </c>
      <c r="E10114" s="6" t="s">
        <v>90</v>
      </c>
      <c r="F10114" s="6" t="s">
        <v>91</v>
      </c>
      <c r="G10114" s="6" t="s">
        <v>1722</v>
      </c>
      <c r="H10114" s="6" t="s">
        <v>1723</v>
      </c>
      <c r="I10114" s="6" t="s">
        <v>31</v>
      </c>
      <c r="J10114" s="6">
        <v>17.024232070231001</v>
      </c>
      <c r="K10114" s="6">
        <v>-96.139411623431002</v>
      </c>
      <c r="L10114" s="6" t="str">
        <f>HYPERLINK("https://maps.google.com/?q=17.0242320702305,-96.139411623430902", "🔗 Ver Mapa")</f>
        <v>🔗 Ver Mapa</v>
      </c>
    </row>
    <row r="10115" spans="1:12" ht="43.5" x14ac:dyDescent="0.35">
      <c r="A10115" s="5" t="s">
        <v>98</v>
      </c>
      <c r="B10115" s="5" t="s">
        <v>99</v>
      </c>
      <c r="C10115" s="5" t="s">
        <v>1759</v>
      </c>
      <c r="D10115" s="5" t="s">
        <v>14</v>
      </c>
      <c r="E10115" s="5" t="s">
        <v>90</v>
      </c>
      <c r="F10115" s="5" t="s">
        <v>91</v>
      </c>
      <c r="G10115" s="5" t="s">
        <v>1722</v>
      </c>
      <c r="H10115" s="5" t="s">
        <v>1723</v>
      </c>
      <c r="I10115" s="5" t="s">
        <v>31</v>
      </c>
      <c r="J10115" s="5">
        <v>17.025425873349999</v>
      </c>
      <c r="K10115" s="5">
        <v>-96.137247597791003</v>
      </c>
      <c r="L10115" s="5" t="str">
        <f>HYPERLINK("https://maps.google.com/?q=17.0254258733504,-96.137247597791301", "🔗 Ver Mapa")</f>
        <v>🔗 Ver Mapa</v>
      </c>
    </row>
    <row r="10116" spans="1:12" ht="43.5" x14ac:dyDescent="0.35">
      <c r="A10116" s="6" t="s">
        <v>98</v>
      </c>
      <c r="B10116" s="6" t="s">
        <v>99</v>
      </c>
      <c r="C10116" s="6" t="s">
        <v>1759</v>
      </c>
      <c r="D10116" s="6" t="s">
        <v>14</v>
      </c>
      <c r="E10116" s="6" t="s">
        <v>90</v>
      </c>
      <c r="F10116" s="6" t="s">
        <v>91</v>
      </c>
      <c r="G10116" s="6" t="s">
        <v>1722</v>
      </c>
      <c r="H10116" s="6" t="s">
        <v>1723</v>
      </c>
      <c r="I10116" s="6" t="s">
        <v>31</v>
      </c>
      <c r="J10116" s="6">
        <v>17.025639569105</v>
      </c>
      <c r="K10116" s="6">
        <v>-96.139227978796995</v>
      </c>
      <c r="L10116" s="6" t="str">
        <f>HYPERLINK("https://maps.google.com/?q=17.025639569105,-96.139227978796598", "🔗 Ver Mapa")</f>
        <v>🔗 Ver Mapa</v>
      </c>
    </row>
    <row r="10117" spans="1:12" ht="43.5" x14ac:dyDescent="0.35">
      <c r="A10117" s="5" t="s">
        <v>98</v>
      </c>
      <c r="B10117" s="5" t="s">
        <v>99</v>
      </c>
      <c r="C10117" s="5" t="s">
        <v>1759</v>
      </c>
      <c r="D10117" s="5" t="s">
        <v>14</v>
      </c>
      <c r="E10117" s="5" t="s">
        <v>90</v>
      </c>
      <c r="F10117" s="5" t="s">
        <v>91</v>
      </c>
      <c r="G10117" s="5" t="s">
        <v>1722</v>
      </c>
      <c r="H10117" s="5" t="s">
        <v>1723</v>
      </c>
      <c r="I10117" s="5" t="s">
        <v>31</v>
      </c>
      <c r="J10117" s="5">
        <v>17.026091623368998</v>
      </c>
      <c r="K10117" s="5">
        <v>-96.131491678955001</v>
      </c>
      <c r="L10117" s="5" t="str">
        <f>HYPERLINK("https://maps.google.com/?q=17.0260916233687,-96.131491678954902", "🔗 Ver Mapa")</f>
        <v>🔗 Ver Mapa</v>
      </c>
    </row>
    <row r="10118" spans="1:12" ht="43.5" x14ac:dyDescent="0.35">
      <c r="A10118" s="6" t="s">
        <v>98</v>
      </c>
      <c r="B10118" s="6" t="s">
        <v>99</v>
      </c>
      <c r="C10118" s="6" t="s">
        <v>1759</v>
      </c>
      <c r="D10118" s="6" t="s">
        <v>14</v>
      </c>
      <c r="E10118" s="6" t="s">
        <v>90</v>
      </c>
      <c r="F10118" s="6" t="s">
        <v>91</v>
      </c>
      <c r="G10118" s="6" t="s">
        <v>1722</v>
      </c>
      <c r="H10118" s="6" t="s">
        <v>1723</v>
      </c>
      <c r="I10118" s="6" t="s">
        <v>31</v>
      </c>
      <c r="J10118" s="6">
        <v>17.026240528102999</v>
      </c>
      <c r="K10118" s="6">
        <v>-96.132808095726006</v>
      </c>
      <c r="L10118" s="6" t="str">
        <f>HYPERLINK("https://maps.google.com/?q=17.0262405281027,-96.132808095725693", "🔗 Ver Mapa")</f>
        <v>🔗 Ver Mapa</v>
      </c>
    </row>
    <row r="10119" spans="1:12" ht="43.5" x14ac:dyDescent="0.35">
      <c r="A10119" s="5" t="s">
        <v>98</v>
      </c>
      <c r="B10119" s="5" t="s">
        <v>99</v>
      </c>
      <c r="C10119" s="5" t="s">
        <v>1759</v>
      </c>
      <c r="D10119" s="5" t="s">
        <v>14</v>
      </c>
      <c r="E10119" s="5" t="s">
        <v>90</v>
      </c>
      <c r="F10119" s="5" t="s">
        <v>91</v>
      </c>
      <c r="G10119" s="5" t="s">
        <v>1722</v>
      </c>
      <c r="H10119" s="5" t="s">
        <v>1723</v>
      </c>
      <c r="I10119" s="5" t="s">
        <v>31</v>
      </c>
      <c r="J10119" s="5">
        <v>17.026623318727999</v>
      </c>
      <c r="K10119" s="5">
        <v>-96.137071144393005</v>
      </c>
      <c r="L10119" s="5" t="str">
        <f>HYPERLINK("https://maps.google.com/?q=17.0266233187282,-96.137071144392905", "🔗 Ver Mapa")</f>
        <v>🔗 Ver Mapa</v>
      </c>
    </row>
    <row r="10120" spans="1:12" ht="43.5" x14ac:dyDescent="0.35">
      <c r="A10120" s="6" t="s">
        <v>98</v>
      </c>
      <c r="B10120" s="6" t="s">
        <v>99</v>
      </c>
      <c r="C10120" s="6" t="s">
        <v>1759</v>
      </c>
      <c r="D10120" s="6" t="s">
        <v>14</v>
      </c>
      <c r="E10120" s="6" t="s">
        <v>90</v>
      </c>
      <c r="F10120" s="6" t="s">
        <v>91</v>
      </c>
      <c r="G10120" s="6" t="s">
        <v>1722</v>
      </c>
      <c r="H10120" s="6" t="s">
        <v>1723</v>
      </c>
      <c r="I10120" s="6" t="s">
        <v>31</v>
      </c>
      <c r="J10120" s="6">
        <v>17.027210028763001</v>
      </c>
      <c r="K10120" s="6">
        <v>-96.136558704417993</v>
      </c>
      <c r="L10120" s="6" t="str">
        <f>HYPERLINK("https://maps.google.com/?q=17.027210028763,-96.136558704418306", "🔗 Ver Mapa")</f>
        <v>🔗 Ver Mapa</v>
      </c>
    </row>
    <row r="10121" spans="1:12" ht="43.5" x14ac:dyDescent="0.35">
      <c r="A10121" s="5" t="s">
        <v>98</v>
      </c>
      <c r="B10121" s="5" t="s">
        <v>99</v>
      </c>
      <c r="C10121" s="5" t="s">
        <v>1759</v>
      </c>
      <c r="D10121" s="5" t="s">
        <v>14</v>
      </c>
      <c r="E10121" s="5" t="s">
        <v>90</v>
      </c>
      <c r="F10121" s="5" t="s">
        <v>91</v>
      </c>
      <c r="G10121" s="5" t="s">
        <v>1722</v>
      </c>
      <c r="H10121" s="5" t="s">
        <v>1723</v>
      </c>
      <c r="I10121" s="5" t="s">
        <v>31</v>
      </c>
      <c r="J10121" s="5">
        <v>17.028173970853999</v>
      </c>
      <c r="K10121" s="5">
        <v>-96.136950921145001</v>
      </c>
      <c r="L10121" s="5" t="str">
        <f>HYPERLINK("https://maps.google.com/?q=17.028173970854,-96.136950921144603", "🔗 Ver Mapa")</f>
        <v>🔗 Ver Mapa</v>
      </c>
    </row>
    <row r="10122" spans="1:12" ht="43.5" x14ac:dyDescent="0.35">
      <c r="A10122" s="6" t="s">
        <v>98</v>
      </c>
      <c r="B10122" s="6" t="s">
        <v>99</v>
      </c>
      <c r="C10122" s="6" t="s">
        <v>1760</v>
      </c>
      <c r="D10122" s="6" t="s">
        <v>14</v>
      </c>
      <c r="E10122" s="6" t="s">
        <v>16</v>
      </c>
      <c r="F10122" s="6" t="s">
        <v>21</v>
      </c>
      <c r="G10122" s="6" t="s">
        <v>25</v>
      </c>
      <c r="H10122" s="6" t="s">
        <v>1738</v>
      </c>
      <c r="I10122" s="6" t="s">
        <v>31</v>
      </c>
      <c r="J10122" s="6">
        <v>17.118355085074</v>
      </c>
      <c r="K10122" s="6">
        <v>-97.512559127790993</v>
      </c>
      <c r="L10122" s="6" t="str">
        <f>HYPERLINK("https://maps.google.com/?q=17.1183550850742,-97.512559127790993", "🔗 Ver Mapa")</f>
        <v>🔗 Ver Mapa</v>
      </c>
    </row>
    <row r="10123" spans="1:12" ht="43.5" x14ac:dyDescent="0.35">
      <c r="A10123" s="5" t="s">
        <v>98</v>
      </c>
      <c r="B10123" s="5" t="s">
        <v>99</v>
      </c>
      <c r="C10123" s="5" t="s">
        <v>1760</v>
      </c>
      <c r="D10123" s="5" t="s">
        <v>14</v>
      </c>
      <c r="E10123" s="5" t="s">
        <v>16</v>
      </c>
      <c r="F10123" s="5" t="s">
        <v>21</v>
      </c>
      <c r="G10123" s="5" t="s">
        <v>25</v>
      </c>
      <c r="H10123" s="5" t="s">
        <v>1738</v>
      </c>
      <c r="I10123" s="5" t="s">
        <v>31</v>
      </c>
      <c r="J10123" s="5">
        <v>17.118785343586001</v>
      </c>
      <c r="K10123" s="5">
        <v>-97.514784517443999</v>
      </c>
      <c r="L10123" s="5" t="str">
        <f>HYPERLINK("https://maps.google.com/?q=17.1187853435856,-97.514784517444198", "🔗 Ver Mapa")</f>
        <v>🔗 Ver Mapa</v>
      </c>
    </row>
    <row r="10124" spans="1:12" ht="43.5" x14ac:dyDescent="0.35">
      <c r="A10124" s="6" t="s">
        <v>98</v>
      </c>
      <c r="B10124" s="6" t="s">
        <v>99</v>
      </c>
      <c r="C10124" s="6" t="s">
        <v>1760</v>
      </c>
      <c r="D10124" s="6" t="s">
        <v>14</v>
      </c>
      <c r="E10124" s="6" t="s">
        <v>16</v>
      </c>
      <c r="F10124" s="6" t="s">
        <v>21</v>
      </c>
      <c r="G10124" s="6" t="s">
        <v>25</v>
      </c>
      <c r="H10124" s="6" t="s">
        <v>1738</v>
      </c>
      <c r="I10124" s="6" t="s">
        <v>31</v>
      </c>
      <c r="J10124" s="6">
        <v>17.119220060855</v>
      </c>
      <c r="K10124" s="6">
        <v>-97.515968113431995</v>
      </c>
      <c r="L10124" s="6" t="str">
        <f>HYPERLINK("https://maps.google.com/?q=17.1192200608552,-97.515968113431995", "🔗 Ver Mapa")</f>
        <v>🔗 Ver Mapa</v>
      </c>
    </row>
    <row r="10125" spans="1:12" ht="43.5" x14ac:dyDescent="0.35">
      <c r="A10125" s="5" t="s">
        <v>98</v>
      </c>
      <c r="B10125" s="5" t="s">
        <v>99</v>
      </c>
      <c r="C10125" s="5" t="s">
        <v>1760</v>
      </c>
      <c r="D10125" s="5" t="s">
        <v>14</v>
      </c>
      <c r="E10125" s="5" t="s">
        <v>16</v>
      </c>
      <c r="F10125" s="5" t="s">
        <v>21</v>
      </c>
      <c r="G10125" s="5" t="s">
        <v>25</v>
      </c>
      <c r="H10125" s="5" t="s">
        <v>1738</v>
      </c>
      <c r="I10125" s="5" t="s">
        <v>31</v>
      </c>
      <c r="J10125" s="5">
        <v>17.120027377564998</v>
      </c>
      <c r="K10125" s="5">
        <v>-97.513121728954999</v>
      </c>
      <c r="L10125" s="5" t="str">
        <f>HYPERLINK("https://maps.google.com/?q=17.1200273775647,-97.5131217289549", "🔗 Ver Mapa")</f>
        <v>🔗 Ver Mapa</v>
      </c>
    </row>
    <row r="10126" spans="1:12" ht="43.5" x14ac:dyDescent="0.35">
      <c r="A10126" s="6" t="s">
        <v>98</v>
      </c>
      <c r="B10126" s="6" t="s">
        <v>99</v>
      </c>
      <c r="C10126" s="6" t="s">
        <v>1760</v>
      </c>
      <c r="D10126" s="6" t="s">
        <v>14</v>
      </c>
      <c r="E10126" s="6" t="s">
        <v>16</v>
      </c>
      <c r="F10126" s="6" t="s">
        <v>21</v>
      </c>
      <c r="G10126" s="6" t="s">
        <v>25</v>
      </c>
      <c r="H10126" s="6" t="s">
        <v>1738</v>
      </c>
      <c r="I10126" s="6" t="s">
        <v>31</v>
      </c>
      <c r="J10126" s="6">
        <v>17.120220802959999</v>
      </c>
      <c r="K10126" s="6">
        <v>-97.514248156381001</v>
      </c>
      <c r="L10126" s="6" t="str">
        <f>HYPERLINK("https://maps.google.com/?q=17.1202208029596,-97.514248156380603", "🔗 Ver Mapa")</f>
        <v>🔗 Ver Mapa</v>
      </c>
    </row>
    <row r="10127" spans="1:12" ht="43.5" x14ac:dyDescent="0.35">
      <c r="A10127" s="5" t="s">
        <v>98</v>
      </c>
      <c r="B10127" s="5" t="s">
        <v>99</v>
      </c>
      <c r="C10127" s="5" t="s">
        <v>1760</v>
      </c>
      <c r="D10127" s="5" t="s">
        <v>14</v>
      </c>
      <c r="E10127" s="5" t="s">
        <v>16</v>
      </c>
      <c r="F10127" s="5" t="s">
        <v>21</v>
      </c>
      <c r="G10127" s="5" t="s">
        <v>25</v>
      </c>
      <c r="H10127" s="5" t="s">
        <v>1738</v>
      </c>
      <c r="I10127" s="5" t="s">
        <v>31</v>
      </c>
      <c r="J10127" s="5">
        <v>17.121264268830998</v>
      </c>
      <c r="K10127" s="5">
        <v>-97.514052970782998</v>
      </c>
      <c r="L10127" s="5" t="str">
        <f>HYPERLINK("https://maps.google.com/?q=17.1212642688313,-97.5140529707827", "🔗 Ver Mapa")</f>
        <v>🔗 Ver Mapa</v>
      </c>
    </row>
    <row r="10128" spans="1:12" ht="43.5" x14ac:dyDescent="0.35">
      <c r="A10128" s="6" t="s">
        <v>98</v>
      </c>
      <c r="B10128" s="6" t="s">
        <v>99</v>
      </c>
      <c r="C10128" s="6" t="s">
        <v>1760</v>
      </c>
      <c r="D10128" s="6" t="s">
        <v>14</v>
      </c>
      <c r="E10128" s="6" t="s">
        <v>16</v>
      </c>
      <c r="F10128" s="6" t="s">
        <v>21</v>
      </c>
      <c r="G10128" s="6" t="s">
        <v>25</v>
      </c>
      <c r="H10128" s="6" t="s">
        <v>1738</v>
      </c>
      <c r="I10128" s="6" t="s">
        <v>31</v>
      </c>
      <c r="J10128" s="6">
        <v>17.121507631018002</v>
      </c>
      <c r="K10128" s="6">
        <v>-97.514270874418003</v>
      </c>
      <c r="L10128" s="6" t="str">
        <f>HYPERLINK("https://maps.google.com/?q=17.1215076310181,-97.514270874418003", "🔗 Ver Mapa")</f>
        <v>🔗 Ver Mapa</v>
      </c>
    </row>
    <row r="10129" spans="1:12" ht="43.5" x14ac:dyDescent="0.35">
      <c r="A10129" s="5" t="s">
        <v>98</v>
      </c>
      <c r="B10129" s="5" t="s">
        <v>99</v>
      </c>
      <c r="C10129" s="5" t="s">
        <v>1760</v>
      </c>
      <c r="D10129" s="5" t="s">
        <v>14</v>
      </c>
      <c r="E10129" s="5" t="s">
        <v>16</v>
      </c>
      <c r="F10129" s="5" t="s">
        <v>21</v>
      </c>
      <c r="G10129" s="5" t="s">
        <v>25</v>
      </c>
      <c r="H10129" s="5" t="s">
        <v>1738</v>
      </c>
      <c r="I10129" s="5" t="s">
        <v>31</v>
      </c>
      <c r="J10129" s="5">
        <v>17.122402753810999</v>
      </c>
      <c r="K10129" s="5">
        <v>-97.515658782925001</v>
      </c>
      <c r="L10129" s="5" t="str">
        <f>HYPERLINK("https://maps.google.com/?q=17.1224027538111,-97.515658782925001", "🔗 Ver Mapa")</f>
        <v>🔗 Ver Mapa</v>
      </c>
    </row>
    <row r="10130" spans="1:12" ht="43.5" x14ac:dyDescent="0.35">
      <c r="A10130" s="6" t="s">
        <v>98</v>
      </c>
      <c r="B10130" s="6" t="s">
        <v>99</v>
      </c>
      <c r="C10130" s="6" t="s">
        <v>1760</v>
      </c>
      <c r="D10130" s="6" t="s">
        <v>14</v>
      </c>
      <c r="E10130" s="6" t="s">
        <v>16</v>
      </c>
      <c r="F10130" s="6" t="s">
        <v>21</v>
      </c>
      <c r="G10130" s="6" t="s">
        <v>25</v>
      </c>
      <c r="H10130" s="6" t="s">
        <v>1738</v>
      </c>
      <c r="I10130" s="6" t="s">
        <v>31</v>
      </c>
      <c r="J10130" s="6">
        <v>17.122697184378001</v>
      </c>
      <c r="K10130" s="6">
        <v>-97.515866819447993</v>
      </c>
      <c r="L10130" s="6" t="str">
        <f>HYPERLINK("https://maps.google.com/?q=17.1226971843785,-97.515866819447794", "🔗 Ver Mapa")</f>
        <v>🔗 Ver Mapa</v>
      </c>
    </row>
    <row r="10131" spans="1:12" ht="43.5" x14ac:dyDescent="0.35">
      <c r="A10131" s="5" t="s">
        <v>98</v>
      </c>
      <c r="B10131" s="5" t="s">
        <v>99</v>
      </c>
      <c r="C10131" s="5" t="s">
        <v>1760</v>
      </c>
      <c r="D10131" s="5" t="s">
        <v>14</v>
      </c>
      <c r="E10131" s="5" t="s">
        <v>16</v>
      </c>
      <c r="F10131" s="5" t="s">
        <v>21</v>
      </c>
      <c r="G10131" s="5" t="s">
        <v>25</v>
      </c>
      <c r="H10131" s="5" t="s">
        <v>1738</v>
      </c>
      <c r="I10131" s="5" t="s">
        <v>31</v>
      </c>
      <c r="J10131" s="5">
        <v>17.12295719011</v>
      </c>
      <c r="K10131" s="5">
        <v>-97.515962673315997</v>
      </c>
      <c r="L10131" s="5" t="str">
        <f>HYPERLINK("https://maps.google.com/?q=17.12295719011,-97.515962673315599", "🔗 Ver Mapa")</f>
        <v>🔗 Ver Mapa</v>
      </c>
    </row>
    <row r="10132" spans="1:12" ht="43.5" x14ac:dyDescent="0.35">
      <c r="A10132" s="6" t="s">
        <v>98</v>
      </c>
      <c r="B10132" s="6" t="s">
        <v>99</v>
      </c>
      <c r="C10132" s="6" t="s">
        <v>1761</v>
      </c>
      <c r="D10132" s="6" t="s">
        <v>14</v>
      </c>
      <c r="E10132" s="6" t="s">
        <v>16</v>
      </c>
      <c r="F10132" s="6" t="s">
        <v>21</v>
      </c>
      <c r="G10132" s="6" t="s">
        <v>25</v>
      </c>
      <c r="H10132" s="6" t="s">
        <v>29</v>
      </c>
      <c r="I10132" s="6" t="s">
        <v>31</v>
      </c>
      <c r="J10132" s="6">
        <v>17.090806586703</v>
      </c>
      <c r="K10132" s="6">
        <v>-97.494145422271004</v>
      </c>
      <c r="L10132" s="6" t="str">
        <f>HYPERLINK("https://maps.google.com/?q=17.0908065867031,-97.494145422270805", "🔗 Ver Mapa")</f>
        <v>🔗 Ver Mapa</v>
      </c>
    </row>
    <row r="10133" spans="1:12" ht="43.5" x14ac:dyDescent="0.35">
      <c r="A10133" s="5" t="s">
        <v>98</v>
      </c>
      <c r="B10133" s="5" t="s">
        <v>99</v>
      </c>
      <c r="C10133" s="5" t="s">
        <v>1761</v>
      </c>
      <c r="D10133" s="5" t="s">
        <v>14</v>
      </c>
      <c r="E10133" s="5" t="s">
        <v>16</v>
      </c>
      <c r="F10133" s="5" t="s">
        <v>21</v>
      </c>
      <c r="G10133" s="5" t="s">
        <v>25</v>
      </c>
      <c r="H10133" s="5" t="s">
        <v>29</v>
      </c>
      <c r="I10133" s="5" t="s">
        <v>31</v>
      </c>
      <c r="J10133" s="5">
        <v>17.091021941762001</v>
      </c>
      <c r="K10133" s="5">
        <v>-97.494677030999</v>
      </c>
      <c r="L10133" s="5" t="str">
        <f>HYPERLINK("https://maps.google.com/?q=17.0910219417621,-97.494677030998901", "🔗 Ver Mapa")</f>
        <v>🔗 Ver Mapa</v>
      </c>
    </row>
    <row r="10134" spans="1:12" ht="43.5" x14ac:dyDescent="0.35">
      <c r="A10134" s="6" t="s">
        <v>98</v>
      </c>
      <c r="B10134" s="6" t="s">
        <v>99</v>
      </c>
      <c r="C10134" s="6" t="s">
        <v>1761</v>
      </c>
      <c r="D10134" s="6" t="s">
        <v>14</v>
      </c>
      <c r="E10134" s="6" t="s">
        <v>16</v>
      </c>
      <c r="F10134" s="6" t="s">
        <v>21</v>
      </c>
      <c r="G10134" s="6" t="s">
        <v>25</v>
      </c>
      <c r="H10134" s="6" t="s">
        <v>29</v>
      </c>
      <c r="I10134" s="6" t="s">
        <v>31</v>
      </c>
      <c r="J10134" s="6">
        <v>17.091107739228999</v>
      </c>
      <c r="K10134" s="6">
        <v>-97.498243620118998</v>
      </c>
      <c r="L10134" s="6" t="str">
        <f>HYPERLINK("https://maps.google.com/?q=17.0911077392295,-97.498243620118899", "🔗 Ver Mapa")</f>
        <v>🔗 Ver Mapa</v>
      </c>
    </row>
    <row r="10135" spans="1:12" ht="43.5" x14ac:dyDescent="0.35">
      <c r="A10135" s="5" t="s">
        <v>98</v>
      </c>
      <c r="B10135" s="5" t="s">
        <v>99</v>
      </c>
      <c r="C10135" s="5" t="s">
        <v>1761</v>
      </c>
      <c r="D10135" s="5" t="s">
        <v>14</v>
      </c>
      <c r="E10135" s="5" t="s">
        <v>16</v>
      </c>
      <c r="F10135" s="5" t="s">
        <v>21</v>
      </c>
      <c r="G10135" s="5" t="s">
        <v>25</v>
      </c>
      <c r="H10135" s="5" t="s">
        <v>29</v>
      </c>
      <c r="I10135" s="5" t="s">
        <v>31</v>
      </c>
      <c r="J10135" s="5">
        <v>17.091467029543999</v>
      </c>
      <c r="K10135" s="5">
        <v>-97.500254198343001</v>
      </c>
      <c r="L10135" s="5" t="str">
        <f>HYPERLINK("https://maps.google.com/?q=17.091467029544,-97.5002541983432", "🔗 Ver Mapa")</f>
        <v>🔗 Ver Mapa</v>
      </c>
    </row>
    <row r="10136" spans="1:12" ht="43.5" x14ac:dyDescent="0.35">
      <c r="A10136" s="6" t="s">
        <v>98</v>
      </c>
      <c r="B10136" s="6" t="s">
        <v>99</v>
      </c>
      <c r="C10136" s="6" t="s">
        <v>1761</v>
      </c>
      <c r="D10136" s="6" t="s">
        <v>14</v>
      </c>
      <c r="E10136" s="6" t="s">
        <v>16</v>
      </c>
      <c r="F10136" s="6" t="s">
        <v>21</v>
      </c>
      <c r="G10136" s="6" t="s">
        <v>25</v>
      </c>
      <c r="H10136" s="6" t="s">
        <v>29</v>
      </c>
      <c r="I10136" s="6" t="s">
        <v>31</v>
      </c>
      <c r="J10136" s="6">
        <v>17.093490955231001</v>
      </c>
      <c r="K10136" s="6">
        <v>-97.492863947790994</v>
      </c>
      <c r="L10136" s="6" t="str">
        <f>HYPERLINK("https://maps.google.com/?q=17.0934909552312,-97.492863947790994", "🔗 Ver Mapa")</f>
        <v>🔗 Ver Mapa</v>
      </c>
    </row>
    <row r="10137" spans="1:12" ht="43.5" x14ac:dyDescent="0.35">
      <c r="A10137" s="5" t="s">
        <v>98</v>
      </c>
      <c r="B10137" s="5" t="s">
        <v>99</v>
      </c>
      <c r="C10137" s="5" t="s">
        <v>1761</v>
      </c>
      <c r="D10137" s="5" t="s">
        <v>14</v>
      </c>
      <c r="E10137" s="5" t="s">
        <v>16</v>
      </c>
      <c r="F10137" s="5" t="s">
        <v>21</v>
      </c>
      <c r="G10137" s="5" t="s">
        <v>25</v>
      </c>
      <c r="H10137" s="5" t="s">
        <v>29</v>
      </c>
      <c r="I10137" s="5" t="s">
        <v>31</v>
      </c>
      <c r="J10137" s="5">
        <v>17.095185155277999</v>
      </c>
      <c r="K10137" s="5">
        <v>-97.498970404418003</v>
      </c>
      <c r="L10137" s="5" t="str">
        <f>HYPERLINK("https://maps.google.com/?q=17.0951851552781,-97.498970404418003", "🔗 Ver Mapa")</f>
        <v>🔗 Ver Mapa</v>
      </c>
    </row>
    <row r="10138" spans="1:12" ht="43.5" x14ac:dyDescent="0.35">
      <c r="A10138" s="6" t="s">
        <v>98</v>
      </c>
      <c r="B10138" s="6" t="s">
        <v>99</v>
      </c>
      <c r="C10138" s="6" t="s">
        <v>1761</v>
      </c>
      <c r="D10138" s="6" t="s">
        <v>14</v>
      </c>
      <c r="E10138" s="6" t="s">
        <v>16</v>
      </c>
      <c r="F10138" s="6" t="s">
        <v>21</v>
      </c>
      <c r="G10138" s="6" t="s">
        <v>25</v>
      </c>
      <c r="H10138" s="6" t="s">
        <v>29</v>
      </c>
      <c r="I10138" s="6" t="s">
        <v>31</v>
      </c>
      <c r="J10138" s="6">
        <v>17.095463604279001</v>
      </c>
      <c r="K10138" s="6">
        <v>-97.497456609300002</v>
      </c>
      <c r="L10138" s="6" t="str">
        <f>HYPERLINK("https://maps.google.com/?q=17.095463604279,-97.497456609299505", "🔗 Ver Mapa")</f>
        <v>🔗 Ver Mapa</v>
      </c>
    </row>
    <row r="10139" spans="1:12" ht="43.5" x14ac:dyDescent="0.35">
      <c r="A10139" s="5" t="s">
        <v>98</v>
      </c>
      <c r="B10139" s="5" t="s">
        <v>99</v>
      </c>
      <c r="C10139" s="5" t="s">
        <v>1761</v>
      </c>
      <c r="D10139" s="5" t="s">
        <v>14</v>
      </c>
      <c r="E10139" s="5" t="s">
        <v>16</v>
      </c>
      <c r="F10139" s="5" t="s">
        <v>21</v>
      </c>
      <c r="G10139" s="5" t="s">
        <v>25</v>
      </c>
      <c r="H10139" s="5" t="s">
        <v>29</v>
      </c>
      <c r="I10139" s="5" t="s">
        <v>31</v>
      </c>
      <c r="J10139" s="5">
        <v>17.095791872281001</v>
      </c>
      <c r="K10139" s="5">
        <v>-97.498024924060999</v>
      </c>
      <c r="L10139" s="5" t="str">
        <f>HYPERLINK("https://maps.google.com/?q=17.0957918722809,-97.498024924061397", "🔗 Ver Mapa")</f>
        <v>🔗 Ver Mapa</v>
      </c>
    </row>
    <row r="10140" spans="1:12" ht="43.5" x14ac:dyDescent="0.35">
      <c r="A10140" s="6" t="s">
        <v>98</v>
      </c>
      <c r="B10140" s="6" t="s">
        <v>99</v>
      </c>
      <c r="C10140" s="6" t="s">
        <v>1761</v>
      </c>
      <c r="D10140" s="6" t="s">
        <v>14</v>
      </c>
      <c r="E10140" s="6" t="s">
        <v>16</v>
      </c>
      <c r="F10140" s="6" t="s">
        <v>21</v>
      </c>
      <c r="G10140" s="6" t="s">
        <v>25</v>
      </c>
      <c r="H10140" s="6" t="s">
        <v>29</v>
      </c>
      <c r="I10140" s="6" t="s">
        <v>31</v>
      </c>
      <c r="J10140" s="6">
        <v>17.097282539891001</v>
      </c>
      <c r="K10140" s="6">
        <v>-97.492670737656994</v>
      </c>
      <c r="L10140" s="6" t="str">
        <f>HYPERLINK("https://maps.google.com/?q=17.097282539891,-97.492670737656795", "🔗 Ver Mapa")</f>
        <v>🔗 Ver Mapa</v>
      </c>
    </row>
    <row r="10141" spans="1:12" ht="43.5" x14ac:dyDescent="0.35">
      <c r="A10141" s="5" t="s">
        <v>98</v>
      </c>
      <c r="B10141" s="5" t="s">
        <v>99</v>
      </c>
      <c r="C10141" s="5" t="s">
        <v>1761</v>
      </c>
      <c r="D10141" s="5" t="s">
        <v>14</v>
      </c>
      <c r="E10141" s="5" t="s">
        <v>16</v>
      </c>
      <c r="F10141" s="5" t="s">
        <v>21</v>
      </c>
      <c r="G10141" s="5" t="s">
        <v>25</v>
      </c>
      <c r="H10141" s="5" t="s">
        <v>29</v>
      </c>
      <c r="I10141" s="5" t="s">
        <v>31</v>
      </c>
      <c r="J10141" s="5">
        <v>17.097367145339</v>
      </c>
      <c r="K10141" s="5">
        <v>-97.496457008896002</v>
      </c>
      <c r="L10141" s="5" t="str">
        <f>HYPERLINK("https://maps.google.com/?q=17.0973671453386,-97.496457008895504", "🔗 Ver Mapa")</f>
        <v>🔗 Ver Mapa</v>
      </c>
    </row>
    <row r="10142" spans="1:12" ht="43.5" x14ac:dyDescent="0.35">
      <c r="A10142" s="6" t="s">
        <v>98</v>
      </c>
      <c r="B10142" s="6" t="s">
        <v>99</v>
      </c>
      <c r="C10142" s="6" t="s">
        <v>1761</v>
      </c>
      <c r="D10142" s="6" t="s">
        <v>14</v>
      </c>
      <c r="E10142" s="6" t="s">
        <v>16</v>
      </c>
      <c r="F10142" s="6" t="s">
        <v>21</v>
      </c>
      <c r="G10142" s="6" t="s">
        <v>25</v>
      </c>
      <c r="H10142" s="6" t="s">
        <v>29</v>
      </c>
      <c r="I10142" s="6" t="s">
        <v>31</v>
      </c>
      <c r="J10142" s="6">
        <v>17.097735923515</v>
      </c>
      <c r="K10142" s="6">
        <v>-97.492059572209001</v>
      </c>
      <c r="L10142" s="6" t="str">
        <f>HYPERLINK("https://maps.google.com/?q=17.0977359235149,-97.492059572209001", "🔗 Ver Mapa")</f>
        <v>🔗 Ver Mapa</v>
      </c>
    </row>
    <row r="10143" spans="1:12" ht="43.5" x14ac:dyDescent="0.35">
      <c r="A10143" s="5" t="s">
        <v>98</v>
      </c>
      <c r="B10143" s="5" t="s">
        <v>99</v>
      </c>
      <c r="C10143" s="5" t="s">
        <v>1762</v>
      </c>
      <c r="D10143" s="5" t="s">
        <v>14</v>
      </c>
      <c r="E10143" s="5" t="s">
        <v>16</v>
      </c>
      <c r="F10143" s="5" t="s">
        <v>21</v>
      </c>
      <c r="G10143" s="5" t="s">
        <v>25</v>
      </c>
      <c r="H10143" s="5" t="s">
        <v>1763</v>
      </c>
      <c r="I10143" s="5" t="s">
        <v>31</v>
      </c>
      <c r="J10143" s="5">
        <v>17.114495394095002</v>
      </c>
      <c r="K10143" s="5">
        <v>-97.500934912209004</v>
      </c>
      <c r="L10143" s="5" t="str">
        <f>HYPERLINK("https://maps.google.com/?q=17.1144953940946,-97.500934912209004", "🔗 Ver Mapa")</f>
        <v>🔗 Ver Mapa</v>
      </c>
    </row>
    <row r="10144" spans="1:12" ht="43.5" x14ac:dyDescent="0.35">
      <c r="A10144" s="6" t="s">
        <v>98</v>
      </c>
      <c r="B10144" s="6" t="s">
        <v>99</v>
      </c>
      <c r="C10144" s="6" t="s">
        <v>1762</v>
      </c>
      <c r="D10144" s="6" t="s">
        <v>14</v>
      </c>
      <c r="E10144" s="6" t="s">
        <v>16</v>
      </c>
      <c r="F10144" s="6" t="s">
        <v>21</v>
      </c>
      <c r="G10144" s="6" t="s">
        <v>25</v>
      </c>
      <c r="H10144" s="6" t="s">
        <v>1763</v>
      </c>
      <c r="I10144" s="6" t="s">
        <v>31</v>
      </c>
      <c r="J10144" s="6">
        <v>17.114556439287998</v>
      </c>
      <c r="K10144" s="6">
        <v>-97.494116066679993</v>
      </c>
      <c r="L10144" s="6" t="str">
        <f>HYPERLINK("https://maps.google.com/?q=17.1145564392882,-97.494116066679695", "🔗 Ver Mapa")</f>
        <v>🔗 Ver Mapa</v>
      </c>
    </row>
    <row r="10145" spans="1:12" ht="43.5" x14ac:dyDescent="0.35">
      <c r="A10145" s="5" t="s">
        <v>98</v>
      </c>
      <c r="B10145" s="5" t="s">
        <v>99</v>
      </c>
      <c r="C10145" s="5" t="s">
        <v>1762</v>
      </c>
      <c r="D10145" s="5" t="s">
        <v>14</v>
      </c>
      <c r="E10145" s="5" t="s">
        <v>16</v>
      </c>
      <c r="F10145" s="5" t="s">
        <v>21</v>
      </c>
      <c r="G10145" s="5" t="s">
        <v>25</v>
      </c>
      <c r="H10145" s="5" t="s">
        <v>1763</v>
      </c>
      <c r="I10145" s="5" t="s">
        <v>31</v>
      </c>
      <c r="J10145" s="5">
        <v>17.115092852117002</v>
      </c>
      <c r="K10145" s="5">
        <v>-97.502654785523006</v>
      </c>
      <c r="L10145" s="5" t="str">
        <f>HYPERLINK("https://maps.google.com/?q=17.1150928521165,-97.502654785522594", "🔗 Ver Mapa")</f>
        <v>🔗 Ver Mapa</v>
      </c>
    </row>
    <row r="10146" spans="1:12" ht="43.5" x14ac:dyDescent="0.35">
      <c r="A10146" s="6" t="s">
        <v>98</v>
      </c>
      <c r="B10146" s="6" t="s">
        <v>99</v>
      </c>
      <c r="C10146" s="6" t="s">
        <v>1762</v>
      </c>
      <c r="D10146" s="6" t="s">
        <v>14</v>
      </c>
      <c r="E10146" s="6" t="s">
        <v>16</v>
      </c>
      <c r="F10146" s="6" t="s">
        <v>21</v>
      </c>
      <c r="G10146" s="6" t="s">
        <v>25</v>
      </c>
      <c r="H10146" s="6" t="s">
        <v>1763</v>
      </c>
      <c r="I10146" s="6" t="s">
        <v>31</v>
      </c>
      <c r="J10146" s="6">
        <v>17.117691958948999</v>
      </c>
      <c r="K10146" s="6">
        <v>-97.497303917671005</v>
      </c>
      <c r="L10146" s="6" t="str">
        <f>HYPERLINK("https://maps.google.com/?q=17.1176919589489,-97.497303917671204", "🔗 Ver Mapa")</f>
        <v>🔗 Ver Mapa</v>
      </c>
    </row>
    <row r="10147" spans="1:12" ht="43.5" x14ac:dyDescent="0.35">
      <c r="A10147" s="5" t="s">
        <v>98</v>
      </c>
      <c r="B10147" s="5" t="s">
        <v>99</v>
      </c>
      <c r="C10147" s="5" t="s">
        <v>1762</v>
      </c>
      <c r="D10147" s="5" t="s">
        <v>14</v>
      </c>
      <c r="E10147" s="5" t="s">
        <v>16</v>
      </c>
      <c r="F10147" s="5" t="s">
        <v>21</v>
      </c>
      <c r="G10147" s="5" t="s">
        <v>25</v>
      </c>
      <c r="H10147" s="5" t="s">
        <v>1763</v>
      </c>
      <c r="I10147" s="5" t="s">
        <v>31</v>
      </c>
      <c r="J10147" s="5">
        <v>17.117901612345999</v>
      </c>
      <c r="K10147" s="5">
        <v>-97.498753977985999</v>
      </c>
      <c r="L10147" s="5" t="str">
        <f>HYPERLINK("https://maps.google.com/?q=17.1179016123461,-97.498753977985601", "🔗 Ver Mapa")</f>
        <v>🔗 Ver Mapa</v>
      </c>
    </row>
    <row r="10148" spans="1:12" ht="43.5" x14ac:dyDescent="0.35">
      <c r="A10148" s="6" t="s">
        <v>98</v>
      </c>
      <c r="B10148" s="6" t="s">
        <v>99</v>
      </c>
      <c r="C10148" s="6" t="s">
        <v>1762</v>
      </c>
      <c r="D10148" s="6" t="s">
        <v>14</v>
      </c>
      <c r="E10148" s="6" t="s">
        <v>16</v>
      </c>
      <c r="F10148" s="6" t="s">
        <v>21</v>
      </c>
      <c r="G10148" s="6" t="s">
        <v>25</v>
      </c>
      <c r="H10148" s="6" t="s">
        <v>1763</v>
      </c>
      <c r="I10148" s="6" t="s">
        <v>31</v>
      </c>
      <c r="J10148" s="6">
        <v>17.121968936017002</v>
      </c>
      <c r="K10148" s="6">
        <v>-97.494354925029</v>
      </c>
      <c r="L10148" s="6" t="str">
        <f>HYPERLINK("https://maps.google.com/?q=17.1219689360167,-97.494354925029498", "🔗 Ver Mapa")</f>
        <v>🔗 Ver Mapa</v>
      </c>
    </row>
    <row r="10149" spans="1:12" ht="43.5" x14ac:dyDescent="0.35">
      <c r="A10149" s="5" t="s">
        <v>98</v>
      </c>
      <c r="B10149" s="5" t="s">
        <v>99</v>
      </c>
      <c r="C10149" s="5" t="s">
        <v>1762</v>
      </c>
      <c r="D10149" s="5" t="s">
        <v>14</v>
      </c>
      <c r="E10149" s="5" t="s">
        <v>16</v>
      </c>
      <c r="F10149" s="5" t="s">
        <v>21</v>
      </c>
      <c r="G10149" s="5" t="s">
        <v>25</v>
      </c>
      <c r="H10149" s="5" t="s">
        <v>1763</v>
      </c>
      <c r="I10149" s="5" t="s">
        <v>31</v>
      </c>
      <c r="J10149" s="5">
        <v>17.123173402456999</v>
      </c>
      <c r="K10149" s="5">
        <v>-97.495010972000003</v>
      </c>
      <c r="L10149" s="5" t="str">
        <f>HYPERLINK("https://maps.google.com/?q=17.1231734024575,-97.495010971999605", "🔗 Ver Mapa")</f>
        <v>🔗 Ver Mapa</v>
      </c>
    </row>
    <row r="10150" spans="1:12" ht="43.5" x14ac:dyDescent="0.35">
      <c r="A10150" s="6" t="s">
        <v>98</v>
      </c>
      <c r="B10150" s="6" t="s">
        <v>99</v>
      </c>
      <c r="C10150" s="6" t="s">
        <v>1762</v>
      </c>
      <c r="D10150" s="6" t="s">
        <v>14</v>
      </c>
      <c r="E10150" s="6" t="s">
        <v>16</v>
      </c>
      <c r="F10150" s="6" t="s">
        <v>21</v>
      </c>
      <c r="G10150" s="6" t="s">
        <v>25</v>
      </c>
      <c r="H10150" s="6" t="s">
        <v>1763</v>
      </c>
      <c r="I10150" s="6" t="s">
        <v>31</v>
      </c>
      <c r="J10150" s="6">
        <v>17.125270149076002</v>
      </c>
      <c r="K10150" s="6">
        <v>-97.494322820752004</v>
      </c>
      <c r="L10150" s="6" t="str">
        <f>HYPERLINK("https://maps.google.com/?q=17.1252701490764,-97.494322820752103", "🔗 Ver Mapa")</f>
        <v>🔗 Ver Mapa</v>
      </c>
    </row>
    <row r="10151" spans="1:12" ht="43.5" x14ac:dyDescent="0.35">
      <c r="A10151" s="5" t="s">
        <v>98</v>
      </c>
      <c r="B10151" s="5" t="s">
        <v>99</v>
      </c>
      <c r="C10151" s="5" t="s">
        <v>1762</v>
      </c>
      <c r="D10151" s="5" t="s">
        <v>14</v>
      </c>
      <c r="E10151" s="5" t="s">
        <v>16</v>
      </c>
      <c r="F10151" s="5" t="s">
        <v>21</v>
      </c>
      <c r="G10151" s="5" t="s">
        <v>25</v>
      </c>
      <c r="H10151" s="5" t="s">
        <v>1763</v>
      </c>
      <c r="I10151" s="5" t="s">
        <v>31</v>
      </c>
      <c r="J10151" s="5">
        <v>17.125748319406998</v>
      </c>
      <c r="K10151" s="5">
        <v>-97.497027456626995</v>
      </c>
      <c r="L10151" s="5" t="str">
        <f>HYPERLINK("https://maps.google.com/?q=17.125748319407,-97.497027456626995", "🔗 Ver Mapa")</f>
        <v>🔗 Ver Mapa</v>
      </c>
    </row>
    <row r="10152" spans="1:12" ht="43.5" x14ac:dyDescent="0.35">
      <c r="A10152" s="6" t="s">
        <v>98</v>
      </c>
      <c r="B10152" s="6" t="s">
        <v>99</v>
      </c>
      <c r="C10152" s="6" t="s">
        <v>1762</v>
      </c>
      <c r="D10152" s="6" t="s">
        <v>14</v>
      </c>
      <c r="E10152" s="6" t="s">
        <v>16</v>
      </c>
      <c r="F10152" s="6" t="s">
        <v>21</v>
      </c>
      <c r="G10152" s="6" t="s">
        <v>25</v>
      </c>
      <c r="H10152" s="6" t="s">
        <v>1763</v>
      </c>
      <c r="I10152" s="6" t="s">
        <v>31</v>
      </c>
      <c r="J10152" s="6">
        <v>17.126633505827002</v>
      </c>
      <c r="K10152" s="6">
        <v>-97.497742558716993</v>
      </c>
      <c r="L10152" s="6" t="str">
        <f>HYPERLINK("https://maps.google.com/?q=17.1266335058272,-97.497742558716993", "🔗 Ver Mapa")</f>
        <v>🔗 Ver Mapa</v>
      </c>
    </row>
    <row r="10153" spans="1:12" ht="43.5" x14ac:dyDescent="0.35">
      <c r="A10153" s="5" t="s">
        <v>98</v>
      </c>
      <c r="B10153" s="5" t="s">
        <v>99</v>
      </c>
      <c r="C10153" s="5" t="s">
        <v>1762</v>
      </c>
      <c r="D10153" s="5" t="s">
        <v>14</v>
      </c>
      <c r="E10153" s="5" t="s">
        <v>16</v>
      </c>
      <c r="F10153" s="5" t="s">
        <v>21</v>
      </c>
      <c r="G10153" s="5" t="s">
        <v>25</v>
      </c>
      <c r="H10153" s="5" t="s">
        <v>1763</v>
      </c>
      <c r="I10153" s="5" t="s">
        <v>31</v>
      </c>
      <c r="J10153" s="5">
        <v>17.127937688056999</v>
      </c>
      <c r="K10153" s="5">
        <v>-97.502284066626999</v>
      </c>
      <c r="L10153" s="5" t="str">
        <f>HYPERLINK("https://maps.google.com/?q=17.1279376880567,-97.502284066626999", "🔗 Ver Mapa")</f>
        <v>🔗 Ver Mapa</v>
      </c>
    </row>
    <row r="10154" spans="1:12" ht="43.5" x14ac:dyDescent="0.35">
      <c r="A10154" s="6" t="s">
        <v>98</v>
      </c>
      <c r="B10154" s="6" t="s">
        <v>99</v>
      </c>
      <c r="C10154" s="6" t="s">
        <v>1762</v>
      </c>
      <c r="D10154" s="6" t="s">
        <v>14</v>
      </c>
      <c r="E10154" s="6" t="s">
        <v>16</v>
      </c>
      <c r="F10154" s="6" t="s">
        <v>21</v>
      </c>
      <c r="G10154" s="6" t="s">
        <v>25</v>
      </c>
      <c r="H10154" s="6" t="s">
        <v>1763</v>
      </c>
      <c r="I10154" s="6" t="s">
        <v>31</v>
      </c>
      <c r="J10154" s="6">
        <v>17.131802263499999</v>
      </c>
      <c r="K10154" s="6">
        <v>-97.499349868836006</v>
      </c>
      <c r="L10154" s="6" t="str">
        <f>HYPERLINK("https://maps.google.com/?q=17.1318022634997,-97.499349868836106", "🔗 Ver Mapa")</f>
        <v>🔗 Ver Mapa</v>
      </c>
    </row>
    <row r="10155" spans="1:12" ht="43.5" x14ac:dyDescent="0.35">
      <c r="A10155" s="5" t="s">
        <v>98</v>
      </c>
      <c r="B10155" s="5" t="s">
        <v>99</v>
      </c>
      <c r="C10155" s="5" t="s">
        <v>1764</v>
      </c>
      <c r="D10155" s="5" t="s">
        <v>14</v>
      </c>
      <c r="E10155" s="5" t="s">
        <v>16</v>
      </c>
      <c r="F10155" s="5" t="s">
        <v>21</v>
      </c>
      <c r="G10155" s="5" t="s">
        <v>25</v>
      </c>
      <c r="H10155" s="5" t="s">
        <v>1550</v>
      </c>
      <c r="I10155" s="5" t="s">
        <v>31</v>
      </c>
      <c r="J10155" s="5">
        <v>17.097630414446002</v>
      </c>
      <c r="K10155" s="5">
        <v>-97.498063168846002</v>
      </c>
      <c r="L10155" s="5" t="str">
        <f>HYPERLINK("https://maps.google.com/?q=17.0976304144461,-97.498063168845505", "🔗 Ver Mapa")</f>
        <v>🔗 Ver Mapa</v>
      </c>
    </row>
    <row r="10156" spans="1:12" ht="43.5" x14ac:dyDescent="0.35">
      <c r="A10156" s="6" t="s">
        <v>98</v>
      </c>
      <c r="B10156" s="6" t="s">
        <v>99</v>
      </c>
      <c r="C10156" s="6" t="s">
        <v>1764</v>
      </c>
      <c r="D10156" s="6" t="s">
        <v>14</v>
      </c>
      <c r="E10156" s="6" t="s">
        <v>16</v>
      </c>
      <c r="F10156" s="6" t="s">
        <v>21</v>
      </c>
      <c r="G10156" s="6" t="s">
        <v>25</v>
      </c>
      <c r="H10156" s="6" t="s">
        <v>1550</v>
      </c>
      <c r="I10156" s="6" t="s">
        <v>31</v>
      </c>
      <c r="J10156" s="6">
        <v>17.097829506351001</v>
      </c>
      <c r="K10156" s="6">
        <v>-97.500130164417996</v>
      </c>
      <c r="L10156" s="6" t="str">
        <f>HYPERLINK("https://maps.google.com/?q=17.0978295063508,-97.500130164417996", "🔗 Ver Mapa")</f>
        <v>🔗 Ver Mapa</v>
      </c>
    </row>
    <row r="10157" spans="1:12" ht="43.5" x14ac:dyDescent="0.35">
      <c r="A10157" s="5" t="s">
        <v>98</v>
      </c>
      <c r="B10157" s="5" t="s">
        <v>99</v>
      </c>
      <c r="C10157" s="5" t="s">
        <v>1764</v>
      </c>
      <c r="D10157" s="5" t="s">
        <v>14</v>
      </c>
      <c r="E10157" s="5" t="s">
        <v>16</v>
      </c>
      <c r="F10157" s="5" t="s">
        <v>21</v>
      </c>
      <c r="G10157" s="5" t="s">
        <v>25</v>
      </c>
      <c r="H10157" s="5" t="s">
        <v>1550</v>
      </c>
      <c r="I10157" s="5" t="s">
        <v>31</v>
      </c>
      <c r="J10157" s="5">
        <v>17.099395833098999</v>
      </c>
      <c r="K10157" s="5">
        <v>-97.492478012725002</v>
      </c>
      <c r="L10157" s="5" t="str">
        <f>HYPERLINK("https://maps.google.com/?q=17.0993958330988,-97.492478012724604", "🔗 Ver Mapa")</f>
        <v>🔗 Ver Mapa</v>
      </c>
    </row>
    <row r="10158" spans="1:12" ht="43.5" x14ac:dyDescent="0.35">
      <c r="A10158" s="6" t="s">
        <v>98</v>
      </c>
      <c r="B10158" s="6" t="s">
        <v>99</v>
      </c>
      <c r="C10158" s="6" t="s">
        <v>1764</v>
      </c>
      <c r="D10158" s="6" t="s">
        <v>14</v>
      </c>
      <c r="E10158" s="6" t="s">
        <v>16</v>
      </c>
      <c r="F10158" s="6" t="s">
        <v>21</v>
      </c>
      <c r="G10158" s="6" t="s">
        <v>25</v>
      </c>
      <c r="H10158" s="6" t="s">
        <v>1550</v>
      </c>
      <c r="I10158" s="6" t="s">
        <v>31</v>
      </c>
      <c r="J10158" s="6">
        <v>17.102087703664999</v>
      </c>
      <c r="K10158" s="6">
        <v>-97.494661136746004</v>
      </c>
      <c r="L10158" s="6" t="str">
        <f>HYPERLINK("https://maps.google.com/?q=17.1020877036654,-97.494661136745904", "🔗 Ver Mapa")</f>
        <v>🔗 Ver Mapa</v>
      </c>
    </row>
    <row r="10159" spans="1:12" ht="43.5" x14ac:dyDescent="0.35">
      <c r="A10159" s="5" t="s">
        <v>98</v>
      </c>
      <c r="B10159" s="5" t="s">
        <v>99</v>
      </c>
      <c r="C10159" s="5" t="s">
        <v>1764</v>
      </c>
      <c r="D10159" s="5" t="s">
        <v>14</v>
      </c>
      <c r="E10159" s="5" t="s">
        <v>16</v>
      </c>
      <c r="F10159" s="5" t="s">
        <v>21</v>
      </c>
      <c r="G10159" s="5" t="s">
        <v>25</v>
      </c>
      <c r="H10159" s="5" t="s">
        <v>1550</v>
      </c>
      <c r="I10159" s="5" t="s">
        <v>31</v>
      </c>
      <c r="J10159" s="5">
        <v>17.103526237303001</v>
      </c>
      <c r="K10159" s="5">
        <v>-97.490794825522002</v>
      </c>
      <c r="L10159" s="5" t="str">
        <f>HYPERLINK("https://maps.google.com/?q=17.1035262373031,-97.490794825522499", "🔗 Ver Mapa")</f>
        <v>🔗 Ver Mapa</v>
      </c>
    </row>
    <row r="10160" spans="1:12" ht="43.5" x14ac:dyDescent="0.35">
      <c r="A10160" s="6" t="s">
        <v>98</v>
      </c>
      <c r="B10160" s="6" t="s">
        <v>99</v>
      </c>
      <c r="C10160" s="6" t="s">
        <v>1764</v>
      </c>
      <c r="D10160" s="6" t="s">
        <v>14</v>
      </c>
      <c r="E10160" s="6" t="s">
        <v>16</v>
      </c>
      <c r="F10160" s="6" t="s">
        <v>21</v>
      </c>
      <c r="G10160" s="6" t="s">
        <v>25</v>
      </c>
      <c r="H10160" s="6" t="s">
        <v>1550</v>
      </c>
      <c r="I10160" s="6" t="s">
        <v>31</v>
      </c>
      <c r="J10160" s="6">
        <v>17.104369855249999</v>
      </c>
      <c r="K10160" s="6">
        <v>-97.498359150016995</v>
      </c>
      <c r="L10160" s="6" t="str">
        <f>HYPERLINK("https://maps.google.com/?q=17.1043698552503,-97.498359150016896", "🔗 Ver Mapa")</f>
        <v>🔗 Ver Mapa</v>
      </c>
    </row>
    <row r="10161" spans="1:12" ht="43.5" x14ac:dyDescent="0.35">
      <c r="A10161" s="5" t="s">
        <v>98</v>
      </c>
      <c r="B10161" s="5" t="s">
        <v>99</v>
      </c>
      <c r="C10161" s="5" t="s">
        <v>1764</v>
      </c>
      <c r="D10161" s="5" t="s">
        <v>14</v>
      </c>
      <c r="E10161" s="5" t="s">
        <v>16</v>
      </c>
      <c r="F10161" s="5" t="s">
        <v>21</v>
      </c>
      <c r="G10161" s="5" t="s">
        <v>25</v>
      </c>
      <c r="H10161" s="5" t="s">
        <v>1550</v>
      </c>
      <c r="I10161" s="5" t="s">
        <v>31</v>
      </c>
      <c r="J10161" s="5">
        <v>17.104444577925999</v>
      </c>
      <c r="K10161" s="5">
        <v>-97.494758482641998</v>
      </c>
      <c r="L10161" s="5" t="str">
        <f>HYPERLINK("https://maps.google.com/?q=17.1044445779261,-97.494758482641998", "🔗 Ver Mapa")</f>
        <v>🔗 Ver Mapa</v>
      </c>
    </row>
    <row r="10162" spans="1:12" ht="43.5" x14ac:dyDescent="0.35">
      <c r="A10162" s="6" t="s">
        <v>98</v>
      </c>
      <c r="B10162" s="6" t="s">
        <v>99</v>
      </c>
      <c r="C10162" s="6" t="s">
        <v>1764</v>
      </c>
      <c r="D10162" s="6" t="s">
        <v>14</v>
      </c>
      <c r="E10162" s="6" t="s">
        <v>16</v>
      </c>
      <c r="F10162" s="6" t="s">
        <v>21</v>
      </c>
      <c r="G10162" s="6" t="s">
        <v>25</v>
      </c>
      <c r="H10162" s="6" t="s">
        <v>1550</v>
      </c>
      <c r="I10162" s="6" t="s">
        <v>31</v>
      </c>
      <c r="J10162" s="6">
        <v>17.104655786258</v>
      </c>
      <c r="K10162" s="6">
        <v>-97.492577057790996</v>
      </c>
      <c r="L10162" s="6" t="str">
        <f>HYPERLINK("https://maps.google.com/?q=17.104655786258,-97.492577057790996", "🔗 Ver Mapa")</f>
        <v>🔗 Ver Mapa</v>
      </c>
    </row>
    <row r="10163" spans="1:12" ht="43.5" x14ac:dyDescent="0.35">
      <c r="A10163" s="5" t="s">
        <v>98</v>
      </c>
      <c r="B10163" s="5" t="s">
        <v>99</v>
      </c>
      <c r="C10163" s="5" t="s">
        <v>1764</v>
      </c>
      <c r="D10163" s="5" t="s">
        <v>14</v>
      </c>
      <c r="E10163" s="5" t="s">
        <v>16</v>
      </c>
      <c r="F10163" s="5" t="s">
        <v>21</v>
      </c>
      <c r="G10163" s="5" t="s">
        <v>25</v>
      </c>
      <c r="H10163" s="5" t="s">
        <v>1550</v>
      </c>
      <c r="I10163" s="5" t="s">
        <v>31</v>
      </c>
      <c r="J10163" s="5">
        <v>17.106951259144999</v>
      </c>
      <c r="K10163" s="5">
        <v>-97.488601453314004</v>
      </c>
      <c r="L10163" s="5" t="str">
        <f>HYPERLINK("https://maps.google.com/?q=17.1069512591449,-97.488601453313507", "🔗 Ver Mapa")</f>
        <v>🔗 Ver Mapa</v>
      </c>
    </row>
    <row r="10164" spans="1:12" ht="43.5" x14ac:dyDescent="0.35">
      <c r="A10164" s="6" t="s">
        <v>98</v>
      </c>
      <c r="B10164" s="6" t="s">
        <v>99</v>
      </c>
      <c r="C10164" s="6" t="s">
        <v>1764</v>
      </c>
      <c r="D10164" s="6" t="s">
        <v>14</v>
      </c>
      <c r="E10164" s="6" t="s">
        <v>16</v>
      </c>
      <c r="F10164" s="6" t="s">
        <v>21</v>
      </c>
      <c r="G10164" s="6" t="s">
        <v>25</v>
      </c>
      <c r="H10164" s="6" t="s">
        <v>1550</v>
      </c>
      <c r="I10164" s="6" t="s">
        <v>31</v>
      </c>
      <c r="J10164" s="6">
        <v>17.107920076684</v>
      </c>
      <c r="K10164" s="6">
        <v>-97.492675869476997</v>
      </c>
      <c r="L10164" s="6" t="str">
        <f>HYPERLINK("https://maps.google.com/?q=17.1079200766842,-97.492675869477196", "🔗 Ver Mapa")</f>
        <v>🔗 Ver Mapa</v>
      </c>
    </row>
    <row r="10165" spans="1:12" ht="43.5" x14ac:dyDescent="0.35">
      <c r="A10165" s="5" t="s">
        <v>98</v>
      </c>
      <c r="B10165" s="5" t="s">
        <v>99</v>
      </c>
      <c r="C10165" s="5" t="s">
        <v>1764</v>
      </c>
      <c r="D10165" s="5" t="s">
        <v>14</v>
      </c>
      <c r="E10165" s="5" t="s">
        <v>16</v>
      </c>
      <c r="F10165" s="5" t="s">
        <v>21</v>
      </c>
      <c r="G10165" s="5" t="s">
        <v>25</v>
      </c>
      <c r="H10165" s="5" t="s">
        <v>1550</v>
      </c>
      <c r="I10165" s="5" t="s">
        <v>31</v>
      </c>
      <c r="J10165" s="5">
        <v>17.108046430152999</v>
      </c>
      <c r="K10165" s="5">
        <v>-97.489050051362</v>
      </c>
      <c r="L10165" s="5" t="str">
        <f>HYPERLINK("https://maps.google.com/?q=17.108046430153,-97.489050051362398", "🔗 Ver Mapa")</f>
        <v>🔗 Ver Mapa</v>
      </c>
    </row>
    <row r="10166" spans="1:12" ht="43.5" x14ac:dyDescent="0.35">
      <c r="A10166" s="6" t="s">
        <v>98</v>
      </c>
      <c r="B10166" s="6" t="s">
        <v>99</v>
      </c>
      <c r="C10166" s="6" t="s">
        <v>1764</v>
      </c>
      <c r="D10166" s="6" t="s">
        <v>14</v>
      </c>
      <c r="E10166" s="6" t="s">
        <v>16</v>
      </c>
      <c r="F10166" s="6" t="s">
        <v>21</v>
      </c>
      <c r="G10166" s="6" t="s">
        <v>25</v>
      </c>
      <c r="H10166" s="6" t="s">
        <v>1550</v>
      </c>
      <c r="I10166" s="6" t="s">
        <v>31</v>
      </c>
      <c r="J10166" s="6">
        <v>17.1081805074</v>
      </c>
      <c r="K10166" s="6">
        <v>-97.497365073373004</v>
      </c>
      <c r="L10166" s="6" t="str">
        <f>HYPERLINK("https://maps.google.com/?q=17.1081805074,-97.497365073373004", "🔗 Ver Mapa")</f>
        <v>🔗 Ver Mapa</v>
      </c>
    </row>
    <row r="10167" spans="1:12" ht="43.5" x14ac:dyDescent="0.35">
      <c r="A10167" s="5" t="s">
        <v>98</v>
      </c>
      <c r="B10167" s="5" t="s">
        <v>99</v>
      </c>
      <c r="C10167" s="5" t="s">
        <v>1764</v>
      </c>
      <c r="D10167" s="5" t="s">
        <v>14</v>
      </c>
      <c r="E10167" s="5" t="s">
        <v>16</v>
      </c>
      <c r="F10167" s="5" t="s">
        <v>21</v>
      </c>
      <c r="G10167" s="5" t="s">
        <v>25</v>
      </c>
      <c r="H10167" s="5" t="s">
        <v>1550</v>
      </c>
      <c r="I10167" s="5" t="s">
        <v>31</v>
      </c>
      <c r="J10167" s="5">
        <v>17.109498027887</v>
      </c>
      <c r="K10167" s="5">
        <v>-97.496366968293998</v>
      </c>
      <c r="L10167" s="5" t="str">
        <f>HYPERLINK("https://maps.google.com/?q=17.1094980278872,-97.496366968294296", "🔗 Ver Mapa")</f>
        <v>🔗 Ver Mapa</v>
      </c>
    </row>
    <row r="10168" spans="1:12" ht="43.5" x14ac:dyDescent="0.35">
      <c r="A10168" s="6" t="s">
        <v>98</v>
      </c>
      <c r="B10168" s="6" t="s">
        <v>99</v>
      </c>
      <c r="C10168" s="6" t="s">
        <v>1764</v>
      </c>
      <c r="D10168" s="6" t="s">
        <v>14</v>
      </c>
      <c r="E10168" s="6" t="s">
        <v>16</v>
      </c>
      <c r="F10168" s="6" t="s">
        <v>21</v>
      </c>
      <c r="G10168" s="6" t="s">
        <v>25</v>
      </c>
      <c r="H10168" s="6" t="s">
        <v>1550</v>
      </c>
      <c r="I10168" s="6" t="s">
        <v>31</v>
      </c>
      <c r="J10168" s="6">
        <v>17.109535817061001</v>
      </c>
      <c r="K10168" s="6">
        <v>-97.493486155900996</v>
      </c>
      <c r="L10168" s="6" t="str">
        <f>HYPERLINK("https://maps.google.com/?q=17.1095358170606,-97.493486155901493", "🔗 Ver Mapa")</f>
        <v>🔗 Ver Mapa</v>
      </c>
    </row>
    <row r="10169" spans="1:12" ht="43.5" x14ac:dyDescent="0.35">
      <c r="A10169" s="5" t="s">
        <v>98</v>
      </c>
      <c r="B10169" s="5" t="s">
        <v>99</v>
      </c>
      <c r="C10169" s="5" t="s">
        <v>1764</v>
      </c>
      <c r="D10169" s="5" t="s">
        <v>14</v>
      </c>
      <c r="E10169" s="5" t="s">
        <v>16</v>
      </c>
      <c r="F10169" s="5" t="s">
        <v>21</v>
      </c>
      <c r="G10169" s="5" t="s">
        <v>25</v>
      </c>
      <c r="H10169" s="5" t="s">
        <v>1550</v>
      </c>
      <c r="I10169" s="5" t="s">
        <v>31</v>
      </c>
      <c r="J10169" s="5">
        <v>17.109632598653999</v>
      </c>
      <c r="K10169" s="5">
        <v>-97.496813702818002</v>
      </c>
      <c r="L10169" s="5" t="str">
        <f>HYPERLINK("https://maps.google.com/?q=17.1096325986535,-97.496813702818002", "🔗 Ver Mapa")</f>
        <v>🔗 Ver Mapa</v>
      </c>
    </row>
    <row r="10170" spans="1:12" ht="43.5" x14ac:dyDescent="0.35">
      <c r="A10170" s="6" t="s">
        <v>98</v>
      </c>
      <c r="B10170" s="6" t="s">
        <v>99</v>
      </c>
      <c r="C10170" s="6" t="s">
        <v>1764</v>
      </c>
      <c r="D10170" s="6" t="s">
        <v>14</v>
      </c>
      <c r="E10170" s="6" t="s">
        <v>16</v>
      </c>
      <c r="F10170" s="6" t="s">
        <v>21</v>
      </c>
      <c r="G10170" s="6" t="s">
        <v>25</v>
      </c>
      <c r="H10170" s="6" t="s">
        <v>1550</v>
      </c>
      <c r="I10170" s="6" t="s">
        <v>31</v>
      </c>
      <c r="J10170" s="6">
        <v>17.109657922971</v>
      </c>
      <c r="K10170" s="6">
        <v>-97.494499940563003</v>
      </c>
      <c r="L10170" s="6" t="str">
        <f>HYPERLINK("https://maps.google.com/?q=17.1096579229706,-97.494499940562704", "🔗 Ver Mapa")</f>
        <v>🔗 Ver Mapa</v>
      </c>
    </row>
    <row r="10171" spans="1:12" ht="43.5" x14ac:dyDescent="0.35">
      <c r="A10171" s="5" t="s">
        <v>98</v>
      </c>
      <c r="B10171" s="5" t="s">
        <v>99</v>
      </c>
      <c r="C10171" s="5" t="s">
        <v>1764</v>
      </c>
      <c r="D10171" s="5" t="s">
        <v>14</v>
      </c>
      <c r="E10171" s="5" t="s">
        <v>16</v>
      </c>
      <c r="F10171" s="5" t="s">
        <v>21</v>
      </c>
      <c r="G10171" s="5" t="s">
        <v>25</v>
      </c>
      <c r="H10171" s="5" t="s">
        <v>1550</v>
      </c>
      <c r="I10171" s="5" t="s">
        <v>31</v>
      </c>
      <c r="J10171" s="5">
        <v>17.110175648108999</v>
      </c>
      <c r="K10171" s="5">
        <v>-97.493839233800003</v>
      </c>
      <c r="L10171" s="5" t="str">
        <f>HYPERLINK("https://maps.google.com/?q=17.1101756481089,-97.493839233799704", "🔗 Ver Mapa")</f>
        <v>🔗 Ver Mapa</v>
      </c>
    </row>
    <row r="10172" spans="1:12" ht="43.5" x14ac:dyDescent="0.35">
      <c r="A10172" s="6" t="s">
        <v>98</v>
      </c>
      <c r="B10172" s="6" t="s">
        <v>99</v>
      </c>
      <c r="C10172" s="6" t="s">
        <v>1765</v>
      </c>
      <c r="D10172" s="6" t="s">
        <v>14</v>
      </c>
      <c r="E10172" s="6" t="s">
        <v>16</v>
      </c>
      <c r="F10172" s="6" t="s">
        <v>21</v>
      </c>
      <c r="G10172" s="6" t="s">
        <v>235</v>
      </c>
      <c r="H10172" s="6" t="s">
        <v>1535</v>
      </c>
      <c r="I10172" s="6" t="s">
        <v>31</v>
      </c>
      <c r="J10172" s="6">
        <v>17.265761738100998</v>
      </c>
      <c r="K10172" s="6">
        <v>-97.720997137352001</v>
      </c>
      <c r="L10172" s="6" t="str">
        <f>HYPERLINK("https://maps.google.com/?q=17.2657617381008,-97.720997137351702", "🔗 Ver Mapa")</f>
        <v>🔗 Ver Mapa</v>
      </c>
    </row>
    <row r="10173" spans="1:12" ht="43.5" x14ac:dyDescent="0.35">
      <c r="A10173" s="5" t="s">
        <v>98</v>
      </c>
      <c r="B10173" s="5" t="s">
        <v>99</v>
      </c>
      <c r="C10173" s="5" t="s">
        <v>1765</v>
      </c>
      <c r="D10173" s="5" t="s">
        <v>14</v>
      </c>
      <c r="E10173" s="5" t="s">
        <v>16</v>
      </c>
      <c r="F10173" s="5" t="s">
        <v>21</v>
      </c>
      <c r="G10173" s="5" t="s">
        <v>235</v>
      </c>
      <c r="H10173" s="5" t="s">
        <v>1535</v>
      </c>
      <c r="I10173" s="5" t="s">
        <v>31</v>
      </c>
      <c r="J10173" s="5">
        <v>17.266321864933001</v>
      </c>
      <c r="K10173" s="5">
        <v>-97.721517348386996</v>
      </c>
      <c r="L10173" s="5" t="str">
        <f>HYPERLINK("https://maps.google.com/?q=17.2663218649325,-97.721517348386897", "🔗 Ver Mapa")</f>
        <v>🔗 Ver Mapa</v>
      </c>
    </row>
    <row r="10174" spans="1:12" ht="43.5" x14ac:dyDescent="0.35">
      <c r="A10174" s="6" t="s">
        <v>98</v>
      </c>
      <c r="B10174" s="6" t="s">
        <v>99</v>
      </c>
      <c r="C10174" s="6" t="s">
        <v>1765</v>
      </c>
      <c r="D10174" s="6" t="s">
        <v>14</v>
      </c>
      <c r="E10174" s="6" t="s">
        <v>16</v>
      </c>
      <c r="F10174" s="6" t="s">
        <v>21</v>
      </c>
      <c r="G10174" s="6" t="s">
        <v>235</v>
      </c>
      <c r="H10174" s="6" t="s">
        <v>1535</v>
      </c>
      <c r="I10174" s="6" t="s">
        <v>31</v>
      </c>
      <c r="J10174" s="6">
        <v>17.267275698792002</v>
      </c>
      <c r="K10174" s="6">
        <v>-97.725648744533004</v>
      </c>
      <c r="L10174" s="6" t="str">
        <f>HYPERLINK("https://maps.google.com/?q=17.267275698792,-97.725648744532805", "🔗 Ver Mapa")</f>
        <v>🔗 Ver Mapa</v>
      </c>
    </row>
    <row r="10175" spans="1:12" ht="43.5" x14ac:dyDescent="0.35">
      <c r="A10175" s="5" t="s">
        <v>98</v>
      </c>
      <c r="B10175" s="5" t="s">
        <v>99</v>
      </c>
      <c r="C10175" s="5" t="s">
        <v>1765</v>
      </c>
      <c r="D10175" s="5" t="s">
        <v>14</v>
      </c>
      <c r="E10175" s="5" t="s">
        <v>16</v>
      </c>
      <c r="F10175" s="5" t="s">
        <v>21</v>
      </c>
      <c r="G10175" s="5" t="s">
        <v>235</v>
      </c>
      <c r="H10175" s="5" t="s">
        <v>1535</v>
      </c>
      <c r="I10175" s="5" t="s">
        <v>31</v>
      </c>
      <c r="J10175" s="5">
        <v>17.267517102955001</v>
      </c>
      <c r="K10175" s="5">
        <v>-97.719259319141997</v>
      </c>
      <c r="L10175" s="5" t="str">
        <f>HYPERLINK("https://maps.google.com/?q=17.2675171029546,-97.719259319142196", "🔗 Ver Mapa")</f>
        <v>🔗 Ver Mapa</v>
      </c>
    </row>
    <row r="10176" spans="1:12" ht="43.5" x14ac:dyDescent="0.35">
      <c r="A10176" s="6" t="s">
        <v>98</v>
      </c>
      <c r="B10176" s="6" t="s">
        <v>99</v>
      </c>
      <c r="C10176" s="6" t="s">
        <v>1765</v>
      </c>
      <c r="D10176" s="6" t="s">
        <v>14</v>
      </c>
      <c r="E10176" s="6" t="s">
        <v>16</v>
      </c>
      <c r="F10176" s="6" t="s">
        <v>21</v>
      </c>
      <c r="G10176" s="6" t="s">
        <v>235</v>
      </c>
      <c r="H10176" s="6" t="s">
        <v>1535</v>
      </c>
      <c r="I10176" s="6" t="s">
        <v>31</v>
      </c>
      <c r="J10176" s="6">
        <v>17.269079023170001</v>
      </c>
      <c r="K10176" s="6">
        <v>-97.714721050522002</v>
      </c>
      <c r="L10176" s="6" t="str">
        <f>HYPERLINK("https://maps.google.com/?q=17.2690790231699,-97.714721050521703", "🔗 Ver Mapa")</f>
        <v>🔗 Ver Mapa</v>
      </c>
    </row>
    <row r="10177" spans="1:12" ht="43.5" x14ac:dyDescent="0.35">
      <c r="A10177" s="5" t="s">
        <v>98</v>
      </c>
      <c r="B10177" s="5" t="s">
        <v>99</v>
      </c>
      <c r="C10177" s="5" t="s">
        <v>1765</v>
      </c>
      <c r="D10177" s="5" t="s">
        <v>14</v>
      </c>
      <c r="E10177" s="5" t="s">
        <v>16</v>
      </c>
      <c r="F10177" s="5" t="s">
        <v>21</v>
      </c>
      <c r="G10177" s="5" t="s">
        <v>235</v>
      </c>
      <c r="H10177" s="5" t="s">
        <v>1535</v>
      </c>
      <c r="I10177" s="5" t="s">
        <v>31</v>
      </c>
      <c r="J10177" s="5">
        <v>17.271494903484001</v>
      </c>
      <c r="K10177" s="5">
        <v>-97.720481491480001</v>
      </c>
      <c r="L10177" s="5" t="str">
        <f>HYPERLINK("https://maps.google.com/?q=17.2714949034836,-97.7204814914802", "🔗 Ver Mapa")</f>
        <v>🔗 Ver Mapa</v>
      </c>
    </row>
    <row r="10178" spans="1:12" ht="43.5" x14ac:dyDescent="0.35">
      <c r="A10178" s="6" t="s">
        <v>98</v>
      </c>
      <c r="B10178" s="6" t="s">
        <v>99</v>
      </c>
      <c r="C10178" s="6" t="s">
        <v>1765</v>
      </c>
      <c r="D10178" s="6" t="s">
        <v>14</v>
      </c>
      <c r="E10178" s="6" t="s">
        <v>16</v>
      </c>
      <c r="F10178" s="6" t="s">
        <v>21</v>
      </c>
      <c r="G10178" s="6" t="s">
        <v>235</v>
      </c>
      <c r="H10178" s="6" t="s">
        <v>1535</v>
      </c>
      <c r="I10178" s="6" t="s">
        <v>31</v>
      </c>
      <c r="J10178" s="6">
        <v>17.271612149068002</v>
      </c>
      <c r="K10178" s="6">
        <v>-97.719935761624001</v>
      </c>
      <c r="L10178" s="6" t="str">
        <f>HYPERLINK("https://maps.google.com/?q=17.2716121490679,-97.7199357616242", "🔗 Ver Mapa")</f>
        <v>🔗 Ver Mapa</v>
      </c>
    </row>
    <row r="10179" spans="1:12" ht="43.5" x14ac:dyDescent="0.35">
      <c r="A10179" s="5" t="s">
        <v>98</v>
      </c>
      <c r="B10179" s="5" t="s">
        <v>99</v>
      </c>
      <c r="C10179" s="5" t="s">
        <v>1766</v>
      </c>
      <c r="D10179" s="5" t="s">
        <v>14</v>
      </c>
      <c r="E10179" s="5" t="s">
        <v>16</v>
      </c>
      <c r="F10179" s="5" t="s">
        <v>19</v>
      </c>
      <c r="G10179" s="5" t="s">
        <v>1299</v>
      </c>
      <c r="H10179" s="5" t="s">
        <v>1767</v>
      </c>
      <c r="I10179" s="5" t="s">
        <v>31</v>
      </c>
      <c r="J10179" s="5">
        <v>17.22951576574</v>
      </c>
      <c r="K10179" s="5">
        <v>-97.382669328760002</v>
      </c>
      <c r="L10179" s="5" t="str">
        <f>HYPERLINK("https://maps.google.com/?q=17.2295157657404,-97.38266932875983", "🔗 Ver Mapa")</f>
        <v>🔗 Ver Mapa</v>
      </c>
    </row>
    <row r="10180" spans="1:12" ht="43.5" x14ac:dyDescent="0.35">
      <c r="A10180" s="6" t="s">
        <v>98</v>
      </c>
      <c r="B10180" s="6" t="s">
        <v>99</v>
      </c>
      <c r="C10180" s="6" t="s">
        <v>1766</v>
      </c>
      <c r="D10180" s="6" t="s">
        <v>14</v>
      </c>
      <c r="E10180" s="6" t="s">
        <v>16</v>
      </c>
      <c r="F10180" s="6" t="s">
        <v>19</v>
      </c>
      <c r="G10180" s="6" t="s">
        <v>1299</v>
      </c>
      <c r="H10180" s="6" t="s">
        <v>1767</v>
      </c>
      <c r="I10180" s="6" t="s">
        <v>31</v>
      </c>
      <c r="J10180" s="6">
        <v>17.232540004438</v>
      </c>
      <c r="K10180" s="6">
        <v>-97.380268751691005</v>
      </c>
      <c r="L10180" s="6" t="str">
        <f>HYPERLINK("https://maps.google.com/?q=17.232540004437727,-97.38026875169142", "🔗 Ver Mapa")</f>
        <v>🔗 Ver Mapa</v>
      </c>
    </row>
    <row r="10181" spans="1:12" ht="43.5" x14ac:dyDescent="0.35">
      <c r="A10181" s="5" t="s">
        <v>98</v>
      </c>
      <c r="B10181" s="5" t="s">
        <v>99</v>
      </c>
      <c r="C10181" s="5" t="s">
        <v>1768</v>
      </c>
      <c r="D10181" s="5" t="s">
        <v>14</v>
      </c>
      <c r="E10181" s="5" t="s">
        <v>16</v>
      </c>
      <c r="F10181" s="5" t="s">
        <v>19</v>
      </c>
      <c r="G10181" s="5" t="s">
        <v>1299</v>
      </c>
      <c r="H10181" s="5" t="s">
        <v>1769</v>
      </c>
      <c r="I10181" s="5" t="s">
        <v>31</v>
      </c>
      <c r="J10181" s="5">
        <v>17.277339999999999</v>
      </c>
      <c r="K10181" s="5">
        <v>-97.328339999999997</v>
      </c>
      <c r="L10181" s="5" t="str">
        <f>HYPERLINK("https://maps.google.com/?q=17.27734,-97.328339999999997", "🔗 Ver Mapa")</f>
        <v>🔗 Ver Mapa</v>
      </c>
    </row>
    <row r="10182" spans="1:12" ht="43.5" x14ac:dyDescent="0.35">
      <c r="A10182" s="6" t="s">
        <v>98</v>
      </c>
      <c r="B10182" s="6" t="s">
        <v>99</v>
      </c>
      <c r="C10182" s="6" t="s">
        <v>1768</v>
      </c>
      <c r="D10182" s="6" t="s">
        <v>14</v>
      </c>
      <c r="E10182" s="6" t="s">
        <v>16</v>
      </c>
      <c r="F10182" s="6" t="s">
        <v>19</v>
      </c>
      <c r="G10182" s="6" t="s">
        <v>1299</v>
      </c>
      <c r="H10182" s="6" t="s">
        <v>1769</v>
      </c>
      <c r="I10182" s="6" t="s">
        <v>31</v>
      </c>
      <c r="J10182" s="6">
        <v>17.279036204476999</v>
      </c>
      <c r="K10182" s="6">
        <v>-97.324320869453004</v>
      </c>
      <c r="L10182" s="6" t="str">
        <f>HYPERLINK("https://maps.google.com/?q=17.279036204476714,-97.32432086945293", "🔗 Ver Mapa")</f>
        <v>🔗 Ver Mapa</v>
      </c>
    </row>
    <row r="10183" spans="1:12" ht="43.5" x14ac:dyDescent="0.35">
      <c r="A10183" s="5" t="s">
        <v>98</v>
      </c>
      <c r="B10183" s="5" t="s">
        <v>99</v>
      </c>
      <c r="C10183" s="5" t="s">
        <v>1770</v>
      </c>
      <c r="D10183" s="5" t="s">
        <v>14</v>
      </c>
      <c r="E10183" s="5" t="s">
        <v>16</v>
      </c>
      <c r="F10183" s="5" t="s">
        <v>19</v>
      </c>
      <c r="G10183" s="5" t="s">
        <v>1299</v>
      </c>
      <c r="H10183" s="5" t="s">
        <v>1771</v>
      </c>
      <c r="I10183" s="5" t="s">
        <v>31</v>
      </c>
      <c r="J10183" s="5">
        <v>17.240362726706</v>
      </c>
      <c r="K10183" s="5">
        <v>-97.393414197227997</v>
      </c>
      <c r="L10183" s="5" t="str">
        <f>HYPERLINK("https://maps.google.com/?q=17.240362726705808,-97.39341419722845", "🔗 Ver Mapa")</f>
        <v>🔗 Ver Mapa</v>
      </c>
    </row>
    <row r="10184" spans="1:12" ht="43.5" x14ac:dyDescent="0.35">
      <c r="A10184" s="6" t="s">
        <v>98</v>
      </c>
      <c r="B10184" s="6" t="s">
        <v>99</v>
      </c>
      <c r="C10184" s="6" t="s">
        <v>1770</v>
      </c>
      <c r="D10184" s="6" t="s">
        <v>14</v>
      </c>
      <c r="E10184" s="6" t="s">
        <v>16</v>
      </c>
      <c r="F10184" s="6" t="s">
        <v>19</v>
      </c>
      <c r="G10184" s="6" t="s">
        <v>1299</v>
      </c>
      <c r="H10184" s="6" t="s">
        <v>1771</v>
      </c>
      <c r="I10184" s="6" t="s">
        <v>31</v>
      </c>
      <c r="J10184" s="6">
        <v>17.240674132155</v>
      </c>
      <c r="K10184" s="6">
        <v>-97.395704784898996</v>
      </c>
      <c r="L10184" s="6" t="str">
        <f>HYPERLINK("https://maps.google.com/?q=17.24067413215537,-97.39570478489894", "🔗 Ver Mapa")</f>
        <v>🔗 Ver Mapa</v>
      </c>
    </row>
    <row r="10185" spans="1:12" ht="43.5" x14ac:dyDescent="0.35">
      <c r="A10185" s="5" t="s">
        <v>98</v>
      </c>
      <c r="B10185" s="5" t="s">
        <v>99</v>
      </c>
      <c r="C10185" s="5" t="s">
        <v>1770</v>
      </c>
      <c r="D10185" s="5" t="s">
        <v>14</v>
      </c>
      <c r="E10185" s="5" t="s">
        <v>16</v>
      </c>
      <c r="F10185" s="5" t="s">
        <v>19</v>
      </c>
      <c r="G10185" s="5" t="s">
        <v>1299</v>
      </c>
      <c r="H10185" s="5" t="s">
        <v>1771</v>
      </c>
      <c r="I10185" s="5" t="s">
        <v>31</v>
      </c>
      <c r="J10185" s="5">
        <v>17.241359137808999</v>
      </c>
      <c r="K10185" s="5">
        <v>-97.393196187840999</v>
      </c>
      <c r="L10185" s="5" t="str">
        <f>HYPERLINK("https://maps.google.com/?q=17.2413591378091,-97.393196187841397", "🔗 Ver Mapa")</f>
        <v>🔗 Ver Mapa</v>
      </c>
    </row>
    <row r="10186" spans="1:12" ht="43.5" x14ac:dyDescent="0.35">
      <c r="A10186" s="6" t="s">
        <v>98</v>
      </c>
      <c r="B10186" s="6" t="s">
        <v>99</v>
      </c>
      <c r="C10186" s="6" t="s">
        <v>1770</v>
      </c>
      <c r="D10186" s="6" t="s">
        <v>14</v>
      </c>
      <c r="E10186" s="6" t="s">
        <v>16</v>
      </c>
      <c r="F10186" s="6" t="s">
        <v>19</v>
      </c>
      <c r="G10186" s="6" t="s">
        <v>1299</v>
      </c>
      <c r="H10186" s="6" t="s">
        <v>1771</v>
      </c>
      <c r="I10186" s="6" t="s">
        <v>31</v>
      </c>
      <c r="J10186" s="6">
        <v>17.241966435843999</v>
      </c>
      <c r="K10186" s="6">
        <v>-97.391927548154996</v>
      </c>
      <c r="L10186" s="6" t="str">
        <f>HYPERLINK("https://maps.google.com/?q=17.241966435844457,-97.39192754815461", "🔗 Ver Mapa")</f>
        <v>🔗 Ver Mapa</v>
      </c>
    </row>
    <row r="10187" spans="1:12" ht="43.5" x14ac:dyDescent="0.35">
      <c r="A10187" s="5" t="s">
        <v>98</v>
      </c>
      <c r="B10187" s="5" t="s">
        <v>99</v>
      </c>
      <c r="C10187" s="5" t="s">
        <v>1770</v>
      </c>
      <c r="D10187" s="5" t="s">
        <v>14</v>
      </c>
      <c r="E10187" s="5" t="s">
        <v>16</v>
      </c>
      <c r="F10187" s="5" t="s">
        <v>19</v>
      </c>
      <c r="G10187" s="5" t="s">
        <v>1299</v>
      </c>
      <c r="H10187" s="5" t="s">
        <v>1771</v>
      </c>
      <c r="I10187" s="5" t="s">
        <v>31</v>
      </c>
      <c r="J10187" s="5">
        <v>17.242856697427001</v>
      </c>
      <c r="K10187" s="5">
        <v>-97.397252854121007</v>
      </c>
      <c r="L10187" s="5" t="str">
        <f>HYPERLINK("https://maps.google.com/?q=17.242856697426703,-97.39725285412139", "🔗 Ver Mapa")</f>
        <v>🔗 Ver Mapa</v>
      </c>
    </row>
    <row r="10188" spans="1:12" ht="43.5" x14ac:dyDescent="0.35">
      <c r="A10188" s="6" t="s">
        <v>98</v>
      </c>
      <c r="B10188" s="6" t="s">
        <v>99</v>
      </c>
      <c r="C10188" s="6" t="s">
        <v>1770</v>
      </c>
      <c r="D10188" s="6" t="s">
        <v>14</v>
      </c>
      <c r="E10188" s="6" t="s">
        <v>16</v>
      </c>
      <c r="F10188" s="6" t="s">
        <v>19</v>
      </c>
      <c r="G10188" s="6" t="s">
        <v>1299</v>
      </c>
      <c r="H10188" s="6" t="s">
        <v>1771</v>
      </c>
      <c r="I10188" s="6" t="s">
        <v>31</v>
      </c>
      <c r="J10188" s="6">
        <v>17.247723960598002</v>
      </c>
      <c r="K10188" s="6">
        <v>-97.388501253677006</v>
      </c>
      <c r="L10188" s="6" t="str">
        <f>HYPERLINK("https://maps.google.com/?q=17.247723960597714,-97.38850125367715", "🔗 Ver Mapa")</f>
        <v>🔗 Ver Mapa</v>
      </c>
    </row>
    <row r="10189" spans="1:12" ht="43.5" x14ac:dyDescent="0.35">
      <c r="A10189" s="5" t="s">
        <v>98</v>
      </c>
      <c r="B10189" s="5" t="s">
        <v>99</v>
      </c>
      <c r="C10189" s="5" t="s">
        <v>1772</v>
      </c>
      <c r="D10189" s="5" t="s">
        <v>14</v>
      </c>
      <c r="E10189" s="5" t="s">
        <v>16</v>
      </c>
      <c r="F10189" s="5" t="s">
        <v>19</v>
      </c>
      <c r="G10189" s="5" t="s">
        <v>1299</v>
      </c>
      <c r="H10189" s="5" t="s">
        <v>1773</v>
      </c>
      <c r="I10189" s="5" t="s">
        <v>31</v>
      </c>
      <c r="J10189" s="5">
        <v>17.281395457929001</v>
      </c>
      <c r="K10189" s="5">
        <v>-97.337618853627006</v>
      </c>
      <c r="L10189" s="5" t="str">
        <f>HYPERLINK("https://maps.google.com/?q=17.28139545792919,-97.33761885362739", "🔗 Ver Mapa")</f>
        <v>🔗 Ver Mapa</v>
      </c>
    </row>
    <row r="10190" spans="1:12" ht="43.5" x14ac:dyDescent="0.35">
      <c r="A10190" s="6" t="s">
        <v>98</v>
      </c>
      <c r="B10190" s="6" t="s">
        <v>99</v>
      </c>
      <c r="C10190" s="6" t="s">
        <v>1772</v>
      </c>
      <c r="D10190" s="6" t="s">
        <v>14</v>
      </c>
      <c r="E10190" s="6" t="s">
        <v>16</v>
      </c>
      <c r="F10190" s="6" t="s">
        <v>19</v>
      </c>
      <c r="G10190" s="6" t="s">
        <v>1299</v>
      </c>
      <c r="H10190" s="6" t="s">
        <v>1773</v>
      </c>
      <c r="I10190" s="6" t="s">
        <v>31</v>
      </c>
      <c r="J10190" s="6">
        <v>17.281901390198001</v>
      </c>
      <c r="K10190" s="6">
        <v>-97.340266992582997</v>
      </c>
      <c r="L10190" s="6" t="str">
        <f>HYPERLINK("https://maps.google.com/?q=17.281901390198456,-97.34026699258293", "🔗 Ver Mapa")</f>
        <v>🔗 Ver Mapa</v>
      </c>
    </row>
    <row r="10191" spans="1:12" ht="43.5" x14ac:dyDescent="0.35">
      <c r="A10191" s="5" t="s">
        <v>98</v>
      </c>
      <c r="B10191" s="5" t="s">
        <v>99</v>
      </c>
      <c r="C10191" s="5" t="s">
        <v>1772</v>
      </c>
      <c r="D10191" s="5" t="s">
        <v>14</v>
      </c>
      <c r="E10191" s="5" t="s">
        <v>16</v>
      </c>
      <c r="F10191" s="5" t="s">
        <v>19</v>
      </c>
      <c r="G10191" s="5" t="s">
        <v>1299</v>
      </c>
      <c r="H10191" s="5" t="s">
        <v>1773</v>
      </c>
      <c r="I10191" s="5" t="s">
        <v>31</v>
      </c>
      <c r="J10191" s="5">
        <v>17.282203140416001</v>
      </c>
      <c r="K10191" s="5">
        <v>-97.334763480527002</v>
      </c>
      <c r="L10191" s="5" t="str">
        <f>HYPERLINK("https://maps.google.com/?q=17.282203140415664,-97.33476348052714", "🔗 Ver Mapa")</f>
        <v>🔗 Ver Mapa</v>
      </c>
    </row>
    <row r="10192" spans="1:12" ht="43.5" x14ac:dyDescent="0.35">
      <c r="A10192" s="6" t="s">
        <v>98</v>
      </c>
      <c r="B10192" s="6" t="s">
        <v>99</v>
      </c>
      <c r="C10192" s="6" t="s">
        <v>1772</v>
      </c>
      <c r="D10192" s="6" t="s">
        <v>14</v>
      </c>
      <c r="E10192" s="6" t="s">
        <v>16</v>
      </c>
      <c r="F10192" s="6" t="s">
        <v>19</v>
      </c>
      <c r="G10192" s="6" t="s">
        <v>1299</v>
      </c>
      <c r="H10192" s="6" t="s">
        <v>1773</v>
      </c>
      <c r="I10192" s="6" t="s">
        <v>31</v>
      </c>
      <c r="J10192" s="6">
        <v>17.284132512149998</v>
      </c>
      <c r="K10192" s="6">
        <v>-97.335256397221002</v>
      </c>
      <c r="L10192" s="6" t="str">
        <f>HYPERLINK("https://maps.google.com/?q=17.28413251215015,-97.33525639722095", "🔗 Ver Mapa")</f>
        <v>🔗 Ver Mapa</v>
      </c>
    </row>
    <row r="10193" spans="1:12" ht="43.5" x14ac:dyDescent="0.35">
      <c r="A10193" s="5" t="s">
        <v>98</v>
      </c>
      <c r="B10193" s="5" t="s">
        <v>99</v>
      </c>
      <c r="C10193" s="5" t="s">
        <v>1772</v>
      </c>
      <c r="D10193" s="5" t="s">
        <v>14</v>
      </c>
      <c r="E10193" s="5" t="s">
        <v>16</v>
      </c>
      <c r="F10193" s="5" t="s">
        <v>19</v>
      </c>
      <c r="G10193" s="5" t="s">
        <v>1299</v>
      </c>
      <c r="H10193" s="5" t="s">
        <v>1773</v>
      </c>
      <c r="I10193" s="5" t="s">
        <v>31</v>
      </c>
      <c r="J10193" s="5">
        <v>17.286982779999999</v>
      </c>
      <c r="K10193" s="5">
        <v>-97.334864289999999</v>
      </c>
      <c r="L10193" s="5" t="str">
        <f>HYPERLINK("https://maps.google.com/?q=17.28698278,-97.334864289999999", "🔗 Ver Mapa")</f>
        <v>🔗 Ver Mapa</v>
      </c>
    </row>
    <row r="10194" spans="1:12" ht="43.5" x14ac:dyDescent="0.35">
      <c r="A10194" s="6" t="s">
        <v>98</v>
      </c>
      <c r="B10194" s="6" t="s">
        <v>99</v>
      </c>
      <c r="C10194" s="6" t="s">
        <v>1772</v>
      </c>
      <c r="D10194" s="6" t="s">
        <v>14</v>
      </c>
      <c r="E10194" s="6" t="s">
        <v>16</v>
      </c>
      <c r="F10194" s="6" t="s">
        <v>19</v>
      </c>
      <c r="G10194" s="6" t="s">
        <v>1299</v>
      </c>
      <c r="H10194" s="6" t="s">
        <v>1773</v>
      </c>
      <c r="I10194" s="6" t="s">
        <v>31</v>
      </c>
      <c r="J10194" s="6">
        <v>17.290118941302001</v>
      </c>
      <c r="K10194" s="6">
        <v>-97.337749687593004</v>
      </c>
      <c r="L10194" s="6" t="str">
        <f>HYPERLINK("https://maps.google.com/?q=17.2901189413025,-97.337749687592904", "🔗 Ver Mapa")</f>
        <v>🔗 Ver Mapa</v>
      </c>
    </row>
    <row r="10195" spans="1:12" ht="43.5" x14ac:dyDescent="0.35">
      <c r="A10195" s="5" t="s">
        <v>98</v>
      </c>
      <c r="B10195" s="5" t="s">
        <v>99</v>
      </c>
      <c r="C10195" s="5" t="s">
        <v>1772</v>
      </c>
      <c r="D10195" s="5" t="s">
        <v>14</v>
      </c>
      <c r="E10195" s="5" t="s">
        <v>16</v>
      </c>
      <c r="F10195" s="5" t="s">
        <v>19</v>
      </c>
      <c r="G10195" s="5" t="s">
        <v>1299</v>
      </c>
      <c r="H10195" s="5" t="s">
        <v>1773</v>
      </c>
      <c r="I10195" s="5" t="s">
        <v>31</v>
      </c>
      <c r="J10195" s="5">
        <v>17.291161267606999</v>
      </c>
      <c r="K10195" s="5">
        <v>-97.338430968682999</v>
      </c>
      <c r="L10195" s="5" t="str">
        <f>HYPERLINK("https://maps.google.com/?q=17.2911612676066,-97.3384309686829", "🔗 Ver Mapa")</f>
        <v>🔗 Ver Mapa</v>
      </c>
    </row>
    <row r="10196" spans="1:12" ht="43.5" x14ac:dyDescent="0.35">
      <c r="A10196" s="6" t="s">
        <v>98</v>
      </c>
      <c r="B10196" s="6" t="s">
        <v>99</v>
      </c>
      <c r="C10196" s="6" t="s">
        <v>1774</v>
      </c>
      <c r="D10196" s="6" t="s">
        <v>14</v>
      </c>
      <c r="E10196" s="6" t="s">
        <v>16</v>
      </c>
      <c r="F10196" s="6" t="s">
        <v>19</v>
      </c>
      <c r="G10196" s="6" t="s">
        <v>1299</v>
      </c>
      <c r="H10196" s="6" t="s">
        <v>1775</v>
      </c>
      <c r="I10196" s="6" t="s">
        <v>31</v>
      </c>
      <c r="J10196" s="6">
        <v>17.217968590000002</v>
      </c>
      <c r="K10196" s="6">
        <v>-97.328827099999998</v>
      </c>
      <c r="L10196" s="6" t="str">
        <f>HYPERLINK("https://maps.google.com/?q=17.21796859,-97.3288271", "🔗 Ver Mapa")</f>
        <v>🔗 Ver Mapa</v>
      </c>
    </row>
    <row r="10197" spans="1:12" ht="43.5" x14ac:dyDescent="0.35">
      <c r="A10197" s="5" t="s">
        <v>98</v>
      </c>
      <c r="B10197" s="5" t="s">
        <v>99</v>
      </c>
      <c r="C10197" s="5" t="s">
        <v>1774</v>
      </c>
      <c r="D10197" s="5" t="s">
        <v>14</v>
      </c>
      <c r="E10197" s="5" t="s">
        <v>16</v>
      </c>
      <c r="F10197" s="5" t="s">
        <v>19</v>
      </c>
      <c r="G10197" s="5" t="s">
        <v>1299</v>
      </c>
      <c r="H10197" s="5" t="s">
        <v>1775</v>
      </c>
      <c r="I10197" s="5" t="s">
        <v>31</v>
      </c>
      <c r="J10197" s="5">
        <v>17.218568011832001</v>
      </c>
      <c r="K10197" s="5">
        <v>-97.331352073475003</v>
      </c>
      <c r="L10197" s="5" t="str">
        <f>HYPERLINK("https://maps.google.com/?q=17.218568011832335,-97.33135207347514", "🔗 Ver Mapa")</f>
        <v>🔗 Ver Mapa</v>
      </c>
    </row>
    <row r="10198" spans="1:12" ht="43.5" x14ac:dyDescent="0.35">
      <c r="A10198" s="6" t="s">
        <v>98</v>
      </c>
      <c r="B10198" s="6" t="s">
        <v>99</v>
      </c>
      <c r="C10198" s="6" t="s">
        <v>1774</v>
      </c>
      <c r="D10198" s="6" t="s">
        <v>14</v>
      </c>
      <c r="E10198" s="6" t="s">
        <v>16</v>
      </c>
      <c r="F10198" s="6" t="s">
        <v>19</v>
      </c>
      <c r="G10198" s="6" t="s">
        <v>1299</v>
      </c>
      <c r="H10198" s="6" t="s">
        <v>1775</v>
      </c>
      <c r="I10198" s="6" t="s">
        <v>31</v>
      </c>
      <c r="J10198" s="6">
        <v>17.219606123801999</v>
      </c>
      <c r="K10198" s="6">
        <v>-97.330198407194004</v>
      </c>
      <c r="L10198" s="6" t="str">
        <f>HYPERLINK("https://maps.google.com/?q=17.21960612380181,-97.33019840719358", "🔗 Ver Mapa")</f>
        <v>🔗 Ver Mapa</v>
      </c>
    </row>
    <row r="10199" spans="1:12" ht="43.5" x14ac:dyDescent="0.35">
      <c r="A10199" s="5" t="s">
        <v>98</v>
      </c>
      <c r="B10199" s="5" t="s">
        <v>99</v>
      </c>
      <c r="C10199" s="5" t="s">
        <v>1774</v>
      </c>
      <c r="D10199" s="5" t="s">
        <v>14</v>
      </c>
      <c r="E10199" s="5" t="s">
        <v>16</v>
      </c>
      <c r="F10199" s="5" t="s">
        <v>19</v>
      </c>
      <c r="G10199" s="5" t="s">
        <v>1299</v>
      </c>
      <c r="H10199" s="5" t="s">
        <v>1775</v>
      </c>
      <c r="I10199" s="5" t="s">
        <v>31</v>
      </c>
      <c r="J10199" s="5">
        <v>17.220914760484</v>
      </c>
      <c r="K10199" s="5">
        <v>-97.326826086541004</v>
      </c>
      <c r="L10199" s="5" t="str">
        <f>HYPERLINK("https://maps.google.com/?q=17.220914760483637,-97.32682608654144", "🔗 Ver Mapa")</f>
        <v>🔗 Ver Mapa</v>
      </c>
    </row>
    <row r="10200" spans="1:12" ht="43.5" x14ac:dyDescent="0.35">
      <c r="A10200" s="6" t="s">
        <v>98</v>
      </c>
      <c r="B10200" s="6" t="s">
        <v>99</v>
      </c>
      <c r="C10200" s="6" t="s">
        <v>1774</v>
      </c>
      <c r="D10200" s="6" t="s">
        <v>14</v>
      </c>
      <c r="E10200" s="6" t="s">
        <v>16</v>
      </c>
      <c r="F10200" s="6" t="s">
        <v>19</v>
      </c>
      <c r="G10200" s="6" t="s">
        <v>1299</v>
      </c>
      <c r="H10200" s="6" t="s">
        <v>1775</v>
      </c>
      <c r="I10200" s="6" t="s">
        <v>31</v>
      </c>
      <c r="J10200" s="6">
        <v>17.221343399336</v>
      </c>
      <c r="K10200" s="6">
        <v>-97.328571946937004</v>
      </c>
      <c r="L10200" s="6" t="str">
        <f>HYPERLINK("https://maps.google.com/?q=17.22134339933634,-97.32857194693695", "🔗 Ver Mapa")</f>
        <v>🔗 Ver Mapa</v>
      </c>
    </row>
    <row r="10201" spans="1:12" ht="43.5" x14ac:dyDescent="0.35">
      <c r="A10201" s="5" t="s">
        <v>98</v>
      </c>
      <c r="B10201" s="5" t="s">
        <v>99</v>
      </c>
      <c r="C10201" s="5" t="s">
        <v>1774</v>
      </c>
      <c r="D10201" s="5" t="s">
        <v>14</v>
      </c>
      <c r="E10201" s="5" t="s">
        <v>16</v>
      </c>
      <c r="F10201" s="5" t="s">
        <v>19</v>
      </c>
      <c r="G10201" s="5" t="s">
        <v>1299</v>
      </c>
      <c r="H10201" s="5" t="s">
        <v>1775</v>
      </c>
      <c r="I10201" s="5" t="s">
        <v>31</v>
      </c>
      <c r="J10201" s="5">
        <v>17.221550200048998</v>
      </c>
      <c r="K10201" s="5">
        <v>-97.328160403463002</v>
      </c>
      <c r="L10201" s="5" t="str">
        <f>HYPERLINK("https://maps.google.com/?q=17.22155020004943,-97.32816040346252", "🔗 Ver Mapa")</f>
        <v>🔗 Ver Mapa</v>
      </c>
    </row>
    <row r="10202" spans="1:12" ht="43.5" x14ac:dyDescent="0.35">
      <c r="A10202" s="6" t="s">
        <v>98</v>
      </c>
      <c r="B10202" s="6" t="s">
        <v>99</v>
      </c>
      <c r="C10202" s="6" t="s">
        <v>1774</v>
      </c>
      <c r="D10202" s="6" t="s">
        <v>14</v>
      </c>
      <c r="E10202" s="6" t="s">
        <v>16</v>
      </c>
      <c r="F10202" s="6" t="s">
        <v>19</v>
      </c>
      <c r="G10202" s="6" t="s">
        <v>1299</v>
      </c>
      <c r="H10202" s="6" t="s">
        <v>1775</v>
      </c>
      <c r="I10202" s="6" t="s">
        <v>31</v>
      </c>
      <c r="J10202" s="6">
        <v>17.221672542848999</v>
      </c>
      <c r="K10202" s="6">
        <v>-97.327167068001998</v>
      </c>
      <c r="L10202" s="6" t="str">
        <f>HYPERLINK("https://maps.google.com/?q=17.221672542849,-97.327167068001799", "🔗 Ver Mapa")</f>
        <v>🔗 Ver Mapa</v>
      </c>
    </row>
    <row r="10203" spans="1:12" ht="43.5" x14ac:dyDescent="0.35">
      <c r="A10203" s="5" t="s">
        <v>98</v>
      </c>
      <c r="B10203" s="5" t="s">
        <v>99</v>
      </c>
      <c r="C10203" s="5" t="s">
        <v>1776</v>
      </c>
      <c r="D10203" s="5" t="s">
        <v>14</v>
      </c>
      <c r="E10203" s="5" t="s">
        <v>16</v>
      </c>
      <c r="F10203" s="5" t="s">
        <v>19</v>
      </c>
      <c r="G10203" s="5" t="s">
        <v>1299</v>
      </c>
      <c r="H10203" s="5" t="s">
        <v>1777</v>
      </c>
      <c r="I10203" s="5" t="s">
        <v>31</v>
      </c>
      <c r="J10203" s="5">
        <v>17.17953486</v>
      </c>
      <c r="K10203" s="5">
        <v>-97.382571369999994</v>
      </c>
      <c r="L10203" s="5" t="str">
        <f>HYPERLINK("https://maps.google.com/?q=17.17953486,-97.38257137", "🔗 Ver Mapa")</f>
        <v>🔗 Ver Mapa</v>
      </c>
    </row>
    <row r="10204" spans="1:12" ht="43.5" x14ac:dyDescent="0.35">
      <c r="A10204" s="6" t="s">
        <v>98</v>
      </c>
      <c r="B10204" s="6" t="s">
        <v>99</v>
      </c>
      <c r="C10204" s="6" t="s">
        <v>1776</v>
      </c>
      <c r="D10204" s="6" t="s">
        <v>14</v>
      </c>
      <c r="E10204" s="6" t="s">
        <v>16</v>
      </c>
      <c r="F10204" s="6" t="s">
        <v>19</v>
      </c>
      <c r="G10204" s="6" t="s">
        <v>1299</v>
      </c>
      <c r="H10204" s="6" t="s">
        <v>1777</v>
      </c>
      <c r="I10204" s="6" t="s">
        <v>31</v>
      </c>
      <c r="J10204" s="6">
        <v>17.180241469999999</v>
      </c>
      <c r="K10204" s="6">
        <v>-97.381539750000002</v>
      </c>
      <c r="L10204" s="6" t="str">
        <f>HYPERLINK("https://maps.google.com/?q=17.18024147,-97.38153975", "🔗 Ver Mapa")</f>
        <v>🔗 Ver Mapa</v>
      </c>
    </row>
    <row r="10205" spans="1:12" ht="43.5" x14ac:dyDescent="0.35">
      <c r="A10205" s="5" t="s">
        <v>98</v>
      </c>
      <c r="B10205" s="5" t="s">
        <v>99</v>
      </c>
      <c r="C10205" s="5" t="s">
        <v>1776</v>
      </c>
      <c r="D10205" s="5" t="s">
        <v>14</v>
      </c>
      <c r="E10205" s="5" t="s">
        <v>16</v>
      </c>
      <c r="F10205" s="5" t="s">
        <v>19</v>
      </c>
      <c r="G10205" s="5" t="s">
        <v>1299</v>
      </c>
      <c r="H10205" s="5" t="s">
        <v>1777</v>
      </c>
      <c r="I10205" s="5" t="s">
        <v>31</v>
      </c>
      <c r="J10205" s="5">
        <v>17.182008939999999</v>
      </c>
      <c r="K10205" s="5">
        <v>-97.381912119999996</v>
      </c>
      <c r="L10205" s="5" t="str">
        <f>HYPERLINK("https://maps.google.com/?q=17.18200894,-97.38191212", "🔗 Ver Mapa")</f>
        <v>🔗 Ver Mapa</v>
      </c>
    </row>
    <row r="10206" spans="1:12" ht="43.5" x14ac:dyDescent="0.35">
      <c r="A10206" s="6" t="s">
        <v>98</v>
      </c>
      <c r="B10206" s="6" t="s">
        <v>99</v>
      </c>
      <c r="C10206" s="6" t="s">
        <v>1776</v>
      </c>
      <c r="D10206" s="6" t="s">
        <v>14</v>
      </c>
      <c r="E10206" s="6" t="s">
        <v>16</v>
      </c>
      <c r="F10206" s="6" t="s">
        <v>19</v>
      </c>
      <c r="G10206" s="6" t="s">
        <v>1299</v>
      </c>
      <c r="H10206" s="6" t="s">
        <v>1777</v>
      </c>
      <c r="I10206" s="6" t="s">
        <v>31</v>
      </c>
      <c r="J10206" s="6">
        <v>17.182294590000001</v>
      </c>
      <c r="K10206" s="6">
        <v>-97.385590410000006</v>
      </c>
      <c r="L10206" s="6" t="str">
        <f>HYPERLINK("https://maps.google.com/?q=17.18229459,-97.38559041", "🔗 Ver Mapa")</f>
        <v>🔗 Ver Mapa</v>
      </c>
    </row>
    <row r="10207" spans="1:12" ht="43.5" x14ac:dyDescent="0.35">
      <c r="A10207" s="5" t="s">
        <v>98</v>
      </c>
      <c r="B10207" s="5" t="s">
        <v>99</v>
      </c>
      <c r="C10207" s="5" t="s">
        <v>1776</v>
      </c>
      <c r="D10207" s="5" t="s">
        <v>14</v>
      </c>
      <c r="E10207" s="5" t="s">
        <v>16</v>
      </c>
      <c r="F10207" s="5" t="s">
        <v>19</v>
      </c>
      <c r="G10207" s="5" t="s">
        <v>1299</v>
      </c>
      <c r="H10207" s="5" t="s">
        <v>1777</v>
      </c>
      <c r="I10207" s="5" t="s">
        <v>31</v>
      </c>
      <c r="J10207" s="5">
        <v>17.18356206</v>
      </c>
      <c r="K10207" s="5">
        <v>-97.383926799999998</v>
      </c>
      <c r="L10207" s="5" t="str">
        <f>HYPERLINK("https://maps.google.com/?q=17.18356206,-97.3839268", "🔗 Ver Mapa")</f>
        <v>🔗 Ver Mapa</v>
      </c>
    </row>
    <row r="10208" spans="1:12" ht="43.5" x14ac:dyDescent="0.35">
      <c r="A10208" s="6" t="s">
        <v>98</v>
      </c>
      <c r="B10208" s="6" t="s">
        <v>99</v>
      </c>
      <c r="C10208" s="6" t="s">
        <v>1776</v>
      </c>
      <c r="D10208" s="6" t="s">
        <v>14</v>
      </c>
      <c r="E10208" s="6" t="s">
        <v>16</v>
      </c>
      <c r="F10208" s="6" t="s">
        <v>19</v>
      </c>
      <c r="G10208" s="6" t="s">
        <v>1299</v>
      </c>
      <c r="H10208" s="6" t="s">
        <v>1777</v>
      </c>
      <c r="I10208" s="6" t="s">
        <v>31</v>
      </c>
      <c r="J10208" s="6">
        <v>17.183800120000001</v>
      </c>
      <c r="K10208" s="6">
        <v>-97.381047109999997</v>
      </c>
      <c r="L10208" s="6" t="str">
        <f>HYPERLINK("https://maps.google.com/?q=17.18380012,-97.38104711", "🔗 Ver Mapa")</f>
        <v>🔗 Ver Mapa</v>
      </c>
    </row>
    <row r="10209" spans="1:12" ht="43.5" x14ac:dyDescent="0.35">
      <c r="A10209" s="5" t="s">
        <v>98</v>
      </c>
      <c r="B10209" s="5" t="s">
        <v>99</v>
      </c>
      <c r="C10209" s="5" t="s">
        <v>1776</v>
      </c>
      <c r="D10209" s="5" t="s">
        <v>14</v>
      </c>
      <c r="E10209" s="5" t="s">
        <v>16</v>
      </c>
      <c r="F10209" s="5" t="s">
        <v>19</v>
      </c>
      <c r="G10209" s="5" t="s">
        <v>1299</v>
      </c>
      <c r="H10209" s="5" t="s">
        <v>1777</v>
      </c>
      <c r="I10209" s="5" t="s">
        <v>31</v>
      </c>
      <c r="J10209" s="5">
        <v>17.184396809999999</v>
      </c>
      <c r="K10209" s="5">
        <v>-97.381842879999994</v>
      </c>
      <c r="L10209" s="5" t="str">
        <f>HYPERLINK("https://maps.google.com/?q=17.18439681,-97.38184288", "🔗 Ver Mapa")</f>
        <v>🔗 Ver Mapa</v>
      </c>
    </row>
    <row r="10210" spans="1:12" ht="43.5" x14ac:dyDescent="0.35">
      <c r="A10210" s="6" t="s">
        <v>98</v>
      </c>
      <c r="B10210" s="6" t="s">
        <v>99</v>
      </c>
      <c r="C10210" s="6" t="s">
        <v>1776</v>
      </c>
      <c r="D10210" s="6" t="s">
        <v>14</v>
      </c>
      <c r="E10210" s="6" t="s">
        <v>16</v>
      </c>
      <c r="F10210" s="6" t="s">
        <v>19</v>
      </c>
      <c r="G10210" s="6" t="s">
        <v>1299</v>
      </c>
      <c r="H10210" s="6" t="s">
        <v>1777</v>
      </c>
      <c r="I10210" s="6" t="s">
        <v>31</v>
      </c>
      <c r="J10210" s="6">
        <v>17.18611576</v>
      </c>
      <c r="K10210" s="6">
        <v>-97.380978409999997</v>
      </c>
      <c r="L10210" s="6" t="str">
        <f>HYPERLINK("https://maps.google.com/?q=17.18611576,-97.38097841", "🔗 Ver Mapa")</f>
        <v>🔗 Ver Mapa</v>
      </c>
    </row>
    <row r="10211" spans="1:12" ht="43.5" x14ac:dyDescent="0.35">
      <c r="A10211" s="5" t="s">
        <v>98</v>
      </c>
      <c r="B10211" s="5" t="s">
        <v>99</v>
      </c>
      <c r="C10211" s="5" t="s">
        <v>1778</v>
      </c>
      <c r="D10211" s="5" t="s">
        <v>14</v>
      </c>
      <c r="E10211" s="5" t="s">
        <v>16</v>
      </c>
      <c r="F10211" s="5" t="s">
        <v>19</v>
      </c>
      <c r="G10211" s="5" t="s">
        <v>1299</v>
      </c>
      <c r="H10211" s="5" t="s">
        <v>1779</v>
      </c>
      <c r="I10211" s="5" t="s">
        <v>31</v>
      </c>
      <c r="J10211" s="5">
        <v>17.190782708393002</v>
      </c>
      <c r="K10211" s="5">
        <v>-97.330344410026001</v>
      </c>
      <c r="L10211" s="5" t="str">
        <f>HYPERLINK("https://maps.google.com/?q=17.190782708393225,-97.33034441002629", "🔗 Ver Mapa")</f>
        <v>🔗 Ver Mapa</v>
      </c>
    </row>
    <row r="10212" spans="1:12" ht="43.5" x14ac:dyDescent="0.35">
      <c r="A10212" s="6" t="s">
        <v>98</v>
      </c>
      <c r="B10212" s="6" t="s">
        <v>99</v>
      </c>
      <c r="C10212" s="6" t="s">
        <v>1778</v>
      </c>
      <c r="D10212" s="6" t="s">
        <v>14</v>
      </c>
      <c r="E10212" s="6" t="s">
        <v>16</v>
      </c>
      <c r="F10212" s="6" t="s">
        <v>19</v>
      </c>
      <c r="G10212" s="6" t="s">
        <v>1299</v>
      </c>
      <c r="H10212" s="6" t="s">
        <v>1779</v>
      </c>
      <c r="I10212" s="6" t="s">
        <v>31</v>
      </c>
      <c r="J10212" s="6">
        <v>17.190976899883999</v>
      </c>
      <c r="K10212" s="6">
        <v>-97.329250039908004</v>
      </c>
      <c r="L10212" s="6" t="str">
        <f>HYPERLINK("https://maps.google.com/?q=17.190976899883715,-97.32925003990808", "🔗 Ver Mapa")</f>
        <v>🔗 Ver Mapa</v>
      </c>
    </row>
    <row r="10213" spans="1:12" ht="43.5" x14ac:dyDescent="0.35">
      <c r="A10213" s="5" t="s">
        <v>98</v>
      </c>
      <c r="B10213" s="5" t="s">
        <v>99</v>
      </c>
      <c r="C10213" s="5" t="s">
        <v>1778</v>
      </c>
      <c r="D10213" s="5" t="s">
        <v>14</v>
      </c>
      <c r="E10213" s="5" t="s">
        <v>16</v>
      </c>
      <c r="F10213" s="5" t="s">
        <v>19</v>
      </c>
      <c r="G10213" s="5" t="s">
        <v>1299</v>
      </c>
      <c r="H10213" s="5" t="s">
        <v>1779</v>
      </c>
      <c r="I10213" s="5" t="s">
        <v>31</v>
      </c>
      <c r="J10213" s="5">
        <v>17.191183290788</v>
      </c>
      <c r="K10213" s="5">
        <v>-97.330646080522001</v>
      </c>
      <c r="L10213" s="5" t="str">
        <f>HYPERLINK("https://maps.google.com/?q=17.19118329078849,-97.33064608052175", "🔗 Ver Mapa")</f>
        <v>🔗 Ver Mapa</v>
      </c>
    </row>
    <row r="10214" spans="1:12" ht="43.5" x14ac:dyDescent="0.35">
      <c r="A10214" s="6" t="s">
        <v>98</v>
      </c>
      <c r="B10214" s="6" t="s">
        <v>99</v>
      </c>
      <c r="C10214" s="6" t="s">
        <v>1778</v>
      </c>
      <c r="D10214" s="6" t="s">
        <v>14</v>
      </c>
      <c r="E10214" s="6" t="s">
        <v>16</v>
      </c>
      <c r="F10214" s="6" t="s">
        <v>19</v>
      </c>
      <c r="G10214" s="6" t="s">
        <v>1299</v>
      </c>
      <c r="H10214" s="6" t="s">
        <v>1779</v>
      </c>
      <c r="I10214" s="6" t="s">
        <v>31</v>
      </c>
      <c r="J10214" s="6">
        <v>17.192405082448001</v>
      </c>
      <c r="K10214" s="6">
        <v>-97.329335572063997</v>
      </c>
      <c r="L10214" s="6" t="str">
        <f>HYPERLINK("https://maps.google.com/?q=17.192405082447692,-97.32933557206387", "🔗 Ver Mapa")</f>
        <v>🔗 Ver Mapa</v>
      </c>
    </row>
    <row r="10215" spans="1:12" ht="43.5" x14ac:dyDescent="0.35">
      <c r="A10215" s="5" t="s">
        <v>98</v>
      </c>
      <c r="B10215" s="5" t="s">
        <v>99</v>
      </c>
      <c r="C10215" s="5" t="s">
        <v>1778</v>
      </c>
      <c r="D10215" s="5" t="s">
        <v>14</v>
      </c>
      <c r="E10215" s="5" t="s">
        <v>16</v>
      </c>
      <c r="F10215" s="5" t="s">
        <v>19</v>
      </c>
      <c r="G10215" s="5" t="s">
        <v>1299</v>
      </c>
      <c r="H10215" s="5" t="s">
        <v>1779</v>
      </c>
      <c r="I10215" s="5" t="s">
        <v>31</v>
      </c>
      <c r="J10215" s="5">
        <v>17.192457951600002</v>
      </c>
      <c r="K10215" s="5">
        <v>-97.329707193299996</v>
      </c>
      <c r="L10215" s="5" t="str">
        <f>HYPERLINK("https://maps.google.com/?q=17.1924579516,-97.329707193299996", "🔗 Ver Mapa")</f>
        <v>🔗 Ver Mapa</v>
      </c>
    </row>
    <row r="10216" spans="1:12" ht="43.5" x14ac:dyDescent="0.35">
      <c r="A10216" s="6" t="s">
        <v>98</v>
      </c>
      <c r="B10216" s="6" t="s">
        <v>99</v>
      </c>
      <c r="C10216" s="6" t="s">
        <v>1778</v>
      </c>
      <c r="D10216" s="6" t="s">
        <v>14</v>
      </c>
      <c r="E10216" s="6" t="s">
        <v>16</v>
      </c>
      <c r="F10216" s="6" t="s">
        <v>19</v>
      </c>
      <c r="G10216" s="6" t="s">
        <v>1299</v>
      </c>
      <c r="H10216" s="6" t="s">
        <v>1779</v>
      </c>
      <c r="I10216" s="6" t="s">
        <v>31</v>
      </c>
      <c r="J10216" s="6">
        <v>17.193713461125</v>
      </c>
      <c r="K10216" s="6">
        <v>-97.331005137730003</v>
      </c>
      <c r="L10216" s="6" t="str">
        <f>HYPERLINK("https://maps.google.com/?q=17.193713461124652,-97.33100513772982", "🔗 Ver Mapa")</f>
        <v>🔗 Ver Mapa</v>
      </c>
    </row>
    <row r="10217" spans="1:12" ht="43.5" x14ac:dyDescent="0.35">
      <c r="A10217" s="5" t="s">
        <v>98</v>
      </c>
      <c r="B10217" s="5" t="s">
        <v>99</v>
      </c>
      <c r="C10217" s="5" t="s">
        <v>1778</v>
      </c>
      <c r="D10217" s="5" t="s">
        <v>14</v>
      </c>
      <c r="E10217" s="5" t="s">
        <v>16</v>
      </c>
      <c r="F10217" s="5" t="s">
        <v>19</v>
      </c>
      <c r="G10217" s="5" t="s">
        <v>1299</v>
      </c>
      <c r="H10217" s="5" t="s">
        <v>1779</v>
      </c>
      <c r="I10217" s="5" t="s">
        <v>31</v>
      </c>
      <c r="J10217" s="5">
        <v>17.196747319199002</v>
      </c>
      <c r="K10217" s="5">
        <v>-97.333386464775998</v>
      </c>
      <c r="L10217" s="5" t="str">
        <f>HYPERLINK("https://maps.google.com/?q=17.19674731919903,-97.333386464776", "🔗 Ver Mapa")</f>
        <v>🔗 Ver Mapa</v>
      </c>
    </row>
    <row r="10218" spans="1:12" ht="43.5" x14ac:dyDescent="0.35">
      <c r="A10218" s="6" t="s">
        <v>98</v>
      </c>
      <c r="B10218" s="6" t="s">
        <v>99</v>
      </c>
      <c r="C10218" s="6" t="s">
        <v>1778</v>
      </c>
      <c r="D10218" s="6" t="s">
        <v>14</v>
      </c>
      <c r="E10218" s="6" t="s">
        <v>16</v>
      </c>
      <c r="F10218" s="6" t="s">
        <v>19</v>
      </c>
      <c r="G10218" s="6" t="s">
        <v>1299</v>
      </c>
      <c r="H10218" s="6" t="s">
        <v>1779</v>
      </c>
      <c r="I10218" s="6" t="s">
        <v>31</v>
      </c>
      <c r="J10218" s="6">
        <v>17.198501266954999</v>
      </c>
      <c r="K10218" s="6">
        <v>-97.335372935251996</v>
      </c>
      <c r="L10218" s="6" t="str">
        <f>HYPERLINK("https://maps.google.com/?q=17.198501266954832,-97.335372935252", "🔗 Ver Mapa")</f>
        <v>🔗 Ver Mapa</v>
      </c>
    </row>
    <row r="10219" spans="1:12" ht="43.5" x14ac:dyDescent="0.35">
      <c r="A10219" s="5" t="s">
        <v>98</v>
      </c>
      <c r="B10219" s="5" t="s">
        <v>99</v>
      </c>
      <c r="C10219" s="5" t="s">
        <v>1778</v>
      </c>
      <c r="D10219" s="5" t="s">
        <v>14</v>
      </c>
      <c r="E10219" s="5" t="s">
        <v>16</v>
      </c>
      <c r="F10219" s="5" t="s">
        <v>19</v>
      </c>
      <c r="G10219" s="5" t="s">
        <v>1299</v>
      </c>
      <c r="H10219" s="5" t="s">
        <v>1779</v>
      </c>
      <c r="I10219" s="5" t="s">
        <v>31</v>
      </c>
      <c r="J10219" s="5">
        <v>17.198883230172001</v>
      </c>
      <c r="K10219" s="5">
        <v>-97.334540800184001</v>
      </c>
      <c r="L10219" s="5" t="str">
        <f>HYPERLINK("https://maps.google.com/?q=17.198883230172438,-97.3345408001841", "🔗 Ver Mapa")</f>
        <v>🔗 Ver Mapa</v>
      </c>
    </row>
    <row r="10220" spans="1:12" ht="43.5" x14ac:dyDescent="0.35">
      <c r="A10220" s="6" t="s">
        <v>98</v>
      </c>
      <c r="B10220" s="6" t="s">
        <v>99</v>
      </c>
      <c r="C10220" s="6" t="s">
        <v>1780</v>
      </c>
      <c r="D10220" s="6" t="s">
        <v>14</v>
      </c>
      <c r="E10220" s="6" t="s">
        <v>16</v>
      </c>
      <c r="F10220" s="6" t="s">
        <v>19</v>
      </c>
      <c r="G10220" s="6" t="s">
        <v>1299</v>
      </c>
      <c r="H10220" s="6" t="s">
        <v>1781</v>
      </c>
      <c r="I10220" s="6" t="s">
        <v>31</v>
      </c>
      <c r="J10220" s="6">
        <v>17.289004663328001</v>
      </c>
      <c r="K10220" s="6">
        <v>-97.352073046130002</v>
      </c>
      <c r="L10220" s="6" t="str">
        <f>HYPERLINK("https://maps.google.com/?q=17.28900466332768,-97.35207304613026", "🔗 Ver Mapa")</f>
        <v>🔗 Ver Mapa</v>
      </c>
    </row>
    <row r="10221" spans="1:12" ht="43.5" x14ac:dyDescent="0.35">
      <c r="A10221" s="5" t="s">
        <v>98</v>
      </c>
      <c r="B10221" s="5" t="s">
        <v>99</v>
      </c>
      <c r="C10221" s="5" t="s">
        <v>1780</v>
      </c>
      <c r="D10221" s="5" t="s">
        <v>14</v>
      </c>
      <c r="E10221" s="5" t="s">
        <v>16</v>
      </c>
      <c r="F10221" s="5" t="s">
        <v>19</v>
      </c>
      <c r="G10221" s="5" t="s">
        <v>1299</v>
      </c>
      <c r="H10221" s="5" t="s">
        <v>1781</v>
      </c>
      <c r="I10221" s="5" t="s">
        <v>31</v>
      </c>
      <c r="J10221" s="5">
        <v>17.290459588118001</v>
      </c>
      <c r="K10221" s="5">
        <v>-97.352649664721994</v>
      </c>
      <c r="L10221" s="5" t="str">
        <f>HYPERLINK("https://maps.google.com/?q=17.290459588117702,-97.35264966472224", "🔗 Ver Mapa")</f>
        <v>🔗 Ver Mapa</v>
      </c>
    </row>
    <row r="10222" spans="1:12" ht="43.5" x14ac:dyDescent="0.35">
      <c r="A10222" s="6" t="s">
        <v>98</v>
      </c>
      <c r="B10222" s="6" t="s">
        <v>99</v>
      </c>
      <c r="C10222" s="6" t="s">
        <v>1780</v>
      </c>
      <c r="D10222" s="6" t="s">
        <v>14</v>
      </c>
      <c r="E10222" s="6" t="s">
        <v>16</v>
      </c>
      <c r="F10222" s="6" t="s">
        <v>19</v>
      </c>
      <c r="G10222" s="6" t="s">
        <v>1299</v>
      </c>
      <c r="H10222" s="6" t="s">
        <v>1781</v>
      </c>
      <c r="I10222" s="6" t="s">
        <v>31</v>
      </c>
      <c r="J10222" s="6">
        <v>17.291112340299001</v>
      </c>
      <c r="K10222" s="6">
        <v>-97.355053352579006</v>
      </c>
      <c r="L10222" s="6" t="str">
        <f>HYPERLINK("https://maps.google.com/?q=17.291112340298806,-97.35505335257851", "🔗 Ver Mapa")</f>
        <v>🔗 Ver Mapa</v>
      </c>
    </row>
    <row r="10223" spans="1:12" ht="43.5" x14ac:dyDescent="0.35">
      <c r="A10223" s="5" t="s">
        <v>98</v>
      </c>
      <c r="B10223" s="5" t="s">
        <v>99</v>
      </c>
      <c r="C10223" s="5" t="s">
        <v>1780</v>
      </c>
      <c r="D10223" s="5" t="s">
        <v>14</v>
      </c>
      <c r="E10223" s="5" t="s">
        <v>16</v>
      </c>
      <c r="F10223" s="5" t="s">
        <v>19</v>
      </c>
      <c r="G10223" s="5" t="s">
        <v>1299</v>
      </c>
      <c r="H10223" s="5" t="s">
        <v>1781</v>
      </c>
      <c r="I10223" s="5" t="s">
        <v>31</v>
      </c>
      <c r="J10223" s="5">
        <v>17.293707693748001</v>
      </c>
      <c r="K10223" s="5">
        <v>-97.355042029207993</v>
      </c>
      <c r="L10223" s="5" t="str">
        <f>HYPERLINK("https://maps.google.com/?q=17.293707693747734,-97.355042029208", "🔗 Ver Mapa")</f>
        <v>🔗 Ver Mapa</v>
      </c>
    </row>
    <row r="10224" spans="1:12" ht="43.5" x14ac:dyDescent="0.35">
      <c r="A10224" s="6" t="s">
        <v>98</v>
      </c>
      <c r="B10224" s="6" t="s">
        <v>99</v>
      </c>
      <c r="C10224" s="6" t="s">
        <v>1780</v>
      </c>
      <c r="D10224" s="6" t="s">
        <v>14</v>
      </c>
      <c r="E10224" s="6" t="s">
        <v>16</v>
      </c>
      <c r="F10224" s="6" t="s">
        <v>19</v>
      </c>
      <c r="G10224" s="6" t="s">
        <v>1299</v>
      </c>
      <c r="H10224" s="6" t="s">
        <v>1781</v>
      </c>
      <c r="I10224" s="6" t="s">
        <v>31</v>
      </c>
      <c r="J10224" s="6">
        <v>17.293725623153001</v>
      </c>
      <c r="K10224" s="6">
        <v>-97.354124713725</v>
      </c>
      <c r="L10224" s="6" t="str">
        <f>HYPERLINK("https://maps.google.com/?q=17.2937256231531,-97.354124713724801", "🔗 Ver Mapa")</f>
        <v>🔗 Ver Mapa</v>
      </c>
    </row>
    <row r="10225" spans="1:12" ht="43.5" x14ac:dyDescent="0.35">
      <c r="A10225" s="5" t="s">
        <v>98</v>
      </c>
      <c r="B10225" s="5" t="s">
        <v>99</v>
      </c>
      <c r="C10225" s="5" t="s">
        <v>1780</v>
      </c>
      <c r="D10225" s="5" t="s">
        <v>14</v>
      </c>
      <c r="E10225" s="5" t="s">
        <v>16</v>
      </c>
      <c r="F10225" s="5" t="s">
        <v>19</v>
      </c>
      <c r="G10225" s="5" t="s">
        <v>1299</v>
      </c>
      <c r="H10225" s="5" t="s">
        <v>1781</v>
      </c>
      <c r="I10225" s="5" t="s">
        <v>31</v>
      </c>
      <c r="J10225" s="5">
        <v>17.295049629590999</v>
      </c>
      <c r="K10225" s="5">
        <v>-97.354698706454002</v>
      </c>
      <c r="L10225" s="5" t="str">
        <f>HYPERLINK("https://maps.google.com/?q=17.29504962959054,-97.35469870645392", "🔗 Ver Mapa")</f>
        <v>🔗 Ver Mapa</v>
      </c>
    </row>
    <row r="10226" spans="1:12" ht="43.5" x14ac:dyDescent="0.35">
      <c r="A10226" s="6" t="s">
        <v>98</v>
      </c>
      <c r="B10226" s="6" t="s">
        <v>99</v>
      </c>
      <c r="C10226" s="6" t="s">
        <v>1780</v>
      </c>
      <c r="D10226" s="6" t="s">
        <v>14</v>
      </c>
      <c r="E10226" s="6" t="s">
        <v>16</v>
      </c>
      <c r="F10226" s="6" t="s">
        <v>19</v>
      </c>
      <c r="G10226" s="6" t="s">
        <v>1299</v>
      </c>
      <c r="H10226" s="6" t="s">
        <v>1781</v>
      </c>
      <c r="I10226" s="6" t="s">
        <v>31</v>
      </c>
      <c r="J10226" s="6">
        <v>17.297462407905002</v>
      </c>
      <c r="K10226" s="6">
        <v>-97.344279446013999</v>
      </c>
      <c r="L10226" s="6" t="str">
        <f>HYPERLINK("https://maps.google.com/?q=17.297462407905357,-97.34427944601373", "🔗 Ver Mapa")</f>
        <v>🔗 Ver Mapa</v>
      </c>
    </row>
    <row r="10227" spans="1:12" ht="43.5" x14ac:dyDescent="0.35">
      <c r="A10227" s="5" t="s">
        <v>98</v>
      </c>
      <c r="B10227" s="5" t="s">
        <v>99</v>
      </c>
      <c r="C10227" s="5" t="s">
        <v>1780</v>
      </c>
      <c r="D10227" s="5" t="s">
        <v>14</v>
      </c>
      <c r="E10227" s="5" t="s">
        <v>16</v>
      </c>
      <c r="F10227" s="5" t="s">
        <v>19</v>
      </c>
      <c r="G10227" s="5" t="s">
        <v>1299</v>
      </c>
      <c r="H10227" s="5" t="s">
        <v>1781</v>
      </c>
      <c r="I10227" s="5" t="s">
        <v>31</v>
      </c>
      <c r="J10227" s="5">
        <v>17.300560446287001</v>
      </c>
      <c r="K10227" s="5">
        <v>-97.345359814950001</v>
      </c>
      <c r="L10227" s="5" t="str">
        <f>HYPERLINK("https://maps.google.com/?q=17.300560446287143,-97.3453598149501", "🔗 Ver Mapa")</f>
        <v>🔗 Ver Mapa</v>
      </c>
    </row>
    <row r="10228" spans="1:12" ht="43.5" x14ac:dyDescent="0.35">
      <c r="A10228" s="6" t="s">
        <v>98</v>
      </c>
      <c r="B10228" s="6" t="s">
        <v>99</v>
      </c>
      <c r="C10228" s="6" t="s">
        <v>1780</v>
      </c>
      <c r="D10228" s="6" t="s">
        <v>14</v>
      </c>
      <c r="E10228" s="6" t="s">
        <v>16</v>
      </c>
      <c r="F10228" s="6" t="s">
        <v>19</v>
      </c>
      <c r="G10228" s="6" t="s">
        <v>1299</v>
      </c>
      <c r="H10228" s="6" t="s">
        <v>1781</v>
      </c>
      <c r="I10228" s="6" t="s">
        <v>31</v>
      </c>
      <c r="J10228" s="6">
        <v>17.300639492020998</v>
      </c>
      <c r="K10228" s="6">
        <v>-97.345535951374004</v>
      </c>
      <c r="L10228" s="6" t="str">
        <f>HYPERLINK("https://maps.google.com/?q=17.300639492020526,-97.34553595137388", "🔗 Ver Mapa")</f>
        <v>🔗 Ver Mapa</v>
      </c>
    </row>
    <row r="10229" spans="1:12" ht="43.5" x14ac:dyDescent="0.35">
      <c r="A10229" s="5" t="s">
        <v>98</v>
      </c>
      <c r="B10229" s="5" t="s">
        <v>99</v>
      </c>
      <c r="C10229" s="5" t="s">
        <v>1782</v>
      </c>
      <c r="D10229" s="5" t="s">
        <v>14</v>
      </c>
      <c r="E10229" s="5" t="s">
        <v>16</v>
      </c>
      <c r="F10229" s="5" t="s">
        <v>19</v>
      </c>
      <c r="G10229" s="5" t="s">
        <v>1299</v>
      </c>
      <c r="H10229" s="5" t="s">
        <v>1783</v>
      </c>
      <c r="I10229" s="5" t="s">
        <v>31</v>
      </c>
      <c r="J10229" s="5">
        <v>17.188109533106999</v>
      </c>
      <c r="K10229" s="5">
        <v>-97.402942794072999</v>
      </c>
      <c r="L10229" s="5" t="str">
        <f>HYPERLINK("https://maps.google.com/?q=17.18810953310664,-97.40294279407283", "🔗 Ver Mapa")</f>
        <v>🔗 Ver Mapa</v>
      </c>
    </row>
    <row r="10230" spans="1:12" ht="43.5" x14ac:dyDescent="0.35">
      <c r="A10230" s="6" t="s">
        <v>98</v>
      </c>
      <c r="B10230" s="6" t="s">
        <v>99</v>
      </c>
      <c r="C10230" s="6" t="s">
        <v>1782</v>
      </c>
      <c r="D10230" s="6" t="s">
        <v>14</v>
      </c>
      <c r="E10230" s="6" t="s">
        <v>16</v>
      </c>
      <c r="F10230" s="6" t="s">
        <v>19</v>
      </c>
      <c r="G10230" s="6" t="s">
        <v>1299</v>
      </c>
      <c r="H10230" s="6" t="s">
        <v>1783</v>
      </c>
      <c r="I10230" s="6" t="s">
        <v>31</v>
      </c>
      <c r="J10230" s="6">
        <v>17.188900201205001</v>
      </c>
      <c r="K10230" s="6">
        <v>-97.403833910984005</v>
      </c>
      <c r="L10230" s="6" t="str">
        <f>HYPERLINK("https://maps.google.com/?q=17.18890020120464,-97.40383391098398", "🔗 Ver Mapa")</f>
        <v>🔗 Ver Mapa</v>
      </c>
    </row>
    <row r="10231" spans="1:12" ht="43.5" x14ac:dyDescent="0.35">
      <c r="A10231" s="5" t="s">
        <v>98</v>
      </c>
      <c r="B10231" s="5" t="s">
        <v>99</v>
      </c>
      <c r="C10231" s="5" t="s">
        <v>1782</v>
      </c>
      <c r="D10231" s="5" t="s">
        <v>14</v>
      </c>
      <c r="E10231" s="5" t="s">
        <v>16</v>
      </c>
      <c r="F10231" s="5" t="s">
        <v>19</v>
      </c>
      <c r="G10231" s="5" t="s">
        <v>1299</v>
      </c>
      <c r="H10231" s="5" t="s">
        <v>1783</v>
      </c>
      <c r="I10231" s="5" t="s">
        <v>31</v>
      </c>
      <c r="J10231" s="5">
        <v>17.188968453301001</v>
      </c>
      <c r="K10231" s="5">
        <v>-97.398831341977001</v>
      </c>
      <c r="L10231" s="5" t="str">
        <f>HYPERLINK("https://maps.google.com/?q=17.1889684533014,-97.398831341977001", "🔗 Ver Mapa")</f>
        <v>🔗 Ver Mapa</v>
      </c>
    </row>
    <row r="10232" spans="1:12" ht="43.5" x14ac:dyDescent="0.35">
      <c r="A10232" s="6" t="s">
        <v>98</v>
      </c>
      <c r="B10232" s="6" t="s">
        <v>99</v>
      </c>
      <c r="C10232" s="6" t="s">
        <v>1782</v>
      </c>
      <c r="D10232" s="6" t="s">
        <v>14</v>
      </c>
      <c r="E10232" s="6" t="s">
        <v>16</v>
      </c>
      <c r="F10232" s="6" t="s">
        <v>19</v>
      </c>
      <c r="G10232" s="6" t="s">
        <v>1299</v>
      </c>
      <c r="H10232" s="6" t="s">
        <v>1783</v>
      </c>
      <c r="I10232" s="6" t="s">
        <v>31</v>
      </c>
      <c r="J10232" s="6">
        <v>17.190645390318998</v>
      </c>
      <c r="K10232" s="6">
        <v>-97.404999551714994</v>
      </c>
      <c r="L10232" s="6" t="str">
        <f>HYPERLINK("https://maps.google.com/?q=17.190645390318924,-97.40499955171454", "🔗 Ver Mapa")</f>
        <v>🔗 Ver Mapa</v>
      </c>
    </row>
    <row r="10233" spans="1:12" ht="43.5" x14ac:dyDescent="0.35">
      <c r="A10233" s="5" t="s">
        <v>98</v>
      </c>
      <c r="B10233" s="5" t="s">
        <v>99</v>
      </c>
      <c r="C10233" s="5" t="s">
        <v>1782</v>
      </c>
      <c r="D10233" s="5" t="s">
        <v>14</v>
      </c>
      <c r="E10233" s="5" t="s">
        <v>16</v>
      </c>
      <c r="F10233" s="5" t="s">
        <v>19</v>
      </c>
      <c r="G10233" s="5" t="s">
        <v>1299</v>
      </c>
      <c r="H10233" s="5" t="s">
        <v>1783</v>
      </c>
      <c r="I10233" s="5" t="s">
        <v>31</v>
      </c>
      <c r="J10233" s="5">
        <v>17.192964833524002</v>
      </c>
      <c r="K10233" s="5">
        <v>-97.399900474969002</v>
      </c>
      <c r="L10233" s="5" t="str">
        <f>HYPERLINK("https://maps.google.com/?q=17.19296483352391,-97.39990047496863", "🔗 Ver Mapa")</f>
        <v>🔗 Ver Mapa</v>
      </c>
    </row>
    <row r="10234" spans="1:12" ht="43.5" x14ac:dyDescent="0.35">
      <c r="A10234" s="6" t="s">
        <v>98</v>
      </c>
      <c r="B10234" s="6" t="s">
        <v>99</v>
      </c>
      <c r="C10234" s="6" t="s">
        <v>1782</v>
      </c>
      <c r="D10234" s="6" t="s">
        <v>14</v>
      </c>
      <c r="E10234" s="6" t="s">
        <v>16</v>
      </c>
      <c r="F10234" s="6" t="s">
        <v>19</v>
      </c>
      <c r="G10234" s="6" t="s">
        <v>1299</v>
      </c>
      <c r="H10234" s="6" t="s">
        <v>1783</v>
      </c>
      <c r="I10234" s="6" t="s">
        <v>31</v>
      </c>
      <c r="J10234" s="6">
        <v>17.194229016099001</v>
      </c>
      <c r="K10234" s="6">
        <v>-97.398733392446999</v>
      </c>
      <c r="L10234" s="6" t="str">
        <f>HYPERLINK("https://maps.google.com/?q=17.1942290160987,-97.39873339244677", "🔗 Ver Mapa")</f>
        <v>🔗 Ver Mapa</v>
      </c>
    </row>
    <row r="10235" spans="1:12" ht="43.5" x14ac:dyDescent="0.35">
      <c r="A10235" s="5" t="s">
        <v>98</v>
      </c>
      <c r="B10235" s="5" t="s">
        <v>99</v>
      </c>
      <c r="C10235" s="5" t="s">
        <v>1782</v>
      </c>
      <c r="D10235" s="5" t="s">
        <v>14</v>
      </c>
      <c r="E10235" s="5" t="s">
        <v>16</v>
      </c>
      <c r="F10235" s="5" t="s">
        <v>19</v>
      </c>
      <c r="G10235" s="5" t="s">
        <v>1299</v>
      </c>
      <c r="H10235" s="5" t="s">
        <v>1783</v>
      </c>
      <c r="I10235" s="5" t="s">
        <v>31</v>
      </c>
      <c r="J10235" s="5">
        <v>17.194751767309999</v>
      </c>
      <c r="K10235" s="5">
        <v>-97.401833737882001</v>
      </c>
      <c r="L10235" s="5" t="str">
        <f>HYPERLINK("https://maps.google.com/?q=17.194751767310375,-97.40183373788227", "🔗 Ver Mapa")</f>
        <v>🔗 Ver Mapa</v>
      </c>
    </row>
    <row r="10236" spans="1:12" ht="43.5" x14ac:dyDescent="0.35">
      <c r="A10236" s="6" t="s">
        <v>98</v>
      </c>
      <c r="B10236" s="6" t="s">
        <v>99</v>
      </c>
      <c r="C10236" s="6" t="s">
        <v>1782</v>
      </c>
      <c r="D10236" s="6" t="s">
        <v>14</v>
      </c>
      <c r="E10236" s="6" t="s">
        <v>16</v>
      </c>
      <c r="F10236" s="6" t="s">
        <v>19</v>
      </c>
      <c r="G10236" s="6" t="s">
        <v>1299</v>
      </c>
      <c r="H10236" s="6" t="s">
        <v>1783</v>
      </c>
      <c r="I10236" s="6" t="s">
        <v>31</v>
      </c>
      <c r="J10236" s="6">
        <v>17.19538532</v>
      </c>
      <c r="K10236" s="6">
        <v>-97.400233130000004</v>
      </c>
      <c r="L10236" s="6" t="str">
        <f>HYPERLINK("https://maps.google.com/?q=17.19538532,-97.400233130000004", "🔗 Ver Mapa")</f>
        <v>🔗 Ver Mapa</v>
      </c>
    </row>
    <row r="10237" spans="1:12" ht="43.5" x14ac:dyDescent="0.35">
      <c r="A10237" s="5" t="s">
        <v>98</v>
      </c>
      <c r="B10237" s="5" t="s">
        <v>99</v>
      </c>
      <c r="C10237" s="5" t="s">
        <v>1782</v>
      </c>
      <c r="D10237" s="5" t="s">
        <v>14</v>
      </c>
      <c r="E10237" s="5" t="s">
        <v>16</v>
      </c>
      <c r="F10237" s="5" t="s">
        <v>19</v>
      </c>
      <c r="G10237" s="5" t="s">
        <v>1299</v>
      </c>
      <c r="H10237" s="5" t="s">
        <v>1783</v>
      </c>
      <c r="I10237" s="5" t="s">
        <v>31</v>
      </c>
      <c r="J10237" s="5">
        <v>17.195729074694999</v>
      </c>
      <c r="K10237" s="5">
        <v>-97.399988562640999</v>
      </c>
      <c r="L10237" s="5" t="str">
        <f>HYPERLINK("https://maps.google.com/?q=17.195729074694746,-97.39998856264076", "🔗 Ver Mapa")</f>
        <v>🔗 Ver Mapa</v>
      </c>
    </row>
    <row r="10238" spans="1:12" ht="43.5" x14ac:dyDescent="0.35">
      <c r="A10238" s="6" t="s">
        <v>98</v>
      </c>
      <c r="B10238" s="6" t="s">
        <v>99</v>
      </c>
      <c r="C10238" s="6" t="s">
        <v>1782</v>
      </c>
      <c r="D10238" s="6" t="s">
        <v>14</v>
      </c>
      <c r="E10238" s="6" t="s">
        <v>16</v>
      </c>
      <c r="F10238" s="6" t="s">
        <v>19</v>
      </c>
      <c r="G10238" s="6" t="s">
        <v>1299</v>
      </c>
      <c r="H10238" s="6" t="s">
        <v>1783</v>
      </c>
      <c r="I10238" s="6" t="s">
        <v>31</v>
      </c>
      <c r="J10238" s="6">
        <v>17.197246470283002</v>
      </c>
      <c r="K10238" s="6">
        <v>-97.402703854408003</v>
      </c>
      <c r="L10238" s="6" t="str">
        <f>HYPERLINK("https://maps.google.com/?q=17.197246470282767,-97.40270385440819", "🔗 Ver Mapa")</f>
        <v>🔗 Ver Mapa</v>
      </c>
    </row>
    <row r="10239" spans="1:12" ht="43.5" x14ac:dyDescent="0.35">
      <c r="A10239" s="5" t="s">
        <v>98</v>
      </c>
      <c r="B10239" s="5" t="s">
        <v>99</v>
      </c>
      <c r="C10239" s="5" t="s">
        <v>1784</v>
      </c>
      <c r="D10239" s="5" t="s">
        <v>14</v>
      </c>
      <c r="E10239" s="5" t="s">
        <v>16</v>
      </c>
      <c r="F10239" s="5" t="s">
        <v>19</v>
      </c>
      <c r="G10239" s="5" t="s">
        <v>1299</v>
      </c>
      <c r="H10239" s="5" t="s">
        <v>1785</v>
      </c>
      <c r="I10239" s="5" t="s">
        <v>31</v>
      </c>
      <c r="J10239" s="5">
        <v>17.289555</v>
      </c>
      <c r="K10239" s="5">
        <v>-97.303642999999994</v>
      </c>
      <c r="L10239" s="5" t="str">
        <f>HYPERLINK("https://maps.google.com/?q=17.289555,-97.303643", "🔗 Ver Mapa")</f>
        <v>🔗 Ver Mapa</v>
      </c>
    </row>
    <row r="10240" spans="1:12" ht="43.5" x14ac:dyDescent="0.35">
      <c r="A10240" s="6" t="s">
        <v>98</v>
      </c>
      <c r="B10240" s="6" t="s">
        <v>99</v>
      </c>
      <c r="C10240" s="6" t="s">
        <v>1784</v>
      </c>
      <c r="D10240" s="6" t="s">
        <v>14</v>
      </c>
      <c r="E10240" s="6" t="s">
        <v>16</v>
      </c>
      <c r="F10240" s="6" t="s">
        <v>19</v>
      </c>
      <c r="G10240" s="6" t="s">
        <v>1299</v>
      </c>
      <c r="H10240" s="6" t="s">
        <v>1785</v>
      </c>
      <c r="I10240" s="6" t="s">
        <v>31</v>
      </c>
      <c r="J10240" s="6">
        <v>17.286552819261999</v>
      </c>
      <c r="K10240" s="6">
        <v>-97.302472226014004</v>
      </c>
      <c r="L10240" s="6" t="str">
        <f>HYPERLINK("https://maps.google.com/?q=17.28655281926216,-97.3024722260137", "🔗 Ver Mapa")</f>
        <v>🔗 Ver Mapa</v>
      </c>
    </row>
    <row r="10241" spans="1:12" ht="43.5" x14ac:dyDescent="0.35">
      <c r="A10241" s="5" t="s">
        <v>98</v>
      </c>
      <c r="B10241" s="5" t="s">
        <v>99</v>
      </c>
      <c r="C10241" s="5" t="s">
        <v>1784</v>
      </c>
      <c r="D10241" s="5" t="s">
        <v>14</v>
      </c>
      <c r="E10241" s="5" t="s">
        <v>16</v>
      </c>
      <c r="F10241" s="5" t="s">
        <v>19</v>
      </c>
      <c r="G10241" s="5" t="s">
        <v>1299</v>
      </c>
      <c r="H10241" s="5" t="s">
        <v>1785</v>
      </c>
      <c r="I10241" s="5" t="s">
        <v>31</v>
      </c>
      <c r="J10241" s="5">
        <v>17.286752115226001</v>
      </c>
      <c r="K10241" s="5">
        <v>-97.302555203224003</v>
      </c>
      <c r="L10241" s="5" t="str">
        <f>HYPERLINK("https://maps.google.com/?q=17.286752115225518,-97.30255520322406", "🔗 Ver Mapa")</f>
        <v>🔗 Ver Mapa</v>
      </c>
    </row>
    <row r="10242" spans="1:12" ht="43.5" x14ac:dyDescent="0.35">
      <c r="A10242" s="6" t="s">
        <v>98</v>
      </c>
      <c r="B10242" s="6" t="s">
        <v>99</v>
      </c>
      <c r="C10242" s="6" t="s">
        <v>1784</v>
      </c>
      <c r="D10242" s="6" t="s">
        <v>14</v>
      </c>
      <c r="E10242" s="6" t="s">
        <v>16</v>
      </c>
      <c r="F10242" s="6" t="s">
        <v>19</v>
      </c>
      <c r="G10242" s="6" t="s">
        <v>1299</v>
      </c>
      <c r="H10242" s="6" t="s">
        <v>1785</v>
      </c>
      <c r="I10242" s="6" t="s">
        <v>31</v>
      </c>
      <c r="J10242" s="6">
        <v>17.287001098806002</v>
      </c>
      <c r="K10242" s="6">
        <v>-97.303491537241001</v>
      </c>
      <c r="L10242" s="6" t="str">
        <f>HYPERLINK("https://maps.google.com/?q=17.287001098806073,-97.30349153724063", "🔗 Ver Mapa")</f>
        <v>🔗 Ver Mapa</v>
      </c>
    </row>
    <row r="10243" spans="1:12" ht="43.5" x14ac:dyDescent="0.35">
      <c r="A10243" s="5" t="s">
        <v>98</v>
      </c>
      <c r="B10243" s="5" t="s">
        <v>99</v>
      </c>
      <c r="C10243" s="5" t="s">
        <v>1784</v>
      </c>
      <c r="D10243" s="5" t="s">
        <v>14</v>
      </c>
      <c r="E10243" s="5" t="s">
        <v>16</v>
      </c>
      <c r="F10243" s="5" t="s">
        <v>19</v>
      </c>
      <c r="G10243" s="5" t="s">
        <v>1299</v>
      </c>
      <c r="H10243" s="5" t="s">
        <v>1785</v>
      </c>
      <c r="I10243" s="5" t="s">
        <v>31</v>
      </c>
      <c r="J10243" s="5">
        <v>17.287837998233002</v>
      </c>
      <c r="K10243" s="5">
        <v>-97.302751288894001</v>
      </c>
      <c r="L10243" s="5" t="str">
        <f>HYPERLINK("https://maps.google.com/?q=17.28783799823265,-97.30275128889424", "🔗 Ver Mapa")</f>
        <v>🔗 Ver Mapa</v>
      </c>
    </row>
    <row r="10244" spans="1:12" ht="43.5" x14ac:dyDescent="0.35">
      <c r="A10244" s="6" t="s">
        <v>98</v>
      </c>
      <c r="B10244" s="6" t="s">
        <v>99</v>
      </c>
      <c r="C10244" s="6" t="s">
        <v>1784</v>
      </c>
      <c r="D10244" s="6" t="s">
        <v>14</v>
      </c>
      <c r="E10244" s="6" t="s">
        <v>16</v>
      </c>
      <c r="F10244" s="6" t="s">
        <v>19</v>
      </c>
      <c r="G10244" s="6" t="s">
        <v>1299</v>
      </c>
      <c r="H10244" s="6" t="s">
        <v>1785</v>
      </c>
      <c r="I10244" s="6" t="s">
        <v>31</v>
      </c>
      <c r="J10244" s="6">
        <v>17.288444384868001</v>
      </c>
      <c r="K10244" s="6">
        <v>-97.302597143358994</v>
      </c>
      <c r="L10244" s="6" t="str">
        <f>HYPERLINK("https://maps.google.com/?q=17.288444384868388,-97.30259714335905", "🔗 Ver Mapa")</f>
        <v>🔗 Ver Mapa</v>
      </c>
    </row>
    <row r="10245" spans="1:12" ht="43.5" x14ac:dyDescent="0.35">
      <c r="A10245" s="5" t="s">
        <v>98</v>
      </c>
      <c r="B10245" s="5" t="s">
        <v>99</v>
      </c>
      <c r="C10245" s="5" t="s">
        <v>1784</v>
      </c>
      <c r="D10245" s="5" t="s">
        <v>14</v>
      </c>
      <c r="E10245" s="5" t="s">
        <v>16</v>
      </c>
      <c r="F10245" s="5" t="s">
        <v>19</v>
      </c>
      <c r="G10245" s="5" t="s">
        <v>1299</v>
      </c>
      <c r="H10245" s="5" t="s">
        <v>1785</v>
      </c>
      <c r="I10245" s="5" t="s">
        <v>31</v>
      </c>
      <c r="J10245" s="5">
        <v>17.2888658</v>
      </c>
      <c r="K10245" s="5">
        <v>-97.304018900000003</v>
      </c>
      <c r="L10245" s="5" t="str">
        <f>HYPERLINK("https://maps.google.com/?q=17.2888658,-97.304018900000003", "🔗 Ver Mapa")</f>
        <v>🔗 Ver Mapa</v>
      </c>
    </row>
    <row r="10246" spans="1:12" ht="43.5" x14ac:dyDescent="0.35">
      <c r="A10246" s="6" t="s">
        <v>98</v>
      </c>
      <c r="B10246" s="6" t="s">
        <v>99</v>
      </c>
      <c r="C10246" s="6" t="s">
        <v>1784</v>
      </c>
      <c r="D10246" s="6" t="s">
        <v>14</v>
      </c>
      <c r="E10246" s="6" t="s">
        <v>16</v>
      </c>
      <c r="F10246" s="6" t="s">
        <v>19</v>
      </c>
      <c r="G10246" s="6" t="s">
        <v>1299</v>
      </c>
      <c r="H10246" s="6" t="s">
        <v>1785</v>
      </c>
      <c r="I10246" s="6" t="s">
        <v>31</v>
      </c>
      <c r="J10246" s="6">
        <v>17.289059783612998</v>
      </c>
      <c r="K10246" s="6">
        <v>-97.303850097956996</v>
      </c>
      <c r="L10246" s="6" t="str">
        <f>HYPERLINK("https://maps.google.com/?q=17.289059783612938,-97.30385009795742", "🔗 Ver Mapa")</f>
        <v>🔗 Ver Mapa</v>
      </c>
    </row>
    <row r="10247" spans="1:12" ht="43.5" x14ac:dyDescent="0.35">
      <c r="A10247" s="5" t="s">
        <v>98</v>
      </c>
      <c r="B10247" s="5" t="s">
        <v>99</v>
      </c>
      <c r="C10247" s="5" t="s">
        <v>1784</v>
      </c>
      <c r="D10247" s="5" t="s">
        <v>14</v>
      </c>
      <c r="E10247" s="5" t="s">
        <v>16</v>
      </c>
      <c r="F10247" s="5" t="s">
        <v>19</v>
      </c>
      <c r="G10247" s="5" t="s">
        <v>1299</v>
      </c>
      <c r="H10247" s="5" t="s">
        <v>1785</v>
      </c>
      <c r="I10247" s="5" t="s">
        <v>31</v>
      </c>
      <c r="J10247" s="5">
        <v>17.290917207324</v>
      </c>
      <c r="K10247" s="5">
        <v>-97.303223676250994</v>
      </c>
      <c r="L10247" s="5" t="str">
        <f>HYPERLINK("https://maps.google.com/?q=17.290917207323574,-97.30322367625146", "🔗 Ver Mapa")</f>
        <v>🔗 Ver Mapa</v>
      </c>
    </row>
    <row r="10248" spans="1:12" ht="43.5" x14ac:dyDescent="0.35">
      <c r="A10248" s="6" t="s">
        <v>98</v>
      </c>
      <c r="B10248" s="6" t="s">
        <v>99</v>
      </c>
      <c r="C10248" s="6" t="s">
        <v>1784</v>
      </c>
      <c r="D10248" s="6" t="s">
        <v>14</v>
      </c>
      <c r="E10248" s="6" t="s">
        <v>16</v>
      </c>
      <c r="F10248" s="6" t="s">
        <v>19</v>
      </c>
      <c r="G10248" s="6" t="s">
        <v>1299</v>
      </c>
      <c r="H10248" s="6" t="s">
        <v>1785</v>
      </c>
      <c r="I10248" s="6" t="s">
        <v>31</v>
      </c>
      <c r="J10248" s="6">
        <v>17.296117551613001</v>
      </c>
      <c r="K10248" s="6">
        <v>-97.305091881180005</v>
      </c>
      <c r="L10248" s="6" t="str">
        <f>HYPERLINK("https://maps.google.com/?q=17.296117551613378,-97.30509188117962", "🔗 Ver Mapa")</f>
        <v>🔗 Ver Mapa</v>
      </c>
    </row>
    <row r="10249" spans="1:12" ht="43.5" x14ac:dyDescent="0.35">
      <c r="A10249" s="5" t="s">
        <v>98</v>
      </c>
      <c r="B10249" s="5" t="s">
        <v>99</v>
      </c>
      <c r="C10249" s="5" t="s">
        <v>1786</v>
      </c>
      <c r="D10249" s="5" t="s">
        <v>14</v>
      </c>
      <c r="E10249" s="5" t="s">
        <v>158</v>
      </c>
      <c r="F10249" s="5" t="s">
        <v>166</v>
      </c>
      <c r="G10249" s="5" t="s">
        <v>1787</v>
      </c>
      <c r="H10249" s="5" t="s">
        <v>1788</v>
      </c>
      <c r="I10249" s="5" t="s">
        <v>31</v>
      </c>
      <c r="J10249" s="5">
        <v>16.238479000000002</v>
      </c>
      <c r="K10249" s="5">
        <v>-95.152782000000002</v>
      </c>
      <c r="L10249" s="5" t="str">
        <f>HYPERLINK("https://maps.google.com/?q=16.238479,-95.152782000000002", "🔗 Ver Mapa")</f>
        <v>🔗 Ver Mapa</v>
      </c>
    </row>
    <row r="10250" spans="1:12" ht="43.5" x14ac:dyDescent="0.35">
      <c r="A10250" s="6" t="s">
        <v>98</v>
      </c>
      <c r="B10250" s="6" t="s">
        <v>99</v>
      </c>
      <c r="C10250" s="6" t="s">
        <v>1786</v>
      </c>
      <c r="D10250" s="6" t="s">
        <v>14</v>
      </c>
      <c r="E10250" s="6" t="s">
        <v>158</v>
      </c>
      <c r="F10250" s="6" t="s">
        <v>166</v>
      </c>
      <c r="G10250" s="6" t="s">
        <v>1787</v>
      </c>
      <c r="H10250" s="6" t="s">
        <v>1788</v>
      </c>
      <c r="I10250" s="6" t="s">
        <v>31</v>
      </c>
      <c r="J10250" s="6">
        <v>16.238558000000001</v>
      </c>
      <c r="K10250" s="6">
        <v>-95.153296999999995</v>
      </c>
      <c r="L10250" s="6" t="str">
        <f>HYPERLINK("https://maps.google.com/?q=16.238558,-95.153296999999995", "🔗 Ver Mapa")</f>
        <v>🔗 Ver Mapa</v>
      </c>
    </row>
    <row r="10251" spans="1:12" ht="43.5" x14ac:dyDescent="0.35">
      <c r="A10251" s="5" t="s">
        <v>98</v>
      </c>
      <c r="B10251" s="5" t="s">
        <v>99</v>
      </c>
      <c r="C10251" s="5" t="s">
        <v>1786</v>
      </c>
      <c r="D10251" s="5" t="s">
        <v>14</v>
      </c>
      <c r="E10251" s="5" t="s">
        <v>158</v>
      </c>
      <c r="F10251" s="5" t="s">
        <v>166</v>
      </c>
      <c r="G10251" s="5" t="s">
        <v>1787</v>
      </c>
      <c r="H10251" s="5" t="s">
        <v>1788</v>
      </c>
      <c r="I10251" s="5" t="s">
        <v>31</v>
      </c>
      <c r="J10251" s="5">
        <v>16.23956144445</v>
      </c>
      <c r="K10251" s="5">
        <v>-95.154310381358997</v>
      </c>
      <c r="L10251" s="5" t="str">
        <f>HYPERLINK("https://maps.google.com/?q=16.23956144445,-95.154310381359196", "🔗 Ver Mapa")</f>
        <v>🔗 Ver Mapa</v>
      </c>
    </row>
    <row r="10252" spans="1:12" ht="43.5" x14ac:dyDescent="0.35">
      <c r="A10252" s="6" t="s">
        <v>98</v>
      </c>
      <c r="B10252" s="6" t="s">
        <v>99</v>
      </c>
      <c r="C10252" s="6" t="s">
        <v>1786</v>
      </c>
      <c r="D10252" s="6" t="s">
        <v>14</v>
      </c>
      <c r="E10252" s="6" t="s">
        <v>158</v>
      </c>
      <c r="F10252" s="6" t="s">
        <v>166</v>
      </c>
      <c r="G10252" s="6" t="s">
        <v>1787</v>
      </c>
      <c r="H10252" s="6" t="s">
        <v>1788</v>
      </c>
      <c r="I10252" s="6" t="s">
        <v>31</v>
      </c>
      <c r="J10252" s="6">
        <v>16.239751999999999</v>
      </c>
      <c r="K10252" s="6">
        <v>-95.153705000000002</v>
      </c>
      <c r="L10252" s="6" t="str">
        <f>HYPERLINK("https://maps.google.com/?q=16.239752,-95.153705000000002", "🔗 Ver Mapa")</f>
        <v>🔗 Ver Mapa</v>
      </c>
    </row>
    <row r="10253" spans="1:12" ht="43.5" x14ac:dyDescent="0.35">
      <c r="A10253" s="5" t="s">
        <v>98</v>
      </c>
      <c r="B10253" s="5" t="s">
        <v>99</v>
      </c>
      <c r="C10253" s="5" t="s">
        <v>1786</v>
      </c>
      <c r="D10253" s="5" t="s">
        <v>14</v>
      </c>
      <c r="E10253" s="5" t="s">
        <v>158</v>
      </c>
      <c r="F10253" s="5" t="s">
        <v>166</v>
      </c>
      <c r="G10253" s="5" t="s">
        <v>1787</v>
      </c>
      <c r="H10253" s="5" t="s">
        <v>1788</v>
      </c>
      <c r="I10253" s="5" t="s">
        <v>31</v>
      </c>
      <c r="J10253" s="5">
        <v>16.241262913909999</v>
      </c>
      <c r="K10253" s="5">
        <v>-95.152791164581004</v>
      </c>
      <c r="L10253" s="5" t="str">
        <f>HYPERLINK("https://maps.google.com/?q=16.2412629139104,-95.152791164581402", "🔗 Ver Mapa")</f>
        <v>🔗 Ver Mapa</v>
      </c>
    </row>
    <row r="10254" spans="1:12" ht="43.5" x14ac:dyDescent="0.35">
      <c r="A10254" s="6" t="s">
        <v>98</v>
      </c>
      <c r="B10254" s="6" t="s">
        <v>99</v>
      </c>
      <c r="C10254" s="6" t="s">
        <v>1786</v>
      </c>
      <c r="D10254" s="6" t="s">
        <v>14</v>
      </c>
      <c r="E10254" s="6" t="s">
        <v>158</v>
      </c>
      <c r="F10254" s="6" t="s">
        <v>166</v>
      </c>
      <c r="G10254" s="6" t="s">
        <v>1787</v>
      </c>
      <c r="H10254" s="6" t="s">
        <v>1788</v>
      </c>
      <c r="I10254" s="6" t="s">
        <v>31</v>
      </c>
      <c r="J10254" s="6">
        <v>16.241413999999999</v>
      </c>
      <c r="K10254" s="6">
        <v>-95.153329999999997</v>
      </c>
      <c r="L10254" s="6" t="str">
        <f>HYPERLINK("https://maps.google.com/?q=16.241414,-95.153329999999997", "🔗 Ver Mapa")</f>
        <v>🔗 Ver Mapa</v>
      </c>
    </row>
    <row r="10255" spans="1:12" ht="43.5" x14ac:dyDescent="0.35">
      <c r="A10255" s="5" t="s">
        <v>98</v>
      </c>
      <c r="B10255" s="5" t="s">
        <v>99</v>
      </c>
      <c r="C10255" s="5" t="s">
        <v>1786</v>
      </c>
      <c r="D10255" s="5" t="s">
        <v>14</v>
      </c>
      <c r="E10255" s="5" t="s">
        <v>158</v>
      </c>
      <c r="F10255" s="5" t="s">
        <v>166</v>
      </c>
      <c r="G10255" s="5" t="s">
        <v>1787</v>
      </c>
      <c r="H10255" s="5" t="s">
        <v>1788</v>
      </c>
      <c r="I10255" s="5" t="s">
        <v>31</v>
      </c>
      <c r="J10255" s="5">
        <v>16.241416261095001</v>
      </c>
      <c r="K10255" s="5">
        <v>-95.153077090555996</v>
      </c>
      <c r="L10255" s="5" t="str">
        <f>HYPERLINK("https://maps.google.com/?q=16.2414162610951,-95.153077090555996", "🔗 Ver Mapa")</f>
        <v>🔗 Ver Mapa</v>
      </c>
    </row>
    <row r="10256" spans="1:12" ht="43.5" x14ac:dyDescent="0.35">
      <c r="A10256" s="6" t="s">
        <v>98</v>
      </c>
      <c r="B10256" s="6" t="s">
        <v>99</v>
      </c>
      <c r="C10256" s="6" t="s">
        <v>1786</v>
      </c>
      <c r="D10256" s="6" t="s">
        <v>14</v>
      </c>
      <c r="E10256" s="6" t="s">
        <v>158</v>
      </c>
      <c r="F10256" s="6" t="s">
        <v>166</v>
      </c>
      <c r="G10256" s="6" t="s">
        <v>1787</v>
      </c>
      <c r="H10256" s="6" t="s">
        <v>1788</v>
      </c>
      <c r="I10256" s="6" t="s">
        <v>31</v>
      </c>
      <c r="J10256" s="6">
        <v>16.242011999999999</v>
      </c>
      <c r="K10256" s="6">
        <v>-95.151989999999998</v>
      </c>
      <c r="L10256" s="6" t="str">
        <f>HYPERLINK("https://maps.google.com/?q=16.242012,-95.151989999999998", "🔗 Ver Mapa")</f>
        <v>🔗 Ver Mapa</v>
      </c>
    </row>
    <row r="10257" spans="1:12" ht="43.5" x14ac:dyDescent="0.35">
      <c r="A10257" s="5" t="s">
        <v>98</v>
      </c>
      <c r="B10257" s="5" t="s">
        <v>99</v>
      </c>
      <c r="C10257" s="5" t="s">
        <v>1786</v>
      </c>
      <c r="D10257" s="5" t="s">
        <v>14</v>
      </c>
      <c r="E10257" s="5" t="s">
        <v>158</v>
      </c>
      <c r="F10257" s="5" t="s">
        <v>166</v>
      </c>
      <c r="G10257" s="5" t="s">
        <v>1787</v>
      </c>
      <c r="H10257" s="5" t="s">
        <v>1788</v>
      </c>
      <c r="I10257" s="5" t="s">
        <v>31</v>
      </c>
      <c r="J10257" s="5">
        <v>16.242127</v>
      </c>
      <c r="K10257" s="5">
        <v>-95.151826999999997</v>
      </c>
      <c r="L10257" s="5" t="str">
        <f>HYPERLINK("https://maps.google.com/?q=16.242127,-95.151826999999997", "🔗 Ver Mapa")</f>
        <v>🔗 Ver Mapa</v>
      </c>
    </row>
    <row r="10258" spans="1:12" ht="43.5" x14ac:dyDescent="0.35">
      <c r="A10258" s="6" t="s">
        <v>98</v>
      </c>
      <c r="B10258" s="6" t="s">
        <v>99</v>
      </c>
      <c r="C10258" s="6" t="s">
        <v>1786</v>
      </c>
      <c r="D10258" s="6" t="s">
        <v>14</v>
      </c>
      <c r="E10258" s="6" t="s">
        <v>158</v>
      </c>
      <c r="F10258" s="6" t="s">
        <v>166</v>
      </c>
      <c r="G10258" s="6" t="s">
        <v>1787</v>
      </c>
      <c r="H10258" s="6" t="s">
        <v>1788</v>
      </c>
      <c r="I10258" s="6" t="s">
        <v>31</v>
      </c>
      <c r="J10258" s="6">
        <v>16.242640000000002</v>
      </c>
      <c r="K10258" s="6">
        <v>-95.150834000000003</v>
      </c>
      <c r="L10258" s="6" t="str">
        <f>HYPERLINK("https://maps.google.com/?q=16.24264,-95.150834000000003", "🔗 Ver Mapa")</f>
        <v>🔗 Ver Mapa</v>
      </c>
    </row>
    <row r="10259" spans="1:12" ht="43.5" x14ac:dyDescent="0.35">
      <c r="A10259" s="5" t="s">
        <v>98</v>
      </c>
      <c r="B10259" s="5" t="s">
        <v>99</v>
      </c>
      <c r="C10259" s="5" t="s">
        <v>1786</v>
      </c>
      <c r="D10259" s="5" t="s">
        <v>14</v>
      </c>
      <c r="E10259" s="5" t="s">
        <v>158</v>
      </c>
      <c r="F10259" s="5" t="s">
        <v>166</v>
      </c>
      <c r="G10259" s="5" t="s">
        <v>1787</v>
      </c>
      <c r="H10259" s="5" t="s">
        <v>1788</v>
      </c>
      <c r="I10259" s="5" t="s">
        <v>31</v>
      </c>
      <c r="J10259" s="5">
        <v>16.243041813167</v>
      </c>
      <c r="K10259" s="5">
        <v>-95.150796486424994</v>
      </c>
      <c r="L10259" s="5" t="str">
        <f>HYPERLINK("https://maps.google.com/?q=16.2430418131672,-95.150796486424696", "🔗 Ver Mapa")</f>
        <v>🔗 Ver Mapa</v>
      </c>
    </row>
    <row r="10260" spans="1:12" ht="43.5" x14ac:dyDescent="0.35">
      <c r="A10260" s="6" t="s">
        <v>98</v>
      </c>
      <c r="B10260" s="6" t="s">
        <v>99</v>
      </c>
      <c r="C10260" s="6" t="s">
        <v>1786</v>
      </c>
      <c r="D10260" s="6" t="s">
        <v>14</v>
      </c>
      <c r="E10260" s="6" t="s">
        <v>158</v>
      </c>
      <c r="F10260" s="6" t="s">
        <v>166</v>
      </c>
      <c r="G10260" s="6" t="s">
        <v>1787</v>
      </c>
      <c r="H10260" s="6" t="s">
        <v>1788</v>
      </c>
      <c r="I10260" s="6" t="s">
        <v>31</v>
      </c>
      <c r="J10260" s="6">
        <v>16.243539999999999</v>
      </c>
      <c r="K10260" s="6">
        <v>-95.153135000000006</v>
      </c>
      <c r="L10260" s="6" t="str">
        <f>HYPERLINK("https://maps.google.com/?q=16.24354,-95.153135000000006", "🔗 Ver Mapa")</f>
        <v>🔗 Ver Mapa</v>
      </c>
    </row>
    <row r="10261" spans="1:12" ht="43.5" x14ac:dyDescent="0.35">
      <c r="A10261" s="5" t="s">
        <v>98</v>
      </c>
      <c r="B10261" s="5" t="s">
        <v>99</v>
      </c>
      <c r="C10261" s="5" t="s">
        <v>1786</v>
      </c>
      <c r="D10261" s="5" t="s">
        <v>14</v>
      </c>
      <c r="E10261" s="5" t="s">
        <v>158</v>
      </c>
      <c r="F10261" s="5" t="s">
        <v>166</v>
      </c>
      <c r="G10261" s="5" t="s">
        <v>1787</v>
      </c>
      <c r="H10261" s="5" t="s">
        <v>1788</v>
      </c>
      <c r="I10261" s="5" t="s">
        <v>31</v>
      </c>
      <c r="J10261" s="5">
        <v>16.243586455687002</v>
      </c>
      <c r="K10261" s="5">
        <v>-95.151998786614996</v>
      </c>
      <c r="L10261" s="5" t="str">
        <f>HYPERLINK("https://maps.google.com/?q=16.2435864556873,-95.151998786615295", "🔗 Ver Mapa")</f>
        <v>🔗 Ver Mapa</v>
      </c>
    </row>
    <row r="10262" spans="1:12" ht="43.5" x14ac:dyDescent="0.35">
      <c r="A10262" s="6" t="s">
        <v>98</v>
      </c>
      <c r="B10262" s="6" t="s">
        <v>99</v>
      </c>
      <c r="C10262" s="6" t="s">
        <v>1786</v>
      </c>
      <c r="D10262" s="6" t="s">
        <v>14</v>
      </c>
      <c r="E10262" s="6" t="s">
        <v>158</v>
      </c>
      <c r="F10262" s="6" t="s">
        <v>166</v>
      </c>
      <c r="G10262" s="6" t="s">
        <v>1787</v>
      </c>
      <c r="H10262" s="6" t="s">
        <v>1788</v>
      </c>
      <c r="I10262" s="6" t="s">
        <v>31</v>
      </c>
      <c r="J10262" s="6">
        <v>16.244192000000002</v>
      </c>
      <c r="K10262" s="6">
        <v>-95.153356000000002</v>
      </c>
      <c r="L10262" s="6" t="str">
        <f>HYPERLINK("https://maps.google.com/?q=16.244192,-95.153356000000002", "🔗 Ver Mapa")</f>
        <v>🔗 Ver Mapa</v>
      </c>
    </row>
    <row r="10263" spans="1:12" ht="43.5" x14ac:dyDescent="0.35">
      <c r="A10263" s="5" t="s">
        <v>98</v>
      </c>
      <c r="B10263" s="5" t="s">
        <v>99</v>
      </c>
      <c r="C10263" s="5" t="s">
        <v>1786</v>
      </c>
      <c r="D10263" s="5" t="s">
        <v>14</v>
      </c>
      <c r="E10263" s="5" t="s">
        <v>158</v>
      </c>
      <c r="F10263" s="5" t="s">
        <v>166</v>
      </c>
      <c r="G10263" s="5" t="s">
        <v>1787</v>
      </c>
      <c r="H10263" s="5" t="s">
        <v>1788</v>
      </c>
      <c r="I10263" s="5" t="s">
        <v>31</v>
      </c>
      <c r="J10263" s="5">
        <v>16.244543</v>
      </c>
      <c r="K10263" s="5">
        <v>-95.151437999999999</v>
      </c>
      <c r="L10263" s="5" t="str">
        <f>HYPERLINK("https://maps.google.com/?q=16.244543,-95.151437999999999", "🔗 Ver Mapa")</f>
        <v>🔗 Ver Mapa</v>
      </c>
    </row>
    <row r="10264" spans="1:12" ht="43.5" x14ac:dyDescent="0.35">
      <c r="A10264" s="6" t="s">
        <v>98</v>
      </c>
      <c r="B10264" s="6" t="s">
        <v>99</v>
      </c>
      <c r="C10264" s="6" t="s">
        <v>1786</v>
      </c>
      <c r="D10264" s="6" t="s">
        <v>14</v>
      </c>
      <c r="E10264" s="6" t="s">
        <v>158</v>
      </c>
      <c r="F10264" s="6" t="s">
        <v>166</v>
      </c>
      <c r="G10264" s="6" t="s">
        <v>1787</v>
      </c>
      <c r="H10264" s="6" t="s">
        <v>1788</v>
      </c>
      <c r="I10264" s="6" t="s">
        <v>31</v>
      </c>
      <c r="J10264" s="6">
        <v>16.244551999999999</v>
      </c>
      <c r="K10264" s="6">
        <v>-95.151570000000007</v>
      </c>
      <c r="L10264" s="6" t="str">
        <f>HYPERLINK("https://maps.google.com/?q=16.244552,-95.151570000000007", "🔗 Ver Mapa")</f>
        <v>🔗 Ver Mapa</v>
      </c>
    </row>
    <row r="10265" spans="1:12" ht="43.5" x14ac:dyDescent="0.35">
      <c r="A10265" s="5" t="s">
        <v>98</v>
      </c>
      <c r="B10265" s="5" t="s">
        <v>99</v>
      </c>
      <c r="C10265" s="5" t="s">
        <v>1786</v>
      </c>
      <c r="D10265" s="5" t="s">
        <v>14</v>
      </c>
      <c r="E10265" s="5" t="s">
        <v>158</v>
      </c>
      <c r="F10265" s="5" t="s">
        <v>166</v>
      </c>
      <c r="G10265" s="5" t="s">
        <v>1787</v>
      </c>
      <c r="H10265" s="5" t="s">
        <v>1788</v>
      </c>
      <c r="I10265" s="5" t="s">
        <v>31</v>
      </c>
      <c r="J10265" s="5">
        <v>16.244751317561999</v>
      </c>
      <c r="K10265" s="5">
        <v>-95.145055267027999</v>
      </c>
      <c r="L10265" s="5" t="str">
        <f>HYPERLINK("https://maps.google.com/?q=16.2447513175623,-95.145055267028496", "🔗 Ver Mapa")</f>
        <v>🔗 Ver Mapa</v>
      </c>
    </row>
    <row r="10266" spans="1:12" ht="43.5" x14ac:dyDescent="0.35">
      <c r="A10266" s="6" t="s">
        <v>98</v>
      </c>
      <c r="B10266" s="6" t="s">
        <v>99</v>
      </c>
      <c r="C10266" s="6" t="s">
        <v>1786</v>
      </c>
      <c r="D10266" s="6" t="s">
        <v>14</v>
      </c>
      <c r="E10266" s="6" t="s">
        <v>158</v>
      </c>
      <c r="F10266" s="6" t="s">
        <v>166</v>
      </c>
      <c r="G10266" s="6" t="s">
        <v>1787</v>
      </c>
      <c r="H10266" s="6" t="s">
        <v>1788</v>
      </c>
      <c r="I10266" s="6" t="s">
        <v>31</v>
      </c>
      <c r="J10266" s="6">
        <v>16.244761</v>
      </c>
      <c r="K10266" s="6">
        <v>-95.146981999999994</v>
      </c>
      <c r="L10266" s="6" t="str">
        <f>HYPERLINK("https://maps.google.com/?q=16.244761,-95.146981999999994", "🔗 Ver Mapa")</f>
        <v>🔗 Ver Mapa</v>
      </c>
    </row>
    <row r="10267" spans="1:12" ht="43.5" x14ac:dyDescent="0.35">
      <c r="A10267" s="5" t="s">
        <v>98</v>
      </c>
      <c r="B10267" s="5" t="s">
        <v>99</v>
      </c>
      <c r="C10267" s="5" t="s">
        <v>1786</v>
      </c>
      <c r="D10267" s="5" t="s">
        <v>14</v>
      </c>
      <c r="E10267" s="5" t="s">
        <v>158</v>
      </c>
      <c r="F10267" s="5" t="s">
        <v>166</v>
      </c>
      <c r="G10267" s="5" t="s">
        <v>1787</v>
      </c>
      <c r="H10267" s="5" t="s">
        <v>1788</v>
      </c>
      <c r="I10267" s="5" t="s">
        <v>31</v>
      </c>
      <c r="J10267" s="5">
        <v>16.244854</v>
      </c>
      <c r="K10267" s="5">
        <v>-95.150143999999997</v>
      </c>
      <c r="L10267" s="5" t="str">
        <f>HYPERLINK("https://maps.google.com/?q=16.244854,-95.150143999999997", "🔗 Ver Mapa")</f>
        <v>🔗 Ver Mapa</v>
      </c>
    </row>
    <row r="10268" spans="1:12" ht="43.5" x14ac:dyDescent="0.35">
      <c r="A10268" s="6" t="s">
        <v>98</v>
      </c>
      <c r="B10268" s="6" t="s">
        <v>99</v>
      </c>
      <c r="C10268" s="6" t="s">
        <v>1786</v>
      </c>
      <c r="D10268" s="6" t="s">
        <v>14</v>
      </c>
      <c r="E10268" s="6" t="s">
        <v>158</v>
      </c>
      <c r="F10268" s="6" t="s">
        <v>166</v>
      </c>
      <c r="G10268" s="6" t="s">
        <v>1787</v>
      </c>
      <c r="H10268" s="6" t="s">
        <v>1788</v>
      </c>
      <c r="I10268" s="6" t="s">
        <v>31</v>
      </c>
      <c r="J10268" s="6">
        <v>16.244856149806001</v>
      </c>
      <c r="K10268" s="6">
        <v>-95.146680294020001</v>
      </c>
      <c r="L10268" s="6" t="str">
        <f>HYPERLINK("https://maps.google.com/?q=16.244856149806,-95.146680294019802", "🔗 Ver Mapa")</f>
        <v>🔗 Ver Mapa</v>
      </c>
    </row>
    <row r="10269" spans="1:12" ht="43.5" x14ac:dyDescent="0.35">
      <c r="A10269" s="5" t="s">
        <v>98</v>
      </c>
      <c r="B10269" s="5" t="s">
        <v>99</v>
      </c>
      <c r="C10269" s="5" t="s">
        <v>1786</v>
      </c>
      <c r="D10269" s="5" t="s">
        <v>14</v>
      </c>
      <c r="E10269" s="5" t="s">
        <v>158</v>
      </c>
      <c r="F10269" s="5" t="s">
        <v>166</v>
      </c>
      <c r="G10269" s="5" t="s">
        <v>1787</v>
      </c>
      <c r="H10269" s="5" t="s">
        <v>1788</v>
      </c>
      <c r="I10269" s="5" t="s">
        <v>31</v>
      </c>
      <c r="J10269" s="5">
        <v>16.244931000000001</v>
      </c>
      <c r="K10269" s="5">
        <v>-95.148137000000006</v>
      </c>
      <c r="L10269" s="5" t="str">
        <f>HYPERLINK("https://maps.google.com/?q=16.244931,-95.148137000000006", "🔗 Ver Mapa")</f>
        <v>🔗 Ver Mapa</v>
      </c>
    </row>
    <row r="10270" spans="1:12" ht="43.5" x14ac:dyDescent="0.35">
      <c r="A10270" s="6" t="s">
        <v>98</v>
      </c>
      <c r="B10270" s="6" t="s">
        <v>99</v>
      </c>
      <c r="C10270" s="6" t="s">
        <v>1786</v>
      </c>
      <c r="D10270" s="6" t="s">
        <v>14</v>
      </c>
      <c r="E10270" s="6" t="s">
        <v>158</v>
      </c>
      <c r="F10270" s="6" t="s">
        <v>166</v>
      </c>
      <c r="G10270" s="6" t="s">
        <v>1787</v>
      </c>
      <c r="H10270" s="6" t="s">
        <v>1788</v>
      </c>
      <c r="I10270" s="6" t="s">
        <v>31</v>
      </c>
      <c r="J10270" s="6">
        <v>16.244993000000001</v>
      </c>
      <c r="K10270" s="6">
        <v>-95.147294000000002</v>
      </c>
      <c r="L10270" s="6" t="str">
        <f>HYPERLINK("https://maps.google.com/?q=16.244993,-95.147294000000002", "🔗 Ver Mapa")</f>
        <v>🔗 Ver Mapa</v>
      </c>
    </row>
    <row r="10271" spans="1:12" ht="43.5" x14ac:dyDescent="0.35">
      <c r="A10271" s="5" t="s">
        <v>98</v>
      </c>
      <c r="B10271" s="5" t="s">
        <v>99</v>
      </c>
      <c r="C10271" s="5" t="s">
        <v>1786</v>
      </c>
      <c r="D10271" s="5" t="s">
        <v>14</v>
      </c>
      <c r="E10271" s="5" t="s">
        <v>158</v>
      </c>
      <c r="F10271" s="5" t="s">
        <v>166</v>
      </c>
      <c r="G10271" s="5" t="s">
        <v>1787</v>
      </c>
      <c r="H10271" s="5" t="s">
        <v>1788</v>
      </c>
      <c r="I10271" s="5" t="s">
        <v>31</v>
      </c>
      <c r="J10271" s="5">
        <v>16.245045000000001</v>
      </c>
      <c r="K10271" s="5">
        <v>-95.149332000000001</v>
      </c>
      <c r="L10271" s="5" t="str">
        <f>HYPERLINK("https://maps.google.com/?q=16.245045,-95.149332000000001", "🔗 Ver Mapa")</f>
        <v>🔗 Ver Mapa</v>
      </c>
    </row>
    <row r="10272" spans="1:12" ht="43.5" x14ac:dyDescent="0.35">
      <c r="A10272" s="6" t="s">
        <v>98</v>
      </c>
      <c r="B10272" s="6" t="s">
        <v>99</v>
      </c>
      <c r="C10272" s="6" t="s">
        <v>1786</v>
      </c>
      <c r="D10272" s="6" t="s">
        <v>14</v>
      </c>
      <c r="E10272" s="6" t="s">
        <v>158</v>
      </c>
      <c r="F10272" s="6" t="s">
        <v>166</v>
      </c>
      <c r="G10272" s="6" t="s">
        <v>1787</v>
      </c>
      <c r="H10272" s="6" t="s">
        <v>1788</v>
      </c>
      <c r="I10272" s="6" t="s">
        <v>31</v>
      </c>
      <c r="J10272" s="6">
        <v>16.245062000000001</v>
      </c>
      <c r="K10272" s="6">
        <v>-95.142714999999995</v>
      </c>
      <c r="L10272" s="6" t="str">
        <f>HYPERLINK("https://maps.google.com/?q=16.245062,-95.142714999999995", "🔗 Ver Mapa")</f>
        <v>🔗 Ver Mapa</v>
      </c>
    </row>
    <row r="10273" spans="1:12" ht="43.5" x14ac:dyDescent="0.35">
      <c r="A10273" s="5" t="s">
        <v>98</v>
      </c>
      <c r="B10273" s="5" t="s">
        <v>99</v>
      </c>
      <c r="C10273" s="5" t="s">
        <v>1786</v>
      </c>
      <c r="D10273" s="5" t="s">
        <v>14</v>
      </c>
      <c r="E10273" s="5" t="s">
        <v>158</v>
      </c>
      <c r="F10273" s="5" t="s">
        <v>166</v>
      </c>
      <c r="G10273" s="5" t="s">
        <v>1787</v>
      </c>
      <c r="H10273" s="5" t="s">
        <v>1788</v>
      </c>
      <c r="I10273" s="5" t="s">
        <v>31</v>
      </c>
      <c r="J10273" s="5">
        <v>16.245142000000001</v>
      </c>
      <c r="K10273" s="5">
        <v>-95.147433000000007</v>
      </c>
      <c r="L10273" s="5" t="str">
        <f>HYPERLINK("https://maps.google.com/?q=16.245142,-95.147433000000007", "🔗 Ver Mapa")</f>
        <v>🔗 Ver Mapa</v>
      </c>
    </row>
    <row r="10274" spans="1:12" ht="43.5" x14ac:dyDescent="0.35">
      <c r="A10274" s="6" t="s">
        <v>98</v>
      </c>
      <c r="B10274" s="6" t="s">
        <v>99</v>
      </c>
      <c r="C10274" s="6" t="s">
        <v>1786</v>
      </c>
      <c r="D10274" s="6" t="s">
        <v>14</v>
      </c>
      <c r="E10274" s="6" t="s">
        <v>158</v>
      </c>
      <c r="F10274" s="6" t="s">
        <v>166</v>
      </c>
      <c r="G10274" s="6" t="s">
        <v>1787</v>
      </c>
      <c r="H10274" s="6" t="s">
        <v>1788</v>
      </c>
      <c r="I10274" s="6" t="s">
        <v>31</v>
      </c>
      <c r="J10274" s="6">
        <v>16.245166999999999</v>
      </c>
      <c r="K10274" s="6">
        <v>-95.150210000000001</v>
      </c>
      <c r="L10274" s="6" t="str">
        <f>HYPERLINK("https://maps.google.com/?q=16.245167,-95.150210000000001", "🔗 Ver Mapa")</f>
        <v>🔗 Ver Mapa</v>
      </c>
    </row>
    <row r="10275" spans="1:12" ht="43.5" x14ac:dyDescent="0.35">
      <c r="A10275" s="5" t="s">
        <v>98</v>
      </c>
      <c r="B10275" s="5" t="s">
        <v>99</v>
      </c>
      <c r="C10275" s="5" t="s">
        <v>1786</v>
      </c>
      <c r="D10275" s="5" t="s">
        <v>14</v>
      </c>
      <c r="E10275" s="5" t="s">
        <v>158</v>
      </c>
      <c r="F10275" s="5" t="s">
        <v>166</v>
      </c>
      <c r="G10275" s="5" t="s">
        <v>1787</v>
      </c>
      <c r="H10275" s="5" t="s">
        <v>1788</v>
      </c>
      <c r="I10275" s="5" t="s">
        <v>31</v>
      </c>
      <c r="J10275" s="5">
        <v>16.245267999999999</v>
      </c>
      <c r="K10275" s="5">
        <v>-95.152187999999995</v>
      </c>
      <c r="L10275" s="5" t="str">
        <f>HYPERLINK("https://maps.google.com/?q=16.245268,-95.152187999999995", "🔗 Ver Mapa")</f>
        <v>🔗 Ver Mapa</v>
      </c>
    </row>
    <row r="10276" spans="1:12" ht="43.5" x14ac:dyDescent="0.35">
      <c r="A10276" s="6" t="s">
        <v>98</v>
      </c>
      <c r="B10276" s="6" t="s">
        <v>99</v>
      </c>
      <c r="C10276" s="6" t="s">
        <v>1786</v>
      </c>
      <c r="D10276" s="6" t="s">
        <v>14</v>
      </c>
      <c r="E10276" s="6" t="s">
        <v>158</v>
      </c>
      <c r="F10276" s="6" t="s">
        <v>166</v>
      </c>
      <c r="G10276" s="6" t="s">
        <v>1787</v>
      </c>
      <c r="H10276" s="6" t="s">
        <v>1788</v>
      </c>
      <c r="I10276" s="6" t="s">
        <v>31</v>
      </c>
      <c r="J10276" s="6">
        <v>16.245494999999998</v>
      </c>
      <c r="K10276" s="6">
        <v>-95.140764000000004</v>
      </c>
      <c r="L10276" s="6" t="str">
        <f>HYPERLINK("https://maps.google.com/?q=16.245495,-95.140764000000004", "🔗 Ver Mapa")</f>
        <v>🔗 Ver Mapa</v>
      </c>
    </row>
    <row r="10277" spans="1:12" ht="43.5" x14ac:dyDescent="0.35">
      <c r="A10277" s="5" t="s">
        <v>98</v>
      </c>
      <c r="B10277" s="5" t="s">
        <v>99</v>
      </c>
      <c r="C10277" s="5" t="s">
        <v>1786</v>
      </c>
      <c r="D10277" s="5" t="s">
        <v>14</v>
      </c>
      <c r="E10277" s="5" t="s">
        <v>158</v>
      </c>
      <c r="F10277" s="5" t="s">
        <v>166</v>
      </c>
      <c r="G10277" s="5" t="s">
        <v>1787</v>
      </c>
      <c r="H10277" s="5" t="s">
        <v>1788</v>
      </c>
      <c r="I10277" s="5" t="s">
        <v>31</v>
      </c>
      <c r="J10277" s="5">
        <v>16.245557000000002</v>
      </c>
      <c r="K10277" s="5">
        <v>-95.149275000000003</v>
      </c>
      <c r="L10277" s="5" t="str">
        <f>HYPERLINK("https://maps.google.com/?q=16.245557,-95.149275000000003", "🔗 Ver Mapa")</f>
        <v>🔗 Ver Mapa</v>
      </c>
    </row>
    <row r="10278" spans="1:12" ht="43.5" x14ac:dyDescent="0.35">
      <c r="A10278" s="6" t="s">
        <v>98</v>
      </c>
      <c r="B10278" s="6" t="s">
        <v>99</v>
      </c>
      <c r="C10278" s="6" t="s">
        <v>1786</v>
      </c>
      <c r="D10278" s="6" t="s">
        <v>14</v>
      </c>
      <c r="E10278" s="6" t="s">
        <v>158</v>
      </c>
      <c r="F10278" s="6" t="s">
        <v>166</v>
      </c>
      <c r="G10278" s="6" t="s">
        <v>1787</v>
      </c>
      <c r="H10278" s="6" t="s">
        <v>1788</v>
      </c>
      <c r="I10278" s="6" t="s">
        <v>31</v>
      </c>
      <c r="J10278" s="6">
        <v>16.245619000000001</v>
      </c>
      <c r="K10278" s="6">
        <v>-95.146885999999995</v>
      </c>
      <c r="L10278" s="6" t="str">
        <f>HYPERLINK("https://maps.google.com/?q=16.245619,-95.146885999999995", "🔗 Ver Mapa")</f>
        <v>🔗 Ver Mapa</v>
      </c>
    </row>
    <row r="10279" spans="1:12" ht="43.5" x14ac:dyDescent="0.35">
      <c r="A10279" s="5" t="s">
        <v>98</v>
      </c>
      <c r="B10279" s="5" t="s">
        <v>99</v>
      </c>
      <c r="C10279" s="5" t="s">
        <v>1786</v>
      </c>
      <c r="D10279" s="5" t="s">
        <v>14</v>
      </c>
      <c r="E10279" s="5" t="s">
        <v>158</v>
      </c>
      <c r="F10279" s="5" t="s">
        <v>166</v>
      </c>
      <c r="G10279" s="5" t="s">
        <v>1787</v>
      </c>
      <c r="H10279" s="5" t="s">
        <v>1788</v>
      </c>
      <c r="I10279" s="5" t="s">
        <v>31</v>
      </c>
      <c r="J10279" s="5">
        <v>16.245636000000001</v>
      </c>
      <c r="K10279" s="5">
        <v>-95.144405000000006</v>
      </c>
      <c r="L10279" s="5" t="str">
        <f>HYPERLINK("https://maps.google.com/?q=16.245636,-95.144405000000006", "🔗 Ver Mapa")</f>
        <v>🔗 Ver Mapa</v>
      </c>
    </row>
    <row r="10280" spans="1:12" ht="43.5" x14ac:dyDescent="0.35">
      <c r="A10280" s="6" t="s">
        <v>98</v>
      </c>
      <c r="B10280" s="6" t="s">
        <v>99</v>
      </c>
      <c r="C10280" s="6" t="s">
        <v>1786</v>
      </c>
      <c r="D10280" s="6" t="s">
        <v>14</v>
      </c>
      <c r="E10280" s="6" t="s">
        <v>158</v>
      </c>
      <c r="F10280" s="6" t="s">
        <v>166</v>
      </c>
      <c r="G10280" s="6" t="s">
        <v>1787</v>
      </c>
      <c r="H10280" s="6" t="s">
        <v>1788</v>
      </c>
      <c r="I10280" s="6" t="s">
        <v>31</v>
      </c>
      <c r="J10280" s="6">
        <v>16.245640999999999</v>
      </c>
      <c r="K10280" s="6">
        <v>-95.142720999999995</v>
      </c>
      <c r="L10280" s="6" t="str">
        <f>HYPERLINK("https://maps.google.com/?q=16.245641,-95.142720999999995", "🔗 Ver Mapa")</f>
        <v>🔗 Ver Mapa</v>
      </c>
    </row>
    <row r="10281" spans="1:12" ht="43.5" x14ac:dyDescent="0.35">
      <c r="A10281" s="5" t="s">
        <v>98</v>
      </c>
      <c r="B10281" s="5" t="s">
        <v>99</v>
      </c>
      <c r="C10281" s="5" t="s">
        <v>1786</v>
      </c>
      <c r="D10281" s="5" t="s">
        <v>14</v>
      </c>
      <c r="E10281" s="5" t="s">
        <v>158</v>
      </c>
      <c r="F10281" s="5" t="s">
        <v>166</v>
      </c>
      <c r="G10281" s="5" t="s">
        <v>1787</v>
      </c>
      <c r="H10281" s="5" t="s">
        <v>1788</v>
      </c>
      <c r="I10281" s="5" t="s">
        <v>31</v>
      </c>
      <c r="J10281" s="5">
        <v>16.245660999999998</v>
      </c>
      <c r="K10281" s="5">
        <v>-95.142246</v>
      </c>
      <c r="L10281" s="5" t="str">
        <f>HYPERLINK("https://maps.google.com/?q=16.245661,-95.142246", "🔗 Ver Mapa")</f>
        <v>🔗 Ver Mapa</v>
      </c>
    </row>
    <row r="10282" spans="1:12" ht="43.5" x14ac:dyDescent="0.35">
      <c r="A10282" s="6" t="s">
        <v>98</v>
      </c>
      <c r="B10282" s="6" t="s">
        <v>99</v>
      </c>
      <c r="C10282" s="6" t="s">
        <v>1786</v>
      </c>
      <c r="D10282" s="6" t="s">
        <v>14</v>
      </c>
      <c r="E10282" s="6" t="s">
        <v>158</v>
      </c>
      <c r="F10282" s="6" t="s">
        <v>166</v>
      </c>
      <c r="G10282" s="6" t="s">
        <v>1787</v>
      </c>
      <c r="H10282" s="6" t="s">
        <v>1788</v>
      </c>
      <c r="I10282" s="6" t="s">
        <v>31</v>
      </c>
      <c r="J10282" s="6">
        <v>16.245664999999999</v>
      </c>
      <c r="K10282" s="6">
        <v>-95.144515999999996</v>
      </c>
      <c r="L10282" s="6" t="str">
        <f>HYPERLINK("https://maps.google.com/?q=16.245665,-95.144515999999996", "🔗 Ver Mapa")</f>
        <v>🔗 Ver Mapa</v>
      </c>
    </row>
    <row r="10283" spans="1:12" ht="43.5" x14ac:dyDescent="0.35">
      <c r="A10283" s="5" t="s">
        <v>98</v>
      </c>
      <c r="B10283" s="5" t="s">
        <v>99</v>
      </c>
      <c r="C10283" s="5" t="s">
        <v>1786</v>
      </c>
      <c r="D10283" s="5" t="s">
        <v>14</v>
      </c>
      <c r="E10283" s="5" t="s">
        <v>158</v>
      </c>
      <c r="F10283" s="5" t="s">
        <v>166</v>
      </c>
      <c r="G10283" s="5" t="s">
        <v>1787</v>
      </c>
      <c r="H10283" s="5" t="s">
        <v>1788</v>
      </c>
      <c r="I10283" s="5" t="s">
        <v>31</v>
      </c>
      <c r="J10283" s="5">
        <v>16.245836000000001</v>
      </c>
      <c r="K10283" s="5">
        <v>-95.148798999999997</v>
      </c>
      <c r="L10283" s="5" t="str">
        <f>HYPERLINK("https://maps.google.com/?q=16.245836,-95.148798999999997", "🔗 Ver Mapa")</f>
        <v>🔗 Ver Mapa</v>
      </c>
    </row>
    <row r="10284" spans="1:12" ht="43.5" x14ac:dyDescent="0.35">
      <c r="A10284" s="6" t="s">
        <v>98</v>
      </c>
      <c r="B10284" s="6" t="s">
        <v>99</v>
      </c>
      <c r="C10284" s="6" t="s">
        <v>1786</v>
      </c>
      <c r="D10284" s="6" t="s">
        <v>14</v>
      </c>
      <c r="E10284" s="6" t="s">
        <v>158</v>
      </c>
      <c r="F10284" s="6" t="s">
        <v>166</v>
      </c>
      <c r="G10284" s="6" t="s">
        <v>1787</v>
      </c>
      <c r="H10284" s="6" t="s">
        <v>1788</v>
      </c>
      <c r="I10284" s="6" t="s">
        <v>31</v>
      </c>
      <c r="J10284" s="6">
        <v>16.246067</v>
      </c>
      <c r="K10284" s="6">
        <v>-95.145861999999994</v>
      </c>
      <c r="L10284" s="6" t="str">
        <f>HYPERLINK("https://maps.google.com/?q=16.246067,-95.145861999999994", "🔗 Ver Mapa")</f>
        <v>🔗 Ver Mapa</v>
      </c>
    </row>
    <row r="10285" spans="1:12" ht="43.5" x14ac:dyDescent="0.35">
      <c r="A10285" s="5" t="s">
        <v>98</v>
      </c>
      <c r="B10285" s="5" t="s">
        <v>99</v>
      </c>
      <c r="C10285" s="5" t="s">
        <v>1786</v>
      </c>
      <c r="D10285" s="5" t="s">
        <v>14</v>
      </c>
      <c r="E10285" s="5" t="s">
        <v>158</v>
      </c>
      <c r="F10285" s="5" t="s">
        <v>166</v>
      </c>
      <c r="G10285" s="5" t="s">
        <v>1787</v>
      </c>
      <c r="H10285" s="5" t="s">
        <v>1788</v>
      </c>
      <c r="I10285" s="5" t="s">
        <v>31</v>
      </c>
      <c r="J10285" s="5">
        <v>16.246085000000001</v>
      </c>
      <c r="K10285" s="5">
        <v>-95.147352999999995</v>
      </c>
      <c r="L10285" s="5" t="str">
        <f>HYPERLINK("https://maps.google.com/?q=16.246085,-95.147352999999995", "🔗 Ver Mapa")</f>
        <v>🔗 Ver Mapa</v>
      </c>
    </row>
    <row r="10286" spans="1:12" ht="43.5" x14ac:dyDescent="0.35">
      <c r="A10286" s="6" t="s">
        <v>98</v>
      </c>
      <c r="B10286" s="6" t="s">
        <v>99</v>
      </c>
      <c r="C10286" s="6" t="s">
        <v>1786</v>
      </c>
      <c r="D10286" s="6" t="s">
        <v>14</v>
      </c>
      <c r="E10286" s="6" t="s">
        <v>158</v>
      </c>
      <c r="F10286" s="6" t="s">
        <v>166</v>
      </c>
      <c r="G10286" s="6" t="s">
        <v>1787</v>
      </c>
      <c r="H10286" s="6" t="s">
        <v>1788</v>
      </c>
      <c r="I10286" s="6" t="s">
        <v>31</v>
      </c>
      <c r="J10286" s="6">
        <v>16.246144999999999</v>
      </c>
      <c r="K10286" s="6">
        <v>-95.149653999999998</v>
      </c>
      <c r="L10286" s="6" t="str">
        <f>HYPERLINK("https://maps.google.com/?q=16.246145,-95.149653999999998", "🔗 Ver Mapa")</f>
        <v>🔗 Ver Mapa</v>
      </c>
    </row>
    <row r="10287" spans="1:12" ht="43.5" x14ac:dyDescent="0.35">
      <c r="A10287" s="5" t="s">
        <v>98</v>
      </c>
      <c r="B10287" s="5" t="s">
        <v>99</v>
      </c>
      <c r="C10287" s="5" t="s">
        <v>1786</v>
      </c>
      <c r="D10287" s="5" t="s">
        <v>14</v>
      </c>
      <c r="E10287" s="5" t="s">
        <v>158</v>
      </c>
      <c r="F10287" s="5" t="s">
        <v>166</v>
      </c>
      <c r="G10287" s="5" t="s">
        <v>1787</v>
      </c>
      <c r="H10287" s="5" t="s">
        <v>1788</v>
      </c>
      <c r="I10287" s="5" t="s">
        <v>31</v>
      </c>
      <c r="J10287" s="5">
        <v>16.246161153951</v>
      </c>
      <c r="K10287" s="5">
        <v>-95.150507131384003</v>
      </c>
      <c r="L10287" s="5" t="str">
        <f>HYPERLINK("https://maps.google.com/?q=16.2461611539512,-95.150507131384302", "🔗 Ver Mapa")</f>
        <v>🔗 Ver Mapa</v>
      </c>
    </row>
    <row r="10288" spans="1:12" ht="43.5" x14ac:dyDescent="0.35">
      <c r="A10288" s="6" t="s">
        <v>98</v>
      </c>
      <c r="B10288" s="6" t="s">
        <v>99</v>
      </c>
      <c r="C10288" s="6" t="s">
        <v>1786</v>
      </c>
      <c r="D10288" s="6" t="s">
        <v>14</v>
      </c>
      <c r="E10288" s="6" t="s">
        <v>158</v>
      </c>
      <c r="F10288" s="6" t="s">
        <v>166</v>
      </c>
      <c r="G10288" s="6" t="s">
        <v>1787</v>
      </c>
      <c r="H10288" s="6" t="s">
        <v>1788</v>
      </c>
      <c r="I10288" s="6" t="s">
        <v>31</v>
      </c>
      <c r="J10288" s="6">
        <v>16.246334328713999</v>
      </c>
      <c r="K10288" s="6">
        <v>-95.143539870729995</v>
      </c>
      <c r="L10288" s="6" t="str">
        <f>HYPERLINK("https://maps.google.com/?q=16.2463343287139,-95.143539870729796", "🔗 Ver Mapa")</f>
        <v>🔗 Ver Mapa</v>
      </c>
    </row>
    <row r="10289" spans="1:12" ht="43.5" x14ac:dyDescent="0.35">
      <c r="A10289" s="5" t="s">
        <v>98</v>
      </c>
      <c r="B10289" s="5" t="s">
        <v>99</v>
      </c>
      <c r="C10289" s="5" t="s">
        <v>1786</v>
      </c>
      <c r="D10289" s="5" t="s">
        <v>14</v>
      </c>
      <c r="E10289" s="5" t="s">
        <v>158</v>
      </c>
      <c r="F10289" s="5" t="s">
        <v>166</v>
      </c>
      <c r="G10289" s="5" t="s">
        <v>1787</v>
      </c>
      <c r="H10289" s="5" t="s">
        <v>1788</v>
      </c>
      <c r="I10289" s="5" t="s">
        <v>31</v>
      </c>
      <c r="J10289" s="5">
        <v>16.246434092721</v>
      </c>
      <c r="K10289" s="5">
        <v>-95.141638889890999</v>
      </c>
      <c r="L10289" s="5" t="str">
        <f>HYPERLINK("https://maps.google.com/?q=16.2464340927213,-95.141638889890601", "🔗 Ver Mapa")</f>
        <v>🔗 Ver Mapa</v>
      </c>
    </row>
    <row r="10290" spans="1:12" ht="43.5" x14ac:dyDescent="0.35">
      <c r="A10290" s="6" t="s">
        <v>98</v>
      </c>
      <c r="B10290" s="6" t="s">
        <v>99</v>
      </c>
      <c r="C10290" s="6" t="s">
        <v>1786</v>
      </c>
      <c r="D10290" s="6" t="s">
        <v>14</v>
      </c>
      <c r="E10290" s="6" t="s">
        <v>158</v>
      </c>
      <c r="F10290" s="6" t="s">
        <v>166</v>
      </c>
      <c r="G10290" s="6" t="s">
        <v>1787</v>
      </c>
      <c r="H10290" s="6" t="s">
        <v>1788</v>
      </c>
      <c r="I10290" s="6" t="s">
        <v>31</v>
      </c>
      <c r="J10290" s="6">
        <v>16.246993</v>
      </c>
      <c r="K10290" s="6">
        <v>-95.144593999999998</v>
      </c>
      <c r="L10290" s="6" t="str">
        <f>HYPERLINK("https://maps.google.com/?q=16.246993,-95.144593999999998", "🔗 Ver Mapa")</f>
        <v>🔗 Ver Mapa</v>
      </c>
    </row>
    <row r="10291" spans="1:12" ht="43.5" x14ac:dyDescent="0.35">
      <c r="A10291" s="5" t="s">
        <v>98</v>
      </c>
      <c r="B10291" s="5" t="s">
        <v>99</v>
      </c>
      <c r="C10291" s="5" t="s">
        <v>1786</v>
      </c>
      <c r="D10291" s="5" t="s">
        <v>14</v>
      </c>
      <c r="E10291" s="5" t="s">
        <v>158</v>
      </c>
      <c r="F10291" s="5" t="s">
        <v>166</v>
      </c>
      <c r="G10291" s="5" t="s">
        <v>1787</v>
      </c>
      <c r="H10291" s="5" t="s">
        <v>1788</v>
      </c>
      <c r="I10291" s="5" t="s">
        <v>31</v>
      </c>
      <c r="J10291" s="5">
        <v>16.247633</v>
      </c>
      <c r="K10291" s="5">
        <v>-95.150397999999996</v>
      </c>
      <c r="L10291" s="5" t="str">
        <f>HYPERLINK("https://maps.google.com/?q=16.247633,-95.150397999999996", "🔗 Ver Mapa")</f>
        <v>🔗 Ver Mapa</v>
      </c>
    </row>
    <row r="10292" spans="1:12" ht="43.5" x14ac:dyDescent="0.35">
      <c r="A10292" s="6" t="s">
        <v>98</v>
      </c>
      <c r="B10292" s="6" t="s">
        <v>99</v>
      </c>
      <c r="C10292" s="6" t="s">
        <v>1786</v>
      </c>
      <c r="D10292" s="6" t="s">
        <v>14</v>
      </c>
      <c r="E10292" s="6" t="s">
        <v>158</v>
      </c>
      <c r="F10292" s="6" t="s">
        <v>166</v>
      </c>
      <c r="G10292" s="6" t="s">
        <v>1787</v>
      </c>
      <c r="H10292" s="6" t="s">
        <v>1788</v>
      </c>
      <c r="I10292" s="6" t="s">
        <v>31</v>
      </c>
      <c r="J10292" s="6">
        <v>16.247689000000001</v>
      </c>
      <c r="K10292" s="6">
        <v>-95.149787000000003</v>
      </c>
      <c r="L10292" s="6" t="str">
        <f>HYPERLINK("https://maps.google.com/?q=16.247689,-95.149787000000003", "🔗 Ver Mapa")</f>
        <v>🔗 Ver Mapa</v>
      </c>
    </row>
    <row r="10293" spans="1:12" ht="43.5" x14ac:dyDescent="0.35">
      <c r="A10293" s="5" t="s">
        <v>98</v>
      </c>
      <c r="B10293" s="5" t="s">
        <v>99</v>
      </c>
      <c r="C10293" s="5" t="s">
        <v>1786</v>
      </c>
      <c r="D10293" s="5" t="s">
        <v>14</v>
      </c>
      <c r="E10293" s="5" t="s">
        <v>158</v>
      </c>
      <c r="F10293" s="5" t="s">
        <v>166</v>
      </c>
      <c r="G10293" s="5" t="s">
        <v>1787</v>
      </c>
      <c r="H10293" s="5" t="s">
        <v>1788</v>
      </c>
      <c r="I10293" s="5" t="s">
        <v>31</v>
      </c>
      <c r="J10293" s="5">
        <v>16.247775000000001</v>
      </c>
      <c r="K10293" s="5">
        <v>-95.15</v>
      </c>
      <c r="L10293" s="5" t="str">
        <f>HYPERLINK("https://maps.google.com/?q=16.247775,-95.15", "🔗 Ver Mapa")</f>
        <v>🔗 Ver Mapa</v>
      </c>
    </row>
    <row r="10294" spans="1:12" ht="43.5" x14ac:dyDescent="0.35">
      <c r="A10294" s="6" t="s">
        <v>98</v>
      </c>
      <c r="B10294" s="6" t="s">
        <v>99</v>
      </c>
      <c r="C10294" s="6" t="s">
        <v>1789</v>
      </c>
      <c r="D10294" s="6" t="s">
        <v>14</v>
      </c>
      <c r="E10294" s="6" t="s">
        <v>17</v>
      </c>
      <c r="F10294" s="6" t="s">
        <v>46</v>
      </c>
      <c r="G10294" s="6" t="s">
        <v>1277</v>
      </c>
      <c r="H10294" s="6" t="s">
        <v>1278</v>
      </c>
      <c r="I10294" s="6" t="s">
        <v>31</v>
      </c>
      <c r="J10294" s="6">
        <v>0</v>
      </c>
      <c r="K10294" s="6">
        <v>-97.267789690000001</v>
      </c>
      <c r="L10294" s="6" t="str">
        <f>HYPERLINK("https://maps.google.com/?q=0,-97.267789690000001", "🔗 Ver Mapa")</f>
        <v>🔗 Ver Mapa</v>
      </c>
    </row>
    <row r="10295" spans="1:12" ht="43.5" x14ac:dyDescent="0.35">
      <c r="A10295" s="5" t="s">
        <v>98</v>
      </c>
      <c r="B10295" s="5" t="s">
        <v>99</v>
      </c>
      <c r="C10295" s="5" t="s">
        <v>1789</v>
      </c>
      <c r="D10295" s="5" t="s">
        <v>14</v>
      </c>
      <c r="E10295" s="5" t="s">
        <v>17</v>
      </c>
      <c r="F10295" s="5" t="s">
        <v>46</v>
      </c>
      <c r="G10295" s="5" t="s">
        <v>1277</v>
      </c>
      <c r="H10295" s="5" t="s">
        <v>1278</v>
      </c>
      <c r="I10295" s="5" t="s">
        <v>31</v>
      </c>
      <c r="J10295" s="5">
        <v>0</v>
      </c>
      <c r="K10295" s="5">
        <v>-97.271184779999999</v>
      </c>
      <c r="L10295" s="5" t="str">
        <f>HYPERLINK("https://maps.google.com/?q=0,-97.271184779999999", "🔗 Ver Mapa")</f>
        <v>🔗 Ver Mapa</v>
      </c>
    </row>
    <row r="10296" spans="1:12" ht="43.5" x14ac:dyDescent="0.35">
      <c r="A10296" s="6" t="s">
        <v>98</v>
      </c>
      <c r="B10296" s="6" t="s">
        <v>99</v>
      </c>
      <c r="C10296" s="6" t="s">
        <v>1789</v>
      </c>
      <c r="D10296" s="6" t="s">
        <v>14</v>
      </c>
      <c r="E10296" s="6" t="s">
        <v>17</v>
      </c>
      <c r="F10296" s="6" t="s">
        <v>46</v>
      </c>
      <c r="G10296" s="6" t="s">
        <v>1277</v>
      </c>
      <c r="H10296" s="6" t="s">
        <v>1278</v>
      </c>
      <c r="I10296" s="6" t="s">
        <v>31</v>
      </c>
      <c r="J10296" s="6">
        <v>0</v>
      </c>
      <c r="K10296" s="6">
        <v>-97.266724269999997</v>
      </c>
      <c r="L10296" s="6" t="str">
        <f>HYPERLINK("https://maps.google.com/?q=0,-97.266724269999997", "🔗 Ver Mapa")</f>
        <v>🔗 Ver Mapa</v>
      </c>
    </row>
    <row r="10297" spans="1:12" ht="43.5" x14ac:dyDescent="0.35">
      <c r="A10297" s="5" t="s">
        <v>98</v>
      </c>
      <c r="B10297" s="5" t="s">
        <v>99</v>
      </c>
      <c r="C10297" s="5" t="s">
        <v>1789</v>
      </c>
      <c r="D10297" s="5" t="s">
        <v>14</v>
      </c>
      <c r="E10297" s="5" t="s">
        <v>17</v>
      </c>
      <c r="F10297" s="5" t="s">
        <v>46</v>
      </c>
      <c r="G10297" s="5" t="s">
        <v>1277</v>
      </c>
      <c r="H10297" s="5" t="s">
        <v>1278</v>
      </c>
      <c r="I10297" s="5" t="s">
        <v>31</v>
      </c>
      <c r="J10297" s="5">
        <v>0</v>
      </c>
      <c r="K10297" s="5">
        <v>-97.267264490000002</v>
      </c>
      <c r="L10297" s="5" t="str">
        <f>HYPERLINK("https://maps.google.com/?q=0,-97.267264490000002", "🔗 Ver Mapa")</f>
        <v>🔗 Ver Mapa</v>
      </c>
    </row>
    <row r="10298" spans="1:12" ht="43.5" x14ac:dyDescent="0.35">
      <c r="A10298" s="6" t="s">
        <v>98</v>
      </c>
      <c r="B10298" s="6" t="s">
        <v>99</v>
      </c>
      <c r="C10298" s="6" t="s">
        <v>1789</v>
      </c>
      <c r="D10298" s="6" t="s">
        <v>14</v>
      </c>
      <c r="E10298" s="6" t="s">
        <v>17</v>
      </c>
      <c r="F10298" s="6" t="s">
        <v>46</v>
      </c>
      <c r="G10298" s="6" t="s">
        <v>1277</v>
      </c>
      <c r="H10298" s="6" t="s">
        <v>1278</v>
      </c>
      <c r="I10298" s="6" t="s">
        <v>31</v>
      </c>
      <c r="J10298" s="6">
        <v>0</v>
      </c>
      <c r="K10298" s="6">
        <v>-97.266401880000004</v>
      </c>
      <c r="L10298" s="6" t="str">
        <f>HYPERLINK("https://maps.google.com/?q=0,-97.266401880000004", "🔗 Ver Mapa")</f>
        <v>🔗 Ver Mapa</v>
      </c>
    </row>
    <row r="10299" spans="1:12" ht="43.5" x14ac:dyDescent="0.35">
      <c r="A10299" s="5" t="s">
        <v>98</v>
      </c>
      <c r="B10299" s="5" t="s">
        <v>99</v>
      </c>
      <c r="C10299" s="5" t="s">
        <v>1789</v>
      </c>
      <c r="D10299" s="5" t="s">
        <v>14</v>
      </c>
      <c r="E10299" s="5" t="s">
        <v>17</v>
      </c>
      <c r="F10299" s="5" t="s">
        <v>46</v>
      </c>
      <c r="G10299" s="5" t="s">
        <v>1277</v>
      </c>
      <c r="H10299" s="5" t="s">
        <v>1278</v>
      </c>
      <c r="I10299" s="5" t="s">
        <v>31</v>
      </c>
      <c r="J10299" s="5">
        <v>16.220430669999999</v>
      </c>
      <c r="K10299" s="5">
        <v>-97.264340129999994</v>
      </c>
      <c r="L10299" s="5" t="str">
        <f>HYPERLINK("https://maps.google.com/?q=16.22043067,-97.264340129999994", "🔗 Ver Mapa")</f>
        <v>🔗 Ver Mapa</v>
      </c>
    </row>
    <row r="10300" spans="1:12" ht="43.5" x14ac:dyDescent="0.35">
      <c r="A10300" s="6" t="s">
        <v>98</v>
      </c>
      <c r="B10300" s="6" t="s">
        <v>99</v>
      </c>
      <c r="C10300" s="6" t="s">
        <v>1789</v>
      </c>
      <c r="D10300" s="6" t="s">
        <v>14</v>
      </c>
      <c r="E10300" s="6" t="s">
        <v>17</v>
      </c>
      <c r="F10300" s="6" t="s">
        <v>46</v>
      </c>
      <c r="G10300" s="6" t="s">
        <v>1277</v>
      </c>
      <c r="H10300" s="6" t="s">
        <v>1278</v>
      </c>
      <c r="I10300" s="6" t="s">
        <v>31</v>
      </c>
      <c r="J10300" s="6">
        <v>16.221760530000001</v>
      </c>
      <c r="K10300" s="6">
        <v>-97.270865189999995</v>
      </c>
      <c r="L10300" s="6" t="str">
        <f>HYPERLINK("https://maps.google.com/?q=16.22176053,-97.270865189999995", "🔗 Ver Mapa")</f>
        <v>🔗 Ver Mapa</v>
      </c>
    </row>
    <row r="10301" spans="1:12" ht="43.5" x14ac:dyDescent="0.35">
      <c r="A10301" s="5" t="s">
        <v>98</v>
      </c>
      <c r="B10301" s="5" t="s">
        <v>99</v>
      </c>
      <c r="C10301" s="5" t="s">
        <v>1789</v>
      </c>
      <c r="D10301" s="5" t="s">
        <v>14</v>
      </c>
      <c r="E10301" s="5" t="s">
        <v>17</v>
      </c>
      <c r="F10301" s="5" t="s">
        <v>46</v>
      </c>
      <c r="G10301" s="5" t="s">
        <v>1277</v>
      </c>
      <c r="H10301" s="5" t="s">
        <v>1278</v>
      </c>
      <c r="I10301" s="5" t="s">
        <v>31</v>
      </c>
      <c r="J10301" s="5">
        <v>16.222332000000002</v>
      </c>
      <c r="K10301" s="5">
        <v>-97.270384000000007</v>
      </c>
      <c r="L10301" s="5" t="str">
        <f>HYPERLINK("https://maps.google.com/?q=16.222332,-97.270384000000007", "🔗 Ver Mapa")</f>
        <v>🔗 Ver Mapa</v>
      </c>
    </row>
    <row r="10302" spans="1:12" ht="43.5" x14ac:dyDescent="0.35">
      <c r="A10302" s="6" t="s">
        <v>98</v>
      </c>
      <c r="B10302" s="6" t="s">
        <v>99</v>
      </c>
      <c r="C10302" s="6" t="s">
        <v>1789</v>
      </c>
      <c r="D10302" s="6" t="s">
        <v>14</v>
      </c>
      <c r="E10302" s="6" t="s">
        <v>17</v>
      </c>
      <c r="F10302" s="6" t="s">
        <v>46</v>
      </c>
      <c r="G10302" s="6" t="s">
        <v>1277</v>
      </c>
      <c r="H10302" s="6" t="s">
        <v>1278</v>
      </c>
      <c r="I10302" s="6" t="s">
        <v>31</v>
      </c>
      <c r="J10302" s="6">
        <v>16.222648</v>
      </c>
      <c r="K10302" s="6">
        <v>-97.268995000000004</v>
      </c>
      <c r="L10302" s="6" t="str">
        <f>HYPERLINK("https://maps.google.com/?q=16.222648,-97.268995000000004", "🔗 Ver Mapa")</f>
        <v>🔗 Ver Mapa</v>
      </c>
    </row>
    <row r="10303" spans="1:12" ht="43.5" x14ac:dyDescent="0.35">
      <c r="A10303" s="5" t="s">
        <v>98</v>
      </c>
      <c r="B10303" s="5" t="s">
        <v>99</v>
      </c>
      <c r="C10303" s="5" t="s">
        <v>1789</v>
      </c>
      <c r="D10303" s="5" t="s">
        <v>14</v>
      </c>
      <c r="E10303" s="5" t="s">
        <v>17</v>
      </c>
      <c r="F10303" s="5" t="s">
        <v>46</v>
      </c>
      <c r="G10303" s="5" t="s">
        <v>1277</v>
      </c>
      <c r="H10303" s="5" t="s">
        <v>1278</v>
      </c>
      <c r="I10303" s="5" t="s">
        <v>31</v>
      </c>
      <c r="J10303" s="5">
        <v>16.22284277</v>
      </c>
      <c r="K10303" s="5">
        <v>-97.261797959999996</v>
      </c>
      <c r="L10303" s="5" t="str">
        <f>HYPERLINK("https://maps.google.com/?q=16.22284277,-97.261797959999996", "🔗 Ver Mapa")</f>
        <v>🔗 Ver Mapa</v>
      </c>
    </row>
    <row r="10304" spans="1:12" ht="43.5" x14ac:dyDescent="0.35">
      <c r="A10304" s="6" t="s">
        <v>98</v>
      </c>
      <c r="B10304" s="6" t="s">
        <v>99</v>
      </c>
      <c r="C10304" s="6" t="s">
        <v>1789</v>
      </c>
      <c r="D10304" s="6" t="s">
        <v>14</v>
      </c>
      <c r="E10304" s="6" t="s">
        <v>17</v>
      </c>
      <c r="F10304" s="6" t="s">
        <v>46</v>
      </c>
      <c r="G10304" s="6" t="s">
        <v>1277</v>
      </c>
      <c r="H10304" s="6" t="s">
        <v>1278</v>
      </c>
      <c r="I10304" s="6" t="s">
        <v>31</v>
      </c>
      <c r="J10304" s="6">
        <v>16.22293711</v>
      </c>
      <c r="K10304" s="6">
        <v>-97.269649240000007</v>
      </c>
      <c r="L10304" s="6" t="str">
        <f>HYPERLINK("https://maps.google.com/?q=16.22293711,-97.269649240000007", "🔗 Ver Mapa")</f>
        <v>🔗 Ver Mapa</v>
      </c>
    </row>
    <row r="10305" spans="1:12" ht="43.5" x14ac:dyDescent="0.35">
      <c r="A10305" s="5" t="s">
        <v>98</v>
      </c>
      <c r="B10305" s="5" t="s">
        <v>99</v>
      </c>
      <c r="C10305" s="5" t="s">
        <v>1789</v>
      </c>
      <c r="D10305" s="5" t="s">
        <v>14</v>
      </c>
      <c r="E10305" s="5" t="s">
        <v>17</v>
      </c>
      <c r="F10305" s="5" t="s">
        <v>46</v>
      </c>
      <c r="G10305" s="5" t="s">
        <v>1277</v>
      </c>
      <c r="H10305" s="5" t="s">
        <v>1278</v>
      </c>
      <c r="I10305" s="5" t="s">
        <v>31</v>
      </c>
      <c r="J10305" s="5">
        <v>16.222974000000001</v>
      </c>
      <c r="K10305" s="5">
        <v>-97.270286999999996</v>
      </c>
      <c r="L10305" s="5" t="str">
        <f>HYPERLINK("https://maps.google.com/?q=16.222974,-97.270286999999996", "🔗 Ver Mapa")</f>
        <v>🔗 Ver Mapa</v>
      </c>
    </row>
    <row r="10306" spans="1:12" ht="43.5" x14ac:dyDescent="0.35">
      <c r="A10306" s="6" t="s">
        <v>98</v>
      </c>
      <c r="B10306" s="6" t="s">
        <v>99</v>
      </c>
      <c r="C10306" s="6" t="s">
        <v>1789</v>
      </c>
      <c r="D10306" s="6" t="s">
        <v>14</v>
      </c>
      <c r="E10306" s="6" t="s">
        <v>17</v>
      </c>
      <c r="F10306" s="6" t="s">
        <v>46</v>
      </c>
      <c r="G10306" s="6" t="s">
        <v>1277</v>
      </c>
      <c r="H10306" s="6" t="s">
        <v>1278</v>
      </c>
      <c r="I10306" s="6" t="s">
        <v>31</v>
      </c>
      <c r="J10306" s="6">
        <v>16.22320397</v>
      </c>
      <c r="K10306" s="6">
        <v>-97.270848380000004</v>
      </c>
      <c r="L10306" s="6" t="str">
        <f>HYPERLINK("https://maps.google.com/?q=16.22320397,-97.270848380000004", "🔗 Ver Mapa")</f>
        <v>🔗 Ver Mapa</v>
      </c>
    </row>
    <row r="10307" spans="1:12" ht="43.5" x14ac:dyDescent="0.35">
      <c r="A10307" s="5" t="s">
        <v>98</v>
      </c>
      <c r="B10307" s="5" t="s">
        <v>99</v>
      </c>
      <c r="C10307" s="5" t="s">
        <v>1789</v>
      </c>
      <c r="D10307" s="5" t="s">
        <v>14</v>
      </c>
      <c r="E10307" s="5" t="s">
        <v>17</v>
      </c>
      <c r="F10307" s="5" t="s">
        <v>46</v>
      </c>
      <c r="G10307" s="5" t="s">
        <v>1277</v>
      </c>
      <c r="H10307" s="5" t="s">
        <v>1278</v>
      </c>
      <c r="I10307" s="5" t="s">
        <v>31</v>
      </c>
      <c r="J10307" s="5">
        <v>16.223801999999999</v>
      </c>
      <c r="K10307" s="5">
        <v>-97.271789999999996</v>
      </c>
      <c r="L10307" s="5" t="str">
        <f>HYPERLINK("https://maps.google.com/?q=16.223802,-97.271789999999996", "🔗 Ver Mapa")</f>
        <v>🔗 Ver Mapa</v>
      </c>
    </row>
    <row r="10308" spans="1:12" ht="43.5" x14ac:dyDescent="0.35">
      <c r="A10308" s="6" t="s">
        <v>98</v>
      </c>
      <c r="B10308" s="6" t="s">
        <v>99</v>
      </c>
      <c r="C10308" s="6" t="s">
        <v>1789</v>
      </c>
      <c r="D10308" s="6" t="s">
        <v>14</v>
      </c>
      <c r="E10308" s="6" t="s">
        <v>17</v>
      </c>
      <c r="F10308" s="6" t="s">
        <v>46</v>
      </c>
      <c r="G10308" s="6" t="s">
        <v>1277</v>
      </c>
      <c r="H10308" s="6" t="s">
        <v>1278</v>
      </c>
      <c r="I10308" s="6" t="s">
        <v>31</v>
      </c>
      <c r="J10308" s="6">
        <v>16.223985930000001</v>
      </c>
      <c r="K10308" s="6">
        <v>-97.269340810000003</v>
      </c>
      <c r="L10308" s="6" t="str">
        <f>HYPERLINK("https://maps.google.com/?q=16.22398593,-97.269340810000003", "🔗 Ver Mapa")</f>
        <v>🔗 Ver Mapa</v>
      </c>
    </row>
    <row r="10309" spans="1:12" ht="43.5" x14ac:dyDescent="0.35">
      <c r="A10309" s="5" t="s">
        <v>98</v>
      </c>
      <c r="B10309" s="5" t="s">
        <v>99</v>
      </c>
      <c r="C10309" s="5" t="s">
        <v>1789</v>
      </c>
      <c r="D10309" s="5" t="s">
        <v>14</v>
      </c>
      <c r="E10309" s="5" t="s">
        <v>17</v>
      </c>
      <c r="F10309" s="5" t="s">
        <v>46</v>
      </c>
      <c r="G10309" s="5" t="s">
        <v>1277</v>
      </c>
      <c r="H10309" s="5" t="s">
        <v>1278</v>
      </c>
      <c r="I10309" s="5" t="s">
        <v>31</v>
      </c>
      <c r="J10309" s="5">
        <v>16.224067999999999</v>
      </c>
      <c r="K10309" s="5">
        <v>-97.272009999999995</v>
      </c>
      <c r="L10309" s="5" t="str">
        <f>HYPERLINK("https://maps.google.com/?q=16.224068,-97.272009999999995", "🔗 Ver Mapa")</f>
        <v>🔗 Ver Mapa</v>
      </c>
    </row>
    <row r="10310" spans="1:12" ht="43.5" x14ac:dyDescent="0.35">
      <c r="A10310" s="6" t="s">
        <v>98</v>
      </c>
      <c r="B10310" s="6" t="s">
        <v>99</v>
      </c>
      <c r="C10310" s="6" t="s">
        <v>1789</v>
      </c>
      <c r="D10310" s="6" t="s">
        <v>14</v>
      </c>
      <c r="E10310" s="6" t="s">
        <v>17</v>
      </c>
      <c r="F10310" s="6" t="s">
        <v>46</v>
      </c>
      <c r="G10310" s="6" t="s">
        <v>1277</v>
      </c>
      <c r="H10310" s="6" t="s">
        <v>1278</v>
      </c>
      <c r="I10310" s="6" t="s">
        <v>31</v>
      </c>
      <c r="J10310" s="6">
        <v>16.224070999999999</v>
      </c>
      <c r="K10310" s="6">
        <v>-97.268198999999996</v>
      </c>
      <c r="L10310" s="6" t="str">
        <f>HYPERLINK("https://maps.google.com/?q=16.224071,-97.268198999999996", "🔗 Ver Mapa")</f>
        <v>🔗 Ver Mapa</v>
      </c>
    </row>
    <row r="10311" spans="1:12" ht="43.5" x14ac:dyDescent="0.35">
      <c r="A10311" s="5" t="s">
        <v>98</v>
      </c>
      <c r="B10311" s="5" t="s">
        <v>99</v>
      </c>
      <c r="C10311" s="5" t="s">
        <v>1789</v>
      </c>
      <c r="D10311" s="5" t="s">
        <v>14</v>
      </c>
      <c r="E10311" s="5" t="s">
        <v>17</v>
      </c>
      <c r="F10311" s="5" t="s">
        <v>46</v>
      </c>
      <c r="G10311" s="5" t="s">
        <v>1277</v>
      </c>
      <c r="H10311" s="5" t="s">
        <v>1278</v>
      </c>
      <c r="I10311" s="5" t="s">
        <v>31</v>
      </c>
      <c r="J10311" s="5">
        <v>16.224502269999999</v>
      </c>
      <c r="K10311" s="5">
        <v>-97.265035949999998</v>
      </c>
      <c r="L10311" s="5" t="str">
        <f>HYPERLINK("https://maps.google.com/?q=16.22450227,-97.265035949999998", "🔗 Ver Mapa")</f>
        <v>🔗 Ver Mapa</v>
      </c>
    </row>
    <row r="10312" spans="1:12" ht="43.5" x14ac:dyDescent="0.35">
      <c r="A10312" s="6" t="s">
        <v>98</v>
      </c>
      <c r="B10312" s="6" t="s">
        <v>99</v>
      </c>
      <c r="C10312" s="6" t="s">
        <v>1789</v>
      </c>
      <c r="D10312" s="6" t="s">
        <v>14</v>
      </c>
      <c r="E10312" s="6" t="s">
        <v>17</v>
      </c>
      <c r="F10312" s="6" t="s">
        <v>46</v>
      </c>
      <c r="G10312" s="6" t="s">
        <v>1277</v>
      </c>
      <c r="H10312" s="6" t="s">
        <v>1278</v>
      </c>
      <c r="I10312" s="6" t="s">
        <v>31</v>
      </c>
      <c r="J10312" s="6">
        <v>16.225552</v>
      </c>
      <c r="K10312" s="6">
        <v>-97.271531999999993</v>
      </c>
      <c r="L10312" s="6" t="str">
        <f>HYPERLINK("https://maps.google.com/?q=16.225552,-97.271531999999993", "🔗 Ver Mapa")</f>
        <v>🔗 Ver Mapa</v>
      </c>
    </row>
    <row r="10313" spans="1:12" ht="43.5" x14ac:dyDescent="0.35">
      <c r="A10313" s="5" t="s">
        <v>98</v>
      </c>
      <c r="B10313" s="5" t="s">
        <v>99</v>
      </c>
      <c r="C10313" s="5" t="s">
        <v>1789</v>
      </c>
      <c r="D10313" s="5" t="s">
        <v>14</v>
      </c>
      <c r="E10313" s="5" t="s">
        <v>17</v>
      </c>
      <c r="F10313" s="5" t="s">
        <v>46</v>
      </c>
      <c r="G10313" s="5" t="s">
        <v>1277</v>
      </c>
      <c r="H10313" s="5" t="s">
        <v>1278</v>
      </c>
      <c r="I10313" s="5" t="s">
        <v>31</v>
      </c>
      <c r="J10313" s="5">
        <v>16.226176769999999</v>
      </c>
      <c r="K10313" s="5">
        <v>-97.268348439999997</v>
      </c>
      <c r="L10313" s="5" t="str">
        <f>HYPERLINK("https://maps.google.com/?q=16.22617677,-97.268348439999997", "🔗 Ver Mapa")</f>
        <v>🔗 Ver Mapa</v>
      </c>
    </row>
    <row r="10314" spans="1:12" ht="43.5" x14ac:dyDescent="0.35">
      <c r="A10314" s="6" t="s">
        <v>98</v>
      </c>
      <c r="B10314" s="6" t="s">
        <v>99</v>
      </c>
      <c r="C10314" s="6" t="s">
        <v>1789</v>
      </c>
      <c r="D10314" s="6" t="s">
        <v>14</v>
      </c>
      <c r="E10314" s="6" t="s">
        <v>17</v>
      </c>
      <c r="F10314" s="6" t="s">
        <v>46</v>
      </c>
      <c r="G10314" s="6" t="s">
        <v>1277</v>
      </c>
      <c r="H10314" s="6" t="s">
        <v>1278</v>
      </c>
      <c r="I10314" s="6" t="s">
        <v>31</v>
      </c>
      <c r="J10314" s="6">
        <v>16.226673000000002</v>
      </c>
      <c r="K10314" s="6">
        <v>-97.266930000000002</v>
      </c>
      <c r="L10314" s="6" t="str">
        <f>HYPERLINK("https://maps.google.com/?q=16.226673,-97.266930000000002", "🔗 Ver Mapa")</f>
        <v>🔗 Ver Mapa</v>
      </c>
    </row>
    <row r="10315" spans="1:12" ht="43.5" x14ac:dyDescent="0.35">
      <c r="A10315" s="5" t="s">
        <v>98</v>
      </c>
      <c r="B10315" s="5" t="s">
        <v>99</v>
      </c>
      <c r="C10315" s="5" t="s">
        <v>1789</v>
      </c>
      <c r="D10315" s="5" t="s">
        <v>14</v>
      </c>
      <c r="E10315" s="5" t="s">
        <v>17</v>
      </c>
      <c r="F10315" s="5" t="s">
        <v>46</v>
      </c>
      <c r="G10315" s="5" t="s">
        <v>1277</v>
      </c>
      <c r="H10315" s="5" t="s">
        <v>1278</v>
      </c>
      <c r="I10315" s="5" t="s">
        <v>31</v>
      </c>
      <c r="J10315" s="5">
        <v>16.22691644</v>
      </c>
      <c r="K10315" s="5">
        <v>-97.266419569999996</v>
      </c>
      <c r="L10315" s="5" t="str">
        <f>HYPERLINK("https://maps.google.com/?q=16.22691644,-97.266419569999996", "🔗 Ver Mapa")</f>
        <v>🔗 Ver Mapa</v>
      </c>
    </row>
    <row r="10316" spans="1:12" ht="43.5" x14ac:dyDescent="0.35">
      <c r="A10316" s="6" t="s">
        <v>98</v>
      </c>
      <c r="B10316" s="6" t="s">
        <v>99</v>
      </c>
      <c r="C10316" s="6" t="s">
        <v>1789</v>
      </c>
      <c r="D10316" s="6" t="s">
        <v>14</v>
      </c>
      <c r="E10316" s="6" t="s">
        <v>17</v>
      </c>
      <c r="F10316" s="6" t="s">
        <v>46</v>
      </c>
      <c r="G10316" s="6" t="s">
        <v>1277</v>
      </c>
      <c r="H10316" s="6" t="s">
        <v>1278</v>
      </c>
      <c r="I10316" s="6" t="s">
        <v>31</v>
      </c>
      <c r="J10316" s="6">
        <v>16.226953000000002</v>
      </c>
      <c r="K10316" s="6">
        <v>-97.267576000000005</v>
      </c>
      <c r="L10316" s="6" t="str">
        <f>HYPERLINK("https://maps.google.com/?q=16.226953,-97.267576000000005", "🔗 Ver Mapa")</f>
        <v>🔗 Ver Mapa</v>
      </c>
    </row>
    <row r="10317" spans="1:12" ht="43.5" x14ac:dyDescent="0.35">
      <c r="A10317" s="5" t="s">
        <v>98</v>
      </c>
      <c r="B10317" s="5" t="s">
        <v>99</v>
      </c>
      <c r="C10317" s="5" t="s">
        <v>1789</v>
      </c>
      <c r="D10317" s="5" t="s">
        <v>14</v>
      </c>
      <c r="E10317" s="5" t="s">
        <v>17</v>
      </c>
      <c r="F10317" s="5" t="s">
        <v>46</v>
      </c>
      <c r="G10317" s="5" t="s">
        <v>1277</v>
      </c>
      <c r="H10317" s="5" t="s">
        <v>1278</v>
      </c>
      <c r="I10317" s="5" t="s">
        <v>31</v>
      </c>
      <c r="J10317" s="5">
        <v>16.227361999999999</v>
      </c>
      <c r="K10317" s="5">
        <v>-97.262808000000007</v>
      </c>
      <c r="L10317" s="5" t="str">
        <f>HYPERLINK("https://maps.google.com/?q=16.227362,-97.262808000000007", "🔗 Ver Mapa")</f>
        <v>🔗 Ver Mapa</v>
      </c>
    </row>
    <row r="10318" spans="1:12" ht="43.5" x14ac:dyDescent="0.35">
      <c r="A10318" s="6" t="s">
        <v>98</v>
      </c>
      <c r="B10318" s="6" t="s">
        <v>99</v>
      </c>
      <c r="C10318" s="6" t="s">
        <v>1789</v>
      </c>
      <c r="D10318" s="6" t="s">
        <v>14</v>
      </c>
      <c r="E10318" s="6" t="s">
        <v>17</v>
      </c>
      <c r="F10318" s="6" t="s">
        <v>46</v>
      </c>
      <c r="G10318" s="6" t="s">
        <v>1277</v>
      </c>
      <c r="H10318" s="6" t="s">
        <v>1278</v>
      </c>
      <c r="I10318" s="6" t="s">
        <v>31</v>
      </c>
      <c r="J10318" s="6">
        <v>16.227419000000001</v>
      </c>
      <c r="K10318" s="6">
        <v>-97.268030999999993</v>
      </c>
      <c r="L10318" s="6" t="str">
        <f>HYPERLINK("https://maps.google.com/?q=16.227419,-97.268030999999993", "🔗 Ver Mapa")</f>
        <v>🔗 Ver Mapa</v>
      </c>
    </row>
    <row r="10319" spans="1:12" ht="43.5" x14ac:dyDescent="0.35">
      <c r="A10319" s="5" t="s">
        <v>98</v>
      </c>
      <c r="B10319" s="5" t="s">
        <v>99</v>
      </c>
      <c r="C10319" s="5" t="s">
        <v>1789</v>
      </c>
      <c r="D10319" s="5" t="s">
        <v>14</v>
      </c>
      <c r="E10319" s="5" t="s">
        <v>17</v>
      </c>
      <c r="F10319" s="5" t="s">
        <v>46</v>
      </c>
      <c r="G10319" s="5" t="s">
        <v>1277</v>
      </c>
      <c r="H10319" s="5" t="s">
        <v>1278</v>
      </c>
      <c r="I10319" s="5" t="s">
        <v>31</v>
      </c>
      <c r="J10319" s="5">
        <v>16.227435849999999</v>
      </c>
      <c r="K10319" s="5">
        <v>-97.268344540000001</v>
      </c>
      <c r="L10319" s="5" t="str">
        <f>HYPERLINK("https://maps.google.com/?q=16.22743585,-97.268344540000001", "🔗 Ver Mapa")</f>
        <v>🔗 Ver Mapa</v>
      </c>
    </row>
    <row r="10320" spans="1:12" ht="43.5" x14ac:dyDescent="0.35">
      <c r="A10320" s="6" t="s">
        <v>98</v>
      </c>
      <c r="B10320" s="6" t="s">
        <v>99</v>
      </c>
      <c r="C10320" s="6" t="s">
        <v>1789</v>
      </c>
      <c r="D10320" s="6" t="s">
        <v>14</v>
      </c>
      <c r="E10320" s="6" t="s">
        <v>17</v>
      </c>
      <c r="F10320" s="6" t="s">
        <v>46</v>
      </c>
      <c r="G10320" s="6" t="s">
        <v>1277</v>
      </c>
      <c r="H10320" s="6" t="s">
        <v>1278</v>
      </c>
      <c r="I10320" s="6" t="s">
        <v>31</v>
      </c>
      <c r="J10320" s="6">
        <v>16.227554999999999</v>
      </c>
      <c r="K10320" s="6">
        <v>-97.267841000000004</v>
      </c>
      <c r="L10320" s="6" t="str">
        <f>HYPERLINK("https://maps.google.com/?q=16.227555,-97.267841000000004", "🔗 Ver Mapa")</f>
        <v>🔗 Ver Mapa</v>
      </c>
    </row>
    <row r="10321" spans="1:12" ht="43.5" x14ac:dyDescent="0.35">
      <c r="A10321" s="5" t="s">
        <v>98</v>
      </c>
      <c r="B10321" s="5" t="s">
        <v>99</v>
      </c>
      <c r="C10321" s="5" t="s">
        <v>1789</v>
      </c>
      <c r="D10321" s="5" t="s">
        <v>14</v>
      </c>
      <c r="E10321" s="5" t="s">
        <v>17</v>
      </c>
      <c r="F10321" s="5" t="s">
        <v>46</v>
      </c>
      <c r="G10321" s="5" t="s">
        <v>1277</v>
      </c>
      <c r="H10321" s="5" t="s">
        <v>1278</v>
      </c>
      <c r="I10321" s="5" t="s">
        <v>31</v>
      </c>
      <c r="J10321" s="5">
        <v>16.22758632</v>
      </c>
      <c r="K10321" s="5">
        <v>-97.269711430000001</v>
      </c>
      <c r="L10321" s="5" t="str">
        <f>HYPERLINK("https://maps.google.com/?q=16.22758632,-97.269711430000001", "🔗 Ver Mapa")</f>
        <v>🔗 Ver Mapa</v>
      </c>
    </row>
    <row r="10322" spans="1:12" ht="43.5" x14ac:dyDescent="0.35">
      <c r="A10322" s="6" t="s">
        <v>98</v>
      </c>
      <c r="B10322" s="6" t="s">
        <v>99</v>
      </c>
      <c r="C10322" s="6" t="s">
        <v>1789</v>
      </c>
      <c r="D10322" s="6" t="s">
        <v>14</v>
      </c>
      <c r="E10322" s="6" t="s">
        <v>17</v>
      </c>
      <c r="F10322" s="6" t="s">
        <v>46</v>
      </c>
      <c r="G10322" s="6" t="s">
        <v>1277</v>
      </c>
      <c r="H10322" s="6" t="s">
        <v>1278</v>
      </c>
      <c r="I10322" s="6" t="s">
        <v>31</v>
      </c>
      <c r="J10322" s="6">
        <v>16.227733560000001</v>
      </c>
      <c r="K10322" s="6">
        <v>-97.266210790000002</v>
      </c>
      <c r="L10322" s="6" t="str">
        <f>HYPERLINK("https://maps.google.com/?q=16.22773356,-97.266210790000002", "🔗 Ver Mapa")</f>
        <v>🔗 Ver Mapa</v>
      </c>
    </row>
    <row r="10323" spans="1:12" ht="43.5" x14ac:dyDescent="0.35">
      <c r="A10323" s="5" t="s">
        <v>98</v>
      </c>
      <c r="B10323" s="5" t="s">
        <v>99</v>
      </c>
      <c r="C10323" s="5" t="s">
        <v>1789</v>
      </c>
      <c r="D10323" s="5" t="s">
        <v>14</v>
      </c>
      <c r="E10323" s="5" t="s">
        <v>17</v>
      </c>
      <c r="F10323" s="5" t="s">
        <v>46</v>
      </c>
      <c r="G10323" s="5" t="s">
        <v>1277</v>
      </c>
      <c r="H10323" s="5" t="s">
        <v>1278</v>
      </c>
      <c r="I10323" s="5" t="s">
        <v>31</v>
      </c>
      <c r="J10323" s="5">
        <v>16.227908249999999</v>
      </c>
      <c r="K10323" s="5">
        <v>-97.26860714</v>
      </c>
      <c r="L10323" s="5" t="str">
        <f>HYPERLINK("https://maps.google.com/?q=16.22790825,-97.26860714", "🔗 Ver Mapa")</f>
        <v>🔗 Ver Mapa</v>
      </c>
    </row>
    <row r="10324" spans="1:12" ht="43.5" x14ac:dyDescent="0.35">
      <c r="A10324" s="6" t="s">
        <v>98</v>
      </c>
      <c r="B10324" s="6" t="s">
        <v>99</v>
      </c>
      <c r="C10324" s="6" t="s">
        <v>1789</v>
      </c>
      <c r="D10324" s="6" t="s">
        <v>14</v>
      </c>
      <c r="E10324" s="6" t="s">
        <v>17</v>
      </c>
      <c r="F10324" s="6" t="s">
        <v>46</v>
      </c>
      <c r="G10324" s="6" t="s">
        <v>1277</v>
      </c>
      <c r="H10324" s="6" t="s">
        <v>1278</v>
      </c>
      <c r="I10324" s="6" t="s">
        <v>31</v>
      </c>
      <c r="J10324" s="6">
        <v>16.228090999999999</v>
      </c>
      <c r="K10324" s="6">
        <v>-97.269846000000001</v>
      </c>
      <c r="L10324" s="6" t="str">
        <f>HYPERLINK("https://maps.google.com/?q=16.228091,-97.269846000000001", "🔗 Ver Mapa")</f>
        <v>🔗 Ver Mapa</v>
      </c>
    </row>
    <row r="10325" spans="1:12" ht="43.5" x14ac:dyDescent="0.35">
      <c r="A10325" s="5" t="s">
        <v>98</v>
      </c>
      <c r="B10325" s="5" t="s">
        <v>99</v>
      </c>
      <c r="C10325" s="5" t="s">
        <v>1789</v>
      </c>
      <c r="D10325" s="5" t="s">
        <v>14</v>
      </c>
      <c r="E10325" s="5" t="s">
        <v>17</v>
      </c>
      <c r="F10325" s="5" t="s">
        <v>46</v>
      </c>
      <c r="G10325" s="5" t="s">
        <v>1277</v>
      </c>
      <c r="H10325" s="5" t="s">
        <v>1278</v>
      </c>
      <c r="I10325" s="5" t="s">
        <v>31</v>
      </c>
      <c r="J10325" s="5">
        <v>16.228343020000001</v>
      </c>
      <c r="K10325" s="5">
        <v>-97.267498059999994</v>
      </c>
      <c r="L10325" s="5" t="str">
        <f>HYPERLINK("https://maps.google.com/?q=16.22834302,-97.267498059999994", "🔗 Ver Mapa")</f>
        <v>🔗 Ver Mapa</v>
      </c>
    </row>
    <row r="10326" spans="1:12" ht="43.5" x14ac:dyDescent="0.35">
      <c r="A10326" s="6" t="s">
        <v>98</v>
      </c>
      <c r="B10326" s="6" t="s">
        <v>99</v>
      </c>
      <c r="C10326" s="6" t="s">
        <v>1789</v>
      </c>
      <c r="D10326" s="6" t="s">
        <v>14</v>
      </c>
      <c r="E10326" s="6" t="s">
        <v>17</v>
      </c>
      <c r="F10326" s="6" t="s">
        <v>46</v>
      </c>
      <c r="G10326" s="6" t="s">
        <v>1277</v>
      </c>
      <c r="H10326" s="6" t="s">
        <v>1278</v>
      </c>
      <c r="I10326" s="6" t="s">
        <v>31</v>
      </c>
      <c r="J10326" s="6">
        <v>16.228346330000001</v>
      </c>
      <c r="K10326" s="6">
        <v>-97.268201009999999</v>
      </c>
      <c r="L10326" s="6" t="str">
        <f>HYPERLINK("https://maps.google.com/?q=16.22834633,-97.268201009999999", "🔗 Ver Mapa")</f>
        <v>🔗 Ver Mapa</v>
      </c>
    </row>
    <row r="10327" spans="1:12" ht="43.5" x14ac:dyDescent="0.35">
      <c r="A10327" s="5" t="s">
        <v>98</v>
      </c>
      <c r="B10327" s="5" t="s">
        <v>99</v>
      </c>
      <c r="C10327" s="5" t="s">
        <v>1789</v>
      </c>
      <c r="D10327" s="5" t="s">
        <v>14</v>
      </c>
      <c r="E10327" s="5" t="s">
        <v>17</v>
      </c>
      <c r="F10327" s="5" t="s">
        <v>46</v>
      </c>
      <c r="G10327" s="5" t="s">
        <v>1277</v>
      </c>
      <c r="H10327" s="5" t="s">
        <v>1278</v>
      </c>
      <c r="I10327" s="5" t="s">
        <v>31</v>
      </c>
      <c r="J10327" s="5">
        <v>16.228449770000001</v>
      </c>
      <c r="K10327" s="5">
        <v>-97.267623349999994</v>
      </c>
      <c r="L10327" s="5" t="str">
        <f>HYPERLINK("https://maps.google.com/?q=16.22844977,-97.267623349999994", "🔗 Ver Mapa")</f>
        <v>🔗 Ver Mapa</v>
      </c>
    </row>
    <row r="10328" spans="1:12" ht="43.5" x14ac:dyDescent="0.35">
      <c r="A10328" s="6" t="s">
        <v>98</v>
      </c>
      <c r="B10328" s="6" t="s">
        <v>99</v>
      </c>
      <c r="C10328" s="6" t="s">
        <v>1789</v>
      </c>
      <c r="D10328" s="6" t="s">
        <v>14</v>
      </c>
      <c r="E10328" s="6" t="s">
        <v>17</v>
      </c>
      <c r="F10328" s="6" t="s">
        <v>46</v>
      </c>
      <c r="G10328" s="6" t="s">
        <v>1277</v>
      </c>
      <c r="H10328" s="6" t="s">
        <v>1278</v>
      </c>
      <c r="I10328" s="6" t="s">
        <v>31</v>
      </c>
      <c r="J10328" s="6">
        <v>16.22864676</v>
      </c>
      <c r="K10328" s="6">
        <v>-97.269185770000007</v>
      </c>
      <c r="L10328" s="6" t="str">
        <f>HYPERLINK("https://maps.google.com/?q=16.22864676,-97.269185770000007", "🔗 Ver Mapa")</f>
        <v>🔗 Ver Mapa</v>
      </c>
    </row>
    <row r="10329" spans="1:12" ht="43.5" x14ac:dyDescent="0.35">
      <c r="A10329" s="5" t="s">
        <v>98</v>
      </c>
      <c r="B10329" s="5" t="s">
        <v>99</v>
      </c>
      <c r="C10329" s="5" t="s">
        <v>1789</v>
      </c>
      <c r="D10329" s="5" t="s">
        <v>14</v>
      </c>
      <c r="E10329" s="5" t="s">
        <v>17</v>
      </c>
      <c r="F10329" s="5" t="s">
        <v>46</v>
      </c>
      <c r="G10329" s="5" t="s">
        <v>1277</v>
      </c>
      <c r="H10329" s="5" t="s">
        <v>1278</v>
      </c>
      <c r="I10329" s="5" t="s">
        <v>31</v>
      </c>
      <c r="J10329" s="5">
        <v>16.228709240000001</v>
      </c>
      <c r="K10329" s="5">
        <v>-97.266643439999996</v>
      </c>
      <c r="L10329" s="5" t="str">
        <f>HYPERLINK("https://maps.google.com/?q=16.22870924,-97.266643439999996", "🔗 Ver Mapa")</f>
        <v>🔗 Ver Mapa</v>
      </c>
    </row>
    <row r="10330" spans="1:12" ht="43.5" x14ac:dyDescent="0.35">
      <c r="A10330" s="6" t="s">
        <v>98</v>
      </c>
      <c r="B10330" s="6" t="s">
        <v>99</v>
      </c>
      <c r="C10330" s="6" t="s">
        <v>1789</v>
      </c>
      <c r="D10330" s="6" t="s">
        <v>14</v>
      </c>
      <c r="E10330" s="6" t="s">
        <v>17</v>
      </c>
      <c r="F10330" s="6" t="s">
        <v>46</v>
      </c>
      <c r="G10330" s="6" t="s">
        <v>1277</v>
      </c>
      <c r="H10330" s="6" t="s">
        <v>1278</v>
      </c>
      <c r="I10330" s="6" t="s">
        <v>31</v>
      </c>
      <c r="J10330" s="6">
        <v>16.230575160000001</v>
      </c>
      <c r="K10330" s="6">
        <v>-97.266933300000005</v>
      </c>
      <c r="L10330" s="6" t="str">
        <f>HYPERLINK("https://maps.google.com/?q=16.23057516,-97.266933300000005", "🔗 Ver Mapa")</f>
        <v>🔗 Ver Mapa</v>
      </c>
    </row>
    <row r="10331" spans="1:12" ht="43.5" x14ac:dyDescent="0.35">
      <c r="A10331" s="5" t="s">
        <v>98</v>
      </c>
      <c r="B10331" s="5" t="s">
        <v>99</v>
      </c>
      <c r="C10331" s="5" t="s">
        <v>1789</v>
      </c>
      <c r="D10331" s="5" t="s">
        <v>14</v>
      </c>
      <c r="E10331" s="5" t="s">
        <v>17</v>
      </c>
      <c r="F10331" s="5" t="s">
        <v>46</v>
      </c>
      <c r="G10331" s="5" t="s">
        <v>1277</v>
      </c>
      <c r="H10331" s="5" t="s">
        <v>1278</v>
      </c>
      <c r="I10331" s="5" t="s">
        <v>31</v>
      </c>
      <c r="J10331" s="5">
        <v>16.230839240000002</v>
      </c>
      <c r="K10331" s="5">
        <v>-97.266556820000005</v>
      </c>
      <c r="L10331" s="5" t="str">
        <f>HYPERLINK("https://maps.google.com/?q=16.23083924,-97.266556820000005", "🔗 Ver Mapa")</f>
        <v>🔗 Ver Mapa</v>
      </c>
    </row>
    <row r="10332" spans="1:12" ht="43.5" x14ac:dyDescent="0.35">
      <c r="A10332" s="6" t="s">
        <v>98</v>
      </c>
      <c r="B10332" s="6" t="s">
        <v>99</v>
      </c>
      <c r="C10332" s="6" t="s">
        <v>1789</v>
      </c>
      <c r="D10332" s="6" t="s">
        <v>14</v>
      </c>
      <c r="E10332" s="6" t="s">
        <v>17</v>
      </c>
      <c r="F10332" s="6" t="s">
        <v>46</v>
      </c>
      <c r="G10332" s="6" t="s">
        <v>1277</v>
      </c>
      <c r="H10332" s="6" t="s">
        <v>1278</v>
      </c>
      <c r="I10332" s="6" t="s">
        <v>31</v>
      </c>
      <c r="J10332" s="6">
        <v>16.231041999999999</v>
      </c>
      <c r="K10332" s="6">
        <v>-97.267313999999999</v>
      </c>
      <c r="L10332" s="6" t="str">
        <f>HYPERLINK("https://maps.google.com/?q=16.231042,-97.267313999999999", "🔗 Ver Mapa")</f>
        <v>🔗 Ver Mapa</v>
      </c>
    </row>
    <row r="10333" spans="1:12" ht="43.5" x14ac:dyDescent="0.35">
      <c r="A10333" s="5" t="s">
        <v>98</v>
      </c>
      <c r="B10333" s="5" t="s">
        <v>99</v>
      </c>
      <c r="C10333" s="5" t="s">
        <v>1789</v>
      </c>
      <c r="D10333" s="5" t="s">
        <v>14</v>
      </c>
      <c r="E10333" s="5" t="s">
        <v>17</v>
      </c>
      <c r="F10333" s="5" t="s">
        <v>46</v>
      </c>
      <c r="G10333" s="5" t="s">
        <v>1277</v>
      </c>
      <c r="H10333" s="5" t="s">
        <v>1278</v>
      </c>
      <c r="I10333" s="5" t="s">
        <v>31</v>
      </c>
      <c r="J10333" s="5">
        <v>16.231489</v>
      </c>
      <c r="K10333" s="5">
        <v>-97.266329999999996</v>
      </c>
      <c r="L10333" s="5" t="str">
        <f>HYPERLINK("https://maps.google.com/?q=16.231489,-97.266329999999996", "🔗 Ver Mapa")</f>
        <v>🔗 Ver Mapa</v>
      </c>
    </row>
    <row r="10334" spans="1:12" ht="43.5" x14ac:dyDescent="0.35">
      <c r="A10334" s="6" t="s">
        <v>98</v>
      </c>
      <c r="B10334" s="6" t="s">
        <v>99</v>
      </c>
      <c r="C10334" s="6" t="s">
        <v>1790</v>
      </c>
      <c r="D10334" s="6" t="s">
        <v>14</v>
      </c>
      <c r="E10334" s="6" t="s">
        <v>90</v>
      </c>
      <c r="F10334" s="6" t="s">
        <v>119</v>
      </c>
      <c r="G10334" s="6" t="s">
        <v>1791</v>
      </c>
      <c r="H10334" s="6" t="s">
        <v>1792</v>
      </c>
      <c r="I10334" s="6" t="s">
        <v>31</v>
      </c>
      <c r="J10334" s="6">
        <v>17.431174530138001</v>
      </c>
      <c r="K10334" s="6">
        <v>-96.658319085117</v>
      </c>
      <c r="L10334" s="6" t="str">
        <f>HYPERLINK("https://maps.google.com/?q=17.4311745301376,-96.658319085116602", "🔗 Ver Mapa")</f>
        <v>🔗 Ver Mapa</v>
      </c>
    </row>
    <row r="10335" spans="1:12" ht="43.5" x14ac:dyDescent="0.35">
      <c r="A10335" s="5" t="s">
        <v>98</v>
      </c>
      <c r="B10335" s="5" t="s">
        <v>99</v>
      </c>
      <c r="C10335" s="5" t="s">
        <v>1790</v>
      </c>
      <c r="D10335" s="5" t="s">
        <v>14</v>
      </c>
      <c r="E10335" s="5" t="s">
        <v>90</v>
      </c>
      <c r="F10335" s="5" t="s">
        <v>119</v>
      </c>
      <c r="G10335" s="5" t="s">
        <v>1791</v>
      </c>
      <c r="H10335" s="5" t="s">
        <v>1792</v>
      </c>
      <c r="I10335" s="5" t="s">
        <v>31</v>
      </c>
      <c r="J10335" s="5">
        <v>17.432472785929999</v>
      </c>
      <c r="K10335" s="5">
        <v>-96.657246106895997</v>
      </c>
      <c r="L10335" s="5" t="str">
        <f>HYPERLINK("https://maps.google.com/?q=17.4324727859302,-96.657246106896196", "🔗 Ver Mapa")</f>
        <v>🔗 Ver Mapa</v>
      </c>
    </row>
    <row r="10336" spans="1:12" ht="43.5" x14ac:dyDescent="0.35">
      <c r="A10336" s="6" t="s">
        <v>98</v>
      </c>
      <c r="B10336" s="6" t="s">
        <v>99</v>
      </c>
      <c r="C10336" s="6" t="s">
        <v>1790</v>
      </c>
      <c r="D10336" s="6" t="s">
        <v>14</v>
      </c>
      <c r="E10336" s="6" t="s">
        <v>90</v>
      </c>
      <c r="F10336" s="6" t="s">
        <v>119</v>
      </c>
      <c r="G10336" s="6" t="s">
        <v>1791</v>
      </c>
      <c r="H10336" s="6" t="s">
        <v>1792</v>
      </c>
      <c r="I10336" s="6" t="s">
        <v>31</v>
      </c>
      <c r="J10336" s="6">
        <v>17.432580963551001</v>
      </c>
      <c r="K10336" s="6">
        <v>-96.658690417048007</v>
      </c>
      <c r="L10336" s="6" t="str">
        <f>HYPERLINK("https://maps.google.com/?q=17.4325809635511,-96.658690417048405", "🔗 Ver Mapa")</f>
        <v>🔗 Ver Mapa</v>
      </c>
    </row>
    <row r="10337" spans="1:12" ht="43.5" x14ac:dyDescent="0.35">
      <c r="A10337" s="5" t="s">
        <v>98</v>
      </c>
      <c r="B10337" s="5" t="s">
        <v>99</v>
      </c>
      <c r="C10337" s="5" t="s">
        <v>1790</v>
      </c>
      <c r="D10337" s="5" t="s">
        <v>14</v>
      </c>
      <c r="E10337" s="5" t="s">
        <v>90</v>
      </c>
      <c r="F10337" s="5" t="s">
        <v>119</v>
      </c>
      <c r="G10337" s="5" t="s">
        <v>1791</v>
      </c>
      <c r="H10337" s="5" t="s">
        <v>1792</v>
      </c>
      <c r="I10337" s="5" t="s">
        <v>31</v>
      </c>
      <c r="J10337" s="5">
        <v>17.432607540797001</v>
      </c>
      <c r="K10337" s="5">
        <v>-96.657129041727998</v>
      </c>
      <c r="L10337" s="5" t="str">
        <f>HYPERLINK("https://maps.google.com/?q=17.432607540797,-96.657129041727998", "🔗 Ver Mapa")</f>
        <v>🔗 Ver Mapa</v>
      </c>
    </row>
    <row r="10338" spans="1:12" ht="43.5" x14ac:dyDescent="0.35">
      <c r="A10338" s="6" t="s">
        <v>98</v>
      </c>
      <c r="B10338" s="6" t="s">
        <v>99</v>
      </c>
      <c r="C10338" s="6" t="s">
        <v>1790</v>
      </c>
      <c r="D10338" s="6" t="s">
        <v>14</v>
      </c>
      <c r="E10338" s="6" t="s">
        <v>90</v>
      </c>
      <c r="F10338" s="6" t="s">
        <v>119</v>
      </c>
      <c r="G10338" s="6" t="s">
        <v>1791</v>
      </c>
      <c r="H10338" s="6" t="s">
        <v>1792</v>
      </c>
      <c r="I10338" s="6" t="s">
        <v>31</v>
      </c>
      <c r="J10338" s="6">
        <v>17.432683381034</v>
      </c>
      <c r="K10338" s="6">
        <v>-96.658722798949995</v>
      </c>
      <c r="L10338" s="6" t="str">
        <f>HYPERLINK("https://maps.google.com/?q=17.4326833810339,-96.658722798949796", "🔗 Ver Mapa")</f>
        <v>🔗 Ver Mapa</v>
      </c>
    </row>
    <row r="10339" spans="1:12" ht="43.5" x14ac:dyDescent="0.35">
      <c r="A10339" s="5" t="s">
        <v>98</v>
      </c>
      <c r="B10339" s="5" t="s">
        <v>99</v>
      </c>
      <c r="C10339" s="5" t="s">
        <v>1790</v>
      </c>
      <c r="D10339" s="5" t="s">
        <v>14</v>
      </c>
      <c r="E10339" s="5" t="s">
        <v>90</v>
      </c>
      <c r="F10339" s="5" t="s">
        <v>119</v>
      </c>
      <c r="G10339" s="5" t="s">
        <v>1791</v>
      </c>
      <c r="H10339" s="5" t="s">
        <v>1792</v>
      </c>
      <c r="I10339" s="5" t="s">
        <v>31</v>
      </c>
      <c r="J10339" s="5">
        <v>17.432767072649</v>
      </c>
      <c r="K10339" s="5">
        <v>-96.656554096969998</v>
      </c>
      <c r="L10339" s="5" t="str">
        <f>HYPERLINK("https://maps.google.com/?q=17.432767072649,-96.656554096970495", "🔗 Ver Mapa")</f>
        <v>🔗 Ver Mapa</v>
      </c>
    </row>
    <row r="10340" spans="1:12" ht="43.5" x14ac:dyDescent="0.35">
      <c r="A10340" s="6" t="s">
        <v>98</v>
      </c>
      <c r="B10340" s="6" t="s">
        <v>99</v>
      </c>
      <c r="C10340" s="6" t="s">
        <v>1790</v>
      </c>
      <c r="D10340" s="6" t="s">
        <v>14</v>
      </c>
      <c r="E10340" s="6" t="s">
        <v>90</v>
      </c>
      <c r="F10340" s="6" t="s">
        <v>119</v>
      </c>
      <c r="G10340" s="6" t="s">
        <v>1791</v>
      </c>
      <c r="H10340" s="6" t="s">
        <v>1792</v>
      </c>
      <c r="I10340" s="6" t="s">
        <v>31</v>
      </c>
      <c r="J10340" s="6">
        <v>17.432915993813001</v>
      </c>
      <c r="K10340" s="6">
        <v>-96.659714077813007</v>
      </c>
      <c r="L10340" s="6" t="str">
        <f>HYPERLINK("https://maps.google.com/?q=17.4329159938126,-96.659714077812893", "🔗 Ver Mapa")</f>
        <v>🔗 Ver Mapa</v>
      </c>
    </row>
    <row r="10341" spans="1:12" ht="43.5" x14ac:dyDescent="0.35">
      <c r="A10341" s="5" t="s">
        <v>98</v>
      </c>
      <c r="B10341" s="5" t="s">
        <v>99</v>
      </c>
      <c r="C10341" s="5" t="s">
        <v>1790</v>
      </c>
      <c r="D10341" s="5" t="s">
        <v>14</v>
      </c>
      <c r="E10341" s="5" t="s">
        <v>90</v>
      </c>
      <c r="F10341" s="5" t="s">
        <v>119</v>
      </c>
      <c r="G10341" s="5" t="s">
        <v>1791</v>
      </c>
      <c r="H10341" s="5" t="s">
        <v>1792</v>
      </c>
      <c r="I10341" s="5" t="s">
        <v>31</v>
      </c>
      <c r="J10341" s="5">
        <v>17.432969990383</v>
      </c>
      <c r="K10341" s="5">
        <v>-96.659390668994007</v>
      </c>
      <c r="L10341" s="5" t="str">
        <f>HYPERLINK("https://maps.google.com/?q=17.4329699903831,-96.659390668994305", "🔗 Ver Mapa")</f>
        <v>🔗 Ver Mapa</v>
      </c>
    </row>
    <row r="10342" spans="1:12" ht="43.5" x14ac:dyDescent="0.35">
      <c r="A10342" s="6" t="s">
        <v>98</v>
      </c>
      <c r="B10342" s="6" t="s">
        <v>99</v>
      </c>
      <c r="C10342" s="6" t="s">
        <v>1790</v>
      </c>
      <c r="D10342" s="6" t="s">
        <v>14</v>
      </c>
      <c r="E10342" s="6" t="s">
        <v>90</v>
      </c>
      <c r="F10342" s="6" t="s">
        <v>119</v>
      </c>
      <c r="G10342" s="6" t="s">
        <v>1791</v>
      </c>
      <c r="H10342" s="6" t="s">
        <v>1792</v>
      </c>
      <c r="I10342" s="6" t="s">
        <v>31</v>
      </c>
      <c r="J10342" s="6">
        <v>17.433170526864</v>
      </c>
      <c r="K10342" s="6">
        <v>-96.656122814194006</v>
      </c>
      <c r="L10342" s="6" t="str">
        <f>HYPERLINK("https://maps.google.com/?q=17.4331705268637,-96.656122814193793", "🔗 Ver Mapa")</f>
        <v>🔗 Ver Mapa</v>
      </c>
    </row>
    <row r="10343" spans="1:12" ht="43.5" x14ac:dyDescent="0.35">
      <c r="A10343" s="5" t="s">
        <v>98</v>
      </c>
      <c r="B10343" s="5" t="s">
        <v>99</v>
      </c>
      <c r="C10343" s="5" t="s">
        <v>1790</v>
      </c>
      <c r="D10343" s="5" t="s">
        <v>14</v>
      </c>
      <c r="E10343" s="5" t="s">
        <v>90</v>
      </c>
      <c r="F10343" s="5" t="s">
        <v>119</v>
      </c>
      <c r="G10343" s="5" t="s">
        <v>1791</v>
      </c>
      <c r="H10343" s="5" t="s">
        <v>1792</v>
      </c>
      <c r="I10343" s="5" t="s">
        <v>31</v>
      </c>
      <c r="J10343" s="5">
        <v>17.433174711071</v>
      </c>
      <c r="K10343" s="5">
        <v>-96.658084433203996</v>
      </c>
      <c r="L10343" s="5" t="str">
        <f>HYPERLINK("https://maps.google.com/?q=17.4331747110711,-96.658084433204493", "🔗 Ver Mapa")</f>
        <v>🔗 Ver Mapa</v>
      </c>
    </row>
    <row r="10344" spans="1:12" ht="43.5" x14ac:dyDescent="0.35">
      <c r="A10344" s="6" t="s">
        <v>98</v>
      </c>
      <c r="B10344" s="6" t="s">
        <v>99</v>
      </c>
      <c r="C10344" s="6" t="s">
        <v>1790</v>
      </c>
      <c r="D10344" s="6" t="s">
        <v>14</v>
      </c>
      <c r="E10344" s="6" t="s">
        <v>90</v>
      </c>
      <c r="F10344" s="6" t="s">
        <v>119</v>
      </c>
      <c r="G10344" s="6" t="s">
        <v>1791</v>
      </c>
      <c r="H10344" s="6" t="s">
        <v>1792</v>
      </c>
      <c r="I10344" s="6" t="s">
        <v>31</v>
      </c>
      <c r="J10344" s="6">
        <v>17.433177270078001</v>
      </c>
      <c r="K10344" s="6">
        <v>-96.659278016216007</v>
      </c>
      <c r="L10344" s="6" t="str">
        <f>HYPERLINK("https://maps.google.com/?q=17.4331772700783,-96.659278016215694", "🔗 Ver Mapa")</f>
        <v>🔗 Ver Mapa</v>
      </c>
    </row>
    <row r="10345" spans="1:12" ht="43.5" x14ac:dyDescent="0.35">
      <c r="A10345" s="5" t="s">
        <v>98</v>
      </c>
      <c r="B10345" s="5" t="s">
        <v>99</v>
      </c>
      <c r="C10345" s="5" t="s">
        <v>1790</v>
      </c>
      <c r="D10345" s="5" t="s">
        <v>14</v>
      </c>
      <c r="E10345" s="5" t="s">
        <v>90</v>
      </c>
      <c r="F10345" s="5" t="s">
        <v>119</v>
      </c>
      <c r="G10345" s="5" t="s">
        <v>1791</v>
      </c>
      <c r="H10345" s="5" t="s">
        <v>1792</v>
      </c>
      <c r="I10345" s="5" t="s">
        <v>31</v>
      </c>
      <c r="J10345" s="5">
        <v>17.433277071329002</v>
      </c>
      <c r="K10345" s="5">
        <v>-96.658076386578003</v>
      </c>
      <c r="L10345" s="5" t="str">
        <f>HYPERLINK("https://maps.google.com/?q=17.433277071329,-96.658076386577505", "🔗 Ver Mapa")</f>
        <v>🔗 Ver Mapa</v>
      </c>
    </row>
    <row r="10346" spans="1:12" ht="43.5" x14ac:dyDescent="0.35">
      <c r="A10346" s="6" t="s">
        <v>98</v>
      </c>
      <c r="B10346" s="6" t="s">
        <v>99</v>
      </c>
      <c r="C10346" s="6" t="s">
        <v>1790</v>
      </c>
      <c r="D10346" s="6" t="s">
        <v>14</v>
      </c>
      <c r="E10346" s="6" t="s">
        <v>90</v>
      </c>
      <c r="F10346" s="6" t="s">
        <v>119</v>
      </c>
      <c r="G10346" s="6" t="s">
        <v>1791</v>
      </c>
      <c r="H10346" s="6" t="s">
        <v>1792</v>
      </c>
      <c r="I10346" s="6" t="s">
        <v>31</v>
      </c>
      <c r="J10346" s="6">
        <v>17.433324936603999</v>
      </c>
      <c r="K10346" s="6">
        <v>-96.656771355901</v>
      </c>
      <c r="L10346" s="6" t="str">
        <f>HYPERLINK("https://maps.google.com/?q=17.4333249366045,-96.656771355900702", "🔗 Ver Mapa")</f>
        <v>🔗 Ver Mapa</v>
      </c>
    </row>
    <row r="10347" spans="1:12" ht="43.5" x14ac:dyDescent="0.35">
      <c r="A10347" s="5" t="s">
        <v>98</v>
      </c>
      <c r="B10347" s="5" t="s">
        <v>99</v>
      </c>
      <c r="C10347" s="5" t="s">
        <v>1790</v>
      </c>
      <c r="D10347" s="5" t="s">
        <v>14</v>
      </c>
      <c r="E10347" s="5" t="s">
        <v>90</v>
      </c>
      <c r="F10347" s="5" t="s">
        <v>119</v>
      </c>
      <c r="G10347" s="5" t="s">
        <v>1791</v>
      </c>
      <c r="H10347" s="5" t="s">
        <v>1792</v>
      </c>
      <c r="I10347" s="5" t="s">
        <v>31</v>
      </c>
      <c r="J10347" s="5">
        <v>17.433429169065001</v>
      </c>
      <c r="K10347" s="5">
        <v>-96.659103251407998</v>
      </c>
      <c r="L10347" s="5" t="str">
        <f>HYPERLINK("https://maps.google.com/?q=17.4334291690654,-96.659103251408098", "🔗 Ver Mapa")</f>
        <v>🔗 Ver Mapa</v>
      </c>
    </row>
    <row r="10348" spans="1:12" ht="43.5" x14ac:dyDescent="0.35">
      <c r="A10348" s="6" t="s">
        <v>98</v>
      </c>
      <c r="B10348" s="6" t="s">
        <v>99</v>
      </c>
      <c r="C10348" s="6" t="s">
        <v>1790</v>
      </c>
      <c r="D10348" s="6" t="s">
        <v>14</v>
      </c>
      <c r="E10348" s="6" t="s">
        <v>90</v>
      </c>
      <c r="F10348" s="6" t="s">
        <v>119</v>
      </c>
      <c r="G10348" s="6" t="s">
        <v>1791</v>
      </c>
      <c r="H10348" s="6" t="s">
        <v>1792</v>
      </c>
      <c r="I10348" s="6" t="s">
        <v>31</v>
      </c>
      <c r="J10348" s="6">
        <v>17.433446309817999</v>
      </c>
      <c r="K10348" s="6">
        <v>-96.656557945334995</v>
      </c>
      <c r="L10348" s="6" t="str">
        <f>HYPERLINK("https://maps.google.com/?q=17.433446309818,-96.656557945335393", "🔗 Ver Mapa")</f>
        <v>🔗 Ver Mapa</v>
      </c>
    </row>
    <row r="10349" spans="1:12" ht="43.5" x14ac:dyDescent="0.35">
      <c r="A10349" s="5" t="s">
        <v>98</v>
      </c>
      <c r="B10349" s="5" t="s">
        <v>99</v>
      </c>
      <c r="C10349" s="5" t="s">
        <v>1790</v>
      </c>
      <c r="D10349" s="5" t="s">
        <v>14</v>
      </c>
      <c r="E10349" s="5" t="s">
        <v>90</v>
      </c>
      <c r="F10349" s="5" t="s">
        <v>119</v>
      </c>
      <c r="G10349" s="5" t="s">
        <v>1791</v>
      </c>
      <c r="H10349" s="5" t="s">
        <v>1792</v>
      </c>
      <c r="I10349" s="5" t="s">
        <v>31</v>
      </c>
      <c r="J10349" s="5">
        <v>17.433460563821999</v>
      </c>
      <c r="K10349" s="5">
        <v>-96.657042259011007</v>
      </c>
      <c r="L10349" s="5" t="str">
        <f>HYPERLINK("https://maps.google.com/?q=17.4334605638222,-96.657042259011106", "🔗 Ver Mapa")</f>
        <v>🔗 Ver Mapa</v>
      </c>
    </row>
    <row r="10350" spans="1:12" ht="43.5" x14ac:dyDescent="0.35">
      <c r="A10350" s="6" t="s">
        <v>98</v>
      </c>
      <c r="B10350" s="6" t="s">
        <v>99</v>
      </c>
      <c r="C10350" s="6" t="s">
        <v>1790</v>
      </c>
      <c r="D10350" s="6" t="s">
        <v>14</v>
      </c>
      <c r="E10350" s="6" t="s">
        <v>90</v>
      </c>
      <c r="F10350" s="6" t="s">
        <v>119</v>
      </c>
      <c r="G10350" s="6" t="s">
        <v>1791</v>
      </c>
      <c r="H10350" s="6" t="s">
        <v>1792</v>
      </c>
      <c r="I10350" s="6" t="s">
        <v>31</v>
      </c>
      <c r="J10350" s="6">
        <v>17.433469748621</v>
      </c>
      <c r="K10350" s="6">
        <v>-96.655882074730002</v>
      </c>
      <c r="L10350" s="6" t="str">
        <f>HYPERLINK("https://maps.google.com/?q=17.4334697486211,-96.655882074730101", "🔗 Ver Mapa")</f>
        <v>🔗 Ver Mapa</v>
      </c>
    </row>
    <row r="10351" spans="1:12" ht="43.5" x14ac:dyDescent="0.35">
      <c r="A10351" s="5" t="s">
        <v>98</v>
      </c>
      <c r="B10351" s="5" t="s">
        <v>99</v>
      </c>
      <c r="C10351" s="5" t="s">
        <v>1790</v>
      </c>
      <c r="D10351" s="5" t="s">
        <v>14</v>
      </c>
      <c r="E10351" s="5" t="s">
        <v>90</v>
      </c>
      <c r="F10351" s="5" t="s">
        <v>119</v>
      </c>
      <c r="G10351" s="5" t="s">
        <v>1791</v>
      </c>
      <c r="H10351" s="5" t="s">
        <v>1792</v>
      </c>
      <c r="I10351" s="5" t="s">
        <v>31</v>
      </c>
      <c r="J10351" s="5">
        <v>17.433550884736999</v>
      </c>
      <c r="K10351" s="5">
        <v>-96.657617728836001</v>
      </c>
      <c r="L10351" s="5" t="str">
        <f>HYPERLINK("https://maps.google.com/?q=17.4335508847367,-96.657617728836101", "🔗 Ver Mapa")</f>
        <v>🔗 Ver Mapa</v>
      </c>
    </row>
    <row r="10352" spans="1:12" ht="43.5" x14ac:dyDescent="0.35">
      <c r="A10352" s="6" t="s">
        <v>98</v>
      </c>
      <c r="B10352" s="6" t="s">
        <v>99</v>
      </c>
      <c r="C10352" s="6" t="s">
        <v>1790</v>
      </c>
      <c r="D10352" s="6" t="s">
        <v>14</v>
      </c>
      <c r="E10352" s="6" t="s">
        <v>90</v>
      </c>
      <c r="F10352" s="6" t="s">
        <v>119</v>
      </c>
      <c r="G10352" s="6" t="s">
        <v>1791</v>
      </c>
      <c r="H10352" s="6" t="s">
        <v>1792</v>
      </c>
      <c r="I10352" s="6" t="s">
        <v>31</v>
      </c>
      <c r="J10352" s="6">
        <v>17.433567336003001</v>
      </c>
      <c r="K10352" s="6">
        <v>-96.659135487718004</v>
      </c>
      <c r="L10352" s="6" t="str">
        <f>HYPERLINK("https://maps.google.com/?q=17.4335673360033,-96.659135487717805", "🔗 Ver Mapa")</f>
        <v>🔗 Ver Mapa</v>
      </c>
    </row>
    <row r="10353" spans="1:12" ht="43.5" x14ac:dyDescent="0.35">
      <c r="A10353" s="5" t="s">
        <v>98</v>
      </c>
      <c r="B10353" s="5" t="s">
        <v>99</v>
      </c>
      <c r="C10353" s="5" t="s">
        <v>1790</v>
      </c>
      <c r="D10353" s="5" t="s">
        <v>14</v>
      </c>
      <c r="E10353" s="5" t="s">
        <v>90</v>
      </c>
      <c r="F10353" s="5" t="s">
        <v>119</v>
      </c>
      <c r="G10353" s="5" t="s">
        <v>1791</v>
      </c>
      <c r="H10353" s="5" t="s">
        <v>1792</v>
      </c>
      <c r="I10353" s="5" t="s">
        <v>31</v>
      </c>
      <c r="J10353" s="5">
        <v>17.433568797749</v>
      </c>
      <c r="K10353" s="5">
        <v>-96.658360700732999</v>
      </c>
      <c r="L10353" s="5" t="str">
        <f>HYPERLINK("https://maps.google.com/?q=17.433568797749,-96.658360700732999", "🔗 Ver Mapa")</f>
        <v>🔗 Ver Mapa</v>
      </c>
    </row>
    <row r="10354" spans="1:12" ht="43.5" x14ac:dyDescent="0.35">
      <c r="A10354" s="6" t="s">
        <v>98</v>
      </c>
      <c r="B10354" s="6" t="s">
        <v>99</v>
      </c>
      <c r="C10354" s="6" t="s">
        <v>1790</v>
      </c>
      <c r="D10354" s="6" t="s">
        <v>14</v>
      </c>
      <c r="E10354" s="6" t="s">
        <v>90</v>
      </c>
      <c r="F10354" s="6" t="s">
        <v>119</v>
      </c>
      <c r="G10354" s="6" t="s">
        <v>1791</v>
      </c>
      <c r="H10354" s="6" t="s">
        <v>1792</v>
      </c>
      <c r="I10354" s="6" t="s">
        <v>31</v>
      </c>
      <c r="J10354" s="6">
        <v>17.433593618817</v>
      </c>
      <c r="K10354" s="6">
        <v>-96.656899835375995</v>
      </c>
      <c r="L10354" s="6" t="str">
        <f>HYPERLINK("https://maps.google.com/?q=17.4335936188166,-96.656899835376393", "🔗 Ver Mapa")</f>
        <v>🔗 Ver Mapa</v>
      </c>
    </row>
    <row r="10355" spans="1:12" ht="43.5" x14ac:dyDescent="0.35">
      <c r="A10355" s="5" t="s">
        <v>98</v>
      </c>
      <c r="B10355" s="5" t="s">
        <v>99</v>
      </c>
      <c r="C10355" s="5" t="s">
        <v>1790</v>
      </c>
      <c r="D10355" s="5" t="s">
        <v>14</v>
      </c>
      <c r="E10355" s="5" t="s">
        <v>90</v>
      </c>
      <c r="F10355" s="5" t="s">
        <v>119</v>
      </c>
      <c r="G10355" s="5" t="s">
        <v>1791</v>
      </c>
      <c r="H10355" s="5" t="s">
        <v>1792</v>
      </c>
      <c r="I10355" s="5" t="s">
        <v>31</v>
      </c>
      <c r="J10355" s="5">
        <v>17.433640449780999</v>
      </c>
      <c r="K10355" s="5">
        <v>-96.659041981822</v>
      </c>
      <c r="L10355" s="5" t="str">
        <f>HYPERLINK("https://maps.google.com/?q=17.4336404497808,-96.659041981822497", "🔗 Ver Mapa")</f>
        <v>🔗 Ver Mapa</v>
      </c>
    </row>
    <row r="10356" spans="1:12" ht="43.5" x14ac:dyDescent="0.35">
      <c r="A10356" s="6" t="s">
        <v>98</v>
      </c>
      <c r="B10356" s="6" t="s">
        <v>99</v>
      </c>
      <c r="C10356" s="6" t="s">
        <v>1790</v>
      </c>
      <c r="D10356" s="6" t="s">
        <v>14</v>
      </c>
      <c r="E10356" s="6" t="s">
        <v>90</v>
      </c>
      <c r="F10356" s="6" t="s">
        <v>119</v>
      </c>
      <c r="G10356" s="6" t="s">
        <v>1791</v>
      </c>
      <c r="H10356" s="6" t="s">
        <v>1792</v>
      </c>
      <c r="I10356" s="6" t="s">
        <v>31</v>
      </c>
      <c r="J10356" s="6">
        <v>17.433739956254001</v>
      </c>
      <c r="K10356" s="6">
        <v>-96.656847340783003</v>
      </c>
      <c r="L10356" s="6" t="str">
        <f>HYPERLINK("https://maps.google.com/?q=17.4337399562539,-96.6568473407825", "🔗 Ver Mapa")</f>
        <v>🔗 Ver Mapa</v>
      </c>
    </row>
    <row r="10357" spans="1:12" ht="43.5" x14ac:dyDescent="0.35">
      <c r="A10357" s="5" t="s">
        <v>98</v>
      </c>
      <c r="B10357" s="5" t="s">
        <v>99</v>
      </c>
      <c r="C10357" s="5" t="s">
        <v>1790</v>
      </c>
      <c r="D10357" s="5" t="s">
        <v>14</v>
      </c>
      <c r="E10357" s="5" t="s">
        <v>90</v>
      </c>
      <c r="F10357" s="5" t="s">
        <v>119</v>
      </c>
      <c r="G10357" s="5" t="s">
        <v>1791</v>
      </c>
      <c r="H10357" s="5" t="s">
        <v>1792</v>
      </c>
      <c r="I10357" s="5" t="s">
        <v>31</v>
      </c>
      <c r="J10357" s="5">
        <v>17.433769687786999</v>
      </c>
      <c r="K10357" s="5">
        <v>-96.656189556640001</v>
      </c>
      <c r="L10357" s="5" t="str">
        <f>HYPERLINK("https://maps.google.com/?q=17.4337696877875,-96.656189556640001", "🔗 Ver Mapa")</f>
        <v>🔗 Ver Mapa</v>
      </c>
    </row>
    <row r="10358" spans="1:12" ht="43.5" x14ac:dyDescent="0.35">
      <c r="A10358" s="6" t="s">
        <v>98</v>
      </c>
      <c r="B10358" s="6" t="s">
        <v>99</v>
      </c>
      <c r="C10358" s="6" t="s">
        <v>1790</v>
      </c>
      <c r="D10358" s="6" t="s">
        <v>14</v>
      </c>
      <c r="E10358" s="6" t="s">
        <v>90</v>
      </c>
      <c r="F10358" s="6" t="s">
        <v>119</v>
      </c>
      <c r="G10358" s="6" t="s">
        <v>1791</v>
      </c>
      <c r="H10358" s="6" t="s">
        <v>1792</v>
      </c>
      <c r="I10358" s="6" t="s">
        <v>31</v>
      </c>
      <c r="J10358" s="6">
        <v>17.43377189257</v>
      </c>
      <c r="K10358" s="6">
        <v>-96.656555459429001</v>
      </c>
      <c r="L10358" s="6" t="str">
        <f>HYPERLINK("https://maps.google.com/?q=17.4337718925704,-96.656555459428802", "🔗 Ver Mapa")</f>
        <v>🔗 Ver Mapa</v>
      </c>
    </row>
    <row r="10359" spans="1:12" ht="43.5" x14ac:dyDescent="0.35">
      <c r="A10359" s="5" t="s">
        <v>98</v>
      </c>
      <c r="B10359" s="5" t="s">
        <v>99</v>
      </c>
      <c r="C10359" s="5" t="s">
        <v>1790</v>
      </c>
      <c r="D10359" s="5" t="s">
        <v>14</v>
      </c>
      <c r="E10359" s="5" t="s">
        <v>90</v>
      </c>
      <c r="F10359" s="5" t="s">
        <v>119</v>
      </c>
      <c r="G10359" s="5" t="s">
        <v>1791</v>
      </c>
      <c r="H10359" s="5" t="s">
        <v>1792</v>
      </c>
      <c r="I10359" s="5" t="s">
        <v>31</v>
      </c>
      <c r="J10359" s="5">
        <v>17.434043222250001</v>
      </c>
      <c r="K10359" s="5">
        <v>-96.658221430737001</v>
      </c>
      <c r="L10359" s="5" t="str">
        <f>HYPERLINK("https://maps.google.com/?q=17.4340432222502,-96.658221430736901", "🔗 Ver Mapa")</f>
        <v>🔗 Ver Mapa</v>
      </c>
    </row>
    <row r="10360" spans="1:12" ht="43.5" x14ac:dyDescent="0.35">
      <c r="A10360" s="6" t="s">
        <v>98</v>
      </c>
      <c r="B10360" s="6" t="s">
        <v>99</v>
      </c>
      <c r="C10360" s="6" t="s">
        <v>1790</v>
      </c>
      <c r="D10360" s="6" t="s">
        <v>14</v>
      </c>
      <c r="E10360" s="6" t="s">
        <v>90</v>
      </c>
      <c r="F10360" s="6" t="s">
        <v>119</v>
      </c>
      <c r="G10360" s="6" t="s">
        <v>1791</v>
      </c>
      <c r="H10360" s="6" t="s">
        <v>1792</v>
      </c>
      <c r="I10360" s="6" t="s">
        <v>31</v>
      </c>
      <c r="J10360" s="6">
        <v>17.434191386047999</v>
      </c>
      <c r="K10360" s="6">
        <v>-96.656000091926998</v>
      </c>
      <c r="L10360" s="6" t="str">
        <f>HYPERLINK("https://maps.google.com/?q=17.4341913860478,-96.656000091926799", "🔗 Ver Mapa")</f>
        <v>🔗 Ver Mapa</v>
      </c>
    </row>
    <row r="10361" spans="1:12" ht="43.5" x14ac:dyDescent="0.35">
      <c r="A10361" s="5" t="s">
        <v>98</v>
      </c>
      <c r="B10361" s="5" t="s">
        <v>99</v>
      </c>
      <c r="C10361" s="5" t="s">
        <v>1790</v>
      </c>
      <c r="D10361" s="5" t="s">
        <v>14</v>
      </c>
      <c r="E10361" s="5" t="s">
        <v>90</v>
      </c>
      <c r="F10361" s="5" t="s">
        <v>119</v>
      </c>
      <c r="G10361" s="5" t="s">
        <v>1791</v>
      </c>
      <c r="H10361" s="5" t="s">
        <v>1792</v>
      </c>
      <c r="I10361" s="5" t="s">
        <v>31</v>
      </c>
      <c r="J10361" s="5">
        <v>17.434303599804</v>
      </c>
      <c r="K10361" s="5">
        <v>-96.658130906183004</v>
      </c>
      <c r="L10361" s="5" t="str">
        <f>HYPERLINK("https://maps.google.com/?q=17.4343035998041,-96.658130906182706", "🔗 Ver Mapa")</f>
        <v>🔗 Ver Mapa</v>
      </c>
    </row>
    <row r="10362" spans="1:12" ht="43.5" x14ac:dyDescent="0.35">
      <c r="A10362" s="6" t="s">
        <v>98</v>
      </c>
      <c r="B10362" s="6" t="s">
        <v>99</v>
      </c>
      <c r="C10362" s="6" t="s">
        <v>1790</v>
      </c>
      <c r="D10362" s="6" t="s">
        <v>14</v>
      </c>
      <c r="E10362" s="6" t="s">
        <v>90</v>
      </c>
      <c r="F10362" s="6" t="s">
        <v>119</v>
      </c>
      <c r="G10362" s="6" t="s">
        <v>1791</v>
      </c>
      <c r="H10362" s="6" t="s">
        <v>1792</v>
      </c>
      <c r="I10362" s="6" t="s">
        <v>31</v>
      </c>
      <c r="J10362" s="6">
        <v>17.434353469889</v>
      </c>
      <c r="K10362" s="6">
        <v>-96.657282278368001</v>
      </c>
      <c r="L10362" s="6" t="str">
        <f>HYPERLINK("https://maps.google.com/?q=17.4343534698888,-96.657282278368001", "🔗 Ver Mapa")</f>
        <v>🔗 Ver Mapa</v>
      </c>
    </row>
    <row r="10363" spans="1:12" ht="43.5" x14ac:dyDescent="0.35">
      <c r="A10363" s="5" t="s">
        <v>98</v>
      </c>
      <c r="B10363" s="5" t="s">
        <v>99</v>
      </c>
      <c r="C10363" s="5" t="s">
        <v>1790</v>
      </c>
      <c r="D10363" s="5" t="s">
        <v>14</v>
      </c>
      <c r="E10363" s="5" t="s">
        <v>90</v>
      </c>
      <c r="F10363" s="5" t="s">
        <v>119</v>
      </c>
      <c r="G10363" s="5" t="s">
        <v>1791</v>
      </c>
      <c r="H10363" s="5" t="s">
        <v>1792</v>
      </c>
      <c r="I10363" s="5" t="s">
        <v>31</v>
      </c>
      <c r="J10363" s="5">
        <v>17.434771763788</v>
      </c>
      <c r="K10363" s="5">
        <v>-96.656311205278996</v>
      </c>
      <c r="L10363" s="5" t="str">
        <f>HYPERLINK("https://maps.google.com/?q=17.4347717637884,-96.656311205279394", "🔗 Ver Mapa")</f>
        <v>🔗 Ver Mapa</v>
      </c>
    </row>
    <row r="10364" spans="1:12" ht="43.5" x14ac:dyDescent="0.35">
      <c r="A10364" s="6" t="s">
        <v>98</v>
      </c>
      <c r="B10364" s="6" t="s">
        <v>99</v>
      </c>
      <c r="C10364" s="6" t="s">
        <v>1790</v>
      </c>
      <c r="D10364" s="6" t="s">
        <v>14</v>
      </c>
      <c r="E10364" s="6" t="s">
        <v>90</v>
      </c>
      <c r="F10364" s="6" t="s">
        <v>119</v>
      </c>
      <c r="G10364" s="6" t="s">
        <v>1791</v>
      </c>
      <c r="H10364" s="6" t="s">
        <v>1792</v>
      </c>
      <c r="I10364" s="6" t="s">
        <v>31</v>
      </c>
      <c r="J10364" s="6">
        <v>17.434790189405</v>
      </c>
      <c r="K10364" s="6">
        <v>-96.656684055225</v>
      </c>
      <c r="L10364" s="6" t="str">
        <f>HYPERLINK("https://maps.google.com/?q=17.4347901894051,-96.656684055225298", "🔗 Ver Mapa")</f>
        <v>🔗 Ver Mapa</v>
      </c>
    </row>
    <row r="10365" spans="1:12" ht="43.5" x14ac:dyDescent="0.35">
      <c r="A10365" s="5" t="s">
        <v>98</v>
      </c>
      <c r="B10365" s="5" t="s">
        <v>99</v>
      </c>
      <c r="C10365" s="5" t="s">
        <v>1790</v>
      </c>
      <c r="D10365" s="5" t="s">
        <v>14</v>
      </c>
      <c r="E10365" s="5" t="s">
        <v>90</v>
      </c>
      <c r="F10365" s="5" t="s">
        <v>119</v>
      </c>
      <c r="G10365" s="5" t="s">
        <v>1791</v>
      </c>
      <c r="H10365" s="5" t="s">
        <v>1792</v>
      </c>
      <c r="I10365" s="5" t="s">
        <v>31</v>
      </c>
      <c r="J10365" s="5">
        <v>17.434886859361999</v>
      </c>
      <c r="K10365" s="5">
        <v>-96.656367690807002</v>
      </c>
      <c r="L10365" s="5" t="str">
        <f>HYPERLINK("https://maps.google.com/?q=17.4348868593624,-96.656367690806903", "🔗 Ver Mapa")</f>
        <v>🔗 Ver Mapa</v>
      </c>
    </row>
    <row r="10366" spans="1:12" ht="43.5" x14ac:dyDescent="0.35">
      <c r="A10366" s="6" t="s">
        <v>98</v>
      </c>
      <c r="B10366" s="6" t="s">
        <v>99</v>
      </c>
      <c r="C10366" s="6" t="s">
        <v>1790</v>
      </c>
      <c r="D10366" s="6" t="s">
        <v>14</v>
      </c>
      <c r="E10366" s="6" t="s">
        <v>90</v>
      </c>
      <c r="F10366" s="6" t="s">
        <v>119</v>
      </c>
      <c r="G10366" s="6" t="s">
        <v>1791</v>
      </c>
      <c r="H10366" s="6" t="s">
        <v>1792</v>
      </c>
      <c r="I10366" s="6" t="s">
        <v>31</v>
      </c>
      <c r="J10366" s="6">
        <v>17.436090148902998</v>
      </c>
      <c r="K10366" s="6">
        <v>-96.656045689479996</v>
      </c>
      <c r="L10366" s="6" t="str">
        <f>HYPERLINK("https://maps.google.com/?q=17.4360901489034,-96.656045689479996", "🔗 Ver Mapa")</f>
        <v>🔗 Ver Mapa</v>
      </c>
    </row>
    <row r="10367" spans="1:12" ht="43.5" x14ac:dyDescent="0.35">
      <c r="A10367" s="5" t="s">
        <v>98</v>
      </c>
      <c r="B10367" s="5" t="s">
        <v>99</v>
      </c>
      <c r="C10367" s="5" t="s">
        <v>1790</v>
      </c>
      <c r="D10367" s="5" t="s">
        <v>14</v>
      </c>
      <c r="E10367" s="5" t="s">
        <v>90</v>
      </c>
      <c r="F10367" s="5" t="s">
        <v>119</v>
      </c>
      <c r="G10367" s="5" t="s">
        <v>1791</v>
      </c>
      <c r="H10367" s="5" t="s">
        <v>1792</v>
      </c>
      <c r="I10367" s="5" t="s">
        <v>31</v>
      </c>
      <c r="J10367" s="5">
        <v>17.436257027829999</v>
      </c>
      <c r="K10367" s="5">
        <v>-96.655318876807996</v>
      </c>
      <c r="L10367" s="5" t="str">
        <f>HYPERLINK("https://maps.google.com/?q=17.4362570278295,-96.655318876808295", "🔗 Ver Mapa")</f>
        <v>🔗 Ver Mapa</v>
      </c>
    </row>
    <row r="10368" spans="1:12" ht="43.5" x14ac:dyDescent="0.35">
      <c r="A10368" s="6" t="s">
        <v>98</v>
      </c>
      <c r="B10368" s="6" t="s">
        <v>99</v>
      </c>
      <c r="C10368" s="6" t="s">
        <v>1790</v>
      </c>
      <c r="D10368" s="6" t="s">
        <v>14</v>
      </c>
      <c r="E10368" s="6" t="s">
        <v>90</v>
      </c>
      <c r="F10368" s="6" t="s">
        <v>119</v>
      </c>
      <c r="G10368" s="6" t="s">
        <v>1791</v>
      </c>
      <c r="H10368" s="6" t="s">
        <v>1792</v>
      </c>
      <c r="I10368" s="6" t="s">
        <v>31</v>
      </c>
      <c r="J10368" s="6">
        <v>17.436368399180999</v>
      </c>
      <c r="K10368" s="6">
        <v>-96.656230026776001</v>
      </c>
      <c r="L10368" s="6" t="str">
        <f>HYPERLINK("https://maps.google.com/?q=17.4363683991806,-96.656230026775802", "🔗 Ver Mapa")</f>
        <v>🔗 Ver Mapa</v>
      </c>
    </row>
    <row r="10369" spans="1:12" ht="43.5" x14ac:dyDescent="0.35">
      <c r="A10369" s="5" t="s">
        <v>98</v>
      </c>
      <c r="B10369" s="5" t="s">
        <v>99</v>
      </c>
      <c r="C10369" s="5" t="s">
        <v>1790</v>
      </c>
      <c r="D10369" s="5" t="s">
        <v>14</v>
      </c>
      <c r="E10369" s="5" t="s">
        <v>90</v>
      </c>
      <c r="F10369" s="5" t="s">
        <v>119</v>
      </c>
      <c r="G10369" s="5" t="s">
        <v>1791</v>
      </c>
      <c r="H10369" s="5" t="s">
        <v>1792</v>
      </c>
      <c r="I10369" s="5" t="s">
        <v>31</v>
      </c>
      <c r="J10369" s="5">
        <v>17.436606678916998</v>
      </c>
      <c r="K10369" s="5">
        <v>-96.653788751975995</v>
      </c>
      <c r="L10369" s="5" t="str">
        <f>HYPERLINK("https://maps.google.com/?q=17.4366066789175,-96.653788751976293", "🔗 Ver Mapa")</f>
        <v>🔗 Ver Mapa</v>
      </c>
    </row>
    <row r="10370" spans="1:12" ht="43.5" x14ac:dyDescent="0.35">
      <c r="A10370" s="6" t="s">
        <v>98</v>
      </c>
      <c r="B10370" s="6" t="s">
        <v>99</v>
      </c>
      <c r="C10370" s="6" t="s">
        <v>1790</v>
      </c>
      <c r="D10370" s="6" t="s">
        <v>14</v>
      </c>
      <c r="E10370" s="6" t="s">
        <v>90</v>
      </c>
      <c r="F10370" s="6" t="s">
        <v>119</v>
      </c>
      <c r="G10370" s="6" t="s">
        <v>1791</v>
      </c>
      <c r="H10370" s="6" t="s">
        <v>1792</v>
      </c>
      <c r="I10370" s="6" t="s">
        <v>31</v>
      </c>
      <c r="J10370" s="6">
        <v>17.436614736235001</v>
      </c>
      <c r="K10370" s="6">
        <v>-96.655560209648002</v>
      </c>
      <c r="L10370" s="6" t="str">
        <f>HYPERLINK("https://maps.google.com/?q=17.4366147362351,-96.655560209648399", "🔗 Ver Mapa")</f>
        <v>🔗 Ver Mapa</v>
      </c>
    </row>
    <row r="10371" spans="1:12" ht="43.5" x14ac:dyDescent="0.35">
      <c r="A10371" s="5" t="s">
        <v>98</v>
      </c>
      <c r="B10371" s="5" t="s">
        <v>99</v>
      </c>
      <c r="C10371" s="5" t="s">
        <v>1790</v>
      </c>
      <c r="D10371" s="5" t="s">
        <v>14</v>
      </c>
      <c r="E10371" s="5" t="s">
        <v>90</v>
      </c>
      <c r="F10371" s="5" t="s">
        <v>119</v>
      </c>
      <c r="G10371" s="5" t="s">
        <v>1791</v>
      </c>
      <c r="H10371" s="5" t="s">
        <v>1792</v>
      </c>
      <c r="I10371" s="5" t="s">
        <v>31</v>
      </c>
      <c r="J10371" s="5">
        <v>17.436774286310001</v>
      </c>
      <c r="K10371" s="5">
        <v>-96.654188527032005</v>
      </c>
      <c r="L10371" s="5" t="str">
        <f>HYPERLINK("https://maps.google.com/?q=17.4367742863097,-96.654188527032005", "🔗 Ver Mapa")</f>
        <v>🔗 Ver Mapa</v>
      </c>
    </row>
    <row r="10372" spans="1:12" ht="43.5" x14ac:dyDescent="0.35">
      <c r="A10372" s="6" t="s">
        <v>98</v>
      </c>
      <c r="B10372" s="6" t="s">
        <v>99</v>
      </c>
      <c r="C10372" s="6" t="s">
        <v>1790</v>
      </c>
      <c r="D10372" s="6" t="s">
        <v>14</v>
      </c>
      <c r="E10372" s="6" t="s">
        <v>90</v>
      </c>
      <c r="F10372" s="6" t="s">
        <v>119</v>
      </c>
      <c r="G10372" s="6" t="s">
        <v>1791</v>
      </c>
      <c r="H10372" s="6" t="s">
        <v>1792</v>
      </c>
      <c r="I10372" s="6" t="s">
        <v>31</v>
      </c>
      <c r="J10372" s="6">
        <v>17.436846885811999</v>
      </c>
      <c r="K10372" s="6">
        <v>-96.655207108599996</v>
      </c>
      <c r="L10372" s="6" t="str">
        <f>HYPERLINK("https://maps.google.com/?q=17.4368468858121,-96.655207108599797", "🔗 Ver Mapa")</f>
        <v>🔗 Ver Mapa</v>
      </c>
    </row>
    <row r="10373" spans="1:12" ht="43.5" x14ac:dyDescent="0.35">
      <c r="A10373" s="5" t="s">
        <v>98</v>
      </c>
      <c r="B10373" s="5" t="s">
        <v>99</v>
      </c>
      <c r="C10373" s="5" t="s">
        <v>1790</v>
      </c>
      <c r="D10373" s="5" t="s">
        <v>14</v>
      </c>
      <c r="E10373" s="5" t="s">
        <v>90</v>
      </c>
      <c r="F10373" s="5" t="s">
        <v>119</v>
      </c>
      <c r="G10373" s="5" t="s">
        <v>1791</v>
      </c>
      <c r="H10373" s="5" t="s">
        <v>1792</v>
      </c>
      <c r="I10373" s="5" t="s">
        <v>31</v>
      </c>
      <c r="J10373" s="5">
        <v>17.436852338819001</v>
      </c>
      <c r="K10373" s="5">
        <v>-96.654137439148002</v>
      </c>
      <c r="L10373" s="5" t="str">
        <f>HYPERLINK("https://maps.google.com/?q=17.4368523388187,-96.654137439148101", "🔗 Ver Mapa")</f>
        <v>🔗 Ver Mapa</v>
      </c>
    </row>
    <row r="10374" spans="1:12" ht="43.5" x14ac:dyDescent="0.35">
      <c r="A10374" s="6" t="s">
        <v>98</v>
      </c>
      <c r="B10374" s="6" t="s">
        <v>99</v>
      </c>
      <c r="C10374" s="6" t="s">
        <v>1790</v>
      </c>
      <c r="D10374" s="6" t="s">
        <v>14</v>
      </c>
      <c r="E10374" s="6" t="s">
        <v>90</v>
      </c>
      <c r="F10374" s="6" t="s">
        <v>119</v>
      </c>
      <c r="G10374" s="6" t="s">
        <v>1791</v>
      </c>
      <c r="H10374" s="6" t="s">
        <v>1792</v>
      </c>
      <c r="I10374" s="6" t="s">
        <v>31</v>
      </c>
      <c r="J10374" s="6">
        <v>17.436869917288998</v>
      </c>
      <c r="K10374" s="6">
        <v>-96.655852550058995</v>
      </c>
      <c r="L10374" s="6" t="str">
        <f>HYPERLINK("https://maps.google.com/?q=17.4368699172891,-96.655852550058896", "🔗 Ver Mapa")</f>
        <v>🔗 Ver Mapa</v>
      </c>
    </row>
    <row r="10375" spans="1:12" ht="43.5" x14ac:dyDescent="0.35">
      <c r="A10375" s="5" t="s">
        <v>98</v>
      </c>
      <c r="B10375" s="5" t="s">
        <v>99</v>
      </c>
      <c r="C10375" s="5" t="s">
        <v>1790</v>
      </c>
      <c r="D10375" s="5" t="s">
        <v>14</v>
      </c>
      <c r="E10375" s="5" t="s">
        <v>90</v>
      </c>
      <c r="F10375" s="5" t="s">
        <v>119</v>
      </c>
      <c r="G10375" s="5" t="s">
        <v>1791</v>
      </c>
      <c r="H10375" s="5" t="s">
        <v>1792</v>
      </c>
      <c r="I10375" s="5" t="s">
        <v>31</v>
      </c>
      <c r="J10375" s="5">
        <v>17.436916251444998</v>
      </c>
      <c r="K10375" s="5">
        <v>-96.654416307624004</v>
      </c>
      <c r="L10375" s="5" t="str">
        <f>HYPERLINK("https://maps.google.com/?q=17.4369162514447,-96.654416307624004", "🔗 Ver Mapa")</f>
        <v>🔗 Ver Mapa</v>
      </c>
    </row>
    <row r="10376" spans="1:12" ht="43.5" x14ac:dyDescent="0.35">
      <c r="A10376" s="6" t="s">
        <v>98</v>
      </c>
      <c r="B10376" s="6" t="s">
        <v>99</v>
      </c>
      <c r="C10376" s="6" t="s">
        <v>1790</v>
      </c>
      <c r="D10376" s="6" t="s">
        <v>14</v>
      </c>
      <c r="E10376" s="6" t="s">
        <v>90</v>
      </c>
      <c r="F10376" s="6" t="s">
        <v>119</v>
      </c>
      <c r="G10376" s="6" t="s">
        <v>1791</v>
      </c>
      <c r="H10376" s="6" t="s">
        <v>1792</v>
      </c>
      <c r="I10376" s="6" t="s">
        <v>31</v>
      </c>
      <c r="J10376" s="6">
        <v>17.436964149919</v>
      </c>
      <c r="K10376" s="6">
        <v>-96.653751145347996</v>
      </c>
      <c r="L10376" s="6" t="str">
        <f>HYPERLINK("https://maps.google.com/?q=17.4369641499188,-96.653751145347996", "🔗 Ver Mapa")</f>
        <v>🔗 Ver Mapa</v>
      </c>
    </row>
    <row r="10377" spans="1:12" ht="43.5" x14ac:dyDescent="0.35">
      <c r="A10377" s="5" t="s">
        <v>98</v>
      </c>
      <c r="B10377" s="5" t="s">
        <v>99</v>
      </c>
      <c r="C10377" s="5" t="s">
        <v>1790</v>
      </c>
      <c r="D10377" s="5" t="s">
        <v>14</v>
      </c>
      <c r="E10377" s="5" t="s">
        <v>90</v>
      </c>
      <c r="F10377" s="5" t="s">
        <v>119</v>
      </c>
      <c r="G10377" s="5" t="s">
        <v>1791</v>
      </c>
      <c r="H10377" s="5" t="s">
        <v>1792</v>
      </c>
      <c r="I10377" s="5" t="s">
        <v>31</v>
      </c>
      <c r="J10377" s="5">
        <v>17.437062176089</v>
      </c>
      <c r="K10377" s="5">
        <v>-96.653741001176996</v>
      </c>
      <c r="L10377" s="5" t="str">
        <f>HYPERLINK("https://maps.google.com/?q=17.4370621760894,-96.653741001176996", "🔗 Ver Mapa")</f>
        <v>🔗 Ver Mapa</v>
      </c>
    </row>
    <row r="10378" spans="1:12" ht="43.5" x14ac:dyDescent="0.35">
      <c r="A10378" s="6" t="s">
        <v>98</v>
      </c>
      <c r="B10378" s="6" t="s">
        <v>99</v>
      </c>
      <c r="C10378" s="6" t="s">
        <v>1790</v>
      </c>
      <c r="D10378" s="6" t="s">
        <v>14</v>
      </c>
      <c r="E10378" s="6" t="s">
        <v>90</v>
      </c>
      <c r="F10378" s="6" t="s">
        <v>119</v>
      </c>
      <c r="G10378" s="6" t="s">
        <v>1791</v>
      </c>
      <c r="H10378" s="6" t="s">
        <v>1792</v>
      </c>
      <c r="I10378" s="6" t="s">
        <v>31</v>
      </c>
      <c r="J10378" s="6">
        <v>17.437112810757998</v>
      </c>
      <c r="K10378" s="6">
        <v>-96.654385279555001</v>
      </c>
      <c r="L10378" s="6" t="str">
        <f>HYPERLINK("https://maps.google.com/?q=17.4371128107579,-96.654385279555001", "🔗 Ver Mapa")</f>
        <v>🔗 Ver Mapa</v>
      </c>
    </row>
    <row r="10379" spans="1:12" ht="43.5" x14ac:dyDescent="0.35">
      <c r="A10379" s="5" t="s">
        <v>98</v>
      </c>
      <c r="B10379" s="5" t="s">
        <v>99</v>
      </c>
      <c r="C10379" s="5" t="s">
        <v>1790</v>
      </c>
      <c r="D10379" s="5" t="s">
        <v>14</v>
      </c>
      <c r="E10379" s="5" t="s">
        <v>90</v>
      </c>
      <c r="F10379" s="5" t="s">
        <v>119</v>
      </c>
      <c r="G10379" s="5" t="s">
        <v>1791</v>
      </c>
      <c r="H10379" s="5" t="s">
        <v>1792</v>
      </c>
      <c r="I10379" s="5" t="s">
        <v>31</v>
      </c>
      <c r="J10379" s="5">
        <v>17.437301430622998</v>
      </c>
      <c r="K10379" s="5">
        <v>-96.654584152862</v>
      </c>
      <c r="L10379" s="5" t="str">
        <f>HYPERLINK("https://maps.google.com/?q=17.4373014306233,-96.654584152861702", "🔗 Ver Mapa")</f>
        <v>🔗 Ver Mapa</v>
      </c>
    </row>
    <row r="10380" spans="1:12" ht="43.5" x14ac:dyDescent="0.35">
      <c r="A10380" s="6" t="s">
        <v>98</v>
      </c>
      <c r="B10380" s="6" t="s">
        <v>99</v>
      </c>
      <c r="C10380" s="6" t="s">
        <v>1790</v>
      </c>
      <c r="D10380" s="6" t="s">
        <v>14</v>
      </c>
      <c r="E10380" s="6" t="s">
        <v>90</v>
      </c>
      <c r="F10380" s="6" t="s">
        <v>119</v>
      </c>
      <c r="G10380" s="6" t="s">
        <v>1791</v>
      </c>
      <c r="H10380" s="6" t="s">
        <v>1792</v>
      </c>
      <c r="I10380" s="6" t="s">
        <v>31</v>
      </c>
      <c r="J10380" s="6">
        <v>17.437304517249</v>
      </c>
      <c r="K10380" s="6">
        <v>-96.655048952333999</v>
      </c>
      <c r="L10380" s="6" t="str">
        <f>HYPERLINK("https://maps.google.com/?q=17.4373045172488,-96.655048952334496", "🔗 Ver Mapa")</f>
        <v>🔗 Ver Mapa</v>
      </c>
    </row>
    <row r="10381" spans="1:12" ht="43.5" x14ac:dyDescent="0.35">
      <c r="A10381" s="5" t="s">
        <v>98</v>
      </c>
      <c r="B10381" s="5" t="s">
        <v>99</v>
      </c>
      <c r="C10381" s="5" t="s">
        <v>1790</v>
      </c>
      <c r="D10381" s="5" t="s">
        <v>14</v>
      </c>
      <c r="E10381" s="5" t="s">
        <v>90</v>
      </c>
      <c r="F10381" s="5" t="s">
        <v>119</v>
      </c>
      <c r="G10381" s="5" t="s">
        <v>1791</v>
      </c>
      <c r="H10381" s="5" t="s">
        <v>1792</v>
      </c>
      <c r="I10381" s="5" t="s">
        <v>31</v>
      </c>
      <c r="J10381" s="5">
        <v>17.437498476992001</v>
      </c>
      <c r="K10381" s="5">
        <v>-96.654501407433003</v>
      </c>
      <c r="L10381" s="5" t="str">
        <f>HYPERLINK("https://maps.google.com/?q=17.4374984769925,-96.654501407432804", "🔗 Ver Mapa")</f>
        <v>🔗 Ver Mapa</v>
      </c>
    </row>
    <row r="10382" spans="1:12" ht="43.5" x14ac:dyDescent="0.35">
      <c r="A10382" s="6" t="s">
        <v>98</v>
      </c>
      <c r="B10382" s="6" t="s">
        <v>99</v>
      </c>
      <c r="C10382" s="6" t="s">
        <v>1790</v>
      </c>
      <c r="D10382" s="6" t="s">
        <v>14</v>
      </c>
      <c r="E10382" s="6" t="s">
        <v>90</v>
      </c>
      <c r="F10382" s="6" t="s">
        <v>119</v>
      </c>
      <c r="G10382" s="6" t="s">
        <v>1791</v>
      </c>
      <c r="H10382" s="6" t="s">
        <v>1792</v>
      </c>
      <c r="I10382" s="6" t="s">
        <v>31</v>
      </c>
      <c r="J10382" s="6">
        <v>17.439109323678998</v>
      </c>
      <c r="K10382" s="6">
        <v>-96.655880875007</v>
      </c>
      <c r="L10382" s="6" t="str">
        <f>HYPERLINK("https://maps.google.com/?q=17.4391093236786,-96.655880875007298", "🔗 Ver Mapa")</f>
        <v>🔗 Ver Mapa</v>
      </c>
    </row>
    <row r="10383" spans="1:12" ht="43.5" x14ac:dyDescent="0.35">
      <c r="A10383" s="5" t="s">
        <v>98</v>
      </c>
      <c r="B10383" s="5" t="s">
        <v>99</v>
      </c>
      <c r="C10383" s="5" t="s">
        <v>1790</v>
      </c>
      <c r="D10383" s="5" t="s">
        <v>14</v>
      </c>
      <c r="E10383" s="5" t="s">
        <v>90</v>
      </c>
      <c r="F10383" s="5" t="s">
        <v>119</v>
      </c>
      <c r="G10383" s="5" t="s">
        <v>1791</v>
      </c>
      <c r="H10383" s="5" t="s">
        <v>1792</v>
      </c>
      <c r="I10383" s="5" t="s">
        <v>31</v>
      </c>
      <c r="J10383" s="5">
        <v>17.439480367268999</v>
      </c>
      <c r="K10383" s="5">
        <v>-96.655722624676002</v>
      </c>
      <c r="L10383" s="5" t="str">
        <f>HYPERLINK("https://maps.google.com/?q=17.4394803672694,-96.655722624675505", "🔗 Ver Mapa")</f>
        <v>🔗 Ver Mapa</v>
      </c>
    </row>
    <row r="10384" spans="1:12" ht="43.5" x14ac:dyDescent="0.35">
      <c r="A10384" s="6" t="s">
        <v>98</v>
      </c>
      <c r="B10384" s="6" t="s">
        <v>99</v>
      </c>
      <c r="C10384" s="6" t="s">
        <v>1793</v>
      </c>
      <c r="D10384" s="6" t="s">
        <v>14</v>
      </c>
      <c r="E10384" s="6" t="s">
        <v>39</v>
      </c>
      <c r="F10384" s="6" t="s">
        <v>494</v>
      </c>
      <c r="G10384" s="6" t="s">
        <v>1074</v>
      </c>
      <c r="H10384" s="6" t="s">
        <v>1794</v>
      </c>
      <c r="I10384" s="6" t="s">
        <v>31</v>
      </c>
      <c r="J10384" s="6">
        <v>16.504864078402001</v>
      </c>
      <c r="K10384" s="6">
        <v>-97.163123338046006</v>
      </c>
      <c r="L10384" s="6" t="str">
        <f>HYPERLINK("https://maps.google.com/?q=16.5048640784022,-97.163123338045907", "🔗 Ver Mapa")</f>
        <v>🔗 Ver Mapa</v>
      </c>
    </row>
    <row r="10385" spans="1:12" ht="43.5" x14ac:dyDescent="0.35">
      <c r="A10385" s="5" t="s">
        <v>98</v>
      </c>
      <c r="B10385" s="5" t="s">
        <v>99</v>
      </c>
      <c r="C10385" s="5" t="s">
        <v>1793</v>
      </c>
      <c r="D10385" s="5" t="s">
        <v>14</v>
      </c>
      <c r="E10385" s="5" t="s">
        <v>39</v>
      </c>
      <c r="F10385" s="5" t="s">
        <v>494</v>
      </c>
      <c r="G10385" s="5" t="s">
        <v>1074</v>
      </c>
      <c r="H10385" s="5" t="s">
        <v>1794</v>
      </c>
      <c r="I10385" s="5" t="s">
        <v>31</v>
      </c>
      <c r="J10385" s="5">
        <v>16.504939863773</v>
      </c>
      <c r="K10385" s="5">
        <v>-97.161531712620004</v>
      </c>
      <c r="L10385" s="5" t="str">
        <f>HYPERLINK("https://maps.google.com/?q=16.5049398637732,-97.161531712620004", "🔗 Ver Mapa")</f>
        <v>🔗 Ver Mapa</v>
      </c>
    </row>
    <row r="10386" spans="1:12" ht="43.5" x14ac:dyDescent="0.35">
      <c r="A10386" s="6" t="s">
        <v>98</v>
      </c>
      <c r="B10386" s="6" t="s">
        <v>99</v>
      </c>
      <c r="C10386" s="6" t="s">
        <v>1793</v>
      </c>
      <c r="D10386" s="6" t="s">
        <v>14</v>
      </c>
      <c r="E10386" s="6" t="s">
        <v>39</v>
      </c>
      <c r="F10386" s="6" t="s">
        <v>494</v>
      </c>
      <c r="G10386" s="6" t="s">
        <v>1074</v>
      </c>
      <c r="H10386" s="6" t="s">
        <v>1794</v>
      </c>
      <c r="I10386" s="6" t="s">
        <v>31</v>
      </c>
      <c r="J10386" s="6">
        <v>16.505344421099998</v>
      </c>
      <c r="K10386" s="6">
        <v>-97.163515683536005</v>
      </c>
      <c r="L10386" s="6" t="str">
        <f>HYPERLINK("https://maps.google.com/?q=16.5053444210997,-97.163515683536303", "🔗 Ver Mapa")</f>
        <v>🔗 Ver Mapa</v>
      </c>
    </row>
    <row r="10387" spans="1:12" ht="43.5" x14ac:dyDescent="0.35">
      <c r="A10387" s="5" t="s">
        <v>98</v>
      </c>
      <c r="B10387" s="5" t="s">
        <v>99</v>
      </c>
      <c r="C10387" s="5" t="s">
        <v>1793</v>
      </c>
      <c r="D10387" s="5" t="s">
        <v>14</v>
      </c>
      <c r="E10387" s="5" t="s">
        <v>39</v>
      </c>
      <c r="F10387" s="5" t="s">
        <v>494</v>
      </c>
      <c r="G10387" s="5" t="s">
        <v>1074</v>
      </c>
      <c r="H10387" s="5" t="s">
        <v>1794</v>
      </c>
      <c r="I10387" s="5" t="s">
        <v>31</v>
      </c>
      <c r="J10387" s="5">
        <v>16.506820715105</v>
      </c>
      <c r="K10387" s="5">
        <v>-97.165607792659998</v>
      </c>
      <c r="L10387" s="5" t="str">
        <f>HYPERLINK("https://maps.google.com/?q=16.5068207151053,-97.165607792659699", "🔗 Ver Mapa")</f>
        <v>🔗 Ver Mapa</v>
      </c>
    </row>
    <row r="10388" spans="1:12" ht="43.5" x14ac:dyDescent="0.35">
      <c r="A10388" s="6" t="s">
        <v>98</v>
      </c>
      <c r="B10388" s="6" t="s">
        <v>99</v>
      </c>
      <c r="C10388" s="6" t="s">
        <v>1793</v>
      </c>
      <c r="D10388" s="6" t="s">
        <v>14</v>
      </c>
      <c r="E10388" s="6" t="s">
        <v>39</v>
      </c>
      <c r="F10388" s="6" t="s">
        <v>494</v>
      </c>
      <c r="G10388" s="6" t="s">
        <v>1074</v>
      </c>
      <c r="H10388" s="6" t="s">
        <v>1794</v>
      </c>
      <c r="I10388" s="6" t="s">
        <v>31</v>
      </c>
      <c r="J10388" s="6">
        <v>16.507037122450999</v>
      </c>
      <c r="K10388" s="6">
        <v>-97.163040974205003</v>
      </c>
      <c r="L10388" s="6" t="str">
        <f>HYPERLINK("https://maps.google.com/?q=16.5070371224508,-97.163040974205003", "🔗 Ver Mapa")</f>
        <v>🔗 Ver Mapa</v>
      </c>
    </row>
    <row r="10389" spans="1:12" ht="43.5" x14ac:dyDescent="0.35">
      <c r="A10389" s="5" t="s">
        <v>98</v>
      </c>
      <c r="B10389" s="5" t="s">
        <v>99</v>
      </c>
      <c r="C10389" s="5" t="s">
        <v>1793</v>
      </c>
      <c r="D10389" s="5" t="s">
        <v>14</v>
      </c>
      <c r="E10389" s="5" t="s">
        <v>39</v>
      </c>
      <c r="F10389" s="5" t="s">
        <v>494</v>
      </c>
      <c r="G10389" s="5" t="s">
        <v>1074</v>
      </c>
      <c r="H10389" s="5" t="s">
        <v>1794</v>
      </c>
      <c r="I10389" s="5" t="s">
        <v>31</v>
      </c>
      <c r="J10389" s="5">
        <v>16.507956</v>
      </c>
      <c r="K10389" s="5">
        <v>-97.163252</v>
      </c>
      <c r="L10389" s="5" t="str">
        <f>HYPERLINK("https://maps.google.com/?q=16.507956,-97.163252", "🔗 Ver Mapa")</f>
        <v>🔗 Ver Mapa</v>
      </c>
    </row>
    <row r="10390" spans="1:12" ht="43.5" x14ac:dyDescent="0.35">
      <c r="A10390" s="6" t="s">
        <v>98</v>
      </c>
      <c r="B10390" s="6" t="s">
        <v>99</v>
      </c>
      <c r="C10390" s="6" t="s">
        <v>1793</v>
      </c>
      <c r="D10390" s="6" t="s">
        <v>14</v>
      </c>
      <c r="E10390" s="6" t="s">
        <v>39</v>
      </c>
      <c r="F10390" s="6" t="s">
        <v>494</v>
      </c>
      <c r="G10390" s="6" t="s">
        <v>1074</v>
      </c>
      <c r="H10390" s="6" t="s">
        <v>1794</v>
      </c>
      <c r="I10390" s="6" t="s">
        <v>31</v>
      </c>
      <c r="J10390" s="6">
        <v>16.509189725374</v>
      </c>
      <c r="K10390" s="6">
        <v>-97.166012466270004</v>
      </c>
      <c r="L10390" s="6" t="str">
        <f>HYPERLINK("https://maps.google.com/?q=16.5091897253737,-97.166012466270402", "🔗 Ver Mapa")</f>
        <v>🔗 Ver Mapa</v>
      </c>
    </row>
    <row r="10391" spans="1:12" ht="43.5" x14ac:dyDescent="0.35">
      <c r="A10391" s="5" t="s">
        <v>98</v>
      </c>
      <c r="B10391" s="5" t="s">
        <v>99</v>
      </c>
      <c r="C10391" s="5" t="s">
        <v>716</v>
      </c>
      <c r="D10391" s="5" t="s">
        <v>14</v>
      </c>
      <c r="E10391" s="5" t="s">
        <v>39</v>
      </c>
      <c r="F10391" s="5" t="s">
        <v>353</v>
      </c>
      <c r="G10391" s="5" t="s">
        <v>717</v>
      </c>
      <c r="H10391" s="5" t="s">
        <v>718</v>
      </c>
      <c r="I10391" s="5" t="s">
        <v>31</v>
      </c>
      <c r="J10391" s="5">
        <v>16.189627000000002</v>
      </c>
      <c r="K10391" s="5">
        <v>-96.628613000000001</v>
      </c>
      <c r="L10391" s="5" t="str">
        <f>HYPERLINK("https://maps.google.com/?q=16.189627,-96.628613000000001", "🔗 Ver Mapa")</f>
        <v>🔗 Ver Mapa</v>
      </c>
    </row>
    <row r="10392" spans="1:12" ht="43.5" x14ac:dyDescent="0.35">
      <c r="A10392" s="6" t="s">
        <v>98</v>
      </c>
      <c r="B10392" s="6" t="s">
        <v>99</v>
      </c>
      <c r="C10392" s="6" t="s">
        <v>716</v>
      </c>
      <c r="D10392" s="6" t="s">
        <v>14</v>
      </c>
      <c r="E10392" s="6" t="s">
        <v>39</v>
      </c>
      <c r="F10392" s="6" t="s">
        <v>353</v>
      </c>
      <c r="G10392" s="6" t="s">
        <v>717</v>
      </c>
      <c r="H10392" s="6" t="s">
        <v>718</v>
      </c>
      <c r="I10392" s="6" t="s">
        <v>31</v>
      </c>
      <c r="J10392" s="6">
        <v>16.190125413362999</v>
      </c>
      <c r="K10392" s="6">
        <v>-96.630654424550002</v>
      </c>
      <c r="L10392" s="6" t="str">
        <f>HYPERLINK("https://maps.google.com/?q=16.1901254133625,-96.6306544245504", "🔗 Ver Mapa")</f>
        <v>🔗 Ver Mapa</v>
      </c>
    </row>
    <row r="10393" spans="1:12" ht="43.5" x14ac:dyDescent="0.35">
      <c r="A10393" s="5" t="s">
        <v>98</v>
      </c>
      <c r="B10393" s="5" t="s">
        <v>99</v>
      </c>
      <c r="C10393" s="5" t="s">
        <v>716</v>
      </c>
      <c r="D10393" s="5" t="s">
        <v>14</v>
      </c>
      <c r="E10393" s="5" t="s">
        <v>39</v>
      </c>
      <c r="F10393" s="5" t="s">
        <v>353</v>
      </c>
      <c r="G10393" s="5" t="s">
        <v>717</v>
      </c>
      <c r="H10393" s="5" t="s">
        <v>718</v>
      </c>
      <c r="I10393" s="5" t="s">
        <v>31</v>
      </c>
      <c r="J10393" s="5">
        <v>16.195335</v>
      </c>
      <c r="K10393" s="5">
        <v>-96.630178999999998</v>
      </c>
      <c r="L10393" s="5" t="str">
        <f>HYPERLINK("https://maps.google.com/?q=16.195335,-96.630178999999998", "🔗 Ver Mapa")</f>
        <v>🔗 Ver Mapa</v>
      </c>
    </row>
    <row r="10394" spans="1:12" ht="43.5" x14ac:dyDescent="0.35">
      <c r="A10394" s="6" t="s">
        <v>98</v>
      </c>
      <c r="B10394" s="6" t="s">
        <v>99</v>
      </c>
      <c r="C10394" s="6" t="s">
        <v>1795</v>
      </c>
      <c r="D10394" s="6" t="s">
        <v>14</v>
      </c>
      <c r="E10394" s="6" t="s">
        <v>39</v>
      </c>
      <c r="F10394" s="6" t="s">
        <v>494</v>
      </c>
      <c r="G10394" s="6" t="s">
        <v>639</v>
      </c>
      <c r="H10394" s="6" t="s">
        <v>1796</v>
      </c>
      <c r="I10394" s="6" t="s">
        <v>31</v>
      </c>
      <c r="J10394" s="6">
        <v>16.432749583654001</v>
      </c>
      <c r="K10394" s="6">
        <v>-97.064374889716007</v>
      </c>
      <c r="L10394" s="6" t="str">
        <f>HYPERLINK("https://maps.google.com/?q=16.4327495836541,-97.064374889716404", "🔗 Ver Mapa")</f>
        <v>🔗 Ver Mapa</v>
      </c>
    </row>
    <row r="10395" spans="1:12" ht="43.5" x14ac:dyDescent="0.35">
      <c r="A10395" s="5" t="s">
        <v>98</v>
      </c>
      <c r="B10395" s="5" t="s">
        <v>99</v>
      </c>
      <c r="C10395" s="5" t="s">
        <v>1795</v>
      </c>
      <c r="D10395" s="5" t="s">
        <v>14</v>
      </c>
      <c r="E10395" s="5" t="s">
        <v>39</v>
      </c>
      <c r="F10395" s="5" t="s">
        <v>494</v>
      </c>
      <c r="G10395" s="5" t="s">
        <v>639</v>
      </c>
      <c r="H10395" s="5" t="s">
        <v>1796</v>
      </c>
      <c r="I10395" s="5" t="s">
        <v>31</v>
      </c>
      <c r="J10395" s="5">
        <v>16.433058301086</v>
      </c>
      <c r="K10395" s="5">
        <v>-97.061829473361001</v>
      </c>
      <c r="L10395" s="5" t="str">
        <f>HYPERLINK("https://maps.google.com/?q=16.4330583010856,-97.061829473361499", "🔗 Ver Mapa")</f>
        <v>🔗 Ver Mapa</v>
      </c>
    </row>
    <row r="10396" spans="1:12" ht="43.5" x14ac:dyDescent="0.35">
      <c r="A10396" s="6" t="s">
        <v>98</v>
      </c>
      <c r="B10396" s="6" t="s">
        <v>99</v>
      </c>
      <c r="C10396" s="6" t="s">
        <v>1795</v>
      </c>
      <c r="D10396" s="6" t="s">
        <v>14</v>
      </c>
      <c r="E10396" s="6" t="s">
        <v>39</v>
      </c>
      <c r="F10396" s="6" t="s">
        <v>494</v>
      </c>
      <c r="G10396" s="6" t="s">
        <v>639</v>
      </c>
      <c r="H10396" s="6" t="s">
        <v>1796</v>
      </c>
      <c r="I10396" s="6" t="s">
        <v>31</v>
      </c>
      <c r="J10396" s="6">
        <v>16.433179215279001</v>
      </c>
      <c r="K10396" s="6">
        <v>-97.063138391360994</v>
      </c>
      <c r="L10396" s="6" t="str">
        <f>HYPERLINK("https://maps.google.com/?q=16.4331792152792,-97.063138391360994", "🔗 Ver Mapa")</f>
        <v>🔗 Ver Mapa</v>
      </c>
    </row>
    <row r="10397" spans="1:12" ht="43.5" x14ac:dyDescent="0.35">
      <c r="A10397" s="5" t="s">
        <v>98</v>
      </c>
      <c r="B10397" s="5" t="s">
        <v>99</v>
      </c>
      <c r="C10397" s="5" t="s">
        <v>1795</v>
      </c>
      <c r="D10397" s="5" t="s">
        <v>14</v>
      </c>
      <c r="E10397" s="5" t="s">
        <v>39</v>
      </c>
      <c r="F10397" s="5" t="s">
        <v>494</v>
      </c>
      <c r="G10397" s="5" t="s">
        <v>639</v>
      </c>
      <c r="H10397" s="5" t="s">
        <v>1796</v>
      </c>
      <c r="I10397" s="5" t="s">
        <v>31</v>
      </c>
      <c r="J10397" s="5">
        <v>16.434049002574</v>
      </c>
      <c r="K10397" s="5">
        <v>-97.062252673610999</v>
      </c>
      <c r="L10397" s="5" t="str">
        <f>HYPERLINK("https://maps.google.com/?q=16.434049002574,-97.062252673610701", "🔗 Ver Mapa")</f>
        <v>🔗 Ver Mapa</v>
      </c>
    </row>
    <row r="10398" spans="1:12" ht="43.5" x14ac:dyDescent="0.35">
      <c r="A10398" s="6" t="s">
        <v>98</v>
      </c>
      <c r="B10398" s="6" t="s">
        <v>99</v>
      </c>
      <c r="C10398" s="6" t="s">
        <v>1795</v>
      </c>
      <c r="D10398" s="6" t="s">
        <v>14</v>
      </c>
      <c r="E10398" s="6" t="s">
        <v>39</v>
      </c>
      <c r="F10398" s="6" t="s">
        <v>494</v>
      </c>
      <c r="G10398" s="6" t="s">
        <v>639</v>
      </c>
      <c r="H10398" s="6" t="s">
        <v>1796</v>
      </c>
      <c r="I10398" s="6" t="s">
        <v>31</v>
      </c>
      <c r="J10398" s="6">
        <v>16.4343806352</v>
      </c>
      <c r="K10398" s="6">
        <v>-97.064431216106001</v>
      </c>
      <c r="L10398" s="6" t="str">
        <f>HYPERLINK("https://maps.google.com/?q=16.4343806351998,-97.064431216106499", "🔗 Ver Mapa")</f>
        <v>🔗 Ver Mapa</v>
      </c>
    </row>
    <row r="10399" spans="1:12" ht="43.5" x14ac:dyDescent="0.35">
      <c r="A10399" s="5" t="s">
        <v>98</v>
      </c>
      <c r="B10399" s="5" t="s">
        <v>99</v>
      </c>
      <c r="C10399" s="5" t="s">
        <v>1797</v>
      </c>
      <c r="D10399" s="5" t="s">
        <v>14</v>
      </c>
      <c r="E10399" s="5" t="s">
        <v>110</v>
      </c>
      <c r="F10399" s="5" t="s">
        <v>126</v>
      </c>
      <c r="G10399" s="5" t="s">
        <v>609</v>
      </c>
      <c r="H10399" s="5" t="s">
        <v>1158</v>
      </c>
      <c r="I10399" s="5" t="s">
        <v>31</v>
      </c>
      <c r="J10399" s="5">
        <v>17.972518000000001</v>
      </c>
      <c r="K10399" s="5">
        <v>-96.707712999999998</v>
      </c>
      <c r="L10399" s="5" t="str">
        <f>HYPERLINK("https://maps.google.com/?q=17.972518,-96.707712999999998", "🔗 Ver Mapa")</f>
        <v>🔗 Ver Mapa</v>
      </c>
    </row>
    <row r="10400" spans="1:12" ht="43.5" x14ac:dyDescent="0.35">
      <c r="A10400" s="6" t="s">
        <v>98</v>
      </c>
      <c r="B10400" s="6" t="s">
        <v>99</v>
      </c>
      <c r="C10400" s="6" t="s">
        <v>1797</v>
      </c>
      <c r="D10400" s="6" t="s">
        <v>14</v>
      </c>
      <c r="E10400" s="6" t="s">
        <v>110</v>
      </c>
      <c r="F10400" s="6" t="s">
        <v>126</v>
      </c>
      <c r="G10400" s="6" t="s">
        <v>609</v>
      </c>
      <c r="H10400" s="6" t="s">
        <v>1158</v>
      </c>
      <c r="I10400" s="6" t="s">
        <v>31</v>
      </c>
      <c r="J10400" s="6">
        <v>17.972602879488999</v>
      </c>
      <c r="K10400" s="6">
        <v>-96.707306977081998</v>
      </c>
      <c r="L10400" s="6" t="str">
        <f>HYPERLINK("https://maps.google.com/?q=17.9726028794887,-96.707306977082297", "🔗 Ver Mapa")</f>
        <v>🔗 Ver Mapa</v>
      </c>
    </row>
    <row r="10401" spans="1:12" ht="43.5" x14ac:dyDescent="0.35">
      <c r="A10401" s="5" t="s">
        <v>98</v>
      </c>
      <c r="B10401" s="5" t="s">
        <v>99</v>
      </c>
      <c r="C10401" s="5" t="s">
        <v>1797</v>
      </c>
      <c r="D10401" s="5" t="s">
        <v>14</v>
      </c>
      <c r="E10401" s="5" t="s">
        <v>110</v>
      </c>
      <c r="F10401" s="5" t="s">
        <v>126</v>
      </c>
      <c r="G10401" s="5" t="s">
        <v>609</v>
      </c>
      <c r="H10401" s="5" t="s">
        <v>1158</v>
      </c>
      <c r="I10401" s="5" t="s">
        <v>31</v>
      </c>
      <c r="J10401" s="5">
        <v>17.973894147492</v>
      </c>
      <c r="K10401" s="5">
        <v>-96.707212694614</v>
      </c>
      <c r="L10401" s="5" t="str">
        <f>HYPERLINK("https://maps.google.com/?q=17.9738941474916,-96.707212694613503", "🔗 Ver Mapa")</f>
        <v>🔗 Ver Mapa</v>
      </c>
    </row>
    <row r="10402" spans="1:12" ht="43.5" x14ac:dyDescent="0.35">
      <c r="A10402" s="6" t="s">
        <v>98</v>
      </c>
      <c r="B10402" s="6" t="s">
        <v>99</v>
      </c>
      <c r="C10402" s="6" t="s">
        <v>1797</v>
      </c>
      <c r="D10402" s="6" t="s">
        <v>14</v>
      </c>
      <c r="E10402" s="6" t="s">
        <v>110</v>
      </c>
      <c r="F10402" s="6" t="s">
        <v>126</v>
      </c>
      <c r="G10402" s="6" t="s">
        <v>609</v>
      </c>
      <c r="H10402" s="6" t="s">
        <v>1158</v>
      </c>
      <c r="I10402" s="6" t="s">
        <v>31</v>
      </c>
      <c r="J10402" s="6">
        <v>17.975871000000001</v>
      </c>
      <c r="K10402" s="6">
        <v>-96.705067999999997</v>
      </c>
      <c r="L10402" s="6" t="str">
        <f>HYPERLINK("https://maps.google.com/?q=17.975871,-96.705067999999997", "🔗 Ver Mapa")</f>
        <v>🔗 Ver Mapa</v>
      </c>
    </row>
    <row r="10403" spans="1:12" ht="43.5" x14ac:dyDescent="0.35">
      <c r="A10403" s="5" t="s">
        <v>98</v>
      </c>
      <c r="B10403" s="5" t="s">
        <v>99</v>
      </c>
      <c r="C10403" s="5" t="s">
        <v>1797</v>
      </c>
      <c r="D10403" s="5" t="s">
        <v>14</v>
      </c>
      <c r="E10403" s="5" t="s">
        <v>110</v>
      </c>
      <c r="F10403" s="5" t="s">
        <v>126</v>
      </c>
      <c r="G10403" s="5" t="s">
        <v>609</v>
      </c>
      <c r="H10403" s="5" t="s">
        <v>1158</v>
      </c>
      <c r="I10403" s="5" t="s">
        <v>31</v>
      </c>
      <c r="J10403" s="5">
        <v>17.976018</v>
      </c>
      <c r="K10403" s="5">
        <v>-96.705573000000001</v>
      </c>
      <c r="L10403" s="5" t="str">
        <f>HYPERLINK("https://maps.google.com/?q=17.976018,-96.705573000000001", "🔗 Ver Mapa")</f>
        <v>🔗 Ver Mapa</v>
      </c>
    </row>
    <row r="10404" spans="1:12" ht="43.5" x14ac:dyDescent="0.35">
      <c r="A10404" s="6" t="s">
        <v>98</v>
      </c>
      <c r="B10404" s="6" t="s">
        <v>99</v>
      </c>
      <c r="C10404" s="6" t="s">
        <v>1797</v>
      </c>
      <c r="D10404" s="6" t="s">
        <v>14</v>
      </c>
      <c r="E10404" s="6" t="s">
        <v>110</v>
      </c>
      <c r="F10404" s="6" t="s">
        <v>126</v>
      </c>
      <c r="G10404" s="6" t="s">
        <v>609</v>
      </c>
      <c r="H10404" s="6" t="s">
        <v>1158</v>
      </c>
      <c r="I10404" s="6" t="s">
        <v>31</v>
      </c>
      <c r="J10404" s="6">
        <v>17.977526999999998</v>
      </c>
      <c r="K10404" s="6">
        <v>-96.705687999999995</v>
      </c>
      <c r="L10404" s="6" t="str">
        <f>HYPERLINK("https://maps.google.com/?q=17.977527,-96.705687999999995", "🔗 Ver Mapa")</f>
        <v>🔗 Ver Mapa</v>
      </c>
    </row>
    <row r="10405" spans="1:12" ht="43.5" x14ac:dyDescent="0.35">
      <c r="A10405" s="5" t="s">
        <v>98</v>
      </c>
      <c r="B10405" s="5" t="s">
        <v>99</v>
      </c>
      <c r="C10405" s="5" t="s">
        <v>1797</v>
      </c>
      <c r="D10405" s="5" t="s">
        <v>14</v>
      </c>
      <c r="E10405" s="5" t="s">
        <v>110</v>
      </c>
      <c r="F10405" s="5" t="s">
        <v>126</v>
      </c>
      <c r="G10405" s="5" t="s">
        <v>609</v>
      </c>
      <c r="H10405" s="5" t="s">
        <v>1158</v>
      </c>
      <c r="I10405" s="5" t="s">
        <v>31</v>
      </c>
      <c r="J10405" s="5">
        <v>17.978580999999998</v>
      </c>
      <c r="K10405" s="5">
        <v>-96.702771999999996</v>
      </c>
      <c r="L10405" s="5" t="str">
        <f>HYPERLINK("https://maps.google.com/?q=17.978581,-96.702771999999996", "🔗 Ver Mapa")</f>
        <v>🔗 Ver Mapa</v>
      </c>
    </row>
    <row r="10406" spans="1:12" ht="43.5" x14ac:dyDescent="0.35">
      <c r="A10406" s="6" t="s">
        <v>98</v>
      </c>
      <c r="B10406" s="6" t="s">
        <v>99</v>
      </c>
      <c r="C10406" s="6" t="s">
        <v>1797</v>
      </c>
      <c r="D10406" s="6" t="s">
        <v>14</v>
      </c>
      <c r="E10406" s="6" t="s">
        <v>110</v>
      </c>
      <c r="F10406" s="6" t="s">
        <v>126</v>
      </c>
      <c r="G10406" s="6" t="s">
        <v>609</v>
      </c>
      <c r="H10406" s="6" t="s">
        <v>1158</v>
      </c>
      <c r="I10406" s="6" t="s">
        <v>31</v>
      </c>
      <c r="J10406" s="6">
        <v>17.979211339852998</v>
      </c>
      <c r="K10406" s="6">
        <v>-96.703343930740004</v>
      </c>
      <c r="L10406" s="6" t="str">
        <f>HYPERLINK("https://maps.google.com/?q=17.9792113398533,-96.703343930739706", "🔗 Ver Mapa")</f>
        <v>🔗 Ver Mapa</v>
      </c>
    </row>
    <row r="10407" spans="1:12" ht="43.5" x14ac:dyDescent="0.35">
      <c r="A10407" s="5" t="s">
        <v>98</v>
      </c>
      <c r="B10407" s="5" t="s">
        <v>99</v>
      </c>
      <c r="C10407" s="5" t="s">
        <v>1798</v>
      </c>
      <c r="D10407" s="5" t="s">
        <v>14</v>
      </c>
      <c r="E10407" s="5" t="s">
        <v>52</v>
      </c>
      <c r="F10407" s="5" t="s">
        <v>70</v>
      </c>
      <c r="G10407" s="5" t="s">
        <v>689</v>
      </c>
      <c r="H10407" s="5" t="s">
        <v>1799</v>
      </c>
      <c r="I10407" s="5" t="s">
        <v>31</v>
      </c>
      <c r="J10407" s="5">
        <v>17.043990000000001</v>
      </c>
      <c r="K10407" s="5">
        <v>-96.785453000000004</v>
      </c>
      <c r="L10407" s="5" t="str">
        <f>HYPERLINK("https://maps.google.com/?q=17.04399,-96.785453000000004", "🔗 Ver Mapa")</f>
        <v>🔗 Ver Mapa</v>
      </c>
    </row>
    <row r="10408" spans="1:12" ht="43.5" x14ac:dyDescent="0.35">
      <c r="A10408" s="6" t="s">
        <v>98</v>
      </c>
      <c r="B10408" s="6" t="s">
        <v>99</v>
      </c>
      <c r="C10408" s="6" t="s">
        <v>1798</v>
      </c>
      <c r="D10408" s="6" t="s">
        <v>14</v>
      </c>
      <c r="E10408" s="6" t="s">
        <v>52</v>
      </c>
      <c r="F10408" s="6" t="s">
        <v>70</v>
      </c>
      <c r="G10408" s="6" t="s">
        <v>689</v>
      </c>
      <c r="H10408" s="6" t="s">
        <v>1799</v>
      </c>
      <c r="I10408" s="6" t="s">
        <v>31</v>
      </c>
      <c r="J10408" s="6">
        <v>17.044609999999999</v>
      </c>
      <c r="K10408" s="6">
        <v>-96.789569</v>
      </c>
      <c r="L10408" s="6" t="str">
        <f>HYPERLINK("https://maps.google.com/?q=17.04461,-96.789569", "🔗 Ver Mapa")</f>
        <v>🔗 Ver Mapa</v>
      </c>
    </row>
    <row r="10409" spans="1:12" ht="43.5" x14ac:dyDescent="0.35">
      <c r="A10409" s="5" t="s">
        <v>98</v>
      </c>
      <c r="B10409" s="5" t="s">
        <v>99</v>
      </c>
      <c r="C10409" s="5" t="s">
        <v>1798</v>
      </c>
      <c r="D10409" s="5" t="s">
        <v>14</v>
      </c>
      <c r="E10409" s="5" t="s">
        <v>52</v>
      </c>
      <c r="F10409" s="5" t="s">
        <v>70</v>
      </c>
      <c r="G10409" s="5" t="s">
        <v>689</v>
      </c>
      <c r="H10409" s="5" t="s">
        <v>1799</v>
      </c>
      <c r="I10409" s="5" t="s">
        <v>31</v>
      </c>
      <c r="J10409" s="5">
        <v>17.044739</v>
      </c>
      <c r="K10409" s="5">
        <v>-96.784182000000001</v>
      </c>
      <c r="L10409" s="5" t="str">
        <f>HYPERLINK("https://maps.google.com/?q=17.044739,-96.784182000000001", "🔗 Ver Mapa")</f>
        <v>🔗 Ver Mapa</v>
      </c>
    </row>
    <row r="10410" spans="1:12" ht="43.5" x14ac:dyDescent="0.35">
      <c r="A10410" s="6" t="s">
        <v>98</v>
      </c>
      <c r="B10410" s="6" t="s">
        <v>99</v>
      </c>
      <c r="C10410" s="6" t="s">
        <v>1798</v>
      </c>
      <c r="D10410" s="6" t="s">
        <v>14</v>
      </c>
      <c r="E10410" s="6" t="s">
        <v>52</v>
      </c>
      <c r="F10410" s="6" t="s">
        <v>70</v>
      </c>
      <c r="G10410" s="6" t="s">
        <v>689</v>
      </c>
      <c r="H10410" s="6" t="s">
        <v>1799</v>
      </c>
      <c r="I10410" s="6" t="s">
        <v>31</v>
      </c>
      <c r="J10410" s="6">
        <v>17.044834000000002</v>
      </c>
      <c r="K10410" s="6">
        <v>-96.789280000000005</v>
      </c>
      <c r="L10410" s="6" t="str">
        <f>HYPERLINK("https://maps.google.com/?q=17.044834,-96.789280000000005", "🔗 Ver Mapa")</f>
        <v>🔗 Ver Mapa</v>
      </c>
    </row>
    <row r="10411" spans="1:12" ht="43.5" x14ac:dyDescent="0.35">
      <c r="A10411" s="5" t="s">
        <v>98</v>
      </c>
      <c r="B10411" s="5" t="s">
        <v>99</v>
      </c>
      <c r="C10411" s="5" t="s">
        <v>1800</v>
      </c>
      <c r="D10411" s="5" t="s">
        <v>14</v>
      </c>
      <c r="E10411" s="5" t="s">
        <v>52</v>
      </c>
      <c r="F10411" s="5" t="s">
        <v>70</v>
      </c>
      <c r="G10411" s="5" t="s">
        <v>689</v>
      </c>
      <c r="H10411" s="5" t="s">
        <v>1801</v>
      </c>
      <c r="I10411" s="5" t="s">
        <v>31</v>
      </c>
      <c r="J10411" s="5">
        <v>17.043397599999999</v>
      </c>
      <c r="K10411" s="5">
        <v>-96.780127300000004</v>
      </c>
      <c r="L10411" s="5" t="str">
        <f>HYPERLINK("https://maps.google.com/?q=17.0433976,-96.780127300000004", "🔗 Ver Mapa")</f>
        <v>🔗 Ver Mapa</v>
      </c>
    </row>
    <row r="10412" spans="1:12" ht="43.5" x14ac:dyDescent="0.35">
      <c r="A10412" s="6" t="s">
        <v>98</v>
      </c>
      <c r="B10412" s="6" t="s">
        <v>99</v>
      </c>
      <c r="C10412" s="6" t="s">
        <v>1800</v>
      </c>
      <c r="D10412" s="6" t="s">
        <v>14</v>
      </c>
      <c r="E10412" s="6" t="s">
        <v>52</v>
      </c>
      <c r="F10412" s="6" t="s">
        <v>70</v>
      </c>
      <c r="G10412" s="6" t="s">
        <v>689</v>
      </c>
      <c r="H10412" s="6" t="s">
        <v>1801</v>
      </c>
      <c r="I10412" s="6" t="s">
        <v>31</v>
      </c>
      <c r="J10412" s="6">
        <v>17.043568</v>
      </c>
      <c r="K10412" s="6">
        <v>-96.780265</v>
      </c>
      <c r="L10412" s="6" t="str">
        <f>HYPERLINK("https://maps.google.com/?q=17.043568,-96.780265", "🔗 Ver Mapa")</f>
        <v>🔗 Ver Mapa</v>
      </c>
    </row>
    <row r="10413" spans="1:12" ht="43.5" x14ac:dyDescent="0.35">
      <c r="A10413" s="5" t="s">
        <v>98</v>
      </c>
      <c r="B10413" s="5" t="s">
        <v>99</v>
      </c>
      <c r="C10413" s="5" t="s">
        <v>1800</v>
      </c>
      <c r="D10413" s="5" t="s">
        <v>14</v>
      </c>
      <c r="E10413" s="5" t="s">
        <v>52</v>
      </c>
      <c r="F10413" s="5" t="s">
        <v>70</v>
      </c>
      <c r="G10413" s="5" t="s">
        <v>689</v>
      </c>
      <c r="H10413" s="5" t="s">
        <v>1801</v>
      </c>
      <c r="I10413" s="5" t="s">
        <v>31</v>
      </c>
      <c r="J10413" s="5">
        <v>17.043607999999999</v>
      </c>
      <c r="K10413" s="5">
        <v>-96.780096</v>
      </c>
      <c r="L10413" s="5" t="str">
        <f>HYPERLINK("https://maps.google.com/?q=17.043608,-96.780096", "🔗 Ver Mapa")</f>
        <v>🔗 Ver Mapa</v>
      </c>
    </row>
    <row r="10414" spans="1:12" ht="43.5" x14ac:dyDescent="0.35">
      <c r="A10414" s="6" t="s">
        <v>98</v>
      </c>
      <c r="B10414" s="6" t="s">
        <v>99</v>
      </c>
      <c r="C10414" s="6" t="s">
        <v>1800</v>
      </c>
      <c r="D10414" s="6" t="s">
        <v>14</v>
      </c>
      <c r="E10414" s="6" t="s">
        <v>52</v>
      </c>
      <c r="F10414" s="6" t="s">
        <v>70</v>
      </c>
      <c r="G10414" s="6" t="s">
        <v>689</v>
      </c>
      <c r="H10414" s="6" t="s">
        <v>1801</v>
      </c>
      <c r="I10414" s="6" t="s">
        <v>31</v>
      </c>
      <c r="J10414" s="6">
        <v>17.0436491</v>
      </c>
      <c r="K10414" s="6">
        <v>-96.781079199999994</v>
      </c>
      <c r="L10414" s="6" t="str">
        <f>HYPERLINK("https://maps.google.com/?q=17.0436491,-96.781079199999994", "🔗 Ver Mapa")</f>
        <v>🔗 Ver Mapa</v>
      </c>
    </row>
    <row r="10415" spans="1:12" ht="43.5" x14ac:dyDescent="0.35">
      <c r="A10415" s="5" t="s">
        <v>98</v>
      </c>
      <c r="B10415" s="5" t="s">
        <v>99</v>
      </c>
      <c r="C10415" s="5" t="s">
        <v>1800</v>
      </c>
      <c r="D10415" s="5" t="s">
        <v>14</v>
      </c>
      <c r="E10415" s="5" t="s">
        <v>52</v>
      </c>
      <c r="F10415" s="5" t="s">
        <v>70</v>
      </c>
      <c r="G10415" s="5" t="s">
        <v>689</v>
      </c>
      <c r="H10415" s="5" t="s">
        <v>1801</v>
      </c>
      <c r="I10415" s="5" t="s">
        <v>31</v>
      </c>
      <c r="J10415" s="5">
        <v>17.044293</v>
      </c>
      <c r="K10415" s="5">
        <v>-96.780345999999994</v>
      </c>
      <c r="L10415" s="5" t="str">
        <f>HYPERLINK("https://maps.google.com/?q=17.044293,-96.780345999999994", "🔗 Ver Mapa")</f>
        <v>🔗 Ver Mapa</v>
      </c>
    </row>
    <row r="10416" spans="1:12" ht="43.5" x14ac:dyDescent="0.35">
      <c r="A10416" s="6" t="s">
        <v>98</v>
      </c>
      <c r="B10416" s="6" t="s">
        <v>99</v>
      </c>
      <c r="C10416" s="6" t="s">
        <v>1802</v>
      </c>
      <c r="D10416" s="6" t="s">
        <v>14</v>
      </c>
      <c r="E10416" s="6" t="s">
        <v>52</v>
      </c>
      <c r="F10416" s="6" t="s">
        <v>70</v>
      </c>
      <c r="G10416" s="6" t="s">
        <v>689</v>
      </c>
      <c r="H10416" s="6" t="s">
        <v>1803</v>
      </c>
      <c r="I10416" s="6" t="s">
        <v>31</v>
      </c>
      <c r="J10416" s="6">
        <v>17.043215</v>
      </c>
      <c r="K10416" s="6">
        <v>-96.781576999999999</v>
      </c>
      <c r="L10416" s="6" t="str">
        <f>HYPERLINK("https://maps.google.com/?q=17.043215,-96.781576999999999", "🔗 Ver Mapa")</f>
        <v>🔗 Ver Mapa</v>
      </c>
    </row>
    <row r="10417" spans="1:12" ht="43.5" x14ac:dyDescent="0.35">
      <c r="A10417" s="5" t="s">
        <v>98</v>
      </c>
      <c r="B10417" s="5" t="s">
        <v>99</v>
      </c>
      <c r="C10417" s="5" t="s">
        <v>1802</v>
      </c>
      <c r="D10417" s="5" t="s">
        <v>14</v>
      </c>
      <c r="E10417" s="5" t="s">
        <v>52</v>
      </c>
      <c r="F10417" s="5" t="s">
        <v>70</v>
      </c>
      <c r="G10417" s="5" t="s">
        <v>689</v>
      </c>
      <c r="H10417" s="5" t="s">
        <v>1803</v>
      </c>
      <c r="I10417" s="5" t="s">
        <v>31</v>
      </c>
      <c r="J10417" s="5">
        <v>17.043475099999998</v>
      </c>
      <c r="K10417" s="5">
        <v>-96.781585300000003</v>
      </c>
      <c r="L10417" s="5" t="str">
        <f>HYPERLINK("https://maps.google.com/?q=17.0434751,-96.781585300000003", "🔗 Ver Mapa")</f>
        <v>🔗 Ver Mapa</v>
      </c>
    </row>
    <row r="10418" spans="1:12" ht="43.5" x14ac:dyDescent="0.35">
      <c r="A10418" s="6" t="s">
        <v>98</v>
      </c>
      <c r="B10418" s="6" t="s">
        <v>99</v>
      </c>
      <c r="C10418" s="6" t="s">
        <v>1802</v>
      </c>
      <c r="D10418" s="6" t="s">
        <v>14</v>
      </c>
      <c r="E10418" s="6" t="s">
        <v>52</v>
      </c>
      <c r="F10418" s="6" t="s">
        <v>70</v>
      </c>
      <c r="G10418" s="6" t="s">
        <v>689</v>
      </c>
      <c r="H10418" s="6" t="s">
        <v>1803</v>
      </c>
      <c r="I10418" s="6" t="s">
        <v>31</v>
      </c>
      <c r="J10418" s="6">
        <v>17.044647999999999</v>
      </c>
      <c r="K10418" s="6">
        <v>-96.782978</v>
      </c>
      <c r="L10418" s="6" t="str">
        <f>HYPERLINK("https://maps.google.com/?q=17.044648,-96.782978", "🔗 Ver Mapa")</f>
        <v>🔗 Ver Mapa</v>
      </c>
    </row>
    <row r="10419" spans="1:12" ht="43.5" x14ac:dyDescent="0.35">
      <c r="A10419" s="5" t="s">
        <v>98</v>
      </c>
      <c r="B10419" s="5" t="s">
        <v>99</v>
      </c>
      <c r="C10419" s="5" t="s">
        <v>1802</v>
      </c>
      <c r="D10419" s="5" t="s">
        <v>14</v>
      </c>
      <c r="E10419" s="5" t="s">
        <v>52</v>
      </c>
      <c r="F10419" s="5" t="s">
        <v>70</v>
      </c>
      <c r="G10419" s="5" t="s">
        <v>689</v>
      </c>
      <c r="H10419" s="5" t="s">
        <v>1803</v>
      </c>
      <c r="I10419" s="5" t="s">
        <v>31</v>
      </c>
      <c r="J10419" s="5">
        <v>17.046906400000001</v>
      </c>
      <c r="K10419" s="5">
        <v>-96.781871100000004</v>
      </c>
      <c r="L10419" s="5" t="str">
        <f>HYPERLINK("https://maps.google.com/?q=17.0469064,-96.781871100000004", "🔗 Ver Mapa")</f>
        <v>🔗 Ver Mapa</v>
      </c>
    </row>
    <row r="10420" spans="1:12" ht="43.5" x14ac:dyDescent="0.35">
      <c r="A10420" s="6" t="s">
        <v>98</v>
      </c>
      <c r="B10420" s="6" t="s">
        <v>99</v>
      </c>
      <c r="C10420" s="6" t="s">
        <v>1802</v>
      </c>
      <c r="D10420" s="6" t="s">
        <v>14</v>
      </c>
      <c r="E10420" s="6" t="s">
        <v>52</v>
      </c>
      <c r="F10420" s="6" t="s">
        <v>70</v>
      </c>
      <c r="G10420" s="6" t="s">
        <v>689</v>
      </c>
      <c r="H10420" s="6" t="s">
        <v>1803</v>
      </c>
      <c r="I10420" s="6" t="s">
        <v>31</v>
      </c>
      <c r="J10420" s="6">
        <v>17.047661300000001</v>
      </c>
      <c r="K10420" s="6">
        <v>-96.782428400000001</v>
      </c>
      <c r="L10420" s="6" t="str">
        <f>HYPERLINK("https://maps.google.com/?q=17.0476613,-96.782428400000001", "🔗 Ver Mapa")</f>
        <v>🔗 Ver Mapa</v>
      </c>
    </row>
    <row r="10421" spans="1:12" ht="43.5" x14ac:dyDescent="0.35">
      <c r="A10421" s="5" t="s">
        <v>98</v>
      </c>
      <c r="B10421" s="5" t="s">
        <v>99</v>
      </c>
      <c r="C10421" s="5" t="s">
        <v>1804</v>
      </c>
      <c r="D10421" s="5" t="s">
        <v>14</v>
      </c>
      <c r="E10421" s="5" t="s">
        <v>52</v>
      </c>
      <c r="F10421" s="5" t="s">
        <v>70</v>
      </c>
      <c r="G10421" s="5" t="s">
        <v>689</v>
      </c>
      <c r="H10421" s="5" t="s">
        <v>1805</v>
      </c>
      <c r="I10421" s="5" t="s">
        <v>31</v>
      </c>
      <c r="J10421" s="5">
        <v>17.059342000000001</v>
      </c>
      <c r="K10421" s="5">
        <v>-96.795409000000006</v>
      </c>
      <c r="L10421" s="5" t="str">
        <f>HYPERLINK("https://maps.google.com/?q=17.059342,-96.795409000000006", "🔗 Ver Mapa")</f>
        <v>🔗 Ver Mapa</v>
      </c>
    </row>
    <row r="10422" spans="1:12" ht="43.5" x14ac:dyDescent="0.35">
      <c r="A10422" s="6" t="s">
        <v>98</v>
      </c>
      <c r="B10422" s="6" t="s">
        <v>99</v>
      </c>
      <c r="C10422" s="6" t="s">
        <v>1804</v>
      </c>
      <c r="D10422" s="6" t="s">
        <v>14</v>
      </c>
      <c r="E10422" s="6" t="s">
        <v>52</v>
      </c>
      <c r="F10422" s="6" t="s">
        <v>70</v>
      </c>
      <c r="G10422" s="6" t="s">
        <v>689</v>
      </c>
      <c r="H10422" s="6" t="s">
        <v>1805</v>
      </c>
      <c r="I10422" s="6" t="s">
        <v>31</v>
      </c>
      <c r="J10422" s="6">
        <v>17.059374399999999</v>
      </c>
      <c r="K10422" s="6">
        <v>-96.796599299999997</v>
      </c>
      <c r="L10422" s="6" t="str">
        <f>HYPERLINK("https://maps.google.com/?q=17.0593744,-96.796599299999997", "🔗 Ver Mapa")</f>
        <v>🔗 Ver Mapa</v>
      </c>
    </row>
    <row r="10423" spans="1:12" ht="43.5" x14ac:dyDescent="0.35">
      <c r="A10423" s="5" t="s">
        <v>98</v>
      </c>
      <c r="B10423" s="5" t="s">
        <v>99</v>
      </c>
      <c r="C10423" s="5" t="s">
        <v>1804</v>
      </c>
      <c r="D10423" s="5" t="s">
        <v>14</v>
      </c>
      <c r="E10423" s="5" t="s">
        <v>52</v>
      </c>
      <c r="F10423" s="5" t="s">
        <v>70</v>
      </c>
      <c r="G10423" s="5" t="s">
        <v>689</v>
      </c>
      <c r="H10423" s="5" t="s">
        <v>1805</v>
      </c>
      <c r="I10423" s="5" t="s">
        <v>31</v>
      </c>
      <c r="J10423" s="5">
        <v>17.059588999999999</v>
      </c>
      <c r="K10423" s="5">
        <v>-96.795788999999999</v>
      </c>
      <c r="L10423" s="5" t="str">
        <f>HYPERLINK("https://maps.google.com/?q=17.059589,-96.795788999999999", "🔗 Ver Mapa")</f>
        <v>🔗 Ver Mapa</v>
      </c>
    </row>
    <row r="10424" spans="1:12" ht="43.5" x14ac:dyDescent="0.35">
      <c r="A10424" s="6" t="s">
        <v>98</v>
      </c>
      <c r="B10424" s="6" t="s">
        <v>99</v>
      </c>
      <c r="C10424" s="6" t="s">
        <v>1804</v>
      </c>
      <c r="D10424" s="6" t="s">
        <v>14</v>
      </c>
      <c r="E10424" s="6" t="s">
        <v>52</v>
      </c>
      <c r="F10424" s="6" t="s">
        <v>70</v>
      </c>
      <c r="G10424" s="6" t="s">
        <v>689</v>
      </c>
      <c r="H10424" s="6" t="s">
        <v>1805</v>
      </c>
      <c r="I10424" s="6" t="s">
        <v>31</v>
      </c>
      <c r="J10424" s="6">
        <v>17.060147499999999</v>
      </c>
      <c r="K10424" s="6">
        <v>-96.796542200000005</v>
      </c>
      <c r="L10424" s="6" t="str">
        <f>HYPERLINK("https://maps.google.com/?q=17.0601475,-96.796542200000005", "🔗 Ver Mapa")</f>
        <v>🔗 Ver Mapa</v>
      </c>
    </row>
    <row r="10425" spans="1:12" ht="43.5" x14ac:dyDescent="0.35">
      <c r="A10425" s="5" t="s">
        <v>98</v>
      </c>
      <c r="B10425" s="5" t="s">
        <v>99</v>
      </c>
      <c r="C10425" s="5" t="s">
        <v>1804</v>
      </c>
      <c r="D10425" s="5" t="s">
        <v>14</v>
      </c>
      <c r="E10425" s="5" t="s">
        <v>52</v>
      </c>
      <c r="F10425" s="5" t="s">
        <v>70</v>
      </c>
      <c r="G10425" s="5" t="s">
        <v>689</v>
      </c>
      <c r="H10425" s="5" t="s">
        <v>1805</v>
      </c>
      <c r="I10425" s="5" t="s">
        <v>31</v>
      </c>
      <c r="J10425" s="5">
        <v>17.060734</v>
      </c>
      <c r="K10425" s="5">
        <v>-96.797365999999997</v>
      </c>
      <c r="L10425" s="5" t="str">
        <f>HYPERLINK("https://maps.google.com/?q=17.060734,-96.797365999999997", "🔗 Ver Mapa")</f>
        <v>🔗 Ver Mapa</v>
      </c>
    </row>
    <row r="10426" spans="1:12" ht="43.5" x14ac:dyDescent="0.35">
      <c r="A10426" s="6" t="s">
        <v>98</v>
      </c>
      <c r="B10426" s="6" t="s">
        <v>99</v>
      </c>
      <c r="C10426" s="6" t="s">
        <v>1804</v>
      </c>
      <c r="D10426" s="6" t="s">
        <v>14</v>
      </c>
      <c r="E10426" s="6" t="s">
        <v>52</v>
      </c>
      <c r="F10426" s="6" t="s">
        <v>70</v>
      </c>
      <c r="G10426" s="6" t="s">
        <v>689</v>
      </c>
      <c r="H10426" s="6" t="s">
        <v>1805</v>
      </c>
      <c r="I10426" s="6" t="s">
        <v>31</v>
      </c>
      <c r="J10426" s="6">
        <v>17.061154999999999</v>
      </c>
      <c r="K10426" s="6">
        <v>-96.797179999999997</v>
      </c>
      <c r="L10426" s="6" t="str">
        <f>HYPERLINK("https://maps.google.com/?q=17.061155,-96.797179999999997", "🔗 Ver Mapa")</f>
        <v>🔗 Ver Mapa</v>
      </c>
    </row>
    <row r="10427" spans="1:12" ht="43.5" x14ac:dyDescent="0.35">
      <c r="A10427" s="5" t="s">
        <v>98</v>
      </c>
      <c r="B10427" s="5" t="s">
        <v>99</v>
      </c>
      <c r="C10427" s="5" t="s">
        <v>1804</v>
      </c>
      <c r="D10427" s="5" t="s">
        <v>14</v>
      </c>
      <c r="E10427" s="5" t="s">
        <v>52</v>
      </c>
      <c r="F10427" s="5" t="s">
        <v>70</v>
      </c>
      <c r="G10427" s="5" t="s">
        <v>689</v>
      </c>
      <c r="H10427" s="5" t="s">
        <v>1805</v>
      </c>
      <c r="I10427" s="5" t="s">
        <v>31</v>
      </c>
      <c r="J10427" s="5">
        <v>17.061595000000001</v>
      </c>
      <c r="K10427" s="5">
        <v>-96.799025999999998</v>
      </c>
      <c r="L10427" s="5" t="str">
        <f>HYPERLINK("https://maps.google.com/?q=17.061595,-96.799025999999998", "🔗 Ver Mapa")</f>
        <v>🔗 Ver Mapa</v>
      </c>
    </row>
    <row r="10428" spans="1:12" ht="43.5" x14ac:dyDescent="0.35">
      <c r="A10428" s="6" t="s">
        <v>98</v>
      </c>
      <c r="B10428" s="6" t="s">
        <v>99</v>
      </c>
      <c r="C10428" s="6" t="s">
        <v>1806</v>
      </c>
      <c r="D10428" s="6" t="s">
        <v>14</v>
      </c>
      <c r="E10428" s="6" t="s">
        <v>52</v>
      </c>
      <c r="F10428" s="6" t="s">
        <v>70</v>
      </c>
      <c r="G10428" s="6" t="s">
        <v>689</v>
      </c>
      <c r="H10428" s="6" t="s">
        <v>1807</v>
      </c>
      <c r="I10428" s="6" t="s">
        <v>31</v>
      </c>
      <c r="J10428" s="6">
        <v>17.039181200000002</v>
      </c>
      <c r="K10428" s="6">
        <v>-96.777986499999997</v>
      </c>
      <c r="L10428" s="6" t="str">
        <f>HYPERLINK("https://maps.google.com/?q=17.0391812,-96.777986499999997", "🔗 Ver Mapa")</f>
        <v>🔗 Ver Mapa</v>
      </c>
    </row>
    <row r="10429" spans="1:12" ht="43.5" x14ac:dyDescent="0.35">
      <c r="A10429" s="5" t="s">
        <v>98</v>
      </c>
      <c r="B10429" s="5" t="s">
        <v>99</v>
      </c>
      <c r="C10429" s="5" t="s">
        <v>1806</v>
      </c>
      <c r="D10429" s="5" t="s">
        <v>14</v>
      </c>
      <c r="E10429" s="5" t="s">
        <v>52</v>
      </c>
      <c r="F10429" s="5" t="s">
        <v>70</v>
      </c>
      <c r="G10429" s="5" t="s">
        <v>689</v>
      </c>
      <c r="H10429" s="5" t="s">
        <v>1807</v>
      </c>
      <c r="I10429" s="5" t="s">
        <v>31</v>
      </c>
      <c r="J10429" s="5">
        <v>17.039288899999999</v>
      </c>
      <c r="K10429" s="5">
        <v>-96.777633600000001</v>
      </c>
      <c r="L10429" s="5" t="str">
        <f>HYPERLINK("https://maps.google.com/?q=17.0392889,-96.777633600000001", "🔗 Ver Mapa")</f>
        <v>🔗 Ver Mapa</v>
      </c>
    </row>
    <row r="10430" spans="1:12" ht="43.5" x14ac:dyDescent="0.35">
      <c r="A10430" s="6" t="s">
        <v>98</v>
      </c>
      <c r="B10430" s="6" t="s">
        <v>99</v>
      </c>
      <c r="C10430" s="6" t="s">
        <v>1806</v>
      </c>
      <c r="D10430" s="6" t="s">
        <v>14</v>
      </c>
      <c r="E10430" s="6" t="s">
        <v>52</v>
      </c>
      <c r="F10430" s="6" t="s">
        <v>70</v>
      </c>
      <c r="G10430" s="6" t="s">
        <v>689</v>
      </c>
      <c r="H10430" s="6" t="s">
        <v>1807</v>
      </c>
      <c r="I10430" s="6" t="s">
        <v>31</v>
      </c>
      <c r="J10430" s="6">
        <v>17.039520100000001</v>
      </c>
      <c r="K10430" s="6">
        <v>-96.777999199999996</v>
      </c>
      <c r="L10430" s="6" t="str">
        <f>HYPERLINK("https://maps.google.com/?q=17.0395201,-96.777999199999996", "🔗 Ver Mapa")</f>
        <v>🔗 Ver Mapa</v>
      </c>
    </row>
    <row r="10431" spans="1:12" ht="43.5" x14ac:dyDescent="0.35">
      <c r="A10431" s="5" t="s">
        <v>98</v>
      </c>
      <c r="B10431" s="5" t="s">
        <v>99</v>
      </c>
      <c r="C10431" s="5" t="s">
        <v>1806</v>
      </c>
      <c r="D10431" s="5" t="s">
        <v>14</v>
      </c>
      <c r="E10431" s="5" t="s">
        <v>52</v>
      </c>
      <c r="F10431" s="5" t="s">
        <v>70</v>
      </c>
      <c r="G10431" s="5" t="s">
        <v>689</v>
      </c>
      <c r="H10431" s="5" t="s">
        <v>1807</v>
      </c>
      <c r="I10431" s="5" t="s">
        <v>31</v>
      </c>
      <c r="J10431" s="5">
        <v>17.0398128</v>
      </c>
      <c r="K10431" s="5">
        <v>-96.7787498</v>
      </c>
      <c r="L10431" s="5" t="str">
        <f>HYPERLINK("https://maps.google.com/?q=17.0398128,-96.7787498", "🔗 Ver Mapa")</f>
        <v>🔗 Ver Mapa</v>
      </c>
    </row>
    <row r="10432" spans="1:12" ht="43.5" x14ac:dyDescent="0.35">
      <c r="A10432" s="6" t="s">
        <v>98</v>
      </c>
      <c r="B10432" s="6" t="s">
        <v>99</v>
      </c>
      <c r="C10432" s="6" t="s">
        <v>1806</v>
      </c>
      <c r="D10432" s="6" t="s">
        <v>14</v>
      </c>
      <c r="E10432" s="6" t="s">
        <v>52</v>
      </c>
      <c r="F10432" s="6" t="s">
        <v>70</v>
      </c>
      <c r="G10432" s="6" t="s">
        <v>689</v>
      </c>
      <c r="H10432" s="6" t="s">
        <v>1807</v>
      </c>
      <c r="I10432" s="6" t="s">
        <v>31</v>
      </c>
      <c r="J10432" s="6">
        <v>17.039973499999999</v>
      </c>
      <c r="K10432" s="6">
        <v>-96.778266299999999</v>
      </c>
      <c r="L10432" s="6" t="str">
        <f>HYPERLINK("https://maps.google.com/?q=17.0399735,-96.778266299999999", "🔗 Ver Mapa")</f>
        <v>🔗 Ver Mapa</v>
      </c>
    </row>
    <row r="10433" spans="1:12" ht="43.5" x14ac:dyDescent="0.35">
      <c r="A10433" s="5" t="s">
        <v>98</v>
      </c>
      <c r="B10433" s="5" t="s">
        <v>99</v>
      </c>
      <c r="C10433" s="5" t="s">
        <v>1806</v>
      </c>
      <c r="D10433" s="5" t="s">
        <v>14</v>
      </c>
      <c r="E10433" s="5" t="s">
        <v>52</v>
      </c>
      <c r="F10433" s="5" t="s">
        <v>70</v>
      </c>
      <c r="G10433" s="5" t="s">
        <v>689</v>
      </c>
      <c r="H10433" s="5" t="s">
        <v>1807</v>
      </c>
      <c r="I10433" s="5" t="s">
        <v>31</v>
      </c>
      <c r="J10433" s="5">
        <v>17.0409617</v>
      </c>
      <c r="K10433" s="5">
        <v>-96.776625199999998</v>
      </c>
      <c r="L10433" s="5" t="str">
        <f>HYPERLINK("https://maps.google.com/?q=17.0409617,-96.776625199999998", "🔗 Ver Mapa")</f>
        <v>🔗 Ver Mapa</v>
      </c>
    </row>
    <row r="10434" spans="1:12" ht="43.5" x14ac:dyDescent="0.35">
      <c r="A10434" s="6" t="s">
        <v>98</v>
      </c>
      <c r="B10434" s="6" t="s">
        <v>99</v>
      </c>
      <c r="C10434" s="6" t="s">
        <v>1806</v>
      </c>
      <c r="D10434" s="6" t="s">
        <v>14</v>
      </c>
      <c r="E10434" s="6" t="s">
        <v>52</v>
      </c>
      <c r="F10434" s="6" t="s">
        <v>70</v>
      </c>
      <c r="G10434" s="6" t="s">
        <v>689</v>
      </c>
      <c r="H10434" s="6" t="s">
        <v>1807</v>
      </c>
      <c r="I10434" s="6" t="s">
        <v>31</v>
      </c>
      <c r="J10434" s="6">
        <v>17.041215999999999</v>
      </c>
      <c r="K10434" s="6">
        <v>-96.777021000000005</v>
      </c>
      <c r="L10434" s="6" t="str">
        <f>HYPERLINK("https://maps.google.com/?q=17.041216,-96.777021000000005", "🔗 Ver Mapa")</f>
        <v>🔗 Ver Mapa</v>
      </c>
    </row>
    <row r="10435" spans="1:12" ht="43.5" x14ac:dyDescent="0.35">
      <c r="A10435" s="5" t="s">
        <v>98</v>
      </c>
      <c r="B10435" s="5" t="s">
        <v>99</v>
      </c>
      <c r="C10435" s="5" t="s">
        <v>1808</v>
      </c>
      <c r="D10435" s="5" t="s">
        <v>14</v>
      </c>
      <c r="E10435" s="5" t="s">
        <v>52</v>
      </c>
      <c r="F10435" s="5" t="s">
        <v>70</v>
      </c>
      <c r="G10435" s="5" t="s">
        <v>689</v>
      </c>
      <c r="H10435" s="5" t="s">
        <v>1809</v>
      </c>
      <c r="I10435" s="5" t="s">
        <v>31</v>
      </c>
      <c r="J10435" s="5">
        <v>17.040953999999999</v>
      </c>
      <c r="K10435" s="5">
        <v>-96.778657999999993</v>
      </c>
      <c r="L10435" s="5" t="str">
        <f>HYPERLINK("https://maps.google.com/?q=17.040954,-96.778657999999993", "🔗 Ver Mapa")</f>
        <v>🔗 Ver Mapa</v>
      </c>
    </row>
    <row r="10436" spans="1:12" ht="43.5" x14ac:dyDescent="0.35">
      <c r="A10436" s="6" t="s">
        <v>98</v>
      </c>
      <c r="B10436" s="6" t="s">
        <v>99</v>
      </c>
      <c r="C10436" s="6" t="s">
        <v>1808</v>
      </c>
      <c r="D10436" s="6" t="s">
        <v>14</v>
      </c>
      <c r="E10436" s="6" t="s">
        <v>52</v>
      </c>
      <c r="F10436" s="6" t="s">
        <v>70</v>
      </c>
      <c r="G10436" s="6" t="s">
        <v>689</v>
      </c>
      <c r="H10436" s="6" t="s">
        <v>1809</v>
      </c>
      <c r="I10436" s="6" t="s">
        <v>31</v>
      </c>
      <c r="J10436" s="6">
        <v>17.041080600000001</v>
      </c>
      <c r="K10436" s="6">
        <v>-96.778425799999994</v>
      </c>
      <c r="L10436" s="6" t="str">
        <f>HYPERLINK("https://maps.google.com/?q=17.0410806,-96.778425799999994", "🔗 Ver Mapa")</f>
        <v>🔗 Ver Mapa</v>
      </c>
    </row>
    <row r="10437" spans="1:12" ht="43.5" x14ac:dyDescent="0.35">
      <c r="A10437" s="5" t="s">
        <v>98</v>
      </c>
      <c r="B10437" s="5" t="s">
        <v>99</v>
      </c>
      <c r="C10437" s="5" t="s">
        <v>1808</v>
      </c>
      <c r="D10437" s="5" t="s">
        <v>14</v>
      </c>
      <c r="E10437" s="5" t="s">
        <v>52</v>
      </c>
      <c r="F10437" s="5" t="s">
        <v>70</v>
      </c>
      <c r="G10437" s="5" t="s">
        <v>689</v>
      </c>
      <c r="H10437" s="5" t="s">
        <v>1809</v>
      </c>
      <c r="I10437" s="5" t="s">
        <v>31</v>
      </c>
      <c r="J10437" s="5">
        <v>17.041626399999998</v>
      </c>
      <c r="K10437" s="5">
        <v>-96.778475999999998</v>
      </c>
      <c r="L10437" s="5" t="str">
        <f>HYPERLINK("https://maps.google.com/?q=17.0416264,-96.778475999999998", "🔗 Ver Mapa")</f>
        <v>🔗 Ver Mapa</v>
      </c>
    </row>
    <row r="10438" spans="1:12" ht="43.5" x14ac:dyDescent="0.35">
      <c r="A10438" s="6" t="s">
        <v>98</v>
      </c>
      <c r="B10438" s="6" t="s">
        <v>99</v>
      </c>
      <c r="C10438" s="6" t="s">
        <v>1808</v>
      </c>
      <c r="D10438" s="6" t="s">
        <v>14</v>
      </c>
      <c r="E10438" s="6" t="s">
        <v>52</v>
      </c>
      <c r="F10438" s="6" t="s">
        <v>70</v>
      </c>
      <c r="G10438" s="6" t="s">
        <v>689</v>
      </c>
      <c r="H10438" s="6" t="s">
        <v>1809</v>
      </c>
      <c r="I10438" s="6" t="s">
        <v>31</v>
      </c>
      <c r="J10438" s="6">
        <v>17.041700599999999</v>
      </c>
      <c r="K10438" s="6">
        <v>-96.778520499999999</v>
      </c>
      <c r="L10438" s="6" t="str">
        <f>HYPERLINK("https://maps.google.com/?q=17.0417006,-96.778520499999999", "🔗 Ver Mapa")</f>
        <v>🔗 Ver Mapa</v>
      </c>
    </row>
    <row r="10439" spans="1:12" ht="43.5" x14ac:dyDescent="0.35">
      <c r="A10439" s="5" t="s">
        <v>98</v>
      </c>
      <c r="B10439" s="5" t="s">
        <v>99</v>
      </c>
      <c r="C10439" s="5" t="s">
        <v>1808</v>
      </c>
      <c r="D10439" s="5" t="s">
        <v>14</v>
      </c>
      <c r="E10439" s="5" t="s">
        <v>52</v>
      </c>
      <c r="F10439" s="5" t="s">
        <v>70</v>
      </c>
      <c r="G10439" s="5" t="s">
        <v>689</v>
      </c>
      <c r="H10439" s="5" t="s">
        <v>1809</v>
      </c>
      <c r="I10439" s="5" t="s">
        <v>31</v>
      </c>
      <c r="J10439" s="5">
        <v>17.041823000000001</v>
      </c>
      <c r="K10439" s="5">
        <v>-96.778481999999997</v>
      </c>
      <c r="L10439" s="5" t="str">
        <f>HYPERLINK("https://maps.google.com/?q=17.041823,-96.778481999999997", "🔗 Ver Mapa")</f>
        <v>🔗 Ver Mapa</v>
      </c>
    </row>
    <row r="10440" spans="1:12" ht="43.5" x14ac:dyDescent="0.35">
      <c r="A10440" s="6" t="s">
        <v>98</v>
      </c>
      <c r="B10440" s="6" t="s">
        <v>99</v>
      </c>
      <c r="C10440" s="6" t="s">
        <v>1808</v>
      </c>
      <c r="D10440" s="6" t="s">
        <v>14</v>
      </c>
      <c r="E10440" s="6" t="s">
        <v>52</v>
      </c>
      <c r="F10440" s="6" t="s">
        <v>70</v>
      </c>
      <c r="G10440" s="6" t="s">
        <v>689</v>
      </c>
      <c r="H10440" s="6" t="s">
        <v>1809</v>
      </c>
      <c r="I10440" s="6" t="s">
        <v>31</v>
      </c>
      <c r="J10440" s="6">
        <v>17.04223</v>
      </c>
      <c r="K10440" s="6">
        <v>-96.778461899999996</v>
      </c>
      <c r="L10440" s="6" t="str">
        <f>HYPERLINK("https://maps.google.com/?q=17.04223,-96.778461899999996", "🔗 Ver Mapa")</f>
        <v>🔗 Ver Mapa</v>
      </c>
    </row>
    <row r="10441" spans="1:12" ht="43.5" x14ac:dyDescent="0.35">
      <c r="A10441" s="5" t="s">
        <v>98</v>
      </c>
      <c r="B10441" s="5" t="s">
        <v>99</v>
      </c>
      <c r="C10441" s="5" t="s">
        <v>1808</v>
      </c>
      <c r="D10441" s="5" t="s">
        <v>14</v>
      </c>
      <c r="E10441" s="5" t="s">
        <v>52</v>
      </c>
      <c r="F10441" s="5" t="s">
        <v>70</v>
      </c>
      <c r="G10441" s="5" t="s">
        <v>689</v>
      </c>
      <c r="H10441" s="5" t="s">
        <v>1809</v>
      </c>
      <c r="I10441" s="5" t="s">
        <v>31</v>
      </c>
      <c r="J10441" s="5">
        <v>17.042715999999999</v>
      </c>
      <c r="K10441" s="5">
        <v>-96.777789999999996</v>
      </c>
      <c r="L10441" s="5" t="str">
        <f>HYPERLINK("https://maps.google.com/?q=17.042716,-96.777789999999996", "🔗 Ver Mapa")</f>
        <v>🔗 Ver Mapa</v>
      </c>
    </row>
    <row r="10442" spans="1:12" ht="43.5" x14ac:dyDescent="0.35">
      <c r="A10442" s="6" t="s">
        <v>98</v>
      </c>
      <c r="B10442" s="6" t="s">
        <v>99</v>
      </c>
      <c r="C10442" s="6" t="s">
        <v>1810</v>
      </c>
      <c r="D10442" s="6" t="s">
        <v>14</v>
      </c>
      <c r="E10442" s="6" t="s">
        <v>52</v>
      </c>
      <c r="F10442" s="6" t="s">
        <v>70</v>
      </c>
      <c r="G10442" s="6" t="s">
        <v>689</v>
      </c>
      <c r="H10442" s="6" t="s">
        <v>1811</v>
      </c>
      <c r="I10442" s="6" t="s">
        <v>31</v>
      </c>
      <c r="J10442" s="6">
        <v>17.042256999999999</v>
      </c>
      <c r="K10442" s="6">
        <v>-96.781040000000004</v>
      </c>
      <c r="L10442" s="6" t="str">
        <f>HYPERLINK("https://maps.google.com/?q=17.042257,-96.781040000000004", "🔗 Ver Mapa")</f>
        <v>🔗 Ver Mapa</v>
      </c>
    </row>
    <row r="10443" spans="1:12" ht="43.5" x14ac:dyDescent="0.35">
      <c r="A10443" s="5" t="s">
        <v>98</v>
      </c>
      <c r="B10443" s="5" t="s">
        <v>99</v>
      </c>
      <c r="C10443" s="5" t="s">
        <v>1810</v>
      </c>
      <c r="D10443" s="5" t="s">
        <v>14</v>
      </c>
      <c r="E10443" s="5" t="s">
        <v>52</v>
      </c>
      <c r="F10443" s="5" t="s">
        <v>70</v>
      </c>
      <c r="G10443" s="5" t="s">
        <v>689</v>
      </c>
      <c r="H10443" s="5" t="s">
        <v>1811</v>
      </c>
      <c r="I10443" s="5" t="s">
        <v>31</v>
      </c>
      <c r="J10443" s="5">
        <v>17.042519200000001</v>
      </c>
      <c r="K10443" s="5">
        <v>-96.7819121</v>
      </c>
      <c r="L10443" s="5" t="str">
        <f>HYPERLINK("https://maps.google.com/?q=17.0425192,-96.7819121", "🔗 Ver Mapa")</f>
        <v>🔗 Ver Mapa</v>
      </c>
    </row>
    <row r="10444" spans="1:12" ht="43.5" x14ac:dyDescent="0.35">
      <c r="A10444" s="6" t="s">
        <v>98</v>
      </c>
      <c r="B10444" s="6" t="s">
        <v>99</v>
      </c>
      <c r="C10444" s="6" t="s">
        <v>1810</v>
      </c>
      <c r="D10444" s="6" t="s">
        <v>14</v>
      </c>
      <c r="E10444" s="6" t="s">
        <v>52</v>
      </c>
      <c r="F10444" s="6" t="s">
        <v>70</v>
      </c>
      <c r="G10444" s="6" t="s">
        <v>689</v>
      </c>
      <c r="H10444" s="6" t="s">
        <v>1811</v>
      </c>
      <c r="I10444" s="6" t="s">
        <v>31</v>
      </c>
      <c r="J10444" s="6">
        <v>17.042561200000002</v>
      </c>
      <c r="K10444" s="6">
        <v>-96.781572499999996</v>
      </c>
      <c r="L10444" s="6" t="str">
        <f>HYPERLINK("https://maps.google.com/?q=17.0425612,-96.781572499999996", "🔗 Ver Mapa")</f>
        <v>🔗 Ver Mapa</v>
      </c>
    </row>
    <row r="10445" spans="1:12" ht="43.5" x14ac:dyDescent="0.35">
      <c r="A10445" s="5" t="s">
        <v>98</v>
      </c>
      <c r="B10445" s="5" t="s">
        <v>99</v>
      </c>
      <c r="C10445" s="5" t="s">
        <v>1810</v>
      </c>
      <c r="D10445" s="5" t="s">
        <v>14</v>
      </c>
      <c r="E10445" s="5" t="s">
        <v>52</v>
      </c>
      <c r="F10445" s="5" t="s">
        <v>70</v>
      </c>
      <c r="G10445" s="5" t="s">
        <v>689</v>
      </c>
      <c r="H10445" s="5" t="s">
        <v>1811</v>
      </c>
      <c r="I10445" s="5" t="s">
        <v>31</v>
      </c>
      <c r="J10445" s="5">
        <v>17.042601000000001</v>
      </c>
      <c r="K10445" s="5">
        <v>-96.783944000000005</v>
      </c>
      <c r="L10445" s="5" t="str">
        <f>HYPERLINK("https://maps.google.com/?q=17.042601,-96.783944000000005", "🔗 Ver Mapa")</f>
        <v>🔗 Ver Mapa</v>
      </c>
    </row>
    <row r="10446" spans="1:12" ht="43.5" x14ac:dyDescent="0.35">
      <c r="A10446" s="6" t="s">
        <v>98</v>
      </c>
      <c r="B10446" s="6" t="s">
        <v>99</v>
      </c>
      <c r="C10446" s="6" t="s">
        <v>1810</v>
      </c>
      <c r="D10446" s="6" t="s">
        <v>14</v>
      </c>
      <c r="E10446" s="6" t="s">
        <v>52</v>
      </c>
      <c r="F10446" s="6" t="s">
        <v>70</v>
      </c>
      <c r="G10446" s="6" t="s">
        <v>689</v>
      </c>
      <c r="H10446" s="6" t="s">
        <v>1811</v>
      </c>
      <c r="I10446" s="6" t="s">
        <v>31</v>
      </c>
      <c r="J10446" s="6">
        <v>17.042659</v>
      </c>
      <c r="K10446" s="6">
        <v>-96.783455000000004</v>
      </c>
      <c r="L10446" s="6" t="str">
        <f>HYPERLINK("https://maps.google.com/?q=17.042659,-96.783455000000004", "🔗 Ver Mapa")</f>
        <v>🔗 Ver Mapa</v>
      </c>
    </row>
    <row r="10447" spans="1:12" ht="43.5" x14ac:dyDescent="0.35">
      <c r="A10447" s="5" t="s">
        <v>98</v>
      </c>
      <c r="B10447" s="5" t="s">
        <v>99</v>
      </c>
      <c r="C10447" s="5" t="s">
        <v>1810</v>
      </c>
      <c r="D10447" s="5" t="s">
        <v>14</v>
      </c>
      <c r="E10447" s="5" t="s">
        <v>52</v>
      </c>
      <c r="F10447" s="5" t="s">
        <v>70</v>
      </c>
      <c r="G10447" s="5" t="s">
        <v>689</v>
      </c>
      <c r="H10447" s="5" t="s">
        <v>1811</v>
      </c>
      <c r="I10447" s="5" t="s">
        <v>31</v>
      </c>
      <c r="J10447" s="5">
        <v>17.042747200000001</v>
      </c>
      <c r="K10447" s="5">
        <v>-96.780271400000004</v>
      </c>
      <c r="L10447" s="5" t="str">
        <f>HYPERLINK("https://maps.google.com/?q=17.0427472,-96.780271400000004", "🔗 Ver Mapa")</f>
        <v>🔗 Ver Mapa</v>
      </c>
    </row>
    <row r="10448" spans="1:12" ht="43.5" x14ac:dyDescent="0.35">
      <c r="A10448" s="6" t="s">
        <v>98</v>
      </c>
      <c r="B10448" s="6" t="s">
        <v>99</v>
      </c>
      <c r="C10448" s="6" t="s">
        <v>1810</v>
      </c>
      <c r="D10448" s="6" t="s">
        <v>14</v>
      </c>
      <c r="E10448" s="6" t="s">
        <v>52</v>
      </c>
      <c r="F10448" s="6" t="s">
        <v>70</v>
      </c>
      <c r="G10448" s="6" t="s">
        <v>689</v>
      </c>
      <c r="H10448" s="6" t="s">
        <v>1811</v>
      </c>
      <c r="I10448" s="6" t="s">
        <v>31</v>
      </c>
      <c r="J10448" s="6">
        <v>17.042885999999999</v>
      </c>
      <c r="K10448" s="6">
        <v>-96.782927999999998</v>
      </c>
      <c r="L10448" s="6" t="str">
        <f>HYPERLINK("https://maps.google.com/?q=17.042886,-96.782927999999998", "🔗 Ver Mapa")</f>
        <v>🔗 Ver Mapa</v>
      </c>
    </row>
    <row r="10449" spans="1:12" ht="43.5" x14ac:dyDescent="0.35">
      <c r="A10449" s="5" t="s">
        <v>98</v>
      </c>
      <c r="B10449" s="5" t="s">
        <v>99</v>
      </c>
      <c r="C10449" s="5" t="s">
        <v>1810</v>
      </c>
      <c r="D10449" s="5" t="s">
        <v>14</v>
      </c>
      <c r="E10449" s="5" t="s">
        <v>52</v>
      </c>
      <c r="F10449" s="5" t="s">
        <v>70</v>
      </c>
      <c r="G10449" s="5" t="s">
        <v>689</v>
      </c>
      <c r="H10449" s="5" t="s">
        <v>1811</v>
      </c>
      <c r="I10449" s="5" t="s">
        <v>31</v>
      </c>
      <c r="J10449" s="5">
        <v>17.043016000000001</v>
      </c>
      <c r="K10449" s="5">
        <v>-96.782131000000007</v>
      </c>
      <c r="L10449" s="5" t="str">
        <f>HYPERLINK("https://maps.google.com/?q=17.043016,-96.782131000000007", "🔗 Ver Mapa")</f>
        <v>🔗 Ver Mapa</v>
      </c>
    </row>
    <row r="10450" spans="1:12" ht="43.5" x14ac:dyDescent="0.35">
      <c r="A10450" s="6" t="s">
        <v>98</v>
      </c>
      <c r="B10450" s="6" t="s">
        <v>99</v>
      </c>
      <c r="C10450" s="6" t="s">
        <v>1810</v>
      </c>
      <c r="D10450" s="6" t="s">
        <v>14</v>
      </c>
      <c r="E10450" s="6" t="s">
        <v>52</v>
      </c>
      <c r="F10450" s="6" t="s">
        <v>70</v>
      </c>
      <c r="G10450" s="6" t="s">
        <v>689</v>
      </c>
      <c r="H10450" s="6" t="s">
        <v>1811</v>
      </c>
      <c r="I10450" s="6" t="s">
        <v>31</v>
      </c>
      <c r="J10450" s="6">
        <v>17.043029499999999</v>
      </c>
      <c r="K10450" s="6">
        <v>-96.783669099999997</v>
      </c>
      <c r="L10450" s="6" t="str">
        <f>HYPERLINK("https://maps.google.com/?q=17.0430295,-96.783669099999997", "🔗 Ver Mapa")</f>
        <v>🔗 Ver Mapa</v>
      </c>
    </row>
    <row r="10451" spans="1:12" ht="43.5" x14ac:dyDescent="0.35">
      <c r="A10451" s="5" t="s">
        <v>98</v>
      </c>
      <c r="B10451" s="5" t="s">
        <v>99</v>
      </c>
      <c r="C10451" s="5" t="s">
        <v>1812</v>
      </c>
      <c r="D10451" s="5" t="s">
        <v>14</v>
      </c>
      <c r="E10451" s="5" t="s">
        <v>52</v>
      </c>
      <c r="F10451" s="5" t="s">
        <v>70</v>
      </c>
      <c r="G10451" s="5" t="s">
        <v>689</v>
      </c>
      <c r="H10451" s="5" t="s">
        <v>1813</v>
      </c>
      <c r="I10451" s="5" t="s">
        <v>31</v>
      </c>
      <c r="J10451" s="5">
        <v>17.036855599999999</v>
      </c>
      <c r="K10451" s="5">
        <v>-96.780114800000007</v>
      </c>
      <c r="L10451" s="5" t="str">
        <f>HYPERLINK("https://maps.google.com/?q=17.0368556,-96.780114800000007", "🔗 Ver Mapa")</f>
        <v>🔗 Ver Mapa</v>
      </c>
    </row>
    <row r="10452" spans="1:12" ht="43.5" x14ac:dyDescent="0.35">
      <c r="A10452" s="6" t="s">
        <v>98</v>
      </c>
      <c r="B10452" s="6" t="s">
        <v>99</v>
      </c>
      <c r="C10452" s="6" t="s">
        <v>1812</v>
      </c>
      <c r="D10452" s="6" t="s">
        <v>14</v>
      </c>
      <c r="E10452" s="6" t="s">
        <v>52</v>
      </c>
      <c r="F10452" s="6" t="s">
        <v>70</v>
      </c>
      <c r="G10452" s="6" t="s">
        <v>689</v>
      </c>
      <c r="H10452" s="6" t="s">
        <v>1813</v>
      </c>
      <c r="I10452" s="6" t="s">
        <v>31</v>
      </c>
      <c r="J10452" s="6">
        <v>17.036923000000002</v>
      </c>
      <c r="K10452" s="6">
        <v>-96.780392000000006</v>
      </c>
      <c r="L10452" s="6" t="str">
        <f>HYPERLINK("https://maps.google.com/?q=17.036923,-96.780392000000006", "🔗 Ver Mapa")</f>
        <v>🔗 Ver Mapa</v>
      </c>
    </row>
    <row r="10453" spans="1:12" ht="43.5" x14ac:dyDescent="0.35">
      <c r="A10453" s="5" t="s">
        <v>98</v>
      </c>
      <c r="B10453" s="5" t="s">
        <v>99</v>
      </c>
      <c r="C10453" s="5" t="s">
        <v>1812</v>
      </c>
      <c r="D10453" s="5" t="s">
        <v>14</v>
      </c>
      <c r="E10453" s="5" t="s">
        <v>52</v>
      </c>
      <c r="F10453" s="5" t="s">
        <v>70</v>
      </c>
      <c r="G10453" s="5" t="s">
        <v>689</v>
      </c>
      <c r="H10453" s="5" t="s">
        <v>1813</v>
      </c>
      <c r="I10453" s="5" t="s">
        <v>31</v>
      </c>
      <c r="J10453" s="5">
        <v>17.037497999999999</v>
      </c>
      <c r="K10453" s="5">
        <v>-96.780446999999995</v>
      </c>
      <c r="L10453" s="5" t="str">
        <f>HYPERLINK("https://maps.google.com/?q=17.037498,-96.780446999999995", "🔗 Ver Mapa")</f>
        <v>🔗 Ver Mapa</v>
      </c>
    </row>
    <row r="10454" spans="1:12" ht="43.5" x14ac:dyDescent="0.35">
      <c r="A10454" s="6" t="s">
        <v>98</v>
      </c>
      <c r="B10454" s="6" t="s">
        <v>99</v>
      </c>
      <c r="C10454" s="6" t="s">
        <v>1812</v>
      </c>
      <c r="D10454" s="6" t="s">
        <v>14</v>
      </c>
      <c r="E10454" s="6" t="s">
        <v>52</v>
      </c>
      <c r="F10454" s="6" t="s">
        <v>70</v>
      </c>
      <c r="G10454" s="6" t="s">
        <v>689</v>
      </c>
      <c r="H10454" s="6" t="s">
        <v>1813</v>
      </c>
      <c r="I10454" s="6" t="s">
        <v>31</v>
      </c>
      <c r="J10454" s="6">
        <v>17.037808800000001</v>
      </c>
      <c r="K10454" s="6">
        <v>-96.779683800000001</v>
      </c>
      <c r="L10454" s="6" t="str">
        <f>HYPERLINK("https://maps.google.com/?q=17.0378088,-96.779683800000001", "🔗 Ver Mapa")</f>
        <v>🔗 Ver Mapa</v>
      </c>
    </row>
    <row r="10455" spans="1:12" ht="43.5" x14ac:dyDescent="0.35">
      <c r="A10455" s="5" t="s">
        <v>98</v>
      </c>
      <c r="B10455" s="5" t="s">
        <v>99</v>
      </c>
      <c r="C10455" s="5" t="s">
        <v>1812</v>
      </c>
      <c r="D10455" s="5" t="s">
        <v>14</v>
      </c>
      <c r="E10455" s="5" t="s">
        <v>52</v>
      </c>
      <c r="F10455" s="5" t="s">
        <v>70</v>
      </c>
      <c r="G10455" s="5" t="s">
        <v>689</v>
      </c>
      <c r="H10455" s="5" t="s">
        <v>1813</v>
      </c>
      <c r="I10455" s="5" t="s">
        <v>31</v>
      </c>
      <c r="J10455" s="5">
        <v>17.0379012</v>
      </c>
      <c r="K10455" s="5">
        <v>-96.779592500000007</v>
      </c>
      <c r="L10455" s="5" t="str">
        <f>HYPERLINK("https://maps.google.com/?q=17.0379012,-96.779592500000007", "🔗 Ver Mapa")</f>
        <v>🔗 Ver Mapa</v>
      </c>
    </row>
    <row r="10456" spans="1:12" ht="43.5" x14ac:dyDescent="0.35">
      <c r="A10456" s="6" t="s">
        <v>98</v>
      </c>
      <c r="B10456" s="6" t="s">
        <v>99</v>
      </c>
      <c r="C10456" s="6" t="s">
        <v>1812</v>
      </c>
      <c r="D10456" s="6" t="s">
        <v>14</v>
      </c>
      <c r="E10456" s="6" t="s">
        <v>52</v>
      </c>
      <c r="F10456" s="6" t="s">
        <v>70</v>
      </c>
      <c r="G10456" s="6" t="s">
        <v>689</v>
      </c>
      <c r="H10456" s="6" t="s">
        <v>1813</v>
      </c>
      <c r="I10456" s="6" t="s">
        <v>31</v>
      </c>
      <c r="J10456" s="6">
        <v>17.038840100000002</v>
      </c>
      <c r="K10456" s="6">
        <v>-96.780954899999998</v>
      </c>
      <c r="L10456" s="6" t="str">
        <f>HYPERLINK("https://maps.google.com/?q=17.0388401,-96.780954899999998", "🔗 Ver Mapa")</f>
        <v>🔗 Ver Mapa</v>
      </c>
    </row>
    <row r="10457" spans="1:12" ht="43.5" x14ac:dyDescent="0.35">
      <c r="A10457" s="5" t="s">
        <v>98</v>
      </c>
      <c r="B10457" s="5" t="s">
        <v>99</v>
      </c>
      <c r="C10457" s="5" t="s">
        <v>1812</v>
      </c>
      <c r="D10457" s="5" t="s">
        <v>14</v>
      </c>
      <c r="E10457" s="5" t="s">
        <v>52</v>
      </c>
      <c r="F10457" s="5" t="s">
        <v>70</v>
      </c>
      <c r="G10457" s="5" t="s">
        <v>689</v>
      </c>
      <c r="H10457" s="5" t="s">
        <v>1813</v>
      </c>
      <c r="I10457" s="5" t="s">
        <v>31</v>
      </c>
      <c r="J10457" s="5">
        <v>17.038964199999999</v>
      </c>
      <c r="K10457" s="5">
        <v>-96.779714900000002</v>
      </c>
      <c r="L10457" s="5" t="str">
        <f>HYPERLINK("https://maps.google.com/?q=17.0389642,-96.779714900000002", "🔗 Ver Mapa")</f>
        <v>🔗 Ver Mapa</v>
      </c>
    </row>
    <row r="10458" spans="1:12" ht="43.5" x14ac:dyDescent="0.35">
      <c r="A10458" s="6" t="s">
        <v>98</v>
      </c>
      <c r="B10458" s="6" t="s">
        <v>99</v>
      </c>
      <c r="C10458" s="6" t="s">
        <v>1812</v>
      </c>
      <c r="D10458" s="6" t="s">
        <v>14</v>
      </c>
      <c r="E10458" s="6" t="s">
        <v>52</v>
      </c>
      <c r="F10458" s="6" t="s">
        <v>70</v>
      </c>
      <c r="G10458" s="6" t="s">
        <v>689</v>
      </c>
      <c r="H10458" s="6" t="s">
        <v>1813</v>
      </c>
      <c r="I10458" s="6" t="s">
        <v>31</v>
      </c>
      <c r="J10458" s="6">
        <v>17.039002199999999</v>
      </c>
      <c r="K10458" s="6">
        <v>-96.780820199999994</v>
      </c>
      <c r="L10458" s="6" t="str">
        <f>HYPERLINK("https://maps.google.com/?q=17.0390022,-96.780820199999994", "🔗 Ver Mapa")</f>
        <v>🔗 Ver Mapa</v>
      </c>
    </row>
    <row r="10459" spans="1:12" ht="43.5" x14ac:dyDescent="0.35">
      <c r="A10459" s="5" t="s">
        <v>98</v>
      </c>
      <c r="B10459" s="5" t="s">
        <v>99</v>
      </c>
      <c r="C10459" s="5" t="s">
        <v>1812</v>
      </c>
      <c r="D10459" s="5" t="s">
        <v>14</v>
      </c>
      <c r="E10459" s="5" t="s">
        <v>52</v>
      </c>
      <c r="F10459" s="5" t="s">
        <v>70</v>
      </c>
      <c r="G10459" s="5" t="s">
        <v>689</v>
      </c>
      <c r="H10459" s="5" t="s">
        <v>1813</v>
      </c>
      <c r="I10459" s="5" t="s">
        <v>31</v>
      </c>
      <c r="J10459" s="5">
        <v>17.039255000000001</v>
      </c>
      <c r="K10459" s="5">
        <v>-96.780536999999995</v>
      </c>
      <c r="L10459" s="5" t="str">
        <f>HYPERLINK("https://maps.google.com/?q=17.039255,-96.780536999999995", "🔗 Ver Mapa")</f>
        <v>🔗 Ver Mapa</v>
      </c>
    </row>
    <row r="10460" spans="1:12" ht="43.5" x14ac:dyDescent="0.35">
      <c r="A10460" s="6" t="s">
        <v>98</v>
      </c>
      <c r="B10460" s="6" t="s">
        <v>99</v>
      </c>
      <c r="C10460" s="6" t="s">
        <v>1812</v>
      </c>
      <c r="D10460" s="6" t="s">
        <v>14</v>
      </c>
      <c r="E10460" s="6" t="s">
        <v>52</v>
      </c>
      <c r="F10460" s="6" t="s">
        <v>70</v>
      </c>
      <c r="G10460" s="6" t="s">
        <v>689</v>
      </c>
      <c r="H10460" s="6" t="s">
        <v>1813</v>
      </c>
      <c r="I10460" s="6" t="s">
        <v>31</v>
      </c>
      <c r="J10460" s="6">
        <v>17.039377000000002</v>
      </c>
      <c r="K10460" s="6">
        <v>-96.781852999999998</v>
      </c>
      <c r="L10460" s="6" t="str">
        <f>HYPERLINK("https://maps.google.com/?q=17.039377,-96.781852999999998", "🔗 Ver Mapa")</f>
        <v>🔗 Ver Mapa</v>
      </c>
    </row>
    <row r="10461" spans="1:12" ht="43.5" x14ac:dyDescent="0.35">
      <c r="A10461" s="5" t="s">
        <v>98</v>
      </c>
      <c r="B10461" s="5" t="s">
        <v>99</v>
      </c>
      <c r="C10461" s="5" t="s">
        <v>1812</v>
      </c>
      <c r="D10461" s="5" t="s">
        <v>14</v>
      </c>
      <c r="E10461" s="5" t="s">
        <v>52</v>
      </c>
      <c r="F10461" s="5" t="s">
        <v>70</v>
      </c>
      <c r="G10461" s="5" t="s">
        <v>689</v>
      </c>
      <c r="H10461" s="5" t="s">
        <v>1813</v>
      </c>
      <c r="I10461" s="5" t="s">
        <v>31</v>
      </c>
      <c r="J10461" s="5">
        <v>17.039555199999999</v>
      </c>
      <c r="K10461" s="5">
        <v>-96.780303000000004</v>
      </c>
      <c r="L10461" s="5" t="str">
        <f>HYPERLINK("https://maps.google.com/?q=17.0395552,-96.780303000000004", "🔗 Ver Mapa")</f>
        <v>🔗 Ver Mapa</v>
      </c>
    </row>
    <row r="10462" spans="1:12" ht="43.5" x14ac:dyDescent="0.35">
      <c r="A10462" s="6" t="s">
        <v>98</v>
      </c>
      <c r="B10462" s="6" t="s">
        <v>99</v>
      </c>
      <c r="C10462" s="6" t="s">
        <v>1812</v>
      </c>
      <c r="D10462" s="6" t="s">
        <v>14</v>
      </c>
      <c r="E10462" s="6" t="s">
        <v>52</v>
      </c>
      <c r="F10462" s="6" t="s">
        <v>70</v>
      </c>
      <c r="G10462" s="6" t="s">
        <v>689</v>
      </c>
      <c r="H10462" s="6" t="s">
        <v>1813</v>
      </c>
      <c r="I10462" s="6" t="s">
        <v>31</v>
      </c>
      <c r="J10462" s="6">
        <v>17.039632000000001</v>
      </c>
      <c r="K10462" s="6">
        <v>-96.780282</v>
      </c>
      <c r="L10462" s="6" t="str">
        <f>HYPERLINK("https://maps.google.com/?q=17.039632,-96.780282", "🔗 Ver Mapa")</f>
        <v>🔗 Ver Mapa</v>
      </c>
    </row>
    <row r="10463" spans="1:12" ht="43.5" x14ac:dyDescent="0.35">
      <c r="A10463" s="5" t="s">
        <v>98</v>
      </c>
      <c r="B10463" s="5" t="s">
        <v>99</v>
      </c>
      <c r="C10463" s="5" t="s">
        <v>1812</v>
      </c>
      <c r="D10463" s="5" t="s">
        <v>14</v>
      </c>
      <c r="E10463" s="5" t="s">
        <v>52</v>
      </c>
      <c r="F10463" s="5" t="s">
        <v>70</v>
      </c>
      <c r="G10463" s="5" t="s">
        <v>689</v>
      </c>
      <c r="H10463" s="5" t="s">
        <v>1813</v>
      </c>
      <c r="I10463" s="5" t="s">
        <v>31</v>
      </c>
      <c r="J10463" s="5">
        <v>17.039804700000001</v>
      </c>
      <c r="K10463" s="5">
        <v>-96.782100400000004</v>
      </c>
      <c r="L10463" s="5" t="str">
        <f>HYPERLINK("https://maps.google.com/?q=17.0398047,-96.782100400000004", "🔗 Ver Mapa")</f>
        <v>🔗 Ver Mapa</v>
      </c>
    </row>
    <row r="10464" spans="1:12" ht="43.5" x14ac:dyDescent="0.35">
      <c r="A10464" s="6" t="s">
        <v>98</v>
      </c>
      <c r="B10464" s="6" t="s">
        <v>99</v>
      </c>
      <c r="C10464" s="6" t="s">
        <v>1812</v>
      </c>
      <c r="D10464" s="6" t="s">
        <v>14</v>
      </c>
      <c r="E10464" s="6" t="s">
        <v>52</v>
      </c>
      <c r="F10464" s="6" t="s">
        <v>70</v>
      </c>
      <c r="G10464" s="6" t="s">
        <v>689</v>
      </c>
      <c r="H10464" s="6" t="s">
        <v>1813</v>
      </c>
      <c r="I10464" s="6" t="s">
        <v>31</v>
      </c>
      <c r="J10464" s="6">
        <v>17.040170499999999</v>
      </c>
      <c r="K10464" s="6">
        <v>-96.782340199999993</v>
      </c>
      <c r="L10464" s="6" t="str">
        <f>HYPERLINK("https://maps.google.com/?q=17.0401705,-96.782340199999993", "🔗 Ver Mapa")</f>
        <v>🔗 Ver Mapa</v>
      </c>
    </row>
    <row r="10465" spans="1:12" ht="43.5" x14ac:dyDescent="0.35">
      <c r="A10465" s="5" t="s">
        <v>98</v>
      </c>
      <c r="B10465" s="5" t="s">
        <v>99</v>
      </c>
      <c r="C10465" s="5" t="s">
        <v>1812</v>
      </c>
      <c r="D10465" s="5" t="s">
        <v>14</v>
      </c>
      <c r="E10465" s="5" t="s">
        <v>52</v>
      </c>
      <c r="F10465" s="5" t="s">
        <v>70</v>
      </c>
      <c r="G10465" s="5" t="s">
        <v>689</v>
      </c>
      <c r="H10465" s="5" t="s">
        <v>1813</v>
      </c>
      <c r="I10465" s="5" t="s">
        <v>31</v>
      </c>
      <c r="J10465" s="5">
        <v>17.0405686</v>
      </c>
      <c r="K10465" s="5">
        <v>-96.7810214</v>
      </c>
      <c r="L10465" s="5" t="str">
        <f>HYPERLINK("https://maps.google.com/?q=17.0405686,-96.7810214", "🔗 Ver Mapa")</f>
        <v>🔗 Ver Mapa</v>
      </c>
    </row>
    <row r="10466" spans="1:12" ht="43.5" x14ac:dyDescent="0.35">
      <c r="A10466" s="6" t="s">
        <v>98</v>
      </c>
      <c r="B10466" s="6" t="s">
        <v>99</v>
      </c>
      <c r="C10466" s="6" t="s">
        <v>1812</v>
      </c>
      <c r="D10466" s="6" t="s">
        <v>14</v>
      </c>
      <c r="E10466" s="6" t="s">
        <v>52</v>
      </c>
      <c r="F10466" s="6" t="s">
        <v>70</v>
      </c>
      <c r="G10466" s="6" t="s">
        <v>689</v>
      </c>
      <c r="H10466" s="6" t="s">
        <v>1813</v>
      </c>
      <c r="I10466" s="6" t="s">
        <v>31</v>
      </c>
      <c r="J10466" s="6">
        <v>17.040617000000001</v>
      </c>
      <c r="K10466" s="6">
        <v>-96.782601999999997</v>
      </c>
      <c r="L10466" s="6" t="str">
        <f>HYPERLINK("https://maps.google.com/?q=17.040617,-96.782601999999997", "🔗 Ver Mapa")</f>
        <v>🔗 Ver Mapa</v>
      </c>
    </row>
    <row r="10467" spans="1:12" ht="43.5" x14ac:dyDescent="0.35">
      <c r="A10467" s="5" t="s">
        <v>98</v>
      </c>
      <c r="B10467" s="5" t="s">
        <v>99</v>
      </c>
      <c r="C10467" s="5" t="s">
        <v>1812</v>
      </c>
      <c r="D10467" s="5" t="s">
        <v>14</v>
      </c>
      <c r="E10467" s="5" t="s">
        <v>52</v>
      </c>
      <c r="F10467" s="5" t="s">
        <v>70</v>
      </c>
      <c r="G10467" s="5" t="s">
        <v>689</v>
      </c>
      <c r="H10467" s="5" t="s">
        <v>1813</v>
      </c>
      <c r="I10467" s="5" t="s">
        <v>31</v>
      </c>
      <c r="J10467" s="5">
        <v>17.042563699999999</v>
      </c>
      <c r="K10467" s="5">
        <v>-96.779371100000006</v>
      </c>
      <c r="L10467" s="5" t="str">
        <f>HYPERLINK("https://maps.google.com/?q=17.0425637,-96.779371100000006", "🔗 Ver Mapa")</f>
        <v>🔗 Ver Mapa</v>
      </c>
    </row>
    <row r="10468" spans="1:12" ht="43.5" x14ac:dyDescent="0.35">
      <c r="A10468" s="6" t="s">
        <v>98</v>
      </c>
      <c r="B10468" s="6" t="s">
        <v>99</v>
      </c>
      <c r="C10468" s="6" t="s">
        <v>1812</v>
      </c>
      <c r="D10468" s="6" t="s">
        <v>14</v>
      </c>
      <c r="E10468" s="6" t="s">
        <v>52</v>
      </c>
      <c r="F10468" s="6" t="s">
        <v>70</v>
      </c>
      <c r="G10468" s="6" t="s">
        <v>689</v>
      </c>
      <c r="H10468" s="6" t="s">
        <v>1813</v>
      </c>
      <c r="I10468" s="6" t="s">
        <v>31</v>
      </c>
      <c r="J10468" s="6">
        <v>17.043313000000001</v>
      </c>
      <c r="K10468" s="6">
        <v>-96.779691999999997</v>
      </c>
      <c r="L10468" s="6" t="str">
        <f>HYPERLINK("https://maps.google.com/?q=17.043313,-96.779691999999997", "🔗 Ver Mapa")</f>
        <v>🔗 Ver Mapa</v>
      </c>
    </row>
    <row r="10469" spans="1:12" ht="43.5" x14ac:dyDescent="0.35">
      <c r="A10469" s="5" t="s">
        <v>98</v>
      </c>
      <c r="B10469" s="5" t="s">
        <v>99</v>
      </c>
      <c r="C10469" s="5" t="s">
        <v>1814</v>
      </c>
      <c r="D10469" s="5" t="s">
        <v>14</v>
      </c>
      <c r="E10469" s="5" t="s">
        <v>39</v>
      </c>
      <c r="F10469" s="5" t="s">
        <v>494</v>
      </c>
      <c r="G10469" s="5" t="s">
        <v>731</v>
      </c>
      <c r="H10469" s="5" t="s">
        <v>1815</v>
      </c>
      <c r="I10469" s="5" t="s">
        <v>31</v>
      </c>
      <c r="J10469" s="5">
        <v>16.664347061512998</v>
      </c>
      <c r="K10469" s="5">
        <v>-97.253237630618997</v>
      </c>
      <c r="L10469" s="5" t="str">
        <f>HYPERLINK("https://maps.google.com/?q=16.6643470615131,-97.2532376306192", "🔗 Ver Mapa")</f>
        <v>🔗 Ver Mapa</v>
      </c>
    </row>
    <row r="10470" spans="1:12" ht="43.5" x14ac:dyDescent="0.35">
      <c r="A10470" s="6" t="s">
        <v>98</v>
      </c>
      <c r="B10470" s="6" t="s">
        <v>99</v>
      </c>
      <c r="C10470" s="6" t="s">
        <v>1814</v>
      </c>
      <c r="D10470" s="6" t="s">
        <v>14</v>
      </c>
      <c r="E10470" s="6" t="s">
        <v>39</v>
      </c>
      <c r="F10470" s="6" t="s">
        <v>494</v>
      </c>
      <c r="G10470" s="6" t="s">
        <v>731</v>
      </c>
      <c r="H10470" s="6" t="s">
        <v>1815</v>
      </c>
      <c r="I10470" s="6" t="s">
        <v>31</v>
      </c>
      <c r="J10470" s="6">
        <v>16.664428000000001</v>
      </c>
      <c r="K10470" s="6">
        <v>-97.253589000000005</v>
      </c>
      <c r="L10470" s="6" t="str">
        <f>HYPERLINK("https://maps.google.com/?q=16.664428,-97.253589", "🔗 Ver Mapa")</f>
        <v>🔗 Ver Mapa</v>
      </c>
    </row>
    <row r="10471" spans="1:12" ht="43.5" x14ac:dyDescent="0.35">
      <c r="A10471" s="5" t="s">
        <v>98</v>
      </c>
      <c r="B10471" s="5" t="s">
        <v>99</v>
      </c>
      <c r="C10471" s="5" t="s">
        <v>1814</v>
      </c>
      <c r="D10471" s="5" t="s">
        <v>14</v>
      </c>
      <c r="E10471" s="5" t="s">
        <v>39</v>
      </c>
      <c r="F10471" s="5" t="s">
        <v>494</v>
      </c>
      <c r="G10471" s="5" t="s">
        <v>731</v>
      </c>
      <c r="H10471" s="5" t="s">
        <v>1815</v>
      </c>
      <c r="I10471" s="5" t="s">
        <v>31</v>
      </c>
      <c r="J10471" s="5">
        <v>16.664763413343</v>
      </c>
      <c r="K10471" s="5">
        <v>-97.254343143957001</v>
      </c>
      <c r="L10471" s="5" t="str">
        <f>HYPERLINK("https://maps.google.com/?q=16.6647634133429,-97.2543431439572", "🔗 Ver Mapa")</f>
        <v>🔗 Ver Mapa</v>
      </c>
    </row>
    <row r="10472" spans="1:12" ht="43.5" x14ac:dyDescent="0.35">
      <c r="A10472" s="6" t="s">
        <v>98</v>
      </c>
      <c r="B10472" s="6" t="s">
        <v>99</v>
      </c>
      <c r="C10472" s="6" t="s">
        <v>1814</v>
      </c>
      <c r="D10472" s="6" t="s">
        <v>14</v>
      </c>
      <c r="E10472" s="6" t="s">
        <v>39</v>
      </c>
      <c r="F10472" s="6" t="s">
        <v>494</v>
      </c>
      <c r="G10472" s="6" t="s">
        <v>731</v>
      </c>
      <c r="H10472" s="6" t="s">
        <v>1815</v>
      </c>
      <c r="I10472" s="6" t="s">
        <v>31</v>
      </c>
      <c r="J10472" s="6">
        <v>16.665376412051</v>
      </c>
      <c r="K10472" s="6">
        <v>-97.253172455363995</v>
      </c>
      <c r="L10472" s="6" t="str">
        <f>HYPERLINK("https://maps.google.com/?q=16.6653764120506,-97.253172455363796", "🔗 Ver Mapa")</f>
        <v>🔗 Ver Mapa</v>
      </c>
    </row>
    <row r="10473" spans="1:12" ht="43.5" x14ac:dyDescent="0.35">
      <c r="A10473" s="5" t="s">
        <v>98</v>
      </c>
      <c r="B10473" s="5" t="s">
        <v>99</v>
      </c>
      <c r="C10473" s="5" t="s">
        <v>1814</v>
      </c>
      <c r="D10473" s="5" t="s">
        <v>14</v>
      </c>
      <c r="E10473" s="5" t="s">
        <v>39</v>
      </c>
      <c r="F10473" s="5" t="s">
        <v>494</v>
      </c>
      <c r="G10473" s="5" t="s">
        <v>731</v>
      </c>
      <c r="H10473" s="5" t="s">
        <v>1815</v>
      </c>
      <c r="I10473" s="5" t="s">
        <v>31</v>
      </c>
      <c r="J10473" s="5">
        <v>16.666090116081001</v>
      </c>
      <c r="K10473" s="5">
        <v>-97.25564768948</v>
      </c>
      <c r="L10473" s="5" t="str">
        <f>HYPERLINK("https://maps.google.com/?q=16.6660901160812,-97.25564768948", "🔗 Ver Mapa")</f>
        <v>🔗 Ver Mapa</v>
      </c>
    </row>
    <row r="10474" spans="1:12" ht="43.5" x14ac:dyDescent="0.35">
      <c r="A10474" s="6" t="s">
        <v>98</v>
      </c>
      <c r="B10474" s="6" t="s">
        <v>99</v>
      </c>
      <c r="C10474" s="6" t="s">
        <v>1814</v>
      </c>
      <c r="D10474" s="6" t="s">
        <v>14</v>
      </c>
      <c r="E10474" s="6" t="s">
        <v>39</v>
      </c>
      <c r="F10474" s="6" t="s">
        <v>494</v>
      </c>
      <c r="G10474" s="6" t="s">
        <v>731</v>
      </c>
      <c r="H10474" s="6" t="s">
        <v>1815</v>
      </c>
      <c r="I10474" s="6" t="s">
        <v>31</v>
      </c>
      <c r="J10474" s="6">
        <v>16.666223731898999</v>
      </c>
      <c r="K10474" s="6">
        <v>-97.255940050261998</v>
      </c>
      <c r="L10474" s="6" t="str">
        <f>HYPERLINK("https://maps.google.com/?q=16.6662237318986,-97.255940050262495", "🔗 Ver Mapa")</f>
        <v>🔗 Ver Mapa</v>
      </c>
    </row>
    <row r="10475" spans="1:12" ht="43.5" x14ac:dyDescent="0.35">
      <c r="A10475" s="5" t="s">
        <v>98</v>
      </c>
      <c r="B10475" s="5" t="s">
        <v>99</v>
      </c>
      <c r="C10475" s="5" t="s">
        <v>1814</v>
      </c>
      <c r="D10475" s="5" t="s">
        <v>14</v>
      </c>
      <c r="E10475" s="5" t="s">
        <v>39</v>
      </c>
      <c r="F10475" s="5" t="s">
        <v>494</v>
      </c>
      <c r="G10475" s="5" t="s">
        <v>731</v>
      </c>
      <c r="H10475" s="5" t="s">
        <v>1815</v>
      </c>
      <c r="I10475" s="5" t="s">
        <v>31</v>
      </c>
      <c r="J10475" s="5">
        <v>16.667112789330002</v>
      </c>
      <c r="K10475" s="5">
        <v>-97.257973164432997</v>
      </c>
      <c r="L10475" s="5" t="str">
        <f>HYPERLINK("https://maps.google.com/?q=16.6671127893297,-97.257973164433494", "🔗 Ver Mapa")</f>
        <v>🔗 Ver Mapa</v>
      </c>
    </row>
    <row r="10476" spans="1:12" ht="43.5" x14ac:dyDescent="0.35">
      <c r="A10476" s="6" t="s">
        <v>98</v>
      </c>
      <c r="B10476" s="6" t="s">
        <v>99</v>
      </c>
      <c r="C10476" s="6" t="s">
        <v>1816</v>
      </c>
      <c r="D10476" s="6" t="s">
        <v>14</v>
      </c>
      <c r="E10476" s="6" t="s">
        <v>110</v>
      </c>
      <c r="F10476" s="6" t="s">
        <v>126</v>
      </c>
      <c r="G10476" s="6" t="s">
        <v>1453</v>
      </c>
      <c r="H10476" s="6" t="s">
        <v>1454</v>
      </c>
      <c r="I10476" s="6" t="s">
        <v>31</v>
      </c>
      <c r="J10476" s="6">
        <v>17.842377150183001</v>
      </c>
      <c r="K10476" s="6">
        <v>-96.746864209009999</v>
      </c>
      <c r="L10476" s="6" t="str">
        <f>HYPERLINK("https://maps.google.com/?q=17.8423771501835,-96.746864209009601", "🔗 Ver Mapa")</f>
        <v>🔗 Ver Mapa</v>
      </c>
    </row>
    <row r="10477" spans="1:12" ht="43.5" x14ac:dyDescent="0.35">
      <c r="A10477" s="5" t="s">
        <v>98</v>
      </c>
      <c r="B10477" s="5" t="s">
        <v>99</v>
      </c>
      <c r="C10477" s="5" t="s">
        <v>1816</v>
      </c>
      <c r="D10477" s="5" t="s">
        <v>14</v>
      </c>
      <c r="E10477" s="5" t="s">
        <v>110</v>
      </c>
      <c r="F10477" s="5" t="s">
        <v>126</v>
      </c>
      <c r="G10477" s="5" t="s">
        <v>1453</v>
      </c>
      <c r="H10477" s="5" t="s">
        <v>1454</v>
      </c>
      <c r="I10477" s="5" t="s">
        <v>31</v>
      </c>
      <c r="J10477" s="5">
        <v>17.842896945078</v>
      </c>
      <c r="K10477" s="5">
        <v>-96.743648174729998</v>
      </c>
      <c r="L10477" s="5" t="str">
        <f>HYPERLINK("https://maps.google.com/?q=17.8428969450778,-96.743648174730097", "🔗 Ver Mapa")</f>
        <v>🔗 Ver Mapa</v>
      </c>
    </row>
    <row r="10478" spans="1:12" ht="43.5" x14ac:dyDescent="0.35">
      <c r="A10478" s="6" t="s">
        <v>98</v>
      </c>
      <c r="B10478" s="6" t="s">
        <v>99</v>
      </c>
      <c r="C10478" s="6" t="s">
        <v>1816</v>
      </c>
      <c r="D10478" s="6" t="s">
        <v>14</v>
      </c>
      <c r="E10478" s="6" t="s">
        <v>110</v>
      </c>
      <c r="F10478" s="6" t="s">
        <v>126</v>
      </c>
      <c r="G10478" s="6" t="s">
        <v>1453</v>
      </c>
      <c r="H10478" s="6" t="s">
        <v>1454</v>
      </c>
      <c r="I10478" s="6" t="s">
        <v>31</v>
      </c>
      <c r="J10478" s="6">
        <v>17.843163534938999</v>
      </c>
      <c r="K10478" s="6">
        <v>-96.748500356508004</v>
      </c>
      <c r="L10478" s="6" t="str">
        <f>HYPERLINK("https://maps.google.com/?q=17.8431635349389,-96.748500356508202", "🔗 Ver Mapa")</f>
        <v>🔗 Ver Mapa</v>
      </c>
    </row>
    <row r="10479" spans="1:12" ht="43.5" x14ac:dyDescent="0.35">
      <c r="A10479" s="5" t="s">
        <v>98</v>
      </c>
      <c r="B10479" s="5" t="s">
        <v>99</v>
      </c>
      <c r="C10479" s="5" t="s">
        <v>1816</v>
      </c>
      <c r="D10479" s="5" t="s">
        <v>14</v>
      </c>
      <c r="E10479" s="5" t="s">
        <v>110</v>
      </c>
      <c r="F10479" s="5" t="s">
        <v>126</v>
      </c>
      <c r="G10479" s="5" t="s">
        <v>1453</v>
      </c>
      <c r="H10479" s="5" t="s">
        <v>1454</v>
      </c>
      <c r="I10479" s="5" t="s">
        <v>31</v>
      </c>
      <c r="J10479" s="5">
        <v>17.843201832809001</v>
      </c>
      <c r="K10479" s="5">
        <v>-96.747620591952</v>
      </c>
      <c r="L10479" s="5" t="str">
        <f>HYPERLINK("https://maps.google.com/?q=17.8432018328091,-96.747620591951502", "🔗 Ver Mapa")</f>
        <v>🔗 Ver Mapa</v>
      </c>
    </row>
    <row r="10480" spans="1:12" ht="43.5" x14ac:dyDescent="0.35">
      <c r="A10480" s="6" t="s">
        <v>98</v>
      </c>
      <c r="B10480" s="6" t="s">
        <v>99</v>
      </c>
      <c r="C10480" s="6" t="s">
        <v>1816</v>
      </c>
      <c r="D10480" s="6" t="s">
        <v>14</v>
      </c>
      <c r="E10480" s="6" t="s">
        <v>110</v>
      </c>
      <c r="F10480" s="6" t="s">
        <v>126</v>
      </c>
      <c r="G10480" s="6" t="s">
        <v>1453</v>
      </c>
      <c r="H10480" s="6" t="s">
        <v>1454</v>
      </c>
      <c r="I10480" s="6" t="s">
        <v>31</v>
      </c>
      <c r="J10480" s="6">
        <v>17.843202291735999</v>
      </c>
      <c r="K10480" s="6">
        <v>-96.744999059281</v>
      </c>
      <c r="L10480" s="6" t="str">
        <f>HYPERLINK("https://maps.google.com/?q=17.8432022917361,-96.744999059280502", "🔗 Ver Mapa")</f>
        <v>🔗 Ver Mapa</v>
      </c>
    </row>
    <row r="10481" spans="1:12" ht="43.5" x14ac:dyDescent="0.35">
      <c r="A10481" s="5" t="s">
        <v>98</v>
      </c>
      <c r="B10481" s="5" t="s">
        <v>99</v>
      </c>
      <c r="C10481" s="5" t="s">
        <v>1816</v>
      </c>
      <c r="D10481" s="5" t="s">
        <v>14</v>
      </c>
      <c r="E10481" s="5" t="s">
        <v>110</v>
      </c>
      <c r="F10481" s="5" t="s">
        <v>126</v>
      </c>
      <c r="G10481" s="5" t="s">
        <v>1453</v>
      </c>
      <c r="H10481" s="5" t="s">
        <v>1454</v>
      </c>
      <c r="I10481" s="5" t="s">
        <v>31</v>
      </c>
      <c r="J10481" s="5">
        <v>17.843204386</v>
      </c>
      <c r="K10481" s="5">
        <v>-96.747891495062007</v>
      </c>
      <c r="L10481" s="5" t="str">
        <f>HYPERLINK("https://maps.google.com/?q=17.8432043860001,-96.747891495062007", "🔗 Ver Mapa")</f>
        <v>🔗 Ver Mapa</v>
      </c>
    </row>
    <row r="10482" spans="1:12" ht="43.5" x14ac:dyDescent="0.35">
      <c r="A10482" s="6" t="s">
        <v>98</v>
      </c>
      <c r="B10482" s="6" t="s">
        <v>99</v>
      </c>
      <c r="C10482" s="6" t="s">
        <v>1816</v>
      </c>
      <c r="D10482" s="6" t="s">
        <v>14</v>
      </c>
      <c r="E10482" s="6" t="s">
        <v>110</v>
      </c>
      <c r="F10482" s="6" t="s">
        <v>126</v>
      </c>
      <c r="G10482" s="6" t="s">
        <v>1453</v>
      </c>
      <c r="H10482" s="6" t="s">
        <v>1454</v>
      </c>
      <c r="I10482" s="6" t="s">
        <v>31</v>
      </c>
      <c r="J10482" s="6">
        <v>17.843552730287001</v>
      </c>
      <c r="K10482" s="6">
        <v>-96.744412849192997</v>
      </c>
      <c r="L10482" s="6" t="str">
        <f>HYPERLINK("https://maps.google.com/?q=17.8435527302865,-96.744412849192699", "🔗 Ver Mapa")</f>
        <v>🔗 Ver Mapa</v>
      </c>
    </row>
    <row r="10483" spans="1:12" ht="43.5" x14ac:dyDescent="0.35">
      <c r="A10483" s="5" t="s">
        <v>98</v>
      </c>
      <c r="B10483" s="5" t="s">
        <v>99</v>
      </c>
      <c r="C10483" s="5" t="s">
        <v>1816</v>
      </c>
      <c r="D10483" s="5" t="s">
        <v>14</v>
      </c>
      <c r="E10483" s="5" t="s">
        <v>110</v>
      </c>
      <c r="F10483" s="5" t="s">
        <v>126</v>
      </c>
      <c r="G10483" s="5" t="s">
        <v>1453</v>
      </c>
      <c r="H10483" s="5" t="s">
        <v>1454</v>
      </c>
      <c r="I10483" s="5" t="s">
        <v>31</v>
      </c>
      <c r="J10483" s="5">
        <v>17.843879749172</v>
      </c>
      <c r="K10483" s="5">
        <v>-96.744272267672002</v>
      </c>
      <c r="L10483" s="5" t="str">
        <f>HYPERLINK("https://maps.google.com/?q=17.843879749172,-96.744272267672102", "🔗 Ver Mapa")</f>
        <v>🔗 Ver Mapa</v>
      </c>
    </row>
    <row r="10484" spans="1:12" ht="43.5" x14ac:dyDescent="0.35">
      <c r="A10484" s="6" t="s">
        <v>98</v>
      </c>
      <c r="B10484" s="6" t="s">
        <v>99</v>
      </c>
      <c r="C10484" s="6" t="s">
        <v>1816</v>
      </c>
      <c r="D10484" s="6" t="s">
        <v>14</v>
      </c>
      <c r="E10484" s="6" t="s">
        <v>110</v>
      </c>
      <c r="F10484" s="6" t="s">
        <v>126</v>
      </c>
      <c r="G10484" s="6" t="s">
        <v>1453</v>
      </c>
      <c r="H10484" s="6" t="s">
        <v>1454</v>
      </c>
      <c r="I10484" s="6" t="s">
        <v>31</v>
      </c>
      <c r="J10484" s="6">
        <v>17.843965235300999</v>
      </c>
      <c r="K10484" s="6">
        <v>-96.747918317151999</v>
      </c>
      <c r="L10484" s="6" t="str">
        <f>HYPERLINK("https://maps.google.com/?q=17.8439652353014,-96.747918317152099", "🔗 Ver Mapa")</f>
        <v>🔗 Ver Mapa</v>
      </c>
    </row>
    <row r="10485" spans="1:12" ht="43.5" x14ac:dyDescent="0.35">
      <c r="A10485" s="5" t="s">
        <v>98</v>
      </c>
      <c r="B10485" s="5" t="s">
        <v>99</v>
      </c>
      <c r="C10485" s="5" t="s">
        <v>1816</v>
      </c>
      <c r="D10485" s="5" t="s">
        <v>14</v>
      </c>
      <c r="E10485" s="5" t="s">
        <v>110</v>
      </c>
      <c r="F10485" s="5" t="s">
        <v>126</v>
      </c>
      <c r="G10485" s="5" t="s">
        <v>1453</v>
      </c>
      <c r="H10485" s="5" t="s">
        <v>1454</v>
      </c>
      <c r="I10485" s="5" t="s">
        <v>31</v>
      </c>
      <c r="J10485" s="5">
        <v>17.844518216800001</v>
      </c>
      <c r="K10485" s="5">
        <v>-96.746770266021997</v>
      </c>
      <c r="L10485" s="5" t="str">
        <f>HYPERLINK("https://maps.google.com/?q=17.8445182167995,-96.746770266022494", "🔗 Ver Mapa")</f>
        <v>🔗 Ver Mapa</v>
      </c>
    </row>
    <row r="10486" spans="1:12" ht="43.5" x14ac:dyDescent="0.35">
      <c r="A10486" s="6" t="s">
        <v>98</v>
      </c>
      <c r="B10486" s="6" t="s">
        <v>99</v>
      </c>
      <c r="C10486" s="6" t="s">
        <v>1816</v>
      </c>
      <c r="D10486" s="6" t="s">
        <v>14</v>
      </c>
      <c r="E10486" s="6" t="s">
        <v>110</v>
      </c>
      <c r="F10486" s="6" t="s">
        <v>126</v>
      </c>
      <c r="G10486" s="6" t="s">
        <v>1453</v>
      </c>
      <c r="H10486" s="6" t="s">
        <v>1454</v>
      </c>
      <c r="I10486" s="6" t="s">
        <v>31</v>
      </c>
      <c r="J10486" s="6">
        <v>17.844612512752999</v>
      </c>
      <c r="K10486" s="6">
        <v>-96.745420248770998</v>
      </c>
      <c r="L10486" s="6" t="str">
        <f>HYPERLINK("https://maps.google.com/?q=17.8446125127527,-96.745420248771495", "🔗 Ver Mapa")</f>
        <v>🔗 Ver Mapa</v>
      </c>
    </row>
    <row r="10487" spans="1:12" ht="43.5" x14ac:dyDescent="0.35">
      <c r="A10487" s="5" t="s">
        <v>98</v>
      </c>
      <c r="B10487" s="5" t="s">
        <v>99</v>
      </c>
      <c r="C10487" s="5" t="s">
        <v>1816</v>
      </c>
      <c r="D10487" s="5" t="s">
        <v>14</v>
      </c>
      <c r="E10487" s="5" t="s">
        <v>110</v>
      </c>
      <c r="F10487" s="5" t="s">
        <v>126</v>
      </c>
      <c r="G10487" s="5" t="s">
        <v>1453</v>
      </c>
      <c r="H10487" s="5" t="s">
        <v>1454</v>
      </c>
      <c r="I10487" s="5" t="s">
        <v>31</v>
      </c>
      <c r="J10487" s="5">
        <v>17.844640769022</v>
      </c>
      <c r="K10487" s="5">
        <v>-96.747312072243005</v>
      </c>
      <c r="L10487" s="5" t="str">
        <f>HYPERLINK("https://maps.google.com/?q=17.8446407690222,-96.747312072243403", "🔗 Ver Mapa")</f>
        <v>🔗 Ver Mapa</v>
      </c>
    </row>
    <row r="10488" spans="1:12" ht="43.5" x14ac:dyDescent="0.35">
      <c r="A10488" s="6" t="s">
        <v>98</v>
      </c>
      <c r="B10488" s="6" t="s">
        <v>99</v>
      </c>
      <c r="C10488" s="6" t="s">
        <v>1816</v>
      </c>
      <c r="D10488" s="6" t="s">
        <v>14</v>
      </c>
      <c r="E10488" s="6" t="s">
        <v>110</v>
      </c>
      <c r="F10488" s="6" t="s">
        <v>126</v>
      </c>
      <c r="G10488" s="6" t="s">
        <v>1453</v>
      </c>
      <c r="H10488" s="6" t="s">
        <v>1454</v>
      </c>
      <c r="I10488" s="6" t="s">
        <v>31</v>
      </c>
      <c r="J10488" s="6">
        <v>17.844686726083999</v>
      </c>
      <c r="K10488" s="6">
        <v>-96.745689335790004</v>
      </c>
      <c r="L10488" s="6" t="str">
        <f>HYPERLINK("https://maps.google.com/?q=17.844686726084,-96.745689335789805", "🔗 Ver Mapa")</f>
        <v>🔗 Ver Mapa</v>
      </c>
    </row>
    <row r="10489" spans="1:12" ht="43.5" x14ac:dyDescent="0.35">
      <c r="A10489" s="5" t="s">
        <v>98</v>
      </c>
      <c r="B10489" s="5" t="s">
        <v>99</v>
      </c>
      <c r="C10489" s="5" t="s">
        <v>1816</v>
      </c>
      <c r="D10489" s="5" t="s">
        <v>14</v>
      </c>
      <c r="E10489" s="5" t="s">
        <v>110</v>
      </c>
      <c r="F10489" s="5" t="s">
        <v>126</v>
      </c>
      <c r="G10489" s="5" t="s">
        <v>1453</v>
      </c>
      <c r="H10489" s="5" t="s">
        <v>1454</v>
      </c>
      <c r="I10489" s="5" t="s">
        <v>31</v>
      </c>
      <c r="J10489" s="5">
        <v>17.844697996487</v>
      </c>
      <c r="K10489" s="5">
        <v>-96.748358199430001</v>
      </c>
      <c r="L10489" s="5" t="str">
        <f>HYPERLINK("https://maps.google.com/?q=17.8446979964868,-96.748358199430399", "🔗 Ver Mapa")</f>
        <v>🔗 Ver Mapa</v>
      </c>
    </row>
    <row r="10490" spans="1:12" ht="43.5" x14ac:dyDescent="0.35">
      <c r="A10490" s="6" t="s">
        <v>98</v>
      </c>
      <c r="B10490" s="6" t="s">
        <v>99</v>
      </c>
      <c r="C10490" s="6" t="s">
        <v>1816</v>
      </c>
      <c r="D10490" s="6" t="s">
        <v>14</v>
      </c>
      <c r="E10490" s="6" t="s">
        <v>110</v>
      </c>
      <c r="F10490" s="6" t="s">
        <v>126</v>
      </c>
      <c r="G10490" s="6" t="s">
        <v>1453</v>
      </c>
      <c r="H10490" s="6" t="s">
        <v>1454</v>
      </c>
      <c r="I10490" s="6" t="s">
        <v>31</v>
      </c>
      <c r="J10490" s="6">
        <v>17.844768427498</v>
      </c>
      <c r="K10490" s="6">
        <v>-96.747416678394998</v>
      </c>
      <c r="L10490" s="6" t="str">
        <f>HYPERLINK("https://maps.google.com/?q=17.8447684274978,-96.747416678394899", "🔗 Ver Mapa")</f>
        <v>🔗 Ver Mapa</v>
      </c>
    </row>
    <row r="10491" spans="1:12" ht="43.5" x14ac:dyDescent="0.35">
      <c r="A10491" s="5" t="s">
        <v>98</v>
      </c>
      <c r="B10491" s="5" t="s">
        <v>99</v>
      </c>
      <c r="C10491" s="5" t="s">
        <v>1816</v>
      </c>
      <c r="D10491" s="5" t="s">
        <v>14</v>
      </c>
      <c r="E10491" s="5" t="s">
        <v>110</v>
      </c>
      <c r="F10491" s="5" t="s">
        <v>126</v>
      </c>
      <c r="G10491" s="5" t="s">
        <v>1453</v>
      </c>
      <c r="H10491" s="5" t="s">
        <v>1454</v>
      </c>
      <c r="I10491" s="5" t="s">
        <v>31</v>
      </c>
      <c r="J10491" s="5">
        <v>17.844769485221999</v>
      </c>
      <c r="K10491" s="5">
        <v>-96.747778842282997</v>
      </c>
      <c r="L10491" s="5" t="str">
        <f>HYPERLINK("https://maps.google.com/?q=17.8447694852215,-96.747778842283395", "🔗 Ver Mapa")</f>
        <v>🔗 Ver Mapa</v>
      </c>
    </row>
    <row r="10492" spans="1:12" ht="43.5" x14ac:dyDescent="0.35">
      <c r="A10492" s="6" t="s">
        <v>98</v>
      </c>
      <c r="B10492" s="6" t="s">
        <v>99</v>
      </c>
      <c r="C10492" s="6" t="s">
        <v>1816</v>
      </c>
      <c r="D10492" s="6" t="s">
        <v>14</v>
      </c>
      <c r="E10492" s="6" t="s">
        <v>110</v>
      </c>
      <c r="F10492" s="6" t="s">
        <v>126</v>
      </c>
      <c r="G10492" s="6" t="s">
        <v>1453</v>
      </c>
      <c r="H10492" s="6" t="s">
        <v>1454</v>
      </c>
      <c r="I10492" s="6" t="s">
        <v>31</v>
      </c>
      <c r="J10492" s="6">
        <v>17.844959915038999</v>
      </c>
      <c r="K10492" s="6">
        <v>-96.746190908876002</v>
      </c>
      <c r="L10492" s="6" t="str">
        <f>HYPERLINK("https://maps.google.com/?q=17.8449599150395,-96.746190908875505", "🔗 Ver Mapa")</f>
        <v>🔗 Ver Mapa</v>
      </c>
    </row>
    <row r="10493" spans="1:12" ht="43.5" x14ac:dyDescent="0.35">
      <c r="A10493" s="5" t="s">
        <v>98</v>
      </c>
      <c r="B10493" s="5" t="s">
        <v>99</v>
      </c>
      <c r="C10493" s="5" t="s">
        <v>1816</v>
      </c>
      <c r="D10493" s="5" t="s">
        <v>14</v>
      </c>
      <c r="E10493" s="5" t="s">
        <v>110</v>
      </c>
      <c r="F10493" s="5" t="s">
        <v>126</v>
      </c>
      <c r="G10493" s="5" t="s">
        <v>1453</v>
      </c>
      <c r="H10493" s="5" t="s">
        <v>1454</v>
      </c>
      <c r="I10493" s="5" t="s">
        <v>31</v>
      </c>
      <c r="J10493" s="5">
        <v>17.845114162645999</v>
      </c>
      <c r="K10493" s="5">
        <v>-96.748674700094</v>
      </c>
      <c r="L10493" s="5" t="str">
        <f>HYPERLINK("https://maps.google.com/?q=17.8451141626461,-96.748674700094099", "🔗 Ver Mapa")</f>
        <v>🔗 Ver Mapa</v>
      </c>
    </row>
    <row r="10494" spans="1:12" ht="43.5" x14ac:dyDescent="0.35">
      <c r="A10494" s="6" t="s">
        <v>98</v>
      </c>
      <c r="B10494" s="6" t="s">
        <v>99</v>
      </c>
      <c r="C10494" s="6" t="s">
        <v>1816</v>
      </c>
      <c r="D10494" s="6" t="s">
        <v>14</v>
      </c>
      <c r="E10494" s="6" t="s">
        <v>110</v>
      </c>
      <c r="F10494" s="6" t="s">
        <v>126</v>
      </c>
      <c r="G10494" s="6" t="s">
        <v>1453</v>
      </c>
      <c r="H10494" s="6" t="s">
        <v>1454</v>
      </c>
      <c r="I10494" s="6" t="s">
        <v>31</v>
      </c>
      <c r="J10494" s="6">
        <v>17.845189572809002</v>
      </c>
      <c r="K10494" s="6">
        <v>-96.743908896687003</v>
      </c>
      <c r="L10494" s="6" t="str">
        <f>HYPERLINK("https://maps.google.com/?q=17.8451895728094,-96.743908896686506", "🔗 Ver Mapa")</f>
        <v>🔗 Ver Mapa</v>
      </c>
    </row>
    <row r="10495" spans="1:12" ht="43.5" x14ac:dyDescent="0.35">
      <c r="A10495" s="5" t="s">
        <v>98</v>
      </c>
      <c r="B10495" s="5" t="s">
        <v>99</v>
      </c>
      <c r="C10495" s="5" t="s">
        <v>1816</v>
      </c>
      <c r="D10495" s="5" t="s">
        <v>14</v>
      </c>
      <c r="E10495" s="5" t="s">
        <v>110</v>
      </c>
      <c r="F10495" s="5" t="s">
        <v>126</v>
      </c>
      <c r="G10495" s="5" t="s">
        <v>1453</v>
      </c>
      <c r="H10495" s="5" t="s">
        <v>1454</v>
      </c>
      <c r="I10495" s="5" t="s">
        <v>31</v>
      </c>
      <c r="J10495" s="5">
        <v>17.845307358355999</v>
      </c>
      <c r="K10495" s="5">
        <v>-96.743527959881007</v>
      </c>
      <c r="L10495" s="5" t="str">
        <f>HYPERLINK("https://maps.google.com/?q=17.8453073583558,-96.743527959881106", "🔗 Ver Mapa")</f>
        <v>🔗 Ver Mapa</v>
      </c>
    </row>
    <row r="10496" spans="1:12" ht="43.5" x14ac:dyDescent="0.35">
      <c r="A10496" s="6" t="s">
        <v>98</v>
      </c>
      <c r="B10496" s="6" t="s">
        <v>99</v>
      </c>
      <c r="C10496" s="6" t="s">
        <v>1816</v>
      </c>
      <c r="D10496" s="6" t="s">
        <v>14</v>
      </c>
      <c r="E10496" s="6" t="s">
        <v>110</v>
      </c>
      <c r="F10496" s="6" t="s">
        <v>126</v>
      </c>
      <c r="G10496" s="6" t="s">
        <v>1453</v>
      </c>
      <c r="H10496" s="6" t="s">
        <v>1454</v>
      </c>
      <c r="I10496" s="6" t="s">
        <v>31</v>
      </c>
      <c r="J10496" s="6">
        <v>17.845519075083001</v>
      </c>
      <c r="K10496" s="6">
        <v>-96.746410722630003</v>
      </c>
      <c r="L10496" s="6" t="str">
        <f>HYPERLINK("https://maps.google.com/?q=17.8455190750827,-96.746410722629903", "🔗 Ver Mapa")</f>
        <v>🔗 Ver Mapa</v>
      </c>
    </row>
    <row r="10497" spans="1:12" ht="43.5" x14ac:dyDescent="0.35">
      <c r="A10497" s="5" t="s">
        <v>98</v>
      </c>
      <c r="B10497" s="5" t="s">
        <v>99</v>
      </c>
      <c r="C10497" s="5" t="s">
        <v>1816</v>
      </c>
      <c r="D10497" s="5" t="s">
        <v>14</v>
      </c>
      <c r="E10497" s="5" t="s">
        <v>110</v>
      </c>
      <c r="F10497" s="5" t="s">
        <v>126</v>
      </c>
      <c r="G10497" s="5" t="s">
        <v>1453</v>
      </c>
      <c r="H10497" s="5" t="s">
        <v>1454</v>
      </c>
      <c r="I10497" s="5" t="s">
        <v>31</v>
      </c>
      <c r="J10497" s="5">
        <v>17.845660755432998</v>
      </c>
      <c r="K10497" s="5">
        <v>-96.743422437926995</v>
      </c>
      <c r="L10497" s="5" t="str">
        <f>HYPERLINK("https://maps.google.com/?q=17.845660755433,-96.743422437927194", "🔗 Ver Mapa")</f>
        <v>🔗 Ver Mapa</v>
      </c>
    </row>
    <row r="10498" spans="1:12" ht="43.5" x14ac:dyDescent="0.35">
      <c r="A10498" s="6" t="s">
        <v>98</v>
      </c>
      <c r="B10498" s="6" t="s">
        <v>99</v>
      </c>
      <c r="C10498" s="6" t="s">
        <v>1816</v>
      </c>
      <c r="D10498" s="6" t="s">
        <v>14</v>
      </c>
      <c r="E10498" s="6" t="s">
        <v>110</v>
      </c>
      <c r="F10498" s="6" t="s">
        <v>126</v>
      </c>
      <c r="G10498" s="6" t="s">
        <v>1453</v>
      </c>
      <c r="H10498" s="6" t="s">
        <v>1454</v>
      </c>
      <c r="I10498" s="6" t="s">
        <v>31</v>
      </c>
      <c r="J10498" s="6">
        <v>17.845818007763999</v>
      </c>
      <c r="K10498" s="6">
        <v>-96.742386340688</v>
      </c>
      <c r="L10498" s="6" t="str">
        <f>HYPERLINK("https://maps.google.com/?q=17.8458180077635,-96.742386340688498", "🔗 Ver Mapa")</f>
        <v>🔗 Ver Mapa</v>
      </c>
    </row>
    <row r="10499" spans="1:12" ht="43.5" x14ac:dyDescent="0.35">
      <c r="A10499" s="5" t="s">
        <v>98</v>
      </c>
      <c r="B10499" s="5" t="s">
        <v>99</v>
      </c>
      <c r="C10499" s="5" t="s">
        <v>1816</v>
      </c>
      <c r="D10499" s="5" t="s">
        <v>14</v>
      </c>
      <c r="E10499" s="5" t="s">
        <v>110</v>
      </c>
      <c r="F10499" s="5" t="s">
        <v>126</v>
      </c>
      <c r="G10499" s="5" t="s">
        <v>1453</v>
      </c>
      <c r="H10499" s="5" t="s">
        <v>1454</v>
      </c>
      <c r="I10499" s="5" t="s">
        <v>31</v>
      </c>
      <c r="J10499" s="5">
        <v>17.845828173923</v>
      </c>
      <c r="K10499" s="5">
        <v>-96.744011252508002</v>
      </c>
      <c r="L10499" s="5" t="str">
        <f>HYPERLINK("https://maps.google.com/?q=17.8458281739233,-96.7440112525085", "🔗 Ver Mapa")</f>
        <v>🔗 Ver Mapa</v>
      </c>
    </row>
    <row r="10500" spans="1:12" ht="43.5" x14ac:dyDescent="0.35">
      <c r="A10500" s="6" t="s">
        <v>98</v>
      </c>
      <c r="B10500" s="6" t="s">
        <v>99</v>
      </c>
      <c r="C10500" s="6" t="s">
        <v>1816</v>
      </c>
      <c r="D10500" s="6" t="s">
        <v>14</v>
      </c>
      <c r="E10500" s="6" t="s">
        <v>110</v>
      </c>
      <c r="F10500" s="6" t="s">
        <v>126</v>
      </c>
      <c r="G10500" s="6" t="s">
        <v>1453</v>
      </c>
      <c r="H10500" s="6" t="s">
        <v>1454</v>
      </c>
      <c r="I10500" s="6" t="s">
        <v>31</v>
      </c>
      <c r="J10500" s="6">
        <v>17.845865559301998</v>
      </c>
      <c r="K10500" s="6">
        <v>-96.743137201424005</v>
      </c>
      <c r="L10500" s="6" t="str">
        <f>HYPERLINK("https://maps.google.com/?q=17.8458655593016,-96.743137201424403", "🔗 Ver Mapa")</f>
        <v>🔗 Ver Mapa</v>
      </c>
    </row>
    <row r="10501" spans="1:12" ht="43.5" x14ac:dyDescent="0.35">
      <c r="A10501" s="5" t="s">
        <v>98</v>
      </c>
      <c r="B10501" s="5" t="s">
        <v>99</v>
      </c>
      <c r="C10501" s="5" t="s">
        <v>1816</v>
      </c>
      <c r="D10501" s="5" t="s">
        <v>14</v>
      </c>
      <c r="E10501" s="5" t="s">
        <v>110</v>
      </c>
      <c r="F10501" s="5" t="s">
        <v>126</v>
      </c>
      <c r="G10501" s="5" t="s">
        <v>1453</v>
      </c>
      <c r="H10501" s="5" t="s">
        <v>1454</v>
      </c>
      <c r="I10501" s="5" t="s">
        <v>31</v>
      </c>
      <c r="J10501" s="5">
        <v>17.845899477591999</v>
      </c>
      <c r="K10501" s="5">
        <v>-96.744334820237995</v>
      </c>
      <c r="L10501" s="5" t="str">
        <f>HYPERLINK("https://maps.google.com/?q=17.8458994775918,-96.744334820237796", "🔗 Ver Mapa")</f>
        <v>🔗 Ver Mapa</v>
      </c>
    </row>
    <row r="10502" spans="1:12" ht="43.5" x14ac:dyDescent="0.35">
      <c r="A10502" s="6" t="s">
        <v>98</v>
      </c>
      <c r="B10502" s="6" t="s">
        <v>99</v>
      </c>
      <c r="C10502" s="6" t="s">
        <v>1816</v>
      </c>
      <c r="D10502" s="6" t="s">
        <v>14</v>
      </c>
      <c r="E10502" s="6" t="s">
        <v>110</v>
      </c>
      <c r="F10502" s="6" t="s">
        <v>126</v>
      </c>
      <c r="G10502" s="6" t="s">
        <v>1453</v>
      </c>
      <c r="H10502" s="6" t="s">
        <v>1454</v>
      </c>
      <c r="I10502" s="6" t="s">
        <v>31</v>
      </c>
      <c r="J10502" s="6">
        <v>17.845972023560002</v>
      </c>
      <c r="K10502" s="6">
        <v>-96.747271904780007</v>
      </c>
      <c r="L10502" s="6" t="str">
        <f>HYPERLINK("https://maps.google.com/?q=17.8459720235603,-96.747271904779694", "🔗 Ver Mapa")</f>
        <v>🔗 Ver Mapa</v>
      </c>
    </row>
    <row r="10503" spans="1:12" ht="43.5" x14ac:dyDescent="0.35">
      <c r="A10503" s="5" t="s">
        <v>98</v>
      </c>
      <c r="B10503" s="5" t="s">
        <v>99</v>
      </c>
      <c r="C10503" s="5" t="s">
        <v>1816</v>
      </c>
      <c r="D10503" s="5" t="s">
        <v>14</v>
      </c>
      <c r="E10503" s="5" t="s">
        <v>110</v>
      </c>
      <c r="F10503" s="5" t="s">
        <v>126</v>
      </c>
      <c r="G10503" s="5" t="s">
        <v>1453</v>
      </c>
      <c r="H10503" s="5" t="s">
        <v>1454</v>
      </c>
      <c r="I10503" s="5" t="s">
        <v>31</v>
      </c>
      <c r="J10503" s="5">
        <v>17.846035910845998</v>
      </c>
      <c r="K10503" s="5">
        <v>-96.744236913308001</v>
      </c>
      <c r="L10503" s="5" t="str">
        <f>HYPERLINK("https://maps.google.com/?q=17.8460359108456,-96.744236913308399", "🔗 Ver Mapa")</f>
        <v>🔗 Ver Mapa</v>
      </c>
    </row>
    <row r="10504" spans="1:12" ht="43.5" x14ac:dyDescent="0.35">
      <c r="A10504" s="6" t="s">
        <v>98</v>
      </c>
      <c r="B10504" s="6" t="s">
        <v>99</v>
      </c>
      <c r="C10504" s="6" t="s">
        <v>1816</v>
      </c>
      <c r="D10504" s="6" t="s">
        <v>14</v>
      </c>
      <c r="E10504" s="6" t="s">
        <v>110</v>
      </c>
      <c r="F10504" s="6" t="s">
        <v>126</v>
      </c>
      <c r="G10504" s="6" t="s">
        <v>1453</v>
      </c>
      <c r="H10504" s="6" t="s">
        <v>1454</v>
      </c>
      <c r="I10504" s="6" t="s">
        <v>31</v>
      </c>
      <c r="J10504" s="6">
        <v>17.846060913765001</v>
      </c>
      <c r="K10504" s="6">
        <v>-96.743899155337999</v>
      </c>
      <c r="L10504" s="6" t="str">
        <f>HYPERLINK("https://maps.google.com/?q=17.8460609137655,-96.743899155337999", "🔗 Ver Mapa")</f>
        <v>🔗 Ver Mapa</v>
      </c>
    </row>
    <row r="10505" spans="1:12" ht="43.5" x14ac:dyDescent="0.35">
      <c r="A10505" s="5" t="s">
        <v>98</v>
      </c>
      <c r="B10505" s="5" t="s">
        <v>99</v>
      </c>
      <c r="C10505" s="5" t="s">
        <v>1816</v>
      </c>
      <c r="D10505" s="5" t="s">
        <v>14</v>
      </c>
      <c r="E10505" s="5" t="s">
        <v>110</v>
      </c>
      <c r="F10505" s="5" t="s">
        <v>126</v>
      </c>
      <c r="G10505" s="5" t="s">
        <v>1453</v>
      </c>
      <c r="H10505" s="5" t="s">
        <v>1454</v>
      </c>
      <c r="I10505" s="5" t="s">
        <v>31</v>
      </c>
      <c r="J10505" s="5">
        <v>17.846086682195001</v>
      </c>
      <c r="K10505" s="5">
        <v>-96.744657919881007</v>
      </c>
      <c r="L10505" s="5" t="str">
        <f>HYPERLINK("https://maps.google.com/?q=17.8460866821948,-96.744657919881206", "🔗 Ver Mapa")</f>
        <v>🔗 Ver Mapa</v>
      </c>
    </row>
    <row r="10506" spans="1:12" ht="43.5" x14ac:dyDescent="0.35">
      <c r="A10506" s="6" t="s">
        <v>98</v>
      </c>
      <c r="B10506" s="6" t="s">
        <v>99</v>
      </c>
      <c r="C10506" s="6" t="s">
        <v>1816</v>
      </c>
      <c r="D10506" s="6" t="s">
        <v>14</v>
      </c>
      <c r="E10506" s="6" t="s">
        <v>110</v>
      </c>
      <c r="F10506" s="6" t="s">
        <v>126</v>
      </c>
      <c r="G10506" s="6" t="s">
        <v>1453</v>
      </c>
      <c r="H10506" s="6" t="s">
        <v>1454</v>
      </c>
      <c r="I10506" s="6" t="s">
        <v>31</v>
      </c>
      <c r="J10506" s="6">
        <v>17.846126725607999</v>
      </c>
      <c r="K10506" s="6">
        <v>-96.745917196171007</v>
      </c>
      <c r="L10506" s="6" t="str">
        <f>HYPERLINK("https://maps.google.com/?q=17.8461267256082,-96.745917196171305", "🔗 Ver Mapa")</f>
        <v>🔗 Ver Mapa</v>
      </c>
    </row>
    <row r="10507" spans="1:12" ht="43.5" x14ac:dyDescent="0.35">
      <c r="A10507" s="5" t="s">
        <v>98</v>
      </c>
      <c r="B10507" s="5" t="s">
        <v>99</v>
      </c>
      <c r="C10507" s="5" t="s">
        <v>1816</v>
      </c>
      <c r="D10507" s="5" t="s">
        <v>14</v>
      </c>
      <c r="E10507" s="5" t="s">
        <v>110</v>
      </c>
      <c r="F10507" s="5" t="s">
        <v>126</v>
      </c>
      <c r="G10507" s="5" t="s">
        <v>1453</v>
      </c>
      <c r="H10507" s="5" t="s">
        <v>1454</v>
      </c>
      <c r="I10507" s="5" t="s">
        <v>31</v>
      </c>
      <c r="J10507" s="5">
        <v>17.846143184193998</v>
      </c>
      <c r="K10507" s="5">
        <v>-96.742951998088003</v>
      </c>
      <c r="L10507" s="5" t="str">
        <f>HYPERLINK("https://maps.google.com/?q=17.8461431841941,-96.742951998088202", "🔗 Ver Mapa")</f>
        <v>🔗 Ver Mapa</v>
      </c>
    </row>
    <row r="10508" spans="1:12" ht="43.5" x14ac:dyDescent="0.35">
      <c r="A10508" s="6" t="s">
        <v>98</v>
      </c>
      <c r="B10508" s="6" t="s">
        <v>99</v>
      </c>
      <c r="C10508" s="6" t="s">
        <v>1816</v>
      </c>
      <c r="D10508" s="6" t="s">
        <v>14</v>
      </c>
      <c r="E10508" s="6" t="s">
        <v>110</v>
      </c>
      <c r="F10508" s="6" t="s">
        <v>126</v>
      </c>
      <c r="G10508" s="6" t="s">
        <v>1453</v>
      </c>
      <c r="H10508" s="6" t="s">
        <v>1454</v>
      </c>
      <c r="I10508" s="6" t="s">
        <v>31</v>
      </c>
      <c r="J10508" s="6">
        <v>17.84616228082</v>
      </c>
      <c r="K10508" s="6">
        <v>-96.743420254300005</v>
      </c>
      <c r="L10508" s="6" t="str">
        <f>HYPERLINK("https://maps.google.com/?q=17.8461622808197,-96.743420254299593", "🔗 Ver Mapa")</f>
        <v>🔗 Ver Mapa</v>
      </c>
    </row>
    <row r="10509" spans="1:12" ht="43.5" x14ac:dyDescent="0.35">
      <c r="A10509" s="5" t="s">
        <v>98</v>
      </c>
      <c r="B10509" s="5" t="s">
        <v>99</v>
      </c>
      <c r="C10509" s="5" t="s">
        <v>1816</v>
      </c>
      <c r="D10509" s="5" t="s">
        <v>14</v>
      </c>
      <c r="E10509" s="5" t="s">
        <v>110</v>
      </c>
      <c r="F10509" s="5" t="s">
        <v>126</v>
      </c>
      <c r="G10509" s="5" t="s">
        <v>1453</v>
      </c>
      <c r="H10509" s="5" t="s">
        <v>1454</v>
      </c>
      <c r="I10509" s="5" t="s">
        <v>31</v>
      </c>
      <c r="J10509" s="5">
        <v>17.846241199662</v>
      </c>
      <c r="K10509" s="5">
        <v>-96.743753351451005</v>
      </c>
      <c r="L10509" s="5" t="str">
        <f>HYPERLINK("https://maps.google.com/?q=17.8462411996621,-96.743753351451005", "🔗 Ver Mapa")</f>
        <v>🔗 Ver Mapa</v>
      </c>
    </row>
    <row r="10510" spans="1:12" ht="43.5" x14ac:dyDescent="0.35">
      <c r="A10510" s="6" t="s">
        <v>98</v>
      </c>
      <c r="B10510" s="6" t="s">
        <v>99</v>
      </c>
      <c r="C10510" s="6" t="s">
        <v>1816</v>
      </c>
      <c r="D10510" s="6" t="s">
        <v>14</v>
      </c>
      <c r="E10510" s="6" t="s">
        <v>110</v>
      </c>
      <c r="F10510" s="6" t="s">
        <v>126</v>
      </c>
      <c r="G10510" s="6" t="s">
        <v>1453</v>
      </c>
      <c r="H10510" s="6" t="s">
        <v>1454</v>
      </c>
      <c r="I10510" s="6" t="s">
        <v>31</v>
      </c>
      <c r="J10510" s="6">
        <v>17.846330977419999</v>
      </c>
      <c r="K10510" s="6">
        <v>-96.744889910118999</v>
      </c>
      <c r="L10510" s="6" t="str">
        <f>HYPERLINK("https://maps.google.com/?q=17.8463309774198,-96.7448899101189", "🔗 Ver Mapa")</f>
        <v>🔗 Ver Mapa</v>
      </c>
    </row>
    <row r="10511" spans="1:12" ht="43.5" x14ac:dyDescent="0.35">
      <c r="A10511" s="5" t="s">
        <v>98</v>
      </c>
      <c r="B10511" s="5" t="s">
        <v>99</v>
      </c>
      <c r="C10511" s="5" t="s">
        <v>1816</v>
      </c>
      <c r="D10511" s="5" t="s">
        <v>14</v>
      </c>
      <c r="E10511" s="5" t="s">
        <v>110</v>
      </c>
      <c r="F10511" s="5" t="s">
        <v>126</v>
      </c>
      <c r="G10511" s="5" t="s">
        <v>1453</v>
      </c>
      <c r="H10511" s="5" t="s">
        <v>1454</v>
      </c>
      <c r="I10511" s="5" t="s">
        <v>31</v>
      </c>
      <c r="J10511" s="5">
        <v>17.846371222359</v>
      </c>
      <c r="K10511" s="5">
        <v>-96.744380660588007</v>
      </c>
      <c r="L10511" s="5" t="str">
        <f>HYPERLINK("https://maps.google.com/?q=17.8463712223591,-96.744380660588106", "🔗 Ver Mapa")</f>
        <v>🔗 Ver Mapa</v>
      </c>
    </row>
    <row r="10512" spans="1:12" ht="43.5" x14ac:dyDescent="0.35">
      <c r="A10512" s="6" t="s">
        <v>98</v>
      </c>
      <c r="B10512" s="6" t="s">
        <v>99</v>
      </c>
      <c r="C10512" s="6" t="s">
        <v>1816</v>
      </c>
      <c r="D10512" s="6" t="s">
        <v>14</v>
      </c>
      <c r="E10512" s="6" t="s">
        <v>110</v>
      </c>
      <c r="F10512" s="6" t="s">
        <v>126</v>
      </c>
      <c r="G10512" s="6" t="s">
        <v>1453</v>
      </c>
      <c r="H10512" s="6" t="s">
        <v>1454</v>
      </c>
      <c r="I10512" s="6" t="s">
        <v>31</v>
      </c>
      <c r="J10512" s="6">
        <v>17.846435656381999</v>
      </c>
      <c r="K10512" s="6">
        <v>-96.745871598617995</v>
      </c>
      <c r="L10512" s="6" t="str">
        <f>HYPERLINK("https://maps.google.com/?q=17.8464356563824,-96.745871598617995", "🔗 Ver Mapa")</f>
        <v>🔗 Ver Mapa</v>
      </c>
    </row>
    <row r="10513" spans="1:12" ht="43.5" x14ac:dyDescent="0.35">
      <c r="A10513" s="5" t="s">
        <v>98</v>
      </c>
      <c r="B10513" s="5" t="s">
        <v>99</v>
      </c>
      <c r="C10513" s="5" t="s">
        <v>1816</v>
      </c>
      <c r="D10513" s="5" t="s">
        <v>14</v>
      </c>
      <c r="E10513" s="5" t="s">
        <v>110</v>
      </c>
      <c r="F10513" s="5" t="s">
        <v>126</v>
      </c>
      <c r="G10513" s="5" t="s">
        <v>1453</v>
      </c>
      <c r="H10513" s="5" t="s">
        <v>1454</v>
      </c>
      <c r="I10513" s="5" t="s">
        <v>31</v>
      </c>
      <c r="J10513" s="5">
        <v>17.846452339736999</v>
      </c>
      <c r="K10513" s="5">
        <v>-96.741842326411003</v>
      </c>
      <c r="L10513" s="5" t="str">
        <f>HYPERLINK("https://maps.google.com/?q=17.8464523397366,-96.741842326410605", "🔗 Ver Mapa")</f>
        <v>🔗 Ver Mapa</v>
      </c>
    </row>
    <row r="10514" spans="1:12" ht="43.5" x14ac:dyDescent="0.35">
      <c r="A10514" s="6" t="s">
        <v>98</v>
      </c>
      <c r="B10514" s="6" t="s">
        <v>99</v>
      </c>
      <c r="C10514" s="6" t="s">
        <v>1816</v>
      </c>
      <c r="D10514" s="6" t="s">
        <v>14</v>
      </c>
      <c r="E10514" s="6" t="s">
        <v>110</v>
      </c>
      <c r="F10514" s="6" t="s">
        <v>126</v>
      </c>
      <c r="G10514" s="6" t="s">
        <v>1453</v>
      </c>
      <c r="H10514" s="6" t="s">
        <v>1454</v>
      </c>
      <c r="I10514" s="6" t="s">
        <v>31</v>
      </c>
      <c r="J10514" s="6">
        <v>17.846468600000001</v>
      </c>
      <c r="K10514" s="6">
        <v>-96.744702910000001</v>
      </c>
      <c r="L10514" s="6" t="str">
        <f>HYPERLINK("https://maps.google.com/?q=17.8464686,-96.74470291", "🔗 Ver Mapa")</f>
        <v>🔗 Ver Mapa</v>
      </c>
    </row>
    <row r="10515" spans="1:12" ht="43.5" x14ac:dyDescent="0.35">
      <c r="A10515" s="5" t="s">
        <v>98</v>
      </c>
      <c r="B10515" s="5" t="s">
        <v>99</v>
      </c>
      <c r="C10515" s="5" t="s">
        <v>1816</v>
      </c>
      <c r="D10515" s="5" t="s">
        <v>14</v>
      </c>
      <c r="E10515" s="5" t="s">
        <v>110</v>
      </c>
      <c r="F10515" s="5" t="s">
        <v>126</v>
      </c>
      <c r="G10515" s="5" t="s">
        <v>1453</v>
      </c>
      <c r="H10515" s="5" t="s">
        <v>1454</v>
      </c>
      <c r="I10515" s="5" t="s">
        <v>31</v>
      </c>
      <c r="J10515" s="5">
        <v>17.846498592799001</v>
      </c>
      <c r="K10515" s="5">
        <v>-96.744853843173999</v>
      </c>
      <c r="L10515" s="5" t="str">
        <f>HYPERLINK("https://maps.google.com/?q=17.8464985927992,-96.744853843173502", "🔗 Ver Mapa")</f>
        <v>🔗 Ver Mapa</v>
      </c>
    </row>
    <row r="10516" spans="1:12" ht="43.5" x14ac:dyDescent="0.35">
      <c r="A10516" s="6" t="s">
        <v>98</v>
      </c>
      <c r="B10516" s="6" t="s">
        <v>99</v>
      </c>
      <c r="C10516" s="6" t="s">
        <v>1816</v>
      </c>
      <c r="D10516" s="6" t="s">
        <v>14</v>
      </c>
      <c r="E10516" s="6" t="s">
        <v>110</v>
      </c>
      <c r="F10516" s="6" t="s">
        <v>126</v>
      </c>
      <c r="G10516" s="6" t="s">
        <v>1453</v>
      </c>
      <c r="H10516" s="6" t="s">
        <v>1454</v>
      </c>
      <c r="I10516" s="6" t="s">
        <v>31</v>
      </c>
      <c r="J10516" s="6">
        <v>17.846680758102998</v>
      </c>
      <c r="K10516" s="6">
        <v>-96.749068791762994</v>
      </c>
      <c r="L10516" s="6" t="str">
        <f>HYPERLINK("https://maps.google.com/?q=17.8466807581026,-96.749068791762795", "🔗 Ver Mapa")</f>
        <v>🔗 Ver Mapa</v>
      </c>
    </row>
    <row r="10517" spans="1:12" ht="43.5" x14ac:dyDescent="0.35">
      <c r="A10517" s="5" t="s">
        <v>98</v>
      </c>
      <c r="B10517" s="5" t="s">
        <v>99</v>
      </c>
      <c r="C10517" s="5" t="s">
        <v>1816</v>
      </c>
      <c r="D10517" s="5" t="s">
        <v>14</v>
      </c>
      <c r="E10517" s="5" t="s">
        <v>110</v>
      </c>
      <c r="F10517" s="5" t="s">
        <v>126</v>
      </c>
      <c r="G10517" s="5" t="s">
        <v>1453</v>
      </c>
      <c r="H10517" s="5" t="s">
        <v>1454</v>
      </c>
      <c r="I10517" s="5" t="s">
        <v>31</v>
      </c>
      <c r="J10517" s="5">
        <v>17.846833369378999</v>
      </c>
      <c r="K10517" s="5">
        <v>-96.742497871146995</v>
      </c>
      <c r="L10517" s="5" t="str">
        <f>HYPERLINK("https://maps.google.com/?q=17.8468333693792,-96.742497871146597", "🔗 Ver Mapa")</f>
        <v>🔗 Ver Mapa</v>
      </c>
    </row>
    <row r="10518" spans="1:12" ht="43.5" x14ac:dyDescent="0.35">
      <c r="A10518" s="6" t="s">
        <v>98</v>
      </c>
      <c r="B10518" s="6" t="s">
        <v>99</v>
      </c>
      <c r="C10518" s="6" t="s">
        <v>1816</v>
      </c>
      <c r="D10518" s="6" t="s">
        <v>14</v>
      </c>
      <c r="E10518" s="6" t="s">
        <v>110</v>
      </c>
      <c r="F10518" s="6" t="s">
        <v>126</v>
      </c>
      <c r="G10518" s="6" t="s">
        <v>1453</v>
      </c>
      <c r="H10518" s="6" t="s">
        <v>1454</v>
      </c>
      <c r="I10518" s="6" t="s">
        <v>31</v>
      </c>
      <c r="J10518" s="6">
        <v>17.846886969591999</v>
      </c>
      <c r="K10518" s="6">
        <v>-96.745678496880998</v>
      </c>
      <c r="L10518" s="6" t="str">
        <f>HYPERLINK("https://maps.google.com/?q=17.8468869695923,-96.745678496881098", "🔗 Ver Mapa")</f>
        <v>🔗 Ver Mapa</v>
      </c>
    </row>
    <row r="10519" spans="1:12" ht="43.5" x14ac:dyDescent="0.35">
      <c r="A10519" s="5" t="s">
        <v>98</v>
      </c>
      <c r="B10519" s="5" t="s">
        <v>99</v>
      </c>
      <c r="C10519" s="5" t="s">
        <v>1816</v>
      </c>
      <c r="D10519" s="5" t="s">
        <v>14</v>
      </c>
      <c r="E10519" s="5" t="s">
        <v>110</v>
      </c>
      <c r="F10519" s="5" t="s">
        <v>126</v>
      </c>
      <c r="G10519" s="5" t="s">
        <v>1453</v>
      </c>
      <c r="H10519" s="5" t="s">
        <v>1454</v>
      </c>
      <c r="I10519" s="5" t="s">
        <v>31</v>
      </c>
      <c r="J10519" s="5">
        <v>17.847413463529001</v>
      </c>
      <c r="K10519" s="5">
        <v>-96.745376548731997</v>
      </c>
      <c r="L10519" s="5" t="str">
        <f>HYPERLINK("https://maps.google.com/?q=17.8474134635286,-96.745376548731599", "🔗 Ver Mapa")</f>
        <v>🔗 Ver Mapa</v>
      </c>
    </row>
    <row r="10520" spans="1:12" ht="43.5" x14ac:dyDescent="0.35">
      <c r="A10520" s="6" t="s">
        <v>98</v>
      </c>
      <c r="B10520" s="6" t="s">
        <v>99</v>
      </c>
      <c r="C10520" s="6" t="s">
        <v>1816</v>
      </c>
      <c r="D10520" s="6" t="s">
        <v>14</v>
      </c>
      <c r="E10520" s="6" t="s">
        <v>110</v>
      </c>
      <c r="F10520" s="6" t="s">
        <v>126</v>
      </c>
      <c r="G10520" s="6" t="s">
        <v>1453</v>
      </c>
      <c r="H10520" s="6" t="s">
        <v>1454</v>
      </c>
      <c r="I10520" s="6" t="s">
        <v>31</v>
      </c>
      <c r="J10520" s="6">
        <v>17.847611376774001</v>
      </c>
      <c r="K10520" s="6">
        <v>-96.746965935131001</v>
      </c>
      <c r="L10520" s="6" t="str">
        <f>HYPERLINK("https://maps.google.com/?q=17.8476113767742,-96.746965935131499", "🔗 Ver Mapa")</f>
        <v>🔗 Ver Mapa</v>
      </c>
    </row>
    <row r="10521" spans="1:12" ht="43.5" x14ac:dyDescent="0.35">
      <c r="A10521" s="5" t="s">
        <v>98</v>
      </c>
      <c r="B10521" s="5" t="s">
        <v>99</v>
      </c>
      <c r="C10521" s="5" t="s">
        <v>1816</v>
      </c>
      <c r="D10521" s="5" t="s">
        <v>14</v>
      </c>
      <c r="E10521" s="5" t="s">
        <v>110</v>
      </c>
      <c r="F10521" s="5" t="s">
        <v>126</v>
      </c>
      <c r="G10521" s="5" t="s">
        <v>1453</v>
      </c>
      <c r="H10521" s="5" t="s">
        <v>1454</v>
      </c>
      <c r="I10521" s="5" t="s">
        <v>31</v>
      </c>
      <c r="J10521" s="5">
        <v>17.847685371735</v>
      </c>
      <c r="K10521" s="5">
        <v>-96.744294277394005</v>
      </c>
      <c r="L10521" s="5" t="str">
        <f>HYPERLINK("https://maps.google.com/?q=17.8476853717349,-96.744294277394403", "🔗 Ver Mapa")</f>
        <v>🔗 Ver Mapa</v>
      </c>
    </row>
    <row r="10522" spans="1:12" ht="43.5" x14ac:dyDescent="0.35">
      <c r="A10522" s="6" t="s">
        <v>98</v>
      </c>
      <c r="B10522" s="6" t="s">
        <v>99</v>
      </c>
      <c r="C10522" s="6" t="s">
        <v>1816</v>
      </c>
      <c r="D10522" s="6" t="s">
        <v>14</v>
      </c>
      <c r="E10522" s="6" t="s">
        <v>110</v>
      </c>
      <c r="F10522" s="6" t="s">
        <v>126</v>
      </c>
      <c r="G10522" s="6" t="s">
        <v>1453</v>
      </c>
      <c r="H10522" s="6" t="s">
        <v>1454</v>
      </c>
      <c r="I10522" s="6" t="s">
        <v>31</v>
      </c>
      <c r="J10522" s="6">
        <v>17.847733842154</v>
      </c>
      <c r="K10522" s="6">
        <v>-96.746418786568995</v>
      </c>
      <c r="L10522" s="6" t="str">
        <f>HYPERLINK("https://maps.google.com/?q=17.8477338421543,-96.746418786568995", "🔗 Ver Mapa")</f>
        <v>🔗 Ver Mapa</v>
      </c>
    </row>
    <row r="10523" spans="1:12" ht="43.5" x14ac:dyDescent="0.35">
      <c r="A10523" s="5" t="s">
        <v>98</v>
      </c>
      <c r="B10523" s="5" t="s">
        <v>99</v>
      </c>
      <c r="C10523" s="5" t="s">
        <v>1816</v>
      </c>
      <c r="D10523" s="5" t="s">
        <v>14</v>
      </c>
      <c r="E10523" s="5" t="s">
        <v>110</v>
      </c>
      <c r="F10523" s="5" t="s">
        <v>126</v>
      </c>
      <c r="G10523" s="5" t="s">
        <v>1453</v>
      </c>
      <c r="H10523" s="5" t="s">
        <v>1454</v>
      </c>
      <c r="I10523" s="5" t="s">
        <v>31</v>
      </c>
      <c r="J10523" s="5">
        <v>17.848266254612</v>
      </c>
      <c r="K10523" s="5">
        <v>-96.747636489406005</v>
      </c>
      <c r="L10523" s="5" t="str">
        <f>HYPERLINK("https://maps.google.com/?q=17.8482662546121,-96.747636489405707", "🔗 Ver Mapa")</f>
        <v>🔗 Ver Mapa</v>
      </c>
    </row>
    <row r="10524" spans="1:12" ht="43.5" x14ac:dyDescent="0.35">
      <c r="A10524" s="6" t="s">
        <v>98</v>
      </c>
      <c r="B10524" s="6" t="s">
        <v>99</v>
      </c>
      <c r="C10524" s="6" t="s">
        <v>1816</v>
      </c>
      <c r="D10524" s="6" t="s">
        <v>14</v>
      </c>
      <c r="E10524" s="6" t="s">
        <v>110</v>
      </c>
      <c r="F10524" s="6" t="s">
        <v>126</v>
      </c>
      <c r="G10524" s="6" t="s">
        <v>1453</v>
      </c>
      <c r="H10524" s="6" t="s">
        <v>1454</v>
      </c>
      <c r="I10524" s="6" t="s">
        <v>31</v>
      </c>
      <c r="J10524" s="6">
        <v>17.848797299537999</v>
      </c>
      <c r="K10524" s="6">
        <v>-96.747411186592004</v>
      </c>
      <c r="L10524" s="6" t="str">
        <f>HYPERLINK("https://maps.google.com/?q=17.8487972995381,-96.747411186592103", "🔗 Ver Mapa")</f>
        <v>🔗 Ver Mapa</v>
      </c>
    </row>
    <row r="10525" spans="1:12" ht="43.5" x14ac:dyDescent="0.35">
      <c r="A10525" s="5" t="s">
        <v>98</v>
      </c>
      <c r="B10525" s="5" t="s">
        <v>99</v>
      </c>
      <c r="C10525" s="5" t="s">
        <v>1816</v>
      </c>
      <c r="D10525" s="5" t="s">
        <v>14</v>
      </c>
      <c r="E10525" s="5" t="s">
        <v>110</v>
      </c>
      <c r="F10525" s="5" t="s">
        <v>126</v>
      </c>
      <c r="G10525" s="5" t="s">
        <v>1453</v>
      </c>
      <c r="H10525" s="5" t="s">
        <v>1454</v>
      </c>
      <c r="I10525" s="5" t="s">
        <v>31</v>
      </c>
      <c r="J10525" s="5">
        <v>17.848799860168999</v>
      </c>
      <c r="K10525" s="5">
        <v>-96.747660628028996</v>
      </c>
      <c r="L10525" s="5" t="str">
        <f>HYPERLINK("https://maps.google.com/?q=17.8487998601687,-96.747660628028697", "🔗 Ver Mapa")</f>
        <v>🔗 Ver Mapa</v>
      </c>
    </row>
    <row r="10526" spans="1:12" ht="43.5" x14ac:dyDescent="0.35">
      <c r="A10526" s="6" t="s">
        <v>98</v>
      </c>
      <c r="B10526" s="6" t="s">
        <v>99</v>
      </c>
      <c r="C10526" s="6" t="s">
        <v>1817</v>
      </c>
      <c r="D10526" s="6" t="s">
        <v>14</v>
      </c>
      <c r="E10526" s="6" t="s">
        <v>16</v>
      </c>
      <c r="F10526" s="6" t="s">
        <v>21</v>
      </c>
      <c r="G10526" s="6" t="s">
        <v>1290</v>
      </c>
      <c r="H10526" s="6" t="s">
        <v>1200</v>
      </c>
      <c r="I10526" s="6" t="s">
        <v>31</v>
      </c>
      <c r="J10526" s="6">
        <v>17.090315762347</v>
      </c>
      <c r="K10526" s="6">
        <v>-97.769843008737993</v>
      </c>
      <c r="L10526" s="6" t="str">
        <f>HYPERLINK("https://maps.google.com/?q=17.0903157623471,-97.769843008737695", "🔗 Ver Mapa")</f>
        <v>🔗 Ver Mapa</v>
      </c>
    </row>
    <row r="10527" spans="1:12" ht="43.5" x14ac:dyDescent="0.35">
      <c r="A10527" s="5" t="s">
        <v>98</v>
      </c>
      <c r="B10527" s="5" t="s">
        <v>99</v>
      </c>
      <c r="C10527" s="5" t="s">
        <v>1817</v>
      </c>
      <c r="D10527" s="5" t="s">
        <v>14</v>
      </c>
      <c r="E10527" s="5" t="s">
        <v>16</v>
      </c>
      <c r="F10527" s="5" t="s">
        <v>21</v>
      </c>
      <c r="G10527" s="5" t="s">
        <v>1290</v>
      </c>
      <c r="H10527" s="5" t="s">
        <v>1200</v>
      </c>
      <c r="I10527" s="5" t="s">
        <v>31</v>
      </c>
      <c r="J10527" s="5">
        <v>17.095983088673002</v>
      </c>
      <c r="K10527" s="5">
        <v>-97.774778242848001</v>
      </c>
      <c r="L10527" s="5" t="str">
        <f>HYPERLINK("https://maps.google.com/?q=17.0959830886731,-97.774778242848299", "🔗 Ver Mapa")</f>
        <v>🔗 Ver Mapa</v>
      </c>
    </row>
    <row r="10528" spans="1:12" ht="43.5" x14ac:dyDescent="0.35">
      <c r="A10528" s="6" t="s">
        <v>98</v>
      </c>
      <c r="B10528" s="6" t="s">
        <v>99</v>
      </c>
      <c r="C10528" s="6" t="s">
        <v>1817</v>
      </c>
      <c r="D10528" s="6" t="s">
        <v>14</v>
      </c>
      <c r="E10528" s="6" t="s">
        <v>16</v>
      </c>
      <c r="F10528" s="6" t="s">
        <v>21</v>
      </c>
      <c r="G10528" s="6" t="s">
        <v>1290</v>
      </c>
      <c r="H10528" s="6" t="s">
        <v>1200</v>
      </c>
      <c r="I10528" s="6" t="s">
        <v>31</v>
      </c>
      <c r="J10528" s="6">
        <v>17.097048013249999</v>
      </c>
      <c r="K10528" s="6">
        <v>-97.774393839287001</v>
      </c>
      <c r="L10528" s="6" t="str">
        <f>HYPERLINK("https://maps.google.com/?q=17.0970480132496,-97.774393839286901", "🔗 Ver Mapa")</f>
        <v>🔗 Ver Mapa</v>
      </c>
    </row>
    <row r="10529" spans="1:12" ht="43.5" x14ac:dyDescent="0.35">
      <c r="A10529" s="5" t="s">
        <v>98</v>
      </c>
      <c r="B10529" s="5" t="s">
        <v>99</v>
      </c>
      <c r="C10529" s="5" t="s">
        <v>1817</v>
      </c>
      <c r="D10529" s="5" t="s">
        <v>14</v>
      </c>
      <c r="E10529" s="5" t="s">
        <v>16</v>
      </c>
      <c r="F10529" s="5" t="s">
        <v>21</v>
      </c>
      <c r="G10529" s="5" t="s">
        <v>1290</v>
      </c>
      <c r="H10529" s="5" t="s">
        <v>1200</v>
      </c>
      <c r="I10529" s="5" t="s">
        <v>31</v>
      </c>
      <c r="J10529" s="5">
        <v>17.097429747029999</v>
      </c>
      <c r="K10529" s="5">
        <v>-97.768544763731001</v>
      </c>
      <c r="L10529" s="5" t="str">
        <f>HYPERLINK("https://maps.google.com/?q=17.0974297470301,-97.768544763731299", "🔗 Ver Mapa")</f>
        <v>🔗 Ver Mapa</v>
      </c>
    </row>
    <row r="10530" spans="1:12" ht="43.5" x14ac:dyDescent="0.35">
      <c r="A10530" s="6" t="s">
        <v>98</v>
      </c>
      <c r="B10530" s="6" t="s">
        <v>99</v>
      </c>
      <c r="C10530" s="6" t="s">
        <v>1818</v>
      </c>
      <c r="D10530" s="6" t="s">
        <v>14</v>
      </c>
      <c r="E10530" s="6" t="s">
        <v>16</v>
      </c>
      <c r="F10530" s="6" t="s">
        <v>21</v>
      </c>
      <c r="G10530" s="6" t="s">
        <v>1290</v>
      </c>
      <c r="H10530" s="6" t="s">
        <v>1819</v>
      </c>
      <c r="I10530" s="6" t="s">
        <v>31</v>
      </c>
      <c r="J10530" s="6">
        <v>17.131212532018001</v>
      </c>
      <c r="K10530" s="6">
        <v>-97.752875000000003</v>
      </c>
      <c r="L10530" s="6" t="str">
        <f>HYPERLINK("https://maps.google.com/?q=17.1312125320178,-97.752874999999605", "🔗 Ver Mapa")</f>
        <v>🔗 Ver Mapa</v>
      </c>
    </row>
    <row r="10531" spans="1:12" ht="43.5" x14ac:dyDescent="0.35">
      <c r="A10531" s="5" t="s">
        <v>98</v>
      </c>
      <c r="B10531" s="5" t="s">
        <v>99</v>
      </c>
      <c r="C10531" s="5" t="s">
        <v>1818</v>
      </c>
      <c r="D10531" s="5" t="s">
        <v>14</v>
      </c>
      <c r="E10531" s="5" t="s">
        <v>16</v>
      </c>
      <c r="F10531" s="5" t="s">
        <v>21</v>
      </c>
      <c r="G10531" s="5" t="s">
        <v>1290</v>
      </c>
      <c r="H10531" s="5" t="s">
        <v>1819</v>
      </c>
      <c r="I10531" s="5" t="s">
        <v>31</v>
      </c>
      <c r="J10531" s="5">
        <v>17.131776436618999</v>
      </c>
      <c r="K10531" s="5">
        <v>-97.754790097237006</v>
      </c>
      <c r="L10531" s="5" t="str">
        <f>HYPERLINK("https://maps.google.com/?q=17.131776436619,-97.754790097237006", "🔗 Ver Mapa")</f>
        <v>🔗 Ver Mapa</v>
      </c>
    </row>
    <row r="10532" spans="1:12" ht="43.5" x14ac:dyDescent="0.35">
      <c r="A10532" s="6" t="s">
        <v>98</v>
      </c>
      <c r="B10532" s="6" t="s">
        <v>99</v>
      </c>
      <c r="C10532" s="6" t="s">
        <v>1818</v>
      </c>
      <c r="D10532" s="6" t="s">
        <v>14</v>
      </c>
      <c r="E10532" s="6" t="s">
        <v>16</v>
      </c>
      <c r="F10532" s="6" t="s">
        <v>21</v>
      </c>
      <c r="G10532" s="6" t="s">
        <v>1290</v>
      </c>
      <c r="H10532" s="6" t="s">
        <v>1819</v>
      </c>
      <c r="I10532" s="6" t="s">
        <v>31</v>
      </c>
      <c r="J10532" s="6">
        <v>17.131916052047998</v>
      </c>
      <c r="K10532" s="6">
        <v>-97.756212057856999</v>
      </c>
      <c r="L10532" s="6" t="str">
        <f>HYPERLINK("https://maps.google.com/?q=17.1319160520477,-97.756212057856899", "🔗 Ver Mapa")</f>
        <v>🔗 Ver Mapa</v>
      </c>
    </row>
    <row r="10533" spans="1:12" ht="43.5" x14ac:dyDescent="0.35">
      <c r="A10533" s="5" t="s">
        <v>98</v>
      </c>
      <c r="B10533" s="5" t="s">
        <v>99</v>
      </c>
      <c r="C10533" s="5" t="s">
        <v>1818</v>
      </c>
      <c r="D10533" s="5" t="s">
        <v>14</v>
      </c>
      <c r="E10533" s="5" t="s">
        <v>16</v>
      </c>
      <c r="F10533" s="5" t="s">
        <v>21</v>
      </c>
      <c r="G10533" s="5" t="s">
        <v>1290</v>
      </c>
      <c r="H10533" s="5" t="s">
        <v>1819</v>
      </c>
      <c r="I10533" s="5" t="s">
        <v>31</v>
      </c>
      <c r="J10533" s="5">
        <v>17.131954303453998</v>
      </c>
      <c r="K10533" s="5">
        <v>-97.753251069336002</v>
      </c>
      <c r="L10533" s="5" t="str">
        <f>HYPERLINK("https://maps.google.com/?q=17.1319543034539,-97.7532510693365", "🔗 Ver Mapa")</f>
        <v>🔗 Ver Mapa</v>
      </c>
    </row>
    <row r="10534" spans="1:12" ht="43.5" x14ac:dyDescent="0.35">
      <c r="A10534" s="6" t="s">
        <v>98</v>
      </c>
      <c r="B10534" s="6" t="s">
        <v>99</v>
      </c>
      <c r="C10534" s="6" t="s">
        <v>1818</v>
      </c>
      <c r="D10534" s="6" t="s">
        <v>14</v>
      </c>
      <c r="E10534" s="6" t="s">
        <v>16</v>
      </c>
      <c r="F10534" s="6" t="s">
        <v>21</v>
      </c>
      <c r="G10534" s="6" t="s">
        <v>1290</v>
      </c>
      <c r="H10534" s="6" t="s">
        <v>1819</v>
      </c>
      <c r="I10534" s="6" t="s">
        <v>31</v>
      </c>
      <c r="J10534" s="6">
        <v>17.132324783716001</v>
      </c>
      <c r="K10534" s="6">
        <v>-97.756657655596001</v>
      </c>
      <c r="L10534" s="6" t="str">
        <f>HYPERLINK("https://maps.google.com/?q=17.1323247837159,-97.7566576555963", "🔗 Ver Mapa")</f>
        <v>🔗 Ver Mapa</v>
      </c>
    </row>
    <row r="10535" spans="1:12" ht="43.5" x14ac:dyDescent="0.35">
      <c r="A10535" s="5" t="s">
        <v>98</v>
      </c>
      <c r="B10535" s="5" t="s">
        <v>99</v>
      </c>
      <c r="C10535" s="5" t="s">
        <v>1820</v>
      </c>
      <c r="D10535" s="5" t="s">
        <v>14</v>
      </c>
      <c r="E10535" s="5" t="s">
        <v>16</v>
      </c>
      <c r="F10535" s="5" t="s">
        <v>21</v>
      </c>
      <c r="G10535" s="5" t="s">
        <v>1290</v>
      </c>
      <c r="H10535" s="5" t="s">
        <v>1821</v>
      </c>
      <c r="I10535" s="5" t="s">
        <v>31</v>
      </c>
      <c r="J10535" s="5">
        <v>0</v>
      </c>
      <c r="K10535" s="5" t="s">
        <v>1822</v>
      </c>
      <c r="L10535" s="5" t="str">
        <f>HYPERLINK("https://maps.google.com/?q=0, -97.79278611", "🔗 Ver Mapa")</f>
        <v>🔗 Ver Mapa</v>
      </c>
    </row>
    <row r="10536" spans="1:12" ht="43.5" x14ac:dyDescent="0.35">
      <c r="A10536" s="6" t="s">
        <v>98</v>
      </c>
      <c r="B10536" s="6" t="s">
        <v>99</v>
      </c>
      <c r="C10536" s="6" t="s">
        <v>1820</v>
      </c>
      <c r="D10536" s="6" t="s">
        <v>14</v>
      </c>
      <c r="E10536" s="6" t="s">
        <v>16</v>
      </c>
      <c r="F10536" s="6" t="s">
        <v>21</v>
      </c>
      <c r="G10536" s="6" t="s">
        <v>1290</v>
      </c>
      <c r="H10536" s="6" t="s">
        <v>1821</v>
      </c>
      <c r="I10536" s="6" t="s">
        <v>31</v>
      </c>
      <c r="J10536" s="6">
        <v>17.102059864575001</v>
      </c>
      <c r="K10536" s="6">
        <v>-97.795777572738999</v>
      </c>
      <c r="L10536" s="6" t="str">
        <f>HYPERLINK("https://maps.google.com/?q=17.1020598645749,-97.7957775727387", "🔗 Ver Mapa")</f>
        <v>🔗 Ver Mapa</v>
      </c>
    </row>
    <row r="10537" spans="1:12" ht="43.5" x14ac:dyDescent="0.35">
      <c r="A10537" s="5" t="s">
        <v>98</v>
      </c>
      <c r="B10537" s="5" t="s">
        <v>99</v>
      </c>
      <c r="C10537" s="5" t="s">
        <v>1820</v>
      </c>
      <c r="D10537" s="5" t="s">
        <v>14</v>
      </c>
      <c r="E10537" s="5" t="s">
        <v>16</v>
      </c>
      <c r="F10537" s="5" t="s">
        <v>21</v>
      </c>
      <c r="G10537" s="5" t="s">
        <v>1290</v>
      </c>
      <c r="H10537" s="5" t="s">
        <v>1821</v>
      </c>
      <c r="I10537" s="5" t="s">
        <v>31</v>
      </c>
      <c r="J10537" s="5">
        <v>17.102435859817</v>
      </c>
      <c r="K10537" s="5">
        <v>-97.795680814471993</v>
      </c>
      <c r="L10537" s="5" t="str">
        <f>HYPERLINK("https://maps.google.com/?q=17.1024358598168,-97.795680814471893", "🔗 Ver Mapa")</f>
        <v>🔗 Ver Mapa</v>
      </c>
    </row>
    <row r="10538" spans="1:12" ht="43.5" x14ac:dyDescent="0.35">
      <c r="A10538" s="6" t="s">
        <v>98</v>
      </c>
      <c r="B10538" s="6" t="s">
        <v>99</v>
      </c>
      <c r="C10538" s="6" t="s">
        <v>1820</v>
      </c>
      <c r="D10538" s="6" t="s">
        <v>14</v>
      </c>
      <c r="E10538" s="6" t="s">
        <v>16</v>
      </c>
      <c r="F10538" s="6" t="s">
        <v>21</v>
      </c>
      <c r="G10538" s="6" t="s">
        <v>1290</v>
      </c>
      <c r="H10538" s="6" t="s">
        <v>1821</v>
      </c>
      <c r="I10538" s="6" t="s">
        <v>31</v>
      </c>
      <c r="J10538" s="6">
        <v>17.102530350262999</v>
      </c>
      <c r="K10538" s="6">
        <v>-97.794560259563994</v>
      </c>
      <c r="L10538" s="6" t="str">
        <f>HYPERLINK("https://maps.google.com/?q=17.1025303502635,-97.794560259563696", "🔗 Ver Mapa")</f>
        <v>🔗 Ver Mapa</v>
      </c>
    </row>
    <row r="10539" spans="1:12" ht="43.5" x14ac:dyDescent="0.35">
      <c r="A10539" s="5" t="s">
        <v>98</v>
      </c>
      <c r="B10539" s="5" t="s">
        <v>99</v>
      </c>
      <c r="C10539" s="5" t="s">
        <v>1820</v>
      </c>
      <c r="D10539" s="5" t="s">
        <v>14</v>
      </c>
      <c r="E10539" s="5" t="s">
        <v>16</v>
      </c>
      <c r="F10539" s="5" t="s">
        <v>21</v>
      </c>
      <c r="G10539" s="5" t="s">
        <v>1290</v>
      </c>
      <c r="H10539" s="5" t="s">
        <v>1821</v>
      </c>
      <c r="I10539" s="5" t="s">
        <v>31</v>
      </c>
      <c r="J10539" s="5">
        <v>17.105576250011001</v>
      </c>
      <c r="K10539" s="5">
        <v>-97.792218078161994</v>
      </c>
      <c r="L10539" s="5" t="str">
        <f>HYPERLINK("https://maps.google.com/?q=17.1055762500105,-97.792218078162094", "🔗 Ver Mapa")</f>
        <v>🔗 Ver Mapa</v>
      </c>
    </row>
    <row r="10540" spans="1:12" ht="43.5" x14ac:dyDescent="0.35">
      <c r="A10540" s="6" t="s">
        <v>98</v>
      </c>
      <c r="B10540" s="6" t="s">
        <v>99</v>
      </c>
      <c r="C10540" s="6" t="s">
        <v>1820</v>
      </c>
      <c r="D10540" s="6" t="s">
        <v>14</v>
      </c>
      <c r="E10540" s="6" t="s">
        <v>16</v>
      </c>
      <c r="F10540" s="6" t="s">
        <v>21</v>
      </c>
      <c r="G10540" s="6" t="s">
        <v>1290</v>
      </c>
      <c r="H10540" s="6" t="s">
        <v>1821</v>
      </c>
      <c r="I10540" s="6" t="s">
        <v>31</v>
      </c>
      <c r="J10540" s="6">
        <v>17.106813542202001</v>
      </c>
      <c r="K10540" s="6">
        <v>-97.796943156281003</v>
      </c>
      <c r="L10540" s="6" t="str">
        <f>HYPERLINK("https://maps.google.com/?q=17.106813542202,-97.7969431562807", "🔗 Ver Mapa")</f>
        <v>🔗 Ver Mapa</v>
      </c>
    </row>
    <row r="10541" spans="1:12" ht="43.5" x14ac:dyDescent="0.35">
      <c r="A10541" s="5" t="s">
        <v>98</v>
      </c>
      <c r="B10541" s="5" t="s">
        <v>99</v>
      </c>
      <c r="C10541" s="5" t="s">
        <v>1820</v>
      </c>
      <c r="D10541" s="5" t="s">
        <v>14</v>
      </c>
      <c r="E10541" s="5" t="s">
        <v>16</v>
      </c>
      <c r="F10541" s="5" t="s">
        <v>21</v>
      </c>
      <c r="G10541" s="5" t="s">
        <v>1290</v>
      </c>
      <c r="H10541" s="5" t="s">
        <v>1821</v>
      </c>
      <c r="I10541" s="5" t="s">
        <v>31</v>
      </c>
      <c r="J10541" s="5">
        <v>17.108042582631999</v>
      </c>
      <c r="K10541" s="5">
        <v>-97.796663338623006</v>
      </c>
      <c r="L10541" s="5" t="str">
        <f>HYPERLINK("https://maps.google.com/?q=17.1080425826316,-97.796663338623006", "🔗 Ver Mapa")</f>
        <v>🔗 Ver Mapa</v>
      </c>
    </row>
    <row r="10542" spans="1:12" ht="43.5" x14ac:dyDescent="0.35">
      <c r="A10542" s="6" t="s">
        <v>98</v>
      </c>
      <c r="B10542" s="6" t="s">
        <v>99</v>
      </c>
      <c r="C10542" s="6" t="s">
        <v>1823</v>
      </c>
      <c r="D10542" s="6" t="s">
        <v>14</v>
      </c>
      <c r="E10542" s="6" t="s">
        <v>16</v>
      </c>
      <c r="F10542" s="6" t="s">
        <v>21</v>
      </c>
      <c r="G10542" s="6" t="s">
        <v>1290</v>
      </c>
      <c r="H10542" s="6" t="s">
        <v>1291</v>
      </c>
      <c r="I10542" s="6" t="s">
        <v>31</v>
      </c>
      <c r="J10542" s="6">
        <v>17.115904400893001</v>
      </c>
      <c r="K10542" s="6">
        <v>-97.788873235677997</v>
      </c>
      <c r="L10542" s="6" t="str">
        <f>HYPERLINK("https://maps.google.com/?q=17.1159044008927,-97.788873235677698", "🔗 Ver Mapa")</f>
        <v>🔗 Ver Mapa</v>
      </c>
    </row>
    <row r="10543" spans="1:12" ht="43.5" x14ac:dyDescent="0.35">
      <c r="A10543" s="5" t="s">
        <v>98</v>
      </c>
      <c r="B10543" s="5" t="s">
        <v>99</v>
      </c>
      <c r="C10543" s="5" t="s">
        <v>1823</v>
      </c>
      <c r="D10543" s="5" t="s">
        <v>14</v>
      </c>
      <c r="E10543" s="5" t="s">
        <v>16</v>
      </c>
      <c r="F10543" s="5" t="s">
        <v>21</v>
      </c>
      <c r="G10543" s="5" t="s">
        <v>1290</v>
      </c>
      <c r="H10543" s="5" t="s">
        <v>1291</v>
      </c>
      <c r="I10543" s="5" t="s">
        <v>31</v>
      </c>
      <c r="J10543" s="5">
        <v>17.118109421161002</v>
      </c>
      <c r="K10543" s="5">
        <v>-97.789440890937996</v>
      </c>
      <c r="L10543" s="5" t="str">
        <f>HYPERLINK("https://maps.google.com/?q=17.1181094211612,-97.789440890938295", "🔗 Ver Mapa")</f>
        <v>🔗 Ver Mapa</v>
      </c>
    </row>
    <row r="10544" spans="1:12" ht="43.5" x14ac:dyDescent="0.35">
      <c r="A10544" s="6" t="s">
        <v>98</v>
      </c>
      <c r="B10544" s="6" t="s">
        <v>99</v>
      </c>
      <c r="C10544" s="6" t="s">
        <v>1823</v>
      </c>
      <c r="D10544" s="6" t="s">
        <v>14</v>
      </c>
      <c r="E10544" s="6" t="s">
        <v>16</v>
      </c>
      <c r="F10544" s="6" t="s">
        <v>21</v>
      </c>
      <c r="G10544" s="6" t="s">
        <v>1290</v>
      </c>
      <c r="H10544" s="6" t="s">
        <v>1291</v>
      </c>
      <c r="I10544" s="6" t="s">
        <v>31</v>
      </c>
      <c r="J10544" s="6">
        <v>17.118563241335</v>
      </c>
      <c r="K10544" s="6">
        <v>-97.783016687989999</v>
      </c>
      <c r="L10544" s="6" t="str">
        <f>HYPERLINK("https://maps.google.com/?q=17.1185632413347,-97.7830166879899", "🔗 Ver Mapa")</f>
        <v>🔗 Ver Mapa</v>
      </c>
    </row>
    <row r="10545" spans="1:12" ht="43.5" x14ac:dyDescent="0.35">
      <c r="A10545" s="5" t="s">
        <v>98</v>
      </c>
      <c r="B10545" s="5" t="s">
        <v>99</v>
      </c>
      <c r="C10545" s="5" t="s">
        <v>1823</v>
      </c>
      <c r="D10545" s="5" t="s">
        <v>14</v>
      </c>
      <c r="E10545" s="5" t="s">
        <v>16</v>
      </c>
      <c r="F10545" s="5" t="s">
        <v>21</v>
      </c>
      <c r="G10545" s="5" t="s">
        <v>1290</v>
      </c>
      <c r="H10545" s="5" t="s">
        <v>1291</v>
      </c>
      <c r="I10545" s="5" t="s">
        <v>31</v>
      </c>
      <c r="J10545" s="5">
        <v>17.118925836222001</v>
      </c>
      <c r="K10545" s="5">
        <v>-97.785291049069997</v>
      </c>
      <c r="L10545" s="5" t="str">
        <f>HYPERLINK("https://maps.google.com/?q=17.1189258362222,-97.785291049069798", "🔗 Ver Mapa")</f>
        <v>🔗 Ver Mapa</v>
      </c>
    </row>
    <row r="10546" spans="1:12" ht="43.5" x14ac:dyDescent="0.35">
      <c r="A10546" s="6" t="s">
        <v>98</v>
      </c>
      <c r="B10546" s="6" t="s">
        <v>99</v>
      </c>
      <c r="C10546" s="6" t="s">
        <v>1823</v>
      </c>
      <c r="D10546" s="6" t="s">
        <v>14</v>
      </c>
      <c r="E10546" s="6" t="s">
        <v>16</v>
      </c>
      <c r="F10546" s="6" t="s">
        <v>21</v>
      </c>
      <c r="G10546" s="6" t="s">
        <v>1290</v>
      </c>
      <c r="H10546" s="6" t="s">
        <v>1291</v>
      </c>
      <c r="I10546" s="6" t="s">
        <v>31</v>
      </c>
      <c r="J10546" s="6">
        <v>17.119740100672999</v>
      </c>
      <c r="K10546" s="6">
        <v>-97.786839488430999</v>
      </c>
      <c r="L10546" s="6" t="str">
        <f>HYPERLINK("https://maps.google.com/?q=17.1197401006729,-97.7868394884309", "🔗 Ver Mapa")</f>
        <v>🔗 Ver Mapa</v>
      </c>
    </row>
    <row r="10547" spans="1:12" ht="43.5" x14ac:dyDescent="0.35">
      <c r="A10547" s="5" t="s">
        <v>98</v>
      </c>
      <c r="B10547" s="5" t="s">
        <v>99</v>
      </c>
      <c r="C10547" s="5" t="s">
        <v>1823</v>
      </c>
      <c r="D10547" s="5" t="s">
        <v>14</v>
      </c>
      <c r="E10547" s="5" t="s">
        <v>16</v>
      </c>
      <c r="F10547" s="5" t="s">
        <v>21</v>
      </c>
      <c r="G10547" s="5" t="s">
        <v>1290</v>
      </c>
      <c r="H10547" s="5" t="s">
        <v>1291</v>
      </c>
      <c r="I10547" s="5" t="s">
        <v>31</v>
      </c>
      <c r="J10547" s="5">
        <v>17.120892751730999</v>
      </c>
      <c r="K10547" s="5">
        <v>-97.787032179544994</v>
      </c>
      <c r="L10547" s="5" t="str">
        <f>HYPERLINK("https://maps.google.com/?q=17.1208927517313,-97.787032179545406", "🔗 Ver Mapa")</f>
        <v>🔗 Ver Mapa</v>
      </c>
    </row>
    <row r="10548" spans="1:12" ht="43.5" x14ac:dyDescent="0.35">
      <c r="A10548" s="6" t="s">
        <v>98</v>
      </c>
      <c r="B10548" s="6" t="s">
        <v>99</v>
      </c>
      <c r="C10548" s="6" t="s">
        <v>1823</v>
      </c>
      <c r="D10548" s="6" t="s">
        <v>14</v>
      </c>
      <c r="E10548" s="6" t="s">
        <v>16</v>
      </c>
      <c r="F10548" s="6" t="s">
        <v>21</v>
      </c>
      <c r="G10548" s="6" t="s">
        <v>1290</v>
      </c>
      <c r="H10548" s="6" t="s">
        <v>1291</v>
      </c>
      <c r="I10548" s="6" t="s">
        <v>31</v>
      </c>
      <c r="J10548" s="6">
        <v>17.121149727168</v>
      </c>
      <c r="K10548" s="6">
        <v>-97.783379866082001</v>
      </c>
      <c r="L10548" s="6" t="str">
        <f>HYPERLINK("https://maps.google.com/?q=17.1211497271681,-97.783379866082299", "🔗 Ver Mapa")</f>
        <v>🔗 Ver Mapa</v>
      </c>
    </row>
    <row r="10549" spans="1:12" ht="43.5" x14ac:dyDescent="0.35">
      <c r="A10549" s="5" t="s">
        <v>98</v>
      </c>
      <c r="B10549" s="5" t="s">
        <v>99</v>
      </c>
      <c r="C10549" s="5" t="s">
        <v>1823</v>
      </c>
      <c r="D10549" s="5" t="s">
        <v>14</v>
      </c>
      <c r="E10549" s="5" t="s">
        <v>16</v>
      </c>
      <c r="F10549" s="5" t="s">
        <v>21</v>
      </c>
      <c r="G10549" s="5" t="s">
        <v>1290</v>
      </c>
      <c r="H10549" s="5" t="s">
        <v>1291</v>
      </c>
      <c r="I10549" s="5" t="s">
        <v>31</v>
      </c>
      <c r="J10549" s="5">
        <v>17.121166382714001</v>
      </c>
      <c r="K10549" s="5">
        <v>-97.785324465702999</v>
      </c>
      <c r="L10549" s="5" t="str">
        <f>HYPERLINK("https://maps.google.com/?q=17.1211663827143,-97.785324465702502", "🔗 Ver Mapa")</f>
        <v>🔗 Ver Mapa</v>
      </c>
    </row>
    <row r="10550" spans="1:12" ht="43.5" x14ac:dyDescent="0.35">
      <c r="A10550" s="6" t="s">
        <v>98</v>
      </c>
      <c r="B10550" s="6" t="s">
        <v>99</v>
      </c>
      <c r="C10550" s="6" t="s">
        <v>1823</v>
      </c>
      <c r="D10550" s="6" t="s">
        <v>14</v>
      </c>
      <c r="E10550" s="6" t="s">
        <v>16</v>
      </c>
      <c r="F10550" s="6" t="s">
        <v>21</v>
      </c>
      <c r="G10550" s="6" t="s">
        <v>1290</v>
      </c>
      <c r="H10550" s="6" t="s">
        <v>1291</v>
      </c>
      <c r="I10550" s="6" t="s">
        <v>31</v>
      </c>
      <c r="J10550" s="6">
        <v>17.121337831435</v>
      </c>
      <c r="K10550" s="6">
        <v>-97.785774206197004</v>
      </c>
      <c r="L10550" s="6" t="str">
        <f>HYPERLINK("https://maps.google.com/?q=17.121337831435,-97.785774206196706", "🔗 Ver Mapa")</f>
        <v>🔗 Ver Mapa</v>
      </c>
    </row>
    <row r="10551" spans="1:12" ht="43.5" x14ac:dyDescent="0.35">
      <c r="A10551" s="5" t="s">
        <v>98</v>
      </c>
      <c r="B10551" s="5" t="s">
        <v>99</v>
      </c>
      <c r="C10551" s="5" t="s">
        <v>1824</v>
      </c>
      <c r="D10551" s="5" t="s">
        <v>14</v>
      </c>
      <c r="E10551" s="5" t="s">
        <v>16</v>
      </c>
      <c r="F10551" s="5" t="s">
        <v>21</v>
      </c>
      <c r="G10551" s="5" t="s">
        <v>1290</v>
      </c>
      <c r="H10551" s="5" t="s">
        <v>1825</v>
      </c>
      <c r="I10551" s="5" t="s">
        <v>31</v>
      </c>
      <c r="J10551" s="5">
        <v>17.090441476024999</v>
      </c>
      <c r="K10551" s="5">
        <v>-97.789138459295998</v>
      </c>
      <c r="L10551" s="5" t="str">
        <f>HYPERLINK("https://maps.google.com/?q=17.090441476025,-97.789138459296097", "🔗 Ver Mapa")</f>
        <v>🔗 Ver Mapa</v>
      </c>
    </row>
    <row r="10552" spans="1:12" ht="43.5" x14ac:dyDescent="0.35">
      <c r="A10552" s="6" t="s">
        <v>98</v>
      </c>
      <c r="B10552" s="6" t="s">
        <v>99</v>
      </c>
      <c r="C10552" s="6" t="s">
        <v>1824</v>
      </c>
      <c r="D10552" s="6" t="s">
        <v>14</v>
      </c>
      <c r="E10552" s="6" t="s">
        <v>16</v>
      </c>
      <c r="F10552" s="6" t="s">
        <v>21</v>
      </c>
      <c r="G10552" s="6" t="s">
        <v>1290</v>
      </c>
      <c r="H10552" s="6" t="s">
        <v>1825</v>
      </c>
      <c r="I10552" s="6" t="s">
        <v>31</v>
      </c>
      <c r="J10552" s="6">
        <v>17.090511674683999</v>
      </c>
      <c r="K10552" s="6">
        <v>-97.791718700049998</v>
      </c>
      <c r="L10552" s="6" t="str">
        <f>HYPERLINK("https://maps.google.com/?q=17.090511674684,-97.7917187000496", "🔗 Ver Mapa")</f>
        <v>🔗 Ver Mapa</v>
      </c>
    </row>
    <row r="10553" spans="1:12" ht="43.5" x14ac:dyDescent="0.35">
      <c r="A10553" s="5" t="s">
        <v>98</v>
      </c>
      <c r="B10553" s="5" t="s">
        <v>99</v>
      </c>
      <c r="C10553" s="5" t="s">
        <v>1824</v>
      </c>
      <c r="D10553" s="5" t="s">
        <v>14</v>
      </c>
      <c r="E10553" s="5" t="s">
        <v>16</v>
      </c>
      <c r="F10553" s="5" t="s">
        <v>21</v>
      </c>
      <c r="G10553" s="5" t="s">
        <v>1290</v>
      </c>
      <c r="H10553" s="5" t="s">
        <v>1825</v>
      </c>
      <c r="I10553" s="5" t="s">
        <v>31</v>
      </c>
      <c r="J10553" s="5">
        <v>17.091966947938001</v>
      </c>
      <c r="K10553" s="5">
        <v>-97.784458727325003</v>
      </c>
      <c r="L10553" s="5" t="str">
        <f>HYPERLINK("https://maps.google.com/?q=17.0919669479383,-97.784458727324903", "🔗 Ver Mapa")</f>
        <v>🔗 Ver Mapa</v>
      </c>
    </row>
    <row r="10554" spans="1:12" ht="43.5" x14ac:dyDescent="0.35">
      <c r="A10554" s="6" t="s">
        <v>98</v>
      </c>
      <c r="B10554" s="6" t="s">
        <v>99</v>
      </c>
      <c r="C10554" s="6" t="s">
        <v>1824</v>
      </c>
      <c r="D10554" s="6" t="s">
        <v>14</v>
      </c>
      <c r="E10554" s="6" t="s">
        <v>16</v>
      </c>
      <c r="F10554" s="6" t="s">
        <v>21</v>
      </c>
      <c r="G10554" s="6" t="s">
        <v>1290</v>
      </c>
      <c r="H10554" s="6" t="s">
        <v>1825</v>
      </c>
      <c r="I10554" s="6" t="s">
        <v>31</v>
      </c>
      <c r="J10554" s="6">
        <v>17.092290593876999</v>
      </c>
      <c r="K10554" s="6">
        <v>-97.788731618113005</v>
      </c>
      <c r="L10554" s="6" t="str">
        <f>HYPERLINK("https://maps.google.com/?q=17.092290593877,-97.788731618112806", "🔗 Ver Mapa")</f>
        <v>🔗 Ver Mapa</v>
      </c>
    </row>
    <row r="10555" spans="1:12" ht="43.5" x14ac:dyDescent="0.35">
      <c r="A10555" s="5" t="s">
        <v>98</v>
      </c>
      <c r="B10555" s="5" t="s">
        <v>99</v>
      </c>
      <c r="C10555" s="5" t="s">
        <v>1824</v>
      </c>
      <c r="D10555" s="5" t="s">
        <v>14</v>
      </c>
      <c r="E10555" s="5" t="s">
        <v>16</v>
      </c>
      <c r="F10555" s="5" t="s">
        <v>21</v>
      </c>
      <c r="G10555" s="5" t="s">
        <v>1290</v>
      </c>
      <c r="H10555" s="5" t="s">
        <v>1825</v>
      </c>
      <c r="I10555" s="5" t="s">
        <v>31</v>
      </c>
      <c r="J10555" s="5">
        <v>17.092623595589</v>
      </c>
      <c r="K10555" s="5">
        <v>-97.788259428583004</v>
      </c>
      <c r="L10555" s="5" t="str">
        <f>HYPERLINK("https://maps.google.com/?q=17.0926235955894,-97.788259428583004", "🔗 Ver Mapa")</f>
        <v>🔗 Ver Mapa</v>
      </c>
    </row>
    <row r="10556" spans="1:12" ht="43.5" x14ac:dyDescent="0.35">
      <c r="A10556" s="6" t="s">
        <v>98</v>
      </c>
      <c r="B10556" s="6" t="s">
        <v>99</v>
      </c>
      <c r="C10556" s="6" t="s">
        <v>1824</v>
      </c>
      <c r="D10556" s="6" t="s">
        <v>14</v>
      </c>
      <c r="E10556" s="6" t="s">
        <v>16</v>
      </c>
      <c r="F10556" s="6" t="s">
        <v>21</v>
      </c>
      <c r="G10556" s="6" t="s">
        <v>1290</v>
      </c>
      <c r="H10556" s="6" t="s">
        <v>1825</v>
      </c>
      <c r="I10556" s="6" t="s">
        <v>31</v>
      </c>
      <c r="J10556" s="6">
        <v>17.092962081700001</v>
      </c>
      <c r="K10556" s="6">
        <v>-97.789029262566004</v>
      </c>
      <c r="L10556" s="6" t="str">
        <f>HYPERLINK("https://maps.google.com/?q=17.0929620816996,-97.789029262566203", "🔗 Ver Mapa")</f>
        <v>🔗 Ver Mapa</v>
      </c>
    </row>
    <row r="10557" spans="1:12" ht="43.5" x14ac:dyDescent="0.35">
      <c r="A10557" s="5" t="s">
        <v>98</v>
      </c>
      <c r="B10557" s="5" t="s">
        <v>99</v>
      </c>
      <c r="C10557" s="5" t="s">
        <v>1824</v>
      </c>
      <c r="D10557" s="5" t="s">
        <v>14</v>
      </c>
      <c r="E10557" s="5" t="s">
        <v>16</v>
      </c>
      <c r="F10557" s="5" t="s">
        <v>21</v>
      </c>
      <c r="G10557" s="5" t="s">
        <v>1290</v>
      </c>
      <c r="H10557" s="5" t="s">
        <v>1825</v>
      </c>
      <c r="I10557" s="5" t="s">
        <v>31</v>
      </c>
      <c r="J10557" s="5">
        <v>17.093225359459002</v>
      </c>
      <c r="K10557" s="5">
        <v>-97.787188148349998</v>
      </c>
      <c r="L10557" s="5" t="str">
        <f>HYPERLINK("https://maps.google.com/?q=17.0932253594586,-97.787188148350495", "🔗 Ver Mapa")</f>
        <v>🔗 Ver Mapa</v>
      </c>
    </row>
    <row r="10558" spans="1:12" ht="43.5" x14ac:dyDescent="0.35">
      <c r="A10558" s="6" t="s">
        <v>98</v>
      </c>
      <c r="B10558" s="6" t="s">
        <v>99</v>
      </c>
      <c r="C10558" s="6" t="s">
        <v>1824</v>
      </c>
      <c r="D10558" s="6" t="s">
        <v>14</v>
      </c>
      <c r="E10558" s="6" t="s">
        <v>16</v>
      </c>
      <c r="F10558" s="6" t="s">
        <v>21</v>
      </c>
      <c r="G10558" s="6" t="s">
        <v>1290</v>
      </c>
      <c r="H10558" s="6" t="s">
        <v>1825</v>
      </c>
      <c r="I10558" s="6" t="s">
        <v>31</v>
      </c>
      <c r="J10558" s="6">
        <v>17.093805109514999</v>
      </c>
      <c r="K10558" s="6">
        <v>-97.788972162337004</v>
      </c>
      <c r="L10558" s="6" t="str">
        <f>HYPERLINK("https://maps.google.com/?q=17.0938051095152,-97.788972162337004", "🔗 Ver Mapa")</f>
        <v>🔗 Ver Mapa</v>
      </c>
    </row>
    <row r="10559" spans="1:12" ht="43.5" x14ac:dyDescent="0.35">
      <c r="A10559" s="5" t="s">
        <v>98</v>
      </c>
      <c r="B10559" s="5" t="s">
        <v>99</v>
      </c>
      <c r="C10559" s="5" t="s">
        <v>1824</v>
      </c>
      <c r="D10559" s="5" t="s">
        <v>14</v>
      </c>
      <c r="E10559" s="5" t="s">
        <v>16</v>
      </c>
      <c r="F10559" s="5" t="s">
        <v>21</v>
      </c>
      <c r="G10559" s="5" t="s">
        <v>1290</v>
      </c>
      <c r="H10559" s="5" t="s">
        <v>1825</v>
      </c>
      <c r="I10559" s="5" t="s">
        <v>31</v>
      </c>
      <c r="J10559" s="5">
        <v>17.093854631334001</v>
      </c>
      <c r="K10559" s="5">
        <v>-97.787951501357</v>
      </c>
      <c r="L10559" s="5" t="str">
        <f>HYPERLINK("https://maps.google.com/?q=17.093854631334,-97.787951501356602", "🔗 Ver Mapa")</f>
        <v>🔗 Ver Mapa</v>
      </c>
    </row>
    <row r="10560" spans="1:12" ht="43.5" x14ac:dyDescent="0.35">
      <c r="A10560" s="6" t="s">
        <v>98</v>
      </c>
      <c r="B10560" s="6" t="s">
        <v>99</v>
      </c>
      <c r="C10560" s="6" t="s">
        <v>1824</v>
      </c>
      <c r="D10560" s="6" t="s">
        <v>14</v>
      </c>
      <c r="E10560" s="6" t="s">
        <v>16</v>
      </c>
      <c r="F10560" s="6" t="s">
        <v>21</v>
      </c>
      <c r="G10560" s="6" t="s">
        <v>1290</v>
      </c>
      <c r="H10560" s="6" t="s">
        <v>1825</v>
      </c>
      <c r="I10560" s="6" t="s">
        <v>31</v>
      </c>
      <c r="J10560" s="6">
        <v>17.094340883379999</v>
      </c>
      <c r="K10560" s="6">
        <v>-97.788319956509994</v>
      </c>
      <c r="L10560" s="6" t="str">
        <f>HYPERLINK("https://maps.google.com/?q=17.0943408833798,-97.788319956510406", "🔗 Ver Mapa")</f>
        <v>🔗 Ver Mapa</v>
      </c>
    </row>
    <row r="10561" spans="1:12" ht="43.5" x14ac:dyDescent="0.35">
      <c r="A10561" s="5" t="s">
        <v>98</v>
      </c>
      <c r="B10561" s="5" t="s">
        <v>99</v>
      </c>
      <c r="C10561" s="5" t="s">
        <v>1824</v>
      </c>
      <c r="D10561" s="5" t="s">
        <v>14</v>
      </c>
      <c r="E10561" s="5" t="s">
        <v>16</v>
      </c>
      <c r="F10561" s="5" t="s">
        <v>21</v>
      </c>
      <c r="G10561" s="5" t="s">
        <v>1290</v>
      </c>
      <c r="H10561" s="5" t="s">
        <v>1825</v>
      </c>
      <c r="I10561" s="5" t="s">
        <v>31</v>
      </c>
      <c r="J10561" s="5">
        <v>17.094717337641999</v>
      </c>
      <c r="K10561" s="5">
        <v>-97.790883070617994</v>
      </c>
      <c r="L10561" s="5" t="str">
        <f>HYPERLINK("https://maps.google.com/?q=17.0947173376424,-97.790883070617696", "🔗 Ver Mapa")</f>
        <v>🔗 Ver Mapa</v>
      </c>
    </row>
    <row r="10562" spans="1:12" ht="43.5" x14ac:dyDescent="0.35">
      <c r="A10562" s="6" t="s">
        <v>98</v>
      </c>
      <c r="B10562" s="6" t="s">
        <v>99</v>
      </c>
      <c r="C10562" s="6" t="s">
        <v>1824</v>
      </c>
      <c r="D10562" s="6" t="s">
        <v>14</v>
      </c>
      <c r="E10562" s="6" t="s">
        <v>16</v>
      </c>
      <c r="F10562" s="6" t="s">
        <v>21</v>
      </c>
      <c r="G10562" s="6" t="s">
        <v>1290</v>
      </c>
      <c r="H10562" s="6" t="s">
        <v>1825</v>
      </c>
      <c r="I10562" s="6" t="s">
        <v>31</v>
      </c>
      <c r="J10562" s="6">
        <v>17.094921713697001</v>
      </c>
      <c r="K10562" s="6">
        <v>-97.782588692313993</v>
      </c>
      <c r="L10562" s="6" t="str">
        <f>HYPERLINK("https://maps.google.com/?q=17.0949217136968,-97.782588692313695", "🔗 Ver Mapa")</f>
        <v>🔗 Ver Mapa</v>
      </c>
    </row>
    <row r="10563" spans="1:12" ht="43.5" x14ac:dyDescent="0.35">
      <c r="A10563" s="5" t="s">
        <v>98</v>
      </c>
      <c r="B10563" s="5" t="s">
        <v>99</v>
      </c>
      <c r="C10563" s="5" t="s">
        <v>1824</v>
      </c>
      <c r="D10563" s="5" t="s">
        <v>14</v>
      </c>
      <c r="E10563" s="5" t="s">
        <v>16</v>
      </c>
      <c r="F10563" s="5" t="s">
        <v>21</v>
      </c>
      <c r="G10563" s="5" t="s">
        <v>1290</v>
      </c>
      <c r="H10563" s="5" t="s">
        <v>1825</v>
      </c>
      <c r="I10563" s="5" t="s">
        <v>31</v>
      </c>
      <c r="J10563" s="5">
        <v>17.096127783715001</v>
      </c>
      <c r="K10563" s="5">
        <v>-97.784193256506001</v>
      </c>
      <c r="L10563" s="5" t="str">
        <f>HYPERLINK("https://maps.google.com/?q=17.0961277837154,-97.7841932565061", "🔗 Ver Mapa")</f>
        <v>🔗 Ver Mapa</v>
      </c>
    </row>
    <row r="10564" spans="1:12" ht="43.5" x14ac:dyDescent="0.35">
      <c r="A10564" s="6" t="s">
        <v>98</v>
      </c>
      <c r="B10564" s="6" t="s">
        <v>99</v>
      </c>
      <c r="C10564" s="6" t="s">
        <v>1824</v>
      </c>
      <c r="D10564" s="6" t="s">
        <v>14</v>
      </c>
      <c r="E10564" s="6" t="s">
        <v>16</v>
      </c>
      <c r="F10564" s="6" t="s">
        <v>21</v>
      </c>
      <c r="G10564" s="6" t="s">
        <v>1290</v>
      </c>
      <c r="H10564" s="6" t="s">
        <v>1825</v>
      </c>
      <c r="I10564" s="6" t="s">
        <v>31</v>
      </c>
      <c r="J10564" s="6">
        <v>17.097261064236001</v>
      </c>
      <c r="K10564" s="6">
        <v>-97.784570477670997</v>
      </c>
      <c r="L10564" s="6" t="str">
        <f>HYPERLINK("https://maps.google.com/?q=17.0972610642358,-97.784570477671494", "🔗 Ver Mapa")</f>
        <v>🔗 Ver Mapa</v>
      </c>
    </row>
    <row r="10565" spans="1:12" ht="43.5" x14ac:dyDescent="0.35">
      <c r="A10565" s="5" t="s">
        <v>98</v>
      </c>
      <c r="B10565" s="5" t="s">
        <v>99</v>
      </c>
      <c r="C10565" s="5" t="s">
        <v>1824</v>
      </c>
      <c r="D10565" s="5" t="s">
        <v>14</v>
      </c>
      <c r="E10565" s="5" t="s">
        <v>16</v>
      </c>
      <c r="F10565" s="5" t="s">
        <v>21</v>
      </c>
      <c r="G10565" s="5" t="s">
        <v>1290</v>
      </c>
      <c r="H10565" s="5" t="s">
        <v>1825</v>
      </c>
      <c r="I10565" s="5" t="s">
        <v>31</v>
      </c>
      <c r="J10565" s="5">
        <v>17.097627115874001</v>
      </c>
      <c r="K10565" s="5">
        <v>-97.783764488469998</v>
      </c>
      <c r="L10565" s="5" t="str">
        <f>HYPERLINK("https://maps.google.com/?q=17.0976271158741,-97.783764488469799", "🔗 Ver Mapa")</f>
        <v>🔗 Ver Mapa</v>
      </c>
    </row>
    <row r="10566" spans="1:12" ht="43.5" x14ac:dyDescent="0.35">
      <c r="A10566" s="6" t="s">
        <v>98</v>
      </c>
      <c r="B10566" s="6" t="s">
        <v>99</v>
      </c>
      <c r="C10566" s="6" t="s">
        <v>1826</v>
      </c>
      <c r="D10566" s="6" t="s">
        <v>14</v>
      </c>
      <c r="E10566" s="6" t="s">
        <v>16</v>
      </c>
      <c r="F10566" s="6" t="s">
        <v>21</v>
      </c>
      <c r="G10566" s="6" t="s">
        <v>1290</v>
      </c>
      <c r="H10566" s="6" t="s">
        <v>1827</v>
      </c>
      <c r="I10566" s="6" t="s">
        <v>31</v>
      </c>
      <c r="J10566" s="6">
        <v>17.129241266104</v>
      </c>
      <c r="K10566" s="6">
        <v>-97.781608587435002</v>
      </c>
      <c r="L10566" s="6" t="str">
        <f>HYPERLINK("https://maps.google.com/?q=17.129241266104,-97.781608587434803", "🔗 Ver Mapa")</f>
        <v>🔗 Ver Mapa</v>
      </c>
    </row>
    <row r="10567" spans="1:12" ht="43.5" x14ac:dyDescent="0.35">
      <c r="A10567" s="5" t="s">
        <v>98</v>
      </c>
      <c r="B10567" s="5" t="s">
        <v>99</v>
      </c>
      <c r="C10567" s="5" t="s">
        <v>1826</v>
      </c>
      <c r="D10567" s="5" t="s">
        <v>14</v>
      </c>
      <c r="E10567" s="5" t="s">
        <v>16</v>
      </c>
      <c r="F10567" s="5" t="s">
        <v>21</v>
      </c>
      <c r="G10567" s="5" t="s">
        <v>1290</v>
      </c>
      <c r="H10567" s="5" t="s">
        <v>1827</v>
      </c>
      <c r="I10567" s="5" t="s">
        <v>31</v>
      </c>
      <c r="J10567" s="5">
        <v>17.129641759428001</v>
      </c>
      <c r="K10567" s="5">
        <v>-97.779907382546</v>
      </c>
      <c r="L10567" s="5" t="str">
        <f>HYPERLINK("https://maps.google.com/?q=17.1296417594278,-97.7799073825459", "🔗 Ver Mapa")</f>
        <v>🔗 Ver Mapa</v>
      </c>
    </row>
    <row r="10568" spans="1:12" ht="43.5" x14ac:dyDescent="0.35">
      <c r="A10568" s="6" t="s">
        <v>98</v>
      </c>
      <c r="B10568" s="6" t="s">
        <v>99</v>
      </c>
      <c r="C10568" s="6" t="s">
        <v>1826</v>
      </c>
      <c r="D10568" s="6" t="s">
        <v>14</v>
      </c>
      <c r="E10568" s="6" t="s">
        <v>16</v>
      </c>
      <c r="F10568" s="6" t="s">
        <v>21</v>
      </c>
      <c r="G10568" s="6" t="s">
        <v>1290</v>
      </c>
      <c r="H10568" s="6" t="s">
        <v>1827</v>
      </c>
      <c r="I10568" s="6" t="s">
        <v>31</v>
      </c>
      <c r="J10568" s="6">
        <v>17.131384454094</v>
      </c>
      <c r="K10568" s="6">
        <v>-97.781940952550997</v>
      </c>
      <c r="L10568" s="6" t="str">
        <f>HYPERLINK("https://maps.google.com/?q=17.1313844540937,-97.781940952551295", "🔗 Ver Mapa")</f>
        <v>🔗 Ver Mapa</v>
      </c>
    </row>
    <row r="10569" spans="1:12" ht="43.5" x14ac:dyDescent="0.35">
      <c r="A10569" s="5" t="s">
        <v>98</v>
      </c>
      <c r="B10569" s="5" t="s">
        <v>99</v>
      </c>
      <c r="C10569" s="5" t="s">
        <v>1826</v>
      </c>
      <c r="D10569" s="5" t="s">
        <v>14</v>
      </c>
      <c r="E10569" s="5" t="s">
        <v>16</v>
      </c>
      <c r="F10569" s="5" t="s">
        <v>21</v>
      </c>
      <c r="G10569" s="5" t="s">
        <v>1290</v>
      </c>
      <c r="H10569" s="5" t="s">
        <v>1827</v>
      </c>
      <c r="I10569" s="5" t="s">
        <v>31</v>
      </c>
      <c r="J10569" s="5">
        <v>17.131809140714001</v>
      </c>
      <c r="K10569" s="5">
        <v>-97.781426533203998</v>
      </c>
      <c r="L10569" s="5" t="str">
        <f>HYPERLINK("https://maps.google.com/?q=17.1318091407136,-97.781426533204495", "🔗 Ver Mapa")</f>
        <v>🔗 Ver Mapa</v>
      </c>
    </row>
    <row r="10570" spans="1:12" ht="43.5" x14ac:dyDescent="0.35">
      <c r="A10570" s="6" t="s">
        <v>98</v>
      </c>
      <c r="B10570" s="6" t="s">
        <v>99</v>
      </c>
      <c r="C10570" s="6" t="s">
        <v>1826</v>
      </c>
      <c r="D10570" s="6" t="s">
        <v>14</v>
      </c>
      <c r="E10570" s="6" t="s">
        <v>16</v>
      </c>
      <c r="F10570" s="6" t="s">
        <v>21</v>
      </c>
      <c r="G10570" s="6" t="s">
        <v>1290</v>
      </c>
      <c r="H10570" s="6" t="s">
        <v>1827</v>
      </c>
      <c r="I10570" s="6" t="s">
        <v>31</v>
      </c>
      <c r="J10570" s="6">
        <v>17.141589320506998</v>
      </c>
      <c r="K10570" s="6">
        <v>-97.783438407958997</v>
      </c>
      <c r="L10570" s="6" t="str">
        <f>HYPERLINK("https://maps.google.com/?q=17.1415893205074,-97.783438407959395", "🔗 Ver Mapa")</f>
        <v>🔗 Ver Mapa</v>
      </c>
    </row>
    <row r="10571" spans="1:12" ht="43.5" x14ac:dyDescent="0.35">
      <c r="A10571" s="5" t="s">
        <v>98</v>
      </c>
      <c r="B10571" s="5" t="s">
        <v>99</v>
      </c>
      <c r="C10571" s="5" t="s">
        <v>1826</v>
      </c>
      <c r="D10571" s="5" t="s">
        <v>14</v>
      </c>
      <c r="E10571" s="5" t="s">
        <v>16</v>
      </c>
      <c r="F10571" s="5" t="s">
        <v>21</v>
      </c>
      <c r="G10571" s="5" t="s">
        <v>1290</v>
      </c>
      <c r="H10571" s="5" t="s">
        <v>1827</v>
      </c>
      <c r="I10571" s="5" t="s">
        <v>31</v>
      </c>
      <c r="J10571" s="5">
        <v>17.14236592712</v>
      </c>
      <c r="K10571" s="5">
        <v>-97.782545232356995</v>
      </c>
      <c r="L10571" s="5" t="str">
        <f>HYPERLINK("https://maps.google.com/?q=17.1423659271201,-97.782545232357194", "🔗 Ver Mapa")</f>
        <v>🔗 Ver Mapa</v>
      </c>
    </row>
    <row r="10572" spans="1:12" ht="43.5" x14ac:dyDescent="0.35">
      <c r="A10572" s="6" t="s">
        <v>98</v>
      </c>
      <c r="B10572" s="6" t="s">
        <v>99</v>
      </c>
      <c r="C10572" s="6" t="s">
        <v>1828</v>
      </c>
      <c r="D10572" s="6" t="s">
        <v>14</v>
      </c>
      <c r="E10572" s="6" t="s">
        <v>16</v>
      </c>
      <c r="F10572" s="6" t="s">
        <v>21</v>
      </c>
      <c r="G10572" s="6" t="s">
        <v>1290</v>
      </c>
      <c r="H10572" s="6" t="s">
        <v>1200</v>
      </c>
      <c r="I10572" s="6" t="s">
        <v>31</v>
      </c>
      <c r="J10572" s="6">
        <v>17.089584216641999</v>
      </c>
      <c r="K10572" s="6">
        <v>-97.769346717581996</v>
      </c>
      <c r="L10572" s="6" t="str">
        <f>HYPERLINK("https://maps.google.com/?q=17.0895842166425,-97.769346717582295", "🔗 Ver Mapa")</f>
        <v>🔗 Ver Mapa</v>
      </c>
    </row>
    <row r="10573" spans="1:12" ht="43.5" x14ac:dyDescent="0.35">
      <c r="A10573" s="5" t="s">
        <v>98</v>
      </c>
      <c r="B10573" s="5" t="s">
        <v>99</v>
      </c>
      <c r="C10573" s="5" t="s">
        <v>1828</v>
      </c>
      <c r="D10573" s="5" t="s">
        <v>14</v>
      </c>
      <c r="E10573" s="5" t="s">
        <v>16</v>
      </c>
      <c r="F10573" s="5" t="s">
        <v>21</v>
      </c>
      <c r="G10573" s="5" t="s">
        <v>1290</v>
      </c>
      <c r="H10573" s="5" t="s">
        <v>1200</v>
      </c>
      <c r="I10573" s="5" t="s">
        <v>31</v>
      </c>
      <c r="J10573" s="5">
        <v>17.089604112240998</v>
      </c>
      <c r="K10573" s="5">
        <v>-97.776517441360994</v>
      </c>
      <c r="L10573" s="5" t="str">
        <f>HYPERLINK("https://maps.google.com/?q=17.089604112241,-97.776517441361307", "🔗 Ver Mapa")</f>
        <v>🔗 Ver Mapa</v>
      </c>
    </row>
    <row r="10574" spans="1:12" ht="43.5" x14ac:dyDescent="0.35">
      <c r="A10574" s="6" t="s">
        <v>98</v>
      </c>
      <c r="B10574" s="6" t="s">
        <v>99</v>
      </c>
      <c r="C10574" s="6" t="s">
        <v>1828</v>
      </c>
      <c r="D10574" s="6" t="s">
        <v>14</v>
      </c>
      <c r="E10574" s="6" t="s">
        <v>16</v>
      </c>
      <c r="F10574" s="6" t="s">
        <v>21</v>
      </c>
      <c r="G10574" s="6" t="s">
        <v>1290</v>
      </c>
      <c r="H10574" s="6" t="s">
        <v>1200</v>
      </c>
      <c r="I10574" s="6" t="s">
        <v>31</v>
      </c>
      <c r="J10574" s="6">
        <v>17.091769413160002</v>
      </c>
      <c r="K10574" s="6">
        <v>-97.768823230951</v>
      </c>
      <c r="L10574" s="6" t="str">
        <f>HYPERLINK("https://maps.google.com/?q=17.0917694131605,-97.7688232309509", "🔗 Ver Mapa")</f>
        <v>🔗 Ver Mapa</v>
      </c>
    </row>
    <row r="10575" spans="1:12" ht="43.5" x14ac:dyDescent="0.35">
      <c r="A10575" s="5" t="s">
        <v>98</v>
      </c>
      <c r="B10575" s="5" t="s">
        <v>99</v>
      </c>
      <c r="C10575" s="5" t="s">
        <v>1828</v>
      </c>
      <c r="D10575" s="5" t="s">
        <v>14</v>
      </c>
      <c r="E10575" s="5" t="s">
        <v>16</v>
      </c>
      <c r="F10575" s="5" t="s">
        <v>21</v>
      </c>
      <c r="G10575" s="5" t="s">
        <v>1290</v>
      </c>
      <c r="H10575" s="5" t="s">
        <v>1200</v>
      </c>
      <c r="I10575" s="5" t="s">
        <v>31</v>
      </c>
      <c r="J10575" s="5">
        <v>17.091943163993001</v>
      </c>
      <c r="K10575" s="5">
        <v>-97.769758593917999</v>
      </c>
      <c r="L10575" s="5" t="str">
        <f>HYPERLINK("https://maps.google.com/?q=17.0919431639933,-97.7697585939177", "🔗 Ver Mapa")</f>
        <v>🔗 Ver Mapa</v>
      </c>
    </row>
    <row r="10576" spans="1:12" ht="43.5" x14ac:dyDescent="0.35">
      <c r="A10576" s="6" t="s">
        <v>98</v>
      </c>
      <c r="B10576" s="6" t="s">
        <v>99</v>
      </c>
      <c r="C10576" s="6" t="s">
        <v>1828</v>
      </c>
      <c r="D10576" s="6" t="s">
        <v>14</v>
      </c>
      <c r="E10576" s="6" t="s">
        <v>16</v>
      </c>
      <c r="F10576" s="6" t="s">
        <v>21</v>
      </c>
      <c r="G10576" s="6" t="s">
        <v>1290</v>
      </c>
      <c r="H10576" s="6" t="s">
        <v>1200</v>
      </c>
      <c r="I10576" s="6" t="s">
        <v>31</v>
      </c>
      <c r="J10576" s="6">
        <v>17.094414562204999</v>
      </c>
      <c r="K10576" s="6">
        <v>-97.769526580356001</v>
      </c>
      <c r="L10576" s="6" t="str">
        <f>HYPERLINK("https://maps.google.com/?q=17.0944145622053,-97.769526580356001", "🔗 Ver Mapa")</f>
        <v>🔗 Ver Mapa</v>
      </c>
    </row>
    <row r="10577" spans="1:12" ht="43.5" x14ac:dyDescent="0.35">
      <c r="A10577" s="5" t="s">
        <v>98</v>
      </c>
      <c r="B10577" s="5" t="s">
        <v>99</v>
      </c>
      <c r="C10577" s="5" t="s">
        <v>1828</v>
      </c>
      <c r="D10577" s="5" t="s">
        <v>14</v>
      </c>
      <c r="E10577" s="5" t="s">
        <v>16</v>
      </c>
      <c r="F10577" s="5" t="s">
        <v>21</v>
      </c>
      <c r="G10577" s="5" t="s">
        <v>1290</v>
      </c>
      <c r="H10577" s="5" t="s">
        <v>1200</v>
      </c>
      <c r="I10577" s="5" t="s">
        <v>31</v>
      </c>
      <c r="J10577" s="5">
        <v>17.096365990188001</v>
      </c>
      <c r="K10577" s="5">
        <v>-97.768974759594002</v>
      </c>
      <c r="L10577" s="5" t="str">
        <f>HYPERLINK("https://maps.google.com/?q=17.096365990188,-97.768974759594002", "🔗 Ver Mapa")</f>
        <v>🔗 Ver Mapa</v>
      </c>
    </row>
    <row r="10578" spans="1:12" ht="43.5" x14ac:dyDescent="0.35">
      <c r="A10578" s="6" t="s">
        <v>98</v>
      </c>
      <c r="B10578" s="6" t="s">
        <v>99</v>
      </c>
      <c r="C10578" s="6" t="s">
        <v>1828</v>
      </c>
      <c r="D10578" s="6" t="s">
        <v>14</v>
      </c>
      <c r="E10578" s="6" t="s">
        <v>16</v>
      </c>
      <c r="F10578" s="6" t="s">
        <v>21</v>
      </c>
      <c r="G10578" s="6" t="s">
        <v>1290</v>
      </c>
      <c r="H10578" s="6" t="s">
        <v>1200</v>
      </c>
      <c r="I10578" s="6" t="s">
        <v>31</v>
      </c>
      <c r="J10578" s="6">
        <v>17.096519130053</v>
      </c>
      <c r="K10578" s="6">
        <v>-97.770079314154998</v>
      </c>
      <c r="L10578" s="6" t="str">
        <f>HYPERLINK("https://maps.google.com/?q=17.0965191300532,-97.770079314155495", "🔗 Ver Mapa")</f>
        <v>🔗 Ver Mapa</v>
      </c>
    </row>
    <row r="10579" spans="1:12" ht="43.5" x14ac:dyDescent="0.35">
      <c r="A10579" s="5" t="s">
        <v>98</v>
      </c>
      <c r="B10579" s="5" t="s">
        <v>99</v>
      </c>
      <c r="C10579" s="5" t="s">
        <v>1828</v>
      </c>
      <c r="D10579" s="5" t="s">
        <v>14</v>
      </c>
      <c r="E10579" s="5" t="s">
        <v>16</v>
      </c>
      <c r="F10579" s="5" t="s">
        <v>21</v>
      </c>
      <c r="G10579" s="5" t="s">
        <v>1290</v>
      </c>
      <c r="H10579" s="5" t="s">
        <v>1200</v>
      </c>
      <c r="I10579" s="5" t="s">
        <v>31</v>
      </c>
      <c r="J10579" s="5">
        <v>17.097457382537002</v>
      </c>
      <c r="K10579" s="5">
        <v>-97.774265742189996</v>
      </c>
      <c r="L10579" s="5" t="str">
        <f>HYPERLINK("https://maps.google.com/?q=17.0974573825368,-97.774265742190096", "🔗 Ver Mapa")</f>
        <v>🔗 Ver Mapa</v>
      </c>
    </row>
    <row r="10580" spans="1:12" ht="43.5" x14ac:dyDescent="0.35">
      <c r="A10580" s="6" t="s">
        <v>98</v>
      </c>
      <c r="B10580" s="6" t="s">
        <v>99</v>
      </c>
      <c r="C10580" s="6" t="s">
        <v>1828</v>
      </c>
      <c r="D10580" s="6" t="s">
        <v>14</v>
      </c>
      <c r="E10580" s="6" t="s">
        <v>16</v>
      </c>
      <c r="F10580" s="6" t="s">
        <v>21</v>
      </c>
      <c r="G10580" s="6" t="s">
        <v>1290</v>
      </c>
      <c r="H10580" s="6" t="s">
        <v>1200</v>
      </c>
      <c r="I10580" s="6" t="s">
        <v>31</v>
      </c>
      <c r="J10580" s="6">
        <v>17.098442856843999</v>
      </c>
      <c r="K10580" s="6">
        <v>-97.771994568123006</v>
      </c>
      <c r="L10580" s="6" t="str">
        <f>HYPERLINK("https://maps.google.com/?q=17.0984428568445,-97.771994568123205", "🔗 Ver Mapa")</f>
        <v>🔗 Ver Mapa</v>
      </c>
    </row>
    <row r="10581" spans="1:12" ht="43.5" x14ac:dyDescent="0.35">
      <c r="A10581" s="5" t="s">
        <v>98</v>
      </c>
      <c r="B10581" s="5" t="s">
        <v>99</v>
      </c>
      <c r="C10581" s="5" t="s">
        <v>1828</v>
      </c>
      <c r="D10581" s="5" t="s">
        <v>14</v>
      </c>
      <c r="E10581" s="5" t="s">
        <v>16</v>
      </c>
      <c r="F10581" s="5" t="s">
        <v>21</v>
      </c>
      <c r="G10581" s="5" t="s">
        <v>1290</v>
      </c>
      <c r="H10581" s="5" t="s">
        <v>1200</v>
      </c>
      <c r="I10581" s="5" t="s">
        <v>31</v>
      </c>
      <c r="J10581" s="5">
        <v>17.098866384598999</v>
      </c>
      <c r="K10581" s="5">
        <v>-97.768877373015997</v>
      </c>
      <c r="L10581" s="5" t="str">
        <f>HYPERLINK("https://maps.google.com/?q=17.0988663845986,-97.768877373016295", "🔗 Ver Mapa")</f>
        <v>🔗 Ver Mapa</v>
      </c>
    </row>
    <row r="10582" spans="1:12" ht="43.5" x14ac:dyDescent="0.35">
      <c r="A10582" s="6" t="s">
        <v>98</v>
      </c>
      <c r="B10582" s="6" t="s">
        <v>99</v>
      </c>
      <c r="C10582" s="6" t="s">
        <v>1828</v>
      </c>
      <c r="D10582" s="6" t="s">
        <v>14</v>
      </c>
      <c r="E10582" s="6" t="s">
        <v>16</v>
      </c>
      <c r="F10582" s="6" t="s">
        <v>21</v>
      </c>
      <c r="G10582" s="6" t="s">
        <v>1290</v>
      </c>
      <c r="H10582" s="6" t="s">
        <v>1200</v>
      </c>
      <c r="I10582" s="6" t="s">
        <v>31</v>
      </c>
      <c r="J10582" s="6">
        <v>17.099167875388002</v>
      </c>
      <c r="K10582" s="6">
        <v>-97.772609084655997</v>
      </c>
      <c r="L10582" s="6" t="str">
        <f>HYPERLINK("https://maps.google.com/?q=17.0991678753884,-97.772609084656096", "🔗 Ver Mapa")</f>
        <v>🔗 Ver Mapa</v>
      </c>
    </row>
    <row r="10583" spans="1:12" ht="43.5" x14ac:dyDescent="0.35">
      <c r="A10583" s="5" t="s">
        <v>98</v>
      </c>
      <c r="B10583" s="5" t="s">
        <v>99</v>
      </c>
      <c r="C10583" s="5" t="s">
        <v>1828</v>
      </c>
      <c r="D10583" s="5" t="s">
        <v>14</v>
      </c>
      <c r="E10583" s="5" t="s">
        <v>16</v>
      </c>
      <c r="F10583" s="5" t="s">
        <v>21</v>
      </c>
      <c r="G10583" s="5" t="s">
        <v>1290</v>
      </c>
      <c r="H10583" s="5" t="s">
        <v>1200</v>
      </c>
      <c r="I10583" s="5" t="s">
        <v>31</v>
      </c>
      <c r="J10583" s="5">
        <v>17.099308019527999</v>
      </c>
      <c r="K10583" s="5">
        <v>-97.778191338623003</v>
      </c>
      <c r="L10583" s="5" t="str">
        <f>HYPERLINK("https://maps.google.com/?q=17.0993080195284,-97.778191338623003", "🔗 Ver Mapa")</f>
        <v>🔗 Ver Mapa</v>
      </c>
    </row>
    <row r="10584" spans="1:12" ht="43.5" x14ac:dyDescent="0.35">
      <c r="A10584" s="6" t="s">
        <v>98</v>
      </c>
      <c r="B10584" s="6" t="s">
        <v>99</v>
      </c>
      <c r="C10584" s="6" t="s">
        <v>1828</v>
      </c>
      <c r="D10584" s="6" t="s">
        <v>14</v>
      </c>
      <c r="E10584" s="6" t="s">
        <v>16</v>
      </c>
      <c r="F10584" s="6" t="s">
        <v>21</v>
      </c>
      <c r="G10584" s="6" t="s">
        <v>1290</v>
      </c>
      <c r="H10584" s="6" t="s">
        <v>1200</v>
      </c>
      <c r="I10584" s="6" t="s">
        <v>31</v>
      </c>
      <c r="J10584" s="6">
        <v>17.101214856645999</v>
      </c>
      <c r="K10584" s="6">
        <v>-97.772691530095003</v>
      </c>
      <c r="L10584" s="6" t="str">
        <f>HYPERLINK("https://maps.google.com/?q=17.101214856646,-97.772691530094804", "🔗 Ver Mapa")</f>
        <v>🔗 Ver Mapa</v>
      </c>
    </row>
    <row r="10585" spans="1:12" ht="43.5" x14ac:dyDescent="0.35">
      <c r="A10585" s="5" t="s">
        <v>98</v>
      </c>
      <c r="B10585" s="5" t="s">
        <v>99</v>
      </c>
      <c r="C10585" s="5" t="s">
        <v>1828</v>
      </c>
      <c r="D10585" s="5" t="s">
        <v>14</v>
      </c>
      <c r="E10585" s="5" t="s">
        <v>16</v>
      </c>
      <c r="F10585" s="5" t="s">
        <v>21</v>
      </c>
      <c r="G10585" s="5" t="s">
        <v>1290</v>
      </c>
      <c r="H10585" s="5" t="s">
        <v>1200</v>
      </c>
      <c r="I10585" s="5" t="s">
        <v>31</v>
      </c>
      <c r="J10585" s="5">
        <v>17.103054096887998</v>
      </c>
      <c r="K10585" s="5">
        <v>-97.771534493589996</v>
      </c>
      <c r="L10585" s="5" t="str">
        <f>HYPERLINK("https://maps.google.com/?q=17.1030540968884,-97.771534493590295", "🔗 Ver Mapa")</f>
        <v>🔗 Ver Mapa</v>
      </c>
    </row>
    <row r="10586" spans="1:12" ht="43.5" x14ac:dyDescent="0.35">
      <c r="A10586" s="6" t="s">
        <v>98</v>
      </c>
      <c r="B10586" s="6" t="s">
        <v>99</v>
      </c>
      <c r="C10586" s="6" t="s">
        <v>1828</v>
      </c>
      <c r="D10586" s="6" t="s">
        <v>14</v>
      </c>
      <c r="E10586" s="6" t="s">
        <v>16</v>
      </c>
      <c r="F10586" s="6" t="s">
        <v>21</v>
      </c>
      <c r="G10586" s="6" t="s">
        <v>1290</v>
      </c>
      <c r="H10586" s="6" t="s">
        <v>1200</v>
      </c>
      <c r="I10586" s="6" t="s">
        <v>31</v>
      </c>
      <c r="J10586" s="6">
        <v>17.106264392008001</v>
      </c>
      <c r="K10586" s="6">
        <v>-97.773754835017996</v>
      </c>
      <c r="L10586" s="6" t="str">
        <f>HYPERLINK("https://maps.google.com/?q=17.1062643920076,-97.773754835018494", "🔗 Ver Mapa")</f>
        <v>🔗 Ver Mapa</v>
      </c>
    </row>
    <row r="10587" spans="1:12" ht="43.5" x14ac:dyDescent="0.35">
      <c r="A10587" s="5" t="s">
        <v>98</v>
      </c>
      <c r="B10587" s="5" t="s">
        <v>99</v>
      </c>
      <c r="C10587" s="5" t="s">
        <v>1829</v>
      </c>
      <c r="D10587" s="5" t="s">
        <v>14</v>
      </c>
      <c r="E10587" s="5" t="s">
        <v>16</v>
      </c>
      <c r="F10587" s="5" t="s">
        <v>21</v>
      </c>
      <c r="G10587" s="5" t="s">
        <v>1290</v>
      </c>
      <c r="H10587" s="5" t="s">
        <v>1830</v>
      </c>
      <c r="I10587" s="5" t="s">
        <v>31</v>
      </c>
      <c r="J10587" s="5">
        <v>17.140646172328001</v>
      </c>
      <c r="K10587" s="5">
        <v>-97.771008093253002</v>
      </c>
      <c r="L10587" s="5" t="str">
        <f>HYPERLINK("https://maps.google.com/?q=17.1406461723278,-97.7710080932534", "🔗 Ver Mapa")</f>
        <v>🔗 Ver Mapa</v>
      </c>
    </row>
    <row r="10588" spans="1:12" ht="43.5" x14ac:dyDescent="0.35">
      <c r="A10588" s="6" t="s">
        <v>98</v>
      </c>
      <c r="B10588" s="6" t="s">
        <v>99</v>
      </c>
      <c r="C10588" s="6" t="s">
        <v>1829</v>
      </c>
      <c r="D10588" s="6" t="s">
        <v>14</v>
      </c>
      <c r="E10588" s="6" t="s">
        <v>16</v>
      </c>
      <c r="F10588" s="6" t="s">
        <v>21</v>
      </c>
      <c r="G10588" s="6" t="s">
        <v>1290</v>
      </c>
      <c r="H10588" s="6" t="s">
        <v>1830</v>
      </c>
      <c r="I10588" s="6" t="s">
        <v>31</v>
      </c>
      <c r="J10588" s="6">
        <v>17.140864675604998</v>
      </c>
      <c r="K10588" s="6">
        <v>-97.770200751570002</v>
      </c>
      <c r="L10588" s="6" t="str">
        <f>HYPERLINK("https://maps.google.com/?q=17.1408646756046,-97.770200751569703", "🔗 Ver Mapa")</f>
        <v>🔗 Ver Mapa</v>
      </c>
    </row>
    <row r="10589" spans="1:12" ht="43.5" x14ac:dyDescent="0.35">
      <c r="A10589" s="5" t="s">
        <v>98</v>
      </c>
      <c r="B10589" s="5" t="s">
        <v>99</v>
      </c>
      <c r="C10589" s="5" t="s">
        <v>1829</v>
      </c>
      <c r="D10589" s="5" t="s">
        <v>14</v>
      </c>
      <c r="E10589" s="5" t="s">
        <v>16</v>
      </c>
      <c r="F10589" s="5" t="s">
        <v>21</v>
      </c>
      <c r="G10589" s="5" t="s">
        <v>1290</v>
      </c>
      <c r="H10589" s="5" t="s">
        <v>1830</v>
      </c>
      <c r="I10589" s="5" t="s">
        <v>31</v>
      </c>
      <c r="J10589" s="5">
        <v>17.142036294547001</v>
      </c>
      <c r="K10589" s="5">
        <v>-97.769825880479999</v>
      </c>
      <c r="L10589" s="5" t="str">
        <f>HYPERLINK("https://maps.google.com/?q=17.142036294547,-97.769825880480298", "🔗 Ver Mapa")</f>
        <v>🔗 Ver Mapa</v>
      </c>
    </row>
    <row r="10590" spans="1:12" ht="43.5" x14ac:dyDescent="0.35">
      <c r="A10590" s="6" t="s">
        <v>98</v>
      </c>
      <c r="B10590" s="6" t="s">
        <v>99</v>
      </c>
      <c r="C10590" s="6" t="s">
        <v>1829</v>
      </c>
      <c r="D10590" s="6" t="s">
        <v>14</v>
      </c>
      <c r="E10590" s="6" t="s">
        <v>16</v>
      </c>
      <c r="F10590" s="6" t="s">
        <v>21</v>
      </c>
      <c r="G10590" s="6" t="s">
        <v>1290</v>
      </c>
      <c r="H10590" s="6" t="s">
        <v>1830</v>
      </c>
      <c r="I10590" s="6" t="s">
        <v>31</v>
      </c>
      <c r="J10590" s="6">
        <v>17.143251519277001</v>
      </c>
      <c r="K10590" s="6">
        <v>-97.770125649266006</v>
      </c>
      <c r="L10590" s="6" t="str">
        <f>HYPERLINK("https://maps.google.com/?q=17.1432515192766,-97.770125649266305", "🔗 Ver Mapa")</f>
        <v>🔗 Ver Mapa</v>
      </c>
    </row>
    <row r="10591" spans="1:12" ht="43.5" x14ac:dyDescent="0.35">
      <c r="A10591" s="5" t="s">
        <v>98</v>
      </c>
      <c r="B10591" s="5" t="s">
        <v>99</v>
      </c>
      <c r="C10591" s="5" t="s">
        <v>1829</v>
      </c>
      <c r="D10591" s="5" t="s">
        <v>14</v>
      </c>
      <c r="E10591" s="5" t="s">
        <v>16</v>
      </c>
      <c r="F10591" s="5" t="s">
        <v>21</v>
      </c>
      <c r="G10591" s="5" t="s">
        <v>1290</v>
      </c>
      <c r="H10591" s="5" t="s">
        <v>1830</v>
      </c>
      <c r="I10591" s="5" t="s">
        <v>31</v>
      </c>
      <c r="J10591" s="5">
        <v>17.144128703292001</v>
      </c>
      <c r="K10591" s="5">
        <v>-97.770427929524004</v>
      </c>
      <c r="L10591" s="5" t="str">
        <f>HYPERLINK("https://maps.google.com/?q=17.144128703292,-97.770427929524402", "🔗 Ver Mapa")</f>
        <v>🔗 Ver Mapa</v>
      </c>
    </row>
    <row r="10592" spans="1:12" ht="43.5" x14ac:dyDescent="0.35">
      <c r="A10592" s="6" t="s">
        <v>98</v>
      </c>
      <c r="B10592" s="6" t="s">
        <v>99</v>
      </c>
      <c r="C10592" s="6" t="s">
        <v>1829</v>
      </c>
      <c r="D10592" s="6" t="s">
        <v>14</v>
      </c>
      <c r="E10592" s="6" t="s">
        <v>16</v>
      </c>
      <c r="F10592" s="6" t="s">
        <v>21</v>
      </c>
      <c r="G10592" s="6" t="s">
        <v>1290</v>
      </c>
      <c r="H10592" s="6" t="s">
        <v>1830</v>
      </c>
      <c r="I10592" s="6" t="s">
        <v>31</v>
      </c>
      <c r="J10592" s="6">
        <v>17.145364134125</v>
      </c>
      <c r="K10592" s="6">
        <v>-97.770738342838001</v>
      </c>
      <c r="L10592" s="6" t="str">
        <f>HYPERLINK("https://maps.google.com/?q=17.1453641341254,-97.770738342837902", "🔗 Ver Mapa")</f>
        <v>🔗 Ver Mapa</v>
      </c>
    </row>
    <row r="10593" spans="1:12" ht="43.5" x14ac:dyDescent="0.35">
      <c r="A10593" s="5" t="s">
        <v>98</v>
      </c>
      <c r="B10593" s="5" t="s">
        <v>99</v>
      </c>
      <c r="C10593" s="5" t="s">
        <v>1829</v>
      </c>
      <c r="D10593" s="5" t="s">
        <v>14</v>
      </c>
      <c r="E10593" s="5" t="s">
        <v>16</v>
      </c>
      <c r="F10593" s="5" t="s">
        <v>21</v>
      </c>
      <c r="G10593" s="5" t="s">
        <v>1290</v>
      </c>
      <c r="H10593" s="5" t="s">
        <v>1830</v>
      </c>
      <c r="I10593" s="5" t="s">
        <v>31</v>
      </c>
      <c r="J10593" s="5">
        <v>17.148809473273001</v>
      </c>
      <c r="K10593" s="5">
        <v>-97.769484079999998</v>
      </c>
      <c r="L10593" s="5" t="str">
        <f>HYPERLINK("https://maps.google.com/?q=17.1488094732728,-97.7694840799996", "🔗 Ver Mapa")</f>
        <v>🔗 Ver Mapa</v>
      </c>
    </row>
    <row r="10594" spans="1:12" ht="43.5" x14ac:dyDescent="0.35">
      <c r="A10594" s="6" t="s">
        <v>98</v>
      </c>
      <c r="B10594" s="6" t="s">
        <v>99</v>
      </c>
      <c r="C10594" s="6" t="s">
        <v>1831</v>
      </c>
      <c r="D10594" s="6" t="s">
        <v>14</v>
      </c>
      <c r="E10594" s="6" t="s">
        <v>16</v>
      </c>
      <c r="F10594" s="6" t="s">
        <v>21</v>
      </c>
      <c r="G10594" s="6" t="s">
        <v>1290</v>
      </c>
      <c r="H10594" s="6" t="s">
        <v>1832</v>
      </c>
      <c r="I10594" s="6" t="s">
        <v>31</v>
      </c>
      <c r="J10594" s="6">
        <v>17.079794085259</v>
      </c>
      <c r="K10594" s="6">
        <v>-97.765397597553005</v>
      </c>
      <c r="L10594" s="6" t="str">
        <f>HYPERLINK("https://maps.google.com/?q=17.0797940852587,-97.765397597552806", "🔗 Ver Mapa")</f>
        <v>🔗 Ver Mapa</v>
      </c>
    </row>
    <row r="10595" spans="1:12" ht="43.5" x14ac:dyDescent="0.35">
      <c r="A10595" s="5" t="s">
        <v>98</v>
      </c>
      <c r="B10595" s="5" t="s">
        <v>99</v>
      </c>
      <c r="C10595" s="5" t="s">
        <v>1831</v>
      </c>
      <c r="D10595" s="5" t="s">
        <v>14</v>
      </c>
      <c r="E10595" s="5" t="s">
        <v>16</v>
      </c>
      <c r="F10595" s="5" t="s">
        <v>21</v>
      </c>
      <c r="G10595" s="5" t="s">
        <v>1290</v>
      </c>
      <c r="H10595" s="5" t="s">
        <v>1832</v>
      </c>
      <c r="I10595" s="5" t="s">
        <v>31</v>
      </c>
      <c r="J10595" s="5">
        <v>17.081823386002998</v>
      </c>
      <c r="K10595" s="5">
        <v>-97.766610122684</v>
      </c>
      <c r="L10595" s="5" t="str">
        <f>HYPERLINK("https://maps.google.com/?q=17.0818233860025,-97.766610122684497", "🔗 Ver Mapa")</f>
        <v>🔗 Ver Mapa</v>
      </c>
    </row>
    <row r="10596" spans="1:12" ht="43.5" x14ac:dyDescent="0.35">
      <c r="A10596" s="6" t="s">
        <v>98</v>
      </c>
      <c r="B10596" s="6" t="s">
        <v>99</v>
      </c>
      <c r="C10596" s="6" t="s">
        <v>1831</v>
      </c>
      <c r="D10596" s="6" t="s">
        <v>14</v>
      </c>
      <c r="E10596" s="6" t="s">
        <v>16</v>
      </c>
      <c r="F10596" s="6" t="s">
        <v>21</v>
      </c>
      <c r="G10596" s="6" t="s">
        <v>1290</v>
      </c>
      <c r="H10596" s="6" t="s">
        <v>1832</v>
      </c>
      <c r="I10596" s="6" t="s">
        <v>31</v>
      </c>
      <c r="J10596" s="6">
        <v>17.081836575103001</v>
      </c>
      <c r="K10596" s="6">
        <v>-97.767587678618</v>
      </c>
      <c r="L10596" s="6" t="str">
        <f>HYPERLINK("https://maps.google.com/?q=17.0818365751028,-97.767587678618099", "🔗 Ver Mapa")</f>
        <v>🔗 Ver Mapa</v>
      </c>
    </row>
    <row r="10597" spans="1:12" ht="43.5" x14ac:dyDescent="0.35">
      <c r="A10597" s="5" t="s">
        <v>98</v>
      </c>
      <c r="B10597" s="5" t="s">
        <v>99</v>
      </c>
      <c r="C10597" s="5" t="s">
        <v>1831</v>
      </c>
      <c r="D10597" s="5" t="s">
        <v>14</v>
      </c>
      <c r="E10597" s="5" t="s">
        <v>16</v>
      </c>
      <c r="F10597" s="5" t="s">
        <v>21</v>
      </c>
      <c r="G10597" s="5" t="s">
        <v>1290</v>
      </c>
      <c r="H10597" s="5" t="s">
        <v>1832</v>
      </c>
      <c r="I10597" s="5" t="s">
        <v>31</v>
      </c>
      <c r="J10597" s="5">
        <v>17.081970262473</v>
      </c>
      <c r="K10597" s="5">
        <v>-97.766803326388995</v>
      </c>
      <c r="L10597" s="5" t="str">
        <f>HYPERLINK("https://maps.google.com/?q=17.0819702624732,-97.766803326389294", "🔗 Ver Mapa")</f>
        <v>🔗 Ver Mapa</v>
      </c>
    </row>
    <row r="10598" spans="1:12" ht="43.5" x14ac:dyDescent="0.35">
      <c r="A10598" s="6" t="s">
        <v>98</v>
      </c>
      <c r="B10598" s="6" t="s">
        <v>99</v>
      </c>
      <c r="C10598" s="6" t="s">
        <v>1831</v>
      </c>
      <c r="D10598" s="6" t="s">
        <v>14</v>
      </c>
      <c r="E10598" s="6" t="s">
        <v>16</v>
      </c>
      <c r="F10598" s="6" t="s">
        <v>21</v>
      </c>
      <c r="G10598" s="6" t="s">
        <v>1290</v>
      </c>
      <c r="H10598" s="6" t="s">
        <v>1832</v>
      </c>
      <c r="I10598" s="6" t="s">
        <v>31</v>
      </c>
      <c r="J10598" s="6">
        <v>17.082163870622001</v>
      </c>
      <c r="K10598" s="6">
        <v>-97.766961201222998</v>
      </c>
      <c r="L10598" s="6" t="str">
        <f>HYPERLINK("https://maps.google.com/?q=17.0821638706221,-97.766961201223396", "🔗 Ver Mapa")</f>
        <v>🔗 Ver Mapa</v>
      </c>
    </row>
    <row r="10599" spans="1:12" ht="43.5" x14ac:dyDescent="0.35">
      <c r="A10599" s="5" t="s">
        <v>98</v>
      </c>
      <c r="B10599" s="5" t="s">
        <v>99</v>
      </c>
      <c r="C10599" s="5" t="s">
        <v>1831</v>
      </c>
      <c r="D10599" s="5" t="s">
        <v>14</v>
      </c>
      <c r="E10599" s="5" t="s">
        <v>16</v>
      </c>
      <c r="F10599" s="5" t="s">
        <v>21</v>
      </c>
      <c r="G10599" s="5" t="s">
        <v>1290</v>
      </c>
      <c r="H10599" s="5" t="s">
        <v>1832</v>
      </c>
      <c r="I10599" s="5" t="s">
        <v>31</v>
      </c>
      <c r="J10599" s="5">
        <v>17.082646761486</v>
      </c>
      <c r="K10599" s="5">
        <v>-97.766799109168005</v>
      </c>
      <c r="L10599" s="5" t="str">
        <f>HYPERLINK("https://maps.google.com/?q=17.0826467614864,-97.766799109168005", "🔗 Ver Mapa")</f>
        <v>🔗 Ver Mapa</v>
      </c>
    </row>
    <row r="10600" spans="1:12" ht="43.5" x14ac:dyDescent="0.35">
      <c r="A10600" s="6" t="s">
        <v>98</v>
      </c>
      <c r="B10600" s="6" t="s">
        <v>99</v>
      </c>
      <c r="C10600" s="6" t="s">
        <v>1831</v>
      </c>
      <c r="D10600" s="6" t="s">
        <v>14</v>
      </c>
      <c r="E10600" s="6" t="s">
        <v>16</v>
      </c>
      <c r="F10600" s="6" t="s">
        <v>21</v>
      </c>
      <c r="G10600" s="6" t="s">
        <v>1290</v>
      </c>
      <c r="H10600" s="6" t="s">
        <v>1832</v>
      </c>
      <c r="I10600" s="6" t="s">
        <v>31</v>
      </c>
      <c r="J10600" s="6">
        <v>17.083176566550001</v>
      </c>
      <c r="K10600" s="6">
        <v>-97.766270635582003</v>
      </c>
      <c r="L10600" s="6" t="str">
        <f>HYPERLINK("https://maps.google.com/?q=17.0831765665503,-97.766270635581805", "🔗 Ver Mapa")</f>
        <v>🔗 Ver Mapa</v>
      </c>
    </row>
    <row r="10601" spans="1:12" ht="43.5" x14ac:dyDescent="0.35">
      <c r="A10601" s="5" t="s">
        <v>98</v>
      </c>
      <c r="B10601" s="5" t="s">
        <v>99</v>
      </c>
      <c r="C10601" s="5" t="s">
        <v>1831</v>
      </c>
      <c r="D10601" s="5" t="s">
        <v>14</v>
      </c>
      <c r="E10601" s="5" t="s">
        <v>16</v>
      </c>
      <c r="F10601" s="5" t="s">
        <v>21</v>
      </c>
      <c r="G10601" s="5" t="s">
        <v>1290</v>
      </c>
      <c r="H10601" s="5" t="s">
        <v>1832</v>
      </c>
      <c r="I10601" s="5" t="s">
        <v>31</v>
      </c>
      <c r="J10601" s="5">
        <v>17.084197537605998</v>
      </c>
      <c r="K10601" s="5">
        <v>-97.771731027526002</v>
      </c>
      <c r="L10601" s="5" t="str">
        <f>HYPERLINK("https://maps.google.com/?q=17.084197537606,-97.771731027526101", "🔗 Ver Mapa")</f>
        <v>🔗 Ver Mapa</v>
      </c>
    </row>
    <row r="10602" spans="1:12" ht="43.5" x14ac:dyDescent="0.35">
      <c r="A10602" s="6" t="s">
        <v>98</v>
      </c>
      <c r="B10602" s="6" t="s">
        <v>99</v>
      </c>
      <c r="C10602" s="6" t="s">
        <v>1831</v>
      </c>
      <c r="D10602" s="6" t="s">
        <v>14</v>
      </c>
      <c r="E10602" s="6" t="s">
        <v>16</v>
      </c>
      <c r="F10602" s="6" t="s">
        <v>21</v>
      </c>
      <c r="G10602" s="6" t="s">
        <v>1290</v>
      </c>
      <c r="H10602" s="6" t="s">
        <v>1832</v>
      </c>
      <c r="I10602" s="6" t="s">
        <v>31</v>
      </c>
      <c r="J10602" s="6">
        <v>17.084992284603999</v>
      </c>
      <c r="K10602" s="6">
        <v>-97.761621389881</v>
      </c>
      <c r="L10602" s="6" t="str">
        <f>HYPERLINK("https://maps.google.com/?q=17.0849922846037,-97.7616213898811", "🔗 Ver Mapa")</f>
        <v>🔗 Ver Mapa</v>
      </c>
    </row>
    <row r="10603" spans="1:12" ht="43.5" x14ac:dyDescent="0.35">
      <c r="A10603" s="5" t="s">
        <v>98</v>
      </c>
      <c r="B10603" s="5" t="s">
        <v>99</v>
      </c>
      <c r="C10603" s="5" t="s">
        <v>1831</v>
      </c>
      <c r="D10603" s="5" t="s">
        <v>14</v>
      </c>
      <c r="E10603" s="5" t="s">
        <v>16</v>
      </c>
      <c r="F10603" s="5" t="s">
        <v>21</v>
      </c>
      <c r="G10603" s="5" t="s">
        <v>1290</v>
      </c>
      <c r="H10603" s="5" t="s">
        <v>1832</v>
      </c>
      <c r="I10603" s="5" t="s">
        <v>31</v>
      </c>
      <c r="J10603" s="5">
        <v>17.087352513169002</v>
      </c>
      <c r="K10603" s="5">
        <v>-97.762780865081993</v>
      </c>
      <c r="L10603" s="5" t="str">
        <f>HYPERLINK("https://maps.google.com/?q=17.087352513169,-97.762780865081695", "🔗 Ver Mapa")</f>
        <v>🔗 Ver Mapa</v>
      </c>
    </row>
    <row r="10604" spans="1:12" ht="43.5" x14ac:dyDescent="0.35">
      <c r="A10604" s="6" t="s">
        <v>98</v>
      </c>
      <c r="B10604" s="6" t="s">
        <v>99</v>
      </c>
      <c r="C10604" s="6" t="s">
        <v>1833</v>
      </c>
      <c r="D10604" s="6" t="s">
        <v>14</v>
      </c>
      <c r="E10604" s="6" t="s">
        <v>16</v>
      </c>
      <c r="F10604" s="6" t="s">
        <v>21</v>
      </c>
      <c r="G10604" s="6" t="s">
        <v>1290</v>
      </c>
      <c r="H10604" s="6" t="s">
        <v>1819</v>
      </c>
      <c r="I10604" s="6" t="s">
        <v>31</v>
      </c>
      <c r="J10604" s="6">
        <v>17.128355990757999</v>
      </c>
      <c r="K10604" s="6">
        <v>-97.747722644180001</v>
      </c>
      <c r="L10604" s="6" t="str">
        <f>HYPERLINK("https://maps.google.com/?q=17.1283559907577,-97.7477226441802", "🔗 Ver Mapa")</f>
        <v>🔗 Ver Mapa</v>
      </c>
    </row>
    <row r="10605" spans="1:12" ht="43.5" x14ac:dyDescent="0.35">
      <c r="A10605" s="5" t="s">
        <v>98</v>
      </c>
      <c r="B10605" s="5" t="s">
        <v>99</v>
      </c>
      <c r="C10605" s="5" t="s">
        <v>1833</v>
      </c>
      <c r="D10605" s="5" t="s">
        <v>14</v>
      </c>
      <c r="E10605" s="5" t="s">
        <v>16</v>
      </c>
      <c r="F10605" s="5" t="s">
        <v>21</v>
      </c>
      <c r="G10605" s="5" t="s">
        <v>1290</v>
      </c>
      <c r="H10605" s="5" t="s">
        <v>1819</v>
      </c>
      <c r="I10605" s="5" t="s">
        <v>31</v>
      </c>
      <c r="J10605" s="5">
        <v>17.128671273020998</v>
      </c>
      <c r="K10605" s="5">
        <v>-97.746661833526005</v>
      </c>
      <c r="L10605" s="5" t="str">
        <f>HYPERLINK("https://maps.google.com/?q=17.1286712730207,-97.746661833526403", "🔗 Ver Mapa")</f>
        <v>🔗 Ver Mapa</v>
      </c>
    </row>
    <row r="10606" spans="1:12" ht="43.5" x14ac:dyDescent="0.35">
      <c r="A10606" s="6" t="s">
        <v>98</v>
      </c>
      <c r="B10606" s="6" t="s">
        <v>99</v>
      </c>
      <c r="C10606" s="6" t="s">
        <v>1833</v>
      </c>
      <c r="D10606" s="6" t="s">
        <v>14</v>
      </c>
      <c r="E10606" s="6" t="s">
        <v>16</v>
      </c>
      <c r="F10606" s="6" t="s">
        <v>21</v>
      </c>
      <c r="G10606" s="6" t="s">
        <v>1290</v>
      </c>
      <c r="H10606" s="6" t="s">
        <v>1819</v>
      </c>
      <c r="I10606" s="6" t="s">
        <v>31</v>
      </c>
      <c r="J10606" s="6">
        <v>17.128817359039001</v>
      </c>
      <c r="K10606" s="6">
        <v>-97.745642462838006</v>
      </c>
      <c r="L10606" s="6" t="str">
        <f>HYPERLINK("https://maps.google.com/?q=17.1288173590389,-97.745642462838404", "🔗 Ver Mapa")</f>
        <v>🔗 Ver Mapa</v>
      </c>
    </row>
    <row r="10607" spans="1:12" ht="43.5" x14ac:dyDescent="0.35">
      <c r="A10607" s="5" t="s">
        <v>98</v>
      </c>
      <c r="B10607" s="5" t="s">
        <v>99</v>
      </c>
      <c r="C10607" s="5" t="s">
        <v>1833</v>
      </c>
      <c r="D10607" s="5" t="s">
        <v>14</v>
      </c>
      <c r="E10607" s="5" t="s">
        <v>16</v>
      </c>
      <c r="F10607" s="5" t="s">
        <v>21</v>
      </c>
      <c r="G10607" s="5" t="s">
        <v>1290</v>
      </c>
      <c r="H10607" s="5" t="s">
        <v>1819</v>
      </c>
      <c r="I10607" s="5" t="s">
        <v>31</v>
      </c>
      <c r="J10607" s="5">
        <v>17.128916375384001</v>
      </c>
      <c r="K10607" s="5">
        <v>-97.747817601188999</v>
      </c>
      <c r="L10607" s="5" t="str">
        <f>HYPERLINK("https://maps.google.com/?q=17.1289163753844,-97.7478176011887", "🔗 Ver Mapa")</f>
        <v>🔗 Ver Mapa</v>
      </c>
    </row>
    <row r="10608" spans="1:12" ht="43.5" x14ac:dyDescent="0.35">
      <c r="A10608" s="6" t="s">
        <v>98</v>
      </c>
      <c r="B10608" s="6" t="s">
        <v>99</v>
      </c>
      <c r="C10608" s="6" t="s">
        <v>1833</v>
      </c>
      <c r="D10608" s="6" t="s">
        <v>14</v>
      </c>
      <c r="E10608" s="6" t="s">
        <v>16</v>
      </c>
      <c r="F10608" s="6" t="s">
        <v>21</v>
      </c>
      <c r="G10608" s="6" t="s">
        <v>1290</v>
      </c>
      <c r="H10608" s="6" t="s">
        <v>1819</v>
      </c>
      <c r="I10608" s="6" t="s">
        <v>31</v>
      </c>
      <c r="J10608" s="6">
        <v>17.129483266103001</v>
      </c>
      <c r="K10608" s="6">
        <v>-97.746538417791001</v>
      </c>
      <c r="L10608" s="6" t="str">
        <f>HYPERLINK("https://maps.google.com/?q=17.1294832661035,-97.7465384177912", "🔗 Ver Mapa")</f>
        <v>🔗 Ver Mapa</v>
      </c>
    </row>
    <row r="10609" spans="1:12" ht="43.5" x14ac:dyDescent="0.35">
      <c r="A10609" s="5" t="s">
        <v>98</v>
      </c>
      <c r="B10609" s="5" t="s">
        <v>99</v>
      </c>
      <c r="C10609" s="5" t="s">
        <v>1833</v>
      </c>
      <c r="D10609" s="5" t="s">
        <v>14</v>
      </c>
      <c r="E10609" s="5" t="s">
        <v>16</v>
      </c>
      <c r="F10609" s="5" t="s">
        <v>21</v>
      </c>
      <c r="G10609" s="5" t="s">
        <v>1290</v>
      </c>
      <c r="H10609" s="5" t="s">
        <v>1819</v>
      </c>
      <c r="I10609" s="5" t="s">
        <v>31</v>
      </c>
      <c r="J10609" s="5">
        <v>17.130774565902001</v>
      </c>
      <c r="K10609" s="5">
        <v>-97.753099961971003</v>
      </c>
      <c r="L10609" s="5" t="str">
        <f>HYPERLINK("https://maps.google.com/?q=17.1307745659025,-97.753099961971301", "🔗 Ver Mapa")</f>
        <v>🔗 Ver Mapa</v>
      </c>
    </row>
    <row r="10610" spans="1:12" ht="43.5" x14ac:dyDescent="0.35">
      <c r="A10610" s="6" t="s">
        <v>98</v>
      </c>
      <c r="B10610" s="6" t="s">
        <v>99</v>
      </c>
      <c r="C10610" s="6" t="s">
        <v>1833</v>
      </c>
      <c r="D10610" s="6" t="s">
        <v>14</v>
      </c>
      <c r="E10610" s="6" t="s">
        <v>16</v>
      </c>
      <c r="F10610" s="6" t="s">
        <v>21</v>
      </c>
      <c r="G10610" s="6" t="s">
        <v>1290</v>
      </c>
      <c r="H10610" s="6" t="s">
        <v>1819</v>
      </c>
      <c r="I10610" s="6" t="s">
        <v>31</v>
      </c>
      <c r="J10610" s="6">
        <v>17.131100646114</v>
      </c>
      <c r="K10610" s="6">
        <v>-97.753785177910004</v>
      </c>
      <c r="L10610" s="6" t="str">
        <f>HYPERLINK("https://maps.google.com/?q=17.131100646114,-97.753785177909805", "🔗 Ver Mapa")</f>
        <v>🔗 Ver Mapa</v>
      </c>
    </row>
    <row r="10611" spans="1:12" ht="43.5" x14ac:dyDescent="0.35">
      <c r="A10611" s="5" t="s">
        <v>98</v>
      </c>
      <c r="B10611" s="5" t="s">
        <v>99</v>
      </c>
      <c r="C10611" s="5" t="s">
        <v>1833</v>
      </c>
      <c r="D10611" s="5" t="s">
        <v>14</v>
      </c>
      <c r="E10611" s="5" t="s">
        <v>16</v>
      </c>
      <c r="F10611" s="5" t="s">
        <v>21</v>
      </c>
      <c r="G10611" s="5" t="s">
        <v>1290</v>
      </c>
      <c r="H10611" s="5" t="s">
        <v>1819</v>
      </c>
      <c r="I10611" s="5" t="s">
        <v>31</v>
      </c>
      <c r="J10611" s="5">
        <v>17.131586562824999</v>
      </c>
      <c r="K10611" s="5">
        <v>-97.753924765359997</v>
      </c>
      <c r="L10611" s="5" t="str">
        <f>HYPERLINK("https://maps.google.com/?q=17.1315865628247,-97.753924765360296", "🔗 Ver Mapa")</f>
        <v>🔗 Ver Mapa</v>
      </c>
    </row>
    <row r="10612" spans="1:12" ht="43.5" x14ac:dyDescent="0.35">
      <c r="A10612" s="6" t="s">
        <v>98</v>
      </c>
      <c r="B10612" s="6" t="s">
        <v>99</v>
      </c>
      <c r="C10612" s="6" t="s">
        <v>1833</v>
      </c>
      <c r="D10612" s="6" t="s">
        <v>14</v>
      </c>
      <c r="E10612" s="6" t="s">
        <v>16</v>
      </c>
      <c r="F10612" s="6" t="s">
        <v>21</v>
      </c>
      <c r="G10612" s="6" t="s">
        <v>1290</v>
      </c>
      <c r="H10612" s="6" t="s">
        <v>1819</v>
      </c>
      <c r="I10612" s="6" t="s">
        <v>31</v>
      </c>
      <c r="J10612" s="6">
        <v>17.131824725843</v>
      </c>
      <c r="K10612" s="6">
        <v>-97.752232906746002</v>
      </c>
      <c r="L10612" s="6" t="str">
        <f>HYPERLINK("https://maps.google.com/?q=17.1318247258429,-97.752232906745903", "🔗 Ver Mapa")</f>
        <v>🔗 Ver Mapa</v>
      </c>
    </row>
    <row r="10613" spans="1:12" ht="43.5" x14ac:dyDescent="0.35">
      <c r="A10613" s="5" t="s">
        <v>98</v>
      </c>
      <c r="B10613" s="5" t="s">
        <v>99</v>
      </c>
      <c r="C10613" s="5" t="s">
        <v>1833</v>
      </c>
      <c r="D10613" s="5" t="s">
        <v>14</v>
      </c>
      <c r="E10613" s="5" t="s">
        <v>16</v>
      </c>
      <c r="F10613" s="5" t="s">
        <v>21</v>
      </c>
      <c r="G10613" s="5" t="s">
        <v>1290</v>
      </c>
      <c r="H10613" s="5" t="s">
        <v>1819</v>
      </c>
      <c r="I10613" s="5" t="s">
        <v>31</v>
      </c>
      <c r="J10613" s="5">
        <v>17.131913900520999</v>
      </c>
      <c r="K10613" s="5">
        <v>-97.752828137717998</v>
      </c>
      <c r="L10613" s="5" t="str">
        <f>HYPERLINK("https://maps.google.com/?q=17.1319139005209,-97.7528281377177", "🔗 Ver Mapa")</f>
        <v>🔗 Ver Mapa</v>
      </c>
    </row>
    <row r="10614" spans="1:12" ht="43.5" x14ac:dyDescent="0.35">
      <c r="A10614" s="6" t="s">
        <v>98</v>
      </c>
      <c r="B10614" s="6" t="s">
        <v>99</v>
      </c>
      <c r="C10614" s="6" t="s">
        <v>1833</v>
      </c>
      <c r="D10614" s="6" t="s">
        <v>14</v>
      </c>
      <c r="E10614" s="6" t="s">
        <v>16</v>
      </c>
      <c r="F10614" s="6" t="s">
        <v>21</v>
      </c>
      <c r="G10614" s="6" t="s">
        <v>1290</v>
      </c>
      <c r="H10614" s="6" t="s">
        <v>1819</v>
      </c>
      <c r="I10614" s="6" t="s">
        <v>31</v>
      </c>
      <c r="J10614" s="6">
        <v>17.132644228282</v>
      </c>
      <c r="K10614" s="6">
        <v>-97.753063069028997</v>
      </c>
      <c r="L10614" s="6" t="str">
        <f>HYPERLINK("https://maps.google.com/?q=17.132644228282,-97.753063069029494", "🔗 Ver Mapa")</f>
        <v>🔗 Ver Mapa</v>
      </c>
    </row>
    <row r="10615" spans="1:12" ht="43.5" x14ac:dyDescent="0.35">
      <c r="A10615" s="5" t="s">
        <v>98</v>
      </c>
      <c r="B10615" s="5" t="s">
        <v>99</v>
      </c>
      <c r="C10615" s="5" t="s">
        <v>1833</v>
      </c>
      <c r="D10615" s="5" t="s">
        <v>14</v>
      </c>
      <c r="E10615" s="5" t="s">
        <v>16</v>
      </c>
      <c r="F10615" s="5" t="s">
        <v>21</v>
      </c>
      <c r="G10615" s="5" t="s">
        <v>1290</v>
      </c>
      <c r="H10615" s="5" t="s">
        <v>1819</v>
      </c>
      <c r="I10615" s="5" t="s">
        <v>31</v>
      </c>
      <c r="J10615" s="5">
        <v>17.133138921257</v>
      </c>
      <c r="K10615" s="5">
        <v>-97.753768490710002</v>
      </c>
      <c r="L10615" s="5" t="str">
        <f>HYPERLINK("https://maps.google.com/?q=17.1331389212571,-97.7537684907102", "🔗 Ver Mapa")</f>
        <v>🔗 Ver Mapa</v>
      </c>
    </row>
    <row r="10616" spans="1:12" ht="43.5" x14ac:dyDescent="0.35">
      <c r="A10616" s="6" t="s">
        <v>98</v>
      </c>
      <c r="B10616" s="6" t="s">
        <v>99</v>
      </c>
      <c r="C10616" s="6" t="s">
        <v>1833</v>
      </c>
      <c r="D10616" s="6" t="s">
        <v>14</v>
      </c>
      <c r="E10616" s="6" t="s">
        <v>16</v>
      </c>
      <c r="F10616" s="6" t="s">
        <v>21</v>
      </c>
      <c r="G10616" s="6" t="s">
        <v>1290</v>
      </c>
      <c r="H10616" s="6" t="s">
        <v>1819</v>
      </c>
      <c r="I10616" s="6" t="s">
        <v>31</v>
      </c>
      <c r="J10616" s="6">
        <v>17.133358906714999</v>
      </c>
      <c r="K10616" s="6">
        <v>-97.753645452604999</v>
      </c>
      <c r="L10616" s="6" t="str">
        <f>HYPERLINK("https://maps.google.com/?q=17.1333589067151,-97.753645452604701", "🔗 Ver Mapa")</f>
        <v>🔗 Ver Mapa</v>
      </c>
    </row>
    <row r="10617" spans="1:12" ht="43.5" x14ac:dyDescent="0.35">
      <c r="A10617" s="5" t="s">
        <v>98</v>
      </c>
      <c r="B10617" s="5" t="s">
        <v>99</v>
      </c>
      <c r="C10617" s="5" t="s">
        <v>1833</v>
      </c>
      <c r="D10617" s="5" t="s">
        <v>14</v>
      </c>
      <c r="E10617" s="5" t="s">
        <v>16</v>
      </c>
      <c r="F10617" s="5" t="s">
        <v>21</v>
      </c>
      <c r="G10617" s="5" t="s">
        <v>1290</v>
      </c>
      <c r="H10617" s="5" t="s">
        <v>1819</v>
      </c>
      <c r="I10617" s="5" t="s">
        <v>31</v>
      </c>
      <c r="J10617" s="5">
        <v>17.133795090603002</v>
      </c>
      <c r="K10617" s="5">
        <v>-97.759706708984993</v>
      </c>
      <c r="L10617" s="5" t="str">
        <f>HYPERLINK("https://maps.google.com/?q=17.1337950906033,-97.759706708984893", "🔗 Ver Mapa")</f>
        <v>🔗 Ver Mapa</v>
      </c>
    </row>
    <row r="10618" spans="1:12" ht="43.5" x14ac:dyDescent="0.35">
      <c r="A10618" s="6" t="s">
        <v>98</v>
      </c>
      <c r="B10618" s="6" t="s">
        <v>99</v>
      </c>
      <c r="C10618" s="6" t="s">
        <v>1833</v>
      </c>
      <c r="D10618" s="6" t="s">
        <v>14</v>
      </c>
      <c r="E10618" s="6" t="s">
        <v>16</v>
      </c>
      <c r="F10618" s="6" t="s">
        <v>21</v>
      </c>
      <c r="G10618" s="6" t="s">
        <v>1290</v>
      </c>
      <c r="H10618" s="6" t="s">
        <v>1819</v>
      </c>
      <c r="I10618" s="6" t="s">
        <v>31</v>
      </c>
      <c r="J10618" s="6">
        <v>17.134596823694</v>
      </c>
      <c r="K10618" s="6">
        <v>-97.753353647815999</v>
      </c>
      <c r="L10618" s="6" t="str">
        <f>HYPERLINK("https://maps.google.com/?q=17.134596823694,-97.753353647815999", "🔗 Ver Mapa")</f>
        <v>🔗 Ver Mapa</v>
      </c>
    </row>
    <row r="10619" spans="1:12" ht="43.5" x14ac:dyDescent="0.35">
      <c r="A10619" s="5" t="s">
        <v>98</v>
      </c>
      <c r="B10619" s="5" t="s">
        <v>99</v>
      </c>
      <c r="C10619" s="5" t="s">
        <v>1833</v>
      </c>
      <c r="D10619" s="5" t="s">
        <v>14</v>
      </c>
      <c r="E10619" s="5" t="s">
        <v>16</v>
      </c>
      <c r="F10619" s="5" t="s">
        <v>21</v>
      </c>
      <c r="G10619" s="5" t="s">
        <v>1290</v>
      </c>
      <c r="H10619" s="5" t="s">
        <v>1819</v>
      </c>
      <c r="I10619" s="5" t="s">
        <v>31</v>
      </c>
      <c r="J10619" s="5">
        <v>17.135367565839999</v>
      </c>
      <c r="K10619" s="5">
        <v>-97.754353682209995</v>
      </c>
      <c r="L10619" s="5" t="str">
        <f>HYPERLINK("https://maps.google.com/?q=17.1353675658401,-97.754353682209697", "🔗 Ver Mapa")</f>
        <v>🔗 Ver Mapa</v>
      </c>
    </row>
    <row r="10620" spans="1:12" ht="43.5" x14ac:dyDescent="0.35">
      <c r="A10620" s="6" t="s">
        <v>98</v>
      </c>
      <c r="B10620" s="6" t="s">
        <v>99</v>
      </c>
      <c r="C10620" s="6" t="s">
        <v>1833</v>
      </c>
      <c r="D10620" s="6" t="s">
        <v>14</v>
      </c>
      <c r="E10620" s="6" t="s">
        <v>16</v>
      </c>
      <c r="F10620" s="6" t="s">
        <v>21</v>
      </c>
      <c r="G10620" s="6" t="s">
        <v>1290</v>
      </c>
      <c r="H10620" s="6" t="s">
        <v>1819</v>
      </c>
      <c r="I10620" s="6" t="s">
        <v>31</v>
      </c>
      <c r="J10620" s="6">
        <v>17.136347673254999</v>
      </c>
      <c r="K10620" s="6">
        <v>-97.753532084656001</v>
      </c>
      <c r="L10620" s="6" t="str">
        <f>HYPERLINK("https://maps.google.com/?q=17.1363476732554,-97.753532084655802", "🔗 Ver Mapa")</f>
        <v>🔗 Ver Mapa</v>
      </c>
    </row>
    <row r="10621" spans="1:12" ht="43.5" x14ac:dyDescent="0.35">
      <c r="A10621" s="5" t="s">
        <v>98</v>
      </c>
      <c r="B10621" s="5" t="s">
        <v>99</v>
      </c>
      <c r="C10621" s="5" t="s">
        <v>1834</v>
      </c>
      <c r="D10621" s="5" t="s">
        <v>14</v>
      </c>
      <c r="E10621" s="5" t="s">
        <v>16</v>
      </c>
      <c r="F10621" s="5" t="s">
        <v>21</v>
      </c>
      <c r="G10621" s="5" t="s">
        <v>1290</v>
      </c>
      <c r="H10621" s="5" t="s">
        <v>1291</v>
      </c>
      <c r="I10621" s="5" t="s">
        <v>31</v>
      </c>
      <c r="J10621" s="5">
        <v>17.107896418574001</v>
      </c>
      <c r="K10621" s="5">
        <v>-97.784883440000002</v>
      </c>
      <c r="L10621" s="5" t="str">
        <f>HYPERLINK("https://maps.google.com/?q=17.1078964185743,-97.784883440000499", "🔗 Ver Mapa")</f>
        <v>🔗 Ver Mapa</v>
      </c>
    </row>
    <row r="10622" spans="1:12" ht="43.5" x14ac:dyDescent="0.35">
      <c r="A10622" s="6" t="s">
        <v>98</v>
      </c>
      <c r="B10622" s="6" t="s">
        <v>99</v>
      </c>
      <c r="C10622" s="6" t="s">
        <v>1834</v>
      </c>
      <c r="D10622" s="6" t="s">
        <v>14</v>
      </c>
      <c r="E10622" s="6" t="s">
        <v>16</v>
      </c>
      <c r="F10622" s="6" t="s">
        <v>21</v>
      </c>
      <c r="G10622" s="6" t="s">
        <v>1290</v>
      </c>
      <c r="H10622" s="6" t="s">
        <v>1291</v>
      </c>
      <c r="I10622" s="6" t="s">
        <v>31</v>
      </c>
      <c r="J10622" s="6">
        <v>17.110868129199002</v>
      </c>
      <c r="K10622" s="6">
        <v>-97.784852214417995</v>
      </c>
      <c r="L10622" s="6" t="str">
        <f>HYPERLINK("https://maps.google.com/?q=17.1108681291995,-97.784852214418294", "🔗 Ver Mapa")</f>
        <v>🔗 Ver Mapa</v>
      </c>
    </row>
    <row r="10623" spans="1:12" ht="43.5" x14ac:dyDescent="0.35">
      <c r="A10623" s="5" t="s">
        <v>98</v>
      </c>
      <c r="B10623" s="5" t="s">
        <v>99</v>
      </c>
      <c r="C10623" s="5" t="s">
        <v>1834</v>
      </c>
      <c r="D10623" s="5" t="s">
        <v>14</v>
      </c>
      <c r="E10623" s="5" t="s">
        <v>16</v>
      </c>
      <c r="F10623" s="5" t="s">
        <v>21</v>
      </c>
      <c r="G10623" s="5" t="s">
        <v>1290</v>
      </c>
      <c r="H10623" s="5" t="s">
        <v>1291</v>
      </c>
      <c r="I10623" s="5" t="s">
        <v>31</v>
      </c>
      <c r="J10623" s="5">
        <v>17.114678273724</v>
      </c>
      <c r="K10623" s="5">
        <v>-97.780594501085005</v>
      </c>
      <c r="L10623" s="5" t="str">
        <f>HYPERLINK("https://maps.google.com/?q=17.1146782737243,-97.780594501085304", "🔗 Ver Mapa")</f>
        <v>🔗 Ver Mapa</v>
      </c>
    </row>
    <row r="10624" spans="1:12" ht="43.5" x14ac:dyDescent="0.35">
      <c r="A10624" s="6" t="s">
        <v>98</v>
      </c>
      <c r="B10624" s="6" t="s">
        <v>99</v>
      </c>
      <c r="C10624" s="6" t="s">
        <v>1834</v>
      </c>
      <c r="D10624" s="6" t="s">
        <v>14</v>
      </c>
      <c r="E10624" s="6" t="s">
        <v>16</v>
      </c>
      <c r="F10624" s="6" t="s">
        <v>21</v>
      </c>
      <c r="G10624" s="6" t="s">
        <v>1290</v>
      </c>
      <c r="H10624" s="6" t="s">
        <v>1291</v>
      </c>
      <c r="I10624" s="6" t="s">
        <v>31</v>
      </c>
      <c r="J10624" s="6">
        <v>17.114932669256</v>
      </c>
      <c r="K10624" s="6">
        <v>-97.786013771103995</v>
      </c>
      <c r="L10624" s="6" t="str">
        <f>HYPERLINK("https://maps.google.com/?q=17.1149326692561,-97.786013771104294", "🔗 Ver Mapa")</f>
        <v>🔗 Ver Mapa</v>
      </c>
    </row>
    <row r="10625" spans="1:12" ht="43.5" x14ac:dyDescent="0.35">
      <c r="A10625" s="5" t="s">
        <v>98</v>
      </c>
      <c r="B10625" s="5" t="s">
        <v>99</v>
      </c>
      <c r="C10625" s="5" t="s">
        <v>1834</v>
      </c>
      <c r="D10625" s="5" t="s">
        <v>14</v>
      </c>
      <c r="E10625" s="5" t="s">
        <v>16</v>
      </c>
      <c r="F10625" s="5" t="s">
        <v>21</v>
      </c>
      <c r="G10625" s="5" t="s">
        <v>1290</v>
      </c>
      <c r="H10625" s="5" t="s">
        <v>1291</v>
      </c>
      <c r="I10625" s="5" t="s">
        <v>31</v>
      </c>
      <c r="J10625" s="5">
        <v>17.115176695485001</v>
      </c>
      <c r="K10625" s="5">
        <v>-97.790097654324001</v>
      </c>
      <c r="L10625" s="5" t="str">
        <f>HYPERLINK("https://maps.google.com/?q=17.1151766954852,-97.790097654324299", "🔗 Ver Mapa")</f>
        <v>🔗 Ver Mapa</v>
      </c>
    </row>
    <row r="10626" spans="1:12" ht="43.5" x14ac:dyDescent="0.35">
      <c r="A10626" s="6" t="s">
        <v>98</v>
      </c>
      <c r="B10626" s="6" t="s">
        <v>99</v>
      </c>
      <c r="C10626" s="6" t="s">
        <v>1834</v>
      </c>
      <c r="D10626" s="6" t="s">
        <v>14</v>
      </c>
      <c r="E10626" s="6" t="s">
        <v>16</v>
      </c>
      <c r="F10626" s="6" t="s">
        <v>21</v>
      </c>
      <c r="G10626" s="6" t="s">
        <v>1290</v>
      </c>
      <c r="H10626" s="6" t="s">
        <v>1291</v>
      </c>
      <c r="I10626" s="6" t="s">
        <v>31</v>
      </c>
      <c r="J10626" s="6">
        <v>17.115372322687001</v>
      </c>
      <c r="K10626" s="6">
        <v>-97.784517059999999</v>
      </c>
      <c r="L10626" s="6" t="str">
        <f>HYPERLINK("https://maps.google.com/?q=17.1153723226872,-97.784517059999999", "🔗 Ver Mapa")</f>
        <v>🔗 Ver Mapa</v>
      </c>
    </row>
    <row r="10627" spans="1:12" ht="43.5" x14ac:dyDescent="0.35">
      <c r="A10627" s="5" t="s">
        <v>98</v>
      </c>
      <c r="B10627" s="5" t="s">
        <v>99</v>
      </c>
      <c r="C10627" s="5" t="s">
        <v>1834</v>
      </c>
      <c r="D10627" s="5" t="s">
        <v>14</v>
      </c>
      <c r="E10627" s="5" t="s">
        <v>16</v>
      </c>
      <c r="F10627" s="5" t="s">
        <v>21</v>
      </c>
      <c r="G10627" s="5" t="s">
        <v>1290</v>
      </c>
      <c r="H10627" s="5" t="s">
        <v>1291</v>
      </c>
      <c r="I10627" s="5" t="s">
        <v>31</v>
      </c>
      <c r="J10627" s="5">
        <v>17.115739262297001</v>
      </c>
      <c r="K10627" s="5">
        <v>-97.780589139560007</v>
      </c>
      <c r="L10627" s="5" t="str">
        <f>HYPERLINK("https://maps.google.com/?q=17.1157392622967,-97.780589139560007", "🔗 Ver Mapa")</f>
        <v>🔗 Ver Mapa</v>
      </c>
    </row>
    <row r="10628" spans="1:12" ht="43.5" x14ac:dyDescent="0.35">
      <c r="A10628" s="6" t="s">
        <v>98</v>
      </c>
      <c r="B10628" s="6" t="s">
        <v>99</v>
      </c>
      <c r="C10628" s="6" t="s">
        <v>1834</v>
      </c>
      <c r="D10628" s="6" t="s">
        <v>14</v>
      </c>
      <c r="E10628" s="6" t="s">
        <v>16</v>
      </c>
      <c r="F10628" s="6" t="s">
        <v>21</v>
      </c>
      <c r="G10628" s="6" t="s">
        <v>1290</v>
      </c>
      <c r="H10628" s="6" t="s">
        <v>1291</v>
      </c>
      <c r="I10628" s="6" t="s">
        <v>31</v>
      </c>
      <c r="J10628" s="6">
        <v>17.116325687208001</v>
      </c>
      <c r="K10628" s="6">
        <v>-97.790487841401998</v>
      </c>
      <c r="L10628" s="6" t="str">
        <f>HYPERLINK("https://maps.google.com/?q=17.1163256872077,-97.790487841402097", "🔗 Ver Mapa")</f>
        <v>🔗 Ver Mapa</v>
      </c>
    </row>
    <row r="10629" spans="1:12" ht="43.5" x14ac:dyDescent="0.35">
      <c r="A10629" s="5" t="s">
        <v>98</v>
      </c>
      <c r="B10629" s="5" t="s">
        <v>99</v>
      </c>
      <c r="C10629" s="5" t="s">
        <v>1834</v>
      </c>
      <c r="D10629" s="5" t="s">
        <v>14</v>
      </c>
      <c r="E10629" s="5" t="s">
        <v>16</v>
      </c>
      <c r="F10629" s="5" t="s">
        <v>21</v>
      </c>
      <c r="G10629" s="5" t="s">
        <v>1290</v>
      </c>
      <c r="H10629" s="5" t="s">
        <v>1291</v>
      </c>
      <c r="I10629" s="5" t="s">
        <v>31</v>
      </c>
      <c r="J10629" s="5">
        <v>17.117215960949999</v>
      </c>
      <c r="K10629" s="5">
        <v>-97.780637858727999</v>
      </c>
      <c r="L10629" s="5" t="str">
        <f>HYPERLINK("https://maps.google.com/?q=17.1172159609505,-97.7806378587278", "🔗 Ver Mapa")</f>
        <v>🔗 Ver Mapa</v>
      </c>
    </row>
    <row r="10630" spans="1:12" ht="43.5" x14ac:dyDescent="0.35">
      <c r="A10630" s="6" t="s">
        <v>98</v>
      </c>
      <c r="B10630" s="6" t="s">
        <v>99</v>
      </c>
      <c r="C10630" s="6" t="s">
        <v>1834</v>
      </c>
      <c r="D10630" s="6" t="s">
        <v>14</v>
      </c>
      <c r="E10630" s="6" t="s">
        <v>16</v>
      </c>
      <c r="F10630" s="6" t="s">
        <v>21</v>
      </c>
      <c r="G10630" s="6" t="s">
        <v>1290</v>
      </c>
      <c r="H10630" s="6" t="s">
        <v>1291</v>
      </c>
      <c r="I10630" s="6" t="s">
        <v>31</v>
      </c>
      <c r="J10630" s="6">
        <v>17.117818635905</v>
      </c>
      <c r="K10630" s="6">
        <v>-97.778864707791001</v>
      </c>
      <c r="L10630" s="6" t="str">
        <f>HYPERLINK("https://maps.google.com/?q=17.1178186359052,-97.778864707791001", "🔗 Ver Mapa")</f>
        <v>🔗 Ver Mapa</v>
      </c>
    </row>
    <row r="10631" spans="1:12" ht="43.5" x14ac:dyDescent="0.35">
      <c r="A10631" s="5" t="s">
        <v>98</v>
      </c>
      <c r="B10631" s="5" t="s">
        <v>99</v>
      </c>
      <c r="C10631" s="5" t="s">
        <v>1834</v>
      </c>
      <c r="D10631" s="5" t="s">
        <v>14</v>
      </c>
      <c r="E10631" s="5" t="s">
        <v>16</v>
      </c>
      <c r="F10631" s="5" t="s">
        <v>21</v>
      </c>
      <c r="G10631" s="5" t="s">
        <v>1290</v>
      </c>
      <c r="H10631" s="5" t="s">
        <v>1291</v>
      </c>
      <c r="I10631" s="5" t="s">
        <v>31</v>
      </c>
      <c r="J10631" s="5">
        <v>17.118127579300999</v>
      </c>
      <c r="K10631" s="5">
        <v>-97.787386569999995</v>
      </c>
      <c r="L10631" s="5" t="str">
        <f>HYPERLINK("https://maps.google.com/?q=17.1181275793006,-97.787386570000095", "🔗 Ver Mapa")</f>
        <v>🔗 Ver Mapa</v>
      </c>
    </row>
    <row r="10632" spans="1:12" ht="43.5" x14ac:dyDescent="0.35">
      <c r="A10632" s="6" t="s">
        <v>98</v>
      </c>
      <c r="B10632" s="6" t="s">
        <v>99</v>
      </c>
      <c r="C10632" s="6" t="s">
        <v>1834</v>
      </c>
      <c r="D10632" s="6" t="s">
        <v>14</v>
      </c>
      <c r="E10632" s="6" t="s">
        <v>16</v>
      </c>
      <c r="F10632" s="6" t="s">
        <v>21</v>
      </c>
      <c r="G10632" s="6" t="s">
        <v>1290</v>
      </c>
      <c r="H10632" s="6" t="s">
        <v>1291</v>
      </c>
      <c r="I10632" s="6" t="s">
        <v>31</v>
      </c>
      <c r="J10632" s="6">
        <v>17.118238340954001</v>
      </c>
      <c r="K10632" s="6">
        <v>-97.783141897861</v>
      </c>
      <c r="L10632" s="6" t="str">
        <f>HYPERLINK("https://maps.google.com/?q=17.1182383409545,-97.783141897861498", "🔗 Ver Mapa")</f>
        <v>🔗 Ver Mapa</v>
      </c>
    </row>
    <row r="10633" spans="1:12" ht="43.5" x14ac:dyDescent="0.35">
      <c r="A10633" s="5" t="s">
        <v>98</v>
      </c>
      <c r="B10633" s="5" t="s">
        <v>99</v>
      </c>
      <c r="C10633" s="5" t="s">
        <v>1834</v>
      </c>
      <c r="D10633" s="5" t="s">
        <v>14</v>
      </c>
      <c r="E10633" s="5" t="s">
        <v>16</v>
      </c>
      <c r="F10633" s="5" t="s">
        <v>21</v>
      </c>
      <c r="G10633" s="5" t="s">
        <v>1290</v>
      </c>
      <c r="H10633" s="5" t="s">
        <v>1291</v>
      </c>
      <c r="I10633" s="5" t="s">
        <v>31</v>
      </c>
      <c r="J10633" s="5">
        <v>17.118311955437001</v>
      </c>
      <c r="K10633" s="5">
        <v>-97.779865076289994</v>
      </c>
      <c r="L10633" s="5" t="str">
        <f>HYPERLINK("https://maps.google.com/?q=17.1183119554369,-97.779865076290406", "🔗 Ver Mapa")</f>
        <v>🔗 Ver Mapa</v>
      </c>
    </row>
    <row r="10634" spans="1:12" ht="43.5" x14ac:dyDescent="0.35">
      <c r="A10634" s="6" t="s">
        <v>98</v>
      </c>
      <c r="B10634" s="6" t="s">
        <v>99</v>
      </c>
      <c r="C10634" s="6" t="s">
        <v>1834</v>
      </c>
      <c r="D10634" s="6" t="s">
        <v>14</v>
      </c>
      <c r="E10634" s="6" t="s">
        <v>16</v>
      </c>
      <c r="F10634" s="6" t="s">
        <v>21</v>
      </c>
      <c r="G10634" s="6" t="s">
        <v>1290</v>
      </c>
      <c r="H10634" s="6" t="s">
        <v>1291</v>
      </c>
      <c r="I10634" s="6" t="s">
        <v>31</v>
      </c>
      <c r="J10634" s="6">
        <v>17.118549072688001</v>
      </c>
      <c r="K10634" s="6">
        <v>-97.799034607791995</v>
      </c>
      <c r="L10634" s="6" t="str">
        <f>HYPERLINK("https://maps.google.com/?q=17.1185490726877,-97.799034607791697", "🔗 Ver Mapa")</f>
        <v>🔗 Ver Mapa</v>
      </c>
    </row>
    <row r="10635" spans="1:12" ht="43.5" x14ac:dyDescent="0.35">
      <c r="A10635" s="5" t="s">
        <v>98</v>
      </c>
      <c r="B10635" s="5" t="s">
        <v>99</v>
      </c>
      <c r="C10635" s="5" t="s">
        <v>1834</v>
      </c>
      <c r="D10635" s="5" t="s">
        <v>14</v>
      </c>
      <c r="E10635" s="5" t="s">
        <v>16</v>
      </c>
      <c r="F10635" s="5" t="s">
        <v>21</v>
      </c>
      <c r="G10635" s="5" t="s">
        <v>1290</v>
      </c>
      <c r="H10635" s="5" t="s">
        <v>1291</v>
      </c>
      <c r="I10635" s="5" t="s">
        <v>31</v>
      </c>
      <c r="J10635" s="5">
        <v>17.118753958595001</v>
      </c>
      <c r="K10635" s="5">
        <v>-97.781696568876001</v>
      </c>
      <c r="L10635" s="5" t="str">
        <f>HYPERLINK("https://maps.google.com/?q=17.1187539585949,-97.781696568876498", "🔗 Ver Mapa")</f>
        <v>🔗 Ver Mapa</v>
      </c>
    </row>
    <row r="10636" spans="1:12" ht="43.5" x14ac:dyDescent="0.35">
      <c r="A10636" s="6" t="s">
        <v>98</v>
      </c>
      <c r="B10636" s="6" t="s">
        <v>99</v>
      </c>
      <c r="C10636" s="6" t="s">
        <v>1834</v>
      </c>
      <c r="D10636" s="6" t="s">
        <v>14</v>
      </c>
      <c r="E10636" s="6" t="s">
        <v>16</v>
      </c>
      <c r="F10636" s="6" t="s">
        <v>21</v>
      </c>
      <c r="G10636" s="6" t="s">
        <v>1290</v>
      </c>
      <c r="H10636" s="6" t="s">
        <v>1291</v>
      </c>
      <c r="I10636" s="6" t="s">
        <v>31</v>
      </c>
      <c r="J10636" s="6">
        <v>17.119328185947001</v>
      </c>
      <c r="K10636" s="6">
        <v>-97.784023340000005</v>
      </c>
      <c r="L10636" s="6" t="str">
        <f>HYPERLINK("https://maps.google.com/?q=17.1193281859471,-97.784023340000005", "🔗 Ver Mapa")</f>
        <v>🔗 Ver Mapa</v>
      </c>
    </row>
    <row r="10637" spans="1:12" ht="43.5" x14ac:dyDescent="0.35">
      <c r="A10637" s="5" t="s">
        <v>98</v>
      </c>
      <c r="B10637" s="5" t="s">
        <v>99</v>
      </c>
      <c r="C10637" s="5" t="s">
        <v>1834</v>
      </c>
      <c r="D10637" s="5" t="s">
        <v>14</v>
      </c>
      <c r="E10637" s="5" t="s">
        <v>16</v>
      </c>
      <c r="F10637" s="5" t="s">
        <v>21</v>
      </c>
      <c r="G10637" s="5" t="s">
        <v>1290</v>
      </c>
      <c r="H10637" s="5" t="s">
        <v>1291</v>
      </c>
      <c r="I10637" s="5" t="s">
        <v>31</v>
      </c>
      <c r="J10637" s="5">
        <v>17.119433289319002</v>
      </c>
      <c r="K10637" s="5">
        <v>-97.784908470000005</v>
      </c>
      <c r="L10637" s="5" t="str">
        <f>HYPERLINK("https://maps.google.com/?q=17.1194332893189,-97.784908470000005", "🔗 Ver Mapa")</f>
        <v>🔗 Ver Mapa</v>
      </c>
    </row>
    <row r="10638" spans="1:12" ht="43.5" x14ac:dyDescent="0.35">
      <c r="A10638" s="6" t="s">
        <v>98</v>
      </c>
      <c r="B10638" s="6" t="s">
        <v>99</v>
      </c>
      <c r="C10638" s="6" t="s">
        <v>1834</v>
      </c>
      <c r="D10638" s="6" t="s">
        <v>14</v>
      </c>
      <c r="E10638" s="6" t="s">
        <v>16</v>
      </c>
      <c r="F10638" s="6" t="s">
        <v>21</v>
      </c>
      <c r="G10638" s="6" t="s">
        <v>1290</v>
      </c>
      <c r="H10638" s="6" t="s">
        <v>1291</v>
      </c>
      <c r="I10638" s="6" t="s">
        <v>31</v>
      </c>
      <c r="J10638" s="6">
        <v>17.119469409318999</v>
      </c>
      <c r="K10638" s="6">
        <v>-97.790208158894998</v>
      </c>
      <c r="L10638" s="6" t="str">
        <f>HYPERLINK("https://maps.google.com/?q=17.1194694093194,-97.790208158895496", "🔗 Ver Mapa")</f>
        <v>🔗 Ver Mapa</v>
      </c>
    </row>
    <row r="10639" spans="1:12" ht="43.5" x14ac:dyDescent="0.35">
      <c r="A10639" s="5" t="s">
        <v>98</v>
      </c>
      <c r="B10639" s="5" t="s">
        <v>99</v>
      </c>
      <c r="C10639" s="5" t="s">
        <v>1834</v>
      </c>
      <c r="D10639" s="5" t="s">
        <v>14</v>
      </c>
      <c r="E10639" s="5" t="s">
        <v>16</v>
      </c>
      <c r="F10639" s="5" t="s">
        <v>21</v>
      </c>
      <c r="G10639" s="5" t="s">
        <v>1290</v>
      </c>
      <c r="H10639" s="5" t="s">
        <v>1291</v>
      </c>
      <c r="I10639" s="5" t="s">
        <v>31</v>
      </c>
      <c r="J10639" s="5">
        <v>17.119657588700001</v>
      </c>
      <c r="K10639" s="5">
        <v>-97.782992966145997</v>
      </c>
      <c r="L10639" s="5" t="str">
        <f>HYPERLINK("https://maps.google.com/?q=17.1196575886996,-97.782992966146494", "🔗 Ver Mapa")</f>
        <v>🔗 Ver Mapa</v>
      </c>
    </row>
    <row r="10640" spans="1:12" ht="43.5" x14ac:dyDescent="0.35">
      <c r="A10640" s="6" t="s">
        <v>98</v>
      </c>
      <c r="B10640" s="6" t="s">
        <v>99</v>
      </c>
      <c r="C10640" s="6" t="s">
        <v>1834</v>
      </c>
      <c r="D10640" s="6" t="s">
        <v>14</v>
      </c>
      <c r="E10640" s="6" t="s">
        <v>16</v>
      </c>
      <c r="F10640" s="6" t="s">
        <v>21</v>
      </c>
      <c r="G10640" s="6" t="s">
        <v>1290</v>
      </c>
      <c r="H10640" s="6" t="s">
        <v>1291</v>
      </c>
      <c r="I10640" s="6" t="s">
        <v>31</v>
      </c>
      <c r="J10640" s="6">
        <v>17.119770772688</v>
      </c>
      <c r="K10640" s="6">
        <v>-97.779872167790998</v>
      </c>
      <c r="L10640" s="6" t="str">
        <f>HYPERLINK("https://maps.google.com/?q=17.1197707726879,-97.7798721677907", "🔗 Ver Mapa")</f>
        <v>🔗 Ver Mapa</v>
      </c>
    </row>
    <row r="10641" spans="1:12" ht="43.5" x14ac:dyDescent="0.35">
      <c r="A10641" s="5" t="s">
        <v>98</v>
      </c>
      <c r="B10641" s="5" t="s">
        <v>99</v>
      </c>
      <c r="C10641" s="5" t="s">
        <v>1834</v>
      </c>
      <c r="D10641" s="5" t="s">
        <v>14</v>
      </c>
      <c r="E10641" s="5" t="s">
        <v>16</v>
      </c>
      <c r="F10641" s="5" t="s">
        <v>21</v>
      </c>
      <c r="G10641" s="5" t="s">
        <v>1290</v>
      </c>
      <c r="H10641" s="5" t="s">
        <v>1291</v>
      </c>
      <c r="I10641" s="5" t="s">
        <v>31</v>
      </c>
      <c r="J10641" s="5">
        <v>17.119849633105002</v>
      </c>
      <c r="K10641" s="5">
        <v>-97.785321839999995</v>
      </c>
      <c r="L10641" s="5" t="str">
        <f>HYPERLINK("https://maps.google.com/?q=17.1198496331054,-97.785321839999995", "🔗 Ver Mapa")</f>
        <v>🔗 Ver Mapa</v>
      </c>
    </row>
    <row r="10642" spans="1:12" ht="43.5" x14ac:dyDescent="0.35">
      <c r="A10642" s="6" t="s">
        <v>98</v>
      </c>
      <c r="B10642" s="6" t="s">
        <v>99</v>
      </c>
      <c r="C10642" s="6" t="s">
        <v>1834</v>
      </c>
      <c r="D10642" s="6" t="s">
        <v>14</v>
      </c>
      <c r="E10642" s="6" t="s">
        <v>16</v>
      </c>
      <c r="F10642" s="6" t="s">
        <v>21</v>
      </c>
      <c r="G10642" s="6" t="s">
        <v>1290</v>
      </c>
      <c r="H10642" s="6" t="s">
        <v>1291</v>
      </c>
      <c r="I10642" s="6" t="s">
        <v>31</v>
      </c>
      <c r="J10642" s="6">
        <v>17.120165128753001</v>
      </c>
      <c r="K10642" s="6">
        <v>-97.788999645331003</v>
      </c>
      <c r="L10642" s="6" t="str">
        <f>HYPERLINK("https://maps.google.com/?q=17.1201651287531,-97.788999645331302", "🔗 Ver Mapa")</f>
        <v>🔗 Ver Mapa</v>
      </c>
    </row>
    <row r="10643" spans="1:12" ht="43.5" x14ac:dyDescent="0.35">
      <c r="A10643" s="5" t="s">
        <v>98</v>
      </c>
      <c r="B10643" s="5" t="s">
        <v>99</v>
      </c>
      <c r="C10643" s="5" t="s">
        <v>1834</v>
      </c>
      <c r="D10643" s="5" t="s">
        <v>14</v>
      </c>
      <c r="E10643" s="5" t="s">
        <v>16</v>
      </c>
      <c r="F10643" s="5" t="s">
        <v>21</v>
      </c>
      <c r="G10643" s="5" t="s">
        <v>1290</v>
      </c>
      <c r="H10643" s="5" t="s">
        <v>1291</v>
      </c>
      <c r="I10643" s="5" t="s">
        <v>31</v>
      </c>
      <c r="J10643" s="5">
        <v>17.120206351248001</v>
      </c>
      <c r="K10643" s="5">
        <v>-97.785115460504997</v>
      </c>
      <c r="L10643" s="5" t="str">
        <f>HYPERLINK("https://maps.google.com/?q=17.1202063512479,-97.785115460505097", "🔗 Ver Mapa")</f>
        <v>🔗 Ver Mapa</v>
      </c>
    </row>
    <row r="10644" spans="1:12" ht="43.5" x14ac:dyDescent="0.35">
      <c r="A10644" s="6" t="s">
        <v>98</v>
      </c>
      <c r="B10644" s="6" t="s">
        <v>99</v>
      </c>
      <c r="C10644" s="6" t="s">
        <v>1834</v>
      </c>
      <c r="D10644" s="6" t="s">
        <v>14</v>
      </c>
      <c r="E10644" s="6" t="s">
        <v>16</v>
      </c>
      <c r="F10644" s="6" t="s">
        <v>21</v>
      </c>
      <c r="G10644" s="6" t="s">
        <v>1290</v>
      </c>
      <c r="H10644" s="6" t="s">
        <v>1291</v>
      </c>
      <c r="I10644" s="6" t="s">
        <v>31</v>
      </c>
      <c r="J10644" s="6">
        <v>17.120663778484001</v>
      </c>
      <c r="K10644" s="6">
        <v>-97.784133155320006</v>
      </c>
      <c r="L10644" s="6" t="str">
        <f>HYPERLINK("https://maps.google.com/?q=17.1206637784837,-97.784133155319793", "🔗 Ver Mapa")</f>
        <v>🔗 Ver Mapa</v>
      </c>
    </row>
    <row r="10645" spans="1:12" ht="43.5" x14ac:dyDescent="0.35">
      <c r="A10645" s="5" t="s">
        <v>98</v>
      </c>
      <c r="B10645" s="5" t="s">
        <v>99</v>
      </c>
      <c r="C10645" s="5" t="s">
        <v>1834</v>
      </c>
      <c r="D10645" s="5" t="s">
        <v>14</v>
      </c>
      <c r="E10645" s="5" t="s">
        <v>16</v>
      </c>
      <c r="F10645" s="5" t="s">
        <v>21</v>
      </c>
      <c r="G10645" s="5" t="s">
        <v>1290</v>
      </c>
      <c r="H10645" s="5" t="s">
        <v>1291</v>
      </c>
      <c r="I10645" s="5" t="s">
        <v>31</v>
      </c>
      <c r="J10645" s="5">
        <v>17.120799060963002</v>
      </c>
      <c r="K10645" s="5">
        <v>-97.783251530000001</v>
      </c>
      <c r="L10645" s="5" t="str">
        <f>HYPERLINK("https://maps.google.com/?q=17.1207990609628,-97.783251530000001", "🔗 Ver Mapa")</f>
        <v>🔗 Ver Mapa</v>
      </c>
    </row>
    <row r="10646" spans="1:12" ht="43.5" x14ac:dyDescent="0.35">
      <c r="A10646" s="6" t="s">
        <v>98</v>
      </c>
      <c r="B10646" s="6" t="s">
        <v>99</v>
      </c>
      <c r="C10646" s="6" t="s">
        <v>1834</v>
      </c>
      <c r="D10646" s="6" t="s">
        <v>14</v>
      </c>
      <c r="E10646" s="6" t="s">
        <v>16</v>
      </c>
      <c r="F10646" s="6" t="s">
        <v>21</v>
      </c>
      <c r="G10646" s="6" t="s">
        <v>1290</v>
      </c>
      <c r="H10646" s="6" t="s">
        <v>1291</v>
      </c>
      <c r="I10646" s="6" t="s">
        <v>31</v>
      </c>
      <c r="J10646" s="6">
        <v>17.120878753483002</v>
      </c>
      <c r="K10646" s="6">
        <v>-97.784696311714995</v>
      </c>
      <c r="L10646" s="6" t="str">
        <f>HYPERLINK("https://maps.google.com/?q=17.1208787534831,-97.784696311714995", "🔗 Ver Mapa")</f>
        <v>🔗 Ver Mapa</v>
      </c>
    </row>
    <row r="10647" spans="1:12" ht="43.5" x14ac:dyDescent="0.35">
      <c r="A10647" s="5" t="s">
        <v>98</v>
      </c>
      <c r="B10647" s="5" t="s">
        <v>99</v>
      </c>
      <c r="C10647" s="5" t="s">
        <v>1834</v>
      </c>
      <c r="D10647" s="5" t="s">
        <v>14</v>
      </c>
      <c r="E10647" s="5" t="s">
        <v>16</v>
      </c>
      <c r="F10647" s="5" t="s">
        <v>21</v>
      </c>
      <c r="G10647" s="5" t="s">
        <v>1290</v>
      </c>
      <c r="H10647" s="5" t="s">
        <v>1291</v>
      </c>
      <c r="I10647" s="5" t="s">
        <v>31</v>
      </c>
      <c r="J10647" s="5">
        <v>17.121013559341002</v>
      </c>
      <c r="K10647" s="5">
        <v>-97.782290856686004</v>
      </c>
      <c r="L10647" s="5" t="str">
        <f>HYPERLINK("https://maps.google.com/?q=17.121013559341,-97.782290856686302", "🔗 Ver Mapa")</f>
        <v>🔗 Ver Mapa</v>
      </c>
    </row>
    <row r="10648" spans="1:12" ht="43.5" x14ac:dyDescent="0.35">
      <c r="A10648" s="6" t="s">
        <v>98</v>
      </c>
      <c r="B10648" s="6" t="s">
        <v>99</v>
      </c>
      <c r="C10648" s="6" t="s">
        <v>1834</v>
      </c>
      <c r="D10648" s="6" t="s">
        <v>14</v>
      </c>
      <c r="E10648" s="6" t="s">
        <v>16</v>
      </c>
      <c r="F10648" s="6" t="s">
        <v>21</v>
      </c>
      <c r="G10648" s="6" t="s">
        <v>1290</v>
      </c>
      <c r="H10648" s="6" t="s">
        <v>1291</v>
      </c>
      <c r="I10648" s="6" t="s">
        <v>31</v>
      </c>
      <c r="J10648" s="6">
        <v>17.121225069312</v>
      </c>
      <c r="K10648" s="6">
        <v>-97.779902937789998</v>
      </c>
      <c r="L10648" s="6" t="str">
        <f>HYPERLINK("https://maps.google.com/?q=17.1212250693117,-97.779902937790197", "🔗 Ver Mapa")</f>
        <v>🔗 Ver Mapa</v>
      </c>
    </row>
    <row r="10649" spans="1:12" ht="43.5" x14ac:dyDescent="0.35">
      <c r="A10649" s="5" t="s">
        <v>98</v>
      </c>
      <c r="B10649" s="5" t="s">
        <v>99</v>
      </c>
      <c r="C10649" s="5" t="s">
        <v>1834</v>
      </c>
      <c r="D10649" s="5" t="s">
        <v>14</v>
      </c>
      <c r="E10649" s="5" t="s">
        <v>16</v>
      </c>
      <c r="F10649" s="5" t="s">
        <v>21</v>
      </c>
      <c r="G10649" s="5" t="s">
        <v>1290</v>
      </c>
      <c r="H10649" s="5" t="s">
        <v>1291</v>
      </c>
      <c r="I10649" s="5" t="s">
        <v>31</v>
      </c>
      <c r="J10649" s="5">
        <v>17.121412839346998</v>
      </c>
      <c r="K10649" s="5">
        <v>-97.781763121105001</v>
      </c>
      <c r="L10649" s="5" t="str">
        <f>HYPERLINK("https://maps.google.com/?q=17.1214128393465,-97.781763121104504", "🔗 Ver Mapa")</f>
        <v>🔗 Ver Mapa</v>
      </c>
    </row>
    <row r="10650" spans="1:12" ht="43.5" x14ac:dyDescent="0.35">
      <c r="A10650" s="6" t="s">
        <v>98</v>
      </c>
      <c r="B10650" s="6" t="s">
        <v>99</v>
      </c>
      <c r="C10650" s="6" t="s">
        <v>1834</v>
      </c>
      <c r="D10650" s="6" t="s">
        <v>14</v>
      </c>
      <c r="E10650" s="6" t="s">
        <v>16</v>
      </c>
      <c r="F10650" s="6" t="s">
        <v>21</v>
      </c>
      <c r="G10650" s="6" t="s">
        <v>1290</v>
      </c>
      <c r="H10650" s="6" t="s">
        <v>1291</v>
      </c>
      <c r="I10650" s="6" t="s">
        <v>31</v>
      </c>
      <c r="J10650" s="6">
        <v>17.121436558024001</v>
      </c>
      <c r="K10650" s="6">
        <v>-97.787075545072994</v>
      </c>
      <c r="L10650" s="6" t="str">
        <f>HYPERLINK("https://maps.google.com/?q=17.1214365580242,-97.787075545072895", "🔗 Ver Mapa")</f>
        <v>🔗 Ver Mapa</v>
      </c>
    </row>
    <row r="10651" spans="1:12" ht="43.5" x14ac:dyDescent="0.35">
      <c r="A10651" s="5" t="s">
        <v>98</v>
      </c>
      <c r="B10651" s="5" t="s">
        <v>99</v>
      </c>
      <c r="C10651" s="5" t="s">
        <v>1834</v>
      </c>
      <c r="D10651" s="5" t="s">
        <v>14</v>
      </c>
      <c r="E10651" s="5" t="s">
        <v>16</v>
      </c>
      <c r="F10651" s="5" t="s">
        <v>21</v>
      </c>
      <c r="G10651" s="5" t="s">
        <v>1290</v>
      </c>
      <c r="H10651" s="5" t="s">
        <v>1291</v>
      </c>
      <c r="I10651" s="5" t="s">
        <v>31</v>
      </c>
      <c r="J10651" s="5">
        <v>17.121597089348999</v>
      </c>
      <c r="K10651" s="5">
        <v>-97.789678670000001</v>
      </c>
      <c r="L10651" s="5" t="str">
        <f>HYPERLINK("https://maps.google.com/?q=17.121597089349,-97.789678670000399", "🔗 Ver Mapa")</f>
        <v>🔗 Ver Mapa</v>
      </c>
    </row>
    <row r="10652" spans="1:12" ht="43.5" x14ac:dyDescent="0.35">
      <c r="A10652" s="6" t="s">
        <v>98</v>
      </c>
      <c r="B10652" s="6" t="s">
        <v>99</v>
      </c>
      <c r="C10652" s="6" t="s">
        <v>1834</v>
      </c>
      <c r="D10652" s="6" t="s">
        <v>14</v>
      </c>
      <c r="E10652" s="6" t="s">
        <v>16</v>
      </c>
      <c r="F10652" s="6" t="s">
        <v>21</v>
      </c>
      <c r="G10652" s="6" t="s">
        <v>1290</v>
      </c>
      <c r="H10652" s="6" t="s">
        <v>1291</v>
      </c>
      <c r="I10652" s="6" t="s">
        <v>31</v>
      </c>
      <c r="J10652" s="6">
        <v>17.12165525935</v>
      </c>
      <c r="K10652" s="6">
        <v>-97.799166742208001</v>
      </c>
      <c r="L10652" s="6" t="str">
        <f>HYPERLINK("https://maps.google.com/?q=17.1216552593497,-97.799166742208499", "🔗 Ver Mapa")</f>
        <v>🔗 Ver Mapa</v>
      </c>
    </row>
    <row r="10653" spans="1:12" ht="43.5" x14ac:dyDescent="0.35">
      <c r="A10653" s="5" t="s">
        <v>98</v>
      </c>
      <c r="B10653" s="5" t="s">
        <v>99</v>
      </c>
      <c r="C10653" s="5" t="s">
        <v>1834</v>
      </c>
      <c r="D10653" s="5" t="s">
        <v>14</v>
      </c>
      <c r="E10653" s="5" t="s">
        <v>16</v>
      </c>
      <c r="F10653" s="5" t="s">
        <v>21</v>
      </c>
      <c r="G10653" s="5" t="s">
        <v>1290</v>
      </c>
      <c r="H10653" s="5" t="s">
        <v>1291</v>
      </c>
      <c r="I10653" s="5" t="s">
        <v>31</v>
      </c>
      <c r="J10653" s="5">
        <v>17.122546682688</v>
      </c>
      <c r="K10653" s="5">
        <v>-97.783866892209005</v>
      </c>
      <c r="L10653" s="5" t="str">
        <f>HYPERLINK("https://maps.google.com/?q=17.1225466826884,-97.783866892209005", "🔗 Ver Mapa")</f>
        <v>🔗 Ver Mapa</v>
      </c>
    </row>
    <row r="10654" spans="1:12" ht="43.5" x14ac:dyDescent="0.35">
      <c r="A10654" s="6" t="s">
        <v>98</v>
      </c>
      <c r="B10654" s="6" t="s">
        <v>99</v>
      </c>
      <c r="C10654" s="6" t="s">
        <v>1834</v>
      </c>
      <c r="D10654" s="6" t="s">
        <v>14</v>
      </c>
      <c r="E10654" s="6" t="s">
        <v>16</v>
      </c>
      <c r="F10654" s="6" t="s">
        <v>21</v>
      </c>
      <c r="G10654" s="6" t="s">
        <v>1290</v>
      </c>
      <c r="H10654" s="6" t="s">
        <v>1291</v>
      </c>
      <c r="I10654" s="6" t="s">
        <v>31</v>
      </c>
      <c r="J10654" s="6">
        <v>17.123260627743999</v>
      </c>
      <c r="K10654" s="6">
        <v>-97.779729375393998</v>
      </c>
      <c r="L10654" s="6" t="str">
        <f>HYPERLINK("https://maps.google.com/?q=17.1232606277435,-97.779729375393998", "🔗 Ver Mapa")</f>
        <v>🔗 Ver Mapa</v>
      </c>
    </row>
    <row r="10655" spans="1:12" ht="43.5" x14ac:dyDescent="0.35">
      <c r="A10655" s="5" t="s">
        <v>98</v>
      </c>
      <c r="B10655" s="5" t="s">
        <v>99</v>
      </c>
      <c r="C10655" s="5" t="s">
        <v>1834</v>
      </c>
      <c r="D10655" s="5" t="s">
        <v>14</v>
      </c>
      <c r="E10655" s="5" t="s">
        <v>16</v>
      </c>
      <c r="F10655" s="5" t="s">
        <v>21</v>
      </c>
      <c r="G10655" s="5" t="s">
        <v>1290</v>
      </c>
      <c r="H10655" s="5" t="s">
        <v>1291</v>
      </c>
      <c r="I10655" s="5" t="s">
        <v>31</v>
      </c>
      <c r="J10655" s="5">
        <v>17.123461586695001</v>
      </c>
      <c r="K10655" s="5">
        <v>-97.789040263174996</v>
      </c>
      <c r="L10655" s="5" t="str">
        <f>HYPERLINK("https://maps.google.com/?q=17.1234615866947,-97.789040263175096", "🔗 Ver Mapa")</f>
        <v>🔗 Ver Mapa</v>
      </c>
    </row>
    <row r="10656" spans="1:12" ht="43.5" x14ac:dyDescent="0.35">
      <c r="A10656" s="6" t="s">
        <v>98</v>
      </c>
      <c r="B10656" s="6" t="s">
        <v>99</v>
      </c>
      <c r="C10656" s="6" t="s">
        <v>1834</v>
      </c>
      <c r="D10656" s="6" t="s">
        <v>14</v>
      </c>
      <c r="E10656" s="6" t="s">
        <v>16</v>
      </c>
      <c r="F10656" s="6" t="s">
        <v>21</v>
      </c>
      <c r="G10656" s="6" t="s">
        <v>1290</v>
      </c>
      <c r="H10656" s="6" t="s">
        <v>1291</v>
      </c>
      <c r="I10656" s="6" t="s">
        <v>31</v>
      </c>
      <c r="J10656" s="6">
        <v>17.123511379888999</v>
      </c>
      <c r="K10656" s="6">
        <v>-97.782152240599999</v>
      </c>
      <c r="L10656" s="6" t="str">
        <f>HYPERLINK("https://maps.google.com/?q=17.123511379889,-97.7821522405998", "🔗 Ver Mapa")</f>
        <v>🔗 Ver Mapa</v>
      </c>
    </row>
    <row r="10657" spans="1:12" ht="43.5" x14ac:dyDescent="0.35">
      <c r="A10657" s="5" t="s">
        <v>98</v>
      </c>
      <c r="B10657" s="5" t="s">
        <v>99</v>
      </c>
      <c r="C10657" s="5" t="s">
        <v>1834</v>
      </c>
      <c r="D10657" s="5" t="s">
        <v>14</v>
      </c>
      <c r="E10657" s="5" t="s">
        <v>16</v>
      </c>
      <c r="F10657" s="5" t="s">
        <v>21</v>
      </c>
      <c r="G10657" s="5" t="s">
        <v>1290</v>
      </c>
      <c r="H10657" s="5" t="s">
        <v>1291</v>
      </c>
      <c r="I10657" s="5" t="s">
        <v>31</v>
      </c>
      <c r="J10657" s="5">
        <v>17.123520796063001</v>
      </c>
      <c r="K10657" s="5">
        <v>-97.782960807791</v>
      </c>
      <c r="L10657" s="5" t="str">
        <f>HYPERLINK("https://maps.google.com/?q=17.1235207960635,-97.7829608077909", "🔗 Ver Mapa")</f>
        <v>🔗 Ver Mapa</v>
      </c>
    </row>
    <row r="10658" spans="1:12" ht="43.5" x14ac:dyDescent="0.35">
      <c r="A10658" s="6" t="s">
        <v>98</v>
      </c>
      <c r="B10658" s="6" t="s">
        <v>99</v>
      </c>
      <c r="C10658" s="6" t="s">
        <v>1834</v>
      </c>
      <c r="D10658" s="6" t="s">
        <v>14</v>
      </c>
      <c r="E10658" s="6" t="s">
        <v>16</v>
      </c>
      <c r="F10658" s="6" t="s">
        <v>21</v>
      </c>
      <c r="G10658" s="6" t="s">
        <v>1290</v>
      </c>
      <c r="H10658" s="6" t="s">
        <v>1291</v>
      </c>
      <c r="I10658" s="6" t="s">
        <v>31</v>
      </c>
      <c r="J10658" s="6">
        <v>17.123969122070001</v>
      </c>
      <c r="K10658" s="6">
        <v>-97.792245502946997</v>
      </c>
      <c r="L10658" s="6" t="str">
        <f>HYPERLINK("https://maps.google.com/?q=17.1239691220703,-97.792245502947395", "🔗 Ver Mapa")</f>
        <v>🔗 Ver Mapa</v>
      </c>
    </row>
    <row r="10659" spans="1:12" ht="43.5" x14ac:dyDescent="0.35">
      <c r="A10659" s="5" t="s">
        <v>98</v>
      </c>
      <c r="B10659" s="5" t="s">
        <v>99</v>
      </c>
      <c r="C10659" s="5" t="s">
        <v>1834</v>
      </c>
      <c r="D10659" s="5" t="s">
        <v>14</v>
      </c>
      <c r="E10659" s="5" t="s">
        <v>16</v>
      </c>
      <c r="F10659" s="5" t="s">
        <v>21</v>
      </c>
      <c r="G10659" s="5" t="s">
        <v>1290</v>
      </c>
      <c r="H10659" s="5" t="s">
        <v>1291</v>
      </c>
      <c r="I10659" s="5" t="s">
        <v>31</v>
      </c>
      <c r="J10659" s="5">
        <v>17.124090695147</v>
      </c>
      <c r="K10659" s="5">
        <v>-97.781334138771996</v>
      </c>
      <c r="L10659" s="5" t="str">
        <f>HYPERLINK("https://maps.google.com/?q=17.124090695147,-97.781334138771896", "🔗 Ver Mapa")</f>
        <v>🔗 Ver Mapa</v>
      </c>
    </row>
    <row r="10660" spans="1:12" ht="43.5" x14ac:dyDescent="0.35">
      <c r="A10660" s="6" t="s">
        <v>98</v>
      </c>
      <c r="B10660" s="6" t="s">
        <v>99</v>
      </c>
      <c r="C10660" s="6" t="s">
        <v>1834</v>
      </c>
      <c r="D10660" s="6" t="s">
        <v>14</v>
      </c>
      <c r="E10660" s="6" t="s">
        <v>16</v>
      </c>
      <c r="F10660" s="6" t="s">
        <v>21</v>
      </c>
      <c r="G10660" s="6" t="s">
        <v>1290</v>
      </c>
      <c r="H10660" s="6" t="s">
        <v>1291</v>
      </c>
      <c r="I10660" s="6" t="s">
        <v>31</v>
      </c>
      <c r="J10660" s="6">
        <v>17.124940612688999</v>
      </c>
      <c r="K10660" s="6">
        <v>-97.792621012208997</v>
      </c>
      <c r="L10660" s="6" t="str">
        <f>HYPERLINK("https://maps.google.com/?q=17.1249406126887,-97.792621012208798", "🔗 Ver Mapa")</f>
        <v>🔗 Ver Mapa</v>
      </c>
    </row>
    <row r="10661" spans="1:12" ht="58" x14ac:dyDescent="0.35">
      <c r="A10661" s="5" t="s">
        <v>98</v>
      </c>
      <c r="B10661" s="5" t="s">
        <v>99</v>
      </c>
      <c r="C10661" s="5" t="s">
        <v>1835</v>
      </c>
      <c r="D10661" s="5" t="s">
        <v>14</v>
      </c>
      <c r="E10661" s="5" t="s">
        <v>158</v>
      </c>
      <c r="F10661" s="5" t="s">
        <v>166</v>
      </c>
      <c r="G10661" s="5" t="s">
        <v>167</v>
      </c>
      <c r="H10661" s="5" t="s">
        <v>1836</v>
      </c>
      <c r="I10661" s="5" t="s">
        <v>31</v>
      </c>
      <c r="J10661" s="5">
        <v>16.060841438488001</v>
      </c>
      <c r="K10661" s="5">
        <v>-95.393656374691005</v>
      </c>
      <c r="L10661" s="5" t="str">
        <f>HYPERLINK("https://maps.google.com/?q=16.0608414384883,-95.393656374690707", "🔗 Ver Mapa")</f>
        <v>🔗 Ver Mapa</v>
      </c>
    </row>
    <row r="10662" spans="1:12" ht="58" x14ac:dyDescent="0.35">
      <c r="A10662" s="6" t="s">
        <v>98</v>
      </c>
      <c r="B10662" s="6" t="s">
        <v>99</v>
      </c>
      <c r="C10662" s="6" t="s">
        <v>1835</v>
      </c>
      <c r="D10662" s="6" t="s">
        <v>14</v>
      </c>
      <c r="E10662" s="6" t="s">
        <v>158</v>
      </c>
      <c r="F10662" s="6" t="s">
        <v>166</v>
      </c>
      <c r="G10662" s="6" t="s">
        <v>167</v>
      </c>
      <c r="H10662" s="6" t="s">
        <v>1836</v>
      </c>
      <c r="I10662" s="6" t="s">
        <v>31</v>
      </c>
      <c r="J10662" s="6">
        <v>16.061233220879</v>
      </c>
      <c r="K10662" s="6">
        <v>-95.393355967280996</v>
      </c>
      <c r="L10662" s="6" t="str">
        <f>HYPERLINK("https://maps.google.com/?q=16.0612332208787,-95.393355967281195", "🔗 Ver Mapa")</f>
        <v>🔗 Ver Mapa</v>
      </c>
    </row>
    <row r="10663" spans="1:12" ht="58" x14ac:dyDescent="0.35">
      <c r="A10663" s="5" t="s">
        <v>98</v>
      </c>
      <c r="B10663" s="5" t="s">
        <v>99</v>
      </c>
      <c r="C10663" s="5" t="s">
        <v>1835</v>
      </c>
      <c r="D10663" s="5" t="s">
        <v>14</v>
      </c>
      <c r="E10663" s="5" t="s">
        <v>158</v>
      </c>
      <c r="F10663" s="5" t="s">
        <v>166</v>
      </c>
      <c r="G10663" s="5" t="s">
        <v>167</v>
      </c>
      <c r="H10663" s="5" t="s">
        <v>1836</v>
      </c>
      <c r="I10663" s="5" t="s">
        <v>31</v>
      </c>
      <c r="J10663" s="5">
        <v>16.062452016238002</v>
      </c>
      <c r="K10663" s="5">
        <v>-95.392317561255993</v>
      </c>
      <c r="L10663" s="5" t="str">
        <f>HYPERLINK("https://maps.google.com/?q=16.0624520162383,-95.392317561255595", "🔗 Ver Mapa")</f>
        <v>🔗 Ver Mapa</v>
      </c>
    </row>
    <row r="10664" spans="1:12" ht="58" x14ac:dyDescent="0.35">
      <c r="A10664" s="6" t="s">
        <v>98</v>
      </c>
      <c r="B10664" s="6" t="s">
        <v>99</v>
      </c>
      <c r="C10664" s="6" t="s">
        <v>1835</v>
      </c>
      <c r="D10664" s="6" t="s">
        <v>14</v>
      </c>
      <c r="E10664" s="6" t="s">
        <v>158</v>
      </c>
      <c r="F10664" s="6" t="s">
        <v>166</v>
      </c>
      <c r="G10664" s="6" t="s">
        <v>167</v>
      </c>
      <c r="H10664" s="6" t="s">
        <v>1836</v>
      </c>
      <c r="I10664" s="6" t="s">
        <v>31</v>
      </c>
      <c r="J10664" s="6">
        <v>16.062647905944999</v>
      </c>
      <c r="K10664" s="6">
        <v>-95.392659542904994</v>
      </c>
      <c r="L10664" s="6" t="str">
        <f>HYPERLINK("https://maps.google.com/?q=16.0626479059446,-95.392659542904894", "🔗 Ver Mapa")</f>
        <v>🔗 Ver Mapa</v>
      </c>
    </row>
    <row r="10665" spans="1:12" ht="58" x14ac:dyDescent="0.35">
      <c r="A10665" s="5" t="s">
        <v>98</v>
      </c>
      <c r="B10665" s="5" t="s">
        <v>99</v>
      </c>
      <c r="C10665" s="5" t="s">
        <v>1837</v>
      </c>
      <c r="D10665" s="5" t="s">
        <v>14</v>
      </c>
      <c r="E10665" s="5" t="s">
        <v>158</v>
      </c>
      <c r="F10665" s="5" t="s">
        <v>166</v>
      </c>
      <c r="G10665" s="5" t="s">
        <v>167</v>
      </c>
      <c r="H10665" s="5" t="s">
        <v>1838</v>
      </c>
      <c r="I10665" s="5" t="s">
        <v>31</v>
      </c>
      <c r="J10665" s="5">
        <v>16.120116344104002</v>
      </c>
      <c r="K10665" s="5">
        <v>-95.423447800174003</v>
      </c>
      <c r="L10665" s="5" t="str">
        <f>HYPERLINK("https://maps.google.com/?q=16.1201163441037,-95.423447800173804", "🔗 Ver Mapa")</f>
        <v>🔗 Ver Mapa</v>
      </c>
    </row>
    <row r="10666" spans="1:12" ht="58" x14ac:dyDescent="0.35">
      <c r="A10666" s="6" t="s">
        <v>98</v>
      </c>
      <c r="B10666" s="6" t="s">
        <v>99</v>
      </c>
      <c r="C10666" s="6" t="s">
        <v>1837</v>
      </c>
      <c r="D10666" s="6" t="s">
        <v>14</v>
      </c>
      <c r="E10666" s="6" t="s">
        <v>158</v>
      </c>
      <c r="F10666" s="6" t="s">
        <v>166</v>
      </c>
      <c r="G10666" s="6" t="s">
        <v>167</v>
      </c>
      <c r="H10666" s="6" t="s">
        <v>1838</v>
      </c>
      <c r="I10666" s="6" t="s">
        <v>31</v>
      </c>
      <c r="J10666" s="6">
        <v>16.120146630626</v>
      </c>
      <c r="K10666" s="6">
        <v>-95.423705930059</v>
      </c>
      <c r="L10666" s="6" t="str">
        <f>HYPERLINK("https://maps.google.com/?q=16.1201466306258,-95.423705930059398", "🔗 Ver Mapa")</f>
        <v>🔗 Ver Mapa</v>
      </c>
    </row>
    <row r="10667" spans="1:12" ht="58" x14ac:dyDescent="0.35">
      <c r="A10667" s="5" t="s">
        <v>98</v>
      </c>
      <c r="B10667" s="5" t="s">
        <v>99</v>
      </c>
      <c r="C10667" s="5" t="s">
        <v>1837</v>
      </c>
      <c r="D10667" s="5" t="s">
        <v>14</v>
      </c>
      <c r="E10667" s="5" t="s">
        <v>158</v>
      </c>
      <c r="F10667" s="5" t="s">
        <v>166</v>
      </c>
      <c r="G10667" s="5" t="s">
        <v>167</v>
      </c>
      <c r="H10667" s="5" t="s">
        <v>1838</v>
      </c>
      <c r="I10667" s="5" t="s">
        <v>31</v>
      </c>
      <c r="J10667" s="5">
        <v>16.12262113209</v>
      </c>
      <c r="K10667" s="5">
        <v>-95.419912535056994</v>
      </c>
      <c r="L10667" s="5" t="str">
        <f>HYPERLINK("https://maps.google.com/?q=16.1226211320902,-95.419912535056696", "🔗 Ver Mapa")</f>
        <v>🔗 Ver Mapa</v>
      </c>
    </row>
    <row r="10668" spans="1:12" ht="58" x14ac:dyDescent="0.35">
      <c r="A10668" s="6" t="s">
        <v>98</v>
      </c>
      <c r="B10668" s="6" t="s">
        <v>99</v>
      </c>
      <c r="C10668" s="6" t="s">
        <v>1837</v>
      </c>
      <c r="D10668" s="6" t="s">
        <v>14</v>
      </c>
      <c r="E10668" s="6" t="s">
        <v>158</v>
      </c>
      <c r="F10668" s="6" t="s">
        <v>166</v>
      </c>
      <c r="G10668" s="6" t="s">
        <v>167</v>
      </c>
      <c r="H10668" s="6" t="s">
        <v>1838</v>
      </c>
      <c r="I10668" s="6" t="s">
        <v>31</v>
      </c>
      <c r="J10668" s="6">
        <v>16.124825858703002</v>
      </c>
      <c r="K10668" s="6">
        <v>-95.420524015108001</v>
      </c>
      <c r="L10668" s="6" t="str">
        <f>HYPERLINK("https://maps.google.com/?q=16.124825858703,-95.420524015107503", "🔗 Ver Mapa")</f>
        <v>🔗 Ver Mapa</v>
      </c>
    </row>
    <row r="10669" spans="1:12" ht="58" x14ac:dyDescent="0.35">
      <c r="A10669" s="5" t="s">
        <v>98</v>
      </c>
      <c r="B10669" s="5" t="s">
        <v>99</v>
      </c>
      <c r="C10669" s="5" t="s">
        <v>1837</v>
      </c>
      <c r="D10669" s="5" t="s">
        <v>14</v>
      </c>
      <c r="E10669" s="5" t="s">
        <v>158</v>
      </c>
      <c r="F10669" s="5" t="s">
        <v>166</v>
      </c>
      <c r="G10669" s="5" t="s">
        <v>167</v>
      </c>
      <c r="H10669" s="5" t="s">
        <v>1838</v>
      </c>
      <c r="I10669" s="5" t="s">
        <v>31</v>
      </c>
      <c r="J10669" s="5">
        <v>16.125225492182</v>
      </c>
      <c r="K10669" s="5">
        <v>-95.424396975711005</v>
      </c>
      <c r="L10669" s="5" t="str">
        <f>HYPERLINK("https://maps.google.com/?q=16.125225492182,-95.424396975711105", "🔗 Ver Mapa")</f>
        <v>🔗 Ver Mapa</v>
      </c>
    </row>
    <row r="10670" spans="1:12" ht="43.5" x14ac:dyDescent="0.35">
      <c r="A10670" s="6" t="s">
        <v>98</v>
      </c>
      <c r="B10670" s="6" t="s">
        <v>99</v>
      </c>
      <c r="C10670" s="6" t="s">
        <v>1839</v>
      </c>
      <c r="D10670" s="6" t="s">
        <v>14</v>
      </c>
      <c r="E10670" s="6" t="s">
        <v>17</v>
      </c>
      <c r="F10670" s="6" t="s">
        <v>20</v>
      </c>
      <c r="G10670" s="6" t="s">
        <v>208</v>
      </c>
      <c r="H10670" s="6" t="s">
        <v>1840</v>
      </c>
      <c r="I10670" s="6" t="s">
        <v>31</v>
      </c>
      <c r="J10670" s="6">
        <v>15.703153898167001</v>
      </c>
      <c r="K10670" s="6">
        <v>-96.264918039356004</v>
      </c>
      <c r="L10670" s="6" t="str">
        <f>HYPERLINK("https://maps.google.com/?q=15.7031538981669,-96.264918039356303", "🔗 Ver Mapa")</f>
        <v>🔗 Ver Mapa</v>
      </c>
    </row>
    <row r="10671" spans="1:12" ht="43.5" x14ac:dyDescent="0.35">
      <c r="A10671" s="5" t="s">
        <v>98</v>
      </c>
      <c r="B10671" s="5" t="s">
        <v>99</v>
      </c>
      <c r="C10671" s="5" t="s">
        <v>1839</v>
      </c>
      <c r="D10671" s="5" t="s">
        <v>14</v>
      </c>
      <c r="E10671" s="5" t="s">
        <v>17</v>
      </c>
      <c r="F10671" s="5" t="s">
        <v>20</v>
      </c>
      <c r="G10671" s="5" t="s">
        <v>208</v>
      </c>
      <c r="H10671" s="5" t="s">
        <v>1840</v>
      </c>
      <c r="I10671" s="5" t="s">
        <v>31</v>
      </c>
      <c r="J10671" s="5">
        <v>15.703275506641001</v>
      </c>
      <c r="K10671" s="5">
        <v>-96.264761072591995</v>
      </c>
      <c r="L10671" s="5" t="str">
        <f>HYPERLINK("https://maps.google.com/?q=15.7032755066414,-96.264761072591895", "🔗 Ver Mapa")</f>
        <v>🔗 Ver Mapa</v>
      </c>
    </row>
    <row r="10672" spans="1:12" ht="43.5" x14ac:dyDescent="0.35">
      <c r="A10672" s="6" t="s">
        <v>98</v>
      </c>
      <c r="B10672" s="6" t="s">
        <v>99</v>
      </c>
      <c r="C10672" s="6" t="s">
        <v>1839</v>
      </c>
      <c r="D10672" s="6" t="s">
        <v>14</v>
      </c>
      <c r="E10672" s="6" t="s">
        <v>17</v>
      </c>
      <c r="F10672" s="6" t="s">
        <v>20</v>
      </c>
      <c r="G10672" s="6" t="s">
        <v>208</v>
      </c>
      <c r="H10672" s="6" t="s">
        <v>1840</v>
      </c>
      <c r="I10672" s="6" t="s">
        <v>31</v>
      </c>
      <c r="J10672" s="6">
        <v>15.703445925103001</v>
      </c>
      <c r="K10672" s="6">
        <v>-96.265069526627997</v>
      </c>
      <c r="L10672" s="6" t="str">
        <f>HYPERLINK("https://maps.google.com/?q=15.703445925103,-96.265069526628494", "🔗 Ver Mapa")</f>
        <v>🔗 Ver Mapa</v>
      </c>
    </row>
    <row r="10673" spans="1:12" ht="43.5" x14ac:dyDescent="0.35">
      <c r="A10673" s="5" t="s">
        <v>98</v>
      </c>
      <c r="B10673" s="5" t="s">
        <v>99</v>
      </c>
      <c r="C10673" s="5" t="s">
        <v>1839</v>
      </c>
      <c r="D10673" s="5" t="s">
        <v>14</v>
      </c>
      <c r="E10673" s="5" t="s">
        <v>17</v>
      </c>
      <c r="F10673" s="5" t="s">
        <v>20</v>
      </c>
      <c r="G10673" s="5" t="s">
        <v>208</v>
      </c>
      <c r="H10673" s="5" t="s">
        <v>1840</v>
      </c>
      <c r="I10673" s="5" t="s">
        <v>31</v>
      </c>
      <c r="J10673" s="5">
        <v>15.703448507199999</v>
      </c>
      <c r="K10673" s="5">
        <v>-96.264162939982</v>
      </c>
      <c r="L10673" s="5" t="str">
        <f>HYPERLINK("https://maps.google.com/?q=15.7034485071998,-96.264162939981702", "🔗 Ver Mapa")</f>
        <v>🔗 Ver Mapa</v>
      </c>
    </row>
    <row r="10674" spans="1:12" ht="43.5" x14ac:dyDescent="0.35">
      <c r="A10674" s="6" t="s">
        <v>98</v>
      </c>
      <c r="B10674" s="6" t="s">
        <v>99</v>
      </c>
      <c r="C10674" s="6" t="s">
        <v>1839</v>
      </c>
      <c r="D10674" s="6" t="s">
        <v>14</v>
      </c>
      <c r="E10674" s="6" t="s">
        <v>17</v>
      </c>
      <c r="F10674" s="6" t="s">
        <v>20</v>
      </c>
      <c r="G10674" s="6" t="s">
        <v>208</v>
      </c>
      <c r="H10674" s="6" t="s">
        <v>1840</v>
      </c>
      <c r="I10674" s="6" t="s">
        <v>31</v>
      </c>
      <c r="J10674" s="6">
        <v>15.703505063535999</v>
      </c>
      <c r="K10674" s="6">
        <v>-96.265446434531995</v>
      </c>
      <c r="L10674" s="6" t="str">
        <f>HYPERLINK("https://maps.google.com/?q=15.7035050635356,-96.265446434532095", "🔗 Ver Mapa")</f>
        <v>🔗 Ver Mapa</v>
      </c>
    </row>
    <row r="10675" spans="1:12" ht="43.5" x14ac:dyDescent="0.35">
      <c r="A10675" s="5" t="s">
        <v>98</v>
      </c>
      <c r="B10675" s="5" t="s">
        <v>99</v>
      </c>
      <c r="C10675" s="5" t="s">
        <v>1839</v>
      </c>
      <c r="D10675" s="5" t="s">
        <v>14</v>
      </c>
      <c r="E10675" s="5" t="s">
        <v>17</v>
      </c>
      <c r="F10675" s="5" t="s">
        <v>20</v>
      </c>
      <c r="G10675" s="5" t="s">
        <v>208</v>
      </c>
      <c r="H10675" s="5" t="s">
        <v>1840</v>
      </c>
      <c r="I10675" s="5" t="s">
        <v>31</v>
      </c>
      <c r="J10675" s="5">
        <v>15.703603432948</v>
      </c>
      <c r="K10675" s="5">
        <v>-96.264393609956997</v>
      </c>
      <c r="L10675" s="5" t="str">
        <f>HYPERLINK("https://maps.google.com/?q=15.7036034329483,-96.264393609956898", "🔗 Ver Mapa")</f>
        <v>🔗 Ver Mapa</v>
      </c>
    </row>
    <row r="10676" spans="1:12" ht="43.5" x14ac:dyDescent="0.35">
      <c r="A10676" s="6" t="s">
        <v>98</v>
      </c>
      <c r="B10676" s="6" t="s">
        <v>99</v>
      </c>
      <c r="C10676" s="6" t="s">
        <v>1839</v>
      </c>
      <c r="D10676" s="6" t="s">
        <v>14</v>
      </c>
      <c r="E10676" s="6" t="s">
        <v>17</v>
      </c>
      <c r="F10676" s="6" t="s">
        <v>20</v>
      </c>
      <c r="G10676" s="6" t="s">
        <v>208</v>
      </c>
      <c r="H10676" s="6" t="s">
        <v>1840</v>
      </c>
      <c r="I10676" s="6" t="s">
        <v>31</v>
      </c>
      <c r="J10676" s="6">
        <v>15.703861392482001</v>
      </c>
      <c r="K10676" s="6">
        <v>-96.264845619713</v>
      </c>
      <c r="L10676" s="6" t="str">
        <f>HYPERLINK("https://maps.google.com/?q=15.7038613924822,-96.264845619712901", "🔗 Ver Mapa")</f>
        <v>🔗 Ver Mapa</v>
      </c>
    </row>
    <row r="10677" spans="1:12" ht="43.5" x14ac:dyDescent="0.35">
      <c r="A10677" s="5" t="s">
        <v>98</v>
      </c>
      <c r="B10677" s="5" t="s">
        <v>99</v>
      </c>
      <c r="C10677" s="5" t="s">
        <v>1839</v>
      </c>
      <c r="D10677" s="5" t="s">
        <v>14</v>
      </c>
      <c r="E10677" s="5" t="s">
        <v>17</v>
      </c>
      <c r="F10677" s="5" t="s">
        <v>20</v>
      </c>
      <c r="G10677" s="5" t="s">
        <v>208</v>
      </c>
      <c r="H10677" s="5" t="s">
        <v>1840</v>
      </c>
      <c r="I10677" s="5" t="s">
        <v>31</v>
      </c>
      <c r="J10677" s="5">
        <v>15.703872106888999</v>
      </c>
      <c r="K10677" s="5">
        <v>-96.263639646662</v>
      </c>
      <c r="L10677" s="5" t="str">
        <f>HYPERLINK("https://maps.google.com/?q=15.7038721068893,-96.263639646661801", "🔗 Ver Mapa")</f>
        <v>🔗 Ver Mapa</v>
      </c>
    </row>
    <row r="10678" spans="1:12" ht="43.5" x14ac:dyDescent="0.35">
      <c r="A10678" s="6" t="s">
        <v>98</v>
      </c>
      <c r="B10678" s="6" t="s">
        <v>99</v>
      </c>
      <c r="C10678" s="6" t="s">
        <v>1839</v>
      </c>
      <c r="D10678" s="6" t="s">
        <v>14</v>
      </c>
      <c r="E10678" s="6" t="s">
        <v>17</v>
      </c>
      <c r="F10678" s="6" t="s">
        <v>20</v>
      </c>
      <c r="G10678" s="6" t="s">
        <v>208</v>
      </c>
      <c r="H10678" s="6" t="s">
        <v>1840</v>
      </c>
      <c r="I10678" s="6" t="s">
        <v>31</v>
      </c>
      <c r="J10678" s="6">
        <v>15.709889448117</v>
      </c>
      <c r="K10678" s="6">
        <v>-96.258573412410996</v>
      </c>
      <c r="L10678" s="6" t="str">
        <f>HYPERLINK("https://maps.google.com/?q=15.7098894481166,-96.258573412410698", "🔗 Ver Mapa")</f>
        <v>🔗 Ver Mapa</v>
      </c>
    </row>
    <row r="10679" spans="1:12" ht="43.5" x14ac:dyDescent="0.35">
      <c r="A10679" s="5" t="s">
        <v>98</v>
      </c>
      <c r="B10679" s="5" t="s">
        <v>99</v>
      </c>
      <c r="C10679" s="5" t="s">
        <v>1839</v>
      </c>
      <c r="D10679" s="5" t="s">
        <v>14</v>
      </c>
      <c r="E10679" s="5" t="s">
        <v>17</v>
      </c>
      <c r="F10679" s="5" t="s">
        <v>20</v>
      </c>
      <c r="G10679" s="5" t="s">
        <v>208</v>
      </c>
      <c r="H10679" s="5" t="s">
        <v>1840</v>
      </c>
      <c r="I10679" s="5" t="s">
        <v>31</v>
      </c>
      <c r="J10679" s="5">
        <v>15.729970705036999</v>
      </c>
      <c r="K10679" s="5">
        <v>-96.25349624719</v>
      </c>
      <c r="L10679" s="5" t="str">
        <f>HYPERLINK("https://maps.google.com/?q=15.7299707050365,-96.253496247189801", "🔗 Ver Mapa")</f>
        <v>🔗 Ver Mapa</v>
      </c>
    </row>
    <row r="10680" spans="1:12" ht="43.5" x14ac:dyDescent="0.35">
      <c r="A10680" s="6" t="s">
        <v>98</v>
      </c>
      <c r="B10680" s="6" t="s">
        <v>99</v>
      </c>
      <c r="C10680" s="6" t="s">
        <v>1841</v>
      </c>
      <c r="D10680" s="6" t="s">
        <v>14</v>
      </c>
      <c r="E10680" s="6" t="s">
        <v>52</v>
      </c>
      <c r="F10680" s="6" t="s">
        <v>83</v>
      </c>
      <c r="G10680" s="6" t="s">
        <v>1842</v>
      </c>
      <c r="H10680" s="6" t="s">
        <v>1843</v>
      </c>
      <c r="I10680" s="6" t="s">
        <v>31</v>
      </c>
      <c r="J10680" s="6">
        <v>17.188922999999999</v>
      </c>
      <c r="K10680" s="6">
        <v>-96.802160999999998</v>
      </c>
      <c r="L10680" s="6" t="str">
        <f>HYPERLINK("https://maps.google.com/?q=17.188923,-96.802161", "🔗 Ver Mapa")</f>
        <v>🔗 Ver Mapa</v>
      </c>
    </row>
    <row r="10681" spans="1:12" ht="43.5" x14ac:dyDescent="0.35">
      <c r="A10681" s="5" t="s">
        <v>98</v>
      </c>
      <c r="B10681" s="5" t="s">
        <v>99</v>
      </c>
      <c r="C10681" s="5" t="s">
        <v>1841</v>
      </c>
      <c r="D10681" s="5" t="s">
        <v>14</v>
      </c>
      <c r="E10681" s="5" t="s">
        <v>52</v>
      </c>
      <c r="F10681" s="5" t="s">
        <v>83</v>
      </c>
      <c r="G10681" s="5" t="s">
        <v>1842</v>
      </c>
      <c r="H10681" s="5" t="s">
        <v>1843</v>
      </c>
      <c r="I10681" s="5" t="s">
        <v>31</v>
      </c>
      <c r="J10681" s="5">
        <v>17.194935000000001</v>
      </c>
      <c r="K10681" s="5">
        <v>-96.795505000000006</v>
      </c>
      <c r="L10681" s="5" t="str">
        <f>HYPERLINK("https://maps.google.com/?q=17.194935,-96.795505", "🔗 Ver Mapa")</f>
        <v>🔗 Ver Mapa</v>
      </c>
    </row>
    <row r="10682" spans="1:12" ht="43.5" x14ac:dyDescent="0.35">
      <c r="A10682" s="6" t="s">
        <v>98</v>
      </c>
      <c r="B10682" s="6" t="s">
        <v>99</v>
      </c>
      <c r="C10682" s="6" t="s">
        <v>1841</v>
      </c>
      <c r="D10682" s="6" t="s">
        <v>14</v>
      </c>
      <c r="E10682" s="6" t="s">
        <v>52</v>
      </c>
      <c r="F10682" s="6" t="s">
        <v>83</v>
      </c>
      <c r="G10682" s="6" t="s">
        <v>1842</v>
      </c>
      <c r="H10682" s="6" t="s">
        <v>1843</v>
      </c>
      <c r="I10682" s="6" t="s">
        <v>31</v>
      </c>
      <c r="J10682" s="6">
        <v>17.200606000000001</v>
      </c>
      <c r="K10682" s="6">
        <v>-96.803498000000005</v>
      </c>
      <c r="L10682" s="6" t="str">
        <f>HYPERLINK("https://maps.google.com/?q=17.200606,-96.803498", "🔗 Ver Mapa")</f>
        <v>🔗 Ver Mapa</v>
      </c>
    </row>
    <row r="10683" spans="1:12" ht="43.5" x14ac:dyDescent="0.35">
      <c r="A10683" s="5" t="s">
        <v>98</v>
      </c>
      <c r="B10683" s="5" t="s">
        <v>99</v>
      </c>
      <c r="C10683" s="5" t="s">
        <v>1841</v>
      </c>
      <c r="D10683" s="5" t="s">
        <v>14</v>
      </c>
      <c r="E10683" s="5" t="s">
        <v>52</v>
      </c>
      <c r="F10683" s="5" t="s">
        <v>83</v>
      </c>
      <c r="G10683" s="5" t="s">
        <v>1842</v>
      </c>
      <c r="H10683" s="5" t="s">
        <v>1843</v>
      </c>
      <c r="I10683" s="5" t="s">
        <v>31</v>
      </c>
      <c r="J10683" s="5">
        <v>17.200755999999998</v>
      </c>
      <c r="K10683" s="5">
        <v>-96.803520000000006</v>
      </c>
      <c r="L10683" s="5" t="str">
        <f>HYPERLINK("https://maps.google.com/?q=17.200756,-96.803520", "🔗 Ver Mapa")</f>
        <v>🔗 Ver Mapa</v>
      </c>
    </row>
    <row r="10684" spans="1:12" ht="43.5" x14ac:dyDescent="0.35">
      <c r="A10684" s="6" t="s">
        <v>98</v>
      </c>
      <c r="B10684" s="6" t="s">
        <v>99</v>
      </c>
      <c r="C10684" s="6" t="s">
        <v>1841</v>
      </c>
      <c r="D10684" s="6" t="s">
        <v>14</v>
      </c>
      <c r="E10684" s="6" t="s">
        <v>52</v>
      </c>
      <c r="F10684" s="6" t="s">
        <v>83</v>
      </c>
      <c r="G10684" s="6" t="s">
        <v>1842</v>
      </c>
      <c r="H10684" s="6" t="s">
        <v>1843</v>
      </c>
      <c r="I10684" s="6" t="s">
        <v>31</v>
      </c>
      <c r="J10684" s="6">
        <v>17.200986</v>
      </c>
      <c r="K10684" s="6">
        <v>-96.803353999999999</v>
      </c>
      <c r="L10684" s="6" t="str">
        <f>HYPERLINK("https://maps.google.com/?q=17.200986,-96.803354", "🔗 Ver Mapa")</f>
        <v>🔗 Ver Mapa</v>
      </c>
    </row>
    <row r="10685" spans="1:12" ht="43.5" x14ac:dyDescent="0.35">
      <c r="A10685" s="5" t="s">
        <v>73</v>
      </c>
      <c r="B10685" s="5" t="s">
        <v>74</v>
      </c>
      <c r="C10685" s="5" t="s">
        <v>1844</v>
      </c>
      <c r="D10685" s="5" t="s">
        <v>76</v>
      </c>
      <c r="E10685" s="5" t="s">
        <v>17</v>
      </c>
      <c r="F10685" s="5" t="s">
        <v>46</v>
      </c>
      <c r="G10685" s="5" t="s">
        <v>1277</v>
      </c>
      <c r="H10685" s="5" t="s">
        <v>1278</v>
      </c>
      <c r="I10685" s="5" t="s">
        <v>31</v>
      </c>
      <c r="J10685" s="5">
        <v>16.230038868803</v>
      </c>
      <c r="K10685" s="5">
        <v>-97.266429075651004</v>
      </c>
      <c r="L10685" s="5" t="str">
        <f>HYPERLINK("https://maps.google.com/?q=16.230038868802893,-97.2664290756506", "🔗 Ver Mapa")</f>
        <v>🔗 Ver Mapa</v>
      </c>
    </row>
    <row r="10686" spans="1:12" ht="43.5" x14ac:dyDescent="0.35">
      <c r="A10686" s="6" t="s">
        <v>73</v>
      </c>
      <c r="B10686" s="6" t="s">
        <v>74</v>
      </c>
      <c r="C10686" s="6" t="s">
        <v>1845</v>
      </c>
      <c r="D10686" s="6" t="s">
        <v>76</v>
      </c>
      <c r="E10686" s="6" t="s">
        <v>39</v>
      </c>
      <c r="F10686" s="6" t="s">
        <v>133</v>
      </c>
      <c r="G10686" s="6" t="s">
        <v>1561</v>
      </c>
      <c r="H10686" s="6" t="s">
        <v>1562</v>
      </c>
      <c r="I10686" s="6" t="s">
        <v>31</v>
      </c>
      <c r="J10686" s="6">
        <v>16.649626251983999</v>
      </c>
      <c r="K10686" s="6">
        <v>-95.916546770283006</v>
      </c>
      <c r="L10686" s="6" t="str">
        <f>HYPERLINK("https://maps.google.com/?q=16.649626251984397,-95.91654677028271", "🔗 Ver Mapa")</f>
        <v>🔗 Ver Mapa</v>
      </c>
    </row>
    <row r="10687" spans="1:12" ht="58" x14ac:dyDescent="0.35">
      <c r="A10687" s="5" t="s">
        <v>73</v>
      </c>
      <c r="B10687" s="5" t="s">
        <v>74</v>
      </c>
      <c r="C10687" s="5" t="s">
        <v>1846</v>
      </c>
      <c r="D10687" s="5" t="s">
        <v>76</v>
      </c>
      <c r="E10687" s="5" t="s">
        <v>158</v>
      </c>
      <c r="F10687" s="5" t="s">
        <v>166</v>
      </c>
      <c r="G10687" s="5" t="s">
        <v>1847</v>
      </c>
      <c r="H10687" s="5" t="s">
        <v>1848</v>
      </c>
      <c r="I10687" s="5" t="s">
        <v>31</v>
      </c>
      <c r="J10687" s="5">
        <v>16.490458179907002</v>
      </c>
      <c r="K10687" s="5">
        <v>-95.160015035743001</v>
      </c>
      <c r="L10687" s="5" t="str">
        <f>HYPERLINK("https://maps.google.com/?q=16.490458179907222,-95.16001503574311", "🔗 Ver Mapa")</f>
        <v>🔗 Ver Mapa</v>
      </c>
    </row>
    <row r="10688" spans="1:12" ht="58" x14ac:dyDescent="0.35">
      <c r="A10688" s="6" t="s">
        <v>73</v>
      </c>
      <c r="B10688" s="6" t="s">
        <v>74</v>
      </c>
      <c r="C10688" s="6" t="s">
        <v>1849</v>
      </c>
      <c r="D10688" s="6" t="s">
        <v>76</v>
      </c>
      <c r="E10688" s="6" t="s">
        <v>16</v>
      </c>
      <c r="F10688" s="6" t="s">
        <v>95</v>
      </c>
      <c r="G10688" s="6" t="s">
        <v>1850</v>
      </c>
      <c r="H10688" s="6" t="s">
        <v>1851</v>
      </c>
      <c r="I10688" s="6" t="s">
        <v>31</v>
      </c>
      <c r="J10688" s="6">
        <v>17.584896415848998</v>
      </c>
      <c r="K10688" s="6">
        <v>-97.628913649143001</v>
      </c>
      <c r="L10688" s="6" t="str">
        <f>HYPERLINK("https://maps.google.com/?q=17.58489641584882,-97.62891364914321", "🔗 Ver Mapa")</f>
        <v>🔗 Ver Mapa</v>
      </c>
    </row>
    <row r="10689" spans="1:12" ht="58" x14ac:dyDescent="0.35">
      <c r="A10689" s="5" t="s">
        <v>73</v>
      </c>
      <c r="B10689" s="5" t="s">
        <v>74</v>
      </c>
      <c r="C10689" s="5" t="s">
        <v>1852</v>
      </c>
      <c r="D10689" s="5" t="s">
        <v>76</v>
      </c>
      <c r="E10689" s="5" t="s">
        <v>52</v>
      </c>
      <c r="F10689" s="5" t="s">
        <v>53</v>
      </c>
      <c r="G10689" s="5" t="s">
        <v>1853</v>
      </c>
      <c r="H10689" s="5" t="s">
        <v>1854</v>
      </c>
      <c r="I10689" s="5" t="s">
        <v>31</v>
      </c>
      <c r="J10689" s="5">
        <v>16.998578692020999</v>
      </c>
      <c r="K10689" s="5">
        <v>-96.605952886365003</v>
      </c>
      <c r="L10689" s="5" t="str">
        <f>HYPERLINK("https://maps.google.com/?q=16.998578692020914,-96.60595288636506", "🔗 Ver Mapa")</f>
        <v>🔗 Ver Mapa</v>
      </c>
    </row>
    <row r="10690" spans="1:12" ht="58" x14ac:dyDescent="0.35">
      <c r="A10690" s="6" t="s">
        <v>73</v>
      </c>
      <c r="B10690" s="6" t="s">
        <v>74</v>
      </c>
      <c r="C10690" s="6" t="s">
        <v>1855</v>
      </c>
      <c r="D10690" s="6" t="s">
        <v>76</v>
      </c>
      <c r="E10690" s="6" t="s">
        <v>52</v>
      </c>
      <c r="F10690" s="6" t="s">
        <v>53</v>
      </c>
      <c r="G10690" s="6" t="s">
        <v>1856</v>
      </c>
      <c r="H10690" s="6" t="s">
        <v>1857</v>
      </c>
      <c r="I10690" s="6" t="s">
        <v>31</v>
      </c>
      <c r="J10690" s="6">
        <v>17.01008316083</v>
      </c>
      <c r="K10690" s="6">
        <v>-96.581414995160998</v>
      </c>
      <c r="L10690" s="6" t="str">
        <f>HYPERLINK("https://maps.google.com/?q=17.010083160829947,-96.5814149951611", "🔗 Ver Mapa")</f>
        <v>🔗 Ver Mapa</v>
      </c>
    </row>
    <row r="10691" spans="1:12" ht="58" x14ac:dyDescent="0.35">
      <c r="A10691" s="5" t="s">
        <v>73</v>
      </c>
      <c r="B10691" s="5" t="s">
        <v>74</v>
      </c>
      <c r="C10691" s="5" t="s">
        <v>1858</v>
      </c>
      <c r="D10691" s="5" t="s">
        <v>76</v>
      </c>
      <c r="E10691" s="5" t="s">
        <v>16</v>
      </c>
      <c r="F10691" s="5" t="s">
        <v>195</v>
      </c>
      <c r="G10691" s="5" t="s">
        <v>842</v>
      </c>
      <c r="H10691" s="5" t="s">
        <v>843</v>
      </c>
      <c r="I10691" s="5" t="s">
        <v>31</v>
      </c>
      <c r="J10691" s="5">
        <v>17.663228240039</v>
      </c>
      <c r="K10691" s="5">
        <v>-98.224576172377994</v>
      </c>
      <c r="L10691" s="5" t="str">
        <f>HYPERLINK("https://maps.google.com/?q=17.663228240038954,-98.22457617237819", "🔗 Ver Mapa")</f>
        <v>🔗 Ver Mapa</v>
      </c>
    </row>
    <row r="10692" spans="1:12" ht="58" x14ac:dyDescent="0.35">
      <c r="A10692" s="6" t="s">
        <v>73</v>
      </c>
      <c r="B10692" s="6" t="s">
        <v>74</v>
      </c>
      <c r="C10692" s="6" t="s">
        <v>1859</v>
      </c>
      <c r="D10692" s="6" t="s">
        <v>76</v>
      </c>
      <c r="E10692" s="6" t="s">
        <v>16</v>
      </c>
      <c r="F10692" s="6" t="s">
        <v>409</v>
      </c>
      <c r="G10692" s="6" t="s">
        <v>1860</v>
      </c>
      <c r="H10692" s="6" t="s">
        <v>1861</v>
      </c>
      <c r="I10692" s="6" t="s">
        <v>31</v>
      </c>
      <c r="J10692" s="6">
        <v>17.883150743912999</v>
      </c>
      <c r="K10692" s="6">
        <v>-97.372433249183004</v>
      </c>
      <c r="L10692" s="6" t="str">
        <f>HYPERLINK("https://maps.google.com/?q=17.883150743912715,-97.37243324918283", "🔗 Ver Mapa")</f>
        <v>🔗 Ver Mapa</v>
      </c>
    </row>
    <row r="10693" spans="1:12" ht="87" x14ac:dyDescent="0.35">
      <c r="A10693" s="5" t="s">
        <v>73</v>
      </c>
      <c r="B10693" s="5" t="s">
        <v>74</v>
      </c>
      <c r="C10693" s="5" t="s">
        <v>1862</v>
      </c>
      <c r="D10693" s="5" t="s">
        <v>76</v>
      </c>
      <c r="E10693" s="5" t="s">
        <v>16</v>
      </c>
      <c r="F10693" s="5" t="s">
        <v>145</v>
      </c>
      <c r="G10693" s="5" t="s">
        <v>1863</v>
      </c>
      <c r="H10693" s="5" t="s">
        <v>1864</v>
      </c>
      <c r="I10693" s="5" t="s">
        <v>31</v>
      </c>
      <c r="J10693" s="5">
        <v>17.653951753617999</v>
      </c>
      <c r="K10693" s="5">
        <v>-97.810642791074002</v>
      </c>
      <c r="L10693" s="5" t="str">
        <f>HYPERLINK("https://maps.google.com/?q=17.65395175361828,-97.81064279107356", "🔗 Ver Mapa")</f>
        <v>🔗 Ver Mapa</v>
      </c>
    </row>
    <row r="10694" spans="1:12" ht="43.5" x14ac:dyDescent="0.35">
      <c r="A10694" s="6" t="s">
        <v>73</v>
      </c>
      <c r="B10694" s="6" t="s">
        <v>74</v>
      </c>
      <c r="C10694" s="6" t="s">
        <v>1865</v>
      </c>
      <c r="D10694" s="6" t="s">
        <v>76</v>
      </c>
      <c r="E10694" s="6" t="s">
        <v>17</v>
      </c>
      <c r="F10694" s="6" t="s">
        <v>46</v>
      </c>
      <c r="G10694" s="6" t="s">
        <v>1284</v>
      </c>
      <c r="H10694" s="6" t="s">
        <v>1866</v>
      </c>
      <c r="I10694" s="6" t="s">
        <v>31</v>
      </c>
      <c r="J10694" s="6">
        <v>16.165349187307999</v>
      </c>
      <c r="K10694" s="6">
        <v>-97.193587522873003</v>
      </c>
      <c r="L10694" s="6" t="str">
        <f>HYPERLINK("https://maps.google.com/?q=16.16534918730759,-97.19358752287339", "🔗 Ver Mapa")</f>
        <v>🔗 Ver Mapa</v>
      </c>
    </row>
    <row r="10695" spans="1:12" ht="43.5" x14ac:dyDescent="0.35">
      <c r="A10695" s="5" t="s">
        <v>73</v>
      </c>
      <c r="B10695" s="5" t="s">
        <v>74</v>
      </c>
      <c r="C10695" s="5" t="s">
        <v>1867</v>
      </c>
      <c r="D10695" s="5" t="s">
        <v>76</v>
      </c>
      <c r="E10695" s="5" t="s">
        <v>16</v>
      </c>
      <c r="F10695" s="5" t="s">
        <v>195</v>
      </c>
      <c r="G10695" s="5" t="s">
        <v>842</v>
      </c>
      <c r="H10695" s="5" t="s">
        <v>843</v>
      </c>
      <c r="I10695" s="5" t="s">
        <v>31</v>
      </c>
      <c r="J10695" s="5">
        <v>17.666302010054999</v>
      </c>
      <c r="K10695" s="5">
        <v>-98.221436237629007</v>
      </c>
      <c r="L10695" s="5" t="str">
        <f>HYPERLINK("https://maps.google.com/?q=17.666302010055187,-98.22143623762871", "🔗 Ver Mapa")</f>
        <v>🔗 Ver Mapa</v>
      </c>
    </row>
    <row r="10696" spans="1:12" ht="43.5" x14ac:dyDescent="0.35">
      <c r="A10696" s="6" t="s">
        <v>73</v>
      </c>
      <c r="B10696" s="6" t="s">
        <v>74</v>
      </c>
      <c r="C10696" s="6" t="s">
        <v>1868</v>
      </c>
      <c r="D10696" s="6" t="s">
        <v>76</v>
      </c>
      <c r="E10696" s="6" t="s">
        <v>17</v>
      </c>
      <c r="F10696" s="6" t="s">
        <v>59</v>
      </c>
      <c r="G10696" s="6" t="s">
        <v>1869</v>
      </c>
      <c r="H10696" s="6" t="s">
        <v>1870</v>
      </c>
      <c r="I10696" s="6" t="s">
        <v>31</v>
      </c>
      <c r="J10696" s="6">
        <v>16.45314146646</v>
      </c>
      <c r="K10696" s="6">
        <v>-98.286962403085994</v>
      </c>
      <c r="L10696" s="6" t="str">
        <f>HYPERLINK("https://maps.google.com/?q=16.45314146645965,-98.28696240308574", "🔗 Ver Mapa")</f>
        <v>🔗 Ver Mapa</v>
      </c>
    </row>
    <row r="10697" spans="1:12" ht="29" x14ac:dyDescent="0.35">
      <c r="A10697" s="5" t="s">
        <v>782</v>
      </c>
      <c r="B10697" s="5" t="s">
        <v>783</v>
      </c>
      <c r="C10697" s="5" t="s">
        <v>1871</v>
      </c>
      <c r="D10697" s="5" t="s">
        <v>785</v>
      </c>
      <c r="E10697" s="5" t="s">
        <v>52</v>
      </c>
      <c r="F10697" s="5" t="s">
        <v>70</v>
      </c>
      <c r="G10697" s="5" t="s">
        <v>272</v>
      </c>
      <c r="H10697" s="5" t="s">
        <v>320</v>
      </c>
      <c r="I10697" s="5" t="s">
        <v>31</v>
      </c>
      <c r="J10697" s="5">
        <v>16.910737434236001</v>
      </c>
      <c r="K10697" s="5">
        <v>-96.723761505463003</v>
      </c>
      <c r="L10697" s="5" t="str">
        <f>HYPERLINK("https://maps.google.com/?q=16.910737434236452,-96.7237615054633", "🔗 Ver Mapa")</f>
        <v>🔗 Ver Mapa</v>
      </c>
    </row>
    <row r="10698" spans="1:12" ht="29" x14ac:dyDescent="0.35">
      <c r="A10698" s="6" t="s">
        <v>753</v>
      </c>
      <c r="B10698" s="6" t="s">
        <v>754</v>
      </c>
      <c r="C10698" s="6" t="s">
        <v>1872</v>
      </c>
      <c r="D10698" s="6" t="s">
        <v>69</v>
      </c>
      <c r="E10698" s="6" t="s">
        <v>324</v>
      </c>
      <c r="F10698" s="6" t="s">
        <v>325</v>
      </c>
      <c r="G10698" s="6" t="s">
        <v>326</v>
      </c>
      <c r="H10698" s="6" t="s">
        <v>327</v>
      </c>
      <c r="I10698" s="6" t="s">
        <v>31</v>
      </c>
      <c r="J10698" s="6">
        <v>15.746143999999999</v>
      </c>
      <c r="K10698" s="6">
        <v>-96.465182999999996</v>
      </c>
      <c r="L10698" s="6" t="str">
        <f>HYPERLINK("https://maps.google.com/?q=15.746144,-96.465182999999996", "🔗 Ver Mapa")</f>
        <v>🔗 Ver Mapa</v>
      </c>
    </row>
    <row r="10699" spans="1:12" ht="29" x14ac:dyDescent="0.35">
      <c r="A10699" s="5" t="s">
        <v>753</v>
      </c>
      <c r="B10699" s="5" t="s">
        <v>754</v>
      </c>
      <c r="C10699" s="5" t="s">
        <v>1872</v>
      </c>
      <c r="D10699" s="5" t="s">
        <v>69</v>
      </c>
      <c r="E10699" s="5" t="s">
        <v>324</v>
      </c>
      <c r="F10699" s="5" t="s">
        <v>325</v>
      </c>
      <c r="G10699" s="5" t="s">
        <v>326</v>
      </c>
      <c r="H10699" s="5" t="s">
        <v>327</v>
      </c>
      <c r="I10699" s="5" t="s">
        <v>31</v>
      </c>
      <c r="J10699" s="5">
        <v>16.237075999999998</v>
      </c>
      <c r="K10699" s="5">
        <v>-97.292351999999994</v>
      </c>
      <c r="L10699" s="5" t="str">
        <f>HYPERLINK("https://maps.google.com/?q=16.237076,-97.292351999999994", "🔗 Ver Mapa")</f>
        <v>🔗 Ver Mapa</v>
      </c>
    </row>
    <row r="10700" spans="1:12" ht="29" x14ac:dyDescent="0.35">
      <c r="A10700" s="6" t="s">
        <v>753</v>
      </c>
      <c r="B10700" s="6" t="s">
        <v>754</v>
      </c>
      <c r="C10700" s="6" t="s">
        <v>1872</v>
      </c>
      <c r="D10700" s="6" t="s">
        <v>69</v>
      </c>
      <c r="E10700" s="6" t="s">
        <v>324</v>
      </c>
      <c r="F10700" s="6" t="s">
        <v>325</v>
      </c>
      <c r="G10700" s="6" t="s">
        <v>326</v>
      </c>
      <c r="H10700" s="6" t="s">
        <v>327</v>
      </c>
      <c r="I10700" s="6" t="s">
        <v>31</v>
      </c>
      <c r="J10700" s="6">
        <v>16.279057999999999</v>
      </c>
      <c r="K10700" s="6">
        <v>-97.820240999999996</v>
      </c>
      <c r="L10700" s="6" t="str">
        <f>HYPERLINK("https://maps.google.com/?q=16.279058,-97.820240999999996", "🔗 Ver Mapa")</f>
        <v>🔗 Ver Mapa</v>
      </c>
    </row>
    <row r="10701" spans="1:12" ht="29" x14ac:dyDescent="0.35">
      <c r="A10701" s="5" t="s">
        <v>753</v>
      </c>
      <c r="B10701" s="5" t="s">
        <v>754</v>
      </c>
      <c r="C10701" s="5" t="s">
        <v>1872</v>
      </c>
      <c r="D10701" s="5" t="s">
        <v>69</v>
      </c>
      <c r="E10701" s="5" t="s">
        <v>324</v>
      </c>
      <c r="F10701" s="5" t="s">
        <v>325</v>
      </c>
      <c r="G10701" s="5" t="s">
        <v>326</v>
      </c>
      <c r="H10701" s="5" t="s">
        <v>327</v>
      </c>
      <c r="I10701" s="5" t="s">
        <v>31</v>
      </c>
      <c r="J10701" s="5">
        <v>16.328751</v>
      </c>
      <c r="K10701" s="5">
        <v>-96.596529000000004</v>
      </c>
      <c r="L10701" s="5" t="str">
        <f>HYPERLINK("https://maps.google.com/?q=16.328751,-96.596529000000004", "🔗 Ver Mapa")</f>
        <v>🔗 Ver Mapa</v>
      </c>
    </row>
    <row r="10702" spans="1:12" ht="29" x14ac:dyDescent="0.35">
      <c r="A10702" s="6" t="s">
        <v>753</v>
      </c>
      <c r="B10702" s="6" t="s">
        <v>754</v>
      </c>
      <c r="C10702" s="6" t="s">
        <v>1872</v>
      </c>
      <c r="D10702" s="6" t="s">
        <v>69</v>
      </c>
      <c r="E10702" s="6" t="s">
        <v>324</v>
      </c>
      <c r="F10702" s="6" t="s">
        <v>325</v>
      </c>
      <c r="G10702" s="6" t="s">
        <v>326</v>
      </c>
      <c r="H10702" s="6" t="s">
        <v>327</v>
      </c>
      <c r="I10702" s="6" t="s">
        <v>31</v>
      </c>
      <c r="J10702" s="6">
        <v>16.332014000000001</v>
      </c>
      <c r="K10702" s="6">
        <v>-95.231966</v>
      </c>
      <c r="L10702" s="6" t="str">
        <f>HYPERLINK("https://maps.google.com/?q=16.332014,-95.231966", "🔗 Ver Mapa")</f>
        <v>🔗 Ver Mapa</v>
      </c>
    </row>
    <row r="10703" spans="1:12" ht="29" x14ac:dyDescent="0.35">
      <c r="A10703" s="5" t="s">
        <v>753</v>
      </c>
      <c r="B10703" s="5" t="s">
        <v>754</v>
      </c>
      <c r="C10703" s="5" t="s">
        <v>1872</v>
      </c>
      <c r="D10703" s="5" t="s">
        <v>69</v>
      </c>
      <c r="E10703" s="5" t="s">
        <v>324</v>
      </c>
      <c r="F10703" s="5" t="s">
        <v>325</v>
      </c>
      <c r="G10703" s="5" t="s">
        <v>326</v>
      </c>
      <c r="H10703" s="5" t="s">
        <v>327</v>
      </c>
      <c r="I10703" s="5" t="s">
        <v>31</v>
      </c>
      <c r="J10703" s="5">
        <v>16.433347000000001</v>
      </c>
      <c r="K10703" s="5">
        <v>-95.021687</v>
      </c>
      <c r="L10703" s="5" t="str">
        <f>HYPERLINK("https://maps.google.com/?q=16.433347,-95.021687", "🔗 Ver Mapa")</f>
        <v>🔗 Ver Mapa</v>
      </c>
    </row>
    <row r="10704" spans="1:12" ht="29" x14ac:dyDescent="0.35">
      <c r="A10704" s="6" t="s">
        <v>753</v>
      </c>
      <c r="B10704" s="6" t="s">
        <v>754</v>
      </c>
      <c r="C10704" s="6" t="s">
        <v>1872</v>
      </c>
      <c r="D10704" s="6" t="s">
        <v>69</v>
      </c>
      <c r="E10704" s="6" t="s">
        <v>324</v>
      </c>
      <c r="F10704" s="6" t="s">
        <v>325</v>
      </c>
      <c r="G10704" s="6" t="s">
        <v>326</v>
      </c>
      <c r="H10704" s="6" t="s">
        <v>327</v>
      </c>
      <c r="I10704" s="6" t="s">
        <v>31</v>
      </c>
      <c r="J10704" s="6">
        <v>16.500512000000001</v>
      </c>
      <c r="K10704" s="6">
        <v>-96.106790000000004</v>
      </c>
      <c r="L10704" s="6" t="str">
        <f>HYPERLINK("https://maps.google.com/?q=16.500512,-96.106790000000004", "🔗 Ver Mapa")</f>
        <v>🔗 Ver Mapa</v>
      </c>
    </row>
    <row r="10705" spans="1:12" ht="29" x14ac:dyDescent="0.35">
      <c r="A10705" s="5" t="s">
        <v>753</v>
      </c>
      <c r="B10705" s="5" t="s">
        <v>754</v>
      </c>
      <c r="C10705" s="5" t="s">
        <v>1872</v>
      </c>
      <c r="D10705" s="5" t="s">
        <v>69</v>
      </c>
      <c r="E10705" s="5" t="s">
        <v>324</v>
      </c>
      <c r="F10705" s="5" t="s">
        <v>325</v>
      </c>
      <c r="G10705" s="5" t="s">
        <v>326</v>
      </c>
      <c r="H10705" s="5" t="s">
        <v>327</v>
      </c>
      <c r="I10705" s="5" t="s">
        <v>31</v>
      </c>
      <c r="J10705" s="5">
        <v>16.519807</v>
      </c>
      <c r="K10705" s="5">
        <v>-96.983885000000001</v>
      </c>
      <c r="L10705" s="5" t="str">
        <f>HYPERLINK("https://maps.google.com/?q=16.519807,-96.983885000000001", "🔗 Ver Mapa")</f>
        <v>🔗 Ver Mapa</v>
      </c>
    </row>
    <row r="10706" spans="1:12" ht="29" x14ac:dyDescent="0.35">
      <c r="A10706" s="6" t="s">
        <v>753</v>
      </c>
      <c r="B10706" s="6" t="s">
        <v>754</v>
      </c>
      <c r="C10706" s="6" t="s">
        <v>1872</v>
      </c>
      <c r="D10706" s="6" t="s">
        <v>69</v>
      </c>
      <c r="E10706" s="6" t="s">
        <v>324</v>
      </c>
      <c r="F10706" s="6" t="s">
        <v>325</v>
      </c>
      <c r="G10706" s="6" t="s">
        <v>326</v>
      </c>
      <c r="H10706" s="6" t="s">
        <v>327</v>
      </c>
      <c r="I10706" s="6" t="s">
        <v>31</v>
      </c>
      <c r="J10706" s="6">
        <v>16.564243999999999</v>
      </c>
      <c r="K10706" s="6">
        <v>-96.731829000000005</v>
      </c>
      <c r="L10706" s="6" t="str">
        <f>HYPERLINK("https://maps.google.com/?q=16.564244,-96.731829000000005", "🔗 Ver Mapa")</f>
        <v>🔗 Ver Mapa</v>
      </c>
    </row>
    <row r="10707" spans="1:12" ht="29" x14ac:dyDescent="0.35">
      <c r="A10707" s="5" t="s">
        <v>753</v>
      </c>
      <c r="B10707" s="5" t="s">
        <v>754</v>
      </c>
      <c r="C10707" s="5" t="s">
        <v>1872</v>
      </c>
      <c r="D10707" s="5" t="s">
        <v>69</v>
      </c>
      <c r="E10707" s="5" t="s">
        <v>324</v>
      </c>
      <c r="F10707" s="5" t="s">
        <v>325</v>
      </c>
      <c r="G10707" s="5" t="s">
        <v>326</v>
      </c>
      <c r="H10707" s="5" t="s">
        <v>327</v>
      </c>
      <c r="I10707" s="5" t="s">
        <v>31</v>
      </c>
      <c r="J10707" s="5">
        <v>16.791625</v>
      </c>
      <c r="K10707" s="5">
        <v>-96.674999</v>
      </c>
      <c r="L10707" s="5" t="str">
        <f>HYPERLINK("https://maps.google.com/?q=16.791625,-96.674999", "🔗 Ver Mapa")</f>
        <v>🔗 Ver Mapa</v>
      </c>
    </row>
    <row r="10708" spans="1:12" ht="29" x14ac:dyDescent="0.35">
      <c r="A10708" s="6" t="s">
        <v>753</v>
      </c>
      <c r="B10708" s="6" t="s">
        <v>754</v>
      </c>
      <c r="C10708" s="6" t="s">
        <v>1872</v>
      </c>
      <c r="D10708" s="6" t="s">
        <v>69</v>
      </c>
      <c r="E10708" s="6" t="s">
        <v>324</v>
      </c>
      <c r="F10708" s="6" t="s">
        <v>325</v>
      </c>
      <c r="G10708" s="6" t="s">
        <v>326</v>
      </c>
      <c r="H10708" s="6" t="s">
        <v>327</v>
      </c>
      <c r="I10708" s="6" t="s">
        <v>31</v>
      </c>
      <c r="J10708" s="6">
        <v>16.866371000000001</v>
      </c>
      <c r="K10708" s="6">
        <v>-96.785623000000001</v>
      </c>
      <c r="L10708" s="6" t="str">
        <f>HYPERLINK("https://maps.google.com/?q=16.866371,-96.785623000000001", "🔗 Ver Mapa")</f>
        <v>🔗 Ver Mapa</v>
      </c>
    </row>
    <row r="10709" spans="1:12" ht="29" x14ac:dyDescent="0.35">
      <c r="A10709" s="5" t="s">
        <v>753</v>
      </c>
      <c r="B10709" s="5" t="s">
        <v>754</v>
      </c>
      <c r="C10709" s="5" t="s">
        <v>1872</v>
      </c>
      <c r="D10709" s="5" t="s">
        <v>69</v>
      </c>
      <c r="E10709" s="5" t="s">
        <v>324</v>
      </c>
      <c r="F10709" s="5" t="s">
        <v>325</v>
      </c>
      <c r="G10709" s="5" t="s">
        <v>326</v>
      </c>
      <c r="H10709" s="5" t="s">
        <v>327</v>
      </c>
      <c r="I10709" s="5" t="s">
        <v>31</v>
      </c>
      <c r="J10709" s="5">
        <v>16.950706</v>
      </c>
      <c r="K10709" s="5">
        <v>-96.750504000000006</v>
      </c>
      <c r="L10709" s="5" t="str">
        <f>HYPERLINK("https://maps.google.com/?q=16.950706,-96.750504000000006", "🔗 Ver Mapa")</f>
        <v>🔗 Ver Mapa</v>
      </c>
    </row>
    <row r="10710" spans="1:12" ht="29" x14ac:dyDescent="0.35">
      <c r="A10710" s="6" t="s">
        <v>753</v>
      </c>
      <c r="B10710" s="6" t="s">
        <v>754</v>
      </c>
      <c r="C10710" s="6" t="s">
        <v>1872</v>
      </c>
      <c r="D10710" s="6" t="s">
        <v>69</v>
      </c>
      <c r="E10710" s="6" t="s">
        <v>324</v>
      </c>
      <c r="F10710" s="6" t="s">
        <v>325</v>
      </c>
      <c r="G10710" s="6" t="s">
        <v>326</v>
      </c>
      <c r="H10710" s="6" t="s">
        <v>327</v>
      </c>
      <c r="I10710" s="6" t="s">
        <v>31</v>
      </c>
      <c r="J10710" s="6">
        <v>16.955580000000001</v>
      </c>
      <c r="K10710" s="6">
        <v>-96.479206000000005</v>
      </c>
      <c r="L10710" s="6" t="str">
        <f>HYPERLINK("https://maps.google.com/?q=16.95558,-96.479206000000005", "🔗 Ver Mapa")</f>
        <v>🔗 Ver Mapa</v>
      </c>
    </row>
    <row r="10711" spans="1:12" ht="29" x14ac:dyDescent="0.35">
      <c r="A10711" s="5" t="s">
        <v>753</v>
      </c>
      <c r="B10711" s="5" t="s">
        <v>754</v>
      </c>
      <c r="C10711" s="5" t="s">
        <v>1872</v>
      </c>
      <c r="D10711" s="5" t="s">
        <v>69</v>
      </c>
      <c r="E10711" s="5" t="s">
        <v>324</v>
      </c>
      <c r="F10711" s="5" t="s">
        <v>325</v>
      </c>
      <c r="G10711" s="5" t="s">
        <v>326</v>
      </c>
      <c r="H10711" s="5" t="s">
        <v>327</v>
      </c>
      <c r="I10711" s="5" t="s">
        <v>31</v>
      </c>
      <c r="J10711" s="5">
        <v>17.026216000000002</v>
      </c>
      <c r="K10711" s="5">
        <v>-97.928115000000005</v>
      </c>
      <c r="L10711" s="5" t="str">
        <f>HYPERLINK("https://maps.google.com/?q=17.026216,-97.928115000000005", "🔗 Ver Mapa")</f>
        <v>🔗 Ver Mapa</v>
      </c>
    </row>
    <row r="10712" spans="1:12" ht="29" x14ac:dyDescent="0.35">
      <c r="A10712" s="6" t="s">
        <v>753</v>
      </c>
      <c r="B10712" s="6" t="s">
        <v>754</v>
      </c>
      <c r="C10712" s="6" t="s">
        <v>1872</v>
      </c>
      <c r="D10712" s="6" t="s">
        <v>69</v>
      </c>
      <c r="E10712" s="6" t="s">
        <v>324</v>
      </c>
      <c r="F10712" s="6" t="s">
        <v>325</v>
      </c>
      <c r="G10712" s="6" t="s">
        <v>326</v>
      </c>
      <c r="H10712" s="6" t="s">
        <v>327</v>
      </c>
      <c r="I10712" s="6" t="s">
        <v>31</v>
      </c>
      <c r="J10712" s="6">
        <v>17.027131000000001</v>
      </c>
      <c r="K10712" s="6">
        <v>-96.077044000000001</v>
      </c>
      <c r="L10712" s="6" t="str">
        <f>HYPERLINK("https://maps.google.com/?q=17.027131,-96.077044000000001", "🔗 Ver Mapa")</f>
        <v>🔗 Ver Mapa</v>
      </c>
    </row>
    <row r="10713" spans="1:12" ht="29" x14ac:dyDescent="0.35">
      <c r="A10713" s="5" t="s">
        <v>753</v>
      </c>
      <c r="B10713" s="5" t="s">
        <v>754</v>
      </c>
      <c r="C10713" s="5" t="s">
        <v>1872</v>
      </c>
      <c r="D10713" s="5" t="s">
        <v>69</v>
      </c>
      <c r="E10713" s="5" t="s">
        <v>324</v>
      </c>
      <c r="F10713" s="5" t="s">
        <v>325</v>
      </c>
      <c r="G10713" s="5" t="s">
        <v>326</v>
      </c>
      <c r="H10713" s="5" t="s">
        <v>327</v>
      </c>
      <c r="I10713" s="5" t="s">
        <v>31</v>
      </c>
      <c r="J10713" s="5">
        <v>17.063777999999999</v>
      </c>
      <c r="K10713" s="5">
        <v>-96.729971000000006</v>
      </c>
      <c r="L10713" s="5" t="str">
        <f>HYPERLINK("https://maps.google.com/?q=17.063778,-96.729971000000006", "🔗 Ver Mapa")</f>
        <v>🔗 Ver Mapa</v>
      </c>
    </row>
    <row r="10714" spans="1:12" ht="29" x14ac:dyDescent="0.35">
      <c r="A10714" s="6" t="s">
        <v>753</v>
      </c>
      <c r="B10714" s="6" t="s">
        <v>754</v>
      </c>
      <c r="C10714" s="6" t="s">
        <v>1872</v>
      </c>
      <c r="D10714" s="6" t="s">
        <v>69</v>
      </c>
      <c r="E10714" s="6" t="s">
        <v>324</v>
      </c>
      <c r="F10714" s="6" t="s">
        <v>325</v>
      </c>
      <c r="G10714" s="6" t="s">
        <v>326</v>
      </c>
      <c r="H10714" s="6" t="s">
        <v>327</v>
      </c>
      <c r="I10714" s="6" t="s">
        <v>31</v>
      </c>
      <c r="J10714" s="6">
        <v>17.207464000000002</v>
      </c>
      <c r="K10714" s="6">
        <v>-96.801094000000006</v>
      </c>
      <c r="L10714" s="6" t="str">
        <f>HYPERLINK("https://maps.google.com/?q=17.207464,-96.801094000000006", "🔗 Ver Mapa")</f>
        <v>🔗 Ver Mapa</v>
      </c>
    </row>
    <row r="10715" spans="1:12" ht="29" x14ac:dyDescent="0.35">
      <c r="A10715" s="5" t="s">
        <v>753</v>
      </c>
      <c r="B10715" s="5" t="s">
        <v>754</v>
      </c>
      <c r="C10715" s="5" t="s">
        <v>1872</v>
      </c>
      <c r="D10715" s="5" t="s">
        <v>69</v>
      </c>
      <c r="E10715" s="5" t="s">
        <v>324</v>
      </c>
      <c r="F10715" s="5" t="s">
        <v>325</v>
      </c>
      <c r="G10715" s="5" t="s">
        <v>326</v>
      </c>
      <c r="H10715" s="5" t="s">
        <v>327</v>
      </c>
      <c r="I10715" s="5" t="s">
        <v>31</v>
      </c>
      <c r="J10715" s="5">
        <v>17.267448999999999</v>
      </c>
      <c r="K10715" s="5">
        <v>-97.680485000000004</v>
      </c>
      <c r="L10715" s="5" t="str">
        <f>HYPERLINK("https://maps.google.com/?q=17.267449,-97.680485000000004", "🔗 Ver Mapa")</f>
        <v>🔗 Ver Mapa</v>
      </c>
    </row>
    <row r="10716" spans="1:12" ht="29" x14ac:dyDescent="0.35">
      <c r="A10716" s="6" t="s">
        <v>753</v>
      </c>
      <c r="B10716" s="6" t="s">
        <v>754</v>
      </c>
      <c r="C10716" s="6" t="s">
        <v>1872</v>
      </c>
      <c r="D10716" s="6" t="s">
        <v>69</v>
      </c>
      <c r="E10716" s="6" t="s">
        <v>324</v>
      </c>
      <c r="F10716" s="6" t="s">
        <v>325</v>
      </c>
      <c r="G10716" s="6" t="s">
        <v>326</v>
      </c>
      <c r="H10716" s="6" t="s">
        <v>327</v>
      </c>
      <c r="I10716" s="6" t="s">
        <v>31</v>
      </c>
      <c r="J10716" s="6">
        <v>17.331247999999999</v>
      </c>
      <c r="K10716" s="6">
        <v>-96.487900999999994</v>
      </c>
      <c r="L10716" s="6" t="str">
        <f>HYPERLINK("https://maps.google.com/?q=17.331248,-96.487900999999994", "🔗 Ver Mapa")</f>
        <v>🔗 Ver Mapa</v>
      </c>
    </row>
    <row r="10717" spans="1:12" ht="29" x14ac:dyDescent="0.35">
      <c r="A10717" s="5" t="s">
        <v>753</v>
      </c>
      <c r="B10717" s="5" t="s">
        <v>754</v>
      </c>
      <c r="C10717" s="5" t="s">
        <v>1872</v>
      </c>
      <c r="D10717" s="5" t="s">
        <v>69</v>
      </c>
      <c r="E10717" s="5" t="s">
        <v>324</v>
      </c>
      <c r="F10717" s="5" t="s">
        <v>325</v>
      </c>
      <c r="G10717" s="5" t="s">
        <v>326</v>
      </c>
      <c r="H10717" s="5" t="s">
        <v>327</v>
      </c>
      <c r="I10717" s="5" t="s">
        <v>31</v>
      </c>
      <c r="J10717" s="5">
        <v>17.335315999999999</v>
      </c>
      <c r="K10717" s="5">
        <v>-98.012051</v>
      </c>
      <c r="L10717" s="5" t="str">
        <f>HYPERLINK("https://maps.google.com/?q=17.335316,-98.012051", "🔗 Ver Mapa")</f>
        <v>🔗 Ver Mapa</v>
      </c>
    </row>
    <row r="10718" spans="1:12" ht="29" x14ac:dyDescent="0.35">
      <c r="A10718" s="6" t="s">
        <v>753</v>
      </c>
      <c r="B10718" s="6" t="s">
        <v>754</v>
      </c>
      <c r="C10718" s="6" t="s">
        <v>1872</v>
      </c>
      <c r="D10718" s="6" t="s">
        <v>69</v>
      </c>
      <c r="E10718" s="6" t="s">
        <v>324</v>
      </c>
      <c r="F10718" s="6" t="s">
        <v>325</v>
      </c>
      <c r="G10718" s="6" t="s">
        <v>326</v>
      </c>
      <c r="H10718" s="6" t="s">
        <v>327</v>
      </c>
      <c r="I10718" s="6" t="s">
        <v>31</v>
      </c>
      <c r="J10718" s="6">
        <v>17.338730000000002</v>
      </c>
      <c r="K10718" s="6">
        <v>-96.152553999999995</v>
      </c>
      <c r="L10718" s="6" t="str">
        <f>HYPERLINK("https://maps.google.com/?q=17.33873,-96.152553999999995", "🔗 Ver Mapa")</f>
        <v>🔗 Ver Mapa</v>
      </c>
    </row>
    <row r="10719" spans="1:12" ht="29" x14ac:dyDescent="0.35">
      <c r="A10719" s="5" t="s">
        <v>753</v>
      </c>
      <c r="B10719" s="5" t="s">
        <v>754</v>
      </c>
      <c r="C10719" s="5" t="s">
        <v>1872</v>
      </c>
      <c r="D10719" s="5" t="s">
        <v>69</v>
      </c>
      <c r="E10719" s="5" t="s">
        <v>324</v>
      </c>
      <c r="F10719" s="5" t="s">
        <v>325</v>
      </c>
      <c r="G10719" s="5" t="s">
        <v>326</v>
      </c>
      <c r="H10719" s="5" t="s">
        <v>327</v>
      </c>
      <c r="I10719" s="5" t="s">
        <v>31</v>
      </c>
      <c r="J10719" s="5">
        <v>17.361765999999999</v>
      </c>
      <c r="K10719" s="5">
        <v>-95.922253999999995</v>
      </c>
      <c r="L10719" s="5" t="str">
        <f>HYPERLINK("https://maps.google.com/?q=17.361766,-95.922253999999995", "🔗 Ver Mapa")</f>
        <v>🔗 Ver Mapa</v>
      </c>
    </row>
    <row r="10720" spans="1:12" ht="29" x14ac:dyDescent="0.35">
      <c r="A10720" s="6" t="s">
        <v>753</v>
      </c>
      <c r="B10720" s="6" t="s">
        <v>754</v>
      </c>
      <c r="C10720" s="6" t="s">
        <v>1872</v>
      </c>
      <c r="D10720" s="6" t="s">
        <v>69</v>
      </c>
      <c r="E10720" s="6" t="s">
        <v>324</v>
      </c>
      <c r="F10720" s="6" t="s">
        <v>325</v>
      </c>
      <c r="G10720" s="6" t="s">
        <v>326</v>
      </c>
      <c r="H10720" s="6" t="s">
        <v>327</v>
      </c>
      <c r="I10720" s="6" t="s">
        <v>31</v>
      </c>
      <c r="J10720" s="6">
        <v>17.458341000000001</v>
      </c>
      <c r="K10720" s="6">
        <v>-97.225285</v>
      </c>
      <c r="L10720" s="6" t="str">
        <f>HYPERLINK("https://maps.google.com/?q=17.458341,-97.225285", "🔗 Ver Mapa")</f>
        <v>🔗 Ver Mapa</v>
      </c>
    </row>
    <row r="10721" spans="1:12" ht="29" x14ac:dyDescent="0.35">
      <c r="A10721" s="5" t="s">
        <v>753</v>
      </c>
      <c r="B10721" s="5" t="s">
        <v>754</v>
      </c>
      <c r="C10721" s="5" t="s">
        <v>1872</v>
      </c>
      <c r="D10721" s="5" t="s">
        <v>69</v>
      </c>
      <c r="E10721" s="5" t="s">
        <v>324</v>
      </c>
      <c r="F10721" s="5" t="s">
        <v>325</v>
      </c>
      <c r="G10721" s="5" t="s">
        <v>326</v>
      </c>
      <c r="H10721" s="5" t="s">
        <v>327</v>
      </c>
      <c r="I10721" s="5" t="s">
        <v>31</v>
      </c>
      <c r="J10721" s="5">
        <v>17.501442000000001</v>
      </c>
      <c r="K10721" s="5">
        <v>-98.142583999999999</v>
      </c>
      <c r="L10721" s="5" t="str">
        <f>HYPERLINK("https://maps.google.com/?q=17.501442,-98.142583999999999", "🔗 Ver Mapa")</f>
        <v>🔗 Ver Mapa</v>
      </c>
    </row>
    <row r="10722" spans="1:12" ht="29" x14ac:dyDescent="0.35">
      <c r="A10722" s="6" t="s">
        <v>753</v>
      </c>
      <c r="B10722" s="6" t="s">
        <v>754</v>
      </c>
      <c r="C10722" s="6" t="s">
        <v>1872</v>
      </c>
      <c r="D10722" s="6" t="s">
        <v>69</v>
      </c>
      <c r="E10722" s="6" t="s">
        <v>324</v>
      </c>
      <c r="F10722" s="6" t="s">
        <v>325</v>
      </c>
      <c r="G10722" s="6" t="s">
        <v>326</v>
      </c>
      <c r="H10722" s="6" t="s">
        <v>327</v>
      </c>
      <c r="I10722" s="6" t="s">
        <v>31</v>
      </c>
      <c r="J10722" s="6">
        <v>17.511838000000001</v>
      </c>
      <c r="K10722" s="6">
        <v>-97.488547999999994</v>
      </c>
      <c r="L10722" s="6" t="str">
        <f>HYPERLINK("https://maps.google.com/?q=17.511838,-97.488547999999994", "🔗 Ver Mapa")</f>
        <v>🔗 Ver Mapa</v>
      </c>
    </row>
    <row r="10723" spans="1:12" ht="29" x14ac:dyDescent="0.35">
      <c r="A10723" s="5" t="s">
        <v>753</v>
      </c>
      <c r="B10723" s="5" t="s">
        <v>754</v>
      </c>
      <c r="C10723" s="5" t="s">
        <v>1872</v>
      </c>
      <c r="D10723" s="5" t="s">
        <v>69</v>
      </c>
      <c r="E10723" s="5" t="s">
        <v>324</v>
      </c>
      <c r="F10723" s="5" t="s">
        <v>325</v>
      </c>
      <c r="G10723" s="5" t="s">
        <v>326</v>
      </c>
      <c r="H10723" s="5" t="s">
        <v>327</v>
      </c>
      <c r="I10723" s="5" t="s">
        <v>31</v>
      </c>
      <c r="J10723" s="5">
        <v>17.724615</v>
      </c>
      <c r="K10723" s="5">
        <v>-97.323898</v>
      </c>
      <c r="L10723" s="5" t="str">
        <f>HYPERLINK("https://maps.google.com/?q=17.724615,-97.323898", "🔗 Ver Mapa")</f>
        <v>🔗 Ver Mapa</v>
      </c>
    </row>
    <row r="10724" spans="1:12" ht="29" x14ac:dyDescent="0.35">
      <c r="A10724" s="6" t="s">
        <v>753</v>
      </c>
      <c r="B10724" s="6" t="s">
        <v>754</v>
      </c>
      <c r="C10724" s="6" t="s">
        <v>1872</v>
      </c>
      <c r="D10724" s="6" t="s">
        <v>69</v>
      </c>
      <c r="E10724" s="6" t="s">
        <v>324</v>
      </c>
      <c r="F10724" s="6" t="s">
        <v>325</v>
      </c>
      <c r="G10724" s="6" t="s">
        <v>326</v>
      </c>
      <c r="H10724" s="6" t="s">
        <v>327</v>
      </c>
      <c r="I10724" s="6" t="s">
        <v>31</v>
      </c>
      <c r="J10724" s="6">
        <v>17.801687000000001</v>
      </c>
      <c r="K10724" s="6">
        <v>-96.959688</v>
      </c>
      <c r="L10724" s="6" t="str">
        <f>HYPERLINK("https://maps.google.com/?q=17.801687,-96.959688", "🔗 Ver Mapa")</f>
        <v>🔗 Ver Mapa</v>
      </c>
    </row>
    <row r="10725" spans="1:12" ht="29" x14ac:dyDescent="0.35">
      <c r="A10725" s="5" t="s">
        <v>753</v>
      </c>
      <c r="B10725" s="5" t="s">
        <v>754</v>
      </c>
      <c r="C10725" s="5" t="s">
        <v>1872</v>
      </c>
      <c r="D10725" s="5" t="s">
        <v>69</v>
      </c>
      <c r="E10725" s="5" t="s">
        <v>324</v>
      </c>
      <c r="F10725" s="5" t="s">
        <v>325</v>
      </c>
      <c r="G10725" s="5" t="s">
        <v>326</v>
      </c>
      <c r="H10725" s="5" t="s">
        <v>327</v>
      </c>
      <c r="I10725" s="5" t="s">
        <v>31</v>
      </c>
      <c r="J10725" s="5">
        <v>17.806621</v>
      </c>
      <c r="K10725" s="5">
        <v>-97.776161999999999</v>
      </c>
      <c r="L10725" s="5" t="str">
        <f>HYPERLINK("https://maps.google.com/?q=17.806621,-97.776161999999999", "🔗 Ver Mapa")</f>
        <v>🔗 Ver Mapa</v>
      </c>
    </row>
    <row r="10726" spans="1:12" ht="29" x14ac:dyDescent="0.35">
      <c r="A10726" s="6" t="s">
        <v>753</v>
      </c>
      <c r="B10726" s="6" t="s">
        <v>754</v>
      </c>
      <c r="C10726" s="6" t="s">
        <v>1872</v>
      </c>
      <c r="D10726" s="6" t="s">
        <v>69</v>
      </c>
      <c r="E10726" s="6" t="s">
        <v>324</v>
      </c>
      <c r="F10726" s="6" t="s">
        <v>325</v>
      </c>
      <c r="G10726" s="6" t="s">
        <v>326</v>
      </c>
      <c r="H10726" s="6" t="s">
        <v>327</v>
      </c>
      <c r="I10726" s="6" t="s">
        <v>31</v>
      </c>
      <c r="J10726" s="6">
        <v>18.081168999999999</v>
      </c>
      <c r="K10726" s="6">
        <v>-96.118475000000004</v>
      </c>
      <c r="L10726" s="6" t="str">
        <f>HYPERLINK("https://maps.google.com/?q=18.081169,-96.118475000000004", "🔗 Ver Mapa")</f>
        <v>🔗 Ver Mapa</v>
      </c>
    </row>
    <row r="10727" spans="1:12" ht="29" x14ac:dyDescent="0.35">
      <c r="A10727" s="5" t="s">
        <v>753</v>
      </c>
      <c r="B10727" s="5" t="s">
        <v>754</v>
      </c>
      <c r="C10727" s="5" t="s">
        <v>1872</v>
      </c>
      <c r="D10727" s="5" t="s">
        <v>69</v>
      </c>
      <c r="E10727" s="5" t="s">
        <v>324</v>
      </c>
      <c r="F10727" s="5" t="s">
        <v>325</v>
      </c>
      <c r="G10727" s="5" t="s">
        <v>326</v>
      </c>
      <c r="H10727" s="5" t="s">
        <v>327</v>
      </c>
      <c r="I10727" s="5" t="s">
        <v>31</v>
      </c>
      <c r="J10727" s="5">
        <v>18.13222</v>
      </c>
      <c r="K10727" s="5">
        <v>-97.070751000000001</v>
      </c>
      <c r="L10727" s="5" t="str">
        <f>HYPERLINK("https://maps.google.com/?q=18.13222,-97.070751000000001", "🔗 Ver Mapa")</f>
        <v>🔗 Ver Mapa</v>
      </c>
    </row>
    <row r="10728" spans="1:12" ht="29" x14ac:dyDescent="0.35">
      <c r="A10728" s="6" t="s">
        <v>66</v>
      </c>
      <c r="B10728" s="6" t="s">
        <v>67</v>
      </c>
      <c r="C10728" s="6" t="s">
        <v>1873</v>
      </c>
      <c r="D10728" s="6" t="s">
        <v>69</v>
      </c>
      <c r="E10728" s="6" t="s">
        <v>52</v>
      </c>
      <c r="F10728" s="6" t="s">
        <v>70</v>
      </c>
      <c r="G10728" s="6" t="s">
        <v>71</v>
      </c>
      <c r="H10728" s="6" t="s">
        <v>72</v>
      </c>
      <c r="I10728" s="6" t="s">
        <v>31</v>
      </c>
      <c r="J10728" s="6">
        <v>17.078447594107999</v>
      </c>
      <c r="K10728" s="6">
        <v>-96.711226860438998</v>
      </c>
      <c r="L10728" s="6" t="str">
        <f>HYPERLINK("https://maps.google.com/?q=17.0784475941075,-96.71122686043876", "🔗 Ver Mapa")</f>
        <v>🔗 Ver Mapa</v>
      </c>
    </row>
    <row r="10729" spans="1:12" ht="43.5" x14ac:dyDescent="0.35">
      <c r="A10729" s="5" t="s">
        <v>297</v>
      </c>
      <c r="B10729" s="5" t="s">
        <v>298</v>
      </c>
      <c r="C10729" s="5" t="s">
        <v>1874</v>
      </c>
      <c r="D10729" s="5" t="s">
        <v>13</v>
      </c>
      <c r="E10729" s="5" t="s">
        <v>52</v>
      </c>
      <c r="F10729" s="5" t="s">
        <v>70</v>
      </c>
      <c r="G10729" s="5" t="s">
        <v>71</v>
      </c>
      <c r="H10729" s="5" t="s">
        <v>72</v>
      </c>
      <c r="I10729" s="5" t="s">
        <v>32</v>
      </c>
      <c r="J10729" s="5">
        <v>17.066973279999999</v>
      </c>
      <c r="K10729" s="5">
        <v>-96.743845070000006</v>
      </c>
      <c r="L10729" s="5" t="str">
        <f>HYPERLINK("https://maps.google.com/?q=17.06697328,-96.74384507", "🔗 Ver Mapa")</f>
        <v>🔗 Ver Mapa</v>
      </c>
    </row>
    <row r="10730" spans="1:12" ht="43.5" x14ac:dyDescent="0.35">
      <c r="A10730" s="6" t="s">
        <v>297</v>
      </c>
      <c r="B10730" s="6" t="s">
        <v>298</v>
      </c>
      <c r="C10730" s="6" t="s">
        <v>1874</v>
      </c>
      <c r="D10730" s="6" t="s">
        <v>13</v>
      </c>
      <c r="E10730" s="6" t="s">
        <v>52</v>
      </c>
      <c r="F10730" s="6" t="s">
        <v>70</v>
      </c>
      <c r="G10730" s="6" t="s">
        <v>71</v>
      </c>
      <c r="H10730" s="6" t="s">
        <v>72</v>
      </c>
      <c r="I10730" s="6" t="s">
        <v>32</v>
      </c>
      <c r="J10730" s="6">
        <v>17.066976749999998</v>
      </c>
      <c r="K10730" s="6">
        <v>-96.743873010000001</v>
      </c>
      <c r="L10730" s="6" t="str">
        <f>HYPERLINK("https://maps.google.com/?q=17.06697675,-96.74387301", "🔗 Ver Mapa")</f>
        <v>🔗 Ver Mapa</v>
      </c>
    </row>
    <row r="10731" spans="1:12" ht="43.5" x14ac:dyDescent="0.35">
      <c r="A10731" s="5" t="s">
        <v>297</v>
      </c>
      <c r="B10731" s="5" t="s">
        <v>298</v>
      </c>
      <c r="C10731" s="5" t="s">
        <v>1874</v>
      </c>
      <c r="D10731" s="5" t="s">
        <v>13</v>
      </c>
      <c r="E10731" s="5" t="s">
        <v>52</v>
      </c>
      <c r="F10731" s="5" t="s">
        <v>70</v>
      </c>
      <c r="G10731" s="5" t="s">
        <v>71</v>
      </c>
      <c r="H10731" s="5" t="s">
        <v>72</v>
      </c>
      <c r="I10731" s="5" t="s">
        <v>32</v>
      </c>
      <c r="J10731" s="5">
        <v>17.067066570000001</v>
      </c>
      <c r="K10731" s="5">
        <v>-96.743864650000006</v>
      </c>
      <c r="L10731" s="5" t="str">
        <f>HYPERLINK("https://maps.google.com/?q=17.06706657,-96.74386465", "🔗 Ver Mapa")</f>
        <v>🔗 Ver Mapa</v>
      </c>
    </row>
    <row r="10732" spans="1:12" ht="43.5" x14ac:dyDescent="0.35">
      <c r="A10732" s="6" t="s">
        <v>288</v>
      </c>
      <c r="B10732" s="6" t="s">
        <v>289</v>
      </c>
      <c r="C10732" s="6" t="s">
        <v>1875</v>
      </c>
      <c r="D10732" s="6" t="s">
        <v>414</v>
      </c>
      <c r="E10732" s="6" t="s">
        <v>52</v>
      </c>
      <c r="F10732" s="6" t="s">
        <v>70</v>
      </c>
      <c r="G10732" s="6" t="s">
        <v>71</v>
      </c>
      <c r="H10732" s="6" t="s">
        <v>72</v>
      </c>
      <c r="I10732" s="6" t="s">
        <v>31</v>
      </c>
      <c r="J10732" s="6">
        <v>17.057479000000001</v>
      </c>
      <c r="K10732" s="6">
        <v>-96.715885900000004</v>
      </c>
      <c r="L10732" s="6" t="str">
        <f>HYPERLINK("https://maps.google.com/?q=17.057479,-96.7158859", "🔗 Ver Mapa")</f>
        <v>🔗 Ver Mapa</v>
      </c>
    </row>
    <row r="10733" spans="1:12" ht="43.5" x14ac:dyDescent="0.35">
      <c r="A10733" s="5" t="s">
        <v>288</v>
      </c>
      <c r="B10733" s="5" t="s">
        <v>289</v>
      </c>
      <c r="C10733" s="5" t="s">
        <v>1875</v>
      </c>
      <c r="D10733" s="5" t="s">
        <v>414</v>
      </c>
      <c r="E10733" s="5" t="s">
        <v>52</v>
      </c>
      <c r="F10733" s="5" t="s">
        <v>70</v>
      </c>
      <c r="G10733" s="5" t="s">
        <v>71</v>
      </c>
      <c r="H10733" s="5" t="s">
        <v>72</v>
      </c>
      <c r="I10733" s="5" t="s">
        <v>31</v>
      </c>
      <c r="J10733" s="5">
        <v>17.062823000000002</v>
      </c>
      <c r="K10733" s="5">
        <v>-96.711264900000003</v>
      </c>
      <c r="L10733" s="5" t="str">
        <f>HYPERLINK("https://maps.google.com/?q=17.062823,-96.7112649", "🔗 Ver Mapa")</f>
        <v>🔗 Ver Mapa</v>
      </c>
    </row>
    <row r="10734" spans="1:12" ht="43.5" x14ac:dyDescent="0.35">
      <c r="A10734" s="6" t="s">
        <v>288</v>
      </c>
      <c r="B10734" s="6" t="s">
        <v>289</v>
      </c>
      <c r="C10734" s="6" t="s">
        <v>1875</v>
      </c>
      <c r="D10734" s="6" t="s">
        <v>414</v>
      </c>
      <c r="E10734" s="6" t="s">
        <v>52</v>
      </c>
      <c r="F10734" s="6" t="s">
        <v>70</v>
      </c>
      <c r="G10734" s="6" t="s">
        <v>71</v>
      </c>
      <c r="H10734" s="6" t="s">
        <v>72</v>
      </c>
      <c r="I10734" s="6" t="s">
        <v>31</v>
      </c>
      <c r="J10734" s="6">
        <v>17.063619299999999</v>
      </c>
      <c r="K10734" s="6">
        <v>-96.752750980000002</v>
      </c>
      <c r="L10734" s="6" t="str">
        <f>HYPERLINK("https://maps.google.com/?q=17.0636193,-96.75275098", "🔗 Ver Mapa")</f>
        <v>🔗 Ver Mapa</v>
      </c>
    </row>
    <row r="10735" spans="1:12" ht="43.5" x14ac:dyDescent="0.35">
      <c r="A10735" s="5" t="s">
        <v>288</v>
      </c>
      <c r="B10735" s="5" t="s">
        <v>289</v>
      </c>
      <c r="C10735" s="5" t="s">
        <v>1875</v>
      </c>
      <c r="D10735" s="5" t="s">
        <v>414</v>
      </c>
      <c r="E10735" s="5" t="s">
        <v>52</v>
      </c>
      <c r="F10735" s="5" t="s">
        <v>70</v>
      </c>
      <c r="G10735" s="5" t="s">
        <v>71</v>
      </c>
      <c r="H10735" s="5" t="s">
        <v>72</v>
      </c>
      <c r="I10735" s="5" t="s">
        <v>31</v>
      </c>
      <c r="J10735" s="5">
        <v>17.066749000000002</v>
      </c>
      <c r="K10735" s="5">
        <v>-96.728621000000004</v>
      </c>
      <c r="L10735" s="5" t="str">
        <f>HYPERLINK("https://maps.google.com/?q=17.066749,-96.7286210", "🔗 Ver Mapa")</f>
        <v>🔗 Ver Mapa</v>
      </c>
    </row>
    <row r="10736" spans="1:12" ht="43.5" x14ac:dyDescent="0.35">
      <c r="A10736" s="6" t="s">
        <v>288</v>
      </c>
      <c r="B10736" s="6" t="s">
        <v>289</v>
      </c>
      <c r="C10736" s="6" t="s">
        <v>1875</v>
      </c>
      <c r="D10736" s="6" t="s">
        <v>414</v>
      </c>
      <c r="E10736" s="6" t="s">
        <v>52</v>
      </c>
      <c r="F10736" s="6" t="s">
        <v>70</v>
      </c>
      <c r="G10736" s="6" t="s">
        <v>71</v>
      </c>
      <c r="H10736" s="6" t="s">
        <v>72</v>
      </c>
      <c r="I10736" s="6" t="s">
        <v>31</v>
      </c>
      <c r="J10736" s="6">
        <v>17.076568000000002</v>
      </c>
      <c r="K10736" s="6">
        <v>-96.715029900000005</v>
      </c>
      <c r="L10736" s="6" t="str">
        <f>HYPERLINK("https://maps.google.com/?q=17.076568,-96.7150299", "🔗 Ver Mapa")</f>
        <v>🔗 Ver Mapa</v>
      </c>
    </row>
    <row r="10737" spans="1:12" ht="43.5" x14ac:dyDescent="0.35">
      <c r="A10737" s="5" t="s">
        <v>288</v>
      </c>
      <c r="B10737" s="5" t="s">
        <v>289</v>
      </c>
      <c r="C10737" s="5" t="s">
        <v>1875</v>
      </c>
      <c r="D10737" s="5" t="s">
        <v>414</v>
      </c>
      <c r="E10737" s="5" t="s">
        <v>52</v>
      </c>
      <c r="F10737" s="5" t="s">
        <v>70</v>
      </c>
      <c r="G10737" s="5" t="s">
        <v>71</v>
      </c>
      <c r="H10737" s="5" t="s">
        <v>72</v>
      </c>
      <c r="I10737" s="5" t="s">
        <v>31</v>
      </c>
      <c r="J10737" s="5">
        <v>17.077684000000001</v>
      </c>
      <c r="K10737" s="5">
        <v>-96.739952000000002</v>
      </c>
      <c r="L10737" s="5" t="str">
        <f>HYPERLINK("https://maps.google.com/?q=17.077684,-96.7399520", "🔗 Ver Mapa")</f>
        <v>🔗 Ver Mapa</v>
      </c>
    </row>
    <row r="10738" spans="1:12" ht="58" x14ac:dyDescent="0.35">
      <c r="A10738" s="6" t="s">
        <v>288</v>
      </c>
      <c r="B10738" s="6" t="s">
        <v>289</v>
      </c>
      <c r="C10738" s="6" t="s">
        <v>1876</v>
      </c>
      <c r="D10738" s="6" t="s">
        <v>414</v>
      </c>
      <c r="E10738" s="6" t="s">
        <v>52</v>
      </c>
      <c r="F10738" s="6" t="s">
        <v>70</v>
      </c>
      <c r="G10738" s="6" t="s">
        <v>71</v>
      </c>
      <c r="H10738" s="6" t="s">
        <v>72</v>
      </c>
      <c r="I10738" s="6" t="s">
        <v>31</v>
      </c>
      <c r="J10738" s="6">
        <v>17.052858000000001</v>
      </c>
      <c r="K10738" s="6">
        <v>-96.732619</v>
      </c>
      <c r="L10738" s="6" t="str">
        <f>HYPERLINK("https://maps.google.com/?q=17.052858,-96.732619", "🔗 Ver Mapa")</f>
        <v>🔗 Ver Mapa</v>
      </c>
    </row>
    <row r="10739" spans="1:12" ht="58" x14ac:dyDescent="0.35">
      <c r="A10739" s="5" t="s">
        <v>674</v>
      </c>
      <c r="B10739" s="5" t="s">
        <v>675</v>
      </c>
      <c r="C10739" s="5" t="s">
        <v>1877</v>
      </c>
      <c r="D10739" s="5" t="s">
        <v>677</v>
      </c>
      <c r="E10739" s="5" t="s">
        <v>158</v>
      </c>
      <c r="F10739" s="5" t="s">
        <v>159</v>
      </c>
      <c r="G10739" s="5" t="s">
        <v>278</v>
      </c>
      <c r="H10739" s="5" t="s">
        <v>279</v>
      </c>
      <c r="I10739" s="5" t="s">
        <v>31</v>
      </c>
      <c r="J10739" s="5">
        <v>16.411898999999998</v>
      </c>
      <c r="K10739" s="5">
        <v>-95.040208000000007</v>
      </c>
      <c r="L10739" s="5" t="str">
        <f>HYPERLINK("https://maps.google.com/?q=16.411899,-95.040208", "🔗 Ver Mapa")</f>
        <v>🔗 Ver Mapa</v>
      </c>
    </row>
    <row r="10740" spans="1:12" ht="58" x14ac:dyDescent="0.35">
      <c r="A10740" s="6" t="s">
        <v>674</v>
      </c>
      <c r="B10740" s="6" t="s">
        <v>675</v>
      </c>
      <c r="C10740" s="6" t="s">
        <v>1877</v>
      </c>
      <c r="D10740" s="6" t="s">
        <v>677</v>
      </c>
      <c r="E10740" s="6" t="s">
        <v>158</v>
      </c>
      <c r="F10740" s="6" t="s">
        <v>159</v>
      </c>
      <c r="G10740" s="6" t="s">
        <v>278</v>
      </c>
      <c r="H10740" s="6" t="s">
        <v>279</v>
      </c>
      <c r="I10740" s="6" t="s">
        <v>31</v>
      </c>
      <c r="J10740" s="6">
        <v>16.420299</v>
      </c>
      <c r="K10740" s="6">
        <v>-95.037949999999995</v>
      </c>
      <c r="L10740" s="6" t="str">
        <f>HYPERLINK("https://maps.google.com/?q=16.420299,-95.037950", "🔗 Ver Mapa")</f>
        <v>🔗 Ver Mapa</v>
      </c>
    </row>
    <row r="10741" spans="1:12" ht="58" x14ac:dyDescent="0.35">
      <c r="A10741" s="5" t="s">
        <v>674</v>
      </c>
      <c r="B10741" s="5" t="s">
        <v>675</v>
      </c>
      <c r="C10741" s="5" t="s">
        <v>1877</v>
      </c>
      <c r="D10741" s="5" t="s">
        <v>677</v>
      </c>
      <c r="E10741" s="5" t="s">
        <v>158</v>
      </c>
      <c r="F10741" s="5" t="s">
        <v>159</v>
      </c>
      <c r="G10741" s="5" t="s">
        <v>278</v>
      </c>
      <c r="H10741" s="5" t="s">
        <v>279</v>
      </c>
      <c r="I10741" s="5" t="s">
        <v>31</v>
      </c>
      <c r="J10741" s="5">
        <v>16.427009999999999</v>
      </c>
      <c r="K10741" s="5">
        <v>-95.031840000000003</v>
      </c>
      <c r="L10741" s="5" t="str">
        <f>HYPERLINK("https://maps.google.com/?q=16.42701,-95.031840", "🔗 Ver Mapa")</f>
        <v>🔗 Ver Mapa</v>
      </c>
    </row>
    <row r="10742" spans="1:12" ht="72.5" x14ac:dyDescent="0.35">
      <c r="A10742" s="6" t="s">
        <v>674</v>
      </c>
      <c r="B10742" s="6" t="s">
        <v>675</v>
      </c>
      <c r="C10742" s="6" t="s">
        <v>1878</v>
      </c>
      <c r="D10742" s="6" t="s">
        <v>677</v>
      </c>
      <c r="E10742" s="6" t="s">
        <v>158</v>
      </c>
      <c r="F10742" s="6" t="s">
        <v>159</v>
      </c>
      <c r="G10742" s="6" t="s">
        <v>739</v>
      </c>
      <c r="H10742" s="6" t="s">
        <v>1879</v>
      </c>
      <c r="I10742" s="6" t="s">
        <v>31</v>
      </c>
      <c r="J10742" s="6">
        <v>16.726823</v>
      </c>
      <c r="K10742" s="6">
        <v>-94.897148000000001</v>
      </c>
      <c r="L10742" s="6" t="str">
        <f>HYPERLINK("https://maps.google.com/?q=16.726823,-94.897148", "🔗 Ver Mapa")</f>
        <v>🔗 Ver Mapa</v>
      </c>
    </row>
    <row r="10743" spans="1:12" ht="72.5" x14ac:dyDescent="0.35">
      <c r="A10743" s="5" t="s">
        <v>674</v>
      </c>
      <c r="B10743" s="5" t="s">
        <v>675</v>
      </c>
      <c r="C10743" s="5" t="s">
        <v>1878</v>
      </c>
      <c r="D10743" s="5" t="s">
        <v>677</v>
      </c>
      <c r="E10743" s="5" t="s">
        <v>158</v>
      </c>
      <c r="F10743" s="5" t="s">
        <v>159</v>
      </c>
      <c r="G10743" s="5" t="s">
        <v>739</v>
      </c>
      <c r="H10743" s="5" t="s">
        <v>1879</v>
      </c>
      <c r="I10743" s="5" t="s">
        <v>31</v>
      </c>
      <c r="J10743" s="5">
        <v>16.730439000000001</v>
      </c>
      <c r="K10743" s="5">
        <v>-94.898475000000005</v>
      </c>
      <c r="L10743" s="5" t="str">
        <f>HYPERLINK("https://maps.google.com/?q=16.730439,-94.898475", "🔗 Ver Mapa")</f>
        <v>🔗 Ver Mapa</v>
      </c>
    </row>
    <row r="10744" spans="1:12" ht="72.5" x14ac:dyDescent="0.35">
      <c r="A10744" s="6" t="s">
        <v>674</v>
      </c>
      <c r="B10744" s="6" t="s">
        <v>675</v>
      </c>
      <c r="C10744" s="6" t="s">
        <v>1878</v>
      </c>
      <c r="D10744" s="6" t="s">
        <v>677</v>
      </c>
      <c r="E10744" s="6" t="s">
        <v>158</v>
      </c>
      <c r="F10744" s="6" t="s">
        <v>159</v>
      </c>
      <c r="G10744" s="6" t="s">
        <v>739</v>
      </c>
      <c r="H10744" s="6" t="s">
        <v>1879</v>
      </c>
      <c r="I10744" s="6" t="s">
        <v>31</v>
      </c>
      <c r="J10744" s="6">
        <v>16.734100999999999</v>
      </c>
      <c r="K10744" s="6" t="s">
        <v>1880</v>
      </c>
      <c r="L10744" s="6" t="str">
        <f>HYPERLINK("https://maps.google.com/?q=16.734101,-94.899785 ", "🔗 Ver Mapa")</f>
        <v>🔗 Ver Mapa</v>
      </c>
    </row>
    <row r="10745" spans="1:12" ht="72.5" x14ac:dyDescent="0.35">
      <c r="A10745" s="5" t="s">
        <v>674</v>
      </c>
      <c r="B10745" s="5" t="s">
        <v>675</v>
      </c>
      <c r="C10745" s="5" t="s">
        <v>1881</v>
      </c>
      <c r="D10745" s="5" t="s">
        <v>677</v>
      </c>
      <c r="E10745" s="5" t="s">
        <v>110</v>
      </c>
      <c r="F10745" s="5" t="s">
        <v>126</v>
      </c>
      <c r="G10745" s="5" t="s">
        <v>1882</v>
      </c>
      <c r="H10745" s="5" t="s">
        <v>1883</v>
      </c>
      <c r="I10745" s="5" t="s">
        <v>31</v>
      </c>
      <c r="J10745" s="5">
        <v>17.881115000000001</v>
      </c>
      <c r="K10745" s="5">
        <v>-96.872630000000001</v>
      </c>
      <c r="L10745" s="5" t="str">
        <f>HYPERLINK("https://maps.google.com/?q=17.881115,-96.872630", "🔗 Ver Mapa")</f>
        <v>🔗 Ver Mapa</v>
      </c>
    </row>
    <row r="10746" spans="1:12" ht="72.5" x14ac:dyDescent="0.35">
      <c r="A10746" s="6" t="s">
        <v>674</v>
      </c>
      <c r="B10746" s="6" t="s">
        <v>675</v>
      </c>
      <c r="C10746" s="6" t="s">
        <v>1881</v>
      </c>
      <c r="D10746" s="6" t="s">
        <v>677</v>
      </c>
      <c r="E10746" s="6" t="s">
        <v>110</v>
      </c>
      <c r="F10746" s="6" t="s">
        <v>126</v>
      </c>
      <c r="G10746" s="6" t="s">
        <v>1882</v>
      </c>
      <c r="H10746" s="6" t="s">
        <v>1883</v>
      </c>
      <c r="I10746" s="6" t="s">
        <v>31</v>
      </c>
      <c r="J10746" s="6">
        <v>17.883030999999999</v>
      </c>
      <c r="K10746" s="6">
        <v>-96.873163000000005</v>
      </c>
      <c r="L10746" s="6" t="str">
        <f>HYPERLINK("https://maps.google.com/?q=17.883031,-96.873163", "🔗 Ver Mapa")</f>
        <v>🔗 Ver Mapa</v>
      </c>
    </row>
    <row r="10747" spans="1:12" ht="72.5" x14ac:dyDescent="0.35">
      <c r="A10747" s="5" t="s">
        <v>674</v>
      </c>
      <c r="B10747" s="5" t="s">
        <v>675</v>
      </c>
      <c r="C10747" s="5" t="s">
        <v>1881</v>
      </c>
      <c r="D10747" s="5" t="s">
        <v>677</v>
      </c>
      <c r="E10747" s="5" t="s">
        <v>110</v>
      </c>
      <c r="F10747" s="5" t="s">
        <v>126</v>
      </c>
      <c r="G10747" s="5" t="s">
        <v>1882</v>
      </c>
      <c r="H10747" s="5" t="s">
        <v>1883</v>
      </c>
      <c r="I10747" s="5" t="s">
        <v>31</v>
      </c>
      <c r="J10747" s="5">
        <v>17.884505999999998</v>
      </c>
      <c r="K10747" s="5">
        <v>-96.875332</v>
      </c>
      <c r="L10747" s="5" t="str">
        <f>HYPERLINK("https://maps.google.com/?q=17.884506,-96.875332", "🔗 Ver Mapa")</f>
        <v>🔗 Ver Mapa</v>
      </c>
    </row>
    <row r="10748" spans="1:12" ht="72.5" x14ac:dyDescent="0.35">
      <c r="A10748" s="6" t="s">
        <v>674</v>
      </c>
      <c r="B10748" s="6" t="s">
        <v>675</v>
      </c>
      <c r="C10748" s="6" t="s">
        <v>1884</v>
      </c>
      <c r="D10748" s="6" t="s">
        <v>677</v>
      </c>
      <c r="E10748" s="6" t="s">
        <v>110</v>
      </c>
      <c r="F10748" s="6" t="s">
        <v>111</v>
      </c>
      <c r="G10748" s="6" t="s">
        <v>1885</v>
      </c>
      <c r="H10748" s="6" t="s">
        <v>1886</v>
      </c>
      <c r="I10748" s="6" t="s">
        <v>31</v>
      </c>
      <c r="J10748" s="6">
        <v>18.225515000000001</v>
      </c>
      <c r="K10748" s="6">
        <v>-96.863355999999996</v>
      </c>
      <c r="L10748" s="6" t="str">
        <f>HYPERLINK("https://maps.google.com/?q=18.225515,-96.863356", "🔗 Ver Mapa")</f>
        <v>🔗 Ver Mapa</v>
      </c>
    </row>
    <row r="10749" spans="1:12" ht="72.5" x14ac:dyDescent="0.35">
      <c r="A10749" s="5" t="s">
        <v>674</v>
      </c>
      <c r="B10749" s="5" t="s">
        <v>675</v>
      </c>
      <c r="C10749" s="5" t="s">
        <v>1884</v>
      </c>
      <c r="D10749" s="5" t="s">
        <v>677</v>
      </c>
      <c r="E10749" s="5" t="s">
        <v>110</v>
      </c>
      <c r="F10749" s="5" t="s">
        <v>111</v>
      </c>
      <c r="G10749" s="5" t="s">
        <v>1885</v>
      </c>
      <c r="H10749" s="5" t="s">
        <v>1886</v>
      </c>
      <c r="I10749" s="5" t="s">
        <v>31</v>
      </c>
      <c r="J10749" s="5">
        <v>18.228164</v>
      </c>
      <c r="K10749" s="5">
        <v>-96.862099000000001</v>
      </c>
      <c r="L10749" s="5" t="str">
        <f>HYPERLINK("https://maps.google.com/?q=18.228164,-96.862099", "🔗 Ver Mapa")</f>
        <v>🔗 Ver Mapa</v>
      </c>
    </row>
    <row r="10750" spans="1:12" ht="72.5" x14ac:dyDescent="0.35">
      <c r="A10750" s="6" t="s">
        <v>674</v>
      </c>
      <c r="B10750" s="6" t="s">
        <v>675</v>
      </c>
      <c r="C10750" s="6" t="s">
        <v>1884</v>
      </c>
      <c r="D10750" s="6" t="s">
        <v>677</v>
      </c>
      <c r="E10750" s="6" t="s">
        <v>110</v>
      </c>
      <c r="F10750" s="6" t="s">
        <v>111</v>
      </c>
      <c r="G10750" s="6" t="s">
        <v>1885</v>
      </c>
      <c r="H10750" s="6" t="s">
        <v>1886</v>
      </c>
      <c r="I10750" s="6" t="s">
        <v>31</v>
      </c>
      <c r="J10750" s="6">
        <v>18.230834999999999</v>
      </c>
      <c r="K10750" s="6">
        <v>-96.860889</v>
      </c>
      <c r="L10750" s="6" t="str">
        <f>HYPERLINK("https://maps.google.com/?q=18.230835,-96.860889", "🔗 Ver Mapa")</f>
        <v>🔗 Ver Mapa</v>
      </c>
    </row>
    <row r="10751" spans="1:12" ht="58" x14ac:dyDescent="0.35">
      <c r="A10751" s="5" t="s">
        <v>98</v>
      </c>
      <c r="B10751" s="5" t="s">
        <v>99</v>
      </c>
      <c r="C10751" s="5" t="s">
        <v>1887</v>
      </c>
      <c r="D10751" s="5" t="s">
        <v>14</v>
      </c>
      <c r="E10751" s="5" t="s">
        <v>158</v>
      </c>
      <c r="F10751" s="5" t="s">
        <v>159</v>
      </c>
      <c r="G10751" s="5" t="s">
        <v>278</v>
      </c>
      <c r="H10751" s="5" t="s">
        <v>1888</v>
      </c>
      <c r="I10751" s="5" t="s">
        <v>31</v>
      </c>
      <c r="J10751" s="5">
        <v>16.551409058211</v>
      </c>
      <c r="K10751" s="5">
        <v>-94.941707984131</v>
      </c>
      <c r="L10751" s="5" t="str">
        <f>HYPERLINK("https://maps.google.com/?q=16.5514090582113,-94.941707984131199", "🔗 Ver Mapa")</f>
        <v>🔗 Ver Mapa</v>
      </c>
    </row>
    <row r="10752" spans="1:12" ht="58" x14ac:dyDescent="0.35">
      <c r="A10752" s="6" t="s">
        <v>98</v>
      </c>
      <c r="B10752" s="6" t="s">
        <v>99</v>
      </c>
      <c r="C10752" s="6" t="s">
        <v>1887</v>
      </c>
      <c r="D10752" s="6" t="s">
        <v>14</v>
      </c>
      <c r="E10752" s="6" t="s">
        <v>158</v>
      </c>
      <c r="F10752" s="6" t="s">
        <v>159</v>
      </c>
      <c r="G10752" s="6" t="s">
        <v>278</v>
      </c>
      <c r="H10752" s="6" t="s">
        <v>1888</v>
      </c>
      <c r="I10752" s="6" t="s">
        <v>31</v>
      </c>
      <c r="J10752" s="6">
        <v>16.552185519902999</v>
      </c>
      <c r="K10752" s="6">
        <v>-94.941361979167993</v>
      </c>
      <c r="L10752" s="6" t="str">
        <f>HYPERLINK("https://maps.google.com/?q=16.5521855199029,-94.941361979168306", "🔗 Ver Mapa")</f>
        <v>🔗 Ver Mapa</v>
      </c>
    </row>
    <row r="10753" spans="1:12" ht="58" x14ac:dyDescent="0.35">
      <c r="A10753" s="5" t="s">
        <v>98</v>
      </c>
      <c r="B10753" s="5" t="s">
        <v>99</v>
      </c>
      <c r="C10753" s="5" t="s">
        <v>1887</v>
      </c>
      <c r="D10753" s="5" t="s">
        <v>14</v>
      </c>
      <c r="E10753" s="5" t="s">
        <v>158</v>
      </c>
      <c r="F10753" s="5" t="s">
        <v>159</v>
      </c>
      <c r="G10753" s="5" t="s">
        <v>278</v>
      </c>
      <c r="H10753" s="5" t="s">
        <v>1888</v>
      </c>
      <c r="I10753" s="5" t="s">
        <v>31</v>
      </c>
      <c r="J10753" s="5">
        <v>16.5531046336</v>
      </c>
      <c r="K10753" s="5">
        <v>-94.940944662944005</v>
      </c>
      <c r="L10753" s="5" t="str">
        <f>HYPERLINK("https://maps.google.com/?q=16.5531046335997,-94.940944662944304", "🔗 Ver Mapa")</f>
        <v>🔗 Ver Mapa</v>
      </c>
    </row>
    <row r="10754" spans="1:12" ht="58" x14ac:dyDescent="0.35">
      <c r="A10754" s="6" t="s">
        <v>98</v>
      </c>
      <c r="B10754" s="6" t="s">
        <v>99</v>
      </c>
      <c r="C10754" s="6" t="s">
        <v>1887</v>
      </c>
      <c r="D10754" s="6" t="s">
        <v>14</v>
      </c>
      <c r="E10754" s="6" t="s">
        <v>158</v>
      </c>
      <c r="F10754" s="6" t="s">
        <v>159</v>
      </c>
      <c r="G10754" s="6" t="s">
        <v>278</v>
      </c>
      <c r="H10754" s="6" t="s">
        <v>1888</v>
      </c>
      <c r="I10754" s="6" t="s">
        <v>31</v>
      </c>
      <c r="J10754" s="6">
        <v>16.553221654308999</v>
      </c>
      <c r="K10754" s="6">
        <v>-94.947453275840999</v>
      </c>
      <c r="L10754" s="6" t="str">
        <f>HYPERLINK("https://maps.google.com/?q=16.553221654309,-94.947453275840601", "🔗 Ver Mapa")</f>
        <v>🔗 Ver Mapa</v>
      </c>
    </row>
    <row r="10755" spans="1:12" ht="58" x14ac:dyDescent="0.35">
      <c r="A10755" s="5" t="s">
        <v>98</v>
      </c>
      <c r="B10755" s="5" t="s">
        <v>99</v>
      </c>
      <c r="C10755" s="5" t="s">
        <v>1887</v>
      </c>
      <c r="D10755" s="5" t="s">
        <v>14</v>
      </c>
      <c r="E10755" s="5" t="s">
        <v>158</v>
      </c>
      <c r="F10755" s="5" t="s">
        <v>159</v>
      </c>
      <c r="G10755" s="5" t="s">
        <v>278</v>
      </c>
      <c r="H10755" s="5" t="s">
        <v>1888</v>
      </c>
      <c r="I10755" s="5" t="s">
        <v>31</v>
      </c>
      <c r="J10755" s="5">
        <v>16.554419758119</v>
      </c>
      <c r="K10755" s="5">
        <v>-94.940130845230001</v>
      </c>
      <c r="L10755" s="5" t="str">
        <f>HYPERLINK("https://maps.google.com/?q=16.5544197581188,-94.940130845230001", "🔗 Ver Mapa")</f>
        <v>🔗 Ver Mapa</v>
      </c>
    </row>
    <row r="10756" spans="1:12" ht="43.5" x14ac:dyDescent="0.35">
      <c r="A10756" s="6" t="s">
        <v>98</v>
      </c>
      <c r="B10756" s="6" t="s">
        <v>99</v>
      </c>
      <c r="C10756" s="6" t="s">
        <v>1889</v>
      </c>
      <c r="D10756" s="6" t="s">
        <v>14</v>
      </c>
      <c r="E10756" s="6" t="s">
        <v>16</v>
      </c>
      <c r="F10756" s="6" t="s">
        <v>19</v>
      </c>
      <c r="G10756" s="6" t="s">
        <v>199</v>
      </c>
      <c r="H10756" s="6" t="s">
        <v>200</v>
      </c>
      <c r="I10756" s="6" t="s">
        <v>31</v>
      </c>
      <c r="J10756" s="6">
        <v>17.452003000000001</v>
      </c>
      <c r="K10756" s="6">
        <v>-97.225561999999996</v>
      </c>
      <c r="L10756" s="6" t="str">
        <f>HYPERLINK("https://maps.google.com/?q=17.452003,-97.225561999999996", "🔗 Ver Mapa")</f>
        <v>🔗 Ver Mapa</v>
      </c>
    </row>
    <row r="10757" spans="1:12" ht="43.5" x14ac:dyDescent="0.35">
      <c r="A10757" s="5" t="s">
        <v>98</v>
      </c>
      <c r="B10757" s="5" t="s">
        <v>99</v>
      </c>
      <c r="C10757" s="5" t="s">
        <v>1889</v>
      </c>
      <c r="D10757" s="5" t="s">
        <v>14</v>
      </c>
      <c r="E10757" s="5" t="s">
        <v>16</v>
      </c>
      <c r="F10757" s="5" t="s">
        <v>19</v>
      </c>
      <c r="G10757" s="5" t="s">
        <v>199</v>
      </c>
      <c r="H10757" s="5" t="s">
        <v>200</v>
      </c>
      <c r="I10757" s="5" t="s">
        <v>31</v>
      </c>
      <c r="J10757" s="5">
        <v>17.452715000000001</v>
      </c>
      <c r="K10757" s="5">
        <v>-97.224541000000002</v>
      </c>
      <c r="L10757" s="5" t="str">
        <f>HYPERLINK("https://maps.google.com/?q=17.452715,-97.224541000000002", "🔗 Ver Mapa")</f>
        <v>🔗 Ver Mapa</v>
      </c>
    </row>
    <row r="10758" spans="1:12" ht="43.5" x14ac:dyDescent="0.35">
      <c r="A10758" s="6" t="s">
        <v>98</v>
      </c>
      <c r="B10758" s="6" t="s">
        <v>99</v>
      </c>
      <c r="C10758" s="6" t="s">
        <v>1889</v>
      </c>
      <c r="D10758" s="6" t="s">
        <v>14</v>
      </c>
      <c r="E10758" s="6" t="s">
        <v>16</v>
      </c>
      <c r="F10758" s="6" t="s">
        <v>19</v>
      </c>
      <c r="G10758" s="6" t="s">
        <v>199</v>
      </c>
      <c r="H10758" s="6" t="s">
        <v>200</v>
      </c>
      <c r="I10758" s="6" t="s">
        <v>31</v>
      </c>
      <c r="J10758" s="6">
        <v>17.454733999999998</v>
      </c>
      <c r="K10758" s="6">
        <v>-97.224063000000001</v>
      </c>
      <c r="L10758" s="6" t="str">
        <f>HYPERLINK("https://maps.google.com/?q=17.454734,-97.224063000000001", "🔗 Ver Mapa")</f>
        <v>🔗 Ver Mapa</v>
      </c>
    </row>
    <row r="10759" spans="1:12" ht="43.5" x14ac:dyDescent="0.35">
      <c r="A10759" s="5" t="s">
        <v>98</v>
      </c>
      <c r="B10759" s="5" t="s">
        <v>99</v>
      </c>
      <c r="C10759" s="5" t="s">
        <v>1889</v>
      </c>
      <c r="D10759" s="5" t="s">
        <v>14</v>
      </c>
      <c r="E10759" s="5" t="s">
        <v>16</v>
      </c>
      <c r="F10759" s="5" t="s">
        <v>19</v>
      </c>
      <c r="G10759" s="5" t="s">
        <v>199</v>
      </c>
      <c r="H10759" s="5" t="s">
        <v>200</v>
      </c>
      <c r="I10759" s="5" t="s">
        <v>31</v>
      </c>
      <c r="J10759" s="5">
        <v>17.455006999999998</v>
      </c>
      <c r="K10759" s="5">
        <v>-97.224700999999996</v>
      </c>
      <c r="L10759" s="5" t="str">
        <f>HYPERLINK("https://maps.google.com/?q=17.455007,-97.224700999999996", "🔗 Ver Mapa")</f>
        <v>🔗 Ver Mapa</v>
      </c>
    </row>
    <row r="10760" spans="1:12" ht="43.5" x14ac:dyDescent="0.35">
      <c r="A10760" s="6" t="s">
        <v>98</v>
      </c>
      <c r="B10760" s="6" t="s">
        <v>99</v>
      </c>
      <c r="C10760" s="6" t="s">
        <v>1889</v>
      </c>
      <c r="D10760" s="6" t="s">
        <v>14</v>
      </c>
      <c r="E10760" s="6" t="s">
        <v>16</v>
      </c>
      <c r="F10760" s="6" t="s">
        <v>19</v>
      </c>
      <c r="G10760" s="6" t="s">
        <v>199</v>
      </c>
      <c r="H10760" s="6" t="s">
        <v>200</v>
      </c>
      <c r="I10760" s="6" t="s">
        <v>31</v>
      </c>
      <c r="J10760" s="6">
        <v>17.455617</v>
      </c>
      <c r="K10760" s="6">
        <v>-97.223950000000002</v>
      </c>
      <c r="L10760" s="6" t="str">
        <f>HYPERLINK("https://maps.google.com/?q=17.455617,-97.223950000000002", "🔗 Ver Mapa")</f>
        <v>🔗 Ver Mapa</v>
      </c>
    </row>
    <row r="10761" spans="1:12" ht="43.5" x14ac:dyDescent="0.35">
      <c r="A10761" s="5" t="s">
        <v>98</v>
      </c>
      <c r="B10761" s="5" t="s">
        <v>99</v>
      </c>
      <c r="C10761" s="5" t="s">
        <v>1889</v>
      </c>
      <c r="D10761" s="5" t="s">
        <v>14</v>
      </c>
      <c r="E10761" s="5" t="s">
        <v>16</v>
      </c>
      <c r="F10761" s="5" t="s">
        <v>19</v>
      </c>
      <c r="G10761" s="5" t="s">
        <v>199</v>
      </c>
      <c r="H10761" s="5" t="s">
        <v>200</v>
      </c>
      <c r="I10761" s="5" t="s">
        <v>31</v>
      </c>
      <c r="J10761" s="5">
        <v>17.455652000000001</v>
      </c>
      <c r="K10761" s="5">
        <v>-97.222747999999996</v>
      </c>
      <c r="L10761" s="5" t="str">
        <f>HYPERLINK("https://maps.google.com/?q=17.455652,-97.222747999999996", "🔗 Ver Mapa")</f>
        <v>🔗 Ver Mapa</v>
      </c>
    </row>
    <row r="10762" spans="1:12" ht="43.5" x14ac:dyDescent="0.35">
      <c r="A10762" s="6" t="s">
        <v>98</v>
      </c>
      <c r="B10762" s="6" t="s">
        <v>99</v>
      </c>
      <c r="C10762" s="6" t="s">
        <v>1889</v>
      </c>
      <c r="D10762" s="6" t="s">
        <v>14</v>
      </c>
      <c r="E10762" s="6" t="s">
        <v>16</v>
      </c>
      <c r="F10762" s="6" t="s">
        <v>19</v>
      </c>
      <c r="G10762" s="6" t="s">
        <v>199</v>
      </c>
      <c r="H10762" s="6" t="s">
        <v>200</v>
      </c>
      <c r="I10762" s="6" t="s">
        <v>31</v>
      </c>
      <c r="J10762" s="6">
        <v>17.455853999999999</v>
      </c>
      <c r="K10762" s="6">
        <v>-97.223930999999993</v>
      </c>
      <c r="L10762" s="6" t="str">
        <f>HYPERLINK("https://maps.google.com/?q=17.455854,-97.223930999999993", "🔗 Ver Mapa")</f>
        <v>🔗 Ver Mapa</v>
      </c>
    </row>
    <row r="10763" spans="1:12" ht="43.5" x14ac:dyDescent="0.35">
      <c r="A10763" s="5" t="s">
        <v>98</v>
      </c>
      <c r="B10763" s="5" t="s">
        <v>99</v>
      </c>
      <c r="C10763" s="5" t="s">
        <v>1889</v>
      </c>
      <c r="D10763" s="5" t="s">
        <v>14</v>
      </c>
      <c r="E10763" s="5" t="s">
        <v>16</v>
      </c>
      <c r="F10763" s="5" t="s">
        <v>19</v>
      </c>
      <c r="G10763" s="5" t="s">
        <v>199</v>
      </c>
      <c r="H10763" s="5" t="s">
        <v>200</v>
      </c>
      <c r="I10763" s="5" t="s">
        <v>31</v>
      </c>
      <c r="J10763" s="5">
        <v>17.455981999999999</v>
      </c>
      <c r="K10763" s="5">
        <v>-97.225240999999997</v>
      </c>
      <c r="L10763" s="5" t="str">
        <f>HYPERLINK("https://maps.google.com/?q=17.455982,-97.225240999999997", "🔗 Ver Mapa")</f>
        <v>🔗 Ver Mapa</v>
      </c>
    </row>
    <row r="10764" spans="1:12" ht="43.5" x14ac:dyDescent="0.35">
      <c r="A10764" s="6" t="s">
        <v>98</v>
      </c>
      <c r="B10764" s="6" t="s">
        <v>99</v>
      </c>
      <c r="C10764" s="6" t="s">
        <v>1889</v>
      </c>
      <c r="D10764" s="6" t="s">
        <v>14</v>
      </c>
      <c r="E10764" s="6" t="s">
        <v>16</v>
      </c>
      <c r="F10764" s="6" t="s">
        <v>19</v>
      </c>
      <c r="G10764" s="6" t="s">
        <v>199</v>
      </c>
      <c r="H10764" s="6" t="s">
        <v>200</v>
      </c>
      <c r="I10764" s="6" t="s">
        <v>31</v>
      </c>
      <c r="J10764" s="6">
        <v>17.456064000000001</v>
      </c>
      <c r="K10764" s="6">
        <v>-97.225825999999998</v>
      </c>
      <c r="L10764" s="6" t="str">
        <f>HYPERLINK("https://maps.google.com/?q=17.456064,-97.225825999999998", "🔗 Ver Mapa")</f>
        <v>🔗 Ver Mapa</v>
      </c>
    </row>
    <row r="10765" spans="1:12" ht="43.5" x14ac:dyDescent="0.35">
      <c r="A10765" s="5" t="s">
        <v>98</v>
      </c>
      <c r="B10765" s="5" t="s">
        <v>99</v>
      </c>
      <c r="C10765" s="5" t="s">
        <v>1889</v>
      </c>
      <c r="D10765" s="5" t="s">
        <v>14</v>
      </c>
      <c r="E10765" s="5" t="s">
        <v>16</v>
      </c>
      <c r="F10765" s="5" t="s">
        <v>19</v>
      </c>
      <c r="G10765" s="5" t="s">
        <v>199</v>
      </c>
      <c r="H10765" s="5" t="s">
        <v>200</v>
      </c>
      <c r="I10765" s="5" t="s">
        <v>31</v>
      </c>
      <c r="J10765" s="5">
        <v>17.456303999999999</v>
      </c>
      <c r="K10765" s="5">
        <v>-97.224744000000001</v>
      </c>
      <c r="L10765" s="5" t="str">
        <f>HYPERLINK("https://maps.google.com/?q=17.456304,-97.224744000000001", "🔗 Ver Mapa")</f>
        <v>🔗 Ver Mapa</v>
      </c>
    </row>
    <row r="10766" spans="1:12" ht="43.5" x14ac:dyDescent="0.35">
      <c r="A10766" s="6" t="s">
        <v>98</v>
      </c>
      <c r="B10766" s="6" t="s">
        <v>99</v>
      </c>
      <c r="C10766" s="6" t="s">
        <v>1889</v>
      </c>
      <c r="D10766" s="6" t="s">
        <v>14</v>
      </c>
      <c r="E10766" s="6" t="s">
        <v>16</v>
      </c>
      <c r="F10766" s="6" t="s">
        <v>19</v>
      </c>
      <c r="G10766" s="6" t="s">
        <v>199</v>
      </c>
      <c r="H10766" s="6" t="s">
        <v>200</v>
      </c>
      <c r="I10766" s="6" t="s">
        <v>31</v>
      </c>
      <c r="J10766" s="6">
        <v>17.456455999999999</v>
      </c>
      <c r="K10766" s="6">
        <v>-97.222544999999997</v>
      </c>
      <c r="L10766" s="6" t="str">
        <f>HYPERLINK("https://maps.google.com/?q=17.456456,-97.222544999999997", "🔗 Ver Mapa")</f>
        <v>🔗 Ver Mapa</v>
      </c>
    </row>
    <row r="10767" spans="1:12" ht="43.5" x14ac:dyDescent="0.35">
      <c r="A10767" s="5" t="s">
        <v>98</v>
      </c>
      <c r="B10767" s="5" t="s">
        <v>99</v>
      </c>
      <c r="C10767" s="5" t="s">
        <v>1889</v>
      </c>
      <c r="D10767" s="5" t="s">
        <v>14</v>
      </c>
      <c r="E10767" s="5" t="s">
        <v>16</v>
      </c>
      <c r="F10767" s="5" t="s">
        <v>19</v>
      </c>
      <c r="G10767" s="5" t="s">
        <v>199</v>
      </c>
      <c r="H10767" s="5" t="s">
        <v>200</v>
      </c>
      <c r="I10767" s="5" t="s">
        <v>31</v>
      </c>
      <c r="J10767" s="5">
        <v>17.457045999999998</v>
      </c>
      <c r="K10767" s="5">
        <v>-97.222431</v>
      </c>
      <c r="L10767" s="5" t="str">
        <f>HYPERLINK("https://maps.google.com/?q=17.457046,-97.222431", "🔗 Ver Mapa")</f>
        <v>🔗 Ver Mapa</v>
      </c>
    </row>
    <row r="10768" spans="1:12" ht="43.5" x14ac:dyDescent="0.35">
      <c r="A10768" s="6" t="s">
        <v>98</v>
      </c>
      <c r="B10768" s="6" t="s">
        <v>99</v>
      </c>
      <c r="C10768" s="6" t="s">
        <v>1889</v>
      </c>
      <c r="D10768" s="6" t="s">
        <v>14</v>
      </c>
      <c r="E10768" s="6" t="s">
        <v>16</v>
      </c>
      <c r="F10768" s="6" t="s">
        <v>19</v>
      </c>
      <c r="G10768" s="6" t="s">
        <v>199</v>
      </c>
      <c r="H10768" s="6" t="s">
        <v>200</v>
      </c>
      <c r="I10768" s="6" t="s">
        <v>31</v>
      </c>
      <c r="J10768" s="6">
        <v>17.458105</v>
      </c>
      <c r="K10768" s="6">
        <v>-97.221405000000004</v>
      </c>
      <c r="L10768" s="6" t="str">
        <f>HYPERLINK("https://maps.google.com/?q=17.458105,-97.221405000000004", "🔗 Ver Mapa")</f>
        <v>🔗 Ver Mapa</v>
      </c>
    </row>
    <row r="10769" spans="1:12" ht="43.5" x14ac:dyDescent="0.35">
      <c r="A10769" s="5" t="s">
        <v>98</v>
      </c>
      <c r="B10769" s="5" t="s">
        <v>99</v>
      </c>
      <c r="C10769" s="5" t="s">
        <v>1889</v>
      </c>
      <c r="D10769" s="5" t="s">
        <v>14</v>
      </c>
      <c r="E10769" s="5" t="s">
        <v>16</v>
      </c>
      <c r="F10769" s="5" t="s">
        <v>19</v>
      </c>
      <c r="G10769" s="5" t="s">
        <v>199</v>
      </c>
      <c r="H10769" s="5" t="s">
        <v>200</v>
      </c>
      <c r="I10769" s="5" t="s">
        <v>31</v>
      </c>
      <c r="J10769" s="5">
        <v>17.459288000000001</v>
      </c>
      <c r="K10769" s="5">
        <v>-97.220415000000003</v>
      </c>
      <c r="L10769" s="5" t="str">
        <f>HYPERLINK("https://maps.google.com/?q=17.459288,-97.220415000000003", "🔗 Ver Mapa")</f>
        <v>🔗 Ver Mapa</v>
      </c>
    </row>
    <row r="10770" spans="1:12" ht="43.5" x14ac:dyDescent="0.35">
      <c r="A10770" s="6" t="s">
        <v>98</v>
      </c>
      <c r="B10770" s="6" t="s">
        <v>99</v>
      </c>
      <c r="C10770" s="6" t="s">
        <v>1889</v>
      </c>
      <c r="D10770" s="6" t="s">
        <v>14</v>
      </c>
      <c r="E10770" s="6" t="s">
        <v>16</v>
      </c>
      <c r="F10770" s="6" t="s">
        <v>19</v>
      </c>
      <c r="G10770" s="6" t="s">
        <v>199</v>
      </c>
      <c r="H10770" s="6" t="s">
        <v>200</v>
      </c>
      <c r="I10770" s="6" t="s">
        <v>31</v>
      </c>
      <c r="J10770" s="6">
        <v>17.459409999999998</v>
      </c>
      <c r="K10770" s="6">
        <v>-97.222054999999997</v>
      </c>
      <c r="L10770" s="6" t="str">
        <f>HYPERLINK("https://maps.google.com/?q=17.45941,-97.222054999999997", "🔗 Ver Mapa")</f>
        <v>🔗 Ver Mapa</v>
      </c>
    </row>
    <row r="10771" spans="1:12" ht="43.5" x14ac:dyDescent="0.35">
      <c r="A10771" s="5" t="s">
        <v>98</v>
      </c>
      <c r="B10771" s="5" t="s">
        <v>99</v>
      </c>
      <c r="C10771" s="5" t="s">
        <v>1890</v>
      </c>
      <c r="D10771" s="5" t="s">
        <v>14</v>
      </c>
      <c r="E10771" s="5" t="s">
        <v>52</v>
      </c>
      <c r="F10771" s="5" t="s">
        <v>53</v>
      </c>
      <c r="G10771" s="5" t="s">
        <v>54</v>
      </c>
      <c r="H10771" s="5" t="s">
        <v>55</v>
      </c>
      <c r="I10771" s="5" t="s">
        <v>31</v>
      </c>
      <c r="J10771" s="5">
        <v>16.900921</v>
      </c>
      <c r="K10771" s="5">
        <v>-96.559983000000003</v>
      </c>
      <c r="L10771" s="5" t="str">
        <f>HYPERLINK("https://maps.google.com/?q=16.900921,-96.559983", "🔗 Ver Mapa")</f>
        <v>🔗 Ver Mapa</v>
      </c>
    </row>
    <row r="10772" spans="1:12" ht="43.5" x14ac:dyDescent="0.35">
      <c r="A10772" s="6" t="s">
        <v>98</v>
      </c>
      <c r="B10772" s="6" t="s">
        <v>99</v>
      </c>
      <c r="C10772" s="6" t="s">
        <v>1890</v>
      </c>
      <c r="D10772" s="6" t="s">
        <v>14</v>
      </c>
      <c r="E10772" s="6" t="s">
        <v>52</v>
      </c>
      <c r="F10772" s="6" t="s">
        <v>53</v>
      </c>
      <c r="G10772" s="6" t="s">
        <v>54</v>
      </c>
      <c r="H10772" s="6" t="s">
        <v>55</v>
      </c>
      <c r="I10772" s="6" t="s">
        <v>31</v>
      </c>
      <c r="J10772" s="6">
        <v>16.90428</v>
      </c>
      <c r="K10772" s="6">
        <v>-96.562102999999993</v>
      </c>
      <c r="L10772" s="6" t="str">
        <f>HYPERLINK("https://maps.google.com/?q=16.90428,-96.562103", "🔗 Ver Mapa")</f>
        <v>🔗 Ver Mapa</v>
      </c>
    </row>
    <row r="10773" spans="1:12" ht="43.5" x14ac:dyDescent="0.35">
      <c r="A10773" s="5" t="s">
        <v>98</v>
      </c>
      <c r="B10773" s="5" t="s">
        <v>99</v>
      </c>
      <c r="C10773" s="5" t="s">
        <v>1890</v>
      </c>
      <c r="D10773" s="5" t="s">
        <v>14</v>
      </c>
      <c r="E10773" s="5" t="s">
        <v>52</v>
      </c>
      <c r="F10773" s="5" t="s">
        <v>53</v>
      </c>
      <c r="G10773" s="5" t="s">
        <v>54</v>
      </c>
      <c r="H10773" s="5" t="s">
        <v>55</v>
      </c>
      <c r="I10773" s="5" t="s">
        <v>31</v>
      </c>
      <c r="J10773" s="5">
        <v>16.905073999999999</v>
      </c>
      <c r="K10773" s="5">
        <v>-96.562501999999995</v>
      </c>
      <c r="L10773" s="5" t="str">
        <f>HYPERLINK("https://maps.google.com/?q=16.905074,-96.562502", "🔗 Ver Mapa")</f>
        <v>🔗 Ver Mapa</v>
      </c>
    </row>
    <row r="10774" spans="1:12" ht="43.5" x14ac:dyDescent="0.35">
      <c r="A10774" s="6" t="s">
        <v>98</v>
      </c>
      <c r="B10774" s="6" t="s">
        <v>99</v>
      </c>
      <c r="C10774" s="6" t="s">
        <v>1890</v>
      </c>
      <c r="D10774" s="6" t="s">
        <v>14</v>
      </c>
      <c r="E10774" s="6" t="s">
        <v>52</v>
      </c>
      <c r="F10774" s="6" t="s">
        <v>53</v>
      </c>
      <c r="G10774" s="6" t="s">
        <v>54</v>
      </c>
      <c r="H10774" s="6" t="s">
        <v>55</v>
      </c>
      <c r="I10774" s="6" t="s">
        <v>31</v>
      </c>
      <c r="J10774" s="6">
        <v>16.905678999999999</v>
      </c>
      <c r="K10774" s="6">
        <v>-96.563095000000004</v>
      </c>
      <c r="L10774" s="6" t="str">
        <f>HYPERLINK("https://maps.google.com/?q=16.905679,-96.563095", "🔗 Ver Mapa")</f>
        <v>🔗 Ver Mapa</v>
      </c>
    </row>
    <row r="10775" spans="1:12" ht="43.5" x14ac:dyDescent="0.35">
      <c r="A10775" s="5" t="s">
        <v>98</v>
      </c>
      <c r="B10775" s="5" t="s">
        <v>99</v>
      </c>
      <c r="C10775" s="5" t="s">
        <v>1890</v>
      </c>
      <c r="D10775" s="5" t="s">
        <v>14</v>
      </c>
      <c r="E10775" s="5" t="s">
        <v>52</v>
      </c>
      <c r="F10775" s="5" t="s">
        <v>53</v>
      </c>
      <c r="G10775" s="5" t="s">
        <v>54</v>
      </c>
      <c r="H10775" s="5" t="s">
        <v>55</v>
      </c>
      <c r="I10775" s="5" t="s">
        <v>31</v>
      </c>
      <c r="J10775" s="5">
        <v>16.905937000000002</v>
      </c>
      <c r="K10775" s="5">
        <v>-96.563811999999999</v>
      </c>
      <c r="L10775" s="5" t="str">
        <f>HYPERLINK("https://maps.google.com/?q=16.905937,-96.563812", "🔗 Ver Mapa")</f>
        <v>🔗 Ver Mapa</v>
      </c>
    </row>
    <row r="10776" spans="1:12" ht="43.5" x14ac:dyDescent="0.35">
      <c r="A10776" s="6" t="s">
        <v>98</v>
      </c>
      <c r="B10776" s="6" t="s">
        <v>99</v>
      </c>
      <c r="C10776" s="6" t="s">
        <v>1890</v>
      </c>
      <c r="D10776" s="6" t="s">
        <v>14</v>
      </c>
      <c r="E10776" s="6" t="s">
        <v>52</v>
      </c>
      <c r="F10776" s="6" t="s">
        <v>53</v>
      </c>
      <c r="G10776" s="6" t="s">
        <v>54</v>
      </c>
      <c r="H10776" s="6" t="s">
        <v>55</v>
      </c>
      <c r="I10776" s="6" t="s">
        <v>31</v>
      </c>
      <c r="J10776" s="6">
        <v>16.906018</v>
      </c>
      <c r="K10776" s="6">
        <v>-96.564233999999999</v>
      </c>
      <c r="L10776" s="6" t="str">
        <f>HYPERLINK("https://maps.google.com/?q=16.906018,-96.564234", "🔗 Ver Mapa")</f>
        <v>🔗 Ver Mapa</v>
      </c>
    </row>
    <row r="10777" spans="1:12" ht="43.5" x14ac:dyDescent="0.35">
      <c r="A10777" s="5" t="s">
        <v>98</v>
      </c>
      <c r="B10777" s="5" t="s">
        <v>99</v>
      </c>
      <c r="C10777" s="5" t="s">
        <v>1890</v>
      </c>
      <c r="D10777" s="5" t="s">
        <v>14</v>
      </c>
      <c r="E10777" s="5" t="s">
        <v>52</v>
      </c>
      <c r="F10777" s="5" t="s">
        <v>53</v>
      </c>
      <c r="G10777" s="5" t="s">
        <v>54</v>
      </c>
      <c r="H10777" s="5" t="s">
        <v>55</v>
      </c>
      <c r="I10777" s="5" t="s">
        <v>31</v>
      </c>
      <c r="J10777" s="5">
        <v>16.906127000000001</v>
      </c>
      <c r="K10777" s="5">
        <v>-96.563908999999995</v>
      </c>
      <c r="L10777" s="5" t="str">
        <f>HYPERLINK("https://maps.google.com/?q=16.906127,-96.563909", "🔗 Ver Mapa")</f>
        <v>🔗 Ver Mapa</v>
      </c>
    </row>
    <row r="10778" spans="1:12" ht="43.5" x14ac:dyDescent="0.35">
      <c r="A10778" s="6" t="s">
        <v>98</v>
      </c>
      <c r="B10778" s="6" t="s">
        <v>99</v>
      </c>
      <c r="C10778" s="6" t="s">
        <v>1890</v>
      </c>
      <c r="D10778" s="6" t="s">
        <v>14</v>
      </c>
      <c r="E10778" s="6" t="s">
        <v>52</v>
      </c>
      <c r="F10778" s="6" t="s">
        <v>53</v>
      </c>
      <c r="G10778" s="6" t="s">
        <v>54</v>
      </c>
      <c r="H10778" s="6" t="s">
        <v>55</v>
      </c>
      <c r="I10778" s="6" t="s">
        <v>31</v>
      </c>
      <c r="J10778" s="6">
        <v>16.906697999999999</v>
      </c>
      <c r="K10778" s="6">
        <v>-96.562141999999994</v>
      </c>
      <c r="L10778" s="6" t="str">
        <f>HYPERLINK("https://maps.google.com/?q=16.906698,-96.562142", "🔗 Ver Mapa")</f>
        <v>🔗 Ver Mapa</v>
      </c>
    </row>
    <row r="10779" spans="1:12" ht="43.5" x14ac:dyDescent="0.35">
      <c r="A10779" s="5" t="s">
        <v>98</v>
      </c>
      <c r="B10779" s="5" t="s">
        <v>99</v>
      </c>
      <c r="C10779" s="5" t="s">
        <v>1890</v>
      </c>
      <c r="D10779" s="5" t="s">
        <v>14</v>
      </c>
      <c r="E10779" s="5" t="s">
        <v>52</v>
      </c>
      <c r="F10779" s="5" t="s">
        <v>53</v>
      </c>
      <c r="G10779" s="5" t="s">
        <v>54</v>
      </c>
      <c r="H10779" s="5" t="s">
        <v>55</v>
      </c>
      <c r="I10779" s="5" t="s">
        <v>31</v>
      </c>
      <c r="J10779" s="5">
        <v>16.906976</v>
      </c>
      <c r="K10779" s="5">
        <v>-96.562186999999994</v>
      </c>
      <c r="L10779" s="5" t="str">
        <f>HYPERLINK("https://maps.google.com/?q=16.906976,-96.562187", "🔗 Ver Mapa")</f>
        <v>🔗 Ver Mapa</v>
      </c>
    </row>
    <row r="10780" spans="1:12" ht="43.5" x14ac:dyDescent="0.35">
      <c r="A10780" s="6" t="s">
        <v>98</v>
      </c>
      <c r="B10780" s="6" t="s">
        <v>99</v>
      </c>
      <c r="C10780" s="6" t="s">
        <v>1890</v>
      </c>
      <c r="D10780" s="6" t="s">
        <v>14</v>
      </c>
      <c r="E10780" s="6" t="s">
        <v>52</v>
      </c>
      <c r="F10780" s="6" t="s">
        <v>53</v>
      </c>
      <c r="G10780" s="6" t="s">
        <v>54</v>
      </c>
      <c r="H10780" s="6" t="s">
        <v>55</v>
      </c>
      <c r="I10780" s="6" t="s">
        <v>31</v>
      </c>
      <c r="J10780" s="6">
        <v>16.906988999999999</v>
      </c>
      <c r="K10780" s="6">
        <v>-96.56326</v>
      </c>
      <c r="L10780" s="6" t="str">
        <f>HYPERLINK("https://maps.google.com/?q=16.906989,-96.563260", "🔗 Ver Mapa")</f>
        <v>🔗 Ver Mapa</v>
      </c>
    </row>
    <row r="10781" spans="1:12" ht="43.5" x14ac:dyDescent="0.35">
      <c r="A10781" s="5" t="s">
        <v>98</v>
      </c>
      <c r="B10781" s="5" t="s">
        <v>99</v>
      </c>
      <c r="C10781" s="5" t="s">
        <v>1891</v>
      </c>
      <c r="D10781" s="5" t="s">
        <v>14</v>
      </c>
      <c r="E10781" s="5" t="s">
        <v>158</v>
      </c>
      <c r="F10781" s="5" t="s">
        <v>159</v>
      </c>
      <c r="G10781" s="5" t="s">
        <v>278</v>
      </c>
      <c r="H10781" s="5" t="s">
        <v>279</v>
      </c>
      <c r="I10781" s="5" t="s">
        <v>31</v>
      </c>
      <c r="J10781" s="5">
        <v>16.459923983197001</v>
      </c>
      <c r="K10781" s="5">
        <v>-94.999308495395994</v>
      </c>
      <c r="L10781" s="5" t="str">
        <f>HYPERLINK("https://maps.google.com/?q=16.4599239831967,-94.999308495395795", "🔗 Ver Mapa")</f>
        <v>🔗 Ver Mapa</v>
      </c>
    </row>
    <row r="10782" spans="1:12" ht="43.5" x14ac:dyDescent="0.35">
      <c r="A10782" s="6" t="s">
        <v>98</v>
      </c>
      <c r="B10782" s="6" t="s">
        <v>99</v>
      </c>
      <c r="C10782" s="6" t="s">
        <v>1891</v>
      </c>
      <c r="D10782" s="6" t="s">
        <v>14</v>
      </c>
      <c r="E10782" s="6" t="s">
        <v>158</v>
      </c>
      <c r="F10782" s="6" t="s">
        <v>159</v>
      </c>
      <c r="G10782" s="6" t="s">
        <v>278</v>
      </c>
      <c r="H10782" s="6" t="s">
        <v>279</v>
      </c>
      <c r="I10782" s="6" t="s">
        <v>31</v>
      </c>
      <c r="J10782" s="6">
        <v>16.460255761887002</v>
      </c>
      <c r="K10782" s="6">
        <v>-94.999626981304999</v>
      </c>
      <c r="L10782" s="6" t="str">
        <f>HYPERLINK("https://maps.google.com/?q=16.4602557618867,-94.999626981304701", "🔗 Ver Mapa")</f>
        <v>🔗 Ver Mapa</v>
      </c>
    </row>
    <row r="10783" spans="1:12" ht="43.5" x14ac:dyDescent="0.35">
      <c r="A10783" s="5" t="s">
        <v>98</v>
      </c>
      <c r="B10783" s="5" t="s">
        <v>99</v>
      </c>
      <c r="C10783" s="5" t="s">
        <v>1891</v>
      </c>
      <c r="D10783" s="5" t="s">
        <v>14</v>
      </c>
      <c r="E10783" s="5" t="s">
        <v>158</v>
      </c>
      <c r="F10783" s="5" t="s">
        <v>159</v>
      </c>
      <c r="G10783" s="5" t="s">
        <v>278</v>
      </c>
      <c r="H10783" s="5" t="s">
        <v>279</v>
      </c>
      <c r="I10783" s="5" t="s">
        <v>31</v>
      </c>
      <c r="J10783" s="5">
        <v>16.460612051156001</v>
      </c>
      <c r="K10783" s="5">
        <v>-94.999144889722999</v>
      </c>
      <c r="L10783" s="5" t="str">
        <f>HYPERLINK("https://maps.google.com/?q=16.4606120511556,-94.9991448897228", "🔗 Ver Mapa")</f>
        <v>🔗 Ver Mapa</v>
      </c>
    </row>
    <row r="10784" spans="1:12" ht="43.5" x14ac:dyDescent="0.35">
      <c r="A10784" s="6" t="s">
        <v>98</v>
      </c>
      <c r="B10784" s="6" t="s">
        <v>99</v>
      </c>
      <c r="C10784" s="6" t="s">
        <v>1891</v>
      </c>
      <c r="D10784" s="6" t="s">
        <v>14</v>
      </c>
      <c r="E10784" s="6" t="s">
        <v>158</v>
      </c>
      <c r="F10784" s="6" t="s">
        <v>159</v>
      </c>
      <c r="G10784" s="6" t="s">
        <v>278</v>
      </c>
      <c r="H10784" s="6" t="s">
        <v>279</v>
      </c>
      <c r="I10784" s="6" t="s">
        <v>31</v>
      </c>
      <c r="J10784" s="6">
        <v>16.460838411489</v>
      </c>
      <c r="K10784" s="6">
        <v>-94.999555267701993</v>
      </c>
      <c r="L10784" s="6" t="str">
        <f>HYPERLINK("https://maps.google.com/?q=16.4608384114891,-94.999555267701794", "🔗 Ver Mapa")</f>
        <v>🔗 Ver Mapa</v>
      </c>
    </row>
    <row r="10785" spans="1:12" ht="43.5" x14ac:dyDescent="0.35">
      <c r="A10785" s="5" t="s">
        <v>98</v>
      </c>
      <c r="B10785" s="5" t="s">
        <v>99</v>
      </c>
      <c r="C10785" s="5" t="s">
        <v>1891</v>
      </c>
      <c r="D10785" s="5" t="s">
        <v>14</v>
      </c>
      <c r="E10785" s="5" t="s">
        <v>158</v>
      </c>
      <c r="F10785" s="5" t="s">
        <v>159</v>
      </c>
      <c r="G10785" s="5" t="s">
        <v>278</v>
      </c>
      <c r="H10785" s="5" t="s">
        <v>279</v>
      </c>
      <c r="I10785" s="5" t="s">
        <v>31</v>
      </c>
      <c r="J10785" s="5">
        <v>16.461253830880999</v>
      </c>
      <c r="K10785" s="5">
        <v>-94.999060400139001</v>
      </c>
      <c r="L10785" s="5" t="str">
        <f>HYPERLINK("https://maps.google.com/?q=16.4612538308813,-94.999060400138902", "🔗 Ver Mapa")</f>
        <v>🔗 Ver Mapa</v>
      </c>
    </row>
    <row r="10786" spans="1:12" ht="43.5" x14ac:dyDescent="0.35">
      <c r="A10786" s="6" t="s">
        <v>98</v>
      </c>
      <c r="B10786" s="6" t="s">
        <v>99</v>
      </c>
      <c r="C10786" s="6" t="s">
        <v>1892</v>
      </c>
      <c r="D10786" s="6" t="s">
        <v>14</v>
      </c>
      <c r="E10786" s="6" t="s">
        <v>158</v>
      </c>
      <c r="F10786" s="6" t="s">
        <v>159</v>
      </c>
      <c r="G10786" s="6" t="s">
        <v>278</v>
      </c>
      <c r="H10786" s="6" t="s">
        <v>279</v>
      </c>
      <c r="I10786" s="6" t="s">
        <v>31</v>
      </c>
      <c r="J10786" s="6">
        <v>16.459923983197001</v>
      </c>
      <c r="K10786" s="6">
        <v>-94.999308495395994</v>
      </c>
      <c r="L10786" s="6" t="str">
        <f>HYPERLINK("https://maps.google.com/?q=16.4599239831967,-94.999308495395795", "🔗 Ver Mapa")</f>
        <v>🔗 Ver Mapa</v>
      </c>
    </row>
    <row r="10787" spans="1:12" ht="43.5" x14ac:dyDescent="0.35">
      <c r="A10787" s="5" t="s">
        <v>98</v>
      </c>
      <c r="B10787" s="5" t="s">
        <v>99</v>
      </c>
      <c r="C10787" s="5" t="s">
        <v>1892</v>
      </c>
      <c r="D10787" s="5" t="s">
        <v>14</v>
      </c>
      <c r="E10787" s="5" t="s">
        <v>158</v>
      </c>
      <c r="F10787" s="5" t="s">
        <v>159</v>
      </c>
      <c r="G10787" s="5" t="s">
        <v>278</v>
      </c>
      <c r="H10787" s="5" t="s">
        <v>279</v>
      </c>
      <c r="I10787" s="5" t="s">
        <v>31</v>
      </c>
      <c r="J10787" s="5">
        <v>16.460255761887002</v>
      </c>
      <c r="K10787" s="5">
        <v>-94.999626981304999</v>
      </c>
      <c r="L10787" s="5" t="str">
        <f>HYPERLINK("https://maps.google.com/?q=16.4602557618867,-94.999626981304701", "🔗 Ver Mapa")</f>
        <v>🔗 Ver Mapa</v>
      </c>
    </row>
    <row r="10788" spans="1:12" ht="43.5" x14ac:dyDescent="0.35">
      <c r="A10788" s="6" t="s">
        <v>98</v>
      </c>
      <c r="B10788" s="6" t="s">
        <v>99</v>
      </c>
      <c r="C10788" s="6" t="s">
        <v>1892</v>
      </c>
      <c r="D10788" s="6" t="s">
        <v>14</v>
      </c>
      <c r="E10788" s="6" t="s">
        <v>158</v>
      </c>
      <c r="F10788" s="6" t="s">
        <v>159</v>
      </c>
      <c r="G10788" s="6" t="s">
        <v>278</v>
      </c>
      <c r="H10788" s="6" t="s">
        <v>279</v>
      </c>
      <c r="I10788" s="6" t="s">
        <v>31</v>
      </c>
      <c r="J10788" s="6">
        <v>16.460612051156001</v>
      </c>
      <c r="K10788" s="6">
        <v>-94.999144889722999</v>
      </c>
      <c r="L10788" s="6" t="str">
        <f>HYPERLINK("https://maps.google.com/?q=16.4606120511556,-94.9991448897228", "🔗 Ver Mapa")</f>
        <v>🔗 Ver Mapa</v>
      </c>
    </row>
    <row r="10789" spans="1:12" ht="43.5" x14ac:dyDescent="0.35">
      <c r="A10789" s="5" t="s">
        <v>98</v>
      </c>
      <c r="B10789" s="5" t="s">
        <v>99</v>
      </c>
      <c r="C10789" s="5" t="s">
        <v>1892</v>
      </c>
      <c r="D10789" s="5" t="s">
        <v>14</v>
      </c>
      <c r="E10789" s="5" t="s">
        <v>158</v>
      </c>
      <c r="F10789" s="5" t="s">
        <v>159</v>
      </c>
      <c r="G10789" s="5" t="s">
        <v>278</v>
      </c>
      <c r="H10789" s="5" t="s">
        <v>279</v>
      </c>
      <c r="I10789" s="5" t="s">
        <v>31</v>
      </c>
      <c r="J10789" s="5">
        <v>16.460838411489</v>
      </c>
      <c r="K10789" s="5">
        <v>-94.999555267701993</v>
      </c>
      <c r="L10789" s="5" t="str">
        <f>HYPERLINK("https://maps.google.com/?q=16.4608384114891,-94.999555267701794", "🔗 Ver Mapa")</f>
        <v>🔗 Ver Mapa</v>
      </c>
    </row>
    <row r="10790" spans="1:12" ht="43.5" x14ac:dyDescent="0.35">
      <c r="A10790" s="6" t="s">
        <v>98</v>
      </c>
      <c r="B10790" s="6" t="s">
        <v>99</v>
      </c>
      <c r="C10790" s="6" t="s">
        <v>1892</v>
      </c>
      <c r="D10790" s="6" t="s">
        <v>14</v>
      </c>
      <c r="E10790" s="6" t="s">
        <v>158</v>
      </c>
      <c r="F10790" s="6" t="s">
        <v>159</v>
      </c>
      <c r="G10790" s="6" t="s">
        <v>278</v>
      </c>
      <c r="H10790" s="6" t="s">
        <v>279</v>
      </c>
      <c r="I10790" s="6" t="s">
        <v>31</v>
      </c>
      <c r="J10790" s="6">
        <v>16.461253830880999</v>
      </c>
      <c r="K10790" s="6">
        <v>-94.999060400139001</v>
      </c>
      <c r="L10790" s="6" t="str">
        <f>HYPERLINK("https://maps.google.com/?q=16.4612538308813,-94.999060400138902", "🔗 Ver Mapa")</f>
        <v>🔗 Ver Mapa</v>
      </c>
    </row>
    <row r="10791" spans="1:12" ht="43.5" x14ac:dyDescent="0.35">
      <c r="A10791" s="5" t="s">
        <v>297</v>
      </c>
      <c r="B10791" s="5" t="s">
        <v>298</v>
      </c>
      <c r="C10791" s="5" t="s">
        <v>1893</v>
      </c>
      <c r="D10791" s="5" t="s">
        <v>13</v>
      </c>
      <c r="E10791" s="5" t="s">
        <v>52</v>
      </c>
      <c r="F10791" s="5" t="s">
        <v>70</v>
      </c>
      <c r="G10791" s="5" t="s">
        <v>71</v>
      </c>
      <c r="H10791" s="5" t="s">
        <v>72</v>
      </c>
      <c r="I10791" s="5" t="s">
        <v>31</v>
      </c>
      <c r="J10791" s="5">
        <v>17.049092000000002</v>
      </c>
      <c r="K10791" s="5">
        <v>-96.727507000000003</v>
      </c>
      <c r="L10791" s="5" t="str">
        <f>HYPERLINK("https://maps.google.com/?q=17.049092,-96.72750700", "🔗 Ver Mapa")</f>
        <v>🔗 Ver Mapa</v>
      </c>
    </row>
    <row r="10792" spans="1:12" ht="43.5" x14ac:dyDescent="0.35">
      <c r="A10792" s="6" t="s">
        <v>297</v>
      </c>
      <c r="B10792" s="6" t="s">
        <v>298</v>
      </c>
      <c r="C10792" s="6" t="s">
        <v>1894</v>
      </c>
      <c r="D10792" s="6" t="s">
        <v>13</v>
      </c>
      <c r="E10792" s="6" t="s">
        <v>52</v>
      </c>
      <c r="F10792" s="6" t="s">
        <v>70</v>
      </c>
      <c r="G10792" s="6" t="s">
        <v>71</v>
      </c>
      <c r="H10792" s="6" t="s">
        <v>72</v>
      </c>
      <c r="I10792" s="6" t="s">
        <v>31</v>
      </c>
      <c r="J10792" s="6">
        <v>17.053652</v>
      </c>
      <c r="K10792" s="6">
        <v>-96.734465</v>
      </c>
      <c r="L10792" s="6" t="str">
        <f>HYPERLINK("https://maps.google.com/?q=17.053652,-96.73446500", "🔗 Ver Mapa")</f>
        <v>🔗 Ver Mapa</v>
      </c>
    </row>
    <row r="10793" spans="1:12" ht="72.5" x14ac:dyDescent="0.35">
      <c r="A10793" s="5" t="s">
        <v>288</v>
      </c>
      <c r="B10793" s="5" t="s">
        <v>289</v>
      </c>
      <c r="C10793" s="5" t="s">
        <v>1895</v>
      </c>
      <c r="D10793" s="5" t="s">
        <v>76</v>
      </c>
      <c r="E10793" s="5" t="s">
        <v>90</v>
      </c>
      <c r="F10793" s="5" t="s">
        <v>678</v>
      </c>
      <c r="G10793" s="5" t="s">
        <v>1896</v>
      </c>
      <c r="H10793" s="5" t="s">
        <v>1897</v>
      </c>
      <c r="I10793" s="5" t="s">
        <v>31</v>
      </c>
      <c r="J10793" s="5">
        <v>17.269262000000001</v>
      </c>
      <c r="K10793" s="5">
        <v>-96.24</v>
      </c>
      <c r="L10793" s="5" t="str">
        <f>HYPERLINK("https://maps.google.com/?q=17.269262,-96.24", "🔗 Ver Mapa")</f>
        <v>🔗 Ver Mapa</v>
      </c>
    </row>
    <row r="10794" spans="1:12" ht="43.5" x14ac:dyDescent="0.35">
      <c r="A10794" s="6" t="s">
        <v>98</v>
      </c>
      <c r="B10794" s="6" t="s">
        <v>99</v>
      </c>
      <c r="C10794" s="6" t="s">
        <v>1898</v>
      </c>
      <c r="D10794" s="6" t="s">
        <v>14</v>
      </c>
      <c r="E10794" s="6" t="s">
        <v>39</v>
      </c>
      <c r="F10794" s="6" t="s">
        <v>353</v>
      </c>
      <c r="G10794" s="6" t="s">
        <v>1129</v>
      </c>
      <c r="H10794" s="6" t="s">
        <v>1899</v>
      </c>
      <c r="I10794" s="6" t="s">
        <v>31</v>
      </c>
      <c r="J10794" s="6">
        <v>16.36831628785</v>
      </c>
      <c r="K10794" s="6">
        <v>-96.393960626631994</v>
      </c>
      <c r="L10794" s="6" t="str">
        <f>HYPERLINK("https://maps.google.com/?q=16.36831628785,-96.393960626631795", "🔗 Ver Mapa")</f>
        <v>🔗 Ver Mapa</v>
      </c>
    </row>
    <row r="10795" spans="1:12" ht="43.5" x14ac:dyDescent="0.35">
      <c r="A10795" s="5" t="s">
        <v>98</v>
      </c>
      <c r="B10795" s="5" t="s">
        <v>99</v>
      </c>
      <c r="C10795" s="5" t="s">
        <v>1898</v>
      </c>
      <c r="D10795" s="5" t="s">
        <v>14</v>
      </c>
      <c r="E10795" s="5" t="s">
        <v>39</v>
      </c>
      <c r="F10795" s="5" t="s">
        <v>353</v>
      </c>
      <c r="G10795" s="5" t="s">
        <v>1129</v>
      </c>
      <c r="H10795" s="5" t="s">
        <v>1899</v>
      </c>
      <c r="I10795" s="5" t="s">
        <v>31</v>
      </c>
      <c r="J10795" s="5">
        <v>16.370095326777001</v>
      </c>
      <c r="K10795" s="5">
        <v>-96.397712974504998</v>
      </c>
      <c r="L10795" s="5" t="str">
        <f>HYPERLINK("https://maps.google.com/?q=16.3700953267769,-96.397712974505495", "🔗 Ver Mapa")</f>
        <v>🔗 Ver Mapa</v>
      </c>
    </row>
    <row r="10796" spans="1:12" ht="43.5" x14ac:dyDescent="0.35">
      <c r="A10796" s="6" t="s">
        <v>98</v>
      </c>
      <c r="B10796" s="6" t="s">
        <v>99</v>
      </c>
      <c r="C10796" s="6" t="s">
        <v>1128</v>
      </c>
      <c r="D10796" s="6" t="s">
        <v>14</v>
      </c>
      <c r="E10796" s="6" t="s">
        <v>39</v>
      </c>
      <c r="F10796" s="6" t="s">
        <v>353</v>
      </c>
      <c r="G10796" s="6" t="s">
        <v>1129</v>
      </c>
      <c r="H10796" s="6" t="s">
        <v>1130</v>
      </c>
      <c r="I10796" s="6" t="s">
        <v>31</v>
      </c>
      <c r="J10796" s="6">
        <v>16.38440383339</v>
      </c>
      <c r="K10796" s="6">
        <v>-96.364914273392998</v>
      </c>
      <c r="L10796" s="6" t="str">
        <f>HYPERLINK("https://maps.google.com/?q=16.38440383339,-96.364914273393396", "🔗 Ver Mapa")</f>
        <v>🔗 Ver Mapa</v>
      </c>
    </row>
    <row r="10797" spans="1:12" ht="43.5" x14ac:dyDescent="0.35">
      <c r="A10797" s="5" t="s">
        <v>98</v>
      </c>
      <c r="B10797" s="5" t="s">
        <v>99</v>
      </c>
      <c r="C10797" s="5" t="s">
        <v>1128</v>
      </c>
      <c r="D10797" s="5" t="s">
        <v>14</v>
      </c>
      <c r="E10797" s="5" t="s">
        <v>39</v>
      </c>
      <c r="F10797" s="5" t="s">
        <v>353</v>
      </c>
      <c r="G10797" s="5" t="s">
        <v>1129</v>
      </c>
      <c r="H10797" s="5" t="s">
        <v>1130</v>
      </c>
      <c r="I10797" s="5" t="s">
        <v>31</v>
      </c>
      <c r="J10797" s="5">
        <v>16.385488505274001</v>
      </c>
      <c r="K10797" s="5">
        <v>-96.365758682150002</v>
      </c>
      <c r="L10797" s="5" t="str">
        <f>HYPERLINK("https://maps.google.com/?q=16.3854885052738,-96.3657586821504", "🔗 Ver Mapa")</f>
        <v>🔗 Ver Mapa</v>
      </c>
    </row>
    <row r="10798" spans="1:12" ht="43.5" x14ac:dyDescent="0.35">
      <c r="A10798" s="6" t="s">
        <v>98</v>
      </c>
      <c r="B10798" s="6" t="s">
        <v>99</v>
      </c>
      <c r="C10798" s="6" t="s">
        <v>1128</v>
      </c>
      <c r="D10798" s="6" t="s">
        <v>14</v>
      </c>
      <c r="E10798" s="6" t="s">
        <v>39</v>
      </c>
      <c r="F10798" s="6" t="s">
        <v>353</v>
      </c>
      <c r="G10798" s="6" t="s">
        <v>1129</v>
      </c>
      <c r="H10798" s="6" t="s">
        <v>1130</v>
      </c>
      <c r="I10798" s="6" t="s">
        <v>31</v>
      </c>
      <c r="J10798" s="6">
        <v>16.387734959052001</v>
      </c>
      <c r="K10798" s="6">
        <v>-96.36303624</v>
      </c>
      <c r="L10798" s="6" t="str">
        <f>HYPERLINK("https://maps.google.com/?q=16.3877349590517,-96.36303624", "🔗 Ver Mapa")</f>
        <v>🔗 Ver Mapa</v>
      </c>
    </row>
    <row r="10799" spans="1:12" ht="43.5" x14ac:dyDescent="0.35">
      <c r="A10799" s="5" t="s">
        <v>98</v>
      </c>
      <c r="B10799" s="5" t="s">
        <v>99</v>
      </c>
      <c r="C10799" s="5" t="s">
        <v>1900</v>
      </c>
      <c r="D10799" s="5" t="s">
        <v>14</v>
      </c>
      <c r="E10799" s="5" t="s">
        <v>39</v>
      </c>
      <c r="F10799" s="5" t="s">
        <v>353</v>
      </c>
      <c r="G10799" s="5" t="s">
        <v>1129</v>
      </c>
      <c r="H10799" s="5" t="s">
        <v>1901</v>
      </c>
      <c r="I10799" s="5" t="s">
        <v>31</v>
      </c>
      <c r="J10799" s="5">
        <v>16.400213748460999</v>
      </c>
      <c r="K10799" s="5">
        <v>-96.390738999896001</v>
      </c>
      <c r="L10799" s="5" t="str">
        <f>HYPERLINK("https://maps.google.com/?q=16.4002137484612,-96.390738999895802", "🔗 Ver Mapa")</f>
        <v>🔗 Ver Mapa</v>
      </c>
    </row>
    <row r="10800" spans="1:12" ht="43.5" x14ac:dyDescent="0.35">
      <c r="A10800" s="6" t="s">
        <v>98</v>
      </c>
      <c r="B10800" s="6" t="s">
        <v>99</v>
      </c>
      <c r="C10800" s="6" t="s">
        <v>1900</v>
      </c>
      <c r="D10800" s="6" t="s">
        <v>14</v>
      </c>
      <c r="E10800" s="6" t="s">
        <v>39</v>
      </c>
      <c r="F10800" s="6" t="s">
        <v>353</v>
      </c>
      <c r="G10800" s="6" t="s">
        <v>1129</v>
      </c>
      <c r="H10800" s="6" t="s">
        <v>1901</v>
      </c>
      <c r="I10800" s="6" t="s">
        <v>31</v>
      </c>
      <c r="J10800" s="6">
        <v>16.401376776136999</v>
      </c>
      <c r="K10800" s="6">
        <v>-96.392683601431003</v>
      </c>
      <c r="L10800" s="6" t="str">
        <f>HYPERLINK("https://maps.google.com/?q=16.4013767761366,-96.392683601430903", "🔗 Ver Mapa")</f>
        <v>🔗 Ver Mapa</v>
      </c>
    </row>
    <row r="10801" spans="1:12" ht="43.5" x14ac:dyDescent="0.35">
      <c r="A10801" s="5" t="s">
        <v>98</v>
      </c>
      <c r="B10801" s="5" t="s">
        <v>99</v>
      </c>
      <c r="C10801" s="5" t="s">
        <v>1900</v>
      </c>
      <c r="D10801" s="5" t="s">
        <v>14</v>
      </c>
      <c r="E10801" s="5" t="s">
        <v>39</v>
      </c>
      <c r="F10801" s="5" t="s">
        <v>353</v>
      </c>
      <c r="G10801" s="5" t="s">
        <v>1129</v>
      </c>
      <c r="H10801" s="5" t="s">
        <v>1901</v>
      </c>
      <c r="I10801" s="5" t="s">
        <v>31</v>
      </c>
      <c r="J10801" s="5">
        <v>16.402488335916001</v>
      </c>
      <c r="K10801" s="5">
        <v>-96.391146695665995</v>
      </c>
      <c r="L10801" s="5" t="str">
        <f>HYPERLINK("https://maps.google.com/?q=16.4024883359161,-96.391146695665896", "🔗 Ver Mapa")</f>
        <v>🔗 Ver Mapa</v>
      </c>
    </row>
    <row r="10802" spans="1:12" ht="43.5" x14ac:dyDescent="0.35">
      <c r="A10802" s="6" t="s">
        <v>98</v>
      </c>
      <c r="B10802" s="6" t="s">
        <v>99</v>
      </c>
      <c r="C10802" s="6" t="s">
        <v>1902</v>
      </c>
      <c r="D10802" s="6" t="s">
        <v>14</v>
      </c>
      <c r="E10802" s="6" t="s">
        <v>39</v>
      </c>
      <c r="F10802" s="6" t="s">
        <v>353</v>
      </c>
      <c r="G10802" s="6" t="s">
        <v>1129</v>
      </c>
      <c r="H10802" s="6" t="s">
        <v>1903</v>
      </c>
      <c r="I10802" s="6" t="s">
        <v>31</v>
      </c>
      <c r="J10802" s="6">
        <v>16.352230986584001</v>
      </c>
      <c r="K10802" s="6">
        <v>-96.377763364418001</v>
      </c>
      <c r="L10802" s="6" t="str">
        <f>HYPERLINK("https://maps.google.com/?q=16.3522309865838,-96.377763364418001", "🔗 Ver Mapa")</f>
        <v>🔗 Ver Mapa</v>
      </c>
    </row>
    <row r="10803" spans="1:12" ht="43.5" x14ac:dyDescent="0.35">
      <c r="A10803" s="5" t="s">
        <v>98</v>
      </c>
      <c r="B10803" s="5" t="s">
        <v>99</v>
      </c>
      <c r="C10803" s="5" t="s">
        <v>1902</v>
      </c>
      <c r="D10803" s="5" t="s">
        <v>14</v>
      </c>
      <c r="E10803" s="5" t="s">
        <v>39</v>
      </c>
      <c r="F10803" s="5" t="s">
        <v>353</v>
      </c>
      <c r="G10803" s="5" t="s">
        <v>1129</v>
      </c>
      <c r="H10803" s="5" t="s">
        <v>1903</v>
      </c>
      <c r="I10803" s="5" t="s">
        <v>31</v>
      </c>
      <c r="J10803" s="5">
        <v>16.358322250061999</v>
      </c>
      <c r="K10803" s="5">
        <v>-96.374198251486007</v>
      </c>
      <c r="L10803" s="5" t="str">
        <f>HYPERLINK("https://maps.google.com/?q=16.3583222500617,-96.374198251485893", "🔗 Ver Mapa")</f>
        <v>🔗 Ver Mapa</v>
      </c>
    </row>
    <row r="10804" spans="1:12" ht="43.5" x14ac:dyDescent="0.35">
      <c r="A10804" s="6" t="s">
        <v>98</v>
      </c>
      <c r="B10804" s="6" t="s">
        <v>99</v>
      </c>
      <c r="C10804" s="6" t="s">
        <v>1902</v>
      </c>
      <c r="D10804" s="6" t="s">
        <v>14</v>
      </c>
      <c r="E10804" s="6" t="s">
        <v>39</v>
      </c>
      <c r="F10804" s="6" t="s">
        <v>353</v>
      </c>
      <c r="G10804" s="6" t="s">
        <v>1129</v>
      </c>
      <c r="H10804" s="6" t="s">
        <v>1903</v>
      </c>
      <c r="I10804" s="6" t="s">
        <v>31</v>
      </c>
      <c r="J10804" s="6">
        <v>16.364164335824</v>
      </c>
      <c r="K10804" s="6">
        <v>-96.375821983956996</v>
      </c>
      <c r="L10804" s="6" t="str">
        <f>HYPERLINK("https://maps.google.com/?q=16.3641643358244,-96.375821983957493", "🔗 Ver Mapa")</f>
        <v>🔗 Ver Mapa</v>
      </c>
    </row>
    <row r="10805" spans="1:12" ht="43.5" x14ac:dyDescent="0.35">
      <c r="A10805" s="5" t="s">
        <v>98</v>
      </c>
      <c r="B10805" s="5" t="s">
        <v>99</v>
      </c>
      <c r="C10805" s="5" t="s">
        <v>1902</v>
      </c>
      <c r="D10805" s="5" t="s">
        <v>14</v>
      </c>
      <c r="E10805" s="5" t="s">
        <v>39</v>
      </c>
      <c r="F10805" s="5" t="s">
        <v>353</v>
      </c>
      <c r="G10805" s="5" t="s">
        <v>1129</v>
      </c>
      <c r="H10805" s="5" t="s">
        <v>1903</v>
      </c>
      <c r="I10805" s="5" t="s">
        <v>31</v>
      </c>
      <c r="J10805" s="5">
        <v>16.364636032231001</v>
      </c>
      <c r="K10805" s="5">
        <v>-96.376360932541004</v>
      </c>
      <c r="L10805" s="5" t="str">
        <f>HYPERLINK("https://maps.google.com/?q=16.3646360322311,-96.376360932540805", "🔗 Ver Mapa")</f>
        <v>🔗 Ver Mapa</v>
      </c>
    </row>
    <row r="10806" spans="1:12" ht="43.5" x14ac:dyDescent="0.35">
      <c r="A10806" s="6" t="s">
        <v>98</v>
      </c>
      <c r="B10806" s="6" t="s">
        <v>99</v>
      </c>
      <c r="C10806" s="6" t="s">
        <v>1902</v>
      </c>
      <c r="D10806" s="6" t="s">
        <v>14</v>
      </c>
      <c r="E10806" s="6" t="s">
        <v>39</v>
      </c>
      <c r="F10806" s="6" t="s">
        <v>353</v>
      </c>
      <c r="G10806" s="6" t="s">
        <v>1129</v>
      </c>
      <c r="H10806" s="6" t="s">
        <v>1903</v>
      </c>
      <c r="I10806" s="6" t="s">
        <v>31</v>
      </c>
      <c r="J10806" s="6">
        <v>16.368551702644002</v>
      </c>
      <c r="K10806" s="6">
        <v>-96.375974794916004</v>
      </c>
      <c r="L10806" s="6" t="str">
        <f>HYPERLINK("https://maps.google.com/?q=16.3685517026436,-96.3759747949162", "🔗 Ver Mapa")</f>
        <v>🔗 Ver Mapa</v>
      </c>
    </row>
    <row r="10807" spans="1:12" ht="43.5" x14ac:dyDescent="0.35">
      <c r="A10807" s="5" t="s">
        <v>98</v>
      </c>
      <c r="B10807" s="5" t="s">
        <v>99</v>
      </c>
      <c r="C10807" s="5" t="s">
        <v>1902</v>
      </c>
      <c r="D10807" s="5" t="s">
        <v>14</v>
      </c>
      <c r="E10807" s="5" t="s">
        <v>39</v>
      </c>
      <c r="F10807" s="5" t="s">
        <v>353</v>
      </c>
      <c r="G10807" s="5" t="s">
        <v>1129</v>
      </c>
      <c r="H10807" s="5" t="s">
        <v>1903</v>
      </c>
      <c r="I10807" s="5" t="s">
        <v>31</v>
      </c>
      <c r="J10807" s="5">
        <v>16.369117663659001</v>
      </c>
      <c r="K10807" s="5">
        <v>-96.377894522475998</v>
      </c>
      <c r="L10807" s="5" t="str">
        <f>HYPERLINK("https://maps.google.com/?q=16.3691176636588,-96.377894522475998", "🔗 Ver Mapa")</f>
        <v>🔗 Ver Mapa</v>
      </c>
    </row>
    <row r="10808" spans="1:12" ht="43.5" x14ac:dyDescent="0.35">
      <c r="A10808" s="6" t="s">
        <v>98</v>
      </c>
      <c r="B10808" s="6" t="s">
        <v>99</v>
      </c>
      <c r="C10808" s="6" t="s">
        <v>1902</v>
      </c>
      <c r="D10808" s="6" t="s">
        <v>14</v>
      </c>
      <c r="E10808" s="6" t="s">
        <v>39</v>
      </c>
      <c r="F10808" s="6" t="s">
        <v>353</v>
      </c>
      <c r="G10808" s="6" t="s">
        <v>1129</v>
      </c>
      <c r="H10808" s="6" t="s">
        <v>1903</v>
      </c>
      <c r="I10808" s="6" t="s">
        <v>31</v>
      </c>
      <c r="J10808" s="6">
        <v>16.373192570160001</v>
      </c>
      <c r="K10808" s="6">
        <v>-96.376731326712004</v>
      </c>
      <c r="L10808" s="6" t="str">
        <f>HYPERLINK("https://maps.google.com/?q=16.37319257016,-96.376731326712104", "🔗 Ver Mapa")</f>
        <v>🔗 Ver Mapa</v>
      </c>
    </row>
    <row r="10809" spans="1:12" ht="43.5" x14ac:dyDescent="0.35">
      <c r="A10809" s="5" t="s">
        <v>98</v>
      </c>
      <c r="B10809" s="5" t="s">
        <v>99</v>
      </c>
      <c r="C10809" s="5" t="s">
        <v>1904</v>
      </c>
      <c r="D10809" s="5" t="s">
        <v>14</v>
      </c>
      <c r="E10809" s="5" t="s">
        <v>158</v>
      </c>
      <c r="F10809" s="5" t="s">
        <v>159</v>
      </c>
      <c r="G10809" s="5" t="s">
        <v>1905</v>
      </c>
      <c r="H10809" s="5" t="s">
        <v>1906</v>
      </c>
      <c r="I10809" s="5" t="s">
        <v>31</v>
      </c>
      <c r="J10809" s="5">
        <v>16.388870245113001</v>
      </c>
      <c r="K10809" s="5">
        <v>-94.458831101851999</v>
      </c>
      <c r="L10809" s="5" t="str">
        <f>HYPERLINK("https://maps.google.com/?q=16.3888702451127,-94.458831101852397", "🔗 Ver Mapa")</f>
        <v>🔗 Ver Mapa</v>
      </c>
    </row>
    <row r="10810" spans="1:12" ht="43.5" x14ac:dyDescent="0.35">
      <c r="A10810" s="6" t="s">
        <v>98</v>
      </c>
      <c r="B10810" s="6" t="s">
        <v>99</v>
      </c>
      <c r="C10810" s="6" t="s">
        <v>1904</v>
      </c>
      <c r="D10810" s="6" t="s">
        <v>14</v>
      </c>
      <c r="E10810" s="6" t="s">
        <v>158</v>
      </c>
      <c r="F10810" s="6" t="s">
        <v>159</v>
      </c>
      <c r="G10810" s="6" t="s">
        <v>1905</v>
      </c>
      <c r="H10810" s="6" t="s">
        <v>1906</v>
      </c>
      <c r="I10810" s="6" t="s">
        <v>31</v>
      </c>
      <c r="J10810" s="6">
        <v>16.390557463899999</v>
      </c>
      <c r="K10810" s="6">
        <v>-94.459003728835995</v>
      </c>
      <c r="L10810" s="6" t="str">
        <f>HYPERLINK("https://maps.google.com/?q=16.3905574638997,-94.459003728835995", "🔗 Ver Mapa")</f>
        <v>🔗 Ver Mapa</v>
      </c>
    </row>
    <row r="10811" spans="1:12" ht="43.5" x14ac:dyDescent="0.35">
      <c r="A10811" s="5" t="s">
        <v>98</v>
      </c>
      <c r="B10811" s="5" t="s">
        <v>99</v>
      </c>
      <c r="C10811" s="5" t="s">
        <v>1904</v>
      </c>
      <c r="D10811" s="5" t="s">
        <v>14</v>
      </c>
      <c r="E10811" s="5" t="s">
        <v>158</v>
      </c>
      <c r="F10811" s="5" t="s">
        <v>159</v>
      </c>
      <c r="G10811" s="5" t="s">
        <v>1905</v>
      </c>
      <c r="H10811" s="5" t="s">
        <v>1906</v>
      </c>
      <c r="I10811" s="5" t="s">
        <v>31</v>
      </c>
      <c r="J10811" s="5">
        <v>16.390577124107999</v>
      </c>
      <c r="K10811" s="5">
        <v>-94.456001974204995</v>
      </c>
      <c r="L10811" s="5" t="str">
        <f>HYPERLINK("https://maps.google.com/?q=16.390577124108,-94.456001974204995", "🔗 Ver Mapa")</f>
        <v>🔗 Ver Mapa</v>
      </c>
    </row>
    <row r="10812" spans="1:12" ht="43.5" x14ac:dyDescent="0.35">
      <c r="A10812" s="6" t="s">
        <v>98</v>
      </c>
      <c r="B10812" s="6" t="s">
        <v>99</v>
      </c>
      <c r="C10812" s="6" t="s">
        <v>1904</v>
      </c>
      <c r="D10812" s="6" t="s">
        <v>14</v>
      </c>
      <c r="E10812" s="6" t="s">
        <v>158</v>
      </c>
      <c r="F10812" s="6" t="s">
        <v>159</v>
      </c>
      <c r="G10812" s="6" t="s">
        <v>1905</v>
      </c>
      <c r="H10812" s="6" t="s">
        <v>1906</v>
      </c>
      <c r="I10812" s="6" t="s">
        <v>31</v>
      </c>
      <c r="J10812" s="6">
        <v>16.392029999999998</v>
      </c>
      <c r="K10812" s="6">
        <v>-94.455669999999998</v>
      </c>
      <c r="L10812" s="6" t="str">
        <f>HYPERLINK("https://maps.google.com/?q=16.39203,-94.455669999999998", "🔗 Ver Mapa")</f>
        <v>🔗 Ver Mapa</v>
      </c>
    </row>
    <row r="10813" spans="1:12" ht="43.5" x14ac:dyDescent="0.35">
      <c r="A10813" s="5" t="s">
        <v>98</v>
      </c>
      <c r="B10813" s="5" t="s">
        <v>99</v>
      </c>
      <c r="C10813" s="5" t="s">
        <v>1904</v>
      </c>
      <c r="D10813" s="5" t="s">
        <v>14</v>
      </c>
      <c r="E10813" s="5" t="s">
        <v>158</v>
      </c>
      <c r="F10813" s="5" t="s">
        <v>159</v>
      </c>
      <c r="G10813" s="5" t="s">
        <v>1905</v>
      </c>
      <c r="H10813" s="5" t="s">
        <v>1906</v>
      </c>
      <c r="I10813" s="5" t="s">
        <v>31</v>
      </c>
      <c r="J10813" s="5">
        <v>16.392205929938001</v>
      </c>
      <c r="K10813" s="5">
        <v>-94.459057720237993</v>
      </c>
      <c r="L10813" s="5" t="str">
        <f>HYPERLINK("https://maps.google.com/?q=16.3922059299376,-94.459057720237695", "🔗 Ver Mapa")</f>
        <v>🔗 Ver Mapa</v>
      </c>
    </row>
    <row r="10814" spans="1:12" ht="43.5" x14ac:dyDescent="0.35">
      <c r="A10814" s="6" t="s">
        <v>98</v>
      </c>
      <c r="B10814" s="6" t="s">
        <v>99</v>
      </c>
      <c r="C10814" s="6" t="s">
        <v>1904</v>
      </c>
      <c r="D10814" s="6" t="s">
        <v>14</v>
      </c>
      <c r="E10814" s="6" t="s">
        <v>158</v>
      </c>
      <c r="F10814" s="6" t="s">
        <v>159</v>
      </c>
      <c r="G10814" s="6" t="s">
        <v>1905</v>
      </c>
      <c r="H10814" s="6" t="s">
        <v>1906</v>
      </c>
      <c r="I10814" s="6" t="s">
        <v>31</v>
      </c>
      <c r="J10814" s="6">
        <v>16.392752473733001</v>
      </c>
      <c r="K10814" s="6">
        <v>-94.458596440649004</v>
      </c>
      <c r="L10814" s="6" t="str">
        <f>HYPERLINK("https://maps.google.com/?q=16.3927524737326,-94.458596440648705", "🔗 Ver Mapa")</f>
        <v>🔗 Ver Mapa</v>
      </c>
    </row>
    <row r="10815" spans="1:12" ht="43.5" x14ac:dyDescent="0.35">
      <c r="A10815" s="5" t="s">
        <v>98</v>
      </c>
      <c r="B10815" s="5" t="s">
        <v>99</v>
      </c>
      <c r="C10815" s="5" t="s">
        <v>1904</v>
      </c>
      <c r="D10815" s="5" t="s">
        <v>14</v>
      </c>
      <c r="E10815" s="5" t="s">
        <v>158</v>
      </c>
      <c r="F10815" s="5" t="s">
        <v>159</v>
      </c>
      <c r="G10815" s="5" t="s">
        <v>1905</v>
      </c>
      <c r="H10815" s="5" t="s">
        <v>1906</v>
      </c>
      <c r="I10815" s="5" t="s">
        <v>31</v>
      </c>
      <c r="J10815" s="5">
        <v>16.395476733972998</v>
      </c>
      <c r="K10815" s="5">
        <v>-94.460118084656003</v>
      </c>
      <c r="L10815" s="5" t="str">
        <f>HYPERLINK("https://maps.google.com/?q=16.395476733973,-94.460118084655704", "🔗 Ver Mapa")</f>
        <v>🔗 Ver Mapa</v>
      </c>
    </row>
    <row r="10816" spans="1:12" ht="43.5" x14ac:dyDescent="0.35">
      <c r="A10816" s="6" t="s">
        <v>98</v>
      </c>
      <c r="B10816" s="6" t="s">
        <v>99</v>
      </c>
      <c r="C10816" s="6" t="s">
        <v>1904</v>
      </c>
      <c r="D10816" s="6" t="s">
        <v>14</v>
      </c>
      <c r="E10816" s="6" t="s">
        <v>158</v>
      </c>
      <c r="F10816" s="6" t="s">
        <v>159</v>
      </c>
      <c r="G10816" s="6" t="s">
        <v>1905</v>
      </c>
      <c r="H10816" s="6" t="s">
        <v>1906</v>
      </c>
      <c r="I10816" s="6" t="s">
        <v>31</v>
      </c>
      <c r="J10816" s="6">
        <v>16.399720093149998</v>
      </c>
      <c r="K10816" s="6">
        <v>-94.457862481617994</v>
      </c>
      <c r="L10816" s="6" t="str">
        <f>HYPERLINK("https://maps.google.com/?q=16.3997200931505,-94.457862481618207", "🔗 Ver Mapa")</f>
        <v>🔗 Ver Mapa</v>
      </c>
    </row>
    <row r="10817" spans="1:12" ht="43.5" x14ac:dyDescent="0.35">
      <c r="A10817" s="5" t="s">
        <v>98</v>
      </c>
      <c r="B10817" s="5" t="s">
        <v>99</v>
      </c>
      <c r="C10817" s="5" t="s">
        <v>1904</v>
      </c>
      <c r="D10817" s="5" t="s">
        <v>14</v>
      </c>
      <c r="E10817" s="5" t="s">
        <v>158</v>
      </c>
      <c r="F10817" s="5" t="s">
        <v>159</v>
      </c>
      <c r="G10817" s="5" t="s">
        <v>1905</v>
      </c>
      <c r="H10817" s="5" t="s">
        <v>1906</v>
      </c>
      <c r="I10817" s="5" t="s">
        <v>31</v>
      </c>
      <c r="J10817" s="5">
        <v>16.400676372010999</v>
      </c>
      <c r="K10817" s="5">
        <v>-94.461873720238003</v>
      </c>
      <c r="L10817" s="5" t="str">
        <f>HYPERLINK("https://maps.google.com/?q=16.4006763720111,-94.461873720237705", "🔗 Ver Mapa")</f>
        <v>🔗 Ver Mapa</v>
      </c>
    </row>
    <row r="10818" spans="1:12" ht="43.5" x14ac:dyDescent="0.35">
      <c r="A10818" s="6" t="s">
        <v>98</v>
      </c>
      <c r="B10818" s="6" t="s">
        <v>99</v>
      </c>
      <c r="C10818" s="6" t="s">
        <v>1904</v>
      </c>
      <c r="D10818" s="6" t="s">
        <v>14</v>
      </c>
      <c r="E10818" s="6" t="s">
        <v>158</v>
      </c>
      <c r="F10818" s="6" t="s">
        <v>159</v>
      </c>
      <c r="G10818" s="6" t="s">
        <v>1905</v>
      </c>
      <c r="H10818" s="6" t="s">
        <v>1906</v>
      </c>
      <c r="I10818" s="6" t="s">
        <v>31</v>
      </c>
      <c r="J10818" s="6">
        <v>16.401599810800999</v>
      </c>
      <c r="K10818" s="6">
        <v>-94.461677906746004</v>
      </c>
      <c r="L10818" s="6" t="str">
        <f>HYPERLINK("https://maps.google.com/?q=16.4015998108006,-94.461677906745905", "🔗 Ver Mapa")</f>
        <v>🔗 Ver Mapa</v>
      </c>
    </row>
    <row r="10819" spans="1:12" ht="43.5" x14ac:dyDescent="0.35">
      <c r="A10819" s="5" t="s">
        <v>98</v>
      </c>
      <c r="B10819" s="5" t="s">
        <v>99</v>
      </c>
      <c r="C10819" s="5" t="s">
        <v>1904</v>
      </c>
      <c r="D10819" s="5" t="s">
        <v>14</v>
      </c>
      <c r="E10819" s="5" t="s">
        <v>158</v>
      </c>
      <c r="F10819" s="5" t="s">
        <v>159</v>
      </c>
      <c r="G10819" s="5" t="s">
        <v>1905</v>
      </c>
      <c r="H10819" s="5" t="s">
        <v>1906</v>
      </c>
      <c r="I10819" s="5" t="s">
        <v>31</v>
      </c>
      <c r="J10819" s="5">
        <v>16.401778733141001</v>
      </c>
      <c r="K10819" s="5">
        <v>-94.462069804893005</v>
      </c>
      <c r="L10819" s="5" t="str">
        <f>HYPERLINK("https://maps.google.com/?q=16.4017787331411,-94.462069804893403", "🔗 Ver Mapa")</f>
        <v>🔗 Ver Mapa</v>
      </c>
    </row>
    <row r="10820" spans="1:12" ht="43.5" x14ac:dyDescent="0.35">
      <c r="A10820" s="6" t="s">
        <v>98</v>
      </c>
      <c r="B10820" s="6" t="s">
        <v>99</v>
      </c>
      <c r="C10820" s="6" t="s">
        <v>1904</v>
      </c>
      <c r="D10820" s="6" t="s">
        <v>14</v>
      </c>
      <c r="E10820" s="6" t="s">
        <v>158</v>
      </c>
      <c r="F10820" s="6" t="s">
        <v>159</v>
      </c>
      <c r="G10820" s="6" t="s">
        <v>1905</v>
      </c>
      <c r="H10820" s="6" t="s">
        <v>1906</v>
      </c>
      <c r="I10820" s="6" t="s">
        <v>31</v>
      </c>
      <c r="J10820" s="6">
        <v>16.401799194287999</v>
      </c>
      <c r="K10820" s="6">
        <v>-94.460597533729</v>
      </c>
      <c r="L10820" s="6" t="str">
        <f>HYPERLINK("https://maps.google.com/?q=16.4017991942882,-94.460597533729498", "🔗 Ver Mapa")</f>
        <v>🔗 Ver Mapa</v>
      </c>
    </row>
    <row r="10821" spans="1:12" ht="43.5" x14ac:dyDescent="0.35">
      <c r="A10821" s="5" t="s">
        <v>98</v>
      </c>
      <c r="B10821" s="5" t="s">
        <v>99</v>
      </c>
      <c r="C10821" s="5" t="s">
        <v>1904</v>
      </c>
      <c r="D10821" s="5" t="s">
        <v>14</v>
      </c>
      <c r="E10821" s="5" t="s">
        <v>158</v>
      </c>
      <c r="F10821" s="5" t="s">
        <v>159</v>
      </c>
      <c r="G10821" s="5" t="s">
        <v>1905</v>
      </c>
      <c r="H10821" s="5" t="s">
        <v>1906</v>
      </c>
      <c r="I10821" s="5" t="s">
        <v>31</v>
      </c>
      <c r="J10821" s="5">
        <v>16.401882755915</v>
      </c>
      <c r="K10821" s="5">
        <v>-94.461516991401993</v>
      </c>
      <c r="L10821" s="5" t="str">
        <f>HYPERLINK("https://maps.google.com/?q=16.4018827559153,-94.461516991401595", "🔗 Ver Mapa")</f>
        <v>🔗 Ver Mapa</v>
      </c>
    </row>
    <row r="10822" spans="1:12" ht="43.5" x14ac:dyDescent="0.35">
      <c r="A10822" s="6" t="s">
        <v>98</v>
      </c>
      <c r="B10822" s="6" t="s">
        <v>99</v>
      </c>
      <c r="C10822" s="6" t="s">
        <v>1904</v>
      </c>
      <c r="D10822" s="6" t="s">
        <v>14</v>
      </c>
      <c r="E10822" s="6" t="s">
        <v>158</v>
      </c>
      <c r="F10822" s="6" t="s">
        <v>159</v>
      </c>
      <c r="G10822" s="6" t="s">
        <v>1905</v>
      </c>
      <c r="H10822" s="6" t="s">
        <v>1906</v>
      </c>
      <c r="I10822" s="6" t="s">
        <v>31</v>
      </c>
      <c r="J10822" s="6">
        <v>16.403883482451999</v>
      </c>
      <c r="K10822" s="6">
        <v>-94.462509687172002</v>
      </c>
      <c r="L10822" s="6" t="str">
        <f>HYPERLINK("https://maps.google.com/?q=16.4038834824525,-94.462509687171902", "🔗 Ver Mapa")</f>
        <v>🔗 Ver Mapa</v>
      </c>
    </row>
    <row r="10823" spans="1:12" ht="43.5" x14ac:dyDescent="0.35">
      <c r="A10823" s="5" t="s">
        <v>98</v>
      </c>
      <c r="B10823" s="5" t="s">
        <v>99</v>
      </c>
      <c r="C10823" s="5" t="s">
        <v>1904</v>
      </c>
      <c r="D10823" s="5" t="s">
        <v>14</v>
      </c>
      <c r="E10823" s="5" t="s">
        <v>158</v>
      </c>
      <c r="F10823" s="5" t="s">
        <v>159</v>
      </c>
      <c r="G10823" s="5" t="s">
        <v>1905</v>
      </c>
      <c r="H10823" s="5" t="s">
        <v>1906</v>
      </c>
      <c r="I10823" s="5" t="s">
        <v>31</v>
      </c>
      <c r="J10823" s="5">
        <v>16.404094667761999</v>
      </c>
      <c r="K10823" s="5">
        <v>-94.462995578744</v>
      </c>
      <c r="L10823" s="5" t="str">
        <f>HYPERLINK("https://maps.google.com/?q=16.4040946677618,-94.462995578743602", "🔗 Ver Mapa")</f>
        <v>🔗 Ver Mapa</v>
      </c>
    </row>
    <row r="10824" spans="1:12" ht="43.5" x14ac:dyDescent="0.35">
      <c r="A10824" s="6" t="s">
        <v>98</v>
      </c>
      <c r="B10824" s="6" t="s">
        <v>99</v>
      </c>
      <c r="C10824" s="6" t="s">
        <v>1904</v>
      </c>
      <c r="D10824" s="6" t="s">
        <v>14</v>
      </c>
      <c r="E10824" s="6" t="s">
        <v>158</v>
      </c>
      <c r="F10824" s="6" t="s">
        <v>159</v>
      </c>
      <c r="G10824" s="6" t="s">
        <v>1905</v>
      </c>
      <c r="H10824" s="6" t="s">
        <v>1906</v>
      </c>
      <c r="I10824" s="6" t="s">
        <v>31</v>
      </c>
      <c r="J10824" s="6">
        <v>16.404568104054999</v>
      </c>
      <c r="K10824" s="6">
        <v>-94.457690169310993</v>
      </c>
      <c r="L10824" s="6" t="str">
        <f>HYPERLINK("https://maps.google.com/?q=16.4045681040553,-94.457690169311405", "🔗 Ver Mapa")</f>
        <v>🔗 Ver Mapa</v>
      </c>
    </row>
    <row r="10825" spans="1:12" ht="43.5" x14ac:dyDescent="0.35">
      <c r="A10825" s="5" t="s">
        <v>98</v>
      </c>
      <c r="B10825" s="5" t="s">
        <v>99</v>
      </c>
      <c r="C10825" s="5" t="s">
        <v>1904</v>
      </c>
      <c r="D10825" s="5" t="s">
        <v>14</v>
      </c>
      <c r="E10825" s="5" t="s">
        <v>158</v>
      </c>
      <c r="F10825" s="5" t="s">
        <v>159</v>
      </c>
      <c r="G10825" s="5" t="s">
        <v>1905</v>
      </c>
      <c r="H10825" s="5" t="s">
        <v>1906</v>
      </c>
      <c r="I10825" s="5" t="s">
        <v>31</v>
      </c>
      <c r="J10825" s="5">
        <v>16.404652724459002</v>
      </c>
      <c r="K10825" s="5">
        <v>-94.457052437298998</v>
      </c>
      <c r="L10825" s="5" t="str">
        <f>HYPERLINK("https://maps.google.com/?q=16.4046527244588,-94.457052437299197", "🔗 Ver Mapa")</f>
        <v>🔗 Ver Mapa</v>
      </c>
    </row>
    <row r="10826" spans="1:12" ht="43.5" x14ac:dyDescent="0.35">
      <c r="A10826" s="6" t="s">
        <v>98</v>
      </c>
      <c r="B10826" s="6" t="s">
        <v>99</v>
      </c>
      <c r="C10826" s="6" t="s">
        <v>1904</v>
      </c>
      <c r="D10826" s="6" t="s">
        <v>14</v>
      </c>
      <c r="E10826" s="6" t="s">
        <v>158</v>
      </c>
      <c r="F10826" s="6" t="s">
        <v>159</v>
      </c>
      <c r="G10826" s="6" t="s">
        <v>1905</v>
      </c>
      <c r="H10826" s="6" t="s">
        <v>1906</v>
      </c>
      <c r="I10826" s="6" t="s">
        <v>31</v>
      </c>
      <c r="J10826" s="6">
        <v>16.404691945621</v>
      </c>
      <c r="K10826" s="6">
        <v>-94.455676525130997</v>
      </c>
      <c r="L10826" s="6" t="str">
        <f>HYPERLINK("https://maps.google.com/?q=16.4046919456213,-94.455676525131196", "🔗 Ver Mapa")</f>
        <v>🔗 Ver Mapa</v>
      </c>
    </row>
    <row r="10827" spans="1:12" ht="43.5" x14ac:dyDescent="0.35">
      <c r="A10827" s="5" t="s">
        <v>98</v>
      </c>
      <c r="B10827" s="5" t="s">
        <v>99</v>
      </c>
      <c r="C10827" s="5" t="s">
        <v>1904</v>
      </c>
      <c r="D10827" s="5" t="s">
        <v>14</v>
      </c>
      <c r="E10827" s="5" t="s">
        <v>158</v>
      </c>
      <c r="F10827" s="5" t="s">
        <v>159</v>
      </c>
      <c r="G10827" s="5" t="s">
        <v>1905</v>
      </c>
      <c r="H10827" s="5" t="s">
        <v>1906</v>
      </c>
      <c r="I10827" s="5" t="s">
        <v>31</v>
      </c>
      <c r="J10827" s="5">
        <v>16.404692900634</v>
      </c>
      <c r="K10827" s="5">
        <v>-94.457664688326005</v>
      </c>
      <c r="L10827" s="5" t="str">
        <f>HYPERLINK("https://maps.google.com/?q=16.4046929006336,-94.457664688325806", "🔗 Ver Mapa")</f>
        <v>🔗 Ver Mapa</v>
      </c>
    </row>
    <row r="10828" spans="1:12" ht="43.5" x14ac:dyDescent="0.35">
      <c r="A10828" s="6" t="s">
        <v>98</v>
      </c>
      <c r="B10828" s="6" t="s">
        <v>99</v>
      </c>
      <c r="C10828" s="6" t="s">
        <v>1904</v>
      </c>
      <c r="D10828" s="6" t="s">
        <v>14</v>
      </c>
      <c r="E10828" s="6" t="s">
        <v>158</v>
      </c>
      <c r="F10828" s="6" t="s">
        <v>159</v>
      </c>
      <c r="G10828" s="6" t="s">
        <v>1905</v>
      </c>
      <c r="H10828" s="6" t="s">
        <v>1906</v>
      </c>
      <c r="I10828" s="6" t="s">
        <v>31</v>
      </c>
      <c r="J10828" s="6">
        <v>16.404929321245</v>
      </c>
      <c r="K10828" s="6">
        <v>-94.457096693747999</v>
      </c>
      <c r="L10828" s="6" t="str">
        <f>HYPERLINK("https://maps.google.com/?q=16.4049293212446,-94.4570966937478", "🔗 Ver Mapa")</f>
        <v>🔗 Ver Mapa</v>
      </c>
    </row>
    <row r="10829" spans="1:12" ht="43.5" x14ac:dyDescent="0.35">
      <c r="A10829" s="5" t="s">
        <v>98</v>
      </c>
      <c r="B10829" s="5" t="s">
        <v>99</v>
      </c>
      <c r="C10829" s="5" t="s">
        <v>1907</v>
      </c>
      <c r="D10829" s="5" t="s">
        <v>14</v>
      </c>
      <c r="E10829" s="5" t="s">
        <v>158</v>
      </c>
      <c r="F10829" s="5" t="s">
        <v>159</v>
      </c>
      <c r="G10829" s="5" t="s">
        <v>1905</v>
      </c>
      <c r="H10829" s="5" t="s">
        <v>1906</v>
      </c>
      <c r="I10829" s="5" t="s">
        <v>31</v>
      </c>
      <c r="J10829" s="5">
        <v>16.388870245113001</v>
      </c>
      <c r="K10829" s="5">
        <v>-94.458831101851999</v>
      </c>
      <c r="L10829" s="5" t="str">
        <f>HYPERLINK("https://maps.google.com/?q=16.3888702451127,-94.458831101852397", "🔗 Ver Mapa")</f>
        <v>🔗 Ver Mapa</v>
      </c>
    </row>
    <row r="10830" spans="1:12" ht="43.5" x14ac:dyDescent="0.35">
      <c r="A10830" s="6" t="s">
        <v>98</v>
      </c>
      <c r="B10830" s="6" t="s">
        <v>99</v>
      </c>
      <c r="C10830" s="6" t="s">
        <v>1907</v>
      </c>
      <c r="D10830" s="6" t="s">
        <v>14</v>
      </c>
      <c r="E10830" s="6" t="s">
        <v>158</v>
      </c>
      <c r="F10830" s="6" t="s">
        <v>159</v>
      </c>
      <c r="G10830" s="6" t="s">
        <v>1905</v>
      </c>
      <c r="H10830" s="6" t="s">
        <v>1906</v>
      </c>
      <c r="I10830" s="6" t="s">
        <v>31</v>
      </c>
      <c r="J10830" s="6">
        <v>16.390557463899999</v>
      </c>
      <c r="K10830" s="6">
        <v>-94.459003728835995</v>
      </c>
      <c r="L10830" s="6" t="str">
        <f>HYPERLINK("https://maps.google.com/?q=16.3905574638997,-94.459003728835995", "🔗 Ver Mapa")</f>
        <v>🔗 Ver Mapa</v>
      </c>
    </row>
    <row r="10831" spans="1:12" ht="43.5" x14ac:dyDescent="0.35">
      <c r="A10831" s="5" t="s">
        <v>98</v>
      </c>
      <c r="B10831" s="5" t="s">
        <v>99</v>
      </c>
      <c r="C10831" s="5" t="s">
        <v>1907</v>
      </c>
      <c r="D10831" s="5" t="s">
        <v>14</v>
      </c>
      <c r="E10831" s="5" t="s">
        <v>158</v>
      </c>
      <c r="F10831" s="5" t="s">
        <v>159</v>
      </c>
      <c r="G10831" s="5" t="s">
        <v>1905</v>
      </c>
      <c r="H10831" s="5" t="s">
        <v>1906</v>
      </c>
      <c r="I10831" s="5" t="s">
        <v>31</v>
      </c>
      <c r="J10831" s="5">
        <v>16.390577124107999</v>
      </c>
      <c r="K10831" s="5">
        <v>-94.456001974204995</v>
      </c>
      <c r="L10831" s="5" t="str">
        <f>HYPERLINK("https://maps.google.com/?q=16.390577124108,-94.456001974204995", "🔗 Ver Mapa")</f>
        <v>🔗 Ver Mapa</v>
      </c>
    </row>
    <row r="10832" spans="1:12" ht="43.5" x14ac:dyDescent="0.35">
      <c r="A10832" s="6" t="s">
        <v>98</v>
      </c>
      <c r="B10832" s="6" t="s">
        <v>99</v>
      </c>
      <c r="C10832" s="6" t="s">
        <v>1907</v>
      </c>
      <c r="D10832" s="6" t="s">
        <v>14</v>
      </c>
      <c r="E10832" s="6" t="s">
        <v>158</v>
      </c>
      <c r="F10832" s="6" t="s">
        <v>159</v>
      </c>
      <c r="G10832" s="6" t="s">
        <v>1905</v>
      </c>
      <c r="H10832" s="6" t="s">
        <v>1906</v>
      </c>
      <c r="I10832" s="6" t="s">
        <v>31</v>
      </c>
      <c r="J10832" s="6">
        <v>16.392029999999998</v>
      </c>
      <c r="K10832" s="6">
        <v>-94.455669999999998</v>
      </c>
      <c r="L10832" s="6" t="str">
        <f>HYPERLINK("https://maps.google.com/?q=16.39203,-94.455669999999998", "🔗 Ver Mapa")</f>
        <v>🔗 Ver Mapa</v>
      </c>
    </row>
    <row r="10833" spans="1:12" ht="43.5" x14ac:dyDescent="0.35">
      <c r="A10833" s="5" t="s">
        <v>98</v>
      </c>
      <c r="B10833" s="5" t="s">
        <v>99</v>
      </c>
      <c r="C10833" s="5" t="s">
        <v>1907</v>
      </c>
      <c r="D10833" s="5" t="s">
        <v>14</v>
      </c>
      <c r="E10833" s="5" t="s">
        <v>158</v>
      </c>
      <c r="F10833" s="5" t="s">
        <v>159</v>
      </c>
      <c r="G10833" s="5" t="s">
        <v>1905</v>
      </c>
      <c r="H10833" s="5" t="s">
        <v>1906</v>
      </c>
      <c r="I10833" s="5" t="s">
        <v>31</v>
      </c>
      <c r="J10833" s="5">
        <v>16.392205929938001</v>
      </c>
      <c r="K10833" s="5">
        <v>-94.459057720237993</v>
      </c>
      <c r="L10833" s="5" t="str">
        <f>HYPERLINK("https://maps.google.com/?q=16.3922059299376,-94.459057720237695", "🔗 Ver Mapa")</f>
        <v>🔗 Ver Mapa</v>
      </c>
    </row>
    <row r="10834" spans="1:12" ht="43.5" x14ac:dyDescent="0.35">
      <c r="A10834" s="6" t="s">
        <v>98</v>
      </c>
      <c r="B10834" s="6" t="s">
        <v>99</v>
      </c>
      <c r="C10834" s="6" t="s">
        <v>1907</v>
      </c>
      <c r="D10834" s="6" t="s">
        <v>14</v>
      </c>
      <c r="E10834" s="6" t="s">
        <v>158</v>
      </c>
      <c r="F10834" s="6" t="s">
        <v>159</v>
      </c>
      <c r="G10834" s="6" t="s">
        <v>1905</v>
      </c>
      <c r="H10834" s="6" t="s">
        <v>1906</v>
      </c>
      <c r="I10834" s="6" t="s">
        <v>31</v>
      </c>
      <c r="J10834" s="6">
        <v>16.392752473733001</v>
      </c>
      <c r="K10834" s="6">
        <v>-94.458596440649004</v>
      </c>
      <c r="L10834" s="6" t="str">
        <f>HYPERLINK("https://maps.google.com/?q=16.3927524737326,-94.458596440648705", "🔗 Ver Mapa")</f>
        <v>🔗 Ver Mapa</v>
      </c>
    </row>
    <row r="10835" spans="1:12" ht="43.5" x14ac:dyDescent="0.35">
      <c r="A10835" s="5" t="s">
        <v>98</v>
      </c>
      <c r="B10835" s="5" t="s">
        <v>99</v>
      </c>
      <c r="C10835" s="5" t="s">
        <v>1907</v>
      </c>
      <c r="D10835" s="5" t="s">
        <v>14</v>
      </c>
      <c r="E10835" s="5" t="s">
        <v>158</v>
      </c>
      <c r="F10835" s="5" t="s">
        <v>159</v>
      </c>
      <c r="G10835" s="5" t="s">
        <v>1905</v>
      </c>
      <c r="H10835" s="5" t="s">
        <v>1906</v>
      </c>
      <c r="I10835" s="5" t="s">
        <v>31</v>
      </c>
      <c r="J10835" s="5">
        <v>16.395476733972998</v>
      </c>
      <c r="K10835" s="5">
        <v>-94.460118084656003</v>
      </c>
      <c r="L10835" s="5" t="str">
        <f>HYPERLINK("https://maps.google.com/?q=16.395476733973,-94.460118084655704", "🔗 Ver Mapa")</f>
        <v>🔗 Ver Mapa</v>
      </c>
    </row>
    <row r="10836" spans="1:12" ht="43.5" x14ac:dyDescent="0.35">
      <c r="A10836" s="6" t="s">
        <v>98</v>
      </c>
      <c r="B10836" s="6" t="s">
        <v>99</v>
      </c>
      <c r="C10836" s="6" t="s">
        <v>1907</v>
      </c>
      <c r="D10836" s="6" t="s">
        <v>14</v>
      </c>
      <c r="E10836" s="6" t="s">
        <v>158</v>
      </c>
      <c r="F10836" s="6" t="s">
        <v>159</v>
      </c>
      <c r="G10836" s="6" t="s">
        <v>1905</v>
      </c>
      <c r="H10836" s="6" t="s">
        <v>1906</v>
      </c>
      <c r="I10836" s="6" t="s">
        <v>31</v>
      </c>
      <c r="J10836" s="6">
        <v>16.399720093149998</v>
      </c>
      <c r="K10836" s="6">
        <v>-94.457862481617994</v>
      </c>
      <c r="L10836" s="6" t="str">
        <f>HYPERLINK("https://maps.google.com/?q=16.3997200931505,-94.457862481618207", "🔗 Ver Mapa")</f>
        <v>🔗 Ver Mapa</v>
      </c>
    </row>
    <row r="10837" spans="1:12" ht="43.5" x14ac:dyDescent="0.35">
      <c r="A10837" s="5" t="s">
        <v>98</v>
      </c>
      <c r="B10837" s="5" t="s">
        <v>99</v>
      </c>
      <c r="C10837" s="5" t="s">
        <v>1907</v>
      </c>
      <c r="D10837" s="5" t="s">
        <v>14</v>
      </c>
      <c r="E10837" s="5" t="s">
        <v>158</v>
      </c>
      <c r="F10837" s="5" t="s">
        <v>159</v>
      </c>
      <c r="G10837" s="5" t="s">
        <v>1905</v>
      </c>
      <c r="H10837" s="5" t="s">
        <v>1906</v>
      </c>
      <c r="I10837" s="5" t="s">
        <v>31</v>
      </c>
      <c r="J10837" s="5">
        <v>16.400676372010999</v>
      </c>
      <c r="K10837" s="5">
        <v>-94.461873720238003</v>
      </c>
      <c r="L10837" s="5" t="str">
        <f>HYPERLINK("https://maps.google.com/?q=16.4006763720111,-94.461873720237705", "🔗 Ver Mapa")</f>
        <v>🔗 Ver Mapa</v>
      </c>
    </row>
    <row r="10838" spans="1:12" ht="43.5" x14ac:dyDescent="0.35">
      <c r="A10838" s="6" t="s">
        <v>98</v>
      </c>
      <c r="B10838" s="6" t="s">
        <v>99</v>
      </c>
      <c r="C10838" s="6" t="s">
        <v>1907</v>
      </c>
      <c r="D10838" s="6" t="s">
        <v>14</v>
      </c>
      <c r="E10838" s="6" t="s">
        <v>158</v>
      </c>
      <c r="F10838" s="6" t="s">
        <v>159</v>
      </c>
      <c r="G10838" s="6" t="s">
        <v>1905</v>
      </c>
      <c r="H10838" s="6" t="s">
        <v>1906</v>
      </c>
      <c r="I10838" s="6" t="s">
        <v>31</v>
      </c>
      <c r="J10838" s="6">
        <v>16.401599810800999</v>
      </c>
      <c r="K10838" s="6">
        <v>-94.461677906746004</v>
      </c>
      <c r="L10838" s="6" t="str">
        <f>HYPERLINK("https://maps.google.com/?q=16.4015998108006,-94.461677906745905", "🔗 Ver Mapa")</f>
        <v>🔗 Ver Mapa</v>
      </c>
    </row>
    <row r="10839" spans="1:12" ht="43.5" x14ac:dyDescent="0.35">
      <c r="A10839" s="5" t="s">
        <v>98</v>
      </c>
      <c r="B10839" s="5" t="s">
        <v>99</v>
      </c>
      <c r="C10839" s="5" t="s">
        <v>1907</v>
      </c>
      <c r="D10839" s="5" t="s">
        <v>14</v>
      </c>
      <c r="E10839" s="5" t="s">
        <v>158</v>
      </c>
      <c r="F10839" s="5" t="s">
        <v>159</v>
      </c>
      <c r="G10839" s="5" t="s">
        <v>1905</v>
      </c>
      <c r="H10839" s="5" t="s">
        <v>1906</v>
      </c>
      <c r="I10839" s="5" t="s">
        <v>31</v>
      </c>
      <c r="J10839" s="5">
        <v>16.401778733141001</v>
      </c>
      <c r="K10839" s="5">
        <v>-94.462069804893005</v>
      </c>
      <c r="L10839" s="5" t="str">
        <f>HYPERLINK("https://maps.google.com/?q=16.4017787331411,-94.462069804893403", "🔗 Ver Mapa")</f>
        <v>🔗 Ver Mapa</v>
      </c>
    </row>
    <row r="10840" spans="1:12" ht="43.5" x14ac:dyDescent="0.35">
      <c r="A10840" s="6" t="s">
        <v>98</v>
      </c>
      <c r="B10840" s="6" t="s">
        <v>99</v>
      </c>
      <c r="C10840" s="6" t="s">
        <v>1907</v>
      </c>
      <c r="D10840" s="6" t="s">
        <v>14</v>
      </c>
      <c r="E10840" s="6" t="s">
        <v>158</v>
      </c>
      <c r="F10840" s="6" t="s">
        <v>159</v>
      </c>
      <c r="G10840" s="6" t="s">
        <v>1905</v>
      </c>
      <c r="H10840" s="6" t="s">
        <v>1906</v>
      </c>
      <c r="I10840" s="6" t="s">
        <v>31</v>
      </c>
      <c r="J10840" s="6">
        <v>16.401799194287999</v>
      </c>
      <c r="K10840" s="6">
        <v>-94.460597533729</v>
      </c>
      <c r="L10840" s="6" t="str">
        <f>HYPERLINK("https://maps.google.com/?q=16.4017991942882,-94.460597533729498", "🔗 Ver Mapa")</f>
        <v>🔗 Ver Mapa</v>
      </c>
    </row>
    <row r="10841" spans="1:12" ht="43.5" x14ac:dyDescent="0.35">
      <c r="A10841" s="5" t="s">
        <v>98</v>
      </c>
      <c r="B10841" s="5" t="s">
        <v>99</v>
      </c>
      <c r="C10841" s="5" t="s">
        <v>1907</v>
      </c>
      <c r="D10841" s="5" t="s">
        <v>14</v>
      </c>
      <c r="E10841" s="5" t="s">
        <v>158</v>
      </c>
      <c r="F10841" s="5" t="s">
        <v>159</v>
      </c>
      <c r="G10841" s="5" t="s">
        <v>1905</v>
      </c>
      <c r="H10841" s="5" t="s">
        <v>1906</v>
      </c>
      <c r="I10841" s="5" t="s">
        <v>31</v>
      </c>
      <c r="J10841" s="5">
        <v>16.401882755915</v>
      </c>
      <c r="K10841" s="5">
        <v>-94.461516991401993</v>
      </c>
      <c r="L10841" s="5" t="str">
        <f>HYPERLINK("https://maps.google.com/?q=16.4018827559153,-94.461516991401595", "🔗 Ver Mapa")</f>
        <v>🔗 Ver Mapa</v>
      </c>
    </row>
    <row r="10842" spans="1:12" ht="43.5" x14ac:dyDescent="0.35">
      <c r="A10842" s="6" t="s">
        <v>98</v>
      </c>
      <c r="B10842" s="6" t="s">
        <v>99</v>
      </c>
      <c r="C10842" s="6" t="s">
        <v>1907</v>
      </c>
      <c r="D10842" s="6" t="s">
        <v>14</v>
      </c>
      <c r="E10842" s="6" t="s">
        <v>158</v>
      </c>
      <c r="F10842" s="6" t="s">
        <v>159</v>
      </c>
      <c r="G10842" s="6" t="s">
        <v>1905</v>
      </c>
      <c r="H10842" s="6" t="s">
        <v>1906</v>
      </c>
      <c r="I10842" s="6" t="s">
        <v>31</v>
      </c>
      <c r="J10842" s="6">
        <v>16.403883482451999</v>
      </c>
      <c r="K10842" s="6">
        <v>-94.462509687172002</v>
      </c>
      <c r="L10842" s="6" t="str">
        <f>HYPERLINK("https://maps.google.com/?q=16.4038834824525,-94.462509687171902", "🔗 Ver Mapa")</f>
        <v>🔗 Ver Mapa</v>
      </c>
    </row>
    <row r="10843" spans="1:12" ht="43.5" x14ac:dyDescent="0.35">
      <c r="A10843" s="5" t="s">
        <v>98</v>
      </c>
      <c r="B10843" s="5" t="s">
        <v>99</v>
      </c>
      <c r="C10843" s="5" t="s">
        <v>1907</v>
      </c>
      <c r="D10843" s="5" t="s">
        <v>14</v>
      </c>
      <c r="E10843" s="5" t="s">
        <v>158</v>
      </c>
      <c r="F10843" s="5" t="s">
        <v>159</v>
      </c>
      <c r="G10843" s="5" t="s">
        <v>1905</v>
      </c>
      <c r="H10843" s="5" t="s">
        <v>1906</v>
      </c>
      <c r="I10843" s="5" t="s">
        <v>31</v>
      </c>
      <c r="J10843" s="5">
        <v>16.404094667761999</v>
      </c>
      <c r="K10843" s="5">
        <v>-94.462995578744</v>
      </c>
      <c r="L10843" s="5" t="str">
        <f>HYPERLINK("https://maps.google.com/?q=16.4040946677618,-94.462995578743602", "🔗 Ver Mapa")</f>
        <v>🔗 Ver Mapa</v>
      </c>
    </row>
    <row r="10844" spans="1:12" ht="43.5" x14ac:dyDescent="0.35">
      <c r="A10844" s="6" t="s">
        <v>98</v>
      </c>
      <c r="B10844" s="6" t="s">
        <v>99</v>
      </c>
      <c r="C10844" s="6" t="s">
        <v>1907</v>
      </c>
      <c r="D10844" s="6" t="s">
        <v>14</v>
      </c>
      <c r="E10844" s="6" t="s">
        <v>158</v>
      </c>
      <c r="F10844" s="6" t="s">
        <v>159</v>
      </c>
      <c r="G10844" s="6" t="s">
        <v>1905</v>
      </c>
      <c r="H10844" s="6" t="s">
        <v>1906</v>
      </c>
      <c r="I10844" s="6" t="s">
        <v>31</v>
      </c>
      <c r="J10844" s="6">
        <v>16.404568104054999</v>
      </c>
      <c r="K10844" s="6">
        <v>-94.457690169310993</v>
      </c>
      <c r="L10844" s="6" t="str">
        <f>HYPERLINK("https://maps.google.com/?q=16.4045681040553,-94.457690169311405", "🔗 Ver Mapa")</f>
        <v>🔗 Ver Mapa</v>
      </c>
    </row>
    <row r="10845" spans="1:12" ht="43.5" x14ac:dyDescent="0.35">
      <c r="A10845" s="5" t="s">
        <v>98</v>
      </c>
      <c r="B10845" s="5" t="s">
        <v>99</v>
      </c>
      <c r="C10845" s="5" t="s">
        <v>1907</v>
      </c>
      <c r="D10845" s="5" t="s">
        <v>14</v>
      </c>
      <c r="E10845" s="5" t="s">
        <v>158</v>
      </c>
      <c r="F10845" s="5" t="s">
        <v>159</v>
      </c>
      <c r="G10845" s="5" t="s">
        <v>1905</v>
      </c>
      <c r="H10845" s="5" t="s">
        <v>1906</v>
      </c>
      <c r="I10845" s="5" t="s">
        <v>31</v>
      </c>
      <c r="J10845" s="5">
        <v>16.404652724459002</v>
      </c>
      <c r="K10845" s="5">
        <v>-94.457052437298998</v>
      </c>
      <c r="L10845" s="5" t="str">
        <f>HYPERLINK("https://maps.google.com/?q=16.4046527244588,-94.457052437299197", "🔗 Ver Mapa")</f>
        <v>🔗 Ver Mapa</v>
      </c>
    </row>
    <row r="10846" spans="1:12" ht="43.5" x14ac:dyDescent="0.35">
      <c r="A10846" s="6" t="s">
        <v>98</v>
      </c>
      <c r="B10846" s="6" t="s">
        <v>99</v>
      </c>
      <c r="C10846" s="6" t="s">
        <v>1907</v>
      </c>
      <c r="D10846" s="6" t="s">
        <v>14</v>
      </c>
      <c r="E10846" s="6" t="s">
        <v>158</v>
      </c>
      <c r="F10846" s="6" t="s">
        <v>159</v>
      </c>
      <c r="G10846" s="6" t="s">
        <v>1905</v>
      </c>
      <c r="H10846" s="6" t="s">
        <v>1906</v>
      </c>
      <c r="I10846" s="6" t="s">
        <v>31</v>
      </c>
      <c r="J10846" s="6">
        <v>16.404691945621</v>
      </c>
      <c r="K10846" s="6">
        <v>-94.455676525130997</v>
      </c>
      <c r="L10846" s="6" t="str">
        <f>HYPERLINK("https://maps.google.com/?q=16.4046919456213,-94.455676525131196", "🔗 Ver Mapa")</f>
        <v>🔗 Ver Mapa</v>
      </c>
    </row>
    <row r="10847" spans="1:12" ht="43.5" x14ac:dyDescent="0.35">
      <c r="A10847" s="5" t="s">
        <v>98</v>
      </c>
      <c r="B10847" s="5" t="s">
        <v>99</v>
      </c>
      <c r="C10847" s="5" t="s">
        <v>1907</v>
      </c>
      <c r="D10847" s="5" t="s">
        <v>14</v>
      </c>
      <c r="E10847" s="5" t="s">
        <v>158</v>
      </c>
      <c r="F10847" s="5" t="s">
        <v>159</v>
      </c>
      <c r="G10847" s="5" t="s">
        <v>1905</v>
      </c>
      <c r="H10847" s="5" t="s">
        <v>1906</v>
      </c>
      <c r="I10847" s="5" t="s">
        <v>31</v>
      </c>
      <c r="J10847" s="5">
        <v>16.404692900634</v>
      </c>
      <c r="K10847" s="5">
        <v>-94.457664688326005</v>
      </c>
      <c r="L10847" s="5" t="str">
        <f>HYPERLINK("https://maps.google.com/?q=16.4046929006336,-94.457664688325806", "🔗 Ver Mapa")</f>
        <v>🔗 Ver Mapa</v>
      </c>
    </row>
    <row r="10848" spans="1:12" ht="43.5" x14ac:dyDescent="0.35">
      <c r="A10848" s="6" t="s">
        <v>98</v>
      </c>
      <c r="B10848" s="6" t="s">
        <v>99</v>
      </c>
      <c r="C10848" s="6" t="s">
        <v>1907</v>
      </c>
      <c r="D10848" s="6" t="s">
        <v>14</v>
      </c>
      <c r="E10848" s="6" t="s">
        <v>158</v>
      </c>
      <c r="F10848" s="6" t="s">
        <v>159</v>
      </c>
      <c r="G10848" s="6" t="s">
        <v>1905</v>
      </c>
      <c r="H10848" s="6" t="s">
        <v>1906</v>
      </c>
      <c r="I10848" s="6" t="s">
        <v>31</v>
      </c>
      <c r="J10848" s="6">
        <v>16.404929321245</v>
      </c>
      <c r="K10848" s="6">
        <v>-94.457096693747999</v>
      </c>
      <c r="L10848" s="6" t="str">
        <f>HYPERLINK("https://maps.google.com/?q=16.4049293212446,-94.4570966937478", "🔗 Ver Mapa")</f>
        <v>🔗 Ver Mapa</v>
      </c>
    </row>
    <row r="10849" spans="1:12" ht="58" x14ac:dyDescent="0.35">
      <c r="A10849" s="5" t="s">
        <v>98</v>
      </c>
      <c r="B10849" s="5" t="s">
        <v>99</v>
      </c>
      <c r="C10849" s="5" t="s">
        <v>1908</v>
      </c>
      <c r="D10849" s="5" t="s">
        <v>14</v>
      </c>
      <c r="E10849" s="5" t="s">
        <v>158</v>
      </c>
      <c r="F10849" s="5" t="s">
        <v>159</v>
      </c>
      <c r="G10849" s="5" t="s">
        <v>805</v>
      </c>
      <c r="H10849" s="5" t="s">
        <v>1909</v>
      </c>
      <c r="I10849" s="5" t="s">
        <v>31</v>
      </c>
      <c r="J10849" s="5">
        <v>16.343145968931001</v>
      </c>
      <c r="K10849" s="5">
        <v>-94.480621728835999</v>
      </c>
      <c r="L10849" s="5" t="str">
        <f>HYPERLINK("https://maps.google.com/?q=16.3431459689313,-94.480621728835999", "🔗 Ver Mapa")</f>
        <v>🔗 Ver Mapa</v>
      </c>
    </row>
    <row r="10850" spans="1:12" ht="58" x14ac:dyDescent="0.35">
      <c r="A10850" s="6" t="s">
        <v>98</v>
      </c>
      <c r="B10850" s="6" t="s">
        <v>99</v>
      </c>
      <c r="C10850" s="6" t="s">
        <v>1908</v>
      </c>
      <c r="D10850" s="6" t="s">
        <v>14</v>
      </c>
      <c r="E10850" s="6" t="s">
        <v>158</v>
      </c>
      <c r="F10850" s="6" t="s">
        <v>159</v>
      </c>
      <c r="G10850" s="6" t="s">
        <v>805</v>
      </c>
      <c r="H10850" s="6" t="s">
        <v>1909</v>
      </c>
      <c r="I10850" s="6" t="s">
        <v>31</v>
      </c>
      <c r="J10850" s="6">
        <v>16.344012177025</v>
      </c>
      <c r="K10850" s="6">
        <v>-94.482736795600005</v>
      </c>
      <c r="L10850" s="6" t="str">
        <f>HYPERLINK("https://maps.google.com/?q=16.3440121770253,-94.482736795600303", "🔗 Ver Mapa")</f>
        <v>🔗 Ver Mapa</v>
      </c>
    </row>
    <row r="10851" spans="1:12" ht="58" x14ac:dyDescent="0.35">
      <c r="A10851" s="5" t="s">
        <v>98</v>
      </c>
      <c r="B10851" s="5" t="s">
        <v>99</v>
      </c>
      <c r="C10851" s="5" t="s">
        <v>1908</v>
      </c>
      <c r="D10851" s="5" t="s">
        <v>14</v>
      </c>
      <c r="E10851" s="5" t="s">
        <v>158</v>
      </c>
      <c r="F10851" s="5" t="s">
        <v>159</v>
      </c>
      <c r="G10851" s="5" t="s">
        <v>805</v>
      </c>
      <c r="H10851" s="5" t="s">
        <v>1909</v>
      </c>
      <c r="I10851" s="5" t="s">
        <v>31</v>
      </c>
      <c r="J10851" s="5">
        <v>16.344161631266999</v>
      </c>
      <c r="K10851" s="5">
        <v>-94.479769638869996</v>
      </c>
      <c r="L10851" s="5" t="str">
        <f>HYPERLINK("https://maps.google.com/?q=16.3441616312667,-94.479769638869897", "🔗 Ver Mapa")</f>
        <v>🔗 Ver Mapa</v>
      </c>
    </row>
    <row r="10852" spans="1:12" ht="58" x14ac:dyDescent="0.35">
      <c r="A10852" s="6" t="s">
        <v>98</v>
      </c>
      <c r="B10852" s="6" t="s">
        <v>99</v>
      </c>
      <c r="C10852" s="6" t="s">
        <v>1908</v>
      </c>
      <c r="D10852" s="6" t="s">
        <v>14</v>
      </c>
      <c r="E10852" s="6" t="s">
        <v>158</v>
      </c>
      <c r="F10852" s="6" t="s">
        <v>159</v>
      </c>
      <c r="G10852" s="6" t="s">
        <v>805</v>
      </c>
      <c r="H10852" s="6" t="s">
        <v>1909</v>
      </c>
      <c r="I10852" s="6" t="s">
        <v>31</v>
      </c>
      <c r="J10852" s="6">
        <v>16.344868147985999</v>
      </c>
      <c r="K10852" s="6">
        <v>-94.481109402273006</v>
      </c>
      <c r="L10852" s="6" t="str">
        <f>HYPERLINK("https://maps.google.com/?q=16.3448681479857,-94.481109402273006", "🔗 Ver Mapa")</f>
        <v>🔗 Ver Mapa</v>
      </c>
    </row>
    <row r="10853" spans="1:12" ht="58" x14ac:dyDescent="0.35">
      <c r="A10853" s="5" t="s">
        <v>98</v>
      </c>
      <c r="B10853" s="5" t="s">
        <v>99</v>
      </c>
      <c r="C10853" s="5" t="s">
        <v>1908</v>
      </c>
      <c r="D10853" s="5" t="s">
        <v>14</v>
      </c>
      <c r="E10853" s="5" t="s">
        <v>158</v>
      </c>
      <c r="F10853" s="5" t="s">
        <v>159</v>
      </c>
      <c r="G10853" s="5" t="s">
        <v>805</v>
      </c>
      <c r="H10853" s="5" t="s">
        <v>1909</v>
      </c>
      <c r="I10853" s="5" t="s">
        <v>31</v>
      </c>
      <c r="J10853" s="5">
        <v>16.346421429879001</v>
      </c>
      <c r="K10853" s="5">
        <v>-94.482237271163996</v>
      </c>
      <c r="L10853" s="5" t="str">
        <f>HYPERLINK("https://maps.google.com/?q=16.3464214298785,-94.482237271163896", "🔗 Ver Mapa")</f>
        <v>🔗 Ver Mapa</v>
      </c>
    </row>
    <row r="10854" spans="1:12" ht="58" x14ac:dyDescent="0.35">
      <c r="A10854" s="6" t="s">
        <v>98</v>
      </c>
      <c r="B10854" s="6" t="s">
        <v>99</v>
      </c>
      <c r="C10854" s="6" t="s">
        <v>1908</v>
      </c>
      <c r="D10854" s="6" t="s">
        <v>14</v>
      </c>
      <c r="E10854" s="6" t="s">
        <v>158</v>
      </c>
      <c r="F10854" s="6" t="s">
        <v>159</v>
      </c>
      <c r="G10854" s="6" t="s">
        <v>805</v>
      </c>
      <c r="H10854" s="6" t="s">
        <v>1909</v>
      </c>
      <c r="I10854" s="6" t="s">
        <v>31</v>
      </c>
      <c r="J10854" s="6">
        <v>16.346478053197998</v>
      </c>
      <c r="K10854" s="6">
        <v>-94.482430390212997</v>
      </c>
      <c r="L10854" s="6" t="str">
        <f>HYPERLINK("https://maps.google.com/?q=16.3464780531982,-94.482430390212997", "🔗 Ver Mapa")</f>
        <v>🔗 Ver Mapa</v>
      </c>
    </row>
    <row r="10855" spans="1:12" ht="58" x14ac:dyDescent="0.35">
      <c r="A10855" s="5" t="s">
        <v>98</v>
      </c>
      <c r="B10855" s="5" t="s">
        <v>99</v>
      </c>
      <c r="C10855" s="5" t="s">
        <v>1908</v>
      </c>
      <c r="D10855" s="5" t="s">
        <v>14</v>
      </c>
      <c r="E10855" s="5" t="s">
        <v>158</v>
      </c>
      <c r="F10855" s="5" t="s">
        <v>159</v>
      </c>
      <c r="G10855" s="5" t="s">
        <v>805</v>
      </c>
      <c r="H10855" s="5" t="s">
        <v>1909</v>
      </c>
      <c r="I10855" s="5" t="s">
        <v>31</v>
      </c>
      <c r="J10855" s="5">
        <v>16.346501445280001</v>
      </c>
      <c r="K10855" s="5">
        <v>-94.482729466270001</v>
      </c>
      <c r="L10855" s="5" t="str">
        <f>HYPERLINK("https://maps.google.com/?q=16.3465014452796,-94.482729466270399", "🔗 Ver Mapa")</f>
        <v>🔗 Ver Mapa</v>
      </c>
    </row>
    <row r="10856" spans="1:12" ht="58" x14ac:dyDescent="0.35">
      <c r="A10856" s="6" t="s">
        <v>98</v>
      </c>
      <c r="B10856" s="6" t="s">
        <v>99</v>
      </c>
      <c r="C10856" s="6" t="s">
        <v>1908</v>
      </c>
      <c r="D10856" s="6" t="s">
        <v>14</v>
      </c>
      <c r="E10856" s="6" t="s">
        <v>158</v>
      </c>
      <c r="F10856" s="6" t="s">
        <v>159</v>
      </c>
      <c r="G10856" s="6" t="s">
        <v>805</v>
      </c>
      <c r="H10856" s="6" t="s">
        <v>1909</v>
      </c>
      <c r="I10856" s="6" t="s">
        <v>31</v>
      </c>
      <c r="J10856" s="6">
        <v>16.346663368325999</v>
      </c>
      <c r="K10856" s="6">
        <v>-94.476953319404004</v>
      </c>
      <c r="L10856" s="6" t="str">
        <f>HYPERLINK("https://maps.google.com/?q=16.3466633683257,-94.476953319403805", "🔗 Ver Mapa")</f>
        <v>🔗 Ver Mapa</v>
      </c>
    </row>
    <row r="10857" spans="1:12" ht="58" x14ac:dyDescent="0.35">
      <c r="A10857" s="5" t="s">
        <v>98</v>
      </c>
      <c r="B10857" s="5" t="s">
        <v>99</v>
      </c>
      <c r="C10857" s="5" t="s">
        <v>1908</v>
      </c>
      <c r="D10857" s="5" t="s">
        <v>14</v>
      </c>
      <c r="E10857" s="5" t="s">
        <v>158</v>
      </c>
      <c r="F10857" s="5" t="s">
        <v>159</v>
      </c>
      <c r="G10857" s="5" t="s">
        <v>805</v>
      </c>
      <c r="H10857" s="5" t="s">
        <v>1909</v>
      </c>
      <c r="I10857" s="5" t="s">
        <v>31</v>
      </c>
      <c r="J10857" s="5">
        <v>16.347368581430999</v>
      </c>
      <c r="K10857" s="5">
        <v>-94.481180480812</v>
      </c>
      <c r="L10857" s="5" t="str">
        <f>HYPERLINK("https://maps.google.com/?q=16.3473685814312,-94.481180480811901", "🔗 Ver Mapa")</f>
        <v>🔗 Ver Mapa</v>
      </c>
    </row>
    <row r="10858" spans="1:12" ht="58" x14ac:dyDescent="0.35">
      <c r="A10858" s="6" t="s">
        <v>98</v>
      </c>
      <c r="B10858" s="6" t="s">
        <v>99</v>
      </c>
      <c r="C10858" s="6" t="s">
        <v>1908</v>
      </c>
      <c r="D10858" s="6" t="s">
        <v>14</v>
      </c>
      <c r="E10858" s="6" t="s">
        <v>158</v>
      </c>
      <c r="F10858" s="6" t="s">
        <v>159</v>
      </c>
      <c r="G10858" s="6" t="s">
        <v>805</v>
      </c>
      <c r="H10858" s="6" t="s">
        <v>1909</v>
      </c>
      <c r="I10858" s="6" t="s">
        <v>31</v>
      </c>
      <c r="J10858" s="6">
        <v>16.347538450518002</v>
      </c>
      <c r="K10858" s="6">
        <v>-94.482510856483998</v>
      </c>
      <c r="L10858" s="6" t="str">
        <f>HYPERLINK("https://maps.google.com/?q=16.3475384505175,-94.482510856483501", "🔗 Ver Mapa")</f>
        <v>🔗 Ver Mapa</v>
      </c>
    </row>
    <row r="10859" spans="1:12" ht="58" x14ac:dyDescent="0.35">
      <c r="A10859" s="5" t="s">
        <v>98</v>
      </c>
      <c r="B10859" s="5" t="s">
        <v>99</v>
      </c>
      <c r="C10859" s="5" t="s">
        <v>1908</v>
      </c>
      <c r="D10859" s="5" t="s">
        <v>14</v>
      </c>
      <c r="E10859" s="5" t="s">
        <v>158</v>
      </c>
      <c r="F10859" s="5" t="s">
        <v>159</v>
      </c>
      <c r="G10859" s="5" t="s">
        <v>805</v>
      </c>
      <c r="H10859" s="5" t="s">
        <v>1909</v>
      </c>
      <c r="I10859" s="5" t="s">
        <v>31</v>
      </c>
      <c r="J10859" s="5">
        <v>16.347610516145998</v>
      </c>
      <c r="K10859" s="5">
        <v>-94.482113889548998</v>
      </c>
      <c r="L10859" s="5" t="str">
        <f>HYPERLINK("https://maps.google.com/?q=16.3476105161458,-94.482113889549197", "🔗 Ver Mapa")</f>
        <v>🔗 Ver Mapa</v>
      </c>
    </row>
    <row r="10860" spans="1:12" ht="58" x14ac:dyDescent="0.35">
      <c r="A10860" s="6" t="s">
        <v>98</v>
      </c>
      <c r="B10860" s="6" t="s">
        <v>99</v>
      </c>
      <c r="C10860" s="6" t="s">
        <v>1908</v>
      </c>
      <c r="D10860" s="6" t="s">
        <v>14</v>
      </c>
      <c r="E10860" s="6" t="s">
        <v>158</v>
      </c>
      <c r="F10860" s="6" t="s">
        <v>159</v>
      </c>
      <c r="G10860" s="6" t="s">
        <v>805</v>
      </c>
      <c r="H10860" s="6" t="s">
        <v>1909</v>
      </c>
      <c r="I10860" s="6" t="s">
        <v>31</v>
      </c>
      <c r="J10860" s="6">
        <v>16.34773148595</v>
      </c>
      <c r="K10860" s="6">
        <v>-94.482404909227</v>
      </c>
      <c r="L10860" s="6" t="str">
        <f>HYPERLINK("https://maps.google.com/?q=16.3477314859503,-94.4824049092273", "🔗 Ver Mapa")</f>
        <v>🔗 Ver Mapa</v>
      </c>
    </row>
    <row r="10861" spans="1:12" ht="58" x14ac:dyDescent="0.35">
      <c r="A10861" s="5" t="s">
        <v>98</v>
      </c>
      <c r="B10861" s="5" t="s">
        <v>99</v>
      </c>
      <c r="C10861" s="5" t="s">
        <v>1908</v>
      </c>
      <c r="D10861" s="5" t="s">
        <v>14</v>
      </c>
      <c r="E10861" s="5" t="s">
        <v>158</v>
      </c>
      <c r="F10861" s="5" t="s">
        <v>159</v>
      </c>
      <c r="G10861" s="5" t="s">
        <v>805</v>
      </c>
      <c r="H10861" s="5" t="s">
        <v>1909</v>
      </c>
      <c r="I10861" s="5" t="s">
        <v>31</v>
      </c>
      <c r="J10861" s="5">
        <v>16.348231905755998</v>
      </c>
      <c r="K10861" s="5">
        <v>-94.487629144844007</v>
      </c>
      <c r="L10861" s="5" t="str">
        <f>HYPERLINK("https://maps.google.com/?q=16.3482319057563,-94.487629144844007", "🔗 Ver Mapa")</f>
        <v>🔗 Ver Mapa</v>
      </c>
    </row>
    <row r="10862" spans="1:12" ht="58" x14ac:dyDescent="0.35">
      <c r="A10862" s="6" t="s">
        <v>98</v>
      </c>
      <c r="B10862" s="6" t="s">
        <v>99</v>
      </c>
      <c r="C10862" s="6" t="s">
        <v>1908</v>
      </c>
      <c r="D10862" s="6" t="s">
        <v>14</v>
      </c>
      <c r="E10862" s="6" t="s">
        <v>158</v>
      </c>
      <c r="F10862" s="6" t="s">
        <v>159</v>
      </c>
      <c r="G10862" s="6" t="s">
        <v>805</v>
      </c>
      <c r="H10862" s="6" t="s">
        <v>1909</v>
      </c>
      <c r="I10862" s="6" t="s">
        <v>31</v>
      </c>
      <c r="J10862" s="6">
        <v>16.348581937315998</v>
      </c>
      <c r="K10862" s="6">
        <v>-94.487280457672</v>
      </c>
      <c r="L10862" s="6" t="str">
        <f>HYPERLINK("https://maps.google.com/?q=16.3485819373165,-94.487280457672099", "🔗 Ver Mapa")</f>
        <v>🔗 Ver Mapa</v>
      </c>
    </row>
    <row r="10863" spans="1:12" ht="58" x14ac:dyDescent="0.35">
      <c r="A10863" s="5" t="s">
        <v>98</v>
      </c>
      <c r="B10863" s="5" t="s">
        <v>99</v>
      </c>
      <c r="C10863" s="5" t="s">
        <v>1908</v>
      </c>
      <c r="D10863" s="5" t="s">
        <v>14</v>
      </c>
      <c r="E10863" s="5" t="s">
        <v>158</v>
      </c>
      <c r="F10863" s="5" t="s">
        <v>159</v>
      </c>
      <c r="G10863" s="5" t="s">
        <v>805</v>
      </c>
      <c r="H10863" s="5" t="s">
        <v>1909</v>
      </c>
      <c r="I10863" s="5" t="s">
        <v>31</v>
      </c>
      <c r="J10863" s="5">
        <v>16.351156947652001</v>
      </c>
      <c r="K10863" s="5">
        <v>-94.479648592180993</v>
      </c>
      <c r="L10863" s="5" t="str">
        <f>HYPERLINK("https://maps.google.com/?q=16.3511569476524,-94.479648592180695", "🔗 Ver Mapa")</f>
        <v>🔗 Ver Mapa</v>
      </c>
    </row>
    <row r="10864" spans="1:12" ht="58" x14ac:dyDescent="0.35">
      <c r="A10864" s="6" t="s">
        <v>98</v>
      </c>
      <c r="B10864" s="6" t="s">
        <v>99</v>
      </c>
      <c r="C10864" s="6" t="s">
        <v>1908</v>
      </c>
      <c r="D10864" s="6" t="s">
        <v>14</v>
      </c>
      <c r="E10864" s="6" t="s">
        <v>158</v>
      </c>
      <c r="F10864" s="6" t="s">
        <v>159</v>
      </c>
      <c r="G10864" s="6" t="s">
        <v>805</v>
      </c>
      <c r="H10864" s="6" t="s">
        <v>1909</v>
      </c>
      <c r="I10864" s="6" t="s">
        <v>31</v>
      </c>
      <c r="J10864" s="6">
        <v>16.351869425572001</v>
      </c>
      <c r="K10864" s="6">
        <v>-94.482135550926003</v>
      </c>
      <c r="L10864" s="6" t="str">
        <f>HYPERLINK("https://maps.google.com/?q=16.3518694255719,-94.482135550926202", "🔗 Ver Mapa")</f>
        <v>🔗 Ver Mapa</v>
      </c>
    </row>
    <row r="10865" spans="1:12" ht="58" x14ac:dyDescent="0.35">
      <c r="A10865" s="5" t="s">
        <v>98</v>
      </c>
      <c r="B10865" s="5" t="s">
        <v>99</v>
      </c>
      <c r="C10865" s="5" t="s">
        <v>1908</v>
      </c>
      <c r="D10865" s="5" t="s">
        <v>14</v>
      </c>
      <c r="E10865" s="5" t="s">
        <v>158</v>
      </c>
      <c r="F10865" s="5" t="s">
        <v>159</v>
      </c>
      <c r="G10865" s="5" t="s">
        <v>805</v>
      </c>
      <c r="H10865" s="5" t="s">
        <v>1909</v>
      </c>
      <c r="I10865" s="5" t="s">
        <v>31</v>
      </c>
      <c r="J10865" s="5">
        <v>16.353058918776</v>
      </c>
      <c r="K10865" s="5">
        <v>-94.490299644179998</v>
      </c>
      <c r="L10865" s="5" t="str">
        <f>HYPERLINK("https://maps.google.com/?q=16.3530589187763,-94.490299644180297", "🔗 Ver Mapa")</f>
        <v>🔗 Ver Mapa</v>
      </c>
    </row>
    <row r="10866" spans="1:12" ht="58" x14ac:dyDescent="0.35">
      <c r="A10866" s="6" t="s">
        <v>98</v>
      </c>
      <c r="B10866" s="6" t="s">
        <v>99</v>
      </c>
      <c r="C10866" s="6" t="s">
        <v>1908</v>
      </c>
      <c r="D10866" s="6" t="s">
        <v>14</v>
      </c>
      <c r="E10866" s="6" t="s">
        <v>158</v>
      </c>
      <c r="F10866" s="6" t="s">
        <v>159</v>
      </c>
      <c r="G10866" s="6" t="s">
        <v>805</v>
      </c>
      <c r="H10866" s="6" t="s">
        <v>1909</v>
      </c>
      <c r="I10866" s="6" t="s">
        <v>31</v>
      </c>
      <c r="J10866" s="6">
        <v>16.353357791689</v>
      </c>
      <c r="K10866" s="6">
        <v>-94.477813449074006</v>
      </c>
      <c r="L10866" s="6" t="str">
        <f>HYPERLINK("https://maps.google.com/?q=16.3533577916892,-94.477813449073693", "🔗 Ver Mapa")</f>
        <v>🔗 Ver Mapa</v>
      </c>
    </row>
    <row r="10867" spans="1:12" ht="58" x14ac:dyDescent="0.35">
      <c r="A10867" s="5" t="s">
        <v>98</v>
      </c>
      <c r="B10867" s="5" t="s">
        <v>99</v>
      </c>
      <c r="C10867" s="5" t="s">
        <v>1908</v>
      </c>
      <c r="D10867" s="5" t="s">
        <v>14</v>
      </c>
      <c r="E10867" s="5" t="s">
        <v>158</v>
      </c>
      <c r="F10867" s="5" t="s">
        <v>159</v>
      </c>
      <c r="G10867" s="5" t="s">
        <v>805</v>
      </c>
      <c r="H10867" s="5" t="s">
        <v>1909</v>
      </c>
      <c r="I10867" s="5" t="s">
        <v>31</v>
      </c>
      <c r="J10867" s="5">
        <v>16.353815585159001</v>
      </c>
      <c r="K10867" s="5">
        <v>-94.488261165329007</v>
      </c>
      <c r="L10867" s="5" t="str">
        <f>HYPERLINK("https://maps.google.com/?q=16.3538155851586,-94.488261165328694", "🔗 Ver Mapa")</f>
        <v>🔗 Ver Mapa</v>
      </c>
    </row>
    <row r="10868" spans="1:12" ht="58" x14ac:dyDescent="0.35">
      <c r="A10868" s="6" t="s">
        <v>98</v>
      </c>
      <c r="B10868" s="6" t="s">
        <v>99</v>
      </c>
      <c r="C10868" s="6" t="s">
        <v>1908</v>
      </c>
      <c r="D10868" s="6" t="s">
        <v>14</v>
      </c>
      <c r="E10868" s="6" t="s">
        <v>158</v>
      </c>
      <c r="F10868" s="6" t="s">
        <v>159</v>
      </c>
      <c r="G10868" s="6" t="s">
        <v>805</v>
      </c>
      <c r="H10868" s="6" t="s">
        <v>1909</v>
      </c>
      <c r="I10868" s="6" t="s">
        <v>31</v>
      </c>
      <c r="J10868" s="6">
        <v>16.355359795727999</v>
      </c>
      <c r="K10868" s="6">
        <v>-94.478843929476</v>
      </c>
      <c r="L10868" s="6" t="str">
        <f>HYPERLINK("https://maps.google.com/?q=16.3553597957277,-94.478843929476099", "🔗 Ver Mapa")</f>
        <v>🔗 Ver Mapa</v>
      </c>
    </row>
    <row r="10869" spans="1:12" ht="58" x14ac:dyDescent="0.35">
      <c r="A10869" s="5" t="s">
        <v>98</v>
      </c>
      <c r="B10869" s="5" t="s">
        <v>99</v>
      </c>
      <c r="C10869" s="5" t="s">
        <v>1910</v>
      </c>
      <c r="D10869" s="5" t="s">
        <v>14</v>
      </c>
      <c r="E10869" s="5" t="s">
        <v>158</v>
      </c>
      <c r="F10869" s="5" t="s">
        <v>159</v>
      </c>
      <c r="G10869" s="5" t="s">
        <v>805</v>
      </c>
      <c r="H10869" s="5" t="s">
        <v>1909</v>
      </c>
      <c r="I10869" s="5" t="s">
        <v>31</v>
      </c>
      <c r="J10869" s="5">
        <v>16.343145968931001</v>
      </c>
      <c r="K10869" s="5">
        <v>-94.480621728835999</v>
      </c>
      <c r="L10869" s="5" t="str">
        <f>HYPERLINK("https://maps.google.com/?q=16.3431459689313,-94.480621728835999", "🔗 Ver Mapa")</f>
        <v>🔗 Ver Mapa</v>
      </c>
    </row>
    <row r="10870" spans="1:12" ht="58" x14ac:dyDescent="0.35">
      <c r="A10870" s="6" t="s">
        <v>98</v>
      </c>
      <c r="B10870" s="6" t="s">
        <v>99</v>
      </c>
      <c r="C10870" s="6" t="s">
        <v>1910</v>
      </c>
      <c r="D10870" s="6" t="s">
        <v>14</v>
      </c>
      <c r="E10870" s="6" t="s">
        <v>158</v>
      </c>
      <c r="F10870" s="6" t="s">
        <v>159</v>
      </c>
      <c r="G10870" s="6" t="s">
        <v>805</v>
      </c>
      <c r="H10870" s="6" t="s">
        <v>1909</v>
      </c>
      <c r="I10870" s="6" t="s">
        <v>31</v>
      </c>
      <c r="J10870" s="6">
        <v>16.344012177025</v>
      </c>
      <c r="K10870" s="6">
        <v>-94.482736795600005</v>
      </c>
      <c r="L10870" s="6" t="str">
        <f>HYPERLINK("https://maps.google.com/?q=16.3440121770253,-94.482736795600303", "🔗 Ver Mapa")</f>
        <v>🔗 Ver Mapa</v>
      </c>
    </row>
    <row r="10871" spans="1:12" ht="58" x14ac:dyDescent="0.35">
      <c r="A10871" s="5" t="s">
        <v>98</v>
      </c>
      <c r="B10871" s="5" t="s">
        <v>99</v>
      </c>
      <c r="C10871" s="5" t="s">
        <v>1910</v>
      </c>
      <c r="D10871" s="5" t="s">
        <v>14</v>
      </c>
      <c r="E10871" s="5" t="s">
        <v>158</v>
      </c>
      <c r="F10871" s="5" t="s">
        <v>159</v>
      </c>
      <c r="G10871" s="5" t="s">
        <v>805</v>
      </c>
      <c r="H10871" s="5" t="s">
        <v>1909</v>
      </c>
      <c r="I10871" s="5" t="s">
        <v>31</v>
      </c>
      <c r="J10871" s="5">
        <v>16.344161631266999</v>
      </c>
      <c r="K10871" s="5">
        <v>-94.479769638869996</v>
      </c>
      <c r="L10871" s="5" t="str">
        <f>HYPERLINK("https://maps.google.com/?q=16.3441616312667,-94.479769638869897", "🔗 Ver Mapa")</f>
        <v>🔗 Ver Mapa</v>
      </c>
    </row>
    <row r="10872" spans="1:12" ht="58" x14ac:dyDescent="0.35">
      <c r="A10872" s="6" t="s">
        <v>98</v>
      </c>
      <c r="B10872" s="6" t="s">
        <v>99</v>
      </c>
      <c r="C10872" s="6" t="s">
        <v>1910</v>
      </c>
      <c r="D10872" s="6" t="s">
        <v>14</v>
      </c>
      <c r="E10872" s="6" t="s">
        <v>158</v>
      </c>
      <c r="F10872" s="6" t="s">
        <v>159</v>
      </c>
      <c r="G10872" s="6" t="s">
        <v>805</v>
      </c>
      <c r="H10872" s="6" t="s">
        <v>1909</v>
      </c>
      <c r="I10872" s="6" t="s">
        <v>31</v>
      </c>
      <c r="J10872" s="6">
        <v>16.344868147985999</v>
      </c>
      <c r="K10872" s="6">
        <v>-94.481109402273006</v>
      </c>
      <c r="L10872" s="6" t="str">
        <f>HYPERLINK("https://maps.google.com/?q=16.3448681479857,-94.481109402273006", "🔗 Ver Mapa")</f>
        <v>🔗 Ver Mapa</v>
      </c>
    </row>
    <row r="10873" spans="1:12" ht="58" x14ac:dyDescent="0.35">
      <c r="A10873" s="5" t="s">
        <v>98</v>
      </c>
      <c r="B10873" s="5" t="s">
        <v>99</v>
      </c>
      <c r="C10873" s="5" t="s">
        <v>1910</v>
      </c>
      <c r="D10873" s="5" t="s">
        <v>14</v>
      </c>
      <c r="E10873" s="5" t="s">
        <v>158</v>
      </c>
      <c r="F10873" s="5" t="s">
        <v>159</v>
      </c>
      <c r="G10873" s="5" t="s">
        <v>805</v>
      </c>
      <c r="H10873" s="5" t="s">
        <v>1909</v>
      </c>
      <c r="I10873" s="5" t="s">
        <v>31</v>
      </c>
      <c r="J10873" s="5">
        <v>16.346421429879001</v>
      </c>
      <c r="K10873" s="5">
        <v>-94.482237271163996</v>
      </c>
      <c r="L10873" s="5" t="str">
        <f>HYPERLINK("https://maps.google.com/?q=16.3464214298785,-94.482237271163896", "🔗 Ver Mapa")</f>
        <v>🔗 Ver Mapa</v>
      </c>
    </row>
    <row r="10874" spans="1:12" ht="58" x14ac:dyDescent="0.35">
      <c r="A10874" s="6" t="s">
        <v>98</v>
      </c>
      <c r="B10874" s="6" t="s">
        <v>99</v>
      </c>
      <c r="C10874" s="6" t="s">
        <v>1910</v>
      </c>
      <c r="D10874" s="6" t="s">
        <v>14</v>
      </c>
      <c r="E10874" s="6" t="s">
        <v>158</v>
      </c>
      <c r="F10874" s="6" t="s">
        <v>159</v>
      </c>
      <c r="G10874" s="6" t="s">
        <v>805</v>
      </c>
      <c r="H10874" s="6" t="s">
        <v>1909</v>
      </c>
      <c r="I10874" s="6" t="s">
        <v>31</v>
      </c>
      <c r="J10874" s="6">
        <v>16.346478053197998</v>
      </c>
      <c r="K10874" s="6">
        <v>-94.482430390212997</v>
      </c>
      <c r="L10874" s="6" t="str">
        <f>HYPERLINK("https://maps.google.com/?q=16.3464780531982,-94.482430390212997", "🔗 Ver Mapa")</f>
        <v>🔗 Ver Mapa</v>
      </c>
    </row>
    <row r="10875" spans="1:12" ht="58" x14ac:dyDescent="0.35">
      <c r="A10875" s="5" t="s">
        <v>98</v>
      </c>
      <c r="B10875" s="5" t="s">
        <v>99</v>
      </c>
      <c r="C10875" s="5" t="s">
        <v>1910</v>
      </c>
      <c r="D10875" s="5" t="s">
        <v>14</v>
      </c>
      <c r="E10875" s="5" t="s">
        <v>158</v>
      </c>
      <c r="F10875" s="5" t="s">
        <v>159</v>
      </c>
      <c r="G10875" s="5" t="s">
        <v>805</v>
      </c>
      <c r="H10875" s="5" t="s">
        <v>1909</v>
      </c>
      <c r="I10875" s="5" t="s">
        <v>31</v>
      </c>
      <c r="J10875" s="5">
        <v>16.346501445280001</v>
      </c>
      <c r="K10875" s="5">
        <v>-94.482729466270001</v>
      </c>
      <c r="L10875" s="5" t="str">
        <f>HYPERLINK("https://maps.google.com/?q=16.3465014452796,-94.482729466270399", "🔗 Ver Mapa")</f>
        <v>🔗 Ver Mapa</v>
      </c>
    </row>
    <row r="10876" spans="1:12" ht="58" x14ac:dyDescent="0.35">
      <c r="A10876" s="6" t="s">
        <v>98</v>
      </c>
      <c r="B10876" s="6" t="s">
        <v>99</v>
      </c>
      <c r="C10876" s="6" t="s">
        <v>1910</v>
      </c>
      <c r="D10876" s="6" t="s">
        <v>14</v>
      </c>
      <c r="E10876" s="6" t="s">
        <v>158</v>
      </c>
      <c r="F10876" s="6" t="s">
        <v>159</v>
      </c>
      <c r="G10876" s="6" t="s">
        <v>805</v>
      </c>
      <c r="H10876" s="6" t="s">
        <v>1909</v>
      </c>
      <c r="I10876" s="6" t="s">
        <v>31</v>
      </c>
      <c r="J10876" s="6">
        <v>16.346663368325999</v>
      </c>
      <c r="K10876" s="6">
        <v>-94.476953319404004</v>
      </c>
      <c r="L10876" s="6" t="str">
        <f>HYPERLINK("https://maps.google.com/?q=16.3466633683257,-94.476953319403805", "🔗 Ver Mapa")</f>
        <v>🔗 Ver Mapa</v>
      </c>
    </row>
    <row r="10877" spans="1:12" ht="58" x14ac:dyDescent="0.35">
      <c r="A10877" s="5" t="s">
        <v>98</v>
      </c>
      <c r="B10877" s="5" t="s">
        <v>99</v>
      </c>
      <c r="C10877" s="5" t="s">
        <v>1910</v>
      </c>
      <c r="D10877" s="5" t="s">
        <v>14</v>
      </c>
      <c r="E10877" s="5" t="s">
        <v>158</v>
      </c>
      <c r="F10877" s="5" t="s">
        <v>159</v>
      </c>
      <c r="G10877" s="5" t="s">
        <v>805</v>
      </c>
      <c r="H10877" s="5" t="s">
        <v>1909</v>
      </c>
      <c r="I10877" s="5" t="s">
        <v>31</v>
      </c>
      <c r="J10877" s="5">
        <v>16.347368581430999</v>
      </c>
      <c r="K10877" s="5">
        <v>-94.481180480812</v>
      </c>
      <c r="L10877" s="5" t="str">
        <f>HYPERLINK("https://maps.google.com/?q=16.3473685814312,-94.481180480811901", "🔗 Ver Mapa")</f>
        <v>🔗 Ver Mapa</v>
      </c>
    </row>
    <row r="10878" spans="1:12" ht="58" x14ac:dyDescent="0.35">
      <c r="A10878" s="6" t="s">
        <v>98</v>
      </c>
      <c r="B10878" s="6" t="s">
        <v>99</v>
      </c>
      <c r="C10878" s="6" t="s">
        <v>1910</v>
      </c>
      <c r="D10878" s="6" t="s">
        <v>14</v>
      </c>
      <c r="E10878" s="6" t="s">
        <v>158</v>
      </c>
      <c r="F10878" s="6" t="s">
        <v>159</v>
      </c>
      <c r="G10878" s="6" t="s">
        <v>805</v>
      </c>
      <c r="H10878" s="6" t="s">
        <v>1909</v>
      </c>
      <c r="I10878" s="6" t="s">
        <v>31</v>
      </c>
      <c r="J10878" s="6">
        <v>16.347538450518002</v>
      </c>
      <c r="K10878" s="6">
        <v>-94.482510856483998</v>
      </c>
      <c r="L10878" s="6" t="str">
        <f>HYPERLINK("https://maps.google.com/?q=16.3475384505175,-94.482510856483501", "🔗 Ver Mapa")</f>
        <v>🔗 Ver Mapa</v>
      </c>
    </row>
    <row r="10879" spans="1:12" ht="58" x14ac:dyDescent="0.35">
      <c r="A10879" s="5" t="s">
        <v>98</v>
      </c>
      <c r="B10879" s="5" t="s">
        <v>99</v>
      </c>
      <c r="C10879" s="5" t="s">
        <v>1910</v>
      </c>
      <c r="D10879" s="5" t="s">
        <v>14</v>
      </c>
      <c r="E10879" s="5" t="s">
        <v>158</v>
      </c>
      <c r="F10879" s="5" t="s">
        <v>159</v>
      </c>
      <c r="G10879" s="5" t="s">
        <v>805</v>
      </c>
      <c r="H10879" s="5" t="s">
        <v>1909</v>
      </c>
      <c r="I10879" s="5" t="s">
        <v>31</v>
      </c>
      <c r="J10879" s="5">
        <v>16.347610516145998</v>
      </c>
      <c r="K10879" s="5">
        <v>-94.482113889548998</v>
      </c>
      <c r="L10879" s="5" t="str">
        <f>HYPERLINK("https://maps.google.com/?q=16.3476105161458,-94.482113889549197", "🔗 Ver Mapa")</f>
        <v>🔗 Ver Mapa</v>
      </c>
    </row>
    <row r="10880" spans="1:12" ht="58" x14ac:dyDescent="0.35">
      <c r="A10880" s="6" t="s">
        <v>98</v>
      </c>
      <c r="B10880" s="6" t="s">
        <v>99</v>
      </c>
      <c r="C10880" s="6" t="s">
        <v>1910</v>
      </c>
      <c r="D10880" s="6" t="s">
        <v>14</v>
      </c>
      <c r="E10880" s="6" t="s">
        <v>158</v>
      </c>
      <c r="F10880" s="6" t="s">
        <v>159</v>
      </c>
      <c r="G10880" s="6" t="s">
        <v>805</v>
      </c>
      <c r="H10880" s="6" t="s">
        <v>1909</v>
      </c>
      <c r="I10880" s="6" t="s">
        <v>31</v>
      </c>
      <c r="J10880" s="6">
        <v>16.34773148595</v>
      </c>
      <c r="K10880" s="6">
        <v>-94.482404909227</v>
      </c>
      <c r="L10880" s="6" t="str">
        <f>HYPERLINK("https://maps.google.com/?q=16.3477314859503,-94.4824049092273", "🔗 Ver Mapa")</f>
        <v>🔗 Ver Mapa</v>
      </c>
    </row>
    <row r="10881" spans="1:12" ht="58" x14ac:dyDescent="0.35">
      <c r="A10881" s="5" t="s">
        <v>98</v>
      </c>
      <c r="B10881" s="5" t="s">
        <v>99</v>
      </c>
      <c r="C10881" s="5" t="s">
        <v>1910</v>
      </c>
      <c r="D10881" s="5" t="s">
        <v>14</v>
      </c>
      <c r="E10881" s="5" t="s">
        <v>158</v>
      </c>
      <c r="F10881" s="5" t="s">
        <v>159</v>
      </c>
      <c r="G10881" s="5" t="s">
        <v>805</v>
      </c>
      <c r="H10881" s="5" t="s">
        <v>1909</v>
      </c>
      <c r="I10881" s="5" t="s">
        <v>31</v>
      </c>
      <c r="J10881" s="5">
        <v>16.348231905755998</v>
      </c>
      <c r="K10881" s="5">
        <v>-94.487629144844007</v>
      </c>
      <c r="L10881" s="5" t="str">
        <f>HYPERLINK("https://maps.google.com/?q=16.3482319057563,-94.487629144844007", "🔗 Ver Mapa")</f>
        <v>🔗 Ver Mapa</v>
      </c>
    </row>
    <row r="10882" spans="1:12" ht="58" x14ac:dyDescent="0.35">
      <c r="A10882" s="6" t="s">
        <v>98</v>
      </c>
      <c r="B10882" s="6" t="s">
        <v>99</v>
      </c>
      <c r="C10882" s="6" t="s">
        <v>1910</v>
      </c>
      <c r="D10882" s="6" t="s">
        <v>14</v>
      </c>
      <c r="E10882" s="6" t="s">
        <v>158</v>
      </c>
      <c r="F10882" s="6" t="s">
        <v>159</v>
      </c>
      <c r="G10882" s="6" t="s">
        <v>805</v>
      </c>
      <c r="H10882" s="6" t="s">
        <v>1909</v>
      </c>
      <c r="I10882" s="6" t="s">
        <v>31</v>
      </c>
      <c r="J10882" s="6">
        <v>16.348581937315998</v>
      </c>
      <c r="K10882" s="6">
        <v>-94.487280457672</v>
      </c>
      <c r="L10882" s="6" t="str">
        <f>HYPERLINK("https://maps.google.com/?q=16.3485819373165,-94.487280457672099", "🔗 Ver Mapa")</f>
        <v>🔗 Ver Mapa</v>
      </c>
    </row>
    <row r="10883" spans="1:12" ht="58" x14ac:dyDescent="0.35">
      <c r="A10883" s="5" t="s">
        <v>98</v>
      </c>
      <c r="B10883" s="5" t="s">
        <v>99</v>
      </c>
      <c r="C10883" s="5" t="s">
        <v>1910</v>
      </c>
      <c r="D10883" s="5" t="s">
        <v>14</v>
      </c>
      <c r="E10883" s="5" t="s">
        <v>158</v>
      </c>
      <c r="F10883" s="5" t="s">
        <v>159</v>
      </c>
      <c r="G10883" s="5" t="s">
        <v>805</v>
      </c>
      <c r="H10883" s="5" t="s">
        <v>1909</v>
      </c>
      <c r="I10883" s="5" t="s">
        <v>31</v>
      </c>
      <c r="J10883" s="5">
        <v>16.351156947652001</v>
      </c>
      <c r="K10883" s="5">
        <v>-94.479648592180993</v>
      </c>
      <c r="L10883" s="5" t="str">
        <f>HYPERLINK("https://maps.google.com/?q=16.3511569476524,-94.479648592180695", "🔗 Ver Mapa")</f>
        <v>🔗 Ver Mapa</v>
      </c>
    </row>
    <row r="10884" spans="1:12" ht="58" x14ac:dyDescent="0.35">
      <c r="A10884" s="6" t="s">
        <v>98</v>
      </c>
      <c r="B10884" s="6" t="s">
        <v>99</v>
      </c>
      <c r="C10884" s="6" t="s">
        <v>1910</v>
      </c>
      <c r="D10884" s="6" t="s">
        <v>14</v>
      </c>
      <c r="E10884" s="6" t="s">
        <v>158</v>
      </c>
      <c r="F10884" s="6" t="s">
        <v>159</v>
      </c>
      <c r="G10884" s="6" t="s">
        <v>805</v>
      </c>
      <c r="H10884" s="6" t="s">
        <v>1909</v>
      </c>
      <c r="I10884" s="6" t="s">
        <v>31</v>
      </c>
      <c r="J10884" s="6">
        <v>16.351869425572001</v>
      </c>
      <c r="K10884" s="6">
        <v>-94.482135550926003</v>
      </c>
      <c r="L10884" s="6" t="str">
        <f>HYPERLINK("https://maps.google.com/?q=16.3518694255719,-94.482135550926202", "🔗 Ver Mapa")</f>
        <v>🔗 Ver Mapa</v>
      </c>
    </row>
    <row r="10885" spans="1:12" ht="58" x14ac:dyDescent="0.35">
      <c r="A10885" s="5" t="s">
        <v>98</v>
      </c>
      <c r="B10885" s="5" t="s">
        <v>99</v>
      </c>
      <c r="C10885" s="5" t="s">
        <v>1910</v>
      </c>
      <c r="D10885" s="5" t="s">
        <v>14</v>
      </c>
      <c r="E10885" s="5" t="s">
        <v>158</v>
      </c>
      <c r="F10885" s="5" t="s">
        <v>159</v>
      </c>
      <c r="G10885" s="5" t="s">
        <v>805</v>
      </c>
      <c r="H10885" s="5" t="s">
        <v>1909</v>
      </c>
      <c r="I10885" s="5" t="s">
        <v>31</v>
      </c>
      <c r="J10885" s="5">
        <v>16.353058918776</v>
      </c>
      <c r="K10885" s="5">
        <v>-94.490299644179998</v>
      </c>
      <c r="L10885" s="5" t="str">
        <f>HYPERLINK("https://maps.google.com/?q=16.3530589187763,-94.490299644180297", "🔗 Ver Mapa")</f>
        <v>🔗 Ver Mapa</v>
      </c>
    </row>
    <row r="10886" spans="1:12" ht="58" x14ac:dyDescent="0.35">
      <c r="A10886" s="6" t="s">
        <v>98</v>
      </c>
      <c r="B10886" s="6" t="s">
        <v>99</v>
      </c>
      <c r="C10886" s="6" t="s">
        <v>1910</v>
      </c>
      <c r="D10886" s="6" t="s">
        <v>14</v>
      </c>
      <c r="E10886" s="6" t="s">
        <v>158</v>
      </c>
      <c r="F10886" s="6" t="s">
        <v>159</v>
      </c>
      <c r="G10886" s="6" t="s">
        <v>805</v>
      </c>
      <c r="H10886" s="6" t="s">
        <v>1909</v>
      </c>
      <c r="I10886" s="6" t="s">
        <v>31</v>
      </c>
      <c r="J10886" s="6">
        <v>16.353357791689</v>
      </c>
      <c r="K10886" s="6">
        <v>-94.477813449074006</v>
      </c>
      <c r="L10886" s="6" t="str">
        <f>HYPERLINK("https://maps.google.com/?q=16.3533577916892,-94.477813449073693", "🔗 Ver Mapa")</f>
        <v>🔗 Ver Mapa</v>
      </c>
    </row>
    <row r="10887" spans="1:12" ht="58" x14ac:dyDescent="0.35">
      <c r="A10887" s="5" t="s">
        <v>98</v>
      </c>
      <c r="B10887" s="5" t="s">
        <v>99</v>
      </c>
      <c r="C10887" s="5" t="s">
        <v>1910</v>
      </c>
      <c r="D10887" s="5" t="s">
        <v>14</v>
      </c>
      <c r="E10887" s="5" t="s">
        <v>158</v>
      </c>
      <c r="F10887" s="5" t="s">
        <v>159</v>
      </c>
      <c r="G10887" s="5" t="s">
        <v>805</v>
      </c>
      <c r="H10887" s="5" t="s">
        <v>1909</v>
      </c>
      <c r="I10887" s="5" t="s">
        <v>31</v>
      </c>
      <c r="J10887" s="5">
        <v>16.353815585159001</v>
      </c>
      <c r="K10887" s="5">
        <v>-94.488261165329007</v>
      </c>
      <c r="L10887" s="5" t="str">
        <f>HYPERLINK("https://maps.google.com/?q=16.3538155851586,-94.488261165328694", "🔗 Ver Mapa")</f>
        <v>🔗 Ver Mapa</v>
      </c>
    </row>
    <row r="10888" spans="1:12" ht="58" x14ac:dyDescent="0.35">
      <c r="A10888" s="6" t="s">
        <v>98</v>
      </c>
      <c r="B10888" s="6" t="s">
        <v>99</v>
      </c>
      <c r="C10888" s="6" t="s">
        <v>1910</v>
      </c>
      <c r="D10888" s="6" t="s">
        <v>14</v>
      </c>
      <c r="E10888" s="6" t="s">
        <v>158</v>
      </c>
      <c r="F10888" s="6" t="s">
        <v>159</v>
      </c>
      <c r="G10888" s="6" t="s">
        <v>805</v>
      </c>
      <c r="H10888" s="6" t="s">
        <v>1909</v>
      </c>
      <c r="I10888" s="6" t="s">
        <v>31</v>
      </c>
      <c r="J10888" s="6">
        <v>16.355359795727999</v>
      </c>
      <c r="K10888" s="6">
        <v>-94.478843929476</v>
      </c>
      <c r="L10888" s="6" t="str">
        <f>HYPERLINK("https://maps.google.com/?q=16.3553597957277,-94.478843929476099", "🔗 Ver Mapa")</f>
        <v>🔗 Ver Mapa</v>
      </c>
    </row>
    <row r="10889" spans="1:12" ht="43.5" x14ac:dyDescent="0.35">
      <c r="A10889" s="5" t="s">
        <v>98</v>
      </c>
      <c r="B10889" s="5" t="s">
        <v>99</v>
      </c>
      <c r="C10889" s="5" t="s">
        <v>1911</v>
      </c>
      <c r="D10889" s="5" t="s">
        <v>14</v>
      </c>
      <c r="E10889" s="5" t="s">
        <v>158</v>
      </c>
      <c r="F10889" s="5" t="s">
        <v>166</v>
      </c>
      <c r="G10889" s="5" t="s">
        <v>819</v>
      </c>
      <c r="H10889" s="5" t="s">
        <v>820</v>
      </c>
      <c r="I10889" s="5" t="s">
        <v>31</v>
      </c>
      <c r="J10889" s="5">
        <v>16.172505000000001</v>
      </c>
      <c r="K10889" s="5">
        <v>-95.180273999999997</v>
      </c>
      <c r="L10889" s="5" t="str">
        <f>HYPERLINK("https://maps.google.com/?q=16.172505,-95.180274", "🔗 Ver Mapa")</f>
        <v>🔗 Ver Mapa</v>
      </c>
    </row>
    <row r="10890" spans="1:12" ht="43.5" x14ac:dyDescent="0.35">
      <c r="A10890" s="6" t="s">
        <v>98</v>
      </c>
      <c r="B10890" s="6" t="s">
        <v>99</v>
      </c>
      <c r="C10890" s="6" t="s">
        <v>1911</v>
      </c>
      <c r="D10890" s="6" t="s">
        <v>14</v>
      </c>
      <c r="E10890" s="6" t="s">
        <v>158</v>
      </c>
      <c r="F10890" s="6" t="s">
        <v>166</v>
      </c>
      <c r="G10890" s="6" t="s">
        <v>819</v>
      </c>
      <c r="H10890" s="6" t="s">
        <v>820</v>
      </c>
      <c r="I10890" s="6" t="s">
        <v>31</v>
      </c>
      <c r="J10890" s="6">
        <v>16.178064701705001</v>
      </c>
      <c r="K10890" s="6">
        <v>-95.203738357494998</v>
      </c>
      <c r="L10890" s="6" t="str">
        <f>HYPERLINK("https://maps.google.com/?q=16.1780647017052,-95.203738357494998", "🔗 Ver Mapa")</f>
        <v>🔗 Ver Mapa</v>
      </c>
    </row>
    <row r="10891" spans="1:12" ht="43.5" x14ac:dyDescent="0.35">
      <c r="A10891" s="5" t="s">
        <v>98</v>
      </c>
      <c r="B10891" s="5" t="s">
        <v>99</v>
      </c>
      <c r="C10891" s="5" t="s">
        <v>1911</v>
      </c>
      <c r="D10891" s="5" t="s">
        <v>14</v>
      </c>
      <c r="E10891" s="5" t="s">
        <v>158</v>
      </c>
      <c r="F10891" s="5" t="s">
        <v>166</v>
      </c>
      <c r="G10891" s="5" t="s">
        <v>819</v>
      </c>
      <c r="H10891" s="5" t="s">
        <v>820</v>
      </c>
      <c r="I10891" s="5" t="s">
        <v>31</v>
      </c>
      <c r="J10891" s="5">
        <v>16.180440250275002</v>
      </c>
      <c r="K10891" s="5">
        <v>-95.204656167002994</v>
      </c>
      <c r="L10891" s="5" t="str">
        <f>HYPERLINK("https://maps.google.com/?q=16.1804402502751,-95.204656167003193", "🔗 Ver Mapa")</f>
        <v>🔗 Ver Mapa</v>
      </c>
    </row>
    <row r="10892" spans="1:12" ht="43.5" x14ac:dyDescent="0.35">
      <c r="A10892" s="6" t="s">
        <v>98</v>
      </c>
      <c r="B10892" s="6" t="s">
        <v>99</v>
      </c>
      <c r="C10892" s="6" t="s">
        <v>1911</v>
      </c>
      <c r="D10892" s="6" t="s">
        <v>14</v>
      </c>
      <c r="E10892" s="6" t="s">
        <v>158</v>
      </c>
      <c r="F10892" s="6" t="s">
        <v>166</v>
      </c>
      <c r="G10892" s="6" t="s">
        <v>819</v>
      </c>
      <c r="H10892" s="6" t="s">
        <v>820</v>
      </c>
      <c r="I10892" s="6" t="s">
        <v>31</v>
      </c>
      <c r="J10892" s="6">
        <v>16.181517000162</v>
      </c>
      <c r="K10892" s="6">
        <v>-95.204530103180005</v>
      </c>
      <c r="L10892" s="6" t="str">
        <f>HYPERLINK("https://maps.google.com/?q=16.1815170001618,-95.204530103179593", "🔗 Ver Mapa")</f>
        <v>🔗 Ver Mapa</v>
      </c>
    </row>
    <row r="10893" spans="1:12" ht="43.5" x14ac:dyDescent="0.35">
      <c r="A10893" s="5" t="s">
        <v>98</v>
      </c>
      <c r="B10893" s="5" t="s">
        <v>99</v>
      </c>
      <c r="C10893" s="5" t="s">
        <v>1911</v>
      </c>
      <c r="D10893" s="5" t="s">
        <v>14</v>
      </c>
      <c r="E10893" s="5" t="s">
        <v>158</v>
      </c>
      <c r="F10893" s="5" t="s">
        <v>166</v>
      </c>
      <c r="G10893" s="5" t="s">
        <v>819</v>
      </c>
      <c r="H10893" s="5" t="s">
        <v>820</v>
      </c>
      <c r="I10893" s="5" t="s">
        <v>31</v>
      </c>
      <c r="J10893" s="5">
        <v>16.184169056618</v>
      </c>
      <c r="K10893" s="5">
        <v>-95.186955505582006</v>
      </c>
      <c r="L10893" s="5" t="str">
        <f>HYPERLINK("https://maps.google.com/?q=16.1841690566177,-95.186955505581906", "🔗 Ver Mapa")</f>
        <v>🔗 Ver Mapa</v>
      </c>
    </row>
    <row r="10894" spans="1:12" ht="43.5" x14ac:dyDescent="0.35">
      <c r="A10894" s="6" t="s">
        <v>98</v>
      </c>
      <c r="B10894" s="6" t="s">
        <v>99</v>
      </c>
      <c r="C10894" s="6" t="s">
        <v>1911</v>
      </c>
      <c r="D10894" s="6" t="s">
        <v>14</v>
      </c>
      <c r="E10894" s="6" t="s">
        <v>158</v>
      </c>
      <c r="F10894" s="6" t="s">
        <v>166</v>
      </c>
      <c r="G10894" s="6" t="s">
        <v>819</v>
      </c>
      <c r="H10894" s="6" t="s">
        <v>820</v>
      </c>
      <c r="I10894" s="6" t="s">
        <v>31</v>
      </c>
      <c r="J10894" s="6">
        <v>16.184266688446002</v>
      </c>
      <c r="K10894" s="6">
        <v>-95.187225782208998</v>
      </c>
      <c r="L10894" s="6" t="str">
        <f>HYPERLINK("https://maps.google.com/?q=16.1842666884464,-95.187225782208898", "🔗 Ver Mapa")</f>
        <v>🔗 Ver Mapa</v>
      </c>
    </row>
    <row r="10895" spans="1:12" ht="43.5" x14ac:dyDescent="0.35">
      <c r="A10895" s="5" t="s">
        <v>98</v>
      </c>
      <c r="B10895" s="5" t="s">
        <v>99</v>
      </c>
      <c r="C10895" s="5" t="s">
        <v>1911</v>
      </c>
      <c r="D10895" s="5" t="s">
        <v>14</v>
      </c>
      <c r="E10895" s="5" t="s">
        <v>158</v>
      </c>
      <c r="F10895" s="5" t="s">
        <v>166</v>
      </c>
      <c r="G10895" s="5" t="s">
        <v>819</v>
      </c>
      <c r="H10895" s="5" t="s">
        <v>820</v>
      </c>
      <c r="I10895" s="5" t="s">
        <v>31</v>
      </c>
      <c r="J10895" s="5">
        <v>16.184280683082001</v>
      </c>
      <c r="K10895" s="5">
        <v>-95.186418198211001</v>
      </c>
      <c r="L10895" s="5" t="str">
        <f>HYPERLINK("https://maps.google.com/?q=16.184280683082,-95.186418198211101", "🔗 Ver Mapa")</f>
        <v>🔗 Ver Mapa</v>
      </c>
    </row>
    <row r="10896" spans="1:12" ht="43.5" x14ac:dyDescent="0.35">
      <c r="A10896" s="6" t="s">
        <v>98</v>
      </c>
      <c r="B10896" s="6" t="s">
        <v>99</v>
      </c>
      <c r="C10896" s="6" t="s">
        <v>1911</v>
      </c>
      <c r="D10896" s="6" t="s">
        <v>14</v>
      </c>
      <c r="E10896" s="6" t="s">
        <v>158</v>
      </c>
      <c r="F10896" s="6" t="s">
        <v>166</v>
      </c>
      <c r="G10896" s="6" t="s">
        <v>819</v>
      </c>
      <c r="H10896" s="6" t="s">
        <v>820</v>
      </c>
      <c r="I10896" s="6" t="s">
        <v>31</v>
      </c>
      <c r="J10896" s="6">
        <v>16.185795864586002</v>
      </c>
      <c r="K10896" s="6">
        <v>-95.187704622208997</v>
      </c>
      <c r="L10896" s="6" t="str">
        <f>HYPERLINK("https://maps.google.com/?q=16.185795864586,-95.187704622208997", "🔗 Ver Mapa")</f>
        <v>🔗 Ver Mapa</v>
      </c>
    </row>
    <row r="10897" spans="1:12" ht="43.5" x14ac:dyDescent="0.35">
      <c r="A10897" s="5" t="s">
        <v>98</v>
      </c>
      <c r="B10897" s="5" t="s">
        <v>99</v>
      </c>
      <c r="C10897" s="5" t="s">
        <v>1911</v>
      </c>
      <c r="D10897" s="5" t="s">
        <v>14</v>
      </c>
      <c r="E10897" s="5" t="s">
        <v>158</v>
      </c>
      <c r="F10897" s="5" t="s">
        <v>166</v>
      </c>
      <c r="G10897" s="5" t="s">
        <v>819</v>
      </c>
      <c r="H10897" s="5" t="s">
        <v>820</v>
      </c>
      <c r="I10897" s="5" t="s">
        <v>31</v>
      </c>
      <c r="J10897" s="5">
        <v>16.185933622533</v>
      </c>
      <c r="K10897" s="5">
        <v>-95.204931007791004</v>
      </c>
      <c r="L10897" s="5" t="str">
        <f>HYPERLINK("https://maps.google.com/?q=16.1859336225329,-95.204931007790904", "🔗 Ver Mapa")</f>
        <v>🔗 Ver Mapa</v>
      </c>
    </row>
    <row r="10898" spans="1:12" ht="43.5" x14ac:dyDescent="0.35">
      <c r="A10898" s="6" t="s">
        <v>98</v>
      </c>
      <c r="B10898" s="6" t="s">
        <v>99</v>
      </c>
      <c r="C10898" s="6" t="s">
        <v>1911</v>
      </c>
      <c r="D10898" s="6" t="s">
        <v>14</v>
      </c>
      <c r="E10898" s="6" t="s">
        <v>158</v>
      </c>
      <c r="F10898" s="6" t="s">
        <v>166</v>
      </c>
      <c r="G10898" s="6" t="s">
        <v>819</v>
      </c>
      <c r="H10898" s="6" t="s">
        <v>820</v>
      </c>
      <c r="I10898" s="6" t="s">
        <v>31</v>
      </c>
      <c r="J10898" s="6">
        <v>16.186435230762001</v>
      </c>
      <c r="K10898" s="6">
        <v>-95.188346432209002</v>
      </c>
      <c r="L10898" s="6" t="str">
        <f>HYPERLINK("https://maps.google.com/?q=16.1864352307621,-95.188346432208704", "🔗 Ver Mapa")</f>
        <v>🔗 Ver Mapa</v>
      </c>
    </row>
    <row r="10899" spans="1:12" ht="43.5" x14ac:dyDescent="0.35">
      <c r="A10899" s="5" t="s">
        <v>98</v>
      </c>
      <c r="B10899" s="5" t="s">
        <v>99</v>
      </c>
      <c r="C10899" s="5" t="s">
        <v>1911</v>
      </c>
      <c r="D10899" s="5" t="s">
        <v>14</v>
      </c>
      <c r="E10899" s="5" t="s">
        <v>158</v>
      </c>
      <c r="F10899" s="5" t="s">
        <v>166</v>
      </c>
      <c r="G10899" s="5" t="s">
        <v>819</v>
      </c>
      <c r="H10899" s="5" t="s">
        <v>820</v>
      </c>
      <c r="I10899" s="5" t="s">
        <v>31</v>
      </c>
      <c r="J10899" s="5">
        <v>16.186565668981999</v>
      </c>
      <c r="K10899" s="5">
        <v>-95.188129091896997</v>
      </c>
      <c r="L10899" s="5" t="str">
        <f>HYPERLINK("https://maps.google.com/?q=16.1865656689815,-95.188129091897196", "🔗 Ver Mapa")</f>
        <v>🔗 Ver Mapa</v>
      </c>
    </row>
    <row r="10900" spans="1:12" ht="43.5" x14ac:dyDescent="0.35">
      <c r="A10900" s="6" t="s">
        <v>98</v>
      </c>
      <c r="B10900" s="6" t="s">
        <v>99</v>
      </c>
      <c r="C10900" s="6" t="s">
        <v>1911</v>
      </c>
      <c r="D10900" s="6" t="s">
        <v>14</v>
      </c>
      <c r="E10900" s="6" t="s">
        <v>158</v>
      </c>
      <c r="F10900" s="6" t="s">
        <v>166</v>
      </c>
      <c r="G10900" s="6" t="s">
        <v>819</v>
      </c>
      <c r="H10900" s="6" t="s">
        <v>820</v>
      </c>
      <c r="I10900" s="6" t="s">
        <v>31</v>
      </c>
      <c r="J10900" s="6">
        <v>16.186614610766998</v>
      </c>
      <c r="K10900" s="6">
        <v>-95.187375391163997</v>
      </c>
      <c r="L10900" s="6" t="str">
        <f>HYPERLINK("https://maps.google.com/?q=16.1866146107669,-95.187375391163897", "🔗 Ver Mapa")</f>
        <v>🔗 Ver Mapa</v>
      </c>
    </row>
    <row r="10901" spans="1:12" ht="43.5" x14ac:dyDescent="0.35">
      <c r="A10901" s="5" t="s">
        <v>98</v>
      </c>
      <c r="B10901" s="5" t="s">
        <v>99</v>
      </c>
      <c r="C10901" s="5" t="s">
        <v>1911</v>
      </c>
      <c r="D10901" s="5" t="s">
        <v>14</v>
      </c>
      <c r="E10901" s="5" t="s">
        <v>158</v>
      </c>
      <c r="F10901" s="5" t="s">
        <v>166</v>
      </c>
      <c r="G10901" s="5" t="s">
        <v>819</v>
      </c>
      <c r="H10901" s="5" t="s">
        <v>820</v>
      </c>
      <c r="I10901" s="5" t="s">
        <v>31</v>
      </c>
      <c r="J10901" s="5">
        <v>16.187242828407999</v>
      </c>
      <c r="K10901" s="5">
        <v>-95.185859070000006</v>
      </c>
      <c r="L10901" s="5" t="str">
        <f>HYPERLINK("https://maps.google.com/?q=16.1872428284081,-95.185859069999907", "🔗 Ver Mapa")</f>
        <v>🔗 Ver Mapa</v>
      </c>
    </row>
    <row r="10902" spans="1:12" ht="43.5" x14ac:dyDescent="0.35">
      <c r="A10902" s="6" t="s">
        <v>98</v>
      </c>
      <c r="B10902" s="6" t="s">
        <v>99</v>
      </c>
      <c r="C10902" s="6" t="s">
        <v>1911</v>
      </c>
      <c r="D10902" s="6" t="s">
        <v>14</v>
      </c>
      <c r="E10902" s="6" t="s">
        <v>158</v>
      </c>
      <c r="F10902" s="6" t="s">
        <v>166</v>
      </c>
      <c r="G10902" s="6" t="s">
        <v>819</v>
      </c>
      <c r="H10902" s="6" t="s">
        <v>820</v>
      </c>
      <c r="I10902" s="6" t="s">
        <v>31</v>
      </c>
      <c r="J10902" s="6">
        <v>16.187276470783999</v>
      </c>
      <c r="K10902" s="6">
        <v>-95.205177831103995</v>
      </c>
      <c r="L10902" s="6" t="str">
        <f>HYPERLINK("https://maps.google.com/?q=16.1872764707842,-95.205177831104393", "🔗 Ver Mapa")</f>
        <v>🔗 Ver Mapa</v>
      </c>
    </row>
    <row r="10903" spans="1:12" ht="43.5" x14ac:dyDescent="0.35">
      <c r="A10903" s="5" t="s">
        <v>98</v>
      </c>
      <c r="B10903" s="5" t="s">
        <v>99</v>
      </c>
      <c r="C10903" s="5" t="s">
        <v>1911</v>
      </c>
      <c r="D10903" s="5" t="s">
        <v>14</v>
      </c>
      <c r="E10903" s="5" t="s">
        <v>158</v>
      </c>
      <c r="F10903" s="5" t="s">
        <v>166</v>
      </c>
      <c r="G10903" s="5" t="s">
        <v>819</v>
      </c>
      <c r="H10903" s="5" t="s">
        <v>820</v>
      </c>
      <c r="I10903" s="5" t="s">
        <v>31</v>
      </c>
      <c r="J10903" s="5">
        <v>16.187282334439001</v>
      </c>
      <c r="K10903" s="5">
        <v>-95.184792736687001</v>
      </c>
      <c r="L10903" s="5" t="str">
        <f>HYPERLINK("https://maps.google.com/?q=16.1872823344389,-95.184792736686603", "🔗 Ver Mapa")</f>
        <v>🔗 Ver Mapa</v>
      </c>
    </row>
    <row r="10904" spans="1:12" ht="43.5" x14ac:dyDescent="0.35">
      <c r="A10904" s="6" t="s">
        <v>98</v>
      </c>
      <c r="B10904" s="6" t="s">
        <v>99</v>
      </c>
      <c r="C10904" s="6" t="s">
        <v>1911</v>
      </c>
      <c r="D10904" s="6" t="s">
        <v>14</v>
      </c>
      <c r="E10904" s="6" t="s">
        <v>158</v>
      </c>
      <c r="F10904" s="6" t="s">
        <v>166</v>
      </c>
      <c r="G10904" s="6" t="s">
        <v>819</v>
      </c>
      <c r="H10904" s="6" t="s">
        <v>820</v>
      </c>
      <c r="I10904" s="6" t="s">
        <v>31</v>
      </c>
      <c r="J10904" s="6">
        <v>16.187561053307</v>
      </c>
      <c r="K10904" s="6">
        <v>-95.209247553031005</v>
      </c>
      <c r="L10904" s="6" t="str">
        <f>HYPERLINK("https://maps.google.com/?q=16.1875610533073,-95.209247553031005", "🔗 Ver Mapa")</f>
        <v>🔗 Ver Mapa</v>
      </c>
    </row>
    <row r="10905" spans="1:12" ht="43.5" x14ac:dyDescent="0.35">
      <c r="A10905" s="5" t="s">
        <v>98</v>
      </c>
      <c r="B10905" s="5" t="s">
        <v>99</v>
      </c>
      <c r="C10905" s="5" t="s">
        <v>1911</v>
      </c>
      <c r="D10905" s="5" t="s">
        <v>14</v>
      </c>
      <c r="E10905" s="5" t="s">
        <v>158</v>
      </c>
      <c r="F10905" s="5" t="s">
        <v>166</v>
      </c>
      <c r="G10905" s="5" t="s">
        <v>819</v>
      </c>
      <c r="H10905" s="5" t="s">
        <v>820</v>
      </c>
      <c r="I10905" s="5" t="s">
        <v>31</v>
      </c>
      <c r="J10905" s="5">
        <v>16.188196987358999</v>
      </c>
      <c r="K10905" s="5">
        <v>-95.183809839999995</v>
      </c>
      <c r="L10905" s="5" t="str">
        <f>HYPERLINK("https://maps.google.com/?q=16.1881969873591,-95.183809839999995", "🔗 Ver Mapa")</f>
        <v>🔗 Ver Mapa</v>
      </c>
    </row>
    <row r="10906" spans="1:12" ht="43.5" x14ac:dyDescent="0.35">
      <c r="A10906" s="6" t="s">
        <v>98</v>
      </c>
      <c r="B10906" s="6" t="s">
        <v>99</v>
      </c>
      <c r="C10906" s="6" t="s">
        <v>1911</v>
      </c>
      <c r="D10906" s="6" t="s">
        <v>14</v>
      </c>
      <c r="E10906" s="6" t="s">
        <v>158</v>
      </c>
      <c r="F10906" s="6" t="s">
        <v>166</v>
      </c>
      <c r="G10906" s="6" t="s">
        <v>819</v>
      </c>
      <c r="H10906" s="6" t="s">
        <v>820</v>
      </c>
      <c r="I10906" s="6" t="s">
        <v>31</v>
      </c>
      <c r="J10906" s="6">
        <v>16.188469998392002</v>
      </c>
      <c r="K10906" s="6">
        <v>-95.186948650000005</v>
      </c>
      <c r="L10906" s="6" t="str">
        <f>HYPERLINK("https://maps.google.com/?q=16.1884699983922,-95.186948650000005", "🔗 Ver Mapa")</f>
        <v>🔗 Ver Mapa</v>
      </c>
    </row>
    <row r="10907" spans="1:12" ht="43.5" x14ac:dyDescent="0.35">
      <c r="A10907" s="5" t="s">
        <v>98</v>
      </c>
      <c r="B10907" s="5" t="s">
        <v>99</v>
      </c>
      <c r="C10907" s="5" t="s">
        <v>1911</v>
      </c>
      <c r="D10907" s="5" t="s">
        <v>14</v>
      </c>
      <c r="E10907" s="5" t="s">
        <v>158</v>
      </c>
      <c r="F10907" s="5" t="s">
        <v>166</v>
      </c>
      <c r="G10907" s="5" t="s">
        <v>819</v>
      </c>
      <c r="H10907" s="5" t="s">
        <v>820</v>
      </c>
      <c r="I10907" s="5" t="s">
        <v>31</v>
      </c>
      <c r="J10907" s="5">
        <v>16.188524132533001</v>
      </c>
      <c r="K10907" s="5">
        <v>-95.188205850000003</v>
      </c>
      <c r="L10907" s="5" t="str">
        <f>HYPERLINK("https://maps.google.com/?q=16.1885241325334,-95.188205849999903", "🔗 Ver Mapa")</f>
        <v>🔗 Ver Mapa</v>
      </c>
    </row>
    <row r="10908" spans="1:12" ht="43.5" x14ac:dyDescent="0.35">
      <c r="A10908" s="6" t="s">
        <v>98</v>
      </c>
      <c r="B10908" s="6" t="s">
        <v>99</v>
      </c>
      <c r="C10908" s="6" t="s">
        <v>1911</v>
      </c>
      <c r="D10908" s="6" t="s">
        <v>14</v>
      </c>
      <c r="E10908" s="6" t="s">
        <v>158</v>
      </c>
      <c r="F10908" s="6" t="s">
        <v>166</v>
      </c>
      <c r="G10908" s="6" t="s">
        <v>819</v>
      </c>
      <c r="H10908" s="6" t="s">
        <v>820</v>
      </c>
      <c r="I10908" s="6" t="s">
        <v>31</v>
      </c>
      <c r="J10908" s="6">
        <v>16.188622062899999</v>
      </c>
      <c r="K10908" s="6">
        <v>-95.183949681350995</v>
      </c>
      <c r="L10908" s="6" t="str">
        <f>HYPERLINK("https://maps.google.com/?q=16.1886220628997,-95.183949681351294", "🔗 Ver Mapa")</f>
        <v>🔗 Ver Mapa</v>
      </c>
    </row>
    <row r="10909" spans="1:12" ht="43.5" x14ac:dyDescent="0.35">
      <c r="A10909" s="5" t="s">
        <v>98</v>
      </c>
      <c r="B10909" s="5" t="s">
        <v>99</v>
      </c>
      <c r="C10909" s="5" t="s">
        <v>1911</v>
      </c>
      <c r="D10909" s="5" t="s">
        <v>14</v>
      </c>
      <c r="E10909" s="5" t="s">
        <v>158</v>
      </c>
      <c r="F10909" s="5" t="s">
        <v>166</v>
      </c>
      <c r="G10909" s="5" t="s">
        <v>819</v>
      </c>
      <c r="H10909" s="5" t="s">
        <v>820</v>
      </c>
      <c r="I10909" s="5" t="s">
        <v>31</v>
      </c>
      <c r="J10909" s="5">
        <v>16.188921654975001</v>
      </c>
      <c r="K10909" s="5">
        <v>-95.208149866686</v>
      </c>
      <c r="L10909" s="5" t="str">
        <f>HYPERLINK("https://maps.google.com/?q=16.1889216549745,-95.208149866686298", "🔗 Ver Mapa")</f>
        <v>🔗 Ver Mapa</v>
      </c>
    </row>
    <row r="10910" spans="1:12" ht="43.5" x14ac:dyDescent="0.35">
      <c r="A10910" s="6" t="s">
        <v>98</v>
      </c>
      <c r="B10910" s="6" t="s">
        <v>99</v>
      </c>
      <c r="C10910" s="6" t="s">
        <v>1911</v>
      </c>
      <c r="D10910" s="6" t="s">
        <v>14</v>
      </c>
      <c r="E10910" s="6" t="s">
        <v>158</v>
      </c>
      <c r="F10910" s="6" t="s">
        <v>166</v>
      </c>
      <c r="G10910" s="6" t="s">
        <v>819</v>
      </c>
      <c r="H10910" s="6" t="s">
        <v>820</v>
      </c>
      <c r="I10910" s="6" t="s">
        <v>31</v>
      </c>
      <c r="J10910" s="6">
        <v>16.189151176683001</v>
      </c>
      <c r="K10910" s="6">
        <v>-95.187027177790995</v>
      </c>
      <c r="L10910" s="6" t="str">
        <f>HYPERLINK("https://maps.google.com/?q=16.1891511766834,-95.187027177790597", "🔗 Ver Mapa")</f>
        <v>🔗 Ver Mapa</v>
      </c>
    </row>
    <row r="10911" spans="1:12" ht="43.5" x14ac:dyDescent="0.35">
      <c r="A10911" s="5" t="s">
        <v>98</v>
      </c>
      <c r="B10911" s="5" t="s">
        <v>99</v>
      </c>
      <c r="C10911" s="5" t="s">
        <v>1911</v>
      </c>
      <c r="D10911" s="5" t="s">
        <v>14</v>
      </c>
      <c r="E10911" s="5" t="s">
        <v>158</v>
      </c>
      <c r="F10911" s="5" t="s">
        <v>166</v>
      </c>
      <c r="G10911" s="5" t="s">
        <v>819</v>
      </c>
      <c r="H10911" s="5" t="s">
        <v>820</v>
      </c>
      <c r="I10911" s="5" t="s">
        <v>31</v>
      </c>
      <c r="J10911" s="5">
        <v>16.189155205875</v>
      </c>
      <c r="K10911" s="5">
        <v>-95.183783017910002</v>
      </c>
      <c r="L10911" s="5" t="str">
        <f>HYPERLINK("https://maps.google.com/?q=16.1891552058754,-95.183783017909803", "🔗 Ver Mapa")</f>
        <v>🔗 Ver Mapa</v>
      </c>
    </row>
    <row r="10912" spans="1:12" ht="43.5" x14ac:dyDescent="0.35">
      <c r="A10912" s="6" t="s">
        <v>98</v>
      </c>
      <c r="B10912" s="6" t="s">
        <v>99</v>
      </c>
      <c r="C10912" s="6" t="s">
        <v>1911</v>
      </c>
      <c r="D10912" s="6" t="s">
        <v>14</v>
      </c>
      <c r="E10912" s="6" t="s">
        <v>158</v>
      </c>
      <c r="F10912" s="6" t="s">
        <v>166</v>
      </c>
      <c r="G10912" s="6" t="s">
        <v>819</v>
      </c>
      <c r="H10912" s="6" t="s">
        <v>820</v>
      </c>
      <c r="I10912" s="6" t="s">
        <v>31</v>
      </c>
      <c r="J10912" s="6">
        <v>16.189189502533999</v>
      </c>
      <c r="K10912" s="6">
        <v>-95.183467355581996</v>
      </c>
      <c r="L10912" s="6" t="str">
        <f>HYPERLINK("https://maps.google.com/?q=16.1891895025335,-95.183467355581996", "🔗 Ver Mapa")</f>
        <v>🔗 Ver Mapa</v>
      </c>
    </row>
    <row r="10913" spans="1:12" ht="43.5" x14ac:dyDescent="0.35">
      <c r="A10913" s="5" t="s">
        <v>98</v>
      </c>
      <c r="B10913" s="5" t="s">
        <v>99</v>
      </c>
      <c r="C10913" s="5" t="s">
        <v>1911</v>
      </c>
      <c r="D10913" s="5" t="s">
        <v>14</v>
      </c>
      <c r="E10913" s="5" t="s">
        <v>158</v>
      </c>
      <c r="F10913" s="5" t="s">
        <v>166</v>
      </c>
      <c r="G10913" s="5" t="s">
        <v>819</v>
      </c>
      <c r="H10913" s="5" t="s">
        <v>820</v>
      </c>
      <c r="I10913" s="5" t="s">
        <v>31</v>
      </c>
      <c r="J10913" s="5">
        <v>16.189430821630001</v>
      </c>
      <c r="K10913" s="5">
        <v>-95.186339163100996</v>
      </c>
      <c r="L10913" s="5" t="str">
        <f>HYPERLINK("https://maps.google.com/?q=16.1894308216302,-95.186339163101195", "🔗 Ver Mapa")</f>
        <v>🔗 Ver Mapa</v>
      </c>
    </row>
    <row r="10914" spans="1:12" ht="43.5" x14ac:dyDescent="0.35">
      <c r="A10914" s="6" t="s">
        <v>98</v>
      </c>
      <c r="B10914" s="6" t="s">
        <v>99</v>
      </c>
      <c r="C10914" s="6" t="s">
        <v>1911</v>
      </c>
      <c r="D10914" s="6" t="s">
        <v>14</v>
      </c>
      <c r="E10914" s="6" t="s">
        <v>158</v>
      </c>
      <c r="F10914" s="6" t="s">
        <v>166</v>
      </c>
      <c r="G10914" s="6" t="s">
        <v>819</v>
      </c>
      <c r="H10914" s="6" t="s">
        <v>820</v>
      </c>
      <c r="I10914" s="6" t="s">
        <v>31</v>
      </c>
      <c r="J10914" s="6">
        <v>16.189472612532999</v>
      </c>
      <c r="K10914" s="6">
        <v>-95.210172378894995</v>
      </c>
      <c r="L10914" s="6" t="str">
        <f>HYPERLINK("https://maps.google.com/?q=16.1894726125335,-95.210172378895393", "🔗 Ver Mapa")</f>
        <v>🔗 Ver Mapa</v>
      </c>
    </row>
    <row r="10915" spans="1:12" ht="43.5" x14ac:dyDescent="0.35">
      <c r="A10915" s="5" t="s">
        <v>98</v>
      </c>
      <c r="B10915" s="5" t="s">
        <v>99</v>
      </c>
      <c r="C10915" s="5" t="s">
        <v>1911</v>
      </c>
      <c r="D10915" s="5" t="s">
        <v>14</v>
      </c>
      <c r="E10915" s="5" t="s">
        <v>158</v>
      </c>
      <c r="F10915" s="5" t="s">
        <v>166</v>
      </c>
      <c r="G10915" s="5" t="s">
        <v>819</v>
      </c>
      <c r="H10915" s="5" t="s">
        <v>820</v>
      </c>
      <c r="I10915" s="5" t="s">
        <v>31</v>
      </c>
      <c r="J10915" s="5">
        <v>16.190247534615999</v>
      </c>
      <c r="K10915" s="5">
        <v>-95.186152448835998</v>
      </c>
      <c r="L10915" s="5" t="str">
        <f>HYPERLINK("https://maps.google.com/?q=16.1902475346158,-95.186152448835898", "🔗 Ver Mapa")</f>
        <v>🔗 Ver Mapa</v>
      </c>
    </row>
    <row r="10916" spans="1:12" ht="43.5" x14ac:dyDescent="0.35">
      <c r="A10916" s="6" t="s">
        <v>98</v>
      </c>
      <c r="B10916" s="6" t="s">
        <v>99</v>
      </c>
      <c r="C10916" s="6" t="s">
        <v>1911</v>
      </c>
      <c r="D10916" s="6" t="s">
        <v>14</v>
      </c>
      <c r="E10916" s="6" t="s">
        <v>158</v>
      </c>
      <c r="F10916" s="6" t="s">
        <v>166</v>
      </c>
      <c r="G10916" s="6" t="s">
        <v>819</v>
      </c>
      <c r="H10916" s="6" t="s">
        <v>820</v>
      </c>
      <c r="I10916" s="6" t="s">
        <v>31</v>
      </c>
      <c r="J10916" s="6">
        <v>16.190349279195999</v>
      </c>
      <c r="K10916" s="6">
        <v>-95.186192682208997</v>
      </c>
      <c r="L10916" s="6" t="str">
        <f>HYPERLINK("https://maps.google.com/?q=16.1903492791964,-95.186192682208898", "🔗 Ver Mapa")</f>
        <v>🔗 Ver Mapa</v>
      </c>
    </row>
    <row r="10917" spans="1:12" ht="43.5" x14ac:dyDescent="0.35">
      <c r="A10917" s="5" t="s">
        <v>98</v>
      </c>
      <c r="B10917" s="5" t="s">
        <v>99</v>
      </c>
      <c r="C10917" s="5" t="s">
        <v>1911</v>
      </c>
      <c r="D10917" s="5" t="s">
        <v>14</v>
      </c>
      <c r="E10917" s="5" t="s">
        <v>158</v>
      </c>
      <c r="F10917" s="5" t="s">
        <v>166</v>
      </c>
      <c r="G10917" s="5" t="s">
        <v>819</v>
      </c>
      <c r="H10917" s="5" t="s">
        <v>820</v>
      </c>
      <c r="I10917" s="5" t="s">
        <v>31</v>
      </c>
      <c r="J10917" s="5">
        <v>16.190586252534001</v>
      </c>
      <c r="K10917" s="5">
        <v>-95.186922240000001</v>
      </c>
      <c r="L10917" s="5" t="str">
        <f>HYPERLINK("https://maps.google.com/?q=16.1905862525338,-95.186922240000001", "🔗 Ver Mapa")</f>
        <v>🔗 Ver Mapa</v>
      </c>
    </row>
    <row r="10918" spans="1:12" ht="43.5" x14ac:dyDescent="0.35">
      <c r="A10918" s="6" t="s">
        <v>98</v>
      </c>
      <c r="B10918" s="6" t="s">
        <v>99</v>
      </c>
      <c r="C10918" s="6" t="s">
        <v>1911</v>
      </c>
      <c r="D10918" s="6" t="s">
        <v>14</v>
      </c>
      <c r="E10918" s="6" t="s">
        <v>158</v>
      </c>
      <c r="F10918" s="6" t="s">
        <v>166</v>
      </c>
      <c r="G10918" s="6" t="s">
        <v>819</v>
      </c>
      <c r="H10918" s="6" t="s">
        <v>820</v>
      </c>
      <c r="I10918" s="6" t="s">
        <v>31</v>
      </c>
      <c r="J10918" s="6">
        <v>16.190610398787001</v>
      </c>
      <c r="K10918" s="6">
        <v>-95.212535539468007</v>
      </c>
      <c r="L10918" s="6" t="str">
        <f>HYPERLINK("https://maps.google.com/?q=16.1906103987873,-95.212535539467893", "🔗 Ver Mapa")</f>
        <v>🔗 Ver Mapa</v>
      </c>
    </row>
    <row r="10919" spans="1:12" ht="43.5" x14ac:dyDescent="0.35">
      <c r="A10919" s="5" t="s">
        <v>98</v>
      </c>
      <c r="B10919" s="5" t="s">
        <v>99</v>
      </c>
      <c r="C10919" s="5" t="s">
        <v>1911</v>
      </c>
      <c r="D10919" s="5" t="s">
        <v>14</v>
      </c>
      <c r="E10919" s="5" t="s">
        <v>158</v>
      </c>
      <c r="F10919" s="5" t="s">
        <v>166</v>
      </c>
      <c r="G10919" s="5" t="s">
        <v>819</v>
      </c>
      <c r="H10919" s="5" t="s">
        <v>820</v>
      </c>
      <c r="I10919" s="5" t="s">
        <v>31</v>
      </c>
      <c r="J10919" s="5">
        <v>16.190713866492001</v>
      </c>
      <c r="K10919" s="5">
        <v>-95.210676741656997</v>
      </c>
      <c r="L10919" s="5" t="str">
        <f>HYPERLINK("https://maps.google.com/?q=16.1907138664924,-95.210676741656599", "🔗 Ver Mapa")</f>
        <v>🔗 Ver Mapa</v>
      </c>
    </row>
    <row r="10920" spans="1:12" ht="43.5" x14ac:dyDescent="0.35">
      <c r="A10920" s="6" t="s">
        <v>98</v>
      </c>
      <c r="B10920" s="6" t="s">
        <v>99</v>
      </c>
      <c r="C10920" s="6" t="s">
        <v>1911</v>
      </c>
      <c r="D10920" s="6" t="s">
        <v>14</v>
      </c>
      <c r="E10920" s="6" t="s">
        <v>158</v>
      </c>
      <c r="F10920" s="6" t="s">
        <v>166</v>
      </c>
      <c r="G10920" s="6" t="s">
        <v>819</v>
      </c>
      <c r="H10920" s="6" t="s">
        <v>820</v>
      </c>
      <c r="I10920" s="6" t="s">
        <v>31</v>
      </c>
      <c r="J10920" s="6">
        <v>16.190736936278</v>
      </c>
      <c r="K10920" s="6">
        <v>-95.185550288895001</v>
      </c>
      <c r="L10920" s="6" t="str">
        <f>HYPERLINK("https://maps.google.com/?q=16.1907369362778,-95.185550288895399", "🔗 Ver Mapa")</f>
        <v>🔗 Ver Mapa</v>
      </c>
    </row>
    <row r="10921" spans="1:12" ht="43.5" x14ac:dyDescent="0.35">
      <c r="A10921" s="5" t="s">
        <v>98</v>
      </c>
      <c r="B10921" s="5" t="s">
        <v>99</v>
      </c>
      <c r="C10921" s="5" t="s">
        <v>1911</v>
      </c>
      <c r="D10921" s="5" t="s">
        <v>14</v>
      </c>
      <c r="E10921" s="5" t="s">
        <v>158</v>
      </c>
      <c r="F10921" s="5" t="s">
        <v>166</v>
      </c>
      <c r="G10921" s="5" t="s">
        <v>819</v>
      </c>
      <c r="H10921" s="5" t="s">
        <v>820</v>
      </c>
      <c r="I10921" s="5" t="s">
        <v>31</v>
      </c>
      <c r="J10921" s="5">
        <v>16.190868305858999</v>
      </c>
      <c r="K10921" s="5">
        <v>-95.186906146745997</v>
      </c>
      <c r="L10921" s="5" t="str">
        <f>HYPERLINK("https://maps.google.com/?q=16.190868305859,-95.186906146745898", "🔗 Ver Mapa")</f>
        <v>🔗 Ver Mapa</v>
      </c>
    </row>
    <row r="10922" spans="1:12" ht="43.5" x14ac:dyDescent="0.35">
      <c r="A10922" s="6" t="s">
        <v>98</v>
      </c>
      <c r="B10922" s="6" t="s">
        <v>99</v>
      </c>
      <c r="C10922" s="6" t="s">
        <v>1911</v>
      </c>
      <c r="D10922" s="6" t="s">
        <v>14</v>
      </c>
      <c r="E10922" s="6" t="s">
        <v>158</v>
      </c>
      <c r="F10922" s="6" t="s">
        <v>166</v>
      </c>
      <c r="G10922" s="6" t="s">
        <v>819</v>
      </c>
      <c r="H10922" s="6" t="s">
        <v>820</v>
      </c>
      <c r="I10922" s="6" t="s">
        <v>31</v>
      </c>
      <c r="J10922" s="6">
        <v>16.19129503089</v>
      </c>
      <c r="K10922" s="6">
        <v>-95.217009412208995</v>
      </c>
      <c r="L10922" s="6" t="str">
        <f>HYPERLINK("https://maps.google.com/?q=16.1912950308897,-95.217009412208796", "🔗 Ver Mapa")</f>
        <v>🔗 Ver Mapa</v>
      </c>
    </row>
    <row r="10923" spans="1:12" ht="43.5" x14ac:dyDescent="0.35">
      <c r="A10923" s="5" t="s">
        <v>98</v>
      </c>
      <c r="B10923" s="5" t="s">
        <v>99</v>
      </c>
      <c r="C10923" s="5" t="s">
        <v>1911</v>
      </c>
      <c r="D10923" s="5" t="s">
        <v>14</v>
      </c>
      <c r="E10923" s="5" t="s">
        <v>158</v>
      </c>
      <c r="F10923" s="5" t="s">
        <v>166</v>
      </c>
      <c r="G10923" s="5" t="s">
        <v>819</v>
      </c>
      <c r="H10923" s="5" t="s">
        <v>820</v>
      </c>
      <c r="I10923" s="5" t="s">
        <v>31</v>
      </c>
      <c r="J10923" s="5">
        <v>16.191348244623001</v>
      </c>
      <c r="K10923" s="5">
        <v>-95.215660522209006</v>
      </c>
      <c r="L10923" s="5" t="str">
        <f>HYPERLINK("https://maps.google.com/?q=16.1913482446231,-95.215660522208793", "🔗 Ver Mapa")</f>
        <v>🔗 Ver Mapa</v>
      </c>
    </row>
    <row r="10924" spans="1:12" ht="43.5" x14ac:dyDescent="0.35">
      <c r="A10924" s="6" t="s">
        <v>98</v>
      </c>
      <c r="B10924" s="6" t="s">
        <v>99</v>
      </c>
      <c r="C10924" s="6" t="s">
        <v>1911</v>
      </c>
      <c r="D10924" s="6" t="s">
        <v>14</v>
      </c>
      <c r="E10924" s="6" t="s">
        <v>158</v>
      </c>
      <c r="F10924" s="6" t="s">
        <v>166</v>
      </c>
      <c r="G10924" s="6" t="s">
        <v>819</v>
      </c>
      <c r="H10924" s="6" t="s">
        <v>820</v>
      </c>
      <c r="I10924" s="6" t="s">
        <v>31</v>
      </c>
      <c r="J10924" s="6">
        <v>16.191382940057</v>
      </c>
      <c r="K10924" s="6">
        <v>-95.210586650557005</v>
      </c>
      <c r="L10924" s="6" t="str">
        <f>HYPERLINK("https://maps.google.com/?q=16.1913829400566,-95.210586650556905", "🔗 Ver Mapa")</f>
        <v>🔗 Ver Mapa</v>
      </c>
    </row>
    <row r="10925" spans="1:12" ht="43.5" x14ac:dyDescent="0.35">
      <c r="A10925" s="5" t="s">
        <v>98</v>
      </c>
      <c r="B10925" s="5" t="s">
        <v>99</v>
      </c>
      <c r="C10925" s="5" t="s">
        <v>1911</v>
      </c>
      <c r="D10925" s="5" t="s">
        <v>14</v>
      </c>
      <c r="E10925" s="5" t="s">
        <v>158</v>
      </c>
      <c r="F10925" s="5" t="s">
        <v>166</v>
      </c>
      <c r="G10925" s="5" t="s">
        <v>819</v>
      </c>
      <c r="H10925" s="5" t="s">
        <v>820</v>
      </c>
      <c r="I10925" s="5" t="s">
        <v>31</v>
      </c>
      <c r="J10925" s="5">
        <v>16.191433974624001</v>
      </c>
      <c r="K10925" s="5">
        <v>-95.216596778894996</v>
      </c>
      <c r="L10925" s="5" t="str">
        <f>HYPERLINK("https://maps.google.com/?q=16.1914339746237,-95.216596778895195", "🔗 Ver Mapa")</f>
        <v>🔗 Ver Mapa</v>
      </c>
    </row>
    <row r="10926" spans="1:12" ht="43.5" x14ac:dyDescent="0.35">
      <c r="A10926" s="6" t="s">
        <v>98</v>
      </c>
      <c r="B10926" s="6" t="s">
        <v>99</v>
      </c>
      <c r="C10926" s="6" t="s">
        <v>1911</v>
      </c>
      <c r="D10926" s="6" t="s">
        <v>14</v>
      </c>
      <c r="E10926" s="6" t="s">
        <v>158</v>
      </c>
      <c r="F10926" s="6" t="s">
        <v>166</v>
      </c>
      <c r="G10926" s="6" t="s">
        <v>819</v>
      </c>
      <c r="H10926" s="6" t="s">
        <v>820</v>
      </c>
      <c r="I10926" s="6" t="s">
        <v>31</v>
      </c>
      <c r="J10926" s="6">
        <v>16.191436324624</v>
      </c>
      <c r="K10926" s="6">
        <v>-95.216751768894994</v>
      </c>
      <c r="L10926" s="6" t="str">
        <f>HYPERLINK("https://maps.google.com/?q=16.1914363246237,-95.216751768895406", "🔗 Ver Mapa")</f>
        <v>🔗 Ver Mapa</v>
      </c>
    </row>
    <row r="10927" spans="1:12" ht="43.5" x14ac:dyDescent="0.35">
      <c r="A10927" s="5" t="s">
        <v>98</v>
      </c>
      <c r="B10927" s="5" t="s">
        <v>99</v>
      </c>
      <c r="C10927" s="5" t="s">
        <v>1911</v>
      </c>
      <c r="D10927" s="5" t="s">
        <v>14</v>
      </c>
      <c r="E10927" s="5" t="s">
        <v>158</v>
      </c>
      <c r="F10927" s="5" t="s">
        <v>166</v>
      </c>
      <c r="G10927" s="5" t="s">
        <v>819</v>
      </c>
      <c r="H10927" s="5" t="s">
        <v>820</v>
      </c>
      <c r="I10927" s="5" t="s">
        <v>31</v>
      </c>
      <c r="J10927" s="5">
        <v>16.191670793307001</v>
      </c>
      <c r="K10927" s="5">
        <v>-95.184731545279007</v>
      </c>
      <c r="L10927" s="5" t="str">
        <f>HYPERLINK("https://maps.google.com/?q=16.1916707933068,-95.184731545279305", "🔗 Ver Mapa")</f>
        <v>🔗 Ver Mapa</v>
      </c>
    </row>
    <row r="10928" spans="1:12" ht="43.5" x14ac:dyDescent="0.35">
      <c r="A10928" s="6" t="s">
        <v>98</v>
      </c>
      <c r="B10928" s="6" t="s">
        <v>99</v>
      </c>
      <c r="C10928" s="6" t="s">
        <v>1911</v>
      </c>
      <c r="D10928" s="6" t="s">
        <v>14</v>
      </c>
      <c r="E10928" s="6" t="s">
        <v>158</v>
      </c>
      <c r="F10928" s="6" t="s">
        <v>166</v>
      </c>
      <c r="G10928" s="6" t="s">
        <v>819</v>
      </c>
      <c r="H10928" s="6" t="s">
        <v>820</v>
      </c>
      <c r="I10928" s="6" t="s">
        <v>31</v>
      </c>
      <c r="J10928" s="6">
        <v>16.192100194628001</v>
      </c>
      <c r="K10928" s="6">
        <v>-95.213744559448003</v>
      </c>
      <c r="L10928" s="6" t="str">
        <f>HYPERLINK("https://maps.google.com/?q=16.1921001946282,-95.213744559447704", "🔗 Ver Mapa")</f>
        <v>🔗 Ver Mapa</v>
      </c>
    </row>
    <row r="10929" spans="1:12" ht="43.5" x14ac:dyDescent="0.35">
      <c r="A10929" s="5" t="s">
        <v>98</v>
      </c>
      <c r="B10929" s="5" t="s">
        <v>99</v>
      </c>
      <c r="C10929" s="5" t="s">
        <v>1911</v>
      </c>
      <c r="D10929" s="5" t="s">
        <v>14</v>
      </c>
      <c r="E10929" s="5" t="s">
        <v>158</v>
      </c>
      <c r="F10929" s="5" t="s">
        <v>166</v>
      </c>
      <c r="G10929" s="5" t="s">
        <v>819</v>
      </c>
      <c r="H10929" s="5" t="s">
        <v>820</v>
      </c>
      <c r="I10929" s="5" t="s">
        <v>31</v>
      </c>
      <c r="J10929" s="5">
        <v>16.192524530437002</v>
      </c>
      <c r="K10929" s="5">
        <v>-95.215193307790997</v>
      </c>
      <c r="L10929" s="5" t="str">
        <f>HYPERLINK("https://maps.google.com/?q=16.192524530437,-95.215193307790798", "🔗 Ver Mapa")</f>
        <v>🔗 Ver Mapa</v>
      </c>
    </row>
    <row r="10930" spans="1:12" ht="43.5" x14ac:dyDescent="0.35">
      <c r="A10930" s="6" t="s">
        <v>98</v>
      </c>
      <c r="B10930" s="6" t="s">
        <v>99</v>
      </c>
      <c r="C10930" s="6" t="s">
        <v>1911</v>
      </c>
      <c r="D10930" s="6" t="s">
        <v>14</v>
      </c>
      <c r="E10930" s="6" t="s">
        <v>158</v>
      </c>
      <c r="F10930" s="6" t="s">
        <v>166</v>
      </c>
      <c r="G10930" s="6" t="s">
        <v>819</v>
      </c>
      <c r="H10930" s="6" t="s">
        <v>820</v>
      </c>
      <c r="I10930" s="6" t="s">
        <v>31</v>
      </c>
      <c r="J10930" s="6">
        <v>16.192685070681001</v>
      </c>
      <c r="K10930" s="6">
        <v>-95.214928</v>
      </c>
      <c r="L10930" s="6" t="str">
        <f>HYPERLINK("https://maps.google.com/?q=16.1926850706812,-95.214928", "🔗 Ver Mapa")</f>
        <v>🔗 Ver Mapa</v>
      </c>
    </row>
    <row r="10931" spans="1:12" ht="43.5" x14ac:dyDescent="0.35">
      <c r="A10931" s="5" t="s">
        <v>98</v>
      </c>
      <c r="B10931" s="5" t="s">
        <v>99</v>
      </c>
      <c r="C10931" s="5" t="s">
        <v>1911</v>
      </c>
      <c r="D10931" s="5" t="s">
        <v>14</v>
      </c>
      <c r="E10931" s="5" t="s">
        <v>158</v>
      </c>
      <c r="F10931" s="5" t="s">
        <v>166</v>
      </c>
      <c r="G10931" s="5" t="s">
        <v>819</v>
      </c>
      <c r="H10931" s="5" t="s">
        <v>820</v>
      </c>
      <c r="I10931" s="5" t="s">
        <v>31</v>
      </c>
      <c r="J10931" s="5">
        <v>16.193717002534001</v>
      </c>
      <c r="K10931" s="5">
        <v>-95.211423979448</v>
      </c>
      <c r="L10931" s="5" t="str">
        <f>HYPERLINK("https://maps.google.com/?q=16.1937170025342,-95.211423979447702", "🔗 Ver Mapa")</f>
        <v>🔗 Ver Mapa</v>
      </c>
    </row>
    <row r="10932" spans="1:12" ht="43.5" x14ac:dyDescent="0.35">
      <c r="A10932" s="6" t="s">
        <v>98</v>
      </c>
      <c r="B10932" s="6" t="s">
        <v>99</v>
      </c>
      <c r="C10932" s="6" t="s">
        <v>1911</v>
      </c>
      <c r="D10932" s="6" t="s">
        <v>14</v>
      </c>
      <c r="E10932" s="6" t="s">
        <v>158</v>
      </c>
      <c r="F10932" s="6" t="s">
        <v>166</v>
      </c>
      <c r="G10932" s="6" t="s">
        <v>819</v>
      </c>
      <c r="H10932" s="6" t="s">
        <v>820</v>
      </c>
      <c r="I10932" s="6" t="s">
        <v>31</v>
      </c>
      <c r="J10932" s="6">
        <v>16.193978110427999</v>
      </c>
      <c r="K10932" s="6">
        <v>-95.215841072209003</v>
      </c>
      <c r="L10932" s="6" t="str">
        <f>HYPERLINK("https://maps.google.com/?q=16.1939781104279,-95.215841072208804", "🔗 Ver Mapa")</f>
        <v>🔗 Ver Mapa</v>
      </c>
    </row>
    <row r="10933" spans="1:12" ht="43.5" x14ac:dyDescent="0.35">
      <c r="A10933" s="5" t="s">
        <v>98</v>
      </c>
      <c r="B10933" s="5" t="s">
        <v>99</v>
      </c>
      <c r="C10933" s="5" t="s">
        <v>1911</v>
      </c>
      <c r="D10933" s="5" t="s">
        <v>14</v>
      </c>
      <c r="E10933" s="5" t="s">
        <v>158</v>
      </c>
      <c r="F10933" s="5" t="s">
        <v>166</v>
      </c>
      <c r="G10933" s="5" t="s">
        <v>819</v>
      </c>
      <c r="H10933" s="5" t="s">
        <v>820</v>
      </c>
      <c r="I10933" s="5" t="s">
        <v>31</v>
      </c>
      <c r="J10933" s="5">
        <v>16.193988600428</v>
      </c>
      <c r="K10933" s="5">
        <v>-95.214694981104998</v>
      </c>
      <c r="L10933" s="5" t="str">
        <f>HYPERLINK("https://maps.google.com/?q=16.1939886004276,-95.2146949811045", "🔗 Ver Mapa")</f>
        <v>🔗 Ver Mapa</v>
      </c>
    </row>
    <row r="10934" spans="1:12" ht="43.5" x14ac:dyDescent="0.35">
      <c r="A10934" s="6" t="s">
        <v>98</v>
      </c>
      <c r="B10934" s="6" t="s">
        <v>99</v>
      </c>
      <c r="C10934" s="6" t="s">
        <v>1911</v>
      </c>
      <c r="D10934" s="6" t="s">
        <v>14</v>
      </c>
      <c r="E10934" s="6" t="s">
        <v>158</v>
      </c>
      <c r="F10934" s="6" t="s">
        <v>166</v>
      </c>
      <c r="G10934" s="6" t="s">
        <v>819</v>
      </c>
      <c r="H10934" s="6" t="s">
        <v>820</v>
      </c>
      <c r="I10934" s="6" t="s">
        <v>31</v>
      </c>
      <c r="J10934" s="6">
        <v>16.194119062534</v>
      </c>
      <c r="K10934" s="6">
        <v>-95.215823380000003</v>
      </c>
      <c r="L10934" s="6" t="str">
        <f>HYPERLINK("https://maps.google.com/?q=16.1941190625343,-95.215823379999804", "🔗 Ver Mapa")</f>
        <v>🔗 Ver Mapa</v>
      </c>
    </row>
    <row r="10935" spans="1:12" ht="43.5" x14ac:dyDescent="0.35">
      <c r="A10935" s="5" t="s">
        <v>98</v>
      </c>
      <c r="B10935" s="5" t="s">
        <v>99</v>
      </c>
      <c r="C10935" s="5" t="s">
        <v>1911</v>
      </c>
      <c r="D10935" s="5" t="s">
        <v>14</v>
      </c>
      <c r="E10935" s="5" t="s">
        <v>158</v>
      </c>
      <c r="F10935" s="5" t="s">
        <v>166</v>
      </c>
      <c r="G10935" s="5" t="s">
        <v>819</v>
      </c>
      <c r="H10935" s="5" t="s">
        <v>820</v>
      </c>
      <c r="I10935" s="5" t="s">
        <v>31</v>
      </c>
      <c r="J10935" s="5">
        <v>16.194142938588001</v>
      </c>
      <c r="K10935" s="5">
        <v>-95.209662342209</v>
      </c>
      <c r="L10935" s="5" t="str">
        <f>HYPERLINK("https://maps.google.com/?q=16.1941429385881,-95.209662342208901", "🔗 Ver Mapa")</f>
        <v>🔗 Ver Mapa</v>
      </c>
    </row>
    <row r="10936" spans="1:12" ht="43.5" x14ac:dyDescent="0.35">
      <c r="A10936" s="6" t="s">
        <v>98</v>
      </c>
      <c r="B10936" s="6" t="s">
        <v>99</v>
      </c>
      <c r="C10936" s="6" t="s">
        <v>1911</v>
      </c>
      <c r="D10936" s="6" t="s">
        <v>14</v>
      </c>
      <c r="E10936" s="6" t="s">
        <v>158</v>
      </c>
      <c r="F10936" s="6" t="s">
        <v>166</v>
      </c>
      <c r="G10936" s="6" t="s">
        <v>819</v>
      </c>
      <c r="H10936" s="6" t="s">
        <v>820</v>
      </c>
      <c r="I10936" s="6" t="s">
        <v>31</v>
      </c>
      <c r="J10936" s="6">
        <v>16.194297690969002</v>
      </c>
      <c r="K10936" s="6">
        <v>-95.216101798894996</v>
      </c>
      <c r="L10936" s="6" t="str">
        <f>HYPERLINK("https://maps.google.com/?q=16.1942976909687,-95.216101798895394", "🔗 Ver Mapa")</f>
        <v>🔗 Ver Mapa</v>
      </c>
    </row>
    <row r="10937" spans="1:12" ht="43.5" x14ac:dyDescent="0.35">
      <c r="A10937" s="5" t="s">
        <v>98</v>
      </c>
      <c r="B10937" s="5" t="s">
        <v>99</v>
      </c>
      <c r="C10937" s="5" t="s">
        <v>1911</v>
      </c>
      <c r="D10937" s="5" t="s">
        <v>14</v>
      </c>
      <c r="E10937" s="5" t="s">
        <v>158</v>
      </c>
      <c r="F10937" s="5" t="s">
        <v>166</v>
      </c>
      <c r="G10937" s="5" t="s">
        <v>819</v>
      </c>
      <c r="H10937" s="5" t="s">
        <v>820</v>
      </c>
      <c r="I10937" s="5" t="s">
        <v>31</v>
      </c>
      <c r="J10937" s="5">
        <v>16.194588400423999</v>
      </c>
      <c r="K10937" s="5">
        <v>-95.215863220000003</v>
      </c>
      <c r="L10937" s="5" t="str">
        <f>HYPERLINK("https://maps.google.com/?q=16.1945884004239,-95.215863219999804", "🔗 Ver Mapa")</f>
        <v>🔗 Ver Mapa</v>
      </c>
    </row>
    <row r="10938" spans="1:12" ht="43.5" x14ac:dyDescent="0.35">
      <c r="A10938" s="6" t="s">
        <v>98</v>
      </c>
      <c r="B10938" s="6" t="s">
        <v>99</v>
      </c>
      <c r="C10938" s="6" t="s">
        <v>1911</v>
      </c>
      <c r="D10938" s="6" t="s">
        <v>14</v>
      </c>
      <c r="E10938" s="6" t="s">
        <v>158</v>
      </c>
      <c r="F10938" s="6" t="s">
        <v>166</v>
      </c>
      <c r="G10938" s="6" t="s">
        <v>819</v>
      </c>
      <c r="H10938" s="6" t="s">
        <v>820</v>
      </c>
      <c r="I10938" s="6" t="s">
        <v>31</v>
      </c>
      <c r="J10938" s="6">
        <v>16.194654076755999</v>
      </c>
      <c r="K10938" s="6">
        <v>-95.209731160000004</v>
      </c>
      <c r="L10938" s="6" t="str">
        <f>HYPERLINK("https://maps.google.com/?q=16.1946540767561,-95.209731160000004", "🔗 Ver Mapa")</f>
        <v>🔗 Ver Mapa</v>
      </c>
    </row>
    <row r="10939" spans="1:12" ht="43.5" x14ac:dyDescent="0.35">
      <c r="A10939" s="5" t="s">
        <v>98</v>
      </c>
      <c r="B10939" s="5" t="s">
        <v>99</v>
      </c>
      <c r="C10939" s="5" t="s">
        <v>1911</v>
      </c>
      <c r="D10939" s="5" t="s">
        <v>14</v>
      </c>
      <c r="E10939" s="5" t="s">
        <v>158</v>
      </c>
      <c r="F10939" s="5" t="s">
        <v>166</v>
      </c>
      <c r="G10939" s="5" t="s">
        <v>819</v>
      </c>
      <c r="H10939" s="5" t="s">
        <v>820</v>
      </c>
      <c r="I10939" s="5" t="s">
        <v>31</v>
      </c>
      <c r="J10939" s="5">
        <v>16.195725113123999</v>
      </c>
      <c r="K10939" s="5">
        <v>-95.218246041463999</v>
      </c>
      <c r="L10939" s="5" t="str">
        <f>HYPERLINK("https://maps.google.com/?q=16.1957251131241,-95.2182460414639", "🔗 Ver Mapa")</f>
        <v>🔗 Ver Mapa</v>
      </c>
    </row>
    <row r="10940" spans="1:12" ht="43.5" x14ac:dyDescent="0.35">
      <c r="A10940" s="6" t="s">
        <v>98</v>
      </c>
      <c r="B10940" s="6" t="s">
        <v>99</v>
      </c>
      <c r="C10940" s="6" t="s">
        <v>1911</v>
      </c>
      <c r="D10940" s="6" t="s">
        <v>14</v>
      </c>
      <c r="E10940" s="6" t="s">
        <v>158</v>
      </c>
      <c r="F10940" s="6" t="s">
        <v>166</v>
      </c>
      <c r="G10940" s="6" t="s">
        <v>819</v>
      </c>
      <c r="H10940" s="6" t="s">
        <v>820</v>
      </c>
      <c r="I10940" s="6" t="s">
        <v>31</v>
      </c>
      <c r="J10940" s="6">
        <v>16.196031203134002</v>
      </c>
      <c r="K10940" s="6">
        <v>-95.216941171103997</v>
      </c>
      <c r="L10940" s="6" t="str">
        <f>HYPERLINK("https://maps.google.com/?q=16.1960312031341,-95.216941171104494", "🔗 Ver Mapa")</f>
        <v>🔗 Ver Mapa</v>
      </c>
    </row>
    <row r="10941" spans="1:12" ht="43.5" x14ac:dyDescent="0.35">
      <c r="A10941" s="5" t="s">
        <v>98</v>
      </c>
      <c r="B10941" s="5" t="s">
        <v>99</v>
      </c>
      <c r="C10941" s="5" t="s">
        <v>1911</v>
      </c>
      <c r="D10941" s="5" t="s">
        <v>14</v>
      </c>
      <c r="E10941" s="5" t="s">
        <v>158</v>
      </c>
      <c r="F10941" s="5" t="s">
        <v>166</v>
      </c>
      <c r="G10941" s="5" t="s">
        <v>819</v>
      </c>
      <c r="H10941" s="5" t="s">
        <v>820</v>
      </c>
      <c r="I10941" s="5" t="s">
        <v>31</v>
      </c>
      <c r="J10941" s="5">
        <v>16.196235526113</v>
      </c>
      <c r="K10941" s="5">
        <v>-95.216675339003004</v>
      </c>
      <c r="L10941" s="5" t="str">
        <f>HYPERLINK("https://maps.google.com/?q=16.1962355261132,-95.216675339003302", "🔗 Ver Mapa")</f>
        <v>🔗 Ver Mapa</v>
      </c>
    </row>
    <row r="10942" spans="1:12" ht="43.5" x14ac:dyDescent="0.35">
      <c r="A10942" s="6" t="s">
        <v>98</v>
      </c>
      <c r="B10942" s="6" t="s">
        <v>99</v>
      </c>
      <c r="C10942" s="6" t="s">
        <v>1911</v>
      </c>
      <c r="D10942" s="6" t="s">
        <v>14</v>
      </c>
      <c r="E10942" s="6" t="s">
        <v>158</v>
      </c>
      <c r="F10942" s="6" t="s">
        <v>166</v>
      </c>
      <c r="G10942" s="6" t="s">
        <v>819</v>
      </c>
      <c r="H10942" s="6" t="s">
        <v>820</v>
      </c>
      <c r="I10942" s="6" t="s">
        <v>31</v>
      </c>
      <c r="J10942" s="6">
        <v>16.20466382036</v>
      </c>
      <c r="K10942" s="6">
        <v>-95.216779718343005</v>
      </c>
      <c r="L10942" s="6" t="str">
        <f>HYPERLINK("https://maps.google.com/?q=16.2046638203598,-95.216779718343304", "🔗 Ver Mapa")</f>
        <v>🔗 Ver Mapa</v>
      </c>
    </row>
    <row r="10943" spans="1:12" ht="43.5" x14ac:dyDescent="0.35">
      <c r="A10943" s="5" t="s">
        <v>98</v>
      </c>
      <c r="B10943" s="5" t="s">
        <v>99</v>
      </c>
      <c r="C10943" s="5" t="s">
        <v>1911</v>
      </c>
      <c r="D10943" s="5" t="s">
        <v>14</v>
      </c>
      <c r="E10943" s="5" t="s">
        <v>158</v>
      </c>
      <c r="F10943" s="5" t="s">
        <v>166</v>
      </c>
      <c r="G10943" s="5" t="s">
        <v>819</v>
      </c>
      <c r="H10943" s="5" t="s">
        <v>820</v>
      </c>
      <c r="I10943" s="5" t="s">
        <v>31</v>
      </c>
      <c r="J10943" s="5">
        <v>16.204684139065002</v>
      </c>
      <c r="K10943" s="5">
        <v>-95.218822096685997</v>
      </c>
      <c r="L10943" s="5" t="str">
        <f>HYPERLINK("https://maps.google.com/?q=16.2046841390653,-95.218822096686395", "🔗 Ver Mapa")</f>
        <v>🔗 Ver Mapa</v>
      </c>
    </row>
    <row r="10944" spans="1:12" ht="43.5" x14ac:dyDescent="0.35">
      <c r="A10944" s="6" t="s">
        <v>98</v>
      </c>
      <c r="B10944" s="6" t="s">
        <v>99</v>
      </c>
      <c r="C10944" s="6" t="s">
        <v>1911</v>
      </c>
      <c r="D10944" s="6" t="s">
        <v>14</v>
      </c>
      <c r="E10944" s="6" t="s">
        <v>158</v>
      </c>
      <c r="F10944" s="6" t="s">
        <v>166</v>
      </c>
      <c r="G10944" s="6" t="s">
        <v>819</v>
      </c>
      <c r="H10944" s="6" t="s">
        <v>820</v>
      </c>
      <c r="I10944" s="6" t="s">
        <v>31</v>
      </c>
      <c r="J10944" s="6">
        <v>16.204822894713999</v>
      </c>
      <c r="K10944" s="6">
        <v>-95.218517791104006</v>
      </c>
      <c r="L10944" s="6" t="str">
        <f>HYPERLINK("https://maps.google.com/?q=16.2048228947135,-95.218517791104404", "🔗 Ver Mapa")</f>
        <v>🔗 Ver Mapa</v>
      </c>
    </row>
    <row r="10945" spans="1:12" ht="43.5" x14ac:dyDescent="0.35">
      <c r="A10945" s="5" t="s">
        <v>98</v>
      </c>
      <c r="B10945" s="5" t="s">
        <v>99</v>
      </c>
      <c r="C10945" s="5" t="s">
        <v>1911</v>
      </c>
      <c r="D10945" s="5" t="s">
        <v>14</v>
      </c>
      <c r="E10945" s="5" t="s">
        <v>158</v>
      </c>
      <c r="F10945" s="5" t="s">
        <v>166</v>
      </c>
      <c r="G10945" s="5" t="s">
        <v>819</v>
      </c>
      <c r="H10945" s="5" t="s">
        <v>820</v>
      </c>
      <c r="I10945" s="5" t="s">
        <v>31</v>
      </c>
      <c r="J10945" s="5">
        <v>16.205249731995998</v>
      </c>
      <c r="K10945" s="5">
        <v>-95.215976311925999</v>
      </c>
      <c r="L10945" s="5" t="str">
        <f>HYPERLINK("https://maps.google.com/?q=16.2052497319963,-95.215976311925502", "🔗 Ver Mapa")</f>
        <v>🔗 Ver Mapa</v>
      </c>
    </row>
    <row r="10946" spans="1:12" ht="43.5" x14ac:dyDescent="0.35">
      <c r="A10946" s="6" t="s">
        <v>98</v>
      </c>
      <c r="B10946" s="6" t="s">
        <v>99</v>
      </c>
      <c r="C10946" s="6" t="s">
        <v>1911</v>
      </c>
      <c r="D10946" s="6" t="s">
        <v>14</v>
      </c>
      <c r="E10946" s="6" t="s">
        <v>158</v>
      </c>
      <c r="F10946" s="6" t="s">
        <v>166</v>
      </c>
      <c r="G10946" s="6" t="s">
        <v>819</v>
      </c>
      <c r="H10946" s="6" t="s">
        <v>820</v>
      </c>
      <c r="I10946" s="6" t="s">
        <v>31</v>
      </c>
      <c r="J10946" s="6">
        <v>16.205463715992</v>
      </c>
      <c r="K10946" s="6">
        <v>-95.218307338147</v>
      </c>
      <c r="L10946" s="6" t="str">
        <f>HYPERLINK("https://maps.google.com/?q=16.2054637159917,-95.218307338147", "🔗 Ver Mapa")</f>
        <v>🔗 Ver Mapa</v>
      </c>
    </row>
    <row r="10947" spans="1:12" ht="43.5" x14ac:dyDescent="0.35">
      <c r="A10947" s="5" t="s">
        <v>98</v>
      </c>
      <c r="B10947" s="5" t="s">
        <v>99</v>
      </c>
      <c r="C10947" s="5" t="s">
        <v>1911</v>
      </c>
      <c r="D10947" s="5" t="s">
        <v>14</v>
      </c>
      <c r="E10947" s="5" t="s">
        <v>158</v>
      </c>
      <c r="F10947" s="5" t="s">
        <v>166</v>
      </c>
      <c r="G10947" s="5" t="s">
        <v>819</v>
      </c>
      <c r="H10947" s="5" t="s">
        <v>820</v>
      </c>
      <c r="I10947" s="5" t="s">
        <v>31</v>
      </c>
      <c r="J10947" s="5">
        <v>16.205488178357999</v>
      </c>
      <c r="K10947" s="5">
        <v>-95.218692262209004</v>
      </c>
      <c r="L10947" s="5" t="str">
        <f>HYPERLINK("https://maps.google.com/?q=16.2054881783584,-95.218692262208805", "🔗 Ver Mapa")</f>
        <v>🔗 Ver Mapa</v>
      </c>
    </row>
    <row r="10948" spans="1:12" ht="43.5" x14ac:dyDescent="0.35">
      <c r="A10948" s="6" t="s">
        <v>98</v>
      </c>
      <c r="B10948" s="6" t="s">
        <v>99</v>
      </c>
      <c r="C10948" s="6" t="s">
        <v>1911</v>
      </c>
      <c r="D10948" s="6" t="s">
        <v>14</v>
      </c>
      <c r="E10948" s="6" t="s">
        <v>158</v>
      </c>
      <c r="F10948" s="6" t="s">
        <v>166</v>
      </c>
      <c r="G10948" s="6" t="s">
        <v>819</v>
      </c>
      <c r="H10948" s="6" t="s">
        <v>820</v>
      </c>
      <c r="I10948" s="6" t="s">
        <v>31</v>
      </c>
      <c r="J10948" s="6">
        <v>16.205732346903002</v>
      </c>
      <c r="K10948" s="6">
        <v>-95.21665935</v>
      </c>
      <c r="L10948" s="6" t="str">
        <f>HYPERLINK("https://maps.google.com/?q=16.2057323469027,-95.216659349999901", "🔗 Ver Mapa")</f>
        <v>🔗 Ver Mapa</v>
      </c>
    </row>
    <row r="10949" spans="1:12" ht="43.5" x14ac:dyDescent="0.35">
      <c r="A10949" s="5" t="s">
        <v>98</v>
      </c>
      <c r="B10949" s="5" t="s">
        <v>99</v>
      </c>
      <c r="C10949" s="5" t="s">
        <v>1911</v>
      </c>
      <c r="D10949" s="5" t="s">
        <v>14</v>
      </c>
      <c r="E10949" s="5" t="s">
        <v>158</v>
      </c>
      <c r="F10949" s="5" t="s">
        <v>166</v>
      </c>
      <c r="G10949" s="5" t="s">
        <v>819</v>
      </c>
      <c r="H10949" s="5" t="s">
        <v>820</v>
      </c>
      <c r="I10949" s="5" t="s">
        <v>31</v>
      </c>
      <c r="J10949" s="5">
        <v>16.205862339088998</v>
      </c>
      <c r="K10949" s="5">
        <v>-95.218549351104997</v>
      </c>
      <c r="L10949" s="5" t="str">
        <f>HYPERLINK("https://maps.google.com/?q=16.2058623390888,-95.218549351104599", "🔗 Ver Mapa")</f>
        <v>🔗 Ver Mapa</v>
      </c>
    </row>
    <row r="10950" spans="1:12" ht="43.5" x14ac:dyDescent="0.35">
      <c r="A10950" s="6" t="s">
        <v>98</v>
      </c>
      <c r="B10950" s="6" t="s">
        <v>99</v>
      </c>
      <c r="C10950" s="6" t="s">
        <v>1911</v>
      </c>
      <c r="D10950" s="6" t="s">
        <v>14</v>
      </c>
      <c r="E10950" s="6" t="s">
        <v>158</v>
      </c>
      <c r="F10950" s="6" t="s">
        <v>166</v>
      </c>
      <c r="G10950" s="6" t="s">
        <v>819</v>
      </c>
      <c r="H10950" s="6" t="s">
        <v>820</v>
      </c>
      <c r="I10950" s="6" t="s">
        <v>31</v>
      </c>
      <c r="J10950" s="6">
        <v>16.205882384030001</v>
      </c>
      <c r="K10950" s="6">
        <v>-95.217574186933007</v>
      </c>
      <c r="L10950" s="6" t="str">
        <f>HYPERLINK("https://maps.google.com/?q=16.2058823840296,-95.217574186932893", "🔗 Ver Mapa")</f>
        <v>🔗 Ver Mapa</v>
      </c>
    </row>
    <row r="10951" spans="1:12" ht="43.5" x14ac:dyDescent="0.35">
      <c r="A10951" s="5" t="s">
        <v>98</v>
      </c>
      <c r="B10951" s="5" t="s">
        <v>99</v>
      </c>
      <c r="C10951" s="5" t="s">
        <v>1911</v>
      </c>
      <c r="D10951" s="5" t="s">
        <v>14</v>
      </c>
      <c r="E10951" s="5" t="s">
        <v>158</v>
      </c>
      <c r="F10951" s="5" t="s">
        <v>166</v>
      </c>
      <c r="G10951" s="5" t="s">
        <v>819</v>
      </c>
      <c r="H10951" s="5" t="s">
        <v>820</v>
      </c>
      <c r="I10951" s="5" t="s">
        <v>31</v>
      </c>
      <c r="J10951" s="5">
        <v>16.206268532536001</v>
      </c>
      <c r="K10951" s="5">
        <v>-95.219887588342999</v>
      </c>
      <c r="L10951" s="5" t="str">
        <f>HYPERLINK("https://maps.google.com/?q=16.2062685325364,-95.219887588343099", "🔗 Ver Mapa")</f>
        <v>🔗 Ver Mapa</v>
      </c>
    </row>
    <row r="10952" spans="1:12" ht="43.5" x14ac:dyDescent="0.35">
      <c r="A10952" s="6" t="s">
        <v>98</v>
      </c>
      <c r="B10952" s="6" t="s">
        <v>99</v>
      </c>
      <c r="C10952" s="6" t="s">
        <v>1911</v>
      </c>
      <c r="D10952" s="6" t="s">
        <v>14</v>
      </c>
      <c r="E10952" s="6" t="s">
        <v>158</v>
      </c>
      <c r="F10952" s="6" t="s">
        <v>166</v>
      </c>
      <c r="G10952" s="6" t="s">
        <v>819</v>
      </c>
      <c r="H10952" s="6" t="s">
        <v>820</v>
      </c>
      <c r="I10952" s="6" t="s">
        <v>31</v>
      </c>
      <c r="J10952" s="6">
        <v>16.206331509881</v>
      </c>
      <c r="K10952" s="6">
        <v>-95.217738240551995</v>
      </c>
      <c r="L10952" s="6" t="str">
        <f>HYPERLINK("https://maps.google.com/?q=16.2063315098813,-95.217738240551995", "🔗 Ver Mapa")</f>
        <v>🔗 Ver Mapa</v>
      </c>
    </row>
    <row r="10953" spans="1:12" ht="43.5" x14ac:dyDescent="0.35">
      <c r="A10953" s="5" t="s">
        <v>98</v>
      </c>
      <c r="B10953" s="5" t="s">
        <v>99</v>
      </c>
      <c r="C10953" s="5" t="s">
        <v>1911</v>
      </c>
      <c r="D10953" s="5" t="s">
        <v>14</v>
      </c>
      <c r="E10953" s="5" t="s">
        <v>158</v>
      </c>
      <c r="F10953" s="5" t="s">
        <v>166</v>
      </c>
      <c r="G10953" s="5" t="s">
        <v>819</v>
      </c>
      <c r="H10953" s="5" t="s">
        <v>820</v>
      </c>
      <c r="I10953" s="5" t="s">
        <v>31</v>
      </c>
      <c r="J10953" s="5">
        <v>16.206397982536</v>
      </c>
      <c r="K10953" s="5">
        <v>-95.215284818895</v>
      </c>
      <c r="L10953" s="5" t="str">
        <f>HYPERLINK("https://maps.google.com/?q=16.2063979825363,-95.215284818895398", "🔗 Ver Mapa")</f>
        <v>🔗 Ver Mapa</v>
      </c>
    </row>
    <row r="10954" spans="1:12" ht="43.5" x14ac:dyDescent="0.35">
      <c r="A10954" s="6" t="s">
        <v>98</v>
      </c>
      <c r="B10954" s="6" t="s">
        <v>99</v>
      </c>
      <c r="C10954" s="6" t="s">
        <v>1911</v>
      </c>
      <c r="D10954" s="6" t="s">
        <v>14</v>
      </c>
      <c r="E10954" s="6" t="s">
        <v>158</v>
      </c>
      <c r="F10954" s="6" t="s">
        <v>166</v>
      </c>
      <c r="G10954" s="6" t="s">
        <v>819</v>
      </c>
      <c r="H10954" s="6" t="s">
        <v>820</v>
      </c>
      <c r="I10954" s="6" t="s">
        <v>31</v>
      </c>
      <c r="J10954" s="6">
        <v>16.206556857043999</v>
      </c>
      <c r="K10954" s="6">
        <v>-95.217531709591</v>
      </c>
      <c r="L10954" s="6" t="str">
        <f>HYPERLINK("https://maps.google.com/?q=16.2065568570437,-95.217531709590602", "🔗 Ver Mapa")</f>
        <v>🔗 Ver Mapa</v>
      </c>
    </row>
    <row r="10955" spans="1:12" ht="43.5" x14ac:dyDescent="0.35">
      <c r="A10955" s="5" t="s">
        <v>98</v>
      </c>
      <c r="B10955" s="5" t="s">
        <v>99</v>
      </c>
      <c r="C10955" s="5" t="s">
        <v>1911</v>
      </c>
      <c r="D10955" s="5" t="s">
        <v>14</v>
      </c>
      <c r="E10955" s="5" t="s">
        <v>158</v>
      </c>
      <c r="F10955" s="5" t="s">
        <v>166</v>
      </c>
      <c r="G10955" s="5" t="s">
        <v>819</v>
      </c>
      <c r="H10955" s="5" t="s">
        <v>820</v>
      </c>
      <c r="I10955" s="5" t="s">
        <v>31</v>
      </c>
      <c r="J10955" s="5">
        <v>16.206808764727</v>
      </c>
      <c r="K10955" s="5">
        <v>-95.216110937791001</v>
      </c>
      <c r="L10955" s="5" t="str">
        <f>HYPERLINK("https://maps.google.com/?q=16.2068087647267,-95.216110937790901", "🔗 Ver Mapa")</f>
        <v>🔗 Ver Mapa</v>
      </c>
    </row>
    <row r="10956" spans="1:12" ht="43.5" x14ac:dyDescent="0.35">
      <c r="A10956" s="6" t="s">
        <v>98</v>
      </c>
      <c r="B10956" s="6" t="s">
        <v>99</v>
      </c>
      <c r="C10956" s="6" t="s">
        <v>1911</v>
      </c>
      <c r="D10956" s="6" t="s">
        <v>14</v>
      </c>
      <c r="E10956" s="6" t="s">
        <v>158</v>
      </c>
      <c r="F10956" s="6" t="s">
        <v>166</v>
      </c>
      <c r="G10956" s="6" t="s">
        <v>819</v>
      </c>
      <c r="H10956" s="6" t="s">
        <v>820</v>
      </c>
      <c r="I10956" s="6" t="s">
        <v>31</v>
      </c>
      <c r="J10956" s="6">
        <v>16.206840158155</v>
      </c>
      <c r="K10956" s="6">
        <v>-95.219512339999994</v>
      </c>
      <c r="L10956" s="6" t="str">
        <f>HYPERLINK("https://maps.google.com/?q=16.2068401581553,-95.219512339999795", "🔗 Ver Mapa")</f>
        <v>🔗 Ver Mapa</v>
      </c>
    </row>
    <row r="10957" spans="1:12" ht="43.5" x14ac:dyDescent="0.35">
      <c r="A10957" s="5" t="s">
        <v>98</v>
      </c>
      <c r="B10957" s="5" t="s">
        <v>99</v>
      </c>
      <c r="C10957" s="5" t="s">
        <v>1911</v>
      </c>
      <c r="D10957" s="5" t="s">
        <v>14</v>
      </c>
      <c r="E10957" s="5" t="s">
        <v>158</v>
      </c>
      <c r="F10957" s="5" t="s">
        <v>166</v>
      </c>
      <c r="G10957" s="5" t="s">
        <v>819</v>
      </c>
      <c r="H10957" s="5" t="s">
        <v>820</v>
      </c>
      <c r="I10957" s="5" t="s">
        <v>31</v>
      </c>
      <c r="J10957" s="5">
        <v>16.207056369633001</v>
      </c>
      <c r="K10957" s="5">
        <v>-95.219818266771</v>
      </c>
      <c r="L10957" s="5" t="str">
        <f>HYPERLINK("https://maps.google.com/?q=16.2070563696328,-95.219818266771298", "🔗 Ver Mapa")</f>
        <v>🔗 Ver Mapa</v>
      </c>
    </row>
    <row r="10958" spans="1:12" ht="43.5" x14ac:dyDescent="0.35">
      <c r="A10958" s="6" t="s">
        <v>98</v>
      </c>
      <c r="B10958" s="6" t="s">
        <v>99</v>
      </c>
      <c r="C10958" s="6" t="s">
        <v>1911</v>
      </c>
      <c r="D10958" s="6" t="s">
        <v>14</v>
      </c>
      <c r="E10958" s="6" t="s">
        <v>158</v>
      </c>
      <c r="F10958" s="6" t="s">
        <v>166</v>
      </c>
      <c r="G10958" s="6" t="s">
        <v>819</v>
      </c>
      <c r="H10958" s="6" t="s">
        <v>820</v>
      </c>
      <c r="I10958" s="6" t="s">
        <v>31</v>
      </c>
      <c r="J10958" s="6">
        <v>16.207066625445002</v>
      </c>
      <c r="K10958" s="6">
        <v>-95.218849172445005</v>
      </c>
      <c r="L10958" s="6" t="str">
        <f>HYPERLINK("https://maps.google.com/?q=16.2070666254448,-95.218849172444607", "🔗 Ver Mapa")</f>
        <v>🔗 Ver Mapa</v>
      </c>
    </row>
    <row r="10959" spans="1:12" ht="43.5" x14ac:dyDescent="0.35">
      <c r="A10959" s="5" t="s">
        <v>98</v>
      </c>
      <c r="B10959" s="5" t="s">
        <v>99</v>
      </c>
      <c r="C10959" s="5" t="s">
        <v>1911</v>
      </c>
      <c r="D10959" s="5" t="s">
        <v>14</v>
      </c>
      <c r="E10959" s="5" t="s">
        <v>158</v>
      </c>
      <c r="F10959" s="5" t="s">
        <v>166</v>
      </c>
      <c r="G10959" s="5" t="s">
        <v>819</v>
      </c>
      <c r="H10959" s="5" t="s">
        <v>820</v>
      </c>
      <c r="I10959" s="5" t="s">
        <v>31</v>
      </c>
      <c r="J10959" s="5">
        <v>16.207107613767999</v>
      </c>
      <c r="K10959" s="5">
        <v>-95.217985071103996</v>
      </c>
      <c r="L10959" s="5" t="str">
        <f>HYPERLINK("https://maps.google.com/?q=16.2071076137676,-95.217985071104195", "🔗 Ver Mapa")</f>
        <v>🔗 Ver Mapa</v>
      </c>
    </row>
    <row r="10960" spans="1:12" ht="43.5" x14ac:dyDescent="0.35">
      <c r="A10960" s="6" t="s">
        <v>98</v>
      </c>
      <c r="B10960" s="6" t="s">
        <v>99</v>
      </c>
      <c r="C10960" s="6" t="s">
        <v>1911</v>
      </c>
      <c r="D10960" s="6" t="s">
        <v>14</v>
      </c>
      <c r="E10960" s="6" t="s">
        <v>158</v>
      </c>
      <c r="F10960" s="6" t="s">
        <v>166</v>
      </c>
      <c r="G10960" s="6" t="s">
        <v>819</v>
      </c>
      <c r="H10960" s="6" t="s">
        <v>820</v>
      </c>
      <c r="I10960" s="6" t="s">
        <v>31</v>
      </c>
      <c r="J10960" s="6">
        <v>16.207418702537002</v>
      </c>
      <c r="K10960" s="6">
        <v>-95.223405102209</v>
      </c>
      <c r="L10960" s="6" t="str">
        <f>HYPERLINK("https://maps.google.com/?q=16.2074187025365,-95.223405102209", "🔗 Ver Mapa")</f>
        <v>🔗 Ver Mapa</v>
      </c>
    </row>
    <row r="10961" spans="1:12" ht="43.5" x14ac:dyDescent="0.35">
      <c r="A10961" s="5" t="s">
        <v>98</v>
      </c>
      <c r="B10961" s="5" t="s">
        <v>99</v>
      </c>
      <c r="C10961" s="5" t="s">
        <v>1911</v>
      </c>
      <c r="D10961" s="5" t="s">
        <v>14</v>
      </c>
      <c r="E10961" s="5" t="s">
        <v>158</v>
      </c>
      <c r="F10961" s="5" t="s">
        <v>166</v>
      </c>
      <c r="G10961" s="5" t="s">
        <v>819</v>
      </c>
      <c r="H10961" s="5" t="s">
        <v>820</v>
      </c>
      <c r="I10961" s="5" t="s">
        <v>31</v>
      </c>
      <c r="J10961" s="5">
        <v>16.207524936925999</v>
      </c>
      <c r="K10961" s="5">
        <v>-95.224119000000002</v>
      </c>
      <c r="L10961" s="5" t="str">
        <f>HYPERLINK("https://maps.google.com/?q=16.2075249369264,-95.224118999999902", "🔗 Ver Mapa")</f>
        <v>🔗 Ver Mapa</v>
      </c>
    </row>
    <row r="10962" spans="1:12" ht="43.5" x14ac:dyDescent="0.35">
      <c r="A10962" s="6" t="s">
        <v>98</v>
      </c>
      <c r="B10962" s="6" t="s">
        <v>99</v>
      </c>
      <c r="C10962" s="6" t="s">
        <v>1911</v>
      </c>
      <c r="D10962" s="6" t="s">
        <v>14</v>
      </c>
      <c r="E10962" s="6" t="s">
        <v>158</v>
      </c>
      <c r="F10962" s="6" t="s">
        <v>166</v>
      </c>
      <c r="G10962" s="6" t="s">
        <v>819</v>
      </c>
      <c r="H10962" s="6" t="s">
        <v>820</v>
      </c>
      <c r="I10962" s="6" t="s">
        <v>31</v>
      </c>
      <c r="J10962" s="6">
        <v>16.207644231401002</v>
      </c>
      <c r="K10962" s="6">
        <v>-95.223534335924001</v>
      </c>
      <c r="L10962" s="6" t="str">
        <f>HYPERLINK("https://maps.google.com/?q=16.2076442314013,-95.223534335923901", "🔗 Ver Mapa")</f>
        <v>🔗 Ver Mapa</v>
      </c>
    </row>
    <row r="10963" spans="1:12" ht="43.5" x14ac:dyDescent="0.35">
      <c r="A10963" s="5" t="s">
        <v>98</v>
      </c>
      <c r="B10963" s="5" t="s">
        <v>99</v>
      </c>
      <c r="C10963" s="5" t="s">
        <v>1911</v>
      </c>
      <c r="D10963" s="5" t="s">
        <v>14</v>
      </c>
      <c r="E10963" s="5" t="s">
        <v>158</v>
      </c>
      <c r="F10963" s="5" t="s">
        <v>166</v>
      </c>
      <c r="G10963" s="5" t="s">
        <v>819</v>
      </c>
      <c r="H10963" s="5" t="s">
        <v>820</v>
      </c>
      <c r="I10963" s="5" t="s">
        <v>31</v>
      </c>
      <c r="J10963" s="5">
        <v>16.207649442535999</v>
      </c>
      <c r="K10963" s="5">
        <v>-95.223806427791004</v>
      </c>
      <c r="L10963" s="5" t="str">
        <f>HYPERLINK("https://maps.google.com/?q=16.2076494425365,-95.223806427791004", "🔗 Ver Mapa")</f>
        <v>🔗 Ver Mapa</v>
      </c>
    </row>
    <row r="10964" spans="1:12" ht="43.5" x14ac:dyDescent="0.35">
      <c r="A10964" s="6" t="s">
        <v>98</v>
      </c>
      <c r="B10964" s="6" t="s">
        <v>99</v>
      </c>
      <c r="C10964" s="6" t="s">
        <v>1911</v>
      </c>
      <c r="D10964" s="6" t="s">
        <v>14</v>
      </c>
      <c r="E10964" s="6" t="s">
        <v>158</v>
      </c>
      <c r="F10964" s="6" t="s">
        <v>166</v>
      </c>
      <c r="G10964" s="6" t="s">
        <v>819</v>
      </c>
      <c r="H10964" s="6" t="s">
        <v>820</v>
      </c>
      <c r="I10964" s="6" t="s">
        <v>31</v>
      </c>
      <c r="J10964" s="6">
        <v>16.207681112536001</v>
      </c>
      <c r="K10964" s="6">
        <v>-95.215945971104006</v>
      </c>
      <c r="L10964" s="6" t="str">
        <f>HYPERLINK("https://maps.google.com/?q=16.2076811125365,-95.215945971104205", "🔗 Ver Mapa")</f>
        <v>🔗 Ver Mapa</v>
      </c>
    </row>
    <row r="10965" spans="1:12" ht="43.5" x14ac:dyDescent="0.35">
      <c r="A10965" s="5" t="s">
        <v>98</v>
      </c>
      <c r="B10965" s="5" t="s">
        <v>99</v>
      </c>
      <c r="C10965" s="5" t="s">
        <v>1911</v>
      </c>
      <c r="D10965" s="5" t="s">
        <v>14</v>
      </c>
      <c r="E10965" s="5" t="s">
        <v>158</v>
      </c>
      <c r="F10965" s="5" t="s">
        <v>166</v>
      </c>
      <c r="G10965" s="5" t="s">
        <v>819</v>
      </c>
      <c r="H10965" s="5" t="s">
        <v>820</v>
      </c>
      <c r="I10965" s="5" t="s">
        <v>31</v>
      </c>
      <c r="J10965" s="5">
        <v>16.207760133751002</v>
      </c>
      <c r="K10965" s="5">
        <v>-95.222937544418002</v>
      </c>
      <c r="L10965" s="5" t="str">
        <f>HYPERLINK("https://maps.google.com/?q=16.2077601337507,-95.222937544418002", "🔗 Ver Mapa")</f>
        <v>🔗 Ver Mapa</v>
      </c>
    </row>
    <row r="10966" spans="1:12" ht="43.5" x14ac:dyDescent="0.35">
      <c r="A10966" s="6" t="s">
        <v>98</v>
      </c>
      <c r="B10966" s="6" t="s">
        <v>99</v>
      </c>
      <c r="C10966" s="6" t="s">
        <v>1911</v>
      </c>
      <c r="D10966" s="6" t="s">
        <v>14</v>
      </c>
      <c r="E10966" s="6" t="s">
        <v>158</v>
      </c>
      <c r="F10966" s="6" t="s">
        <v>166</v>
      </c>
      <c r="G10966" s="6" t="s">
        <v>819</v>
      </c>
      <c r="H10966" s="6" t="s">
        <v>820</v>
      </c>
      <c r="I10966" s="6" t="s">
        <v>31</v>
      </c>
      <c r="J10966" s="6">
        <v>16.207886323747001</v>
      </c>
      <c r="K10966" s="6">
        <v>-95.219066117791002</v>
      </c>
      <c r="L10966" s="6" t="str">
        <f>HYPERLINK("https://maps.google.com/?q=16.2078863237473,-95.219066117791002", "🔗 Ver Mapa")</f>
        <v>🔗 Ver Mapa</v>
      </c>
    </row>
    <row r="10967" spans="1:12" ht="43.5" x14ac:dyDescent="0.35">
      <c r="A10967" s="5" t="s">
        <v>98</v>
      </c>
      <c r="B10967" s="5" t="s">
        <v>99</v>
      </c>
      <c r="C10967" s="5" t="s">
        <v>1911</v>
      </c>
      <c r="D10967" s="5" t="s">
        <v>14</v>
      </c>
      <c r="E10967" s="5" t="s">
        <v>158</v>
      </c>
      <c r="F10967" s="5" t="s">
        <v>166</v>
      </c>
      <c r="G10967" s="5" t="s">
        <v>819</v>
      </c>
      <c r="H10967" s="5" t="s">
        <v>820</v>
      </c>
      <c r="I10967" s="5" t="s">
        <v>31</v>
      </c>
      <c r="J10967" s="5">
        <v>16.207917483747</v>
      </c>
      <c r="K10967" s="5">
        <v>-95.211909590000005</v>
      </c>
      <c r="L10967" s="5" t="str">
        <f>HYPERLINK("https://maps.google.com/?q=16.2079174837467,-95.211909589999905", "🔗 Ver Mapa")</f>
        <v>🔗 Ver Mapa</v>
      </c>
    </row>
    <row r="10968" spans="1:12" ht="43.5" x14ac:dyDescent="0.35">
      <c r="A10968" s="6" t="s">
        <v>98</v>
      </c>
      <c r="B10968" s="6" t="s">
        <v>99</v>
      </c>
      <c r="C10968" s="6" t="s">
        <v>1911</v>
      </c>
      <c r="D10968" s="6" t="s">
        <v>14</v>
      </c>
      <c r="E10968" s="6" t="s">
        <v>158</v>
      </c>
      <c r="F10968" s="6" t="s">
        <v>166</v>
      </c>
      <c r="G10968" s="6" t="s">
        <v>819</v>
      </c>
      <c r="H10968" s="6" t="s">
        <v>820</v>
      </c>
      <c r="I10968" s="6" t="s">
        <v>31</v>
      </c>
      <c r="J10968" s="6">
        <v>16.208310793736</v>
      </c>
      <c r="K10968" s="6">
        <v>-95.216727259999999</v>
      </c>
      <c r="L10968" s="6" t="str">
        <f>HYPERLINK("https://maps.google.com/?q=16.2083107937364,-95.216727259999999", "🔗 Ver Mapa")</f>
        <v>🔗 Ver Mapa</v>
      </c>
    </row>
    <row r="10969" spans="1:12" ht="43.5" x14ac:dyDescent="0.35">
      <c r="A10969" s="5" t="s">
        <v>98</v>
      </c>
      <c r="B10969" s="5" t="s">
        <v>99</v>
      </c>
      <c r="C10969" s="5" t="s">
        <v>1911</v>
      </c>
      <c r="D10969" s="5" t="s">
        <v>14</v>
      </c>
      <c r="E10969" s="5" t="s">
        <v>158</v>
      </c>
      <c r="F10969" s="5" t="s">
        <v>166</v>
      </c>
      <c r="G10969" s="5" t="s">
        <v>819</v>
      </c>
      <c r="H10969" s="5" t="s">
        <v>820</v>
      </c>
      <c r="I10969" s="5" t="s">
        <v>31</v>
      </c>
      <c r="J10969" s="5">
        <v>16.210880598103</v>
      </c>
      <c r="K10969" s="5">
        <v>-95.210208052208998</v>
      </c>
      <c r="L10969" s="5" t="str">
        <f>HYPERLINK("https://maps.google.com/?q=16.2108805981033,-95.210208052208898", "🔗 Ver Mapa")</f>
        <v>🔗 Ver Mapa</v>
      </c>
    </row>
    <row r="10970" spans="1:12" ht="43.5" x14ac:dyDescent="0.35">
      <c r="A10970" s="6" t="s">
        <v>98</v>
      </c>
      <c r="B10970" s="6" t="s">
        <v>99</v>
      </c>
      <c r="C10970" s="6" t="s">
        <v>1911</v>
      </c>
      <c r="D10970" s="6" t="s">
        <v>14</v>
      </c>
      <c r="E10970" s="6" t="s">
        <v>158</v>
      </c>
      <c r="F10970" s="6" t="s">
        <v>166</v>
      </c>
      <c r="G10970" s="6" t="s">
        <v>819</v>
      </c>
      <c r="H10970" s="6" t="s">
        <v>820</v>
      </c>
      <c r="I10970" s="6" t="s">
        <v>31</v>
      </c>
      <c r="J10970" s="6">
        <v>16.213787659245</v>
      </c>
      <c r="K10970" s="6">
        <v>-95.222956080000003</v>
      </c>
      <c r="L10970" s="6" t="str">
        <f>HYPERLINK("https://maps.google.com/?q=16.2137876592453,-95.222956080000003", "🔗 Ver Mapa")</f>
        <v>🔗 Ver Mapa</v>
      </c>
    </row>
    <row r="10971" spans="1:12" ht="43.5" x14ac:dyDescent="0.35">
      <c r="A10971" s="5" t="s">
        <v>98</v>
      </c>
      <c r="B10971" s="5" t="s">
        <v>99</v>
      </c>
      <c r="C10971" s="5" t="s">
        <v>1911</v>
      </c>
      <c r="D10971" s="5" t="s">
        <v>14</v>
      </c>
      <c r="E10971" s="5" t="s">
        <v>158</v>
      </c>
      <c r="F10971" s="5" t="s">
        <v>166</v>
      </c>
      <c r="G10971" s="5" t="s">
        <v>819</v>
      </c>
      <c r="H10971" s="5" t="s">
        <v>820</v>
      </c>
      <c r="I10971" s="5" t="s">
        <v>31</v>
      </c>
      <c r="J10971" s="5">
        <v>16.214471140461001</v>
      </c>
      <c r="K10971" s="5">
        <v>-95.222946395581999</v>
      </c>
      <c r="L10971" s="5" t="str">
        <f>HYPERLINK("https://maps.google.com/?q=16.2144711404607,-95.222946395581801", "🔗 Ver Mapa")</f>
        <v>🔗 Ver Mapa</v>
      </c>
    </row>
    <row r="10972" spans="1:12" ht="43.5" x14ac:dyDescent="0.35">
      <c r="A10972" s="6" t="s">
        <v>98</v>
      </c>
      <c r="B10972" s="6" t="s">
        <v>99</v>
      </c>
      <c r="C10972" s="6" t="s">
        <v>1911</v>
      </c>
      <c r="D10972" s="6" t="s">
        <v>14</v>
      </c>
      <c r="E10972" s="6" t="s">
        <v>158</v>
      </c>
      <c r="F10972" s="6" t="s">
        <v>166</v>
      </c>
      <c r="G10972" s="6" t="s">
        <v>819</v>
      </c>
      <c r="H10972" s="6" t="s">
        <v>820</v>
      </c>
      <c r="I10972" s="6" t="s">
        <v>31</v>
      </c>
      <c r="J10972" s="6">
        <v>16.214705734780001</v>
      </c>
      <c r="K10972" s="6">
        <v>-95.221383690552003</v>
      </c>
      <c r="L10972" s="6" t="str">
        <f>HYPERLINK("https://maps.google.com/?q=16.2147057347796,-95.221383690552202", "🔗 Ver Mapa")</f>
        <v>🔗 Ver Mapa</v>
      </c>
    </row>
    <row r="10973" spans="1:12" ht="43.5" x14ac:dyDescent="0.35">
      <c r="A10973" s="5" t="s">
        <v>98</v>
      </c>
      <c r="B10973" s="5" t="s">
        <v>99</v>
      </c>
      <c r="C10973" s="5" t="s">
        <v>1911</v>
      </c>
      <c r="D10973" s="5" t="s">
        <v>14</v>
      </c>
      <c r="E10973" s="5" t="s">
        <v>158</v>
      </c>
      <c r="F10973" s="5" t="s">
        <v>166</v>
      </c>
      <c r="G10973" s="5" t="s">
        <v>819</v>
      </c>
      <c r="H10973" s="5" t="s">
        <v>820</v>
      </c>
      <c r="I10973" s="5" t="s">
        <v>31</v>
      </c>
      <c r="J10973" s="5">
        <v>16.215261409261</v>
      </c>
      <c r="K10973" s="5">
        <v>-95.222487881104001</v>
      </c>
      <c r="L10973" s="5" t="str">
        <f>HYPERLINK("https://maps.google.com/?q=16.2152614092607,-95.222487881104499", "🔗 Ver Mapa")</f>
        <v>🔗 Ver Mapa</v>
      </c>
    </row>
    <row r="10974" spans="1:12" ht="43.5" x14ac:dyDescent="0.35">
      <c r="A10974" s="6" t="s">
        <v>98</v>
      </c>
      <c r="B10974" s="6" t="s">
        <v>99</v>
      </c>
      <c r="C10974" s="6" t="s">
        <v>1911</v>
      </c>
      <c r="D10974" s="6" t="s">
        <v>14</v>
      </c>
      <c r="E10974" s="6" t="s">
        <v>158</v>
      </c>
      <c r="F10974" s="6" t="s">
        <v>166</v>
      </c>
      <c r="G10974" s="6" t="s">
        <v>819</v>
      </c>
      <c r="H10974" s="6" t="s">
        <v>820</v>
      </c>
      <c r="I10974" s="6" t="s">
        <v>31</v>
      </c>
      <c r="J10974" s="6">
        <v>16.216328894518</v>
      </c>
      <c r="K10974" s="6">
        <v>-95.222385944417994</v>
      </c>
      <c r="L10974" s="6" t="str">
        <f>HYPERLINK("https://maps.google.com/?q=16.2163288945184,-95.222385944417994", "🔗 Ver Mapa")</f>
        <v>🔗 Ver Mapa</v>
      </c>
    </row>
    <row r="10975" spans="1:12" ht="43.5" x14ac:dyDescent="0.35">
      <c r="A10975" s="5" t="s">
        <v>98</v>
      </c>
      <c r="B10975" s="5" t="s">
        <v>99</v>
      </c>
      <c r="C10975" s="5" t="s">
        <v>1911</v>
      </c>
      <c r="D10975" s="5" t="s">
        <v>14</v>
      </c>
      <c r="E10975" s="5" t="s">
        <v>158</v>
      </c>
      <c r="F10975" s="5" t="s">
        <v>166</v>
      </c>
      <c r="G10975" s="5" t="s">
        <v>819</v>
      </c>
      <c r="H10975" s="5" t="s">
        <v>820</v>
      </c>
      <c r="I10975" s="5" t="s">
        <v>31</v>
      </c>
      <c r="J10975" s="5">
        <v>16.216413889297002</v>
      </c>
      <c r="K10975" s="5">
        <v>-95.221398891104002</v>
      </c>
      <c r="L10975" s="5" t="str">
        <f>HYPERLINK("https://maps.google.com/?q=16.2164138892972,-95.2213988911044", "🔗 Ver Mapa")</f>
        <v>🔗 Ver Mapa</v>
      </c>
    </row>
    <row r="10976" spans="1:12" ht="43.5" x14ac:dyDescent="0.35">
      <c r="A10976" s="6" t="s">
        <v>98</v>
      </c>
      <c r="B10976" s="6" t="s">
        <v>99</v>
      </c>
      <c r="C10976" s="6" t="s">
        <v>1911</v>
      </c>
      <c r="D10976" s="6" t="s">
        <v>14</v>
      </c>
      <c r="E10976" s="6" t="s">
        <v>158</v>
      </c>
      <c r="F10976" s="6" t="s">
        <v>166</v>
      </c>
      <c r="G10976" s="6" t="s">
        <v>819</v>
      </c>
      <c r="H10976" s="6" t="s">
        <v>820</v>
      </c>
      <c r="I10976" s="6" t="s">
        <v>31</v>
      </c>
      <c r="J10976" s="6">
        <v>16.220079494322999</v>
      </c>
      <c r="K10976" s="6">
        <v>-95.214558417790997</v>
      </c>
      <c r="L10976" s="6" t="str">
        <f>HYPERLINK("https://maps.google.com/?q=16.2200794943227,-95.214558417790997", "🔗 Ver Mapa")</f>
        <v>🔗 Ver Mapa</v>
      </c>
    </row>
    <row r="10977" spans="1:12" ht="43.5" x14ac:dyDescent="0.35">
      <c r="A10977" s="5" t="s">
        <v>98</v>
      </c>
      <c r="B10977" s="5" t="s">
        <v>99</v>
      </c>
      <c r="C10977" s="5" t="s">
        <v>1911</v>
      </c>
      <c r="D10977" s="5" t="s">
        <v>14</v>
      </c>
      <c r="E10977" s="5" t="s">
        <v>158</v>
      </c>
      <c r="F10977" s="5" t="s">
        <v>166</v>
      </c>
      <c r="G10977" s="5" t="s">
        <v>819</v>
      </c>
      <c r="H10977" s="5" t="s">
        <v>820</v>
      </c>
      <c r="I10977" s="5" t="s">
        <v>31</v>
      </c>
      <c r="J10977" s="5">
        <v>16.220764561759999</v>
      </c>
      <c r="K10977" s="5">
        <v>-95.214566464417999</v>
      </c>
      <c r="L10977" s="5" t="str">
        <f>HYPERLINK("https://maps.google.com/?q=16.2207645617604,-95.214566464417899", "🔗 Ver Mapa")</f>
        <v>🔗 Ver Mapa</v>
      </c>
    </row>
    <row r="10978" spans="1:12" ht="43.5" x14ac:dyDescent="0.35">
      <c r="A10978" s="6" t="s">
        <v>98</v>
      </c>
      <c r="B10978" s="6" t="s">
        <v>99</v>
      </c>
      <c r="C10978" s="6" t="s">
        <v>1911</v>
      </c>
      <c r="D10978" s="6" t="s">
        <v>14</v>
      </c>
      <c r="E10978" s="6" t="s">
        <v>158</v>
      </c>
      <c r="F10978" s="6" t="s">
        <v>166</v>
      </c>
      <c r="G10978" s="6" t="s">
        <v>819</v>
      </c>
      <c r="H10978" s="6" t="s">
        <v>820</v>
      </c>
      <c r="I10978" s="6" t="s">
        <v>31</v>
      </c>
      <c r="J10978" s="6">
        <v>16.220827327975002</v>
      </c>
      <c r="K10978" s="6">
        <v>-95.21520409</v>
      </c>
      <c r="L10978" s="6" t="str">
        <f>HYPERLINK("https://maps.google.com/?q=16.220827327975,-95.215204089999901", "🔗 Ver Mapa")</f>
        <v>🔗 Ver Mapa</v>
      </c>
    </row>
    <row r="10979" spans="1:12" ht="43.5" x14ac:dyDescent="0.35">
      <c r="A10979" s="5" t="s">
        <v>98</v>
      </c>
      <c r="B10979" s="5" t="s">
        <v>99</v>
      </c>
      <c r="C10979" s="5" t="s">
        <v>1911</v>
      </c>
      <c r="D10979" s="5" t="s">
        <v>14</v>
      </c>
      <c r="E10979" s="5" t="s">
        <v>158</v>
      </c>
      <c r="F10979" s="5" t="s">
        <v>166</v>
      </c>
      <c r="G10979" s="5" t="s">
        <v>819</v>
      </c>
      <c r="H10979" s="5" t="s">
        <v>820</v>
      </c>
      <c r="I10979" s="5" t="s">
        <v>31</v>
      </c>
      <c r="J10979" s="5">
        <v>16.221373114824001</v>
      </c>
      <c r="K10979" s="5">
        <v>-95.215374121104006</v>
      </c>
      <c r="L10979" s="5" t="str">
        <f>HYPERLINK("https://maps.google.com/?q=16.2213731148242,-95.215374121104205", "🔗 Ver Mapa")</f>
        <v>🔗 Ver Mapa</v>
      </c>
    </row>
    <row r="10980" spans="1:12" ht="43.5" x14ac:dyDescent="0.35">
      <c r="A10980" s="6" t="s">
        <v>98</v>
      </c>
      <c r="B10980" s="6" t="s">
        <v>99</v>
      </c>
      <c r="C10980" s="6" t="s">
        <v>1911</v>
      </c>
      <c r="D10980" s="6" t="s">
        <v>14</v>
      </c>
      <c r="E10980" s="6" t="s">
        <v>158</v>
      </c>
      <c r="F10980" s="6" t="s">
        <v>166</v>
      </c>
      <c r="G10980" s="6" t="s">
        <v>819</v>
      </c>
      <c r="H10980" s="6" t="s">
        <v>820</v>
      </c>
      <c r="I10980" s="6" t="s">
        <v>31</v>
      </c>
      <c r="J10980" s="6">
        <v>16.221482574825</v>
      </c>
      <c r="K10980" s="6">
        <v>-95.213188843373004</v>
      </c>
      <c r="L10980" s="6" t="str">
        <f>HYPERLINK("https://maps.google.com/?q=16.221482574825,-95.213188843372905", "🔗 Ver Mapa")</f>
        <v>🔗 Ver Mapa</v>
      </c>
    </row>
    <row r="10981" spans="1:12" ht="43.5" x14ac:dyDescent="0.35">
      <c r="A10981" s="5" t="s">
        <v>98</v>
      </c>
      <c r="B10981" s="5" t="s">
        <v>99</v>
      </c>
      <c r="C10981" s="5" t="s">
        <v>1911</v>
      </c>
      <c r="D10981" s="5" t="s">
        <v>14</v>
      </c>
      <c r="E10981" s="5" t="s">
        <v>158</v>
      </c>
      <c r="F10981" s="5" t="s">
        <v>166</v>
      </c>
      <c r="G10981" s="5" t="s">
        <v>819</v>
      </c>
      <c r="H10981" s="5" t="s">
        <v>820</v>
      </c>
      <c r="I10981" s="5" t="s">
        <v>31</v>
      </c>
      <c r="J10981" s="5">
        <v>16.222633678257001</v>
      </c>
      <c r="K10981" s="5">
        <v>-95.213976377612994</v>
      </c>
      <c r="L10981" s="5" t="str">
        <f>HYPERLINK("https://maps.google.com/?q=16.2226336782569,-95.213976377612696", "🔗 Ver Mapa")</f>
        <v>🔗 Ver Mapa</v>
      </c>
    </row>
    <row r="10982" spans="1:12" ht="43.5" x14ac:dyDescent="0.35">
      <c r="A10982" s="6" t="s">
        <v>98</v>
      </c>
      <c r="B10982" s="6" t="s">
        <v>99</v>
      </c>
      <c r="C10982" s="6" t="s">
        <v>1911</v>
      </c>
      <c r="D10982" s="6" t="s">
        <v>14</v>
      </c>
      <c r="E10982" s="6" t="s">
        <v>158</v>
      </c>
      <c r="F10982" s="6" t="s">
        <v>166</v>
      </c>
      <c r="G10982" s="6" t="s">
        <v>819</v>
      </c>
      <c r="H10982" s="6" t="s">
        <v>820</v>
      </c>
      <c r="I10982" s="6" t="s">
        <v>31</v>
      </c>
      <c r="J10982" s="6">
        <v>16.222705897127</v>
      </c>
      <c r="K10982" s="6">
        <v>-95.215271580000007</v>
      </c>
      <c r="L10982" s="6" t="str">
        <f>HYPERLINK("https://maps.google.com/?q=16.2227058971273,-95.215271580000106", "🔗 Ver Mapa")</f>
        <v>🔗 Ver Mapa</v>
      </c>
    </row>
    <row r="10983" spans="1:12" ht="43.5" x14ac:dyDescent="0.35">
      <c r="A10983" s="5" t="s">
        <v>98</v>
      </c>
      <c r="B10983" s="5" t="s">
        <v>99</v>
      </c>
      <c r="C10983" s="5" t="s">
        <v>1911</v>
      </c>
      <c r="D10983" s="5" t="s">
        <v>14</v>
      </c>
      <c r="E10983" s="5" t="s">
        <v>158</v>
      </c>
      <c r="F10983" s="5" t="s">
        <v>166</v>
      </c>
      <c r="G10983" s="5" t="s">
        <v>819</v>
      </c>
      <c r="H10983" s="5" t="s">
        <v>820</v>
      </c>
      <c r="I10983" s="5" t="s">
        <v>31</v>
      </c>
      <c r="J10983" s="5">
        <v>16.222715445656</v>
      </c>
      <c r="K10983" s="5">
        <v>-95.212034846644002</v>
      </c>
      <c r="L10983" s="5" t="str">
        <f>HYPERLINK("https://maps.google.com/?q=16.2227154456564,-95.212034846643704", "🔗 Ver Mapa")</f>
        <v>🔗 Ver Mapa</v>
      </c>
    </row>
    <row r="10984" spans="1:12" ht="43.5" x14ac:dyDescent="0.35">
      <c r="A10984" s="6" t="s">
        <v>98</v>
      </c>
      <c r="B10984" s="6" t="s">
        <v>99</v>
      </c>
      <c r="C10984" s="6" t="s">
        <v>1911</v>
      </c>
      <c r="D10984" s="6" t="s">
        <v>14</v>
      </c>
      <c r="E10984" s="6" t="s">
        <v>158</v>
      </c>
      <c r="F10984" s="6" t="s">
        <v>166</v>
      </c>
      <c r="G10984" s="6" t="s">
        <v>819</v>
      </c>
      <c r="H10984" s="6" t="s">
        <v>820</v>
      </c>
      <c r="I10984" s="6" t="s">
        <v>31</v>
      </c>
      <c r="J10984" s="6">
        <v>16.222908603356998</v>
      </c>
      <c r="K10984" s="6">
        <v>-95.213953578835998</v>
      </c>
      <c r="L10984" s="6" t="str">
        <f>HYPERLINK("https://maps.google.com/?q=16.2229086033571,-95.213953578836097", "🔗 Ver Mapa")</f>
        <v>🔗 Ver Mapa</v>
      </c>
    </row>
    <row r="10985" spans="1:12" ht="43.5" x14ac:dyDescent="0.35">
      <c r="A10985" s="5" t="s">
        <v>98</v>
      </c>
      <c r="B10985" s="5" t="s">
        <v>99</v>
      </c>
      <c r="C10985" s="5" t="s">
        <v>1911</v>
      </c>
      <c r="D10985" s="5" t="s">
        <v>14</v>
      </c>
      <c r="E10985" s="5" t="s">
        <v>158</v>
      </c>
      <c r="F10985" s="5" t="s">
        <v>166</v>
      </c>
      <c r="G10985" s="5" t="s">
        <v>819</v>
      </c>
      <c r="H10985" s="5" t="s">
        <v>820</v>
      </c>
      <c r="I10985" s="5" t="s">
        <v>31</v>
      </c>
      <c r="J10985" s="5">
        <v>16.223083737132999</v>
      </c>
      <c r="K10985" s="5">
        <v>-95.212749264417994</v>
      </c>
      <c r="L10985" s="5" t="str">
        <f>HYPERLINK("https://maps.google.com/?q=16.2230837371325,-95.212749264417894", "🔗 Ver Mapa")</f>
        <v>🔗 Ver Mapa</v>
      </c>
    </row>
    <row r="10986" spans="1:12" ht="43.5" x14ac:dyDescent="0.35">
      <c r="A10986" s="6" t="s">
        <v>98</v>
      </c>
      <c r="B10986" s="6" t="s">
        <v>99</v>
      </c>
      <c r="C10986" s="6" t="s">
        <v>1911</v>
      </c>
      <c r="D10986" s="6" t="s">
        <v>14</v>
      </c>
      <c r="E10986" s="6" t="s">
        <v>158</v>
      </c>
      <c r="F10986" s="6" t="s">
        <v>166</v>
      </c>
      <c r="G10986" s="6" t="s">
        <v>819</v>
      </c>
      <c r="H10986" s="6" t="s">
        <v>820</v>
      </c>
      <c r="I10986" s="6" t="s">
        <v>31</v>
      </c>
      <c r="J10986" s="6">
        <v>16.223184236323</v>
      </c>
      <c r="K10986" s="6">
        <v>-95.214366330000004</v>
      </c>
      <c r="L10986" s="6" t="str">
        <f>HYPERLINK("https://maps.google.com/?q=16.2231842363232,-95.214366329999905", "🔗 Ver Mapa")</f>
        <v>🔗 Ver Mapa</v>
      </c>
    </row>
    <row r="10987" spans="1:12" ht="43.5" x14ac:dyDescent="0.35">
      <c r="A10987" s="5" t="s">
        <v>98</v>
      </c>
      <c r="B10987" s="5" t="s">
        <v>99</v>
      </c>
      <c r="C10987" s="5" t="s">
        <v>1911</v>
      </c>
      <c r="D10987" s="5" t="s">
        <v>14</v>
      </c>
      <c r="E10987" s="5" t="s">
        <v>158</v>
      </c>
      <c r="F10987" s="5" t="s">
        <v>166</v>
      </c>
      <c r="G10987" s="5" t="s">
        <v>819</v>
      </c>
      <c r="H10987" s="5" t="s">
        <v>820</v>
      </c>
      <c r="I10987" s="5" t="s">
        <v>31</v>
      </c>
      <c r="J10987" s="5">
        <v>16.223400513344</v>
      </c>
      <c r="K10987" s="5">
        <v>-95.212416669999996</v>
      </c>
      <c r="L10987" s="5" t="str">
        <f>HYPERLINK("https://maps.google.com/?q=16.2234005133443,-95.212416669999797", "🔗 Ver Mapa")</f>
        <v>🔗 Ver Mapa</v>
      </c>
    </row>
    <row r="10988" spans="1:12" ht="43.5" x14ac:dyDescent="0.35">
      <c r="A10988" s="6" t="s">
        <v>98</v>
      </c>
      <c r="B10988" s="6" t="s">
        <v>99</v>
      </c>
      <c r="C10988" s="6" t="s">
        <v>1911</v>
      </c>
      <c r="D10988" s="6" t="s">
        <v>14</v>
      </c>
      <c r="E10988" s="6" t="s">
        <v>158</v>
      </c>
      <c r="F10988" s="6" t="s">
        <v>166</v>
      </c>
      <c r="G10988" s="6" t="s">
        <v>819</v>
      </c>
      <c r="H10988" s="6" t="s">
        <v>820</v>
      </c>
      <c r="I10988" s="6" t="s">
        <v>31</v>
      </c>
      <c r="J10988" s="6">
        <v>16.225902499581998</v>
      </c>
      <c r="K10988" s="6">
        <v>-95.214154741044993</v>
      </c>
      <c r="L10988" s="6" t="str">
        <f>HYPERLINK("https://maps.google.com/?q=16.2259024995821,-95.214154741044993", "🔗 Ver Mapa")</f>
        <v>🔗 Ver Mapa</v>
      </c>
    </row>
    <row r="10989" spans="1:12" ht="43.5" x14ac:dyDescent="0.35">
      <c r="A10989" s="5" t="s">
        <v>98</v>
      </c>
      <c r="B10989" s="5" t="s">
        <v>99</v>
      </c>
      <c r="C10989" s="5" t="s">
        <v>1912</v>
      </c>
      <c r="D10989" s="5" t="s">
        <v>14</v>
      </c>
      <c r="E10989" s="5" t="s">
        <v>16</v>
      </c>
      <c r="F10989" s="5" t="s">
        <v>21</v>
      </c>
      <c r="G10989" s="5" t="s">
        <v>1913</v>
      </c>
      <c r="H10989" s="5" t="s">
        <v>1914</v>
      </c>
      <c r="I10989" s="5" t="s">
        <v>31</v>
      </c>
      <c r="J10989" s="5">
        <v>17.158086579944001</v>
      </c>
      <c r="K10989" s="5">
        <v>-97.587865173454006</v>
      </c>
      <c r="L10989" s="5" t="str">
        <f>HYPERLINK("https://maps.google.com/?q=17.1580865799439,-97.587865173453594", "🔗 Ver Mapa")</f>
        <v>🔗 Ver Mapa</v>
      </c>
    </row>
    <row r="10990" spans="1:12" ht="43.5" x14ac:dyDescent="0.35">
      <c r="A10990" s="6" t="s">
        <v>98</v>
      </c>
      <c r="B10990" s="6" t="s">
        <v>99</v>
      </c>
      <c r="C10990" s="6" t="s">
        <v>1912</v>
      </c>
      <c r="D10990" s="6" t="s">
        <v>14</v>
      </c>
      <c r="E10990" s="6" t="s">
        <v>16</v>
      </c>
      <c r="F10990" s="6" t="s">
        <v>21</v>
      </c>
      <c r="G10990" s="6" t="s">
        <v>1913</v>
      </c>
      <c r="H10990" s="6" t="s">
        <v>1914</v>
      </c>
      <c r="I10990" s="6" t="s">
        <v>31</v>
      </c>
      <c r="J10990" s="6">
        <v>17.158706805015001</v>
      </c>
      <c r="K10990" s="6">
        <v>-97.588275165425003</v>
      </c>
      <c r="L10990" s="6" t="str">
        <f>HYPERLINK("https://maps.google.com/?q=17.1587068050146,-97.588275165424605", "🔗 Ver Mapa")</f>
        <v>🔗 Ver Mapa</v>
      </c>
    </row>
    <row r="10991" spans="1:12" ht="43.5" x14ac:dyDescent="0.35">
      <c r="A10991" s="5" t="s">
        <v>98</v>
      </c>
      <c r="B10991" s="5" t="s">
        <v>99</v>
      </c>
      <c r="C10991" s="5" t="s">
        <v>1912</v>
      </c>
      <c r="D10991" s="5" t="s">
        <v>14</v>
      </c>
      <c r="E10991" s="5" t="s">
        <v>16</v>
      </c>
      <c r="F10991" s="5" t="s">
        <v>21</v>
      </c>
      <c r="G10991" s="5" t="s">
        <v>1913</v>
      </c>
      <c r="H10991" s="5" t="s">
        <v>1914</v>
      </c>
      <c r="I10991" s="5" t="s">
        <v>31</v>
      </c>
      <c r="J10991" s="5">
        <v>17.159973654896</v>
      </c>
      <c r="K10991" s="5">
        <v>-97.588118887988003</v>
      </c>
      <c r="L10991" s="5" t="str">
        <f>HYPERLINK("https://maps.google.com/?q=17.1599736548957,-97.588118887987903", "🔗 Ver Mapa")</f>
        <v>🔗 Ver Mapa</v>
      </c>
    </row>
    <row r="10992" spans="1:12" ht="43.5" x14ac:dyDescent="0.35">
      <c r="A10992" s="6" t="s">
        <v>98</v>
      </c>
      <c r="B10992" s="6" t="s">
        <v>99</v>
      </c>
      <c r="C10992" s="6" t="s">
        <v>1912</v>
      </c>
      <c r="D10992" s="6" t="s">
        <v>14</v>
      </c>
      <c r="E10992" s="6" t="s">
        <v>16</v>
      </c>
      <c r="F10992" s="6" t="s">
        <v>21</v>
      </c>
      <c r="G10992" s="6" t="s">
        <v>1913</v>
      </c>
      <c r="H10992" s="6" t="s">
        <v>1914</v>
      </c>
      <c r="I10992" s="6" t="s">
        <v>31</v>
      </c>
      <c r="J10992" s="6">
        <v>17.160748853874999</v>
      </c>
      <c r="K10992" s="6">
        <v>-97.591396186067001</v>
      </c>
      <c r="L10992" s="6" t="str">
        <f>HYPERLINK("https://maps.google.com/?q=17.1607488538749,-97.591396186067499", "🔗 Ver Mapa")</f>
        <v>🔗 Ver Mapa</v>
      </c>
    </row>
    <row r="10993" spans="1:12" ht="43.5" x14ac:dyDescent="0.35">
      <c r="A10993" s="5" t="s">
        <v>98</v>
      </c>
      <c r="B10993" s="5" t="s">
        <v>99</v>
      </c>
      <c r="C10993" s="5" t="s">
        <v>1912</v>
      </c>
      <c r="D10993" s="5" t="s">
        <v>14</v>
      </c>
      <c r="E10993" s="5" t="s">
        <v>16</v>
      </c>
      <c r="F10993" s="5" t="s">
        <v>21</v>
      </c>
      <c r="G10993" s="5" t="s">
        <v>1913</v>
      </c>
      <c r="H10993" s="5" t="s">
        <v>1914</v>
      </c>
      <c r="I10993" s="5" t="s">
        <v>31</v>
      </c>
      <c r="J10993" s="5">
        <v>17.160783624682999</v>
      </c>
      <c r="K10993" s="5">
        <v>-97.589650010327006</v>
      </c>
      <c r="L10993" s="5" t="str">
        <f>HYPERLINK("https://maps.google.com/?q=17.1607836246835,-97.589650010327304", "🔗 Ver Mapa")</f>
        <v>🔗 Ver Mapa</v>
      </c>
    </row>
    <row r="10994" spans="1:12" ht="43.5" x14ac:dyDescent="0.35">
      <c r="A10994" s="6" t="s">
        <v>98</v>
      </c>
      <c r="B10994" s="6" t="s">
        <v>99</v>
      </c>
      <c r="C10994" s="6" t="s">
        <v>1912</v>
      </c>
      <c r="D10994" s="6" t="s">
        <v>14</v>
      </c>
      <c r="E10994" s="6" t="s">
        <v>16</v>
      </c>
      <c r="F10994" s="6" t="s">
        <v>21</v>
      </c>
      <c r="G10994" s="6" t="s">
        <v>1913</v>
      </c>
      <c r="H10994" s="6" t="s">
        <v>1914</v>
      </c>
      <c r="I10994" s="6" t="s">
        <v>31</v>
      </c>
      <c r="J10994" s="6">
        <v>17.160984140736002</v>
      </c>
      <c r="K10994" s="6">
        <v>-97.589170643382005</v>
      </c>
      <c r="L10994" s="6" t="str">
        <f>HYPERLINK("https://maps.google.com/?q=17.1609841407358,-97.589170643382303", "🔗 Ver Mapa")</f>
        <v>🔗 Ver Mapa</v>
      </c>
    </row>
    <row r="10995" spans="1:12" ht="43.5" x14ac:dyDescent="0.35">
      <c r="A10995" s="5" t="s">
        <v>98</v>
      </c>
      <c r="B10995" s="5" t="s">
        <v>99</v>
      </c>
      <c r="C10995" s="5" t="s">
        <v>1912</v>
      </c>
      <c r="D10995" s="5" t="s">
        <v>14</v>
      </c>
      <c r="E10995" s="5" t="s">
        <v>16</v>
      </c>
      <c r="F10995" s="5" t="s">
        <v>21</v>
      </c>
      <c r="G10995" s="5" t="s">
        <v>1913</v>
      </c>
      <c r="H10995" s="5" t="s">
        <v>1914</v>
      </c>
      <c r="I10995" s="5" t="s">
        <v>31</v>
      </c>
      <c r="J10995" s="5">
        <v>17.161515824437998</v>
      </c>
      <c r="K10995" s="5">
        <v>-97.590242606740006</v>
      </c>
      <c r="L10995" s="5" t="str">
        <f>HYPERLINK("https://maps.google.com/?q=17.1615158244375,-97.590242606740304", "🔗 Ver Mapa")</f>
        <v>🔗 Ver Mapa</v>
      </c>
    </row>
    <row r="10996" spans="1:12" ht="43.5" x14ac:dyDescent="0.35">
      <c r="A10996" s="6" t="s">
        <v>98</v>
      </c>
      <c r="B10996" s="6" t="s">
        <v>99</v>
      </c>
      <c r="C10996" s="6" t="s">
        <v>1912</v>
      </c>
      <c r="D10996" s="6" t="s">
        <v>14</v>
      </c>
      <c r="E10996" s="6" t="s">
        <v>16</v>
      </c>
      <c r="F10996" s="6" t="s">
        <v>21</v>
      </c>
      <c r="G10996" s="6" t="s">
        <v>1913</v>
      </c>
      <c r="H10996" s="6" t="s">
        <v>1914</v>
      </c>
      <c r="I10996" s="6" t="s">
        <v>31</v>
      </c>
      <c r="J10996" s="6">
        <v>17.161843918906001</v>
      </c>
      <c r="K10996" s="6">
        <v>-97.590041503159</v>
      </c>
      <c r="L10996" s="6" t="str">
        <f>HYPERLINK("https://maps.google.com/?q=17.1618439189056,-97.590041503159497", "🔗 Ver Mapa")</f>
        <v>🔗 Ver Mapa</v>
      </c>
    </row>
    <row r="10997" spans="1:12" ht="72.5" x14ac:dyDescent="0.35">
      <c r="A10997" s="5" t="s">
        <v>73</v>
      </c>
      <c r="B10997" s="5" t="s">
        <v>74</v>
      </c>
      <c r="C10997" s="5" t="s">
        <v>1915</v>
      </c>
      <c r="D10997" s="5" t="s">
        <v>76</v>
      </c>
      <c r="E10997" s="5" t="s">
        <v>90</v>
      </c>
      <c r="F10997" s="5" t="s">
        <v>678</v>
      </c>
      <c r="G10997" s="5" t="s">
        <v>1916</v>
      </c>
      <c r="H10997" s="5" t="s">
        <v>1917</v>
      </c>
      <c r="I10997" s="5" t="s">
        <v>31</v>
      </c>
      <c r="J10997" s="5">
        <v>17.238467672205001</v>
      </c>
      <c r="K10997" s="5">
        <v>-96.238251288426994</v>
      </c>
      <c r="L10997" s="5" t="str">
        <f>HYPERLINK("https://maps.google.com/?q=17.23846767220456,-96.23825128842684", "🔗 Ver Mapa")</f>
        <v>🔗 Ver Mapa</v>
      </c>
    </row>
    <row r="10998" spans="1:12" ht="43.5" x14ac:dyDescent="0.35">
      <c r="A10998" s="6" t="s">
        <v>288</v>
      </c>
      <c r="B10998" s="6" t="s">
        <v>289</v>
      </c>
      <c r="C10998" s="6" t="s">
        <v>1918</v>
      </c>
      <c r="D10998" s="6" t="s">
        <v>745</v>
      </c>
      <c r="E10998" s="6" t="s">
        <v>16</v>
      </c>
      <c r="F10998" s="6" t="s">
        <v>19</v>
      </c>
      <c r="G10998" s="6" t="s">
        <v>1919</v>
      </c>
      <c r="H10998" s="6" t="s">
        <v>1920</v>
      </c>
      <c r="I10998" s="6" t="s">
        <v>31</v>
      </c>
      <c r="J10998" s="6">
        <v>17.154539</v>
      </c>
      <c r="K10998" s="6">
        <v>-97.185576999999995</v>
      </c>
      <c r="L10998" s="6" t="str">
        <f>HYPERLINK("https://maps.google.com/?q=17.154539,-97.185576999999995", "🔗 Ver Mapa")</f>
        <v>🔗 Ver Mapa</v>
      </c>
    </row>
    <row r="10999" spans="1:12" ht="43.5" x14ac:dyDescent="0.35">
      <c r="A10999" s="5" t="s">
        <v>288</v>
      </c>
      <c r="B10999" s="5" t="s">
        <v>289</v>
      </c>
      <c r="C10999" s="5" t="s">
        <v>1918</v>
      </c>
      <c r="D10999" s="5" t="s">
        <v>745</v>
      </c>
      <c r="E10999" s="5" t="s">
        <v>16</v>
      </c>
      <c r="F10999" s="5" t="s">
        <v>19</v>
      </c>
      <c r="G10999" s="5" t="s">
        <v>1919</v>
      </c>
      <c r="H10999" s="5" t="s">
        <v>1920</v>
      </c>
      <c r="I10999" s="5" t="s">
        <v>31</v>
      </c>
      <c r="J10999" s="5">
        <v>17.154661999999998</v>
      </c>
      <c r="K10999" s="5">
        <v>-97.185122000000007</v>
      </c>
      <c r="L10999" s="5" t="str">
        <f>HYPERLINK("https://maps.google.com/?q=17.154662,-97.185122000000007", "🔗 Ver Mapa")</f>
        <v>🔗 Ver Mapa</v>
      </c>
    </row>
    <row r="11000" spans="1:12" ht="43.5" x14ac:dyDescent="0.35">
      <c r="A11000" s="6" t="s">
        <v>288</v>
      </c>
      <c r="B11000" s="6" t="s">
        <v>289</v>
      </c>
      <c r="C11000" s="6" t="s">
        <v>1918</v>
      </c>
      <c r="D11000" s="6" t="s">
        <v>745</v>
      </c>
      <c r="E11000" s="6" t="s">
        <v>16</v>
      </c>
      <c r="F11000" s="6" t="s">
        <v>19</v>
      </c>
      <c r="G11000" s="6" t="s">
        <v>1919</v>
      </c>
      <c r="H11000" s="6" t="s">
        <v>1920</v>
      </c>
      <c r="I11000" s="6" t="s">
        <v>31</v>
      </c>
      <c r="J11000" s="6">
        <v>17.154965000000001</v>
      </c>
      <c r="K11000" s="6">
        <v>-97.185760000000002</v>
      </c>
      <c r="L11000" s="6" t="str">
        <f>HYPERLINK("https://maps.google.com/?q=17.154965,-97.185760000000002", "🔗 Ver Mapa")</f>
        <v>🔗 Ver Mapa</v>
      </c>
    </row>
    <row r="11001" spans="1:12" ht="43.5" x14ac:dyDescent="0.35">
      <c r="A11001" s="5" t="s">
        <v>288</v>
      </c>
      <c r="B11001" s="5" t="s">
        <v>289</v>
      </c>
      <c r="C11001" s="5" t="s">
        <v>1918</v>
      </c>
      <c r="D11001" s="5" t="s">
        <v>745</v>
      </c>
      <c r="E11001" s="5" t="s">
        <v>16</v>
      </c>
      <c r="F11001" s="5" t="s">
        <v>19</v>
      </c>
      <c r="G11001" s="5" t="s">
        <v>1919</v>
      </c>
      <c r="H11001" s="5" t="s">
        <v>1920</v>
      </c>
      <c r="I11001" s="5" t="s">
        <v>31</v>
      </c>
      <c r="J11001" s="5">
        <v>17.155411999999998</v>
      </c>
      <c r="K11001" s="5">
        <v>-97.185964999999996</v>
      </c>
      <c r="L11001" s="5" t="str">
        <f>HYPERLINK("https://maps.google.com/?q=17.155412,-97.185964999999996", "🔗 Ver Mapa")</f>
        <v>🔗 Ver Mapa</v>
      </c>
    </row>
    <row r="11002" spans="1:12" ht="43.5" x14ac:dyDescent="0.35">
      <c r="A11002" s="6" t="s">
        <v>288</v>
      </c>
      <c r="B11002" s="6" t="s">
        <v>289</v>
      </c>
      <c r="C11002" s="6" t="s">
        <v>1918</v>
      </c>
      <c r="D11002" s="6" t="s">
        <v>745</v>
      </c>
      <c r="E11002" s="6" t="s">
        <v>16</v>
      </c>
      <c r="F11002" s="6" t="s">
        <v>19</v>
      </c>
      <c r="G11002" s="6" t="s">
        <v>1919</v>
      </c>
      <c r="H11002" s="6" t="s">
        <v>1920</v>
      </c>
      <c r="I11002" s="6" t="s">
        <v>31</v>
      </c>
      <c r="J11002" s="6">
        <v>17.155825</v>
      </c>
      <c r="K11002" s="6">
        <v>-97.186126999999999</v>
      </c>
      <c r="L11002" s="6" t="str">
        <f>HYPERLINK("https://maps.google.com/?q=17.155825,-97.186126999999999", "🔗 Ver Mapa")</f>
        <v>🔗 Ver Mapa</v>
      </c>
    </row>
    <row r="11003" spans="1:12" ht="43.5" x14ac:dyDescent="0.35">
      <c r="A11003" s="5" t="s">
        <v>288</v>
      </c>
      <c r="B11003" s="5" t="s">
        <v>289</v>
      </c>
      <c r="C11003" s="5" t="s">
        <v>1918</v>
      </c>
      <c r="D11003" s="5" t="s">
        <v>745</v>
      </c>
      <c r="E11003" s="5" t="s">
        <v>16</v>
      </c>
      <c r="F11003" s="5" t="s">
        <v>19</v>
      </c>
      <c r="G11003" s="5" t="s">
        <v>1919</v>
      </c>
      <c r="H11003" s="5" t="s">
        <v>1920</v>
      </c>
      <c r="I11003" s="5" t="s">
        <v>31</v>
      </c>
      <c r="J11003" s="5">
        <v>17.155913000000002</v>
      </c>
      <c r="K11003" s="5">
        <v>-97.195171999999999</v>
      </c>
      <c r="L11003" s="5" t="str">
        <f>HYPERLINK("https://maps.google.com/?q=17.155913,-97.195171999999999", "🔗 Ver Mapa")</f>
        <v>🔗 Ver Mapa</v>
      </c>
    </row>
    <row r="11004" spans="1:12" ht="43.5" x14ac:dyDescent="0.35">
      <c r="A11004" s="6" t="s">
        <v>288</v>
      </c>
      <c r="B11004" s="6" t="s">
        <v>289</v>
      </c>
      <c r="C11004" s="6" t="s">
        <v>1918</v>
      </c>
      <c r="D11004" s="6" t="s">
        <v>745</v>
      </c>
      <c r="E11004" s="6" t="s">
        <v>16</v>
      </c>
      <c r="F11004" s="6" t="s">
        <v>19</v>
      </c>
      <c r="G11004" s="6" t="s">
        <v>1919</v>
      </c>
      <c r="H11004" s="6" t="s">
        <v>1920</v>
      </c>
      <c r="I11004" s="6" t="s">
        <v>31</v>
      </c>
      <c r="J11004" s="6">
        <v>17.156351999999998</v>
      </c>
      <c r="K11004" s="6">
        <v>-97.194743000000003</v>
      </c>
      <c r="L11004" s="6" t="str">
        <f>HYPERLINK("https://maps.google.com/?q=17.156352,-97.194743000000003", "🔗 Ver Mapa")</f>
        <v>🔗 Ver Mapa</v>
      </c>
    </row>
    <row r="11005" spans="1:12" ht="43.5" x14ac:dyDescent="0.35">
      <c r="A11005" s="5" t="s">
        <v>288</v>
      </c>
      <c r="B11005" s="5" t="s">
        <v>289</v>
      </c>
      <c r="C11005" s="5" t="s">
        <v>1918</v>
      </c>
      <c r="D11005" s="5" t="s">
        <v>745</v>
      </c>
      <c r="E11005" s="5" t="s">
        <v>16</v>
      </c>
      <c r="F11005" s="5" t="s">
        <v>19</v>
      </c>
      <c r="G11005" s="5" t="s">
        <v>1919</v>
      </c>
      <c r="H11005" s="5" t="s">
        <v>1920</v>
      </c>
      <c r="I11005" s="5" t="s">
        <v>31</v>
      </c>
      <c r="J11005" s="5">
        <v>17.156396999999998</v>
      </c>
      <c r="K11005" s="5">
        <v>-97.188505000000006</v>
      </c>
      <c r="L11005" s="5" t="str">
        <f>HYPERLINK("https://maps.google.com/?q=17.156397,-97.188505000000006", "🔗 Ver Mapa")</f>
        <v>🔗 Ver Mapa</v>
      </c>
    </row>
    <row r="11006" spans="1:12" ht="43.5" x14ac:dyDescent="0.35">
      <c r="A11006" s="6" t="s">
        <v>288</v>
      </c>
      <c r="B11006" s="6" t="s">
        <v>289</v>
      </c>
      <c r="C11006" s="6" t="s">
        <v>1918</v>
      </c>
      <c r="D11006" s="6" t="s">
        <v>745</v>
      </c>
      <c r="E11006" s="6" t="s">
        <v>16</v>
      </c>
      <c r="F11006" s="6" t="s">
        <v>19</v>
      </c>
      <c r="G11006" s="6" t="s">
        <v>1919</v>
      </c>
      <c r="H11006" s="6" t="s">
        <v>1920</v>
      </c>
      <c r="I11006" s="6" t="s">
        <v>31</v>
      </c>
      <c r="J11006" s="6">
        <v>17.156424999999999</v>
      </c>
      <c r="K11006" s="6">
        <v>-97.189058000000003</v>
      </c>
      <c r="L11006" s="6" t="str">
        <f>HYPERLINK("https://maps.google.com/?q=17.156425,-97.189058000000003", "🔗 Ver Mapa")</f>
        <v>🔗 Ver Mapa</v>
      </c>
    </row>
    <row r="11007" spans="1:12" ht="43.5" x14ac:dyDescent="0.35">
      <c r="A11007" s="5" t="s">
        <v>288</v>
      </c>
      <c r="B11007" s="5" t="s">
        <v>289</v>
      </c>
      <c r="C11007" s="5" t="s">
        <v>1918</v>
      </c>
      <c r="D11007" s="5" t="s">
        <v>745</v>
      </c>
      <c r="E11007" s="5" t="s">
        <v>16</v>
      </c>
      <c r="F11007" s="5" t="s">
        <v>19</v>
      </c>
      <c r="G11007" s="5" t="s">
        <v>1919</v>
      </c>
      <c r="H11007" s="5" t="s">
        <v>1920</v>
      </c>
      <c r="I11007" s="5" t="s">
        <v>31</v>
      </c>
      <c r="J11007" s="5">
        <v>17.15645</v>
      </c>
      <c r="K11007" s="5">
        <v>-97.186238000000003</v>
      </c>
      <c r="L11007" s="5" t="str">
        <f>HYPERLINK("https://maps.google.com/?q=17.15645,-97.186238000000003", "🔗 Ver Mapa")</f>
        <v>🔗 Ver Mapa</v>
      </c>
    </row>
    <row r="11008" spans="1:12" ht="43.5" x14ac:dyDescent="0.35">
      <c r="A11008" s="6" t="s">
        <v>288</v>
      </c>
      <c r="B11008" s="6" t="s">
        <v>289</v>
      </c>
      <c r="C11008" s="6" t="s">
        <v>1918</v>
      </c>
      <c r="D11008" s="6" t="s">
        <v>745</v>
      </c>
      <c r="E11008" s="6" t="s">
        <v>16</v>
      </c>
      <c r="F11008" s="6" t="s">
        <v>19</v>
      </c>
      <c r="G11008" s="6" t="s">
        <v>1919</v>
      </c>
      <c r="H11008" s="6" t="s">
        <v>1920</v>
      </c>
      <c r="I11008" s="6" t="s">
        <v>31</v>
      </c>
      <c r="J11008" s="6">
        <v>17.156475</v>
      </c>
      <c r="K11008" s="6">
        <v>-97.189760000000007</v>
      </c>
      <c r="L11008" s="6" t="str">
        <f>HYPERLINK("https://maps.google.com/?q=17.156475,-97.189760000000007", "🔗 Ver Mapa")</f>
        <v>🔗 Ver Mapa</v>
      </c>
    </row>
    <row r="11009" spans="1:12" ht="43.5" x14ac:dyDescent="0.35">
      <c r="A11009" s="5" t="s">
        <v>288</v>
      </c>
      <c r="B11009" s="5" t="s">
        <v>289</v>
      </c>
      <c r="C11009" s="5" t="s">
        <v>1918</v>
      </c>
      <c r="D11009" s="5" t="s">
        <v>745</v>
      </c>
      <c r="E11009" s="5" t="s">
        <v>16</v>
      </c>
      <c r="F11009" s="5" t="s">
        <v>19</v>
      </c>
      <c r="G11009" s="5" t="s">
        <v>1919</v>
      </c>
      <c r="H11009" s="5" t="s">
        <v>1920</v>
      </c>
      <c r="I11009" s="5" t="s">
        <v>31</v>
      </c>
      <c r="J11009" s="5">
        <v>17.156725999999999</v>
      </c>
      <c r="K11009" s="5">
        <v>-97.190472</v>
      </c>
      <c r="L11009" s="5" t="str">
        <f>HYPERLINK("https://maps.google.com/?q=17.156726,-97.190472", "🔗 Ver Mapa")</f>
        <v>🔗 Ver Mapa</v>
      </c>
    </row>
    <row r="11010" spans="1:12" ht="43.5" x14ac:dyDescent="0.35">
      <c r="A11010" s="6" t="s">
        <v>288</v>
      </c>
      <c r="B11010" s="6" t="s">
        <v>289</v>
      </c>
      <c r="C11010" s="6" t="s">
        <v>1918</v>
      </c>
      <c r="D11010" s="6" t="s">
        <v>745</v>
      </c>
      <c r="E11010" s="6" t="s">
        <v>16</v>
      </c>
      <c r="F11010" s="6" t="s">
        <v>19</v>
      </c>
      <c r="G11010" s="6" t="s">
        <v>1919</v>
      </c>
      <c r="H11010" s="6" t="s">
        <v>1920</v>
      </c>
      <c r="I11010" s="6" t="s">
        <v>31</v>
      </c>
      <c r="J11010" s="6">
        <v>17.156822999999999</v>
      </c>
      <c r="K11010" s="6">
        <v>-97.194253000000003</v>
      </c>
      <c r="L11010" s="6" t="str">
        <f>HYPERLINK("https://maps.google.com/?q=17.156823,-97.194253000000003", "🔗 Ver Mapa")</f>
        <v>🔗 Ver Mapa</v>
      </c>
    </row>
    <row r="11011" spans="1:12" ht="43.5" x14ac:dyDescent="0.35">
      <c r="A11011" s="5" t="s">
        <v>288</v>
      </c>
      <c r="B11011" s="5" t="s">
        <v>289</v>
      </c>
      <c r="C11011" s="5" t="s">
        <v>1918</v>
      </c>
      <c r="D11011" s="5" t="s">
        <v>745</v>
      </c>
      <c r="E11011" s="5" t="s">
        <v>16</v>
      </c>
      <c r="F11011" s="5" t="s">
        <v>19</v>
      </c>
      <c r="G11011" s="5" t="s">
        <v>1919</v>
      </c>
      <c r="H11011" s="5" t="s">
        <v>1920</v>
      </c>
      <c r="I11011" s="5" t="s">
        <v>31</v>
      </c>
      <c r="J11011" s="5">
        <v>17.156943999999999</v>
      </c>
      <c r="K11011" s="5">
        <v>-97.186401000000004</v>
      </c>
      <c r="L11011" s="5" t="str">
        <f>HYPERLINK("https://maps.google.com/?q=17.156944,-97.186401000000004", "🔗 Ver Mapa")</f>
        <v>🔗 Ver Mapa</v>
      </c>
    </row>
    <row r="11012" spans="1:12" ht="43.5" x14ac:dyDescent="0.35">
      <c r="A11012" s="6" t="s">
        <v>288</v>
      </c>
      <c r="B11012" s="6" t="s">
        <v>289</v>
      </c>
      <c r="C11012" s="6" t="s">
        <v>1918</v>
      </c>
      <c r="D11012" s="6" t="s">
        <v>745</v>
      </c>
      <c r="E11012" s="6" t="s">
        <v>16</v>
      </c>
      <c r="F11012" s="6" t="s">
        <v>19</v>
      </c>
      <c r="G11012" s="6" t="s">
        <v>1919</v>
      </c>
      <c r="H11012" s="6" t="s">
        <v>1920</v>
      </c>
      <c r="I11012" s="6" t="s">
        <v>31</v>
      </c>
      <c r="J11012" s="6">
        <v>17.157004000000001</v>
      </c>
      <c r="K11012" s="6">
        <v>-97.191278999999994</v>
      </c>
      <c r="L11012" s="6" t="str">
        <f>HYPERLINK("https://maps.google.com/?q=17.157004,-97.191278999999994", "🔗 Ver Mapa")</f>
        <v>🔗 Ver Mapa</v>
      </c>
    </row>
    <row r="11013" spans="1:12" ht="43.5" x14ac:dyDescent="0.35">
      <c r="A11013" s="5" t="s">
        <v>288</v>
      </c>
      <c r="B11013" s="5" t="s">
        <v>289</v>
      </c>
      <c r="C11013" s="5" t="s">
        <v>1918</v>
      </c>
      <c r="D11013" s="5" t="s">
        <v>745</v>
      </c>
      <c r="E11013" s="5" t="s">
        <v>16</v>
      </c>
      <c r="F11013" s="5" t="s">
        <v>19</v>
      </c>
      <c r="G11013" s="5" t="s">
        <v>1919</v>
      </c>
      <c r="H11013" s="5" t="s">
        <v>1920</v>
      </c>
      <c r="I11013" s="5" t="s">
        <v>31</v>
      </c>
      <c r="J11013" s="5">
        <v>17.157063000000001</v>
      </c>
      <c r="K11013" s="5">
        <v>-97.193762000000007</v>
      </c>
      <c r="L11013" s="5" t="str">
        <f>HYPERLINK("https://maps.google.com/?q=17.157063,-97.193762000000007", "🔗 Ver Mapa")</f>
        <v>🔗 Ver Mapa</v>
      </c>
    </row>
    <row r="11014" spans="1:12" ht="43.5" x14ac:dyDescent="0.35">
      <c r="A11014" s="6" t="s">
        <v>288</v>
      </c>
      <c r="B11014" s="6" t="s">
        <v>289</v>
      </c>
      <c r="C11014" s="6" t="s">
        <v>1918</v>
      </c>
      <c r="D11014" s="6" t="s">
        <v>745</v>
      </c>
      <c r="E11014" s="6" t="s">
        <v>16</v>
      </c>
      <c r="F11014" s="6" t="s">
        <v>19</v>
      </c>
      <c r="G11014" s="6" t="s">
        <v>1919</v>
      </c>
      <c r="H11014" s="6" t="s">
        <v>1920</v>
      </c>
      <c r="I11014" s="6" t="s">
        <v>31</v>
      </c>
      <c r="J11014" s="6">
        <v>17.157067000000001</v>
      </c>
      <c r="K11014" s="6">
        <v>-97.188782000000003</v>
      </c>
      <c r="L11014" s="6" t="str">
        <f>HYPERLINK("https://maps.google.com/?q=17.157067,-97.188782000000003", "🔗 Ver Mapa")</f>
        <v>🔗 Ver Mapa</v>
      </c>
    </row>
    <row r="11015" spans="1:12" ht="43.5" x14ac:dyDescent="0.35">
      <c r="A11015" s="5" t="s">
        <v>288</v>
      </c>
      <c r="B11015" s="5" t="s">
        <v>289</v>
      </c>
      <c r="C11015" s="5" t="s">
        <v>1918</v>
      </c>
      <c r="D11015" s="5" t="s">
        <v>745</v>
      </c>
      <c r="E11015" s="5" t="s">
        <v>16</v>
      </c>
      <c r="F11015" s="5" t="s">
        <v>19</v>
      </c>
      <c r="G11015" s="5" t="s">
        <v>1919</v>
      </c>
      <c r="H11015" s="5" t="s">
        <v>1920</v>
      </c>
      <c r="I11015" s="5" t="s">
        <v>31</v>
      </c>
      <c r="J11015" s="5">
        <v>17.157159</v>
      </c>
      <c r="K11015" s="5">
        <v>-97.193162999999998</v>
      </c>
      <c r="L11015" s="5" t="str">
        <f>HYPERLINK("https://maps.google.com/?q=17.157159,-97.193162999999998", "🔗 Ver Mapa")</f>
        <v>🔗 Ver Mapa</v>
      </c>
    </row>
    <row r="11016" spans="1:12" ht="43.5" x14ac:dyDescent="0.35">
      <c r="A11016" s="6" t="s">
        <v>288</v>
      </c>
      <c r="B11016" s="6" t="s">
        <v>289</v>
      </c>
      <c r="C11016" s="6" t="s">
        <v>1918</v>
      </c>
      <c r="D11016" s="6" t="s">
        <v>745</v>
      </c>
      <c r="E11016" s="6" t="s">
        <v>16</v>
      </c>
      <c r="F11016" s="6" t="s">
        <v>19</v>
      </c>
      <c r="G11016" s="6" t="s">
        <v>1919</v>
      </c>
      <c r="H11016" s="6" t="s">
        <v>1920</v>
      </c>
      <c r="I11016" s="6" t="s">
        <v>31</v>
      </c>
      <c r="J11016" s="6">
        <v>17.157219000000001</v>
      </c>
      <c r="K11016" s="6">
        <v>-97.192635999999993</v>
      </c>
      <c r="L11016" s="6" t="str">
        <f>HYPERLINK("https://maps.google.com/?q=17.157219,-97.192635999999993", "🔗 Ver Mapa")</f>
        <v>🔗 Ver Mapa</v>
      </c>
    </row>
    <row r="11017" spans="1:12" ht="43.5" x14ac:dyDescent="0.35">
      <c r="A11017" s="5" t="s">
        <v>288</v>
      </c>
      <c r="B11017" s="5" t="s">
        <v>289</v>
      </c>
      <c r="C11017" s="5" t="s">
        <v>1918</v>
      </c>
      <c r="D11017" s="5" t="s">
        <v>745</v>
      </c>
      <c r="E11017" s="5" t="s">
        <v>16</v>
      </c>
      <c r="F11017" s="5" t="s">
        <v>19</v>
      </c>
      <c r="G11017" s="5" t="s">
        <v>1919</v>
      </c>
      <c r="H11017" s="5" t="s">
        <v>1920</v>
      </c>
      <c r="I11017" s="5" t="s">
        <v>31</v>
      </c>
      <c r="J11017" s="5">
        <v>17.157312000000001</v>
      </c>
      <c r="K11017" s="5">
        <v>-97.192079000000007</v>
      </c>
      <c r="L11017" s="5" t="str">
        <f>HYPERLINK("https://maps.google.com/?q=17.157312,-97.192079000000007", "🔗 Ver Mapa")</f>
        <v>🔗 Ver Mapa</v>
      </c>
    </row>
    <row r="11018" spans="1:12" ht="43.5" x14ac:dyDescent="0.35">
      <c r="A11018" s="6" t="s">
        <v>288</v>
      </c>
      <c r="B11018" s="6" t="s">
        <v>289</v>
      </c>
      <c r="C11018" s="6" t="s">
        <v>1918</v>
      </c>
      <c r="D11018" s="6" t="s">
        <v>745</v>
      </c>
      <c r="E11018" s="6" t="s">
        <v>16</v>
      </c>
      <c r="F11018" s="6" t="s">
        <v>19</v>
      </c>
      <c r="G11018" s="6" t="s">
        <v>1919</v>
      </c>
      <c r="H11018" s="6" t="s">
        <v>1920</v>
      </c>
      <c r="I11018" s="6" t="s">
        <v>31</v>
      </c>
      <c r="J11018" s="6">
        <v>17.157588000000001</v>
      </c>
      <c r="K11018" s="6">
        <v>-97.186415999999994</v>
      </c>
      <c r="L11018" s="6" t="str">
        <f>HYPERLINK("https://maps.google.com/?q=17.157588,-97.186415999999994", "🔗 Ver Mapa")</f>
        <v>🔗 Ver Mapa</v>
      </c>
    </row>
    <row r="11019" spans="1:12" ht="43.5" x14ac:dyDescent="0.35">
      <c r="A11019" s="5" t="s">
        <v>288</v>
      </c>
      <c r="B11019" s="5" t="s">
        <v>289</v>
      </c>
      <c r="C11019" s="5" t="s">
        <v>1918</v>
      </c>
      <c r="D11019" s="5" t="s">
        <v>745</v>
      </c>
      <c r="E11019" s="5" t="s">
        <v>16</v>
      </c>
      <c r="F11019" s="5" t="s">
        <v>19</v>
      </c>
      <c r="G11019" s="5" t="s">
        <v>1919</v>
      </c>
      <c r="H11019" s="5" t="s">
        <v>1920</v>
      </c>
      <c r="I11019" s="5" t="s">
        <v>31</v>
      </c>
      <c r="J11019" s="5">
        <v>17.157928999999999</v>
      </c>
      <c r="K11019" s="5">
        <v>-97.188658000000004</v>
      </c>
      <c r="L11019" s="5" t="str">
        <f>HYPERLINK("https://maps.google.com/?q=17.157929,-97.188658000000004", "🔗 Ver Mapa")</f>
        <v>🔗 Ver Mapa</v>
      </c>
    </row>
    <row r="11020" spans="1:12" ht="43.5" x14ac:dyDescent="0.35">
      <c r="A11020" s="6" t="s">
        <v>288</v>
      </c>
      <c r="B11020" s="6" t="s">
        <v>289</v>
      </c>
      <c r="C11020" s="6" t="s">
        <v>1918</v>
      </c>
      <c r="D11020" s="6" t="s">
        <v>745</v>
      </c>
      <c r="E11020" s="6" t="s">
        <v>16</v>
      </c>
      <c r="F11020" s="6" t="s">
        <v>19</v>
      </c>
      <c r="G11020" s="6" t="s">
        <v>1919</v>
      </c>
      <c r="H11020" s="6" t="s">
        <v>1920</v>
      </c>
      <c r="I11020" s="6" t="s">
        <v>31</v>
      </c>
      <c r="J11020" s="6">
        <v>17.158117000000001</v>
      </c>
      <c r="K11020" s="6">
        <v>-97.186025999999998</v>
      </c>
      <c r="L11020" s="6" t="str">
        <f>HYPERLINK("https://maps.google.com/?q=17.158117,-97.186025999999998", "🔗 Ver Mapa")</f>
        <v>🔗 Ver Mapa</v>
      </c>
    </row>
    <row r="11021" spans="1:12" ht="43.5" x14ac:dyDescent="0.35">
      <c r="A11021" s="5" t="s">
        <v>288</v>
      </c>
      <c r="B11021" s="5" t="s">
        <v>289</v>
      </c>
      <c r="C11021" s="5" t="s">
        <v>1918</v>
      </c>
      <c r="D11021" s="5" t="s">
        <v>745</v>
      </c>
      <c r="E11021" s="5" t="s">
        <v>16</v>
      </c>
      <c r="F11021" s="5" t="s">
        <v>19</v>
      </c>
      <c r="G11021" s="5" t="s">
        <v>1919</v>
      </c>
      <c r="H11021" s="5" t="s">
        <v>1920</v>
      </c>
      <c r="I11021" s="5" t="s">
        <v>31</v>
      </c>
      <c r="J11021" s="5">
        <v>17.158536999999999</v>
      </c>
      <c r="K11021" s="5">
        <v>-97.185565999999994</v>
      </c>
      <c r="L11021" s="5" t="str">
        <f>HYPERLINK("https://maps.google.com/?q=17.158537,-97.185565999999994", "🔗 Ver Mapa")</f>
        <v>🔗 Ver Mapa</v>
      </c>
    </row>
    <row r="11022" spans="1:12" ht="43.5" x14ac:dyDescent="0.35">
      <c r="A11022" s="6" t="s">
        <v>288</v>
      </c>
      <c r="B11022" s="6" t="s">
        <v>289</v>
      </c>
      <c r="C11022" s="6" t="s">
        <v>1918</v>
      </c>
      <c r="D11022" s="6" t="s">
        <v>745</v>
      </c>
      <c r="E11022" s="6" t="s">
        <v>16</v>
      </c>
      <c r="F11022" s="6" t="s">
        <v>19</v>
      </c>
      <c r="G11022" s="6" t="s">
        <v>1919</v>
      </c>
      <c r="H11022" s="6" t="s">
        <v>1920</v>
      </c>
      <c r="I11022" s="6" t="s">
        <v>31</v>
      </c>
      <c r="J11022" s="6">
        <v>17.158536999999999</v>
      </c>
      <c r="K11022" s="6">
        <v>-97.188407999999995</v>
      </c>
      <c r="L11022" s="6" t="str">
        <f>HYPERLINK("https://maps.google.com/?q=17.158537,-97.188407999999995", "🔗 Ver Mapa")</f>
        <v>🔗 Ver Mapa</v>
      </c>
    </row>
    <row r="11023" spans="1:12" ht="43.5" x14ac:dyDescent="0.35">
      <c r="A11023" s="5" t="s">
        <v>288</v>
      </c>
      <c r="B11023" s="5" t="s">
        <v>289</v>
      </c>
      <c r="C11023" s="5" t="s">
        <v>1918</v>
      </c>
      <c r="D11023" s="5" t="s">
        <v>745</v>
      </c>
      <c r="E11023" s="5" t="s">
        <v>16</v>
      </c>
      <c r="F11023" s="5" t="s">
        <v>19</v>
      </c>
      <c r="G11023" s="5" t="s">
        <v>1919</v>
      </c>
      <c r="H11023" s="5" t="s">
        <v>1920</v>
      </c>
      <c r="I11023" s="5" t="s">
        <v>31</v>
      </c>
      <c r="J11023" s="5">
        <v>17.159043</v>
      </c>
      <c r="K11023" s="5">
        <v>-97.188001999999997</v>
      </c>
      <c r="L11023" s="5" t="str">
        <f>HYPERLINK("https://maps.google.com/?q=17.159043,-97.188001999999997", "🔗 Ver Mapa")</f>
        <v>🔗 Ver Mapa</v>
      </c>
    </row>
    <row r="11024" spans="1:12" ht="43.5" x14ac:dyDescent="0.35">
      <c r="A11024" s="6" t="s">
        <v>288</v>
      </c>
      <c r="B11024" s="6" t="s">
        <v>289</v>
      </c>
      <c r="C11024" s="6" t="s">
        <v>1918</v>
      </c>
      <c r="D11024" s="6" t="s">
        <v>745</v>
      </c>
      <c r="E11024" s="6" t="s">
        <v>16</v>
      </c>
      <c r="F11024" s="6" t="s">
        <v>19</v>
      </c>
      <c r="G11024" s="6" t="s">
        <v>1919</v>
      </c>
      <c r="H11024" s="6" t="s">
        <v>1920</v>
      </c>
      <c r="I11024" s="6" t="s">
        <v>31</v>
      </c>
      <c r="J11024" s="6">
        <v>17.159364</v>
      </c>
      <c r="K11024" s="6">
        <v>-97.185840999999996</v>
      </c>
      <c r="L11024" s="6" t="str">
        <f>HYPERLINK("https://maps.google.com/?q=17.159364,-97.185840999999996", "🔗 Ver Mapa")</f>
        <v>🔗 Ver Mapa</v>
      </c>
    </row>
    <row r="11025" spans="1:12" ht="43.5" x14ac:dyDescent="0.35">
      <c r="A11025" s="5" t="s">
        <v>288</v>
      </c>
      <c r="B11025" s="5" t="s">
        <v>289</v>
      </c>
      <c r="C11025" s="5" t="s">
        <v>1918</v>
      </c>
      <c r="D11025" s="5" t="s">
        <v>745</v>
      </c>
      <c r="E11025" s="5" t="s">
        <v>16</v>
      </c>
      <c r="F11025" s="5" t="s">
        <v>19</v>
      </c>
      <c r="G11025" s="5" t="s">
        <v>1919</v>
      </c>
      <c r="H11025" s="5" t="s">
        <v>1920</v>
      </c>
      <c r="I11025" s="5" t="s">
        <v>31</v>
      </c>
      <c r="J11025" s="5">
        <v>17.159376000000002</v>
      </c>
      <c r="K11025" s="5">
        <v>-97.187764000000001</v>
      </c>
      <c r="L11025" s="5" t="str">
        <f>HYPERLINK("https://maps.google.com/?q=17.159376,-97.187764000000001", "🔗 Ver Mapa")</f>
        <v>🔗 Ver Mapa</v>
      </c>
    </row>
    <row r="11026" spans="1:12" ht="43.5" x14ac:dyDescent="0.35">
      <c r="A11026" s="6" t="s">
        <v>288</v>
      </c>
      <c r="B11026" s="6" t="s">
        <v>289</v>
      </c>
      <c r="C11026" s="6" t="s">
        <v>1918</v>
      </c>
      <c r="D11026" s="6" t="s">
        <v>745</v>
      </c>
      <c r="E11026" s="6" t="s">
        <v>16</v>
      </c>
      <c r="F11026" s="6" t="s">
        <v>19</v>
      </c>
      <c r="G11026" s="6" t="s">
        <v>1919</v>
      </c>
      <c r="H11026" s="6" t="s">
        <v>1920</v>
      </c>
      <c r="I11026" s="6" t="s">
        <v>31</v>
      </c>
      <c r="J11026" s="6">
        <v>17.159735000000001</v>
      </c>
      <c r="K11026" s="6">
        <v>-97.186177000000001</v>
      </c>
      <c r="L11026" s="6" t="str">
        <f>HYPERLINK("https://maps.google.com/?q=17.159735,-97.186177000000001", "🔗 Ver Mapa")</f>
        <v>🔗 Ver Mapa</v>
      </c>
    </row>
    <row r="11027" spans="1:12" ht="43.5" x14ac:dyDescent="0.35">
      <c r="A11027" s="5" t="s">
        <v>288</v>
      </c>
      <c r="B11027" s="5" t="s">
        <v>289</v>
      </c>
      <c r="C11027" s="5" t="s">
        <v>1918</v>
      </c>
      <c r="D11027" s="5" t="s">
        <v>745</v>
      </c>
      <c r="E11027" s="5" t="s">
        <v>16</v>
      </c>
      <c r="F11027" s="5" t="s">
        <v>19</v>
      </c>
      <c r="G11027" s="5" t="s">
        <v>1919</v>
      </c>
      <c r="H11027" s="5" t="s">
        <v>1920</v>
      </c>
      <c r="I11027" s="5" t="s">
        <v>31</v>
      </c>
      <c r="J11027" s="5">
        <v>17.159924</v>
      </c>
      <c r="K11027" s="5">
        <v>-97.187072999999998</v>
      </c>
      <c r="L11027" s="5" t="str">
        <f>HYPERLINK("https://maps.google.com/?q=17.159924,-97.187072999999998", "🔗 Ver Mapa")</f>
        <v>🔗 Ver Mapa</v>
      </c>
    </row>
    <row r="11028" spans="1:12" ht="43.5" x14ac:dyDescent="0.35">
      <c r="A11028" s="6" t="s">
        <v>288</v>
      </c>
      <c r="B11028" s="6" t="s">
        <v>289</v>
      </c>
      <c r="C11028" s="6" t="s">
        <v>1918</v>
      </c>
      <c r="D11028" s="6" t="s">
        <v>745</v>
      </c>
      <c r="E11028" s="6" t="s">
        <v>16</v>
      </c>
      <c r="F11028" s="6" t="s">
        <v>19</v>
      </c>
      <c r="G11028" s="6" t="s">
        <v>1919</v>
      </c>
      <c r="H11028" s="6" t="s">
        <v>1920</v>
      </c>
      <c r="I11028" s="6" t="s">
        <v>31</v>
      </c>
      <c r="J11028" s="6">
        <v>17.160177000000001</v>
      </c>
      <c r="K11028" s="6">
        <v>-97.186633</v>
      </c>
      <c r="L11028" s="6" t="str">
        <f>HYPERLINK("https://maps.google.com/?q=17.160177,-97.186633", "🔗 Ver Mapa")</f>
        <v>🔗 Ver Mapa</v>
      </c>
    </row>
    <row r="11029" spans="1:12" ht="58" x14ac:dyDescent="0.35">
      <c r="A11029" s="5" t="s">
        <v>674</v>
      </c>
      <c r="B11029" s="5" t="s">
        <v>675</v>
      </c>
      <c r="C11029" s="5" t="s">
        <v>1921</v>
      </c>
      <c r="D11029" s="5" t="s">
        <v>677</v>
      </c>
      <c r="E11029" s="5" t="s">
        <v>52</v>
      </c>
      <c r="F11029" s="5" t="s">
        <v>421</v>
      </c>
      <c r="G11029" s="5" t="s">
        <v>1922</v>
      </c>
      <c r="H11029" s="5" t="s">
        <v>1923</v>
      </c>
      <c r="I11029" s="5" t="s">
        <v>31</v>
      </c>
      <c r="J11029" s="5">
        <v>16.576487</v>
      </c>
      <c r="K11029" s="5">
        <v>-96.545919999999995</v>
      </c>
      <c r="L11029" s="5" t="str">
        <f>HYPERLINK("https://maps.google.com/?q=16.576487,-96.545920", "🔗 Ver Mapa")</f>
        <v>🔗 Ver Mapa</v>
      </c>
    </row>
    <row r="11030" spans="1:12" ht="58" x14ac:dyDescent="0.35">
      <c r="A11030" s="6" t="s">
        <v>674</v>
      </c>
      <c r="B11030" s="6" t="s">
        <v>675</v>
      </c>
      <c r="C11030" s="6" t="s">
        <v>1921</v>
      </c>
      <c r="D11030" s="6" t="s">
        <v>677</v>
      </c>
      <c r="E11030" s="6" t="s">
        <v>52</v>
      </c>
      <c r="F11030" s="6" t="s">
        <v>421</v>
      </c>
      <c r="G11030" s="6" t="s">
        <v>1922</v>
      </c>
      <c r="H11030" s="6" t="s">
        <v>1923</v>
      </c>
      <c r="I11030" s="6" t="s">
        <v>31</v>
      </c>
      <c r="J11030" s="6">
        <v>16.578147999999999</v>
      </c>
      <c r="K11030" s="6">
        <v>-96.548655999999994</v>
      </c>
      <c r="L11030" s="6" t="str">
        <f>HYPERLINK("https://maps.google.com/?q=16.578148,-96.548656", "🔗 Ver Mapa")</f>
        <v>🔗 Ver Mapa</v>
      </c>
    </row>
    <row r="11031" spans="1:12" ht="58" x14ac:dyDescent="0.35">
      <c r="A11031" s="5" t="s">
        <v>674</v>
      </c>
      <c r="B11031" s="5" t="s">
        <v>675</v>
      </c>
      <c r="C11031" s="5" t="s">
        <v>1921</v>
      </c>
      <c r="D11031" s="5" t="s">
        <v>677</v>
      </c>
      <c r="E11031" s="5" t="s">
        <v>52</v>
      </c>
      <c r="F11031" s="5" t="s">
        <v>421</v>
      </c>
      <c r="G11031" s="5" t="s">
        <v>1922</v>
      </c>
      <c r="H11031" s="5" t="s">
        <v>1923</v>
      </c>
      <c r="I11031" s="5" t="s">
        <v>31</v>
      </c>
      <c r="J11031" s="5">
        <v>16.581392999999998</v>
      </c>
      <c r="K11031" s="5">
        <v>-96.550402000000005</v>
      </c>
      <c r="L11031" s="5" t="str">
        <f>HYPERLINK("https://maps.google.com/?q=16.581393,-96.550402", "🔗 Ver Mapa")</f>
        <v>🔗 Ver Mapa</v>
      </c>
    </row>
    <row r="11032" spans="1:12" ht="72.5" x14ac:dyDescent="0.35">
      <c r="A11032" s="6" t="s">
        <v>674</v>
      </c>
      <c r="B11032" s="6" t="s">
        <v>675</v>
      </c>
      <c r="C11032" s="6" t="s">
        <v>1924</v>
      </c>
      <c r="D11032" s="6" t="s">
        <v>677</v>
      </c>
      <c r="E11032" s="6" t="s">
        <v>52</v>
      </c>
      <c r="F11032" s="6" t="s">
        <v>83</v>
      </c>
      <c r="G11032" s="6" t="s">
        <v>1143</v>
      </c>
      <c r="H11032" s="6" t="s">
        <v>1144</v>
      </c>
      <c r="I11032" s="6" t="s">
        <v>31</v>
      </c>
      <c r="J11032" s="6">
        <v>17.120787</v>
      </c>
      <c r="K11032" s="6">
        <v>-96.823700000000002</v>
      </c>
      <c r="L11032" s="6" t="str">
        <f>HYPERLINK("https://maps.google.com/?q=17.120787,-96.823700", "🔗 Ver Mapa")</f>
        <v>🔗 Ver Mapa</v>
      </c>
    </row>
    <row r="11033" spans="1:12" ht="72.5" x14ac:dyDescent="0.35">
      <c r="A11033" s="5" t="s">
        <v>674</v>
      </c>
      <c r="B11033" s="5" t="s">
        <v>675</v>
      </c>
      <c r="C11033" s="5" t="s">
        <v>1924</v>
      </c>
      <c r="D11033" s="5" t="s">
        <v>677</v>
      </c>
      <c r="E11033" s="5" t="s">
        <v>52</v>
      </c>
      <c r="F11033" s="5" t="s">
        <v>83</v>
      </c>
      <c r="G11033" s="5" t="s">
        <v>1143</v>
      </c>
      <c r="H11033" s="5" t="s">
        <v>1144</v>
      </c>
      <c r="I11033" s="5" t="s">
        <v>31</v>
      </c>
      <c r="J11033" s="5">
        <v>17.122748000000001</v>
      </c>
      <c r="K11033" s="5" t="s">
        <v>1925</v>
      </c>
      <c r="L11033" s="5" t="str">
        <f>HYPERLINK("https://maps.google.com/?q=17.122748,-96.809272 ", "🔗 Ver Mapa")</f>
        <v>🔗 Ver Mapa</v>
      </c>
    </row>
    <row r="11034" spans="1:12" ht="72.5" x14ac:dyDescent="0.35">
      <c r="A11034" s="6" t="s">
        <v>674</v>
      </c>
      <c r="B11034" s="6" t="s">
        <v>675</v>
      </c>
      <c r="C11034" s="6" t="s">
        <v>1924</v>
      </c>
      <c r="D11034" s="6" t="s">
        <v>677</v>
      </c>
      <c r="E11034" s="6" t="s">
        <v>52</v>
      </c>
      <c r="F11034" s="6" t="s">
        <v>83</v>
      </c>
      <c r="G11034" s="6" t="s">
        <v>1143</v>
      </c>
      <c r="H11034" s="6" t="s">
        <v>1144</v>
      </c>
      <c r="I11034" s="6" t="s">
        <v>31</v>
      </c>
      <c r="J11034" s="6">
        <v>17.123061</v>
      </c>
      <c r="K11034" s="6">
        <v>-96.816668000000007</v>
      </c>
      <c r="L11034" s="6" t="str">
        <f>HYPERLINK("https://maps.google.com/?q=17.123061,-96.816668", "🔗 Ver Mapa")</f>
        <v>🔗 Ver Mapa</v>
      </c>
    </row>
    <row r="11035" spans="1:12" ht="72.5" x14ac:dyDescent="0.35">
      <c r="A11035" s="5" t="s">
        <v>674</v>
      </c>
      <c r="B11035" s="5" t="s">
        <v>675</v>
      </c>
      <c r="C11035" s="5" t="s">
        <v>1926</v>
      </c>
      <c r="D11035" s="5" t="s">
        <v>677</v>
      </c>
      <c r="E11035" s="5" t="s">
        <v>90</v>
      </c>
      <c r="F11035" s="5" t="s">
        <v>678</v>
      </c>
      <c r="G11035" s="5" t="s">
        <v>1927</v>
      </c>
      <c r="H11035" s="5" t="s">
        <v>1928</v>
      </c>
      <c r="I11035" s="5" t="s">
        <v>31</v>
      </c>
      <c r="J11035" s="5">
        <v>17.360958</v>
      </c>
      <c r="K11035" s="5">
        <v>-96.134855999999999</v>
      </c>
      <c r="L11035" s="5" t="str">
        <f>HYPERLINK("https://maps.google.com/?q=17.360958,-96.134856", "🔗 Ver Mapa")</f>
        <v>🔗 Ver Mapa</v>
      </c>
    </row>
    <row r="11036" spans="1:12" ht="72.5" x14ac:dyDescent="0.35">
      <c r="A11036" s="6" t="s">
        <v>674</v>
      </c>
      <c r="B11036" s="6" t="s">
        <v>675</v>
      </c>
      <c r="C11036" s="6" t="s">
        <v>1926</v>
      </c>
      <c r="D11036" s="6" t="s">
        <v>677</v>
      </c>
      <c r="E11036" s="6" t="s">
        <v>90</v>
      </c>
      <c r="F11036" s="6" t="s">
        <v>678</v>
      </c>
      <c r="G11036" s="6" t="s">
        <v>1927</v>
      </c>
      <c r="H11036" s="6" t="s">
        <v>1928</v>
      </c>
      <c r="I11036" s="6" t="s">
        <v>31</v>
      </c>
      <c r="J11036" s="6">
        <v>17.361944000000001</v>
      </c>
      <c r="K11036" s="6">
        <v>-96.131354999999999</v>
      </c>
      <c r="L11036" s="6" t="str">
        <f>HYPERLINK("https://maps.google.com/?q=17.361944,-96.131355", "🔗 Ver Mapa")</f>
        <v>🔗 Ver Mapa</v>
      </c>
    </row>
    <row r="11037" spans="1:12" ht="72.5" x14ac:dyDescent="0.35">
      <c r="A11037" s="5" t="s">
        <v>674</v>
      </c>
      <c r="B11037" s="5" t="s">
        <v>675</v>
      </c>
      <c r="C11037" s="5" t="s">
        <v>1926</v>
      </c>
      <c r="D11037" s="5" t="s">
        <v>677</v>
      </c>
      <c r="E11037" s="5" t="s">
        <v>90</v>
      </c>
      <c r="F11037" s="5" t="s">
        <v>678</v>
      </c>
      <c r="G11037" s="5" t="s">
        <v>1927</v>
      </c>
      <c r="H11037" s="5" t="s">
        <v>1928</v>
      </c>
      <c r="I11037" s="5" t="s">
        <v>31</v>
      </c>
      <c r="J11037" s="5">
        <v>17.362373000000002</v>
      </c>
      <c r="K11037" s="5">
        <v>-96.131902999999994</v>
      </c>
      <c r="L11037" s="5" t="str">
        <f>HYPERLINK("https://maps.google.com/?q=17.362373,-96.131903", "🔗 Ver Mapa")</f>
        <v>🔗 Ver Mapa</v>
      </c>
    </row>
    <row r="11038" spans="1:12" ht="58" x14ac:dyDescent="0.35">
      <c r="A11038" s="6" t="s">
        <v>674</v>
      </c>
      <c r="B11038" s="6" t="s">
        <v>675</v>
      </c>
      <c r="C11038" s="6" t="s">
        <v>1929</v>
      </c>
      <c r="D11038" s="6" t="s">
        <v>677</v>
      </c>
      <c r="E11038" s="6" t="s">
        <v>17</v>
      </c>
      <c r="F11038" s="6" t="s">
        <v>59</v>
      </c>
      <c r="G11038" s="6" t="s">
        <v>266</v>
      </c>
      <c r="H11038" s="6" t="s">
        <v>267</v>
      </c>
      <c r="I11038" s="6" t="s">
        <v>31</v>
      </c>
      <c r="J11038" s="6">
        <v>16.502666000000001</v>
      </c>
      <c r="K11038" s="6">
        <v>-98.340359000000007</v>
      </c>
      <c r="L11038" s="6" t="str">
        <f>HYPERLINK("https://maps.google.com/?q=16.502666,-98.340359", "🔗 Ver Mapa")</f>
        <v>🔗 Ver Mapa</v>
      </c>
    </row>
    <row r="11039" spans="1:12" ht="58" x14ac:dyDescent="0.35">
      <c r="A11039" s="5" t="s">
        <v>674</v>
      </c>
      <c r="B11039" s="5" t="s">
        <v>675</v>
      </c>
      <c r="C11039" s="5" t="s">
        <v>1929</v>
      </c>
      <c r="D11039" s="5" t="s">
        <v>677</v>
      </c>
      <c r="E11039" s="5" t="s">
        <v>17</v>
      </c>
      <c r="F11039" s="5" t="s">
        <v>59</v>
      </c>
      <c r="G11039" s="5" t="s">
        <v>266</v>
      </c>
      <c r="H11039" s="5" t="s">
        <v>267</v>
      </c>
      <c r="I11039" s="5" t="s">
        <v>31</v>
      </c>
      <c r="J11039" s="5">
        <v>16.507069000000001</v>
      </c>
      <c r="K11039" s="5">
        <v>-98.343272999999996</v>
      </c>
      <c r="L11039" s="5" t="str">
        <f>HYPERLINK("https://maps.google.com/?q=16.507069,-98.343273", "🔗 Ver Mapa")</f>
        <v>🔗 Ver Mapa</v>
      </c>
    </row>
    <row r="11040" spans="1:12" ht="58" x14ac:dyDescent="0.35">
      <c r="A11040" s="6" t="s">
        <v>674</v>
      </c>
      <c r="B11040" s="6" t="s">
        <v>675</v>
      </c>
      <c r="C11040" s="6" t="s">
        <v>1929</v>
      </c>
      <c r="D11040" s="6" t="s">
        <v>677</v>
      </c>
      <c r="E11040" s="6" t="s">
        <v>17</v>
      </c>
      <c r="F11040" s="6" t="s">
        <v>59</v>
      </c>
      <c r="G11040" s="6" t="s">
        <v>266</v>
      </c>
      <c r="H11040" s="6" t="s">
        <v>267</v>
      </c>
      <c r="I11040" s="6" t="s">
        <v>31</v>
      </c>
      <c r="J11040" s="6">
        <v>16.511586999999999</v>
      </c>
      <c r="K11040" s="6">
        <v>-98.342918999999995</v>
      </c>
      <c r="L11040" s="6" t="str">
        <f>HYPERLINK("https://maps.google.com/?q=16.511587,-98.342919", "🔗 Ver Mapa")</f>
        <v>🔗 Ver Mapa</v>
      </c>
    </row>
    <row r="11041" spans="1:12" ht="72.5" x14ac:dyDescent="0.35">
      <c r="A11041" s="5" t="s">
        <v>674</v>
      </c>
      <c r="B11041" s="5" t="s">
        <v>675</v>
      </c>
      <c r="C11041" s="5" t="s">
        <v>1930</v>
      </c>
      <c r="D11041" s="5" t="s">
        <v>677</v>
      </c>
      <c r="E11041" s="5" t="s">
        <v>90</v>
      </c>
      <c r="F11041" s="5" t="s">
        <v>678</v>
      </c>
      <c r="G11041" s="5" t="s">
        <v>1927</v>
      </c>
      <c r="H11041" s="5" t="s">
        <v>1931</v>
      </c>
      <c r="I11041" s="5" t="s">
        <v>31</v>
      </c>
      <c r="J11041" s="5">
        <v>17.446985000000002</v>
      </c>
      <c r="K11041" s="5">
        <v>-96.175319000000002</v>
      </c>
      <c r="L11041" s="5" t="str">
        <f>HYPERLINK("https://maps.google.com/?q=17.446985,-96.175319", "🔗 Ver Mapa")</f>
        <v>🔗 Ver Mapa</v>
      </c>
    </row>
    <row r="11042" spans="1:12" ht="72.5" x14ac:dyDescent="0.35">
      <c r="A11042" s="6" t="s">
        <v>674</v>
      </c>
      <c r="B11042" s="6" t="s">
        <v>675</v>
      </c>
      <c r="C11042" s="6" t="s">
        <v>1930</v>
      </c>
      <c r="D11042" s="6" t="s">
        <v>677</v>
      </c>
      <c r="E11042" s="6" t="s">
        <v>90</v>
      </c>
      <c r="F11042" s="6" t="s">
        <v>678</v>
      </c>
      <c r="G11042" s="6" t="s">
        <v>1927</v>
      </c>
      <c r="H11042" s="6" t="s">
        <v>1931</v>
      </c>
      <c r="I11042" s="6" t="s">
        <v>31</v>
      </c>
      <c r="J11042" s="6">
        <v>17.448747000000001</v>
      </c>
      <c r="K11042" s="6">
        <v>-96.172528999999997</v>
      </c>
      <c r="L11042" s="6" t="str">
        <f>HYPERLINK("https://maps.google.com/?q=17.448747,-96.172529", "🔗 Ver Mapa")</f>
        <v>🔗 Ver Mapa</v>
      </c>
    </row>
    <row r="11043" spans="1:12" ht="72.5" x14ac:dyDescent="0.35">
      <c r="A11043" s="5" t="s">
        <v>674</v>
      </c>
      <c r="B11043" s="5" t="s">
        <v>675</v>
      </c>
      <c r="C11043" s="5" t="s">
        <v>1930</v>
      </c>
      <c r="D11043" s="5" t="s">
        <v>677</v>
      </c>
      <c r="E11043" s="5" t="s">
        <v>90</v>
      </c>
      <c r="F11043" s="5" t="s">
        <v>678</v>
      </c>
      <c r="G11043" s="5" t="s">
        <v>1927</v>
      </c>
      <c r="H11043" s="5" t="s">
        <v>1931</v>
      </c>
      <c r="I11043" s="5" t="s">
        <v>31</v>
      </c>
      <c r="J11043" s="5">
        <v>17.448903000000001</v>
      </c>
      <c r="K11043" s="5" t="s">
        <v>1932</v>
      </c>
      <c r="L11043" s="5" t="str">
        <f>HYPERLINK("https://maps.google.com/?q=17.448903,-96.169670 ", "🔗 Ver Mapa")</f>
        <v>🔗 Ver Mapa</v>
      </c>
    </row>
    <row r="11044" spans="1:12" ht="72.5" x14ac:dyDescent="0.35">
      <c r="A11044" s="6" t="s">
        <v>674</v>
      </c>
      <c r="B11044" s="6" t="s">
        <v>675</v>
      </c>
      <c r="C11044" s="6" t="s">
        <v>1933</v>
      </c>
      <c r="D11044" s="6" t="s">
        <v>677</v>
      </c>
      <c r="E11044" s="6" t="s">
        <v>17</v>
      </c>
      <c r="F11044" s="6" t="s">
        <v>59</v>
      </c>
      <c r="G11044" s="6" t="s">
        <v>1934</v>
      </c>
      <c r="H11044" s="6" t="s">
        <v>1935</v>
      </c>
      <c r="I11044" s="6" t="s">
        <v>31</v>
      </c>
      <c r="J11044" s="6">
        <v>16.443677999999998</v>
      </c>
      <c r="K11044" s="6">
        <v>-97.940010000000001</v>
      </c>
      <c r="L11044" s="6" t="str">
        <f>HYPERLINK("https://maps.google.com/?q=16.443678,-97.940010", "🔗 Ver Mapa")</f>
        <v>🔗 Ver Mapa</v>
      </c>
    </row>
    <row r="11045" spans="1:12" ht="72.5" x14ac:dyDescent="0.35">
      <c r="A11045" s="5" t="s">
        <v>674</v>
      </c>
      <c r="B11045" s="5" t="s">
        <v>675</v>
      </c>
      <c r="C11045" s="5" t="s">
        <v>1933</v>
      </c>
      <c r="D11045" s="5" t="s">
        <v>677</v>
      </c>
      <c r="E11045" s="5" t="s">
        <v>17</v>
      </c>
      <c r="F11045" s="5" t="s">
        <v>59</v>
      </c>
      <c r="G11045" s="5" t="s">
        <v>1934</v>
      </c>
      <c r="H11045" s="5" t="s">
        <v>1935</v>
      </c>
      <c r="I11045" s="5" t="s">
        <v>31</v>
      </c>
      <c r="J11045" s="5">
        <v>16.446276999999998</v>
      </c>
      <c r="K11045" s="5">
        <v>-97.943455</v>
      </c>
      <c r="L11045" s="5" t="str">
        <f>HYPERLINK("https://maps.google.com/?q=16.446277,-97.943455", "🔗 Ver Mapa")</f>
        <v>🔗 Ver Mapa</v>
      </c>
    </row>
    <row r="11046" spans="1:12" ht="72.5" x14ac:dyDescent="0.35">
      <c r="A11046" s="6" t="s">
        <v>674</v>
      </c>
      <c r="B11046" s="6" t="s">
        <v>675</v>
      </c>
      <c r="C11046" s="6" t="s">
        <v>1933</v>
      </c>
      <c r="D11046" s="6" t="s">
        <v>677</v>
      </c>
      <c r="E11046" s="6" t="s">
        <v>17</v>
      </c>
      <c r="F11046" s="6" t="s">
        <v>59</v>
      </c>
      <c r="G11046" s="6" t="s">
        <v>1934</v>
      </c>
      <c r="H11046" s="6" t="s">
        <v>1935</v>
      </c>
      <c r="I11046" s="6" t="s">
        <v>31</v>
      </c>
      <c r="J11046" s="6">
        <v>16.448646</v>
      </c>
      <c r="K11046" s="6" t="s">
        <v>1936</v>
      </c>
      <c r="L11046" s="6" t="str">
        <f>HYPERLINK("https://maps.google.com/?q=16.448646,-97.947695 ", "🔗 Ver Mapa")</f>
        <v>🔗 Ver Mapa</v>
      </c>
    </row>
    <row r="11047" spans="1:12" ht="58" x14ac:dyDescent="0.35">
      <c r="A11047" s="5" t="s">
        <v>674</v>
      </c>
      <c r="B11047" s="5" t="s">
        <v>675</v>
      </c>
      <c r="C11047" s="5" t="s">
        <v>1937</v>
      </c>
      <c r="D11047" s="5" t="s">
        <v>677</v>
      </c>
      <c r="E11047" s="5" t="s">
        <v>140</v>
      </c>
      <c r="F11047" s="5" t="s">
        <v>624</v>
      </c>
      <c r="G11047" s="5" t="s">
        <v>849</v>
      </c>
      <c r="H11047" s="5" t="s">
        <v>1938</v>
      </c>
      <c r="I11047" s="5" t="s">
        <v>31</v>
      </c>
      <c r="J11047" s="5">
        <v>17.536757999999999</v>
      </c>
      <c r="K11047" s="5">
        <v>-95.884944000000004</v>
      </c>
      <c r="L11047" s="5" t="str">
        <f>HYPERLINK("https://maps.google.com/?q=17.536758,-95.884944", "🔗 Ver Mapa")</f>
        <v>🔗 Ver Mapa</v>
      </c>
    </row>
    <row r="11048" spans="1:12" ht="58" x14ac:dyDescent="0.35">
      <c r="A11048" s="6" t="s">
        <v>674</v>
      </c>
      <c r="B11048" s="6" t="s">
        <v>675</v>
      </c>
      <c r="C11048" s="6" t="s">
        <v>1937</v>
      </c>
      <c r="D11048" s="6" t="s">
        <v>677</v>
      </c>
      <c r="E11048" s="6" t="s">
        <v>140</v>
      </c>
      <c r="F11048" s="6" t="s">
        <v>624</v>
      </c>
      <c r="G11048" s="6" t="s">
        <v>849</v>
      </c>
      <c r="H11048" s="6" t="s">
        <v>1938</v>
      </c>
      <c r="I11048" s="6" t="s">
        <v>31</v>
      </c>
      <c r="J11048" s="6">
        <v>17.538177000000001</v>
      </c>
      <c r="K11048" s="6">
        <v>-95.888271000000003</v>
      </c>
      <c r="L11048" s="6" t="str">
        <f>HYPERLINK("https://maps.google.com/?q=17.538177,-95.888271", "🔗 Ver Mapa")</f>
        <v>🔗 Ver Mapa</v>
      </c>
    </row>
    <row r="11049" spans="1:12" ht="58" x14ac:dyDescent="0.35">
      <c r="A11049" s="5" t="s">
        <v>674</v>
      </c>
      <c r="B11049" s="5" t="s">
        <v>675</v>
      </c>
      <c r="C11049" s="5" t="s">
        <v>1937</v>
      </c>
      <c r="D11049" s="5" t="s">
        <v>677</v>
      </c>
      <c r="E11049" s="5" t="s">
        <v>140</v>
      </c>
      <c r="F11049" s="5" t="s">
        <v>624</v>
      </c>
      <c r="G11049" s="5" t="s">
        <v>849</v>
      </c>
      <c r="H11049" s="5" t="s">
        <v>1938</v>
      </c>
      <c r="I11049" s="5" t="s">
        <v>31</v>
      </c>
      <c r="J11049" s="5">
        <v>17.539442000000001</v>
      </c>
      <c r="K11049" s="5">
        <v>-95.882856000000004</v>
      </c>
      <c r="L11049" s="5" t="str">
        <f>HYPERLINK("https://maps.google.com/?q=17.539442,-95.882856", "🔗 Ver Mapa")</f>
        <v>🔗 Ver Mapa</v>
      </c>
    </row>
    <row r="11050" spans="1:12" ht="43.5" x14ac:dyDescent="0.35">
      <c r="A11050" s="6" t="s">
        <v>98</v>
      </c>
      <c r="B11050" s="6" t="s">
        <v>99</v>
      </c>
      <c r="C11050" s="6" t="s">
        <v>1939</v>
      </c>
      <c r="D11050" s="6" t="s">
        <v>14</v>
      </c>
      <c r="E11050" s="6" t="s">
        <v>90</v>
      </c>
      <c r="F11050" s="6" t="s">
        <v>91</v>
      </c>
      <c r="G11050" s="6" t="s">
        <v>1722</v>
      </c>
      <c r="H11050" s="6" t="s">
        <v>1940</v>
      </c>
      <c r="I11050" s="6" t="s">
        <v>31</v>
      </c>
      <c r="J11050" s="6">
        <v>16.997257480472001</v>
      </c>
      <c r="K11050" s="6">
        <v>-96.126426886429002</v>
      </c>
      <c r="L11050" s="6" t="str">
        <f>HYPERLINK("https://maps.google.com/?q=16.9972574804715,-96.126426886429101", "🔗 Ver Mapa")</f>
        <v>🔗 Ver Mapa</v>
      </c>
    </row>
    <row r="11051" spans="1:12" ht="43.5" x14ac:dyDescent="0.35">
      <c r="A11051" s="5" t="s">
        <v>98</v>
      </c>
      <c r="B11051" s="5" t="s">
        <v>99</v>
      </c>
      <c r="C11051" s="5" t="s">
        <v>1941</v>
      </c>
      <c r="D11051" s="5" t="s">
        <v>14</v>
      </c>
      <c r="E11051" s="5" t="s">
        <v>16</v>
      </c>
      <c r="F11051" s="5" t="s">
        <v>19</v>
      </c>
      <c r="G11051" s="5" t="s">
        <v>1049</v>
      </c>
      <c r="H11051" s="5" t="s">
        <v>1050</v>
      </c>
      <c r="I11051" s="5" t="s">
        <v>31</v>
      </c>
      <c r="J11051" s="5">
        <v>17.27643484</v>
      </c>
      <c r="K11051" s="5">
        <v>-97.364618469999996</v>
      </c>
      <c r="L11051" s="5" t="str">
        <f>HYPERLINK("https://maps.google.com/?q=17.27643484,-97.364618469999996", "🔗 Ver Mapa")</f>
        <v>🔗 Ver Mapa</v>
      </c>
    </row>
    <row r="11052" spans="1:12" ht="43.5" x14ac:dyDescent="0.35">
      <c r="A11052" s="6" t="s">
        <v>98</v>
      </c>
      <c r="B11052" s="6" t="s">
        <v>99</v>
      </c>
      <c r="C11052" s="6" t="s">
        <v>1941</v>
      </c>
      <c r="D11052" s="6" t="s">
        <v>14</v>
      </c>
      <c r="E11052" s="6" t="s">
        <v>16</v>
      </c>
      <c r="F11052" s="6" t="s">
        <v>19</v>
      </c>
      <c r="G11052" s="6" t="s">
        <v>1049</v>
      </c>
      <c r="H11052" s="6" t="s">
        <v>1050</v>
      </c>
      <c r="I11052" s="6" t="s">
        <v>31</v>
      </c>
      <c r="J11052" s="6">
        <v>17.277170030000001</v>
      </c>
      <c r="K11052" s="6">
        <v>-97.363395679999996</v>
      </c>
      <c r="L11052" s="6" t="str">
        <f>HYPERLINK("https://maps.google.com/?q=17.27717003,-97.363395679999996", "🔗 Ver Mapa")</f>
        <v>🔗 Ver Mapa</v>
      </c>
    </row>
    <row r="11053" spans="1:12" ht="43.5" x14ac:dyDescent="0.35">
      <c r="A11053" s="5" t="s">
        <v>98</v>
      </c>
      <c r="B11053" s="5" t="s">
        <v>99</v>
      </c>
      <c r="C11053" s="5" t="s">
        <v>1941</v>
      </c>
      <c r="D11053" s="5" t="s">
        <v>14</v>
      </c>
      <c r="E11053" s="5" t="s">
        <v>16</v>
      </c>
      <c r="F11053" s="5" t="s">
        <v>19</v>
      </c>
      <c r="G11053" s="5" t="s">
        <v>1049</v>
      </c>
      <c r="H11053" s="5" t="s">
        <v>1050</v>
      </c>
      <c r="I11053" s="5" t="s">
        <v>31</v>
      </c>
      <c r="J11053" s="5">
        <v>17.277425740000002</v>
      </c>
      <c r="K11053" s="5">
        <v>-97.364194569999995</v>
      </c>
      <c r="L11053" s="5" t="str">
        <f>HYPERLINK("https://maps.google.com/?q=17.27742574,-97.364194569999995", "🔗 Ver Mapa")</f>
        <v>🔗 Ver Mapa</v>
      </c>
    </row>
    <row r="11054" spans="1:12" ht="43.5" x14ac:dyDescent="0.35">
      <c r="A11054" s="6" t="s">
        <v>98</v>
      </c>
      <c r="B11054" s="6" t="s">
        <v>99</v>
      </c>
      <c r="C11054" s="6" t="s">
        <v>1941</v>
      </c>
      <c r="D11054" s="6" t="s">
        <v>14</v>
      </c>
      <c r="E11054" s="6" t="s">
        <v>16</v>
      </c>
      <c r="F11054" s="6" t="s">
        <v>19</v>
      </c>
      <c r="G11054" s="6" t="s">
        <v>1049</v>
      </c>
      <c r="H11054" s="6" t="s">
        <v>1050</v>
      </c>
      <c r="I11054" s="6" t="s">
        <v>31</v>
      </c>
      <c r="J11054" s="6">
        <v>17.277469745076999</v>
      </c>
      <c r="K11054" s="6">
        <v>-97.370597508223995</v>
      </c>
      <c r="L11054" s="6" t="str">
        <f>HYPERLINK("https://maps.google.com/?q=17.2774697450773,-97.370597508224407", "🔗 Ver Mapa")</f>
        <v>🔗 Ver Mapa</v>
      </c>
    </row>
    <row r="11055" spans="1:12" ht="43.5" x14ac:dyDescent="0.35">
      <c r="A11055" s="5" t="s">
        <v>98</v>
      </c>
      <c r="B11055" s="5" t="s">
        <v>99</v>
      </c>
      <c r="C11055" s="5" t="s">
        <v>1941</v>
      </c>
      <c r="D11055" s="5" t="s">
        <v>14</v>
      </c>
      <c r="E11055" s="5" t="s">
        <v>16</v>
      </c>
      <c r="F11055" s="5" t="s">
        <v>19</v>
      </c>
      <c r="G11055" s="5" t="s">
        <v>1049</v>
      </c>
      <c r="H11055" s="5" t="s">
        <v>1050</v>
      </c>
      <c r="I11055" s="5" t="s">
        <v>31</v>
      </c>
      <c r="J11055" s="5">
        <v>17.277714790000001</v>
      </c>
      <c r="K11055" s="5">
        <v>-97.370508259999994</v>
      </c>
      <c r="L11055" s="5" t="str">
        <f>HYPERLINK("https://maps.google.com/?q=17.27771479,-97.370508259999994", "🔗 Ver Mapa")</f>
        <v>🔗 Ver Mapa</v>
      </c>
    </row>
    <row r="11056" spans="1:12" ht="43.5" x14ac:dyDescent="0.35">
      <c r="A11056" s="6" t="s">
        <v>98</v>
      </c>
      <c r="B11056" s="6" t="s">
        <v>99</v>
      </c>
      <c r="C11056" s="6" t="s">
        <v>1941</v>
      </c>
      <c r="D11056" s="6" t="s">
        <v>14</v>
      </c>
      <c r="E11056" s="6" t="s">
        <v>16</v>
      </c>
      <c r="F11056" s="6" t="s">
        <v>19</v>
      </c>
      <c r="G11056" s="6" t="s">
        <v>1049</v>
      </c>
      <c r="H11056" s="6" t="s">
        <v>1050</v>
      </c>
      <c r="I11056" s="6" t="s">
        <v>31</v>
      </c>
      <c r="J11056" s="6">
        <v>17.277902149999999</v>
      </c>
      <c r="K11056" s="6">
        <v>-97.362695819999999</v>
      </c>
      <c r="L11056" s="6" t="str">
        <f>HYPERLINK("https://maps.google.com/?q=17.27790215,-97.362695819999999", "🔗 Ver Mapa")</f>
        <v>🔗 Ver Mapa</v>
      </c>
    </row>
    <row r="11057" spans="1:12" ht="43.5" x14ac:dyDescent="0.35">
      <c r="A11057" s="5" t="s">
        <v>98</v>
      </c>
      <c r="B11057" s="5" t="s">
        <v>99</v>
      </c>
      <c r="C11057" s="5" t="s">
        <v>1941</v>
      </c>
      <c r="D11057" s="5" t="s">
        <v>14</v>
      </c>
      <c r="E11057" s="5" t="s">
        <v>16</v>
      </c>
      <c r="F11057" s="5" t="s">
        <v>19</v>
      </c>
      <c r="G11057" s="5" t="s">
        <v>1049</v>
      </c>
      <c r="H11057" s="5" t="s">
        <v>1050</v>
      </c>
      <c r="I11057" s="5" t="s">
        <v>31</v>
      </c>
      <c r="J11057" s="5">
        <v>17.278032830000001</v>
      </c>
      <c r="K11057" s="5">
        <v>-97.365344989999997</v>
      </c>
      <c r="L11057" s="5" t="str">
        <f>HYPERLINK("https://maps.google.com/?q=17.27803283,-97.365344989999997", "🔗 Ver Mapa")</f>
        <v>🔗 Ver Mapa</v>
      </c>
    </row>
    <row r="11058" spans="1:12" ht="43.5" x14ac:dyDescent="0.35">
      <c r="A11058" s="6" t="s">
        <v>98</v>
      </c>
      <c r="B11058" s="6" t="s">
        <v>99</v>
      </c>
      <c r="C11058" s="6" t="s">
        <v>1941</v>
      </c>
      <c r="D11058" s="6" t="s">
        <v>14</v>
      </c>
      <c r="E11058" s="6" t="s">
        <v>16</v>
      </c>
      <c r="F11058" s="6" t="s">
        <v>19</v>
      </c>
      <c r="G11058" s="6" t="s">
        <v>1049</v>
      </c>
      <c r="H11058" s="6" t="s">
        <v>1050</v>
      </c>
      <c r="I11058" s="6" t="s">
        <v>31</v>
      </c>
      <c r="J11058" s="6">
        <v>17.27829131</v>
      </c>
      <c r="K11058" s="6">
        <v>-97.365226640000003</v>
      </c>
      <c r="L11058" s="6" t="str">
        <f>HYPERLINK("https://maps.google.com/?q=17.27829131,-97.365226640000003", "🔗 Ver Mapa")</f>
        <v>🔗 Ver Mapa</v>
      </c>
    </row>
    <row r="11059" spans="1:12" ht="43.5" x14ac:dyDescent="0.35">
      <c r="A11059" s="5" t="s">
        <v>98</v>
      </c>
      <c r="B11059" s="5" t="s">
        <v>99</v>
      </c>
      <c r="C11059" s="5" t="s">
        <v>1941</v>
      </c>
      <c r="D11059" s="5" t="s">
        <v>14</v>
      </c>
      <c r="E11059" s="5" t="s">
        <v>16</v>
      </c>
      <c r="F11059" s="5" t="s">
        <v>19</v>
      </c>
      <c r="G11059" s="5" t="s">
        <v>1049</v>
      </c>
      <c r="H11059" s="5" t="s">
        <v>1050</v>
      </c>
      <c r="I11059" s="5" t="s">
        <v>31</v>
      </c>
      <c r="J11059" s="5">
        <v>17.278898860000002</v>
      </c>
      <c r="K11059" s="5">
        <v>-97.361768530000006</v>
      </c>
      <c r="L11059" s="5" t="str">
        <f>HYPERLINK("https://maps.google.com/?q=17.27889886,-97.361768530000006", "🔗 Ver Mapa")</f>
        <v>🔗 Ver Mapa</v>
      </c>
    </row>
    <row r="11060" spans="1:12" ht="43.5" x14ac:dyDescent="0.35">
      <c r="A11060" s="6" t="s">
        <v>98</v>
      </c>
      <c r="B11060" s="6" t="s">
        <v>99</v>
      </c>
      <c r="C11060" s="6" t="s">
        <v>1941</v>
      </c>
      <c r="D11060" s="6" t="s">
        <v>14</v>
      </c>
      <c r="E11060" s="6" t="s">
        <v>16</v>
      </c>
      <c r="F11060" s="6" t="s">
        <v>19</v>
      </c>
      <c r="G11060" s="6" t="s">
        <v>1049</v>
      </c>
      <c r="H11060" s="6" t="s">
        <v>1050</v>
      </c>
      <c r="I11060" s="6" t="s">
        <v>31</v>
      </c>
      <c r="J11060" s="6">
        <v>17.278954725557</v>
      </c>
      <c r="K11060" s="6">
        <v>-97.371027205320004</v>
      </c>
      <c r="L11060" s="6" t="str">
        <f>HYPERLINK("https://maps.google.com/?q=17.2789547255566,-97.371027205319706", "🔗 Ver Mapa")</f>
        <v>🔗 Ver Mapa</v>
      </c>
    </row>
    <row r="11061" spans="1:12" ht="43.5" x14ac:dyDescent="0.35">
      <c r="A11061" s="5" t="s">
        <v>98</v>
      </c>
      <c r="B11061" s="5" t="s">
        <v>99</v>
      </c>
      <c r="C11061" s="5" t="s">
        <v>1941</v>
      </c>
      <c r="D11061" s="5" t="s">
        <v>14</v>
      </c>
      <c r="E11061" s="5" t="s">
        <v>16</v>
      </c>
      <c r="F11061" s="5" t="s">
        <v>19</v>
      </c>
      <c r="G11061" s="5" t="s">
        <v>1049</v>
      </c>
      <c r="H11061" s="5" t="s">
        <v>1050</v>
      </c>
      <c r="I11061" s="5" t="s">
        <v>31</v>
      </c>
      <c r="J11061" s="5">
        <v>17.279102649818</v>
      </c>
      <c r="K11061" s="5">
        <v>-97.371293828836002</v>
      </c>
      <c r="L11061" s="5" t="str">
        <f>HYPERLINK("https://maps.google.com/?q=17.2791026498177,-97.371293828836102", "🔗 Ver Mapa")</f>
        <v>🔗 Ver Mapa</v>
      </c>
    </row>
    <row r="11062" spans="1:12" ht="43.5" x14ac:dyDescent="0.35">
      <c r="A11062" s="6" t="s">
        <v>98</v>
      </c>
      <c r="B11062" s="6" t="s">
        <v>99</v>
      </c>
      <c r="C11062" s="6" t="s">
        <v>1941</v>
      </c>
      <c r="D11062" s="6" t="s">
        <v>14</v>
      </c>
      <c r="E11062" s="6" t="s">
        <v>16</v>
      </c>
      <c r="F11062" s="6" t="s">
        <v>19</v>
      </c>
      <c r="G11062" s="6" t="s">
        <v>1049</v>
      </c>
      <c r="H11062" s="6" t="s">
        <v>1050</v>
      </c>
      <c r="I11062" s="6" t="s">
        <v>31</v>
      </c>
      <c r="J11062" s="6">
        <v>17.279119569999999</v>
      </c>
      <c r="K11062" s="6">
        <v>-97.372667609999993</v>
      </c>
      <c r="L11062" s="6" t="str">
        <f>HYPERLINK("https://maps.google.com/?q=17.27911957,-97.372667609999993", "🔗 Ver Mapa")</f>
        <v>🔗 Ver Mapa</v>
      </c>
    </row>
    <row r="11063" spans="1:12" ht="43.5" x14ac:dyDescent="0.35">
      <c r="A11063" s="5" t="s">
        <v>98</v>
      </c>
      <c r="B11063" s="5" t="s">
        <v>99</v>
      </c>
      <c r="C11063" s="5" t="s">
        <v>1941</v>
      </c>
      <c r="D11063" s="5" t="s">
        <v>14</v>
      </c>
      <c r="E11063" s="5" t="s">
        <v>16</v>
      </c>
      <c r="F11063" s="5" t="s">
        <v>19</v>
      </c>
      <c r="G11063" s="5" t="s">
        <v>1049</v>
      </c>
      <c r="H11063" s="5" t="s">
        <v>1050</v>
      </c>
      <c r="I11063" s="5" t="s">
        <v>31</v>
      </c>
      <c r="J11063" s="5">
        <v>17.279692310000001</v>
      </c>
      <c r="K11063" s="5">
        <v>-97.371407169999998</v>
      </c>
      <c r="L11063" s="5" t="str">
        <f>HYPERLINK("https://maps.google.com/?q=17.27969231,-97.371407169999998", "🔗 Ver Mapa")</f>
        <v>🔗 Ver Mapa</v>
      </c>
    </row>
    <row r="11064" spans="1:12" ht="43.5" x14ac:dyDescent="0.35">
      <c r="A11064" s="6" t="s">
        <v>98</v>
      </c>
      <c r="B11064" s="6" t="s">
        <v>99</v>
      </c>
      <c r="C11064" s="6" t="s">
        <v>1941</v>
      </c>
      <c r="D11064" s="6" t="s">
        <v>14</v>
      </c>
      <c r="E11064" s="6" t="s">
        <v>16</v>
      </c>
      <c r="F11064" s="6" t="s">
        <v>19</v>
      </c>
      <c r="G11064" s="6" t="s">
        <v>1049</v>
      </c>
      <c r="H11064" s="6" t="s">
        <v>1050</v>
      </c>
      <c r="I11064" s="6" t="s">
        <v>31</v>
      </c>
      <c r="J11064" s="6">
        <v>17.280062059999999</v>
      </c>
      <c r="K11064" s="6">
        <v>-97.373250959999993</v>
      </c>
      <c r="L11064" s="6" t="str">
        <f>HYPERLINK("https://maps.google.com/?q=17.28006206,-97.373250959999993", "🔗 Ver Mapa")</f>
        <v>🔗 Ver Mapa</v>
      </c>
    </row>
    <row r="11065" spans="1:12" ht="43.5" x14ac:dyDescent="0.35">
      <c r="A11065" s="5" t="s">
        <v>98</v>
      </c>
      <c r="B11065" s="5" t="s">
        <v>99</v>
      </c>
      <c r="C11065" s="5" t="s">
        <v>1941</v>
      </c>
      <c r="D11065" s="5" t="s">
        <v>14</v>
      </c>
      <c r="E11065" s="5" t="s">
        <v>16</v>
      </c>
      <c r="F11065" s="5" t="s">
        <v>19</v>
      </c>
      <c r="G11065" s="5" t="s">
        <v>1049</v>
      </c>
      <c r="H11065" s="5" t="s">
        <v>1050</v>
      </c>
      <c r="I11065" s="5" t="s">
        <v>31</v>
      </c>
      <c r="J11065" s="5">
        <v>17.28027749</v>
      </c>
      <c r="K11065" s="5">
        <v>-97.370584480000005</v>
      </c>
      <c r="L11065" s="5" t="str">
        <f>HYPERLINK("https://maps.google.com/?q=17.28027749,-97.370584480000005", "🔗 Ver Mapa")</f>
        <v>🔗 Ver Mapa</v>
      </c>
    </row>
    <row r="11066" spans="1:12" ht="43.5" x14ac:dyDescent="0.35">
      <c r="A11066" s="6" t="s">
        <v>98</v>
      </c>
      <c r="B11066" s="6" t="s">
        <v>99</v>
      </c>
      <c r="C11066" s="6" t="s">
        <v>1941</v>
      </c>
      <c r="D11066" s="6" t="s">
        <v>14</v>
      </c>
      <c r="E11066" s="6" t="s">
        <v>16</v>
      </c>
      <c r="F11066" s="6" t="s">
        <v>19</v>
      </c>
      <c r="G11066" s="6" t="s">
        <v>1049</v>
      </c>
      <c r="H11066" s="6" t="s">
        <v>1050</v>
      </c>
      <c r="I11066" s="6" t="s">
        <v>31</v>
      </c>
      <c r="J11066" s="6">
        <v>17.280304640000001</v>
      </c>
      <c r="K11066" s="6">
        <v>-97.373585919999996</v>
      </c>
      <c r="L11066" s="6" t="str">
        <f>HYPERLINK("https://maps.google.com/?q=17.28030464,-97.373585919999996", "🔗 Ver Mapa")</f>
        <v>🔗 Ver Mapa</v>
      </c>
    </row>
    <row r="11067" spans="1:12" ht="43.5" x14ac:dyDescent="0.35">
      <c r="A11067" s="5" t="s">
        <v>98</v>
      </c>
      <c r="B11067" s="5" t="s">
        <v>99</v>
      </c>
      <c r="C11067" s="5" t="s">
        <v>1941</v>
      </c>
      <c r="D11067" s="5" t="s">
        <v>14</v>
      </c>
      <c r="E11067" s="5" t="s">
        <v>16</v>
      </c>
      <c r="F11067" s="5" t="s">
        <v>19</v>
      </c>
      <c r="G11067" s="5" t="s">
        <v>1049</v>
      </c>
      <c r="H11067" s="5" t="s">
        <v>1050</v>
      </c>
      <c r="I11067" s="5" t="s">
        <v>31</v>
      </c>
      <c r="J11067" s="5">
        <v>17.28065771</v>
      </c>
      <c r="K11067" s="5">
        <v>-97.374214170000002</v>
      </c>
      <c r="L11067" s="5" t="str">
        <f>HYPERLINK("https://maps.google.com/?q=17.28065771,-97.374214170000002", "🔗 Ver Mapa")</f>
        <v>🔗 Ver Mapa</v>
      </c>
    </row>
    <row r="11068" spans="1:12" ht="43.5" x14ac:dyDescent="0.35">
      <c r="A11068" s="6" t="s">
        <v>98</v>
      </c>
      <c r="B11068" s="6" t="s">
        <v>99</v>
      </c>
      <c r="C11068" s="6" t="s">
        <v>1941</v>
      </c>
      <c r="D11068" s="6" t="s">
        <v>14</v>
      </c>
      <c r="E11068" s="6" t="s">
        <v>16</v>
      </c>
      <c r="F11068" s="6" t="s">
        <v>19</v>
      </c>
      <c r="G11068" s="6" t="s">
        <v>1049</v>
      </c>
      <c r="H11068" s="6" t="s">
        <v>1050</v>
      </c>
      <c r="I11068" s="6" t="s">
        <v>31</v>
      </c>
      <c r="J11068" s="6">
        <v>17.281916933274999</v>
      </c>
      <c r="K11068" s="6">
        <v>-97.365216419941007</v>
      </c>
      <c r="L11068" s="6" t="str">
        <f>HYPERLINK("https://maps.google.com/?q=17.2819169332748,-97.365216419940595", "🔗 Ver Mapa")</f>
        <v>🔗 Ver Mapa</v>
      </c>
    </row>
    <row r="11069" spans="1:12" ht="43.5" x14ac:dyDescent="0.35">
      <c r="A11069" s="5" t="s">
        <v>98</v>
      </c>
      <c r="B11069" s="5" t="s">
        <v>99</v>
      </c>
      <c r="C11069" s="5" t="s">
        <v>1941</v>
      </c>
      <c r="D11069" s="5" t="s">
        <v>14</v>
      </c>
      <c r="E11069" s="5" t="s">
        <v>16</v>
      </c>
      <c r="F11069" s="5" t="s">
        <v>19</v>
      </c>
      <c r="G11069" s="5" t="s">
        <v>1049</v>
      </c>
      <c r="H11069" s="5" t="s">
        <v>1050</v>
      </c>
      <c r="I11069" s="5" t="s">
        <v>31</v>
      </c>
      <c r="J11069" s="5">
        <v>17.282898808845001</v>
      </c>
      <c r="K11069" s="5">
        <v>-97.371064761105004</v>
      </c>
      <c r="L11069" s="5" t="str">
        <f>HYPERLINK("https://maps.google.com/?q=17.2828988088445,-97.371064761104506", "🔗 Ver Mapa")</f>
        <v>🔗 Ver Mapa</v>
      </c>
    </row>
    <row r="11070" spans="1:12" ht="43.5" x14ac:dyDescent="0.35">
      <c r="A11070" s="6" t="s">
        <v>98</v>
      </c>
      <c r="B11070" s="6" t="s">
        <v>99</v>
      </c>
      <c r="C11070" s="6" t="s">
        <v>1941</v>
      </c>
      <c r="D11070" s="6" t="s">
        <v>14</v>
      </c>
      <c r="E11070" s="6" t="s">
        <v>16</v>
      </c>
      <c r="F11070" s="6" t="s">
        <v>19</v>
      </c>
      <c r="G11070" s="6" t="s">
        <v>1049</v>
      </c>
      <c r="H11070" s="6" t="s">
        <v>1050</v>
      </c>
      <c r="I11070" s="6" t="s">
        <v>31</v>
      </c>
      <c r="J11070" s="6">
        <v>17.28559654</v>
      </c>
      <c r="K11070" s="6">
        <v>-97.379890739999993</v>
      </c>
      <c r="L11070" s="6" t="str">
        <f>HYPERLINK("https://maps.google.com/?q=17.28559654,-97.379890739999993", "🔗 Ver Mapa")</f>
        <v>🔗 Ver Mapa</v>
      </c>
    </row>
    <row r="11071" spans="1:12" ht="43.5" x14ac:dyDescent="0.35">
      <c r="A11071" s="5" t="s">
        <v>98</v>
      </c>
      <c r="B11071" s="5" t="s">
        <v>99</v>
      </c>
      <c r="C11071" s="5" t="s">
        <v>1941</v>
      </c>
      <c r="D11071" s="5" t="s">
        <v>14</v>
      </c>
      <c r="E11071" s="5" t="s">
        <v>16</v>
      </c>
      <c r="F11071" s="5" t="s">
        <v>19</v>
      </c>
      <c r="G11071" s="5" t="s">
        <v>1049</v>
      </c>
      <c r="H11071" s="5" t="s">
        <v>1050</v>
      </c>
      <c r="I11071" s="5" t="s">
        <v>31</v>
      </c>
      <c r="J11071" s="5">
        <v>17.285696659999999</v>
      </c>
      <c r="K11071" s="5">
        <v>-97.375163839999999</v>
      </c>
      <c r="L11071" s="5" t="str">
        <f>HYPERLINK("https://maps.google.com/?q=17.28569666,-97.375163839999999", "🔗 Ver Mapa")</f>
        <v>🔗 Ver Mapa</v>
      </c>
    </row>
    <row r="11072" spans="1:12" ht="43.5" x14ac:dyDescent="0.35">
      <c r="A11072" s="6" t="s">
        <v>98</v>
      </c>
      <c r="B11072" s="6" t="s">
        <v>99</v>
      </c>
      <c r="C11072" s="6" t="s">
        <v>1941</v>
      </c>
      <c r="D11072" s="6" t="s">
        <v>14</v>
      </c>
      <c r="E11072" s="6" t="s">
        <v>16</v>
      </c>
      <c r="F11072" s="6" t="s">
        <v>19</v>
      </c>
      <c r="G11072" s="6" t="s">
        <v>1049</v>
      </c>
      <c r="H11072" s="6" t="s">
        <v>1050</v>
      </c>
      <c r="I11072" s="6" t="s">
        <v>31</v>
      </c>
      <c r="J11072" s="6">
        <v>17.285791419999999</v>
      </c>
      <c r="K11072" s="6">
        <v>-97.365686929999995</v>
      </c>
      <c r="L11072" s="6" t="str">
        <f>HYPERLINK("https://maps.google.com/?q=17.28579142,-97.365686929999995", "🔗 Ver Mapa")</f>
        <v>🔗 Ver Mapa</v>
      </c>
    </row>
    <row r="11073" spans="1:12" ht="43.5" x14ac:dyDescent="0.35">
      <c r="A11073" s="5" t="s">
        <v>98</v>
      </c>
      <c r="B11073" s="5" t="s">
        <v>99</v>
      </c>
      <c r="C11073" s="5" t="s">
        <v>1941</v>
      </c>
      <c r="D11073" s="5" t="s">
        <v>14</v>
      </c>
      <c r="E11073" s="5" t="s">
        <v>16</v>
      </c>
      <c r="F11073" s="5" t="s">
        <v>19</v>
      </c>
      <c r="G11073" s="5" t="s">
        <v>1049</v>
      </c>
      <c r="H11073" s="5" t="s">
        <v>1050</v>
      </c>
      <c r="I11073" s="5" t="s">
        <v>31</v>
      </c>
      <c r="J11073" s="5">
        <v>17.28728637</v>
      </c>
      <c r="K11073" s="5">
        <v>-97.363627190000003</v>
      </c>
      <c r="L11073" s="5" t="str">
        <f>HYPERLINK("https://maps.google.com/?q=17.28728637,-97.363627190000003", "🔗 Ver Mapa")</f>
        <v>🔗 Ver Mapa</v>
      </c>
    </row>
    <row r="11074" spans="1:12" ht="43.5" x14ac:dyDescent="0.35">
      <c r="A11074" s="6" t="s">
        <v>98</v>
      </c>
      <c r="B11074" s="6" t="s">
        <v>99</v>
      </c>
      <c r="C11074" s="6" t="s">
        <v>1941</v>
      </c>
      <c r="D11074" s="6" t="s">
        <v>14</v>
      </c>
      <c r="E11074" s="6" t="s">
        <v>16</v>
      </c>
      <c r="F11074" s="6" t="s">
        <v>19</v>
      </c>
      <c r="G11074" s="6" t="s">
        <v>1049</v>
      </c>
      <c r="H11074" s="6" t="s">
        <v>1050</v>
      </c>
      <c r="I11074" s="6" t="s">
        <v>31</v>
      </c>
      <c r="J11074" s="6">
        <v>17.28732321</v>
      </c>
      <c r="K11074" s="6">
        <v>-97.366342849999995</v>
      </c>
      <c r="L11074" s="6" t="str">
        <f>HYPERLINK("https://maps.google.com/?q=17.28732321,-97.366342849999995", "🔗 Ver Mapa")</f>
        <v>🔗 Ver Mapa</v>
      </c>
    </row>
    <row r="11075" spans="1:12" ht="43.5" x14ac:dyDescent="0.35">
      <c r="A11075" s="5" t="s">
        <v>98</v>
      </c>
      <c r="B11075" s="5" t="s">
        <v>99</v>
      </c>
      <c r="C11075" s="5" t="s">
        <v>1941</v>
      </c>
      <c r="D11075" s="5" t="s">
        <v>14</v>
      </c>
      <c r="E11075" s="5" t="s">
        <v>16</v>
      </c>
      <c r="F11075" s="5" t="s">
        <v>19</v>
      </c>
      <c r="G11075" s="5" t="s">
        <v>1049</v>
      </c>
      <c r="H11075" s="5" t="s">
        <v>1050</v>
      </c>
      <c r="I11075" s="5" t="s">
        <v>31</v>
      </c>
      <c r="J11075" s="5">
        <v>17.287671459999999</v>
      </c>
      <c r="K11075" s="5">
        <v>-97.373841740000003</v>
      </c>
      <c r="L11075" s="5" t="str">
        <f>HYPERLINK("https://maps.google.com/?q=17.28767146,-97.373841740000003", "🔗 Ver Mapa")</f>
        <v>🔗 Ver Mapa</v>
      </c>
    </row>
    <row r="11076" spans="1:12" ht="43.5" x14ac:dyDescent="0.35">
      <c r="A11076" s="6" t="s">
        <v>98</v>
      </c>
      <c r="B11076" s="6" t="s">
        <v>99</v>
      </c>
      <c r="C11076" s="6" t="s">
        <v>1941</v>
      </c>
      <c r="D11076" s="6" t="s">
        <v>14</v>
      </c>
      <c r="E11076" s="6" t="s">
        <v>16</v>
      </c>
      <c r="F11076" s="6" t="s">
        <v>19</v>
      </c>
      <c r="G11076" s="6" t="s">
        <v>1049</v>
      </c>
      <c r="H11076" s="6" t="s">
        <v>1050</v>
      </c>
      <c r="I11076" s="6" t="s">
        <v>31</v>
      </c>
      <c r="J11076" s="6">
        <v>17.287999601900001</v>
      </c>
      <c r="K11076" s="6">
        <v>-97.381498191095005</v>
      </c>
      <c r="L11076" s="6" t="str">
        <f>HYPERLINK("https://maps.google.com/?q=17.2879996019004,-97.381498191094593", "🔗 Ver Mapa")</f>
        <v>🔗 Ver Mapa</v>
      </c>
    </row>
    <row r="11077" spans="1:12" ht="43.5" x14ac:dyDescent="0.35">
      <c r="A11077" s="5" t="s">
        <v>98</v>
      </c>
      <c r="B11077" s="5" t="s">
        <v>99</v>
      </c>
      <c r="C11077" s="5" t="s">
        <v>1941</v>
      </c>
      <c r="D11077" s="5" t="s">
        <v>14</v>
      </c>
      <c r="E11077" s="5" t="s">
        <v>16</v>
      </c>
      <c r="F11077" s="5" t="s">
        <v>19</v>
      </c>
      <c r="G11077" s="5" t="s">
        <v>1049</v>
      </c>
      <c r="H11077" s="5" t="s">
        <v>1050</v>
      </c>
      <c r="I11077" s="5" t="s">
        <v>31</v>
      </c>
      <c r="J11077" s="5">
        <v>17.28831722</v>
      </c>
      <c r="K11077" s="5">
        <v>-97.376320879999994</v>
      </c>
      <c r="L11077" s="5" t="str">
        <f>HYPERLINK("https://maps.google.com/?q=17.28831722,-97.376320879999994", "🔗 Ver Mapa")</f>
        <v>🔗 Ver Mapa</v>
      </c>
    </row>
    <row r="11078" spans="1:12" ht="43.5" x14ac:dyDescent="0.35">
      <c r="A11078" s="6" t="s">
        <v>98</v>
      </c>
      <c r="B11078" s="6" t="s">
        <v>99</v>
      </c>
      <c r="C11078" s="6" t="s">
        <v>1941</v>
      </c>
      <c r="D11078" s="6" t="s">
        <v>14</v>
      </c>
      <c r="E11078" s="6" t="s">
        <v>16</v>
      </c>
      <c r="F11078" s="6" t="s">
        <v>19</v>
      </c>
      <c r="G11078" s="6" t="s">
        <v>1049</v>
      </c>
      <c r="H11078" s="6" t="s">
        <v>1050</v>
      </c>
      <c r="I11078" s="6" t="s">
        <v>31</v>
      </c>
      <c r="J11078" s="6">
        <v>17.289278926622998</v>
      </c>
      <c r="K11078" s="6">
        <v>-97.381602507018002</v>
      </c>
      <c r="L11078" s="6" t="str">
        <f>HYPERLINK("https://maps.google.com/?q=17.289278926623,-97.381602507018101", "🔗 Ver Mapa")</f>
        <v>🔗 Ver Mapa</v>
      </c>
    </row>
    <row r="11079" spans="1:12" ht="43.5" x14ac:dyDescent="0.35">
      <c r="A11079" s="5" t="s">
        <v>98</v>
      </c>
      <c r="B11079" s="5" t="s">
        <v>99</v>
      </c>
      <c r="C11079" s="5" t="s">
        <v>1941</v>
      </c>
      <c r="D11079" s="5" t="s">
        <v>14</v>
      </c>
      <c r="E11079" s="5" t="s">
        <v>16</v>
      </c>
      <c r="F11079" s="5" t="s">
        <v>19</v>
      </c>
      <c r="G11079" s="5" t="s">
        <v>1049</v>
      </c>
      <c r="H11079" s="5" t="s">
        <v>1050</v>
      </c>
      <c r="I11079" s="5" t="s">
        <v>31</v>
      </c>
      <c r="J11079" s="5">
        <v>17.289437195611999</v>
      </c>
      <c r="K11079" s="5">
        <v>-97.370511507239002</v>
      </c>
      <c r="L11079" s="5" t="str">
        <f>HYPERLINK("https://maps.google.com/?q=17.289437195612,-97.370511507238703", "🔗 Ver Mapa")</f>
        <v>🔗 Ver Mapa</v>
      </c>
    </row>
    <row r="11080" spans="1:12" ht="43.5" x14ac:dyDescent="0.35">
      <c r="A11080" s="6" t="s">
        <v>98</v>
      </c>
      <c r="B11080" s="6" t="s">
        <v>99</v>
      </c>
      <c r="C11080" s="6" t="s">
        <v>1941</v>
      </c>
      <c r="D11080" s="6" t="s">
        <v>14</v>
      </c>
      <c r="E11080" s="6" t="s">
        <v>16</v>
      </c>
      <c r="F11080" s="6" t="s">
        <v>19</v>
      </c>
      <c r="G11080" s="6" t="s">
        <v>1049</v>
      </c>
      <c r="H11080" s="6" t="s">
        <v>1050</v>
      </c>
      <c r="I11080" s="6" t="s">
        <v>31</v>
      </c>
      <c r="J11080" s="6">
        <v>17.289506977508001</v>
      </c>
      <c r="K11080" s="6">
        <v>-97.370699929164999</v>
      </c>
      <c r="L11080" s="6" t="str">
        <f>HYPERLINK("https://maps.google.com/?q=17.2895069775082,-97.370699929165198", "🔗 Ver Mapa")</f>
        <v>🔗 Ver Mapa</v>
      </c>
    </row>
    <row r="11081" spans="1:12" ht="43.5" x14ac:dyDescent="0.35">
      <c r="A11081" s="5" t="s">
        <v>98</v>
      </c>
      <c r="B11081" s="5" t="s">
        <v>99</v>
      </c>
      <c r="C11081" s="5" t="s">
        <v>1941</v>
      </c>
      <c r="D11081" s="5" t="s">
        <v>14</v>
      </c>
      <c r="E11081" s="5" t="s">
        <v>16</v>
      </c>
      <c r="F11081" s="5" t="s">
        <v>19</v>
      </c>
      <c r="G11081" s="5" t="s">
        <v>1049</v>
      </c>
      <c r="H11081" s="5" t="s">
        <v>1050</v>
      </c>
      <c r="I11081" s="5" t="s">
        <v>31</v>
      </c>
      <c r="J11081" s="5">
        <v>17.289509653157999</v>
      </c>
      <c r="K11081" s="5">
        <v>-97.370152930583998</v>
      </c>
      <c r="L11081" s="5" t="str">
        <f>HYPERLINK("https://maps.google.com/?q=17.2895096531576,-97.370152930584297", "🔗 Ver Mapa")</f>
        <v>🔗 Ver Mapa</v>
      </c>
    </row>
    <row r="11082" spans="1:12" ht="43.5" x14ac:dyDescent="0.35">
      <c r="A11082" s="6" t="s">
        <v>98</v>
      </c>
      <c r="B11082" s="6" t="s">
        <v>99</v>
      </c>
      <c r="C11082" s="6" t="s">
        <v>1941</v>
      </c>
      <c r="D11082" s="6" t="s">
        <v>14</v>
      </c>
      <c r="E11082" s="6" t="s">
        <v>16</v>
      </c>
      <c r="F11082" s="6" t="s">
        <v>19</v>
      </c>
      <c r="G11082" s="6" t="s">
        <v>1049</v>
      </c>
      <c r="H11082" s="6" t="s">
        <v>1050</v>
      </c>
      <c r="I11082" s="6" t="s">
        <v>31</v>
      </c>
      <c r="J11082" s="6">
        <v>17.28961967</v>
      </c>
      <c r="K11082" s="6">
        <v>-97.374245790000003</v>
      </c>
      <c r="L11082" s="6" t="str">
        <f>HYPERLINK("https://maps.google.com/?q=17.28961967,-97.374245790000003", "🔗 Ver Mapa")</f>
        <v>🔗 Ver Mapa</v>
      </c>
    </row>
    <row r="11083" spans="1:12" ht="43.5" x14ac:dyDescent="0.35">
      <c r="A11083" s="5" t="s">
        <v>98</v>
      </c>
      <c r="B11083" s="5" t="s">
        <v>99</v>
      </c>
      <c r="C11083" s="5" t="s">
        <v>1941</v>
      </c>
      <c r="D11083" s="5" t="s">
        <v>14</v>
      </c>
      <c r="E11083" s="5" t="s">
        <v>16</v>
      </c>
      <c r="F11083" s="5" t="s">
        <v>19</v>
      </c>
      <c r="G11083" s="5" t="s">
        <v>1049</v>
      </c>
      <c r="H11083" s="5" t="s">
        <v>1050</v>
      </c>
      <c r="I11083" s="5" t="s">
        <v>31</v>
      </c>
      <c r="J11083" s="5">
        <v>17.290349630000001</v>
      </c>
      <c r="K11083" s="5">
        <v>-97.370378740000007</v>
      </c>
      <c r="L11083" s="5" t="str">
        <f>HYPERLINK("https://maps.google.com/?q=17.29034963,-97.370378740000007", "🔗 Ver Mapa")</f>
        <v>🔗 Ver Mapa</v>
      </c>
    </row>
    <row r="11084" spans="1:12" ht="43.5" x14ac:dyDescent="0.35">
      <c r="A11084" s="6" t="s">
        <v>98</v>
      </c>
      <c r="B11084" s="6" t="s">
        <v>99</v>
      </c>
      <c r="C11084" s="6" t="s">
        <v>1941</v>
      </c>
      <c r="D11084" s="6" t="s">
        <v>14</v>
      </c>
      <c r="E11084" s="6" t="s">
        <v>16</v>
      </c>
      <c r="F11084" s="6" t="s">
        <v>19</v>
      </c>
      <c r="G11084" s="6" t="s">
        <v>1049</v>
      </c>
      <c r="H11084" s="6" t="s">
        <v>1050</v>
      </c>
      <c r="I11084" s="6" t="s">
        <v>31</v>
      </c>
      <c r="J11084" s="6">
        <v>17.290452169999998</v>
      </c>
      <c r="K11084" s="6">
        <v>-97.383127979999998</v>
      </c>
      <c r="L11084" s="6" t="str">
        <f>HYPERLINK("https://maps.google.com/?q=17.29045217,-97.383127979999998", "🔗 Ver Mapa")</f>
        <v>🔗 Ver Mapa</v>
      </c>
    </row>
    <row r="11085" spans="1:12" ht="43.5" x14ac:dyDescent="0.35">
      <c r="A11085" s="5" t="s">
        <v>98</v>
      </c>
      <c r="B11085" s="5" t="s">
        <v>99</v>
      </c>
      <c r="C11085" s="5" t="s">
        <v>1941</v>
      </c>
      <c r="D11085" s="5" t="s">
        <v>14</v>
      </c>
      <c r="E11085" s="5" t="s">
        <v>16</v>
      </c>
      <c r="F11085" s="5" t="s">
        <v>19</v>
      </c>
      <c r="G11085" s="5" t="s">
        <v>1049</v>
      </c>
      <c r="H11085" s="5" t="s">
        <v>1050</v>
      </c>
      <c r="I11085" s="5" t="s">
        <v>31</v>
      </c>
      <c r="J11085" s="5">
        <v>17.290737510284998</v>
      </c>
      <c r="K11085" s="5">
        <v>-97.382224026014001</v>
      </c>
      <c r="L11085" s="5" t="str">
        <f>HYPERLINK("https://maps.google.com/?q=17.2907375102855,-97.382224026014399", "🔗 Ver Mapa")</f>
        <v>🔗 Ver Mapa</v>
      </c>
    </row>
    <row r="11086" spans="1:12" ht="58" x14ac:dyDescent="0.35">
      <c r="A11086" s="6" t="s">
        <v>288</v>
      </c>
      <c r="B11086" s="6" t="s">
        <v>289</v>
      </c>
      <c r="C11086" s="6" t="s">
        <v>1942</v>
      </c>
      <c r="D11086" s="6" t="s">
        <v>745</v>
      </c>
      <c r="E11086" s="6" t="s">
        <v>90</v>
      </c>
      <c r="F11086" s="6" t="s">
        <v>678</v>
      </c>
      <c r="G11086" s="6" t="s">
        <v>1040</v>
      </c>
      <c r="H11086" s="6" t="s">
        <v>1041</v>
      </c>
      <c r="I11086" s="6" t="s">
        <v>31</v>
      </c>
      <c r="J11086" s="6">
        <v>17.253518</v>
      </c>
      <c r="K11086" s="6">
        <v>-96.156953999999999</v>
      </c>
      <c r="L11086" s="6" t="str">
        <f>HYPERLINK("https://maps.google.com/?q=17.253518,-96.156954", "🔗 Ver Mapa")</f>
        <v>🔗 Ver Mapa</v>
      </c>
    </row>
    <row r="11087" spans="1:12" ht="58" x14ac:dyDescent="0.35">
      <c r="A11087" s="5" t="s">
        <v>288</v>
      </c>
      <c r="B11087" s="5" t="s">
        <v>289</v>
      </c>
      <c r="C11087" s="5" t="s">
        <v>1942</v>
      </c>
      <c r="D11087" s="5" t="s">
        <v>745</v>
      </c>
      <c r="E11087" s="5" t="s">
        <v>90</v>
      </c>
      <c r="F11087" s="5" t="s">
        <v>678</v>
      </c>
      <c r="G11087" s="5" t="s">
        <v>1040</v>
      </c>
      <c r="H11087" s="5" t="s">
        <v>1041</v>
      </c>
      <c r="I11087" s="5" t="s">
        <v>31</v>
      </c>
      <c r="J11087" s="5">
        <v>17.253616000000001</v>
      </c>
      <c r="K11087" s="5">
        <v>-96.156689999999998</v>
      </c>
      <c r="L11087" s="5" t="str">
        <f>HYPERLINK("https://maps.google.com/?q=17.253616,-96.15669", "🔗 Ver Mapa")</f>
        <v>🔗 Ver Mapa</v>
      </c>
    </row>
    <row r="11088" spans="1:12" ht="58" x14ac:dyDescent="0.35">
      <c r="A11088" s="6" t="s">
        <v>288</v>
      </c>
      <c r="B11088" s="6" t="s">
        <v>289</v>
      </c>
      <c r="C11088" s="6" t="s">
        <v>1942</v>
      </c>
      <c r="D11088" s="6" t="s">
        <v>745</v>
      </c>
      <c r="E11088" s="6" t="s">
        <v>90</v>
      </c>
      <c r="F11088" s="6" t="s">
        <v>678</v>
      </c>
      <c r="G11088" s="6" t="s">
        <v>1040</v>
      </c>
      <c r="H11088" s="6" t="s">
        <v>1041</v>
      </c>
      <c r="I11088" s="6" t="s">
        <v>31</v>
      </c>
      <c r="J11088" s="6">
        <v>17.253703000000002</v>
      </c>
      <c r="K11088" s="6">
        <v>-96.156492</v>
      </c>
      <c r="L11088" s="6" t="str">
        <f>HYPERLINK("https://maps.google.com/?q=17.253703,-96.156492", "🔗 Ver Mapa")</f>
        <v>🔗 Ver Mapa</v>
      </c>
    </row>
    <row r="11089" spans="1:12" ht="58" x14ac:dyDescent="0.35">
      <c r="A11089" s="5" t="s">
        <v>288</v>
      </c>
      <c r="B11089" s="5" t="s">
        <v>289</v>
      </c>
      <c r="C11089" s="5" t="s">
        <v>1942</v>
      </c>
      <c r="D11089" s="5" t="s">
        <v>745</v>
      </c>
      <c r="E11089" s="5" t="s">
        <v>90</v>
      </c>
      <c r="F11089" s="5" t="s">
        <v>678</v>
      </c>
      <c r="G11089" s="5" t="s">
        <v>1040</v>
      </c>
      <c r="H11089" s="5" t="s">
        <v>1041</v>
      </c>
      <c r="I11089" s="5" t="s">
        <v>31</v>
      </c>
      <c r="J11089" s="5">
        <v>17.253872000000001</v>
      </c>
      <c r="K11089" s="5">
        <v>-96.156283000000002</v>
      </c>
      <c r="L11089" s="5" t="str">
        <f>HYPERLINK("https://maps.google.com/?q=17.253872,-96.156283", "🔗 Ver Mapa")</f>
        <v>🔗 Ver Mapa</v>
      </c>
    </row>
    <row r="11090" spans="1:12" ht="58" x14ac:dyDescent="0.35">
      <c r="A11090" s="6" t="s">
        <v>288</v>
      </c>
      <c r="B11090" s="6" t="s">
        <v>289</v>
      </c>
      <c r="C11090" s="6" t="s">
        <v>1942</v>
      </c>
      <c r="D11090" s="6" t="s">
        <v>745</v>
      </c>
      <c r="E11090" s="6" t="s">
        <v>90</v>
      </c>
      <c r="F11090" s="6" t="s">
        <v>678</v>
      </c>
      <c r="G11090" s="6" t="s">
        <v>1040</v>
      </c>
      <c r="H11090" s="6" t="s">
        <v>1041</v>
      </c>
      <c r="I11090" s="6" t="s">
        <v>31</v>
      </c>
      <c r="J11090" s="6">
        <v>17.254200999999998</v>
      </c>
      <c r="K11090" s="6">
        <v>-96.155911000000003</v>
      </c>
      <c r="L11090" s="6" t="str">
        <f>HYPERLINK("https://maps.google.com/?q=17.254201,-96.155911", "🔗 Ver Mapa")</f>
        <v>🔗 Ver Mapa</v>
      </c>
    </row>
    <row r="11091" spans="1:12" ht="58" x14ac:dyDescent="0.35">
      <c r="A11091" s="5" t="s">
        <v>288</v>
      </c>
      <c r="B11091" s="5" t="s">
        <v>289</v>
      </c>
      <c r="C11091" s="5" t="s">
        <v>1942</v>
      </c>
      <c r="D11091" s="5" t="s">
        <v>745</v>
      </c>
      <c r="E11091" s="5" t="s">
        <v>90</v>
      </c>
      <c r="F11091" s="5" t="s">
        <v>678</v>
      </c>
      <c r="G11091" s="5" t="s">
        <v>1040</v>
      </c>
      <c r="H11091" s="5" t="s">
        <v>1041</v>
      </c>
      <c r="I11091" s="5" t="s">
        <v>31</v>
      </c>
      <c r="J11091" s="5">
        <v>17.254342000000001</v>
      </c>
      <c r="K11091" s="5">
        <v>-96.155730000000005</v>
      </c>
      <c r="L11091" s="5" t="str">
        <f>HYPERLINK("https://maps.google.com/?q=17.254342,-96.15573", "🔗 Ver Mapa")</f>
        <v>🔗 Ver Mapa</v>
      </c>
    </row>
    <row r="11092" spans="1:12" ht="58" x14ac:dyDescent="0.35">
      <c r="A11092" s="6" t="s">
        <v>288</v>
      </c>
      <c r="B11092" s="6" t="s">
        <v>289</v>
      </c>
      <c r="C11092" s="6" t="s">
        <v>1942</v>
      </c>
      <c r="D11092" s="6" t="s">
        <v>745</v>
      </c>
      <c r="E11092" s="6" t="s">
        <v>90</v>
      </c>
      <c r="F11092" s="6" t="s">
        <v>678</v>
      </c>
      <c r="G11092" s="6" t="s">
        <v>1040</v>
      </c>
      <c r="H11092" s="6" t="s">
        <v>1041</v>
      </c>
      <c r="I11092" s="6" t="s">
        <v>31</v>
      </c>
      <c r="J11092" s="6">
        <v>17.254413</v>
      </c>
      <c r="K11092" s="6">
        <v>-96.155579000000003</v>
      </c>
      <c r="L11092" s="6" t="str">
        <f>HYPERLINK("https://maps.google.com/?q=17.254413,-96.155579", "🔗 Ver Mapa")</f>
        <v>🔗 Ver Mapa</v>
      </c>
    </row>
    <row r="11093" spans="1:12" ht="58" x14ac:dyDescent="0.35">
      <c r="A11093" s="5" t="s">
        <v>288</v>
      </c>
      <c r="B11093" s="5" t="s">
        <v>289</v>
      </c>
      <c r="C11093" s="5" t="s">
        <v>1942</v>
      </c>
      <c r="D11093" s="5" t="s">
        <v>745</v>
      </c>
      <c r="E11093" s="5" t="s">
        <v>90</v>
      </c>
      <c r="F11093" s="5" t="s">
        <v>678</v>
      </c>
      <c r="G11093" s="5" t="s">
        <v>1040</v>
      </c>
      <c r="H11093" s="5" t="s">
        <v>1041</v>
      </c>
      <c r="I11093" s="5" t="s">
        <v>31</v>
      </c>
      <c r="J11093" s="5">
        <v>17.2545</v>
      </c>
      <c r="K11093" s="5">
        <v>-96.150287000000006</v>
      </c>
      <c r="L11093" s="5" t="str">
        <f>HYPERLINK("https://maps.google.com/?q=17.2545,-96.150287", "🔗 Ver Mapa")</f>
        <v>🔗 Ver Mapa</v>
      </c>
    </row>
    <row r="11094" spans="1:12" ht="58" x14ac:dyDescent="0.35">
      <c r="A11094" s="6" t="s">
        <v>288</v>
      </c>
      <c r="B11094" s="6" t="s">
        <v>289</v>
      </c>
      <c r="C11094" s="6" t="s">
        <v>1942</v>
      </c>
      <c r="D11094" s="6" t="s">
        <v>745</v>
      </c>
      <c r="E11094" s="6" t="s">
        <v>90</v>
      </c>
      <c r="F11094" s="6" t="s">
        <v>678</v>
      </c>
      <c r="G11094" s="6" t="s">
        <v>1040</v>
      </c>
      <c r="H11094" s="6" t="s">
        <v>1041</v>
      </c>
      <c r="I11094" s="6" t="s">
        <v>31</v>
      </c>
      <c r="J11094" s="6">
        <v>17.254552</v>
      </c>
      <c r="K11094" s="6">
        <v>-96.150745999999998</v>
      </c>
      <c r="L11094" s="6" t="str">
        <f>HYPERLINK("https://maps.google.com/?q=17.254552,-96.150746", "🔗 Ver Mapa")</f>
        <v>🔗 Ver Mapa</v>
      </c>
    </row>
    <row r="11095" spans="1:12" ht="58" x14ac:dyDescent="0.35">
      <c r="A11095" s="5" t="s">
        <v>288</v>
      </c>
      <c r="B11095" s="5" t="s">
        <v>289</v>
      </c>
      <c r="C11095" s="5" t="s">
        <v>1942</v>
      </c>
      <c r="D11095" s="5" t="s">
        <v>745</v>
      </c>
      <c r="E11095" s="5" t="s">
        <v>90</v>
      </c>
      <c r="F11095" s="5" t="s">
        <v>678</v>
      </c>
      <c r="G11095" s="5" t="s">
        <v>1040</v>
      </c>
      <c r="H11095" s="5" t="s">
        <v>1041</v>
      </c>
      <c r="I11095" s="5" t="s">
        <v>31</v>
      </c>
      <c r="J11095" s="5">
        <v>17.254557999999999</v>
      </c>
      <c r="K11095" s="5">
        <v>-96.149882000000005</v>
      </c>
      <c r="L11095" s="5" t="str">
        <f>HYPERLINK("https://maps.google.com/?q=17.254558,-96.149882", "🔗 Ver Mapa")</f>
        <v>🔗 Ver Mapa</v>
      </c>
    </row>
    <row r="11096" spans="1:12" ht="58" x14ac:dyDescent="0.35">
      <c r="A11096" s="6" t="s">
        <v>288</v>
      </c>
      <c r="B11096" s="6" t="s">
        <v>289</v>
      </c>
      <c r="C11096" s="6" t="s">
        <v>1942</v>
      </c>
      <c r="D11096" s="6" t="s">
        <v>745</v>
      </c>
      <c r="E11096" s="6" t="s">
        <v>90</v>
      </c>
      <c r="F11096" s="6" t="s">
        <v>678</v>
      </c>
      <c r="G11096" s="6" t="s">
        <v>1040</v>
      </c>
      <c r="H11096" s="6" t="s">
        <v>1041</v>
      </c>
      <c r="I11096" s="6" t="s">
        <v>31</v>
      </c>
      <c r="J11096" s="6">
        <v>17.254570000000001</v>
      </c>
      <c r="K11096" s="6">
        <v>-96.155209999999997</v>
      </c>
      <c r="L11096" s="6" t="str">
        <f>HYPERLINK("https://maps.google.com/?q=17.25457,-96.15521", "🔗 Ver Mapa")</f>
        <v>🔗 Ver Mapa</v>
      </c>
    </row>
    <row r="11097" spans="1:12" ht="58" x14ac:dyDescent="0.35">
      <c r="A11097" s="5" t="s">
        <v>288</v>
      </c>
      <c r="B11097" s="5" t="s">
        <v>289</v>
      </c>
      <c r="C11097" s="5" t="s">
        <v>1942</v>
      </c>
      <c r="D11097" s="5" t="s">
        <v>745</v>
      </c>
      <c r="E11097" s="5" t="s">
        <v>90</v>
      </c>
      <c r="F11097" s="5" t="s">
        <v>678</v>
      </c>
      <c r="G11097" s="5" t="s">
        <v>1040</v>
      </c>
      <c r="H11097" s="5" t="s">
        <v>1041</v>
      </c>
      <c r="I11097" s="5" t="s">
        <v>31</v>
      </c>
      <c r="J11097" s="5">
        <v>17.254619000000002</v>
      </c>
      <c r="K11097" s="5">
        <v>-96.151026999999999</v>
      </c>
      <c r="L11097" s="5" t="str">
        <f>HYPERLINK("https://maps.google.com/?q=17.254619,-96.151027", "🔗 Ver Mapa")</f>
        <v>🔗 Ver Mapa</v>
      </c>
    </row>
    <row r="11098" spans="1:12" ht="58" x14ac:dyDescent="0.35">
      <c r="A11098" s="6" t="s">
        <v>288</v>
      </c>
      <c r="B11098" s="6" t="s">
        <v>289</v>
      </c>
      <c r="C11098" s="6" t="s">
        <v>1942</v>
      </c>
      <c r="D11098" s="6" t="s">
        <v>745</v>
      </c>
      <c r="E11098" s="6" t="s">
        <v>90</v>
      </c>
      <c r="F11098" s="6" t="s">
        <v>678</v>
      </c>
      <c r="G11098" s="6" t="s">
        <v>1040</v>
      </c>
      <c r="H11098" s="6" t="s">
        <v>1041</v>
      </c>
      <c r="I11098" s="6" t="s">
        <v>31</v>
      </c>
      <c r="J11098" s="6">
        <v>17.254715999999998</v>
      </c>
      <c r="K11098" s="6">
        <v>-96.151486000000006</v>
      </c>
      <c r="L11098" s="6" t="str">
        <f>HYPERLINK("https://maps.google.com/?q=17.254716,-96.151486", "🔗 Ver Mapa")</f>
        <v>🔗 Ver Mapa</v>
      </c>
    </row>
    <row r="11099" spans="1:12" ht="58" x14ac:dyDescent="0.35">
      <c r="A11099" s="5" t="s">
        <v>288</v>
      </c>
      <c r="B11099" s="5" t="s">
        <v>289</v>
      </c>
      <c r="C11099" s="5" t="s">
        <v>1942</v>
      </c>
      <c r="D11099" s="5" t="s">
        <v>745</v>
      </c>
      <c r="E11099" s="5" t="s">
        <v>90</v>
      </c>
      <c r="F11099" s="5" t="s">
        <v>678</v>
      </c>
      <c r="G11099" s="5" t="s">
        <v>1040</v>
      </c>
      <c r="H11099" s="5" t="s">
        <v>1041</v>
      </c>
      <c r="I11099" s="5" t="s">
        <v>31</v>
      </c>
      <c r="J11099" s="5">
        <v>17.254745</v>
      </c>
      <c r="K11099" s="5">
        <v>-96.154831000000001</v>
      </c>
      <c r="L11099" s="5" t="str">
        <f>HYPERLINK("https://maps.google.com/?q=17.254745,-96.154831", "🔗 Ver Mapa")</f>
        <v>🔗 Ver Mapa</v>
      </c>
    </row>
    <row r="11100" spans="1:12" ht="58" x14ac:dyDescent="0.35">
      <c r="A11100" s="6" t="s">
        <v>288</v>
      </c>
      <c r="B11100" s="6" t="s">
        <v>289</v>
      </c>
      <c r="C11100" s="6" t="s">
        <v>1942</v>
      </c>
      <c r="D11100" s="6" t="s">
        <v>745</v>
      </c>
      <c r="E11100" s="6" t="s">
        <v>90</v>
      </c>
      <c r="F11100" s="6" t="s">
        <v>678</v>
      </c>
      <c r="G11100" s="6" t="s">
        <v>1040</v>
      </c>
      <c r="H11100" s="6" t="s">
        <v>1041</v>
      </c>
      <c r="I11100" s="6" t="s">
        <v>31</v>
      </c>
      <c r="J11100" s="6">
        <v>17.254811</v>
      </c>
      <c r="K11100" s="6">
        <v>-96.152452999999994</v>
      </c>
      <c r="L11100" s="6" t="str">
        <f>HYPERLINK("https://maps.google.com/?q=17.254811,-96.152453", "🔗 Ver Mapa")</f>
        <v>🔗 Ver Mapa</v>
      </c>
    </row>
    <row r="11101" spans="1:12" ht="58" x14ac:dyDescent="0.35">
      <c r="A11101" s="5" t="s">
        <v>288</v>
      </c>
      <c r="B11101" s="5" t="s">
        <v>289</v>
      </c>
      <c r="C11101" s="5" t="s">
        <v>1942</v>
      </c>
      <c r="D11101" s="5" t="s">
        <v>745</v>
      </c>
      <c r="E11101" s="5" t="s">
        <v>90</v>
      </c>
      <c r="F11101" s="5" t="s">
        <v>678</v>
      </c>
      <c r="G11101" s="5" t="s">
        <v>1040</v>
      </c>
      <c r="H11101" s="5" t="s">
        <v>1041</v>
      </c>
      <c r="I11101" s="5" t="s">
        <v>31</v>
      </c>
      <c r="J11101" s="5">
        <v>17.254821</v>
      </c>
      <c r="K11101" s="5">
        <v>-96.151936000000006</v>
      </c>
      <c r="L11101" s="5" t="str">
        <f>HYPERLINK("https://maps.google.com/?q=17.254821,-96.151936", "🔗 Ver Mapa")</f>
        <v>🔗 Ver Mapa</v>
      </c>
    </row>
    <row r="11102" spans="1:12" ht="58" x14ac:dyDescent="0.35">
      <c r="A11102" s="6" t="s">
        <v>288</v>
      </c>
      <c r="B11102" s="6" t="s">
        <v>289</v>
      </c>
      <c r="C11102" s="6" t="s">
        <v>1942</v>
      </c>
      <c r="D11102" s="6" t="s">
        <v>745</v>
      </c>
      <c r="E11102" s="6" t="s">
        <v>90</v>
      </c>
      <c r="F11102" s="6" t="s">
        <v>678</v>
      </c>
      <c r="G11102" s="6" t="s">
        <v>1040</v>
      </c>
      <c r="H11102" s="6" t="s">
        <v>1041</v>
      </c>
      <c r="I11102" s="6" t="s">
        <v>31</v>
      </c>
      <c r="J11102" s="6">
        <v>17.254857000000001</v>
      </c>
      <c r="K11102" s="6">
        <v>-96.154425000000003</v>
      </c>
      <c r="L11102" s="6" t="str">
        <f>HYPERLINK("https://maps.google.com/?q=17.254857,-96.154425", "🔗 Ver Mapa")</f>
        <v>🔗 Ver Mapa</v>
      </c>
    </row>
    <row r="11103" spans="1:12" ht="58" x14ac:dyDescent="0.35">
      <c r="A11103" s="5" t="s">
        <v>288</v>
      </c>
      <c r="B11103" s="5" t="s">
        <v>289</v>
      </c>
      <c r="C11103" s="5" t="s">
        <v>1942</v>
      </c>
      <c r="D11103" s="5" t="s">
        <v>745</v>
      </c>
      <c r="E11103" s="5" t="s">
        <v>90</v>
      </c>
      <c r="F11103" s="5" t="s">
        <v>678</v>
      </c>
      <c r="G11103" s="5" t="s">
        <v>1040</v>
      </c>
      <c r="H11103" s="5" t="s">
        <v>1041</v>
      </c>
      <c r="I11103" s="5" t="s">
        <v>31</v>
      </c>
      <c r="J11103" s="5">
        <v>17.254878000000001</v>
      </c>
      <c r="K11103" s="5">
        <v>-96.152761999999996</v>
      </c>
      <c r="L11103" s="5" t="str">
        <f>HYPERLINK("https://maps.google.com/?q=17.254878,-96.152762", "🔗 Ver Mapa")</f>
        <v>🔗 Ver Mapa</v>
      </c>
    </row>
    <row r="11104" spans="1:12" ht="58" x14ac:dyDescent="0.35">
      <c r="A11104" s="6" t="s">
        <v>288</v>
      </c>
      <c r="B11104" s="6" t="s">
        <v>289</v>
      </c>
      <c r="C11104" s="6" t="s">
        <v>1942</v>
      </c>
      <c r="D11104" s="6" t="s">
        <v>745</v>
      </c>
      <c r="E11104" s="6" t="s">
        <v>90</v>
      </c>
      <c r="F11104" s="6" t="s">
        <v>678</v>
      </c>
      <c r="G11104" s="6" t="s">
        <v>1040</v>
      </c>
      <c r="H11104" s="6" t="s">
        <v>1041</v>
      </c>
      <c r="I11104" s="6" t="s">
        <v>31</v>
      </c>
      <c r="J11104" s="6">
        <v>17.254968000000002</v>
      </c>
      <c r="K11104" s="6">
        <v>-96.153963000000005</v>
      </c>
      <c r="L11104" s="6" t="str">
        <f>HYPERLINK("https://maps.google.com/?q=17.254968,-96.153963", "🔗 Ver Mapa")</f>
        <v>🔗 Ver Mapa</v>
      </c>
    </row>
    <row r="11105" spans="1:12" ht="58" x14ac:dyDescent="0.35">
      <c r="A11105" s="5" t="s">
        <v>288</v>
      </c>
      <c r="B11105" s="5" t="s">
        <v>289</v>
      </c>
      <c r="C11105" s="5" t="s">
        <v>1942</v>
      </c>
      <c r="D11105" s="5" t="s">
        <v>745</v>
      </c>
      <c r="E11105" s="5" t="s">
        <v>90</v>
      </c>
      <c r="F11105" s="5" t="s">
        <v>678</v>
      </c>
      <c r="G11105" s="5" t="s">
        <v>1040</v>
      </c>
      <c r="H11105" s="5" t="s">
        <v>1041</v>
      </c>
      <c r="I11105" s="5" t="s">
        <v>31</v>
      </c>
      <c r="J11105" s="5">
        <v>17.254985262076001</v>
      </c>
      <c r="K11105" s="5">
        <v>-96.153542069940997</v>
      </c>
      <c r="L11105" s="5" t="str">
        <f>HYPERLINK("https://maps.google.com/?q=17.254985262075927,-96.15354206994057", "🔗 Ver Mapa")</f>
        <v>🔗 Ver Mapa</v>
      </c>
    </row>
    <row r="11106" spans="1:12" ht="58" x14ac:dyDescent="0.35">
      <c r="A11106" s="6" t="s">
        <v>288</v>
      </c>
      <c r="B11106" s="6" t="s">
        <v>289</v>
      </c>
      <c r="C11106" s="6" t="s">
        <v>1942</v>
      </c>
      <c r="D11106" s="6" t="s">
        <v>745</v>
      </c>
      <c r="E11106" s="6" t="s">
        <v>90</v>
      </c>
      <c r="F11106" s="6" t="s">
        <v>678</v>
      </c>
      <c r="G11106" s="6" t="s">
        <v>1040</v>
      </c>
      <c r="H11106" s="6" t="s">
        <v>1041</v>
      </c>
      <c r="I11106" s="6" t="s">
        <v>31</v>
      </c>
      <c r="J11106" s="6">
        <v>17.255015104320002</v>
      </c>
      <c r="K11106" s="6">
        <v>-96.153071658895001</v>
      </c>
      <c r="L11106" s="6" t="str">
        <f>HYPERLINK("https://maps.google.com/?q=17.25501510432048,-96.1530716588955", "🔗 Ver Mapa")</f>
        <v>🔗 Ver Mapa</v>
      </c>
    </row>
    <row r="11107" spans="1:12" ht="58" x14ac:dyDescent="0.35">
      <c r="A11107" s="5" t="s">
        <v>288</v>
      </c>
      <c r="B11107" s="5" t="s">
        <v>289</v>
      </c>
      <c r="C11107" s="5" t="s">
        <v>1943</v>
      </c>
      <c r="D11107" s="5" t="s">
        <v>399</v>
      </c>
      <c r="E11107" s="5" t="s">
        <v>90</v>
      </c>
      <c r="F11107" s="5" t="s">
        <v>678</v>
      </c>
      <c r="G11107" s="5" t="s">
        <v>1944</v>
      </c>
      <c r="H11107" s="5" t="s">
        <v>1945</v>
      </c>
      <c r="I11107" s="5" t="s">
        <v>31</v>
      </c>
      <c r="J11107" s="5">
        <v>17.362093999999999</v>
      </c>
      <c r="K11107" s="5">
        <v>-96.245568000000006</v>
      </c>
      <c r="L11107" s="5" t="str">
        <f>HYPERLINK("https://maps.google.com/?q=17.362094,-96.245568", "🔗 Ver Mapa")</f>
        <v>🔗 Ver Mapa</v>
      </c>
    </row>
    <row r="11108" spans="1:12" ht="58" x14ac:dyDescent="0.35">
      <c r="A11108" s="6" t="s">
        <v>288</v>
      </c>
      <c r="B11108" s="6" t="s">
        <v>289</v>
      </c>
      <c r="C11108" s="6" t="s">
        <v>1943</v>
      </c>
      <c r="D11108" s="6" t="s">
        <v>399</v>
      </c>
      <c r="E11108" s="6" t="s">
        <v>90</v>
      </c>
      <c r="F11108" s="6" t="s">
        <v>678</v>
      </c>
      <c r="G11108" s="6" t="s">
        <v>1944</v>
      </c>
      <c r="H11108" s="6" t="s">
        <v>1945</v>
      </c>
      <c r="I11108" s="6" t="s">
        <v>31</v>
      </c>
      <c r="J11108" s="6">
        <v>17.362141000000001</v>
      </c>
      <c r="K11108" s="6">
        <v>-96.245707999999993</v>
      </c>
      <c r="L11108" s="6" t="str">
        <f>HYPERLINK("https://maps.google.com/?q=17.362141,-96.245708", "🔗 Ver Mapa")</f>
        <v>🔗 Ver Mapa</v>
      </c>
    </row>
    <row r="11109" spans="1:12" ht="58" x14ac:dyDescent="0.35">
      <c r="A11109" s="5" t="s">
        <v>288</v>
      </c>
      <c r="B11109" s="5" t="s">
        <v>289</v>
      </c>
      <c r="C11109" s="5" t="s">
        <v>1946</v>
      </c>
      <c r="D11109" s="5" t="s">
        <v>414</v>
      </c>
      <c r="E11109" s="5" t="s">
        <v>39</v>
      </c>
      <c r="F11109" s="5" t="s">
        <v>353</v>
      </c>
      <c r="G11109" s="5" t="s">
        <v>534</v>
      </c>
      <c r="H11109" s="5" t="s">
        <v>1947</v>
      </c>
      <c r="I11109" s="5" t="s">
        <v>31</v>
      </c>
      <c r="J11109" s="5">
        <v>16.034039</v>
      </c>
      <c r="K11109" s="5">
        <v>-96.862213999999994</v>
      </c>
      <c r="L11109" s="5" t="str">
        <f>HYPERLINK("https://maps.google.com/?q=16.034039,-96.862213999999994", "🔗 Ver Mapa")</f>
        <v>🔗 Ver Mapa</v>
      </c>
    </row>
    <row r="11110" spans="1:12" ht="58" x14ac:dyDescent="0.35">
      <c r="A11110" s="6" t="s">
        <v>288</v>
      </c>
      <c r="B11110" s="6" t="s">
        <v>289</v>
      </c>
      <c r="C11110" s="6" t="s">
        <v>1946</v>
      </c>
      <c r="D11110" s="6" t="s">
        <v>414</v>
      </c>
      <c r="E11110" s="6" t="s">
        <v>39</v>
      </c>
      <c r="F11110" s="6" t="s">
        <v>353</v>
      </c>
      <c r="G11110" s="6" t="s">
        <v>534</v>
      </c>
      <c r="H11110" s="6" t="s">
        <v>1947</v>
      </c>
      <c r="I11110" s="6" t="s">
        <v>31</v>
      </c>
      <c r="J11110" s="6">
        <v>16.034607999999999</v>
      </c>
      <c r="K11110" s="6">
        <v>-96.862105999999997</v>
      </c>
      <c r="L11110" s="6" t="str">
        <f>HYPERLINK("https://maps.google.com/?q=16.034608,-96.862105999999997", "🔗 Ver Mapa")</f>
        <v>🔗 Ver Mapa</v>
      </c>
    </row>
    <row r="11111" spans="1:12" ht="58" x14ac:dyDescent="0.35">
      <c r="A11111" s="5" t="s">
        <v>288</v>
      </c>
      <c r="B11111" s="5" t="s">
        <v>289</v>
      </c>
      <c r="C11111" s="5" t="s">
        <v>1946</v>
      </c>
      <c r="D11111" s="5" t="s">
        <v>414</v>
      </c>
      <c r="E11111" s="5" t="s">
        <v>39</v>
      </c>
      <c r="F11111" s="5" t="s">
        <v>353</v>
      </c>
      <c r="G11111" s="5" t="s">
        <v>534</v>
      </c>
      <c r="H11111" s="5" t="s">
        <v>1947</v>
      </c>
      <c r="I11111" s="5" t="s">
        <v>31</v>
      </c>
      <c r="J11111" s="5">
        <v>16.035910999999999</v>
      </c>
      <c r="K11111" s="5">
        <v>-96.861951000000005</v>
      </c>
      <c r="L11111" s="5" t="str">
        <f>HYPERLINK("https://maps.google.com/?q=16.035911,-96.861951000000005", "🔗 Ver Mapa")</f>
        <v>🔗 Ver Mapa</v>
      </c>
    </row>
    <row r="11112" spans="1:12" ht="58" x14ac:dyDescent="0.35">
      <c r="A11112" s="6" t="s">
        <v>288</v>
      </c>
      <c r="B11112" s="6" t="s">
        <v>289</v>
      </c>
      <c r="C11112" s="6" t="s">
        <v>1946</v>
      </c>
      <c r="D11112" s="6" t="s">
        <v>414</v>
      </c>
      <c r="E11112" s="6" t="s">
        <v>39</v>
      </c>
      <c r="F11112" s="6" t="s">
        <v>353</v>
      </c>
      <c r="G11112" s="6" t="s">
        <v>534</v>
      </c>
      <c r="H11112" s="6" t="s">
        <v>1947</v>
      </c>
      <c r="I11112" s="6" t="s">
        <v>31</v>
      </c>
      <c r="J11112" s="6">
        <v>16.036037</v>
      </c>
      <c r="K11112" s="6">
        <v>-96.862381999999997</v>
      </c>
      <c r="L11112" s="6" t="str">
        <f>HYPERLINK("https://maps.google.com/?q=16.036037,-96.862381999999997", "🔗 Ver Mapa")</f>
        <v>🔗 Ver Mapa</v>
      </c>
    </row>
    <row r="11113" spans="1:12" ht="58" x14ac:dyDescent="0.35">
      <c r="A11113" s="5" t="s">
        <v>288</v>
      </c>
      <c r="B11113" s="5" t="s">
        <v>289</v>
      </c>
      <c r="C11113" s="5" t="s">
        <v>1946</v>
      </c>
      <c r="D11113" s="5" t="s">
        <v>414</v>
      </c>
      <c r="E11113" s="5" t="s">
        <v>39</v>
      </c>
      <c r="F11113" s="5" t="s">
        <v>353</v>
      </c>
      <c r="G11113" s="5" t="s">
        <v>534</v>
      </c>
      <c r="H11113" s="5" t="s">
        <v>1947</v>
      </c>
      <c r="I11113" s="5" t="s">
        <v>31</v>
      </c>
      <c r="J11113" s="5">
        <v>16.03622</v>
      </c>
      <c r="K11113" s="5">
        <v>-96.862818000000004</v>
      </c>
      <c r="L11113" s="5" t="str">
        <f>HYPERLINK("https://maps.google.com/?q=16.03622,-96.862818000000004", "🔗 Ver Mapa")</f>
        <v>🔗 Ver Mapa</v>
      </c>
    </row>
    <row r="11114" spans="1:12" ht="43.5" x14ac:dyDescent="0.35">
      <c r="A11114" s="6" t="s">
        <v>288</v>
      </c>
      <c r="B11114" s="6" t="s">
        <v>289</v>
      </c>
      <c r="C11114" s="6" t="s">
        <v>1948</v>
      </c>
      <c r="D11114" s="6" t="s">
        <v>414</v>
      </c>
      <c r="E11114" s="6" t="s">
        <v>39</v>
      </c>
      <c r="F11114" s="6" t="s">
        <v>353</v>
      </c>
      <c r="G11114" s="6" t="s">
        <v>534</v>
      </c>
      <c r="H11114" s="6" t="s">
        <v>1949</v>
      </c>
      <c r="I11114" s="6" t="s">
        <v>31</v>
      </c>
      <c r="J11114" s="6">
        <v>16.045691999999999</v>
      </c>
      <c r="K11114" s="6">
        <v>-96.883392000000001</v>
      </c>
      <c r="L11114" s="6" t="str">
        <f>HYPERLINK("https://maps.google.com/?q=16.045692,-96.883392", "🔗 Ver Mapa")</f>
        <v>🔗 Ver Mapa</v>
      </c>
    </row>
    <row r="11115" spans="1:12" ht="43.5" x14ac:dyDescent="0.35">
      <c r="A11115" s="5" t="s">
        <v>288</v>
      </c>
      <c r="B11115" s="5" t="s">
        <v>289</v>
      </c>
      <c r="C11115" s="5" t="s">
        <v>1948</v>
      </c>
      <c r="D11115" s="5" t="s">
        <v>414</v>
      </c>
      <c r="E11115" s="5" t="s">
        <v>39</v>
      </c>
      <c r="F11115" s="5" t="s">
        <v>353</v>
      </c>
      <c r="G11115" s="5" t="s">
        <v>534</v>
      </c>
      <c r="H11115" s="5" t="s">
        <v>1949</v>
      </c>
      <c r="I11115" s="5" t="s">
        <v>31</v>
      </c>
      <c r="J11115" s="5">
        <v>16.046609</v>
      </c>
      <c r="K11115" s="5">
        <v>-96.883247999999995</v>
      </c>
      <c r="L11115" s="5" t="str">
        <f>HYPERLINK("https://maps.google.com/?q=16.046609,-96.883248", "🔗 Ver Mapa")</f>
        <v>🔗 Ver Mapa</v>
      </c>
    </row>
    <row r="11116" spans="1:12" ht="43.5" x14ac:dyDescent="0.35">
      <c r="A11116" s="6" t="s">
        <v>288</v>
      </c>
      <c r="B11116" s="6" t="s">
        <v>289</v>
      </c>
      <c r="C11116" s="6" t="s">
        <v>1948</v>
      </c>
      <c r="D11116" s="6" t="s">
        <v>414</v>
      </c>
      <c r="E11116" s="6" t="s">
        <v>39</v>
      </c>
      <c r="F11116" s="6" t="s">
        <v>353</v>
      </c>
      <c r="G11116" s="6" t="s">
        <v>534</v>
      </c>
      <c r="H11116" s="6" t="s">
        <v>1949</v>
      </c>
      <c r="I11116" s="6" t="s">
        <v>31</v>
      </c>
      <c r="J11116" s="6">
        <v>16.047668000000002</v>
      </c>
      <c r="K11116" s="6">
        <v>-96.882901000000004</v>
      </c>
      <c r="L11116" s="6" t="str">
        <f>HYPERLINK("https://maps.google.com/?q=16.047668,-96.882901", "🔗 Ver Mapa")</f>
        <v>🔗 Ver Mapa</v>
      </c>
    </row>
    <row r="11117" spans="1:12" ht="43.5" x14ac:dyDescent="0.35">
      <c r="A11117" s="5" t="s">
        <v>288</v>
      </c>
      <c r="B11117" s="5" t="s">
        <v>289</v>
      </c>
      <c r="C11117" s="5" t="s">
        <v>1950</v>
      </c>
      <c r="D11117" s="5" t="s">
        <v>745</v>
      </c>
      <c r="E11117" s="5" t="s">
        <v>52</v>
      </c>
      <c r="F11117" s="5" t="s">
        <v>53</v>
      </c>
      <c r="G11117" s="5" t="s">
        <v>845</v>
      </c>
      <c r="H11117" s="5" t="s">
        <v>846</v>
      </c>
      <c r="I11117" s="5" t="s">
        <v>31</v>
      </c>
      <c r="J11117" s="5">
        <v>0</v>
      </c>
      <c r="K11117" s="5">
        <v>-96.009974999999997</v>
      </c>
      <c r="L11117" s="5" t="str">
        <f>HYPERLINK("https://maps.google.com/?q=0,-96.009974999999997", "🔗 Ver Mapa")</f>
        <v>🔗 Ver Mapa</v>
      </c>
    </row>
    <row r="11118" spans="1:12" ht="43.5" x14ac:dyDescent="0.35">
      <c r="A11118" s="6" t="s">
        <v>288</v>
      </c>
      <c r="B11118" s="6" t="s">
        <v>289</v>
      </c>
      <c r="C11118" s="6" t="s">
        <v>1950</v>
      </c>
      <c r="D11118" s="6" t="s">
        <v>745</v>
      </c>
      <c r="E11118" s="6" t="s">
        <v>52</v>
      </c>
      <c r="F11118" s="6" t="s">
        <v>53</v>
      </c>
      <c r="G11118" s="6" t="s">
        <v>845</v>
      </c>
      <c r="H11118" s="6" t="s">
        <v>846</v>
      </c>
      <c r="I11118" s="6" t="s">
        <v>31</v>
      </c>
      <c r="J11118" s="6">
        <v>16.832708</v>
      </c>
      <c r="K11118" s="6">
        <v>-96.009939000000003</v>
      </c>
      <c r="L11118" s="6" t="str">
        <f>HYPERLINK("https://maps.google.com/?q=16.832708,-96.009939000000003", "🔗 Ver Mapa")</f>
        <v>🔗 Ver Mapa</v>
      </c>
    </row>
    <row r="11119" spans="1:12" ht="43.5" x14ac:dyDescent="0.35">
      <c r="A11119" s="5" t="s">
        <v>288</v>
      </c>
      <c r="B11119" s="5" t="s">
        <v>289</v>
      </c>
      <c r="C11119" s="5" t="s">
        <v>1950</v>
      </c>
      <c r="D11119" s="5" t="s">
        <v>745</v>
      </c>
      <c r="E11119" s="5" t="s">
        <v>52</v>
      </c>
      <c r="F11119" s="5" t="s">
        <v>53</v>
      </c>
      <c r="G11119" s="5" t="s">
        <v>845</v>
      </c>
      <c r="H11119" s="5" t="s">
        <v>846</v>
      </c>
      <c r="I11119" s="5" t="s">
        <v>31</v>
      </c>
      <c r="J11119" s="5">
        <v>16.833289000000001</v>
      </c>
      <c r="K11119" s="5">
        <v>-96.009546</v>
      </c>
      <c r="L11119" s="5" t="str">
        <f>HYPERLINK("https://maps.google.com/?q=16.833289,-96.009546", "🔗 Ver Mapa")</f>
        <v>🔗 Ver Mapa</v>
      </c>
    </row>
    <row r="11120" spans="1:12" ht="43.5" x14ac:dyDescent="0.35">
      <c r="A11120" s="6" t="s">
        <v>288</v>
      </c>
      <c r="B11120" s="6" t="s">
        <v>289</v>
      </c>
      <c r="C11120" s="6" t="s">
        <v>1950</v>
      </c>
      <c r="D11120" s="6" t="s">
        <v>745</v>
      </c>
      <c r="E11120" s="6" t="s">
        <v>52</v>
      </c>
      <c r="F11120" s="6" t="s">
        <v>53</v>
      </c>
      <c r="G11120" s="6" t="s">
        <v>845</v>
      </c>
      <c r="H11120" s="6" t="s">
        <v>846</v>
      </c>
      <c r="I11120" s="6" t="s">
        <v>31</v>
      </c>
      <c r="J11120" s="6">
        <v>16.833290999999999</v>
      </c>
      <c r="K11120" s="6">
        <v>-96.009077000000005</v>
      </c>
      <c r="L11120" s="6" t="str">
        <f>HYPERLINK("https://maps.google.com/?q=16.833291,-96.009077000000005", "🔗 Ver Mapa")</f>
        <v>🔗 Ver Mapa</v>
      </c>
    </row>
    <row r="11121" spans="1:12" ht="43.5" x14ac:dyDescent="0.35">
      <c r="A11121" s="5" t="s">
        <v>288</v>
      </c>
      <c r="B11121" s="5" t="s">
        <v>289</v>
      </c>
      <c r="C11121" s="5" t="s">
        <v>1950</v>
      </c>
      <c r="D11121" s="5" t="s">
        <v>745</v>
      </c>
      <c r="E11121" s="5" t="s">
        <v>52</v>
      </c>
      <c r="F11121" s="5" t="s">
        <v>53</v>
      </c>
      <c r="G11121" s="5" t="s">
        <v>845</v>
      </c>
      <c r="H11121" s="5" t="s">
        <v>846</v>
      </c>
      <c r="I11121" s="5" t="s">
        <v>31</v>
      </c>
      <c r="J11121" s="5">
        <v>16.833320000000001</v>
      </c>
      <c r="K11121" s="5">
        <v>-96.006113999999997</v>
      </c>
      <c r="L11121" s="5" t="str">
        <f>HYPERLINK("https://maps.google.com/?q=16.83332,-96.006113999999997", "🔗 Ver Mapa")</f>
        <v>🔗 Ver Mapa</v>
      </c>
    </row>
    <row r="11122" spans="1:12" ht="43.5" x14ac:dyDescent="0.35">
      <c r="A11122" s="6" t="s">
        <v>288</v>
      </c>
      <c r="B11122" s="6" t="s">
        <v>289</v>
      </c>
      <c r="C11122" s="6" t="s">
        <v>1950</v>
      </c>
      <c r="D11122" s="6" t="s">
        <v>745</v>
      </c>
      <c r="E11122" s="6" t="s">
        <v>52</v>
      </c>
      <c r="F11122" s="6" t="s">
        <v>53</v>
      </c>
      <c r="G11122" s="6" t="s">
        <v>845</v>
      </c>
      <c r="H11122" s="6" t="s">
        <v>846</v>
      </c>
      <c r="I11122" s="6" t="s">
        <v>31</v>
      </c>
      <c r="J11122" s="6">
        <v>16.833722000000002</v>
      </c>
      <c r="K11122" s="6">
        <v>-96.008853999999999</v>
      </c>
      <c r="L11122" s="6" t="str">
        <f>HYPERLINK("https://maps.google.com/?q=16.833722,-96.008853999999999", "🔗 Ver Mapa")</f>
        <v>🔗 Ver Mapa</v>
      </c>
    </row>
    <row r="11123" spans="1:12" ht="43.5" x14ac:dyDescent="0.35">
      <c r="A11123" s="5" t="s">
        <v>288</v>
      </c>
      <c r="B11123" s="5" t="s">
        <v>289</v>
      </c>
      <c r="C11123" s="5" t="s">
        <v>1950</v>
      </c>
      <c r="D11123" s="5" t="s">
        <v>745</v>
      </c>
      <c r="E11123" s="5" t="s">
        <v>52</v>
      </c>
      <c r="F11123" s="5" t="s">
        <v>53</v>
      </c>
      <c r="G11123" s="5" t="s">
        <v>845</v>
      </c>
      <c r="H11123" s="5" t="s">
        <v>846</v>
      </c>
      <c r="I11123" s="5" t="s">
        <v>31</v>
      </c>
      <c r="J11123" s="5">
        <v>16.833732000000001</v>
      </c>
      <c r="K11123" s="5">
        <v>-96.006490999999997</v>
      </c>
      <c r="L11123" s="5" t="str">
        <f>HYPERLINK("https://maps.google.com/?q=16.833732,-96.006490999999997", "🔗 Ver Mapa")</f>
        <v>🔗 Ver Mapa</v>
      </c>
    </row>
    <row r="11124" spans="1:12" ht="43.5" x14ac:dyDescent="0.35">
      <c r="A11124" s="6" t="s">
        <v>288</v>
      </c>
      <c r="B11124" s="6" t="s">
        <v>289</v>
      </c>
      <c r="C11124" s="6" t="s">
        <v>1950</v>
      </c>
      <c r="D11124" s="6" t="s">
        <v>745</v>
      </c>
      <c r="E11124" s="6" t="s">
        <v>52</v>
      </c>
      <c r="F11124" s="6" t="s">
        <v>53</v>
      </c>
      <c r="G11124" s="6" t="s">
        <v>845</v>
      </c>
      <c r="H11124" s="6" t="s">
        <v>846</v>
      </c>
      <c r="I11124" s="6" t="s">
        <v>31</v>
      </c>
      <c r="J11124" s="6">
        <v>16.833976</v>
      </c>
      <c r="K11124" s="6">
        <v>-96.006516000000005</v>
      </c>
      <c r="L11124" s="6" t="str">
        <f>HYPERLINK("https://maps.google.com/?q=16.833976,-96.006516000000005", "🔗 Ver Mapa")</f>
        <v>🔗 Ver Mapa</v>
      </c>
    </row>
    <row r="11125" spans="1:12" ht="43.5" x14ac:dyDescent="0.35">
      <c r="A11125" s="5" t="s">
        <v>288</v>
      </c>
      <c r="B11125" s="5" t="s">
        <v>289</v>
      </c>
      <c r="C11125" s="5" t="s">
        <v>1950</v>
      </c>
      <c r="D11125" s="5" t="s">
        <v>745</v>
      </c>
      <c r="E11125" s="5" t="s">
        <v>52</v>
      </c>
      <c r="F11125" s="5" t="s">
        <v>53</v>
      </c>
      <c r="G11125" s="5" t="s">
        <v>845</v>
      </c>
      <c r="H11125" s="5" t="s">
        <v>846</v>
      </c>
      <c r="I11125" s="5" t="s">
        <v>31</v>
      </c>
      <c r="J11125" s="5">
        <v>16.834074999999999</v>
      </c>
      <c r="K11125" s="5">
        <v>-96.009533000000005</v>
      </c>
      <c r="L11125" s="5" t="str">
        <f>HYPERLINK("https://maps.google.com/?q=16.834075,-96.009533000000005", "🔗 Ver Mapa")</f>
        <v>🔗 Ver Mapa</v>
      </c>
    </row>
    <row r="11126" spans="1:12" ht="43.5" x14ac:dyDescent="0.35">
      <c r="A11126" s="6" t="s">
        <v>288</v>
      </c>
      <c r="B11126" s="6" t="s">
        <v>289</v>
      </c>
      <c r="C11126" s="6" t="s">
        <v>1950</v>
      </c>
      <c r="D11126" s="6" t="s">
        <v>745</v>
      </c>
      <c r="E11126" s="6" t="s">
        <v>52</v>
      </c>
      <c r="F11126" s="6" t="s">
        <v>53</v>
      </c>
      <c r="G11126" s="6" t="s">
        <v>845</v>
      </c>
      <c r="H11126" s="6" t="s">
        <v>846</v>
      </c>
      <c r="I11126" s="6" t="s">
        <v>31</v>
      </c>
      <c r="J11126" s="6">
        <v>16.834142</v>
      </c>
      <c r="K11126" s="6">
        <v>-96.009213000000003</v>
      </c>
      <c r="L11126" s="6" t="str">
        <f>HYPERLINK("https://maps.google.com/?q=16.834142,-96.009213000000003", "🔗 Ver Mapa")</f>
        <v>🔗 Ver Mapa</v>
      </c>
    </row>
    <row r="11127" spans="1:12" ht="43.5" x14ac:dyDescent="0.35">
      <c r="A11127" s="5" t="s">
        <v>288</v>
      </c>
      <c r="B11127" s="5" t="s">
        <v>289</v>
      </c>
      <c r="C11127" s="5" t="s">
        <v>1950</v>
      </c>
      <c r="D11127" s="5" t="s">
        <v>745</v>
      </c>
      <c r="E11127" s="5" t="s">
        <v>52</v>
      </c>
      <c r="F11127" s="5" t="s">
        <v>53</v>
      </c>
      <c r="G11127" s="5" t="s">
        <v>845</v>
      </c>
      <c r="H11127" s="5" t="s">
        <v>846</v>
      </c>
      <c r="I11127" s="5" t="s">
        <v>31</v>
      </c>
      <c r="J11127" s="5">
        <v>16.834226000000001</v>
      </c>
      <c r="K11127" s="5">
        <v>-96.008780999999999</v>
      </c>
      <c r="L11127" s="5" t="str">
        <f>HYPERLINK("https://maps.google.com/?q=16.834226,-96.008780999999999", "🔗 Ver Mapa")</f>
        <v>🔗 Ver Mapa</v>
      </c>
    </row>
    <row r="11128" spans="1:12" ht="43.5" x14ac:dyDescent="0.35">
      <c r="A11128" s="6" t="s">
        <v>288</v>
      </c>
      <c r="B11128" s="6" t="s">
        <v>289</v>
      </c>
      <c r="C11128" s="6" t="s">
        <v>1950</v>
      </c>
      <c r="D11128" s="6" t="s">
        <v>745</v>
      </c>
      <c r="E11128" s="6" t="s">
        <v>52</v>
      </c>
      <c r="F11128" s="6" t="s">
        <v>53</v>
      </c>
      <c r="G11128" s="6" t="s">
        <v>845</v>
      </c>
      <c r="H11128" s="6" t="s">
        <v>846</v>
      </c>
      <c r="I11128" s="6" t="s">
        <v>31</v>
      </c>
      <c r="J11128" s="6">
        <v>16.834240999999999</v>
      </c>
      <c r="K11128" s="6">
        <v>-96.006690000000006</v>
      </c>
      <c r="L11128" s="6" t="str">
        <f>HYPERLINK("https://maps.google.com/?q=16.834241,-96.006690000000006", "🔗 Ver Mapa")</f>
        <v>🔗 Ver Mapa</v>
      </c>
    </row>
    <row r="11129" spans="1:12" ht="43.5" x14ac:dyDescent="0.35">
      <c r="A11129" s="5" t="s">
        <v>288</v>
      </c>
      <c r="B11129" s="5" t="s">
        <v>289</v>
      </c>
      <c r="C11129" s="5" t="s">
        <v>1950</v>
      </c>
      <c r="D11129" s="5" t="s">
        <v>745</v>
      </c>
      <c r="E11129" s="5" t="s">
        <v>52</v>
      </c>
      <c r="F11129" s="5" t="s">
        <v>53</v>
      </c>
      <c r="G11129" s="5" t="s">
        <v>845</v>
      </c>
      <c r="H11129" s="5" t="s">
        <v>846</v>
      </c>
      <c r="I11129" s="5" t="s">
        <v>31</v>
      </c>
      <c r="J11129" s="5">
        <v>16.834434999999999</v>
      </c>
      <c r="K11129" s="5">
        <v>-96.006996000000001</v>
      </c>
      <c r="L11129" s="5" t="str">
        <f>HYPERLINK("https://maps.google.com/?q=16.834435,-96.006996000000001", "🔗 Ver Mapa")</f>
        <v>🔗 Ver Mapa</v>
      </c>
    </row>
    <row r="11130" spans="1:12" ht="43.5" x14ac:dyDescent="0.35">
      <c r="A11130" s="6" t="s">
        <v>288</v>
      </c>
      <c r="B11130" s="6" t="s">
        <v>289</v>
      </c>
      <c r="C11130" s="6" t="s">
        <v>1950</v>
      </c>
      <c r="D11130" s="6" t="s">
        <v>745</v>
      </c>
      <c r="E11130" s="6" t="s">
        <v>52</v>
      </c>
      <c r="F11130" s="6" t="s">
        <v>53</v>
      </c>
      <c r="G11130" s="6" t="s">
        <v>845</v>
      </c>
      <c r="H11130" s="6" t="s">
        <v>846</v>
      </c>
      <c r="I11130" s="6" t="s">
        <v>31</v>
      </c>
      <c r="J11130" s="6">
        <v>16.834617000000001</v>
      </c>
      <c r="K11130" s="6">
        <v>-96.008961999999997</v>
      </c>
      <c r="L11130" s="6" t="str">
        <f>HYPERLINK("https://maps.google.com/?q=16.834617,-96.008961999999997", "🔗 Ver Mapa")</f>
        <v>🔗 Ver Mapa</v>
      </c>
    </row>
    <row r="11131" spans="1:12" ht="43.5" x14ac:dyDescent="0.35">
      <c r="A11131" s="5" t="s">
        <v>288</v>
      </c>
      <c r="B11131" s="5" t="s">
        <v>289</v>
      </c>
      <c r="C11131" s="5" t="s">
        <v>1950</v>
      </c>
      <c r="D11131" s="5" t="s">
        <v>745</v>
      </c>
      <c r="E11131" s="5" t="s">
        <v>52</v>
      </c>
      <c r="F11131" s="5" t="s">
        <v>53</v>
      </c>
      <c r="G11131" s="5" t="s">
        <v>845</v>
      </c>
      <c r="H11131" s="5" t="s">
        <v>846</v>
      </c>
      <c r="I11131" s="5" t="s">
        <v>31</v>
      </c>
      <c r="J11131" s="5">
        <v>16.834717000000001</v>
      </c>
      <c r="K11131" s="5">
        <v>-96.007114000000001</v>
      </c>
      <c r="L11131" s="5" t="str">
        <f>HYPERLINK("https://maps.google.com/?q=16.834717,-96.007114000000001", "🔗 Ver Mapa")</f>
        <v>🔗 Ver Mapa</v>
      </c>
    </row>
    <row r="11132" spans="1:12" ht="43.5" x14ac:dyDescent="0.35">
      <c r="A11132" s="6" t="s">
        <v>288</v>
      </c>
      <c r="B11132" s="6" t="s">
        <v>289</v>
      </c>
      <c r="C11132" s="6" t="s">
        <v>1950</v>
      </c>
      <c r="D11132" s="6" t="s">
        <v>745</v>
      </c>
      <c r="E11132" s="6" t="s">
        <v>52</v>
      </c>
      <c r="F11132" s="6" t="s">
        <v>53</v>
      </c>
      <c r="G11132" s="6" t="s">
        <v>845</v>
      </c>
      <c r="H11132" s="6" t="s">
        <v>846</v>
      </c>
      <c r="I11132" s="6" t="s">
        <v>31</v>
      </c>
      <c r="J11132" s="6">
        <v>16.834783000000002</v>
      </c>
      <c r="K11132" s="6">
        <v>-96.008574999999993</v>
      </c>
      <c r="L11132" s="6" t="str">
        <f>HYPERLINK("https://maps.google.com/?q=16.834783,-96.008574999999993", "🔗 Ver Mapa")</f>
        <v>🔗 Ver Mapa</v>
      </c>
    </row>
    <row r="11133" spans="1:12" ht="43.5" x14ac:dyDescent="0.35">
      <c r="A11133" s="5" t="s">
        <v>288</v>
      </c>
      <c r="B11133" s="5" t="s">
        <v>289</v>
      </c>
      <c r="C11133" s="5" t="s">
        <v>1950</v>
      </c>
      <c r="D11133" s="5" t="s">
        <v>745</v>
      </c>
      <c r="E11133" s="5" t="s">
        <v>52</v>
      </c>
      <c r="F11133" s="5" t="s">
        <v>53</v>
      </c>
      <c r="G11133" s="5" t="s">
        <v>845</v>
      </c>
      <c r="H11133" s="5" t="s">
        <v>846</v>
      </c>
      <c r="I11133" s="5" t="s">
        <v>31</v>
      </c>
      <c r="J11133" s="5">
        <v>16.834811999999999</v>
      </c>
      <c r="K11133" s="5">
        <v>-96.007450000000006</v>
      </c>
      <c r="L11133" s="5" t="str">
        <f>HYPERLINK("https://maps.google.com/?q=16.834812,-96.007450000000006", "🔗 Ver Mapa")</f>
        <v>🔗 Ver Mapa</v>
      </c>
    </row>
    <row r="11134" spans="1:12" ht="43.5" x14ac:dyDescent="0.35">
      <c r="A11134" s="6" t="s">
        <v>288</v>
      </c>
      <c r="B11134" s="6" t="s">
        <v>289</v>
      </c>
      <c r="C11134" s="6" t="s">
        <v>1950</v>
      </c>
      <c r="D11134" s="6" t="s">
        <v>745</v>
      </c>
      <c r="E11134" s="6" t="s">
        <v>52</v>
      </c>
      <c r="F11134" s="6" t="s">
        <v>53</v>
      </c>
      <c r="G11134" s="6" t="s">
        <v>845</v>
      </c>
      <c r="H11134" s="6" t="s">
        <v>846</v>
      </c>
      <c r="I11134" s="6" t="s">
        <v>31</v>
      </c>
      <c r="J11134" s="6">
        <v>16.834924000000001</v>
      </c>
      <c r="K11134" s="6">
        <v>-96.008966999999998</v>
      </c>
      <c r="L11134" s="6" t="str">
        <f>HYPERLINK("https://maps.google.com/?q=16.834924,-96.008966999999998", "🔗 Ver Mapa")</f>
        <v>🔗 Ver Mapa</v>
      </c>
    </row>
    <row r="11135" spans="1:12" ht="43.5" x14ac:dyDescent="0.35">
      <c r="A11135" s="5" t="s">
        <v>288</v>
      </c>
      <c r="B11135" s="5" t="s">
        <v>289</v>
      </c>
      <c r="C11135" s="5" t="s">
        <v>1950</v>
      </c>
      <c r="D11135" s="5" t="s">
        <v>745</v>
      </c>
      <c r="E11135" s="5" t="s">
        <v>52</v>
      </c>
      <c r="F11135" s="5" t="s">
        <v>53</v>
      </c>
      <c r="G11135" s="5" t="s">
        <v>845</v>
      </c>
      <c r="H11135" s="5" t="s">
        <v>846</v>
      </c>
      <c r="I11135" s="5" t="s">
        <v>31</v>
      </c>
      <c r="J11135" s="5">
        <v>16.835031000000001</v>
      </c>
      <c r="K11135" s="5">
        <v>-96.008215000000007</v>
      </c>
      <c r="L11135" s="5" t="str">
        <f>HYPERLINK("https://maps.google.com/?q=16.835031,-96.008215000000007", "🔗 Ver Mapa")</f>
        <v>🔗 Ver Mapa</v>
      </c>
    </row>
    <row r="11136" spans="1:12" ht="43.5" x14ac:dyDescent="0.35">
      <c r="A11136" s="6" t="s">
        <v>288</v>
      </c>
      <c r="B11136" s="6" t="s">
        <v>289</v>
      </c>
      <c r="C11136" s="6" t="s">
        <v>1950</v>
      </c>
      <c r="D11136" s="6" t="s">
        <v>745</v>
      </c>
      <c r="E11136" s="6" t="s">
        <v>52</v>
      </c>
      <c r="F11136" s="6" t="s">
        <v>53</v>
      </c>
      <c r="G11136" s="6" t="s">
        <v>845</v>
      </c>
      <c r="H11136" s="6" t="s">
        <v>846</v>
      </c>
      <c r="I11136" s="6" t="s">
        <v>31</v>
      </c>
      <c r="J11136" s="6">
        <v>16.835076000000001</v>
      </c>
      <c r="K11136" s="6">
        <v>-96.008832999999996</v>
      </c>
      <c r="L11136" s="6" t="str">
        <f>HYPERLINK("https://maps.google.com/?q=16.835076,-96.008832999999996", "🔗 Ver Mapa")</f>
        <v>🔗 Ver Mapa</v>
      </c>
    </row>
    <row r="11137" spans="1:12" ht="43.5" x14ac:dyDescent="0.35">
      <c r="A11137" s="5" t="s">
        <v>288</v>
      </c>
      <c r="B11137" s="5" t="s">
        <v>289</v>
      </c>
      <c r="C11137" s="5" t="s">
        <v>1950</v>
      </c>
      <c r="D11137" s="5" t="s">
        <v>745</v>
      </c>
      <c r="E11137" s="5" t="s">
        <v>52</v>
      </c>
      <c r="F11137" s="5" t="s">
        <v>53</v>
      </c>
      <c r="G11137" s="5" t="s">
        <v>845</v>
      </c>
      <c r="H11137" s="5" t="s">
        <v>846</v>
      </c>
      <c r="I11137" s="5" t="s">
        <v>31</v>
      </c>
      <c r="J11137" s="5">
        <v>16.835087000000001</v>
      </c>
      <c r="K11137" s="5">
        <v>-96.007763999999995</v>
      </c>
      <c r="L11137" s="5" t="str">
        <f>HYPERLINK("https://maps.google.com/?q=16.835087,-96.007763999999995", "🔗 Ver Mapa")</f>
        <v>🔗 Ver Mapa</v>
      </c>
    </row>
    <row r="11138" spans="1:12" ht="43.5" x14ac:dyDescent="0.35">
      <c r="A11138" s="6" t="s">
        <v>288</v>
      </c>
      <c r="B11138" s="6" t="s">
        <v>289</v>
      </c>
      <c r="C11138" s="6" t="s">
        <v>1950</v>
      </c>
      <c r="D11138" s="6" t="s">
        <v>745</v>
      </c>
      <c r="E11138" s="6" t="s">
        <v>52</v>
      </c>
      <c r="F11138" s="6" t="s">
        <v>53</v>
      </c>
      <c r="G11138" s="6" t="s">
        <v>845</v>
      </c>
      <c r="H11138" s="6" t="s">
        <v>846</v>
      </c>
      <c r="I11138" s="6" t="s">
        <v>31</v>
      </c>
      <c r="J11138" s="6">
        <v>16.835227</v>
      </c>
      <c r="K11138" s="6">
        <v>-96.008698999999993</v>
      </c>
      <c r="L11138" s="6" t="str">
        <f>HYPERLINK("https://maps.google.com/?q=16.835227,-96.008698999999993", "🔗 Ver Mapa")</f>
        <v>🔗 Ver Mapa</v>
      </c>
    </row>
    <row r="11139" spans="1:12" ht="43.5" x14ac:dyDescent="0.35">
      <c r="A11139" s="5" t="s">
        <v>288</v>
      </c>
      <c r="B11139" s="5" t="s">
        <v>289</v>
      </c>
      <c r="C11139" s="5" t="s">
        <v>1950</v>
      </c>
      <c r="D11139" s="5" t="s">
        <v>745</v>
      </c>
      <c r="E11139" s="5" t="s">
        <v>52</v>
      </c>
      <c r="F11139" s="5" t="s">
        <v>53</v>
      </c>
      <c r="G11139" s="5" t="s">
        <v>845</v>
      </c>
      <c r="H11139" s="5" t="s">
        <v>846</v>
      </c>
      <c r="I11139" s="5" t="s">
        <v>31</v>
      </c>
      <c r="J11139" s="5">
        <v>16.835538</v>
      </c>
      <c r="K11139" s="5">
        <v>-96.008309999999994</v>
      </c>
      <c r="L11139" s="5" t="str">
        <f>HYPERLINK("https://maps.google.com/?q=16.835538,-96.008309999999994", "🔗 Ver Mapa")</f>
        <v>🔗 Ver Mapa</v>
      </c>
    </row>
    <row r="11140" spans="1:12" ht="43.5" x14ac:dyDescent="0.35">
      <c r="A11140" s="6" t="s">
        <v>288</v>
      </c>
      <c r="B11140" s="6" t="s">
        <v>289</v>
      </c>
      <c r="C11140" s="6" t="s">
        <v>1950</v>
      </c>
      <c r="D11140" s="6" t="s">
        <v>745</v>
      </c>
      <c r="E11140" s="6" t="s">
        <v>52</v>
      </c>
      <c r="F11140" s="6" t="s">
        <v>53</v>
      </c>
      <c r="G11140" s="6" t="s">
        <v>845</v>
      </c>
      <c r="H11140" s="6" t="s">
        <v>846</v>
      </c>
      <c r="I11140" s="6" t="s">
        <v>31</v>
      </c>
      <c r="J11140" s="6">
        <v>16.835944000000001</v>
      </c>
      <c r="K11140" s="6">
        <v>-96.008294000000006</v>
      </c>
      <c r="L11140" s="6" t="str">
        <f>HYPERLINK("https://maps.google.com/?q=16.835944,-96.008294000000006", "🔗 Ver Mapa")</f>
        <v>🔗 Ver Mapa</v>
      </c>
    </row>
    <row r="11141" spans="1:12" ht="43.5" x14ac:dyDescent="0.35">
      <c r="A11141" s="5" t="s">
        <v>288</v>
      </c>
      <c r="B11141" s="5" t="s">
        <v>289</v>
      </c>
      <c r="C11141" s="5" t="s">
        <v>1950</v>
      </c>
      <c r="D11141" s="5" t="s">
        <v>745</v>
      </c>
      <c r="E11141" s="5" t="s">
        <v>52</v>
      </c>
      <c r="F11141" s="5" t="s">
        <v>53</v>
      </c>
      <c r="G11141" s="5" t="s">
        <v>845</v>
      </c>
      <c r="H11141" s="5" t="s">
        <v>846</v>
      </c>
      <c r="I11141" s="5" t="s">
        <v>31</v>
      </c>
      <c r="J11141" s="5">
        <v>16.836226</v>
      </c>
      <c r="K11141" s="5">
        <v>-96.008467999999993</v>
      </c>
      <c r="L11141" s="5" t="str">
        <f>HYPERLINK("https://maps.google.com/?q=16.836226,-96.008467999999993", "🔗 Ver Mapa")</f>
        <v>🔗 Ver Mapa</v>
      </c>
    </row>
    <row r="11142" spans="1:12" ht="43.5" x14ac:dyDescent="0.35">
      <c r="A11142" s="6" t="s">
        <v>288</v>
      </c>
      <c r="B11142" s="6" t="s">
        <v>289</v>
      </c>
      <c r="C11142" s="6" t="s">
        <v>1950</v>
      </c>
      <c r="D11142" s="6" t="s">
        <v>745</v>
      </c>
      <c r="E11142" s="6" t="s">
        <v>52</v>
      </c>
      <c r="F11142" s="6" t="s">
        <v>53</v>
      </c>
      <c r="G11142" s="6" t="s">
        <v>845</v>
      </c>
      <c r="H11142" s="6" t="s">
        <v>846</v>
      </c>
      <c r="I11142" s="6" t="s">
        <v>31</v>
      </c>
      <c r="J11142" s="6">
        <v>16.836448000000001</v>
      </c>
      <c r="K11142" s="6">
        <v>-96.011933999999997</v>
      </c>
      <c r="L11142" s="6" t="str">
        <f>HYPERLINK("https://maps.google.com/?q=16.836448,-96.011933999999997", "🔗 Ver Mapa")</f>
        <v>🔗 Ver Mapa</v>
      </c>
    </row>
    <row r="11143" spans="1:12" ht="43.5" x14ac:dyDescent="0.35">
      <c r="A11143" s="5" t="s">
        <v>288</v>
      </c>
      <c r="B11143" s="5" t="s">
        <v>289</v>
      </c>
      <c r="C11143" s="5" t="s">
        <v>1950</v>
      </c>
      <c r="D11143" s="5" t="s">
        <v>745</v>
      </c>
      <c r="E11143" s="5" t="s">
        <v>52</v>
      </c>
      <c r="F11143" s="5" t="s">
        <v>53</v>
      </c>
      <c r="G11143" s="5" t="s">
        <v>845</v>
      </c>
      <c r="H11143" s="5" t="s">
        <v>846</v>
      </c>
      <c r="I11143" s="5" t="s">
        <v>31</v>
      </c>
      <c r="J11143" s="5">
        <v>16.836589</v>
      </c>
      <c r="K11143" s="5">
        <v>-96.012334999999993</v>
      </c>
      <c r="L11143" s="5" t="str">
        <f>HYPERLINK("https://maps.google.com/?q=16.836589,-96.012334999999993", "🔗 Ver Mapa")</f>
        <v>🔗 Ver Mapa</v>
      </c>
    </row>
    <row r="11144" spans="1:12" ht="43.5" x14ac:dyDescent="0.35">
      <c r="A11144" s="6" t="s">
        <v>288</v>
      </c>
      <c r="B11144" s="6" t="s">
        <v>289</v>
      </c>
      <c r="C11144" s="6" t="s">
        <v>1950</v>
      </c>
      <c r="D11144" s="6" t="s">
        <v>745</v>
      </c>
      <c r="E11144" s="6" t="s">
        <v>52</v>
      </c>
      <c r="F11144" s="6" t="s">
        <v>53</v>
      </c>
      <c r="G11144" s="6" t="s">
        <v>845</v>
      </c>
      <c r="H11144" s="6" t="s">
        <v>846</v>
      </c>
      <c r="I11144" s="6" t="s">
        <v>31</v>
      </c>
      <c r="J11144" s="6">
        <v>16.836656999999999</v>
      </c>
      <c r="K11144" s="6">
        <v>-96.012604999999994</v>
      </c>
      <c r="L11144" s="6" t="str">
        <f>HYPERLINK("https://maps.google.com/?q=16.836657,-96.012604999999994", "🔗 Ver Mapa")</f>
        <v>🔗 Ver Mapa</v>
      </c>
    </row>
    <row r="11145" spans="1:12" ht="43.5" x14ac:dyDescent="0.35">
      <c r="A11145" s="5" t="s">
        <v>288</v>
      </c>
      <c r="B11145" s="5" t="s">
        <v>289</v>
      </c>
      <c r="C11145" s="5" t="s">
        <v>1950</v>
      </c>
      <c r="D11145" s="5" t="s">
        <v>745</v>
      </c>
      <c r="E11145" s="5" t="s">
        <v>52</v>
      </c>
      <c r="F11145" s="5" t="s">
        <v>53</v>
      </c>
      <c r="G11145" s="5" t="s">
        <v>845</v>
      </c>
      <c r="H11145" s="5" t="s">
        <v>846</v>
      </c>
      <c r="I11145" s="5" t="s">
        <v>31</v>
      </c>
      <c r="J11145" s="5">
        <v>16.836995999999999</v>
      </c>
      <c r="K11145" s="5">
        <v>-96.012319000000005</v>
      </c>
      <c r="L11145" s="5" t="str">
        <f>HYPERLINK("https://maps.google.com/?q=16.836996,-96.012319000000005", "🔗 Ver Mapa")</f>
        <v>🔗 Ver Mapa</v>
      </c>
    </row>
    <row r="11146" spans="1:12" ht="43.5" x14ac:dyDescent="0.35">
      <c r="A11146" s="6" t="s">
        <v>288</v>
      </c>
      <c r="B11146" s="6" t="s">
        <v>289</v>
      </c>
      <c r="C11146" s="6" t="s">
        <v>1950</v>
      </c>
      <c r="D11146" s="6" t="s">
        <v>745</v>
      </c>
      <c r="E11146" s="6" t="s">
        <v>52</v>
      </c>
      <c r="F11146" s="6" t="s">
        <v>53</v>
      </c>
      <c r="G11146" s="6" t="s">
        <v>845</v>
      </c>
      <c r="H11146" s="6" t="s">
        <v>846</v>
      </c>
      <c r="I11146" s="6" t="s">
        <v>31</v>
      </c>
      <c r="J11146" s="6">
        <v>16.837171999999999</v>
      </c>
      <c r="K11146" s="6">
        <v>-96.012034999999997</v>
      </c>
      <c r="L11146" s="6" t="str">
        <f>HYPERLINK("https://maps.google.com/?q=16.837172,-96.012034999999997", "🔗 Ver Mapa")</f>
        <v>🔗 Ver Mapa</v>
      </c>
    </row>
    <row r="11147" spans="1:12" ht="43.5" x14ac:dyDescent="0.35">
      <c r="A11147" s="5" t="s">
        <v>288</v>
      </c>
      <c r="B11147" s="5" t="s">
        <v>289</v>
      </c>
      <c r="C11147" s="5" t="s">
        <v>1950</v>
      </c>
      <c r="D11147" s="5" t="s">
        <v>745</v>
      </c>
      <c r="E11147" s="5" t="s">
        <v>52</v>
      </c>
      <c r="F11147" s="5" t="s">
        <v>53</v>
      </c>
      <c r="G11147" s="5" t="s">
        <v>845</v>
      </c>
      <c r="H11147" s="5" t="s">
        <v>846</v>
      </c>
      <c r="I11147" s="5" t="s">
        <v>31</v>
      </c>
      <c r="J11147" s="5">
        <v>16.837548000000002</v>
      </c>
      <c r="K11147" s="5">
        <v>-96.011823000000007</v>
      </c>
      <c r="L11147" s="5" t="str">
        <f>HYPERLINK("https://maps.google.com/?q=16.837548,-96.011823000000007", "🔗 Ver Mapa")</f>
        <v>🔗 Ver Mapa</v>
      </c>
    </row>
    <row r="11148" spans="1:12" ht="43.5" x14ac:dyDescent="0.35">
      <c r="A11148" s="6" t="s">
        <v>288</v>
      </c>
      <c r="B11148" s="6" t="s">
        <v>289</v>
      </c>
      <c r="C11148" s="6" t="s">
        <v>1950</v>
      </c>
      <c r="D11148" s="6" t="s">
        <v>745</v>
      </c>
      <c r="E11148" s="6" t="s">
        <v>52</v>
      </c>
      <c r="F11148" s="6" t="s">
        <v>53</v>
      </c>
      <c r="G11148" s="6" t="s">
        <v>845</v>
      </c>
      <c r="H11148" s="6" t="s">
        <v>846</v>
      </c>
      <c r="I11148" s="6" t="s">
        <v>31</v>
      </c>
      <c r="J11148" s="6">
        <v>16.837814000000002</v>
      </c>
      <c r="K11148" s="6">
        <v>-96.011461999999995</v>
      </c>
      <c r="L11148" s="6" t="str">
        <f>HYPERLINK("https://maps.google.com/?q=16.837814,-96.011461999999995", "🔗 Ver Mapa")</f>
        <v>🔗 Ver Mapa</v>
      </c>
    </row>
    <row r="11149" spans="1:12" ht="43.5" x14ac:dyDescent="0.35">
      <c r="A11149" s="5" t="s">
        <v>288</v>
      </c>
      <c r="B11149" s="5" t="s">
        <v>289</v>
      </c>
      <c r="C11149" s="5" t="s">
        <v>1950</v>
      </c>
      <c r="D11149" s="5" t="s">
        <v>745</v>
      </c>
      <c r="E11149" s="5" t="s">
        <v>52</v>
      </c>
      <c r="F11149" s="5" t="s">
        <v>53</v>
      </c>
      <c r="G11149" s="5" t="s">
        <v>845</v>
      </c>
      <c r="H11149" s="5" t="s">
        <v>846</v>
      </c>
      <c r="I11149" s="5" t="s">
        <v>31</v>
      </c>
      <c r="J11149" s="5">
        <v>16.840038</v>
      </c>
      <c r="K11149" s="5">
        <v>-96.006692000000001</v>
      </c>
      <c r="L11149" s="5" t="str">
        <f>HYPERLINK("https://maps.google.com/?q=16.840038,-96.006692000000001", "🔗 Ver Mapa")</f>
        <v>🔗 Ver Mapa</v>
      </c>
    </row>
    <row r="11150" spans="1:12" ht="43.5" x14ac:dyDescent="0.35">
      <c r="A11150" s="6" t="s">
        <v>288</v>
      </c>
      <c r="B11150" s="6" t="s">
        <v>289</v>
      </c>
      <c r="C11150" s="6" t="s">
        <v>1950</v>
      </c>
      <c r="D11150" s="6" t="s">
        <v>745</v>
      </c>
      <c r="E11150" s="6" t="s">
        <v>52</v>
      </c>
      <c r="F11150" s="6" t="s">
        <v>53</v>
      </c>
      <c r="G11150" s="6" t="s">
        <v>845</v>
      </c>
      <c r="H11150" s="6" t="s">
        <v>846</v>
      </c>
      <c r="I11150" s="6" t="s">
        <v>31</v>
      </c>
      <c r="J11150" s="6">
        <v>16.840093</v>
      </c>
      <c r="K11150" s="6">
        <v>-96.009259999999998</v>
      </c>
      <c r="L11150" s="6" t="str">
        <f>HYPERLINK("https://maps.google.com/?q=16.840093,-96.009259999999998", "🔗 Ver Mapa")</f>
        <v>🔗 Ver Mapa</v>
      </c>
    </row>
    <row r="11151" spans="1:12" ht="43.5" x14ac:dyDescent="0.35">
      <c r="A11151" s="5" t="s">
        <v>288</v>
      </c>
      <c r="B11151" s="5" t="s">
        <v>289</v>
      </c>
      <c r="C11151" s="5" t="s">
        <v>1950</v>
      </c>
      <c r="D11151" s="5" t="s">
        <v>745</v>
      </c>
      <c r="E11151" s="5" t="s">
        <v>52</v>
      </c>
      <c r="F11151" s="5" t="s">
        <v>53</v>
      </c>
      <c r="G11151" s="5" t="s">
        <v>845</v>
      </c>
      <c r="H11151" s="5" t="s">
        <v>846</v>
      </c>
      <c r="I11151" s="5" t="s">
        <v>31</v>
      </c>
      <c r="J11151" s="5">
        <v>16.840333999999999</v>
      </c>
      <c r="K11151" s="5">
        <v>-96.006594000000007</v>
      </c>
      <c r="L11151" s="5" t="str">
        <f>HYPERLINK("https://maps.google.com/?q=16.840334,-96.006594000000007", "🔗 Ver Mapa")</f>
        <v>🔗 Ver Mapa</v>
      </c>
    </row>
    <row r="11152" spans="1:12" ht="43.5" x14ac:dyDescent="0.35">
      <c r="A11152" s="6" t="s">
        <v>288</v>
      </c>
      <c r="B11152" s="6" t="s">
        <v>289</v>
      </c>
      <c r="C11152" s="6" t="s">
        <v>1950</v>
      </c>
      <c r="D11152" s="6" t="s">
        <v>745</v>
      </c>
      <c r="E11152" s="6" t="s">
        <v>52</v>
      </c>
      <c r="F11152" s="6" t="s">
        <v>53</v>
      </c>
      <c r="G11152" s="6" t="s">
        <v>845</v>
      </c>
      <c r="H11152" s="6" t="s">
        <v>846</v>
      </c>
      <c r="I11152" s="6" t="s">
        <v>31</v>
      </c>
      <c r="J11152" s="6">
        <v>16.840351999999999</v>
      </c>
      <c r="K11152" s="6">
        <v>-96.009030999999993</v>
      </c>
      <c r="L11152" s="6" t="str">
        <f>HYPERLINK("https://maps.google.com/?q=16.840352,-96.009030999999993", "🔗 Ver Mapa")</f>
        <v>🔗 Ver Mapa</v>
      </c>
    </row>
    <row r="11153" spans="1:12" ht="43.5" x14ac:dyDescent="0.35">
      <c r="A11153" s="5" t="s">
        <v>288</v>
      </c>
      <c r="B11153" s="5" t="s">
        <v>289</v>
      </c>
      <c r="C11153" s="5" t="s">
        <v>1950</v>
      </c>
      <c r="D11153" s="5" t="s">
        <v>745</v>
      </c>
      <c r="E11153" s="5" t="s">
        <v>52</v>
      </c>
      <c r="F11153" s="5" t="s">
        <v>53</v>
      </c>
      <c r="G11153" s="5" t="s">
        <v>845</v>
      </c>
      <c r="H11153" s="5" t="s">
        <v>846</v>
      </c>
      <c r="I11153" s="5" t="s">
        <v>31</v>
      </c>
      <c r="J11153" s="5">
        <v>16.840577</v>
      </c>
      <c r="K11153" s="5">
        <v>-96.007114999999999</v>
      </c>
      <c r="L11153" s="5" t="str">
        <f>HYPERLINK("https://maps.google.com/?q=16.840577,-96.007114999999999", "🔗 Ver Mapa")</f>
        <v>🔗 Ver Mapa</v>
      </c>
    </row>
    <row r="11154" spans="1:12" ht="43.5" x14ac:dyDescent="0.35">
      <c r="A11154" s="6" t="s">
        <v>288</v>
      </c>
      <c r="B11154" s="6" t="s">
        <v>289</v>
      </c>
      <c r="C11154" s="6" t="s">
        <v>1950</v>
      </c>
      <c r="D11154" s="6" t="s">
        <v>745</v>
      </c>
      <c r="E11154" s="6" t="s">
        <v>52</v>
      </c>
      <c r="F11154" s="6" t="s">
        <v>53</v>
      </c>
      <c r="G11154" s="6" t="s">
        <v>845</v>
      </c>
      <c r="H11154" s="6" t="s">
        <v>846</v>
      </c>
      <c r="I11154" s="6" t="s">
        <v>31</v>
      </c>
      <c r="J11154" s="6">
        <v>16.840733</v>
      </c>
      <c r="K11154" s="6">
        <v>-96.009146999999999</v>
      </c>
      <c r="L11154" s="6" t="str">
        <f>HYPERLINK("https://maps.google.com/?q=16.840733,-96.009146999999999", "🔗 Ver Mapa")</f>
        <v>🔗 Ver Mapa</v>
      </c>
    </row>
    <row r="11155" spans="1:12" ht="43.5" x14ac:dyDescent="0.35">
      <c r="A11155" s="5" t="s">
        <v>288</v>
      </c>
      <c r="B11155" s="5" t="s">
        <v>289</v>
      </c>
      <c r="C11155" s="5" t="s">
        <v>1950</v>
      </c>
      <c r="D11155" s="5" t="s">
        <v>745</v>
      </c>
      <c r="E11155" s="5" t="s">
        <v>52</v>
      </c>
      <c r="F11155" s="5" t="s">
        <v>53</v>
      </c>
      <c r="G11155" s="5" t="s">
        <v>845</v>
      </c>
      <c r="H11155" s="5" t="s">
        <v>846</v>
      </c>
      <c r="I11155" s="5" t="s">
        <v>31</v>
      </c>
      <c r="J11155" s="5">
        <v>16.840810999999999</v>
      </c>
      <c r="K11155" s="5">
        <v>-96.006435999999994</v>
      </c>
      <c r="L11155" s="5" t="str">
        <f>HYPERLINK("https://maps.google.com/?q=16.840811,-96.006435999999994", "🔗 Ver Mapa")</f>
        <v>🔗 Ver Mapa</v>
      </c>
    </row>
    <row r="11156" spans="1:12" ht="43.5" x14ac:dyDescent="0.35">
      <c r="A11156" s="6" t="s">
        <v>288</v>
      </c>
      <c r="B11156" s="6" t="s">
        <v>289</v>
      </c>
      <c r="C11156" s="6" t="s">
        <v>1950</v>
      </c>
      <c r="D11156" s="6" t="s">
        <v>745</v>
      </c>
      <c r="E11156" s="6" t="s">
        <v>52</v>
      </c>
      <c r="F11156" s="6" t="s">
        <v>53</v>
      </c>
      <c r="G11156" s="6" t="s">
        <v>845</v>
      </c>
      <c r="H11156" s="6" t="s">
        <v>846</v>
      </c>
      <c r="I11156" s="6" t="s">
        <v>31</v>
      </c>
      <c r="J11156" s="6">
        <v>16.840869000000001</v>
      </c>
      <c r="K11156" s="6">
        <v>-96.007382000000007</v>
      </c>
      <c r="L11156" s="6" t="str">
        <f>HYPERLINK("https://maps.google.com/?q=16.840869,-96.007382000000007", "🔗 Ver Mapa")</f>
        <v>🔗 Ver Mapa</v>
      </c>
    </row>
    <row r="11157" spans="1:12" ht="43.5" x14ac:dyDescent="0.35">
      <c r="A11157" s="5" t="s">
        <v>288</v>
      </c>
      <c r="B11157" s="5" t="s">
        <v>289</v>
      </c>
      <c r="C11157" s="5" t="s">
        <v>1950</v>
      </c>
      <c r="D11157" s="5" t="s">
        <v>745</v>
      </c>
      <c r="E11157" s="5" t="s">
        <v>52</v>
      </c>
      <c r="F11157" s="5" t="s">
        <v>53</v>
      </c>
      <c r="G11157" s="5" t="s">
        <v>845</v>
      </c>
      <c r="H11157" s="5" t="s">
        <v>846</v>
      </c>
      <c r="I11157" s="5" t="s">
        <v>31</v>
      </c>
      <c r="J11157" s="5">
        <v>16.841003000000001</v>
      </c>
      <c r="K11157" s="5">
        <v>-96.006640000000004</v>
      </c>
      <c r="L11157" s="5" t="str">
        <f>HYPERLINK("https://maps.google.com/?q=16.841003,-96.006640000000004", "🔗 Ver Mapa")</f>
        <v>🔗 Ver Mapa</v>
      </c>
    </row>
    <row r="11158" spans="1:12" ht="43.5" x14ac:dyDescent="0.35">
      <c r="A11158" s="6" t="s">
        <v>288</v>
      </c>
      <c r="B11158" s="6" t="s">
        <v>289</v>
      </c>
      <c r="C11158" s="6" t="s">
        <v>1950</v>
      </c>
      <c r="D11158" s="6" t="s">
        <v>745</v>
      </c>
      <c r="E11158" s="6" t="s">
        <v>52</v>
      </c>
      <c r="F11158" s="6" t="s">
        <v>53</v>
      </c>
      <c r="G11158" s="6" t="s">
        <v>845</v>
      </c>
      <c r="H11158" s="6" t="s">
        <v>846</v>
      </c>
      <c r="I11158" s="6" t="s">
        <v>31</v>
      </c>
      <c r="J11158" s="6">
        <v>16.841003000000001</v>
      </c>
      <c r="K11158" s="6">
        <v>-96.007858999999996</v>
      </c>
      <c r="L11158" s="6" t="str">
        <f>HYPERLINK("https://maps.google.com/?q=16.841003,-96.007858999999996", "🔗 Ver Mapa")</f>
        <v>🔗 Ver Mapa</v>
      </c>
    </row>
    <row r="11159" spans="1:12" ht="43.5" x14ac:dyDescent="0.35">
      <c r="A11159" s="5" t="s">
        <v>288</v>
      </c>
      <c r="B11159" s="5" t="s">
        <v>289</v>
      </c>
      <c r="C11159" s="5" t="s">
        <v>1950</v>
      </c>
      <c r="D11159" s="5" t="s">
        <v>745</v>
      </c>
      <c r="E11159" s="5" t="s">
        <v>52</v>
      </c>
      <c r="F11159" s="5" t="s">
        <v>53</v>
      </c>
      <c r="G11159" s="5" t="s">
        <v>845</v>
      </c>
      <c r="H11159" s="5" t="s">
        <v>846</v>
      </c>
      <c r="I11159" s="5" t="s">
        <v>31</v>
      </c>
      <c r="J11159" s="5">
        <v>16.841076000000001</v>
      </c>
      <c r="K11159" s="5">
        <v>-96.009141999999997</v>
      </c>
      <c r="L11159" s="5" t="str">
        <f>HYPERLINK("https://maps.google.com/?q=16.841076,-96.009141999999997", "🔗 Ver Mapa")</f>
        <v>🔗 Ver Mapa</v>
      </c>
    </row>
    <row r="11160" spans="1:12" ht="43.5" x14ac:dyDescent="0.35">
      <c r="A11160" s="6" t="s">
        <v>288</v>
      </c>
      <c r="B11160" s="6" t="s">
        <v>289</v>
      </c>
      <c r="C11160" s="6" t="s">
        <v>1950</v>
      </c>
      <c r="D11160" s="6" t="s">
        <v>745</v>
      </c>
      <c r="E11160" s="6" t="s">
        <v>52</v>
      </c>
      <c r="F11160" s="6" t="s">
        <v>53</v>
      </c>
      <c r="G11160" s="6" t="s">
        <v>845</v>
      </c>
      <c r="H11160" s="6" t="s">
        <v>846</v>
      </c>
      <c r="I11160" s="6" t="s">
        <v>31</v>
      </c>
      <c r="J11160" s="6">
        <v>16.841260999999999</v>
      </c>
      <c r="K11160" s="6">
        <v>-96.007011000000006</v>
      </c>
      <c r="L11160" s="6" t="str">
        <f>HYPERLINK("https://maps.google.com/?q=16.841261,-96.007011000000006", "🔗 Ver Mapa")</f>
        <v>🔗 Ver Mapa</v>
      </c>
    </row>
    <row r="11161" spans="1:12" ht="43.5" x14ac:dyDescent="0.35">
      <c r="A11161" s="5" t="s">
        <v>288</v>
      </c>
      <c r="B11161" s="5" t="s">
        <v>289</v>
      </c>
      <c r="C11161" s="5" t="s">
        <v>1950</v>
      </c>
      <c r="D11161" s="5" t="s">
        <v>745</v>
      </c>
      <c r="E11161" s="5" t="s">
        <v>52</v>
      </c>
      <c r="F11161" s="5" t="s">
        <v>53</v>
      </c>
      <c r="G11161" s="5" t="s">
        <v>845</v>
      </c>
      <c r="H11161" s="5" t="s">
        <v>846</v>
      </c>
      <c r="I11161" s="5" t="s">
        <v>31</v>
      </c>
      <c r="J11161" s="5">
        <v>16.841297000000001</v>
      </c>
      <c r="K11161" s="5">
        <v>-96.008210000000005</v>
      </c>
      <c r="L11161" s="5" t="str">
        <f>HYPERLINK("https://maps.google.com/?q=16.841297,-96.008210000000005", "🔗 Ver Mapa")</f>
        <v>🔗 Ver Mapa</v>
      </c>
    </row>
    <row r="11162" spans="1:12" ht="43.5" x14ac:dyDescent="0.35">
      <c r="A11162" s="6" t="s">
        <v>288</v>
      </c>
      <c r="B11162" s="6" t="s">
        <v>289</v>
      </c>
      <c r="C11162" s="6" t="s">
        <v>1950</v>
      </c>
      <c r="D11162" s="6" t="s">
        <v>745</v>
      </c>
      <c r="E11162" s="6" t="s">
        <v>52</v>
      </c>
      <c r="F11162" s="6" t="s">
        <v>53</v>
      </c>
      <c r="G11162" s="6" t="s">
        <v>845</v>
      </c>
      <c r="H11162" s="6" t="s">
        <v>846</v>
      </c>
      <c r="I11162" s="6" t="s">
        <v>31</v>
      </c>
      <c r="J11162" s="6">
        <v>16.841359000000001</v>
      </c>
      <c r="K11162" s="6">
        <v>-96.009371999999999</v>
      </c>
      <c r="L11162" s="6" t="str">
        <f>HYPERLINK("https://maps.google.com/?q=16.841359,-96.009371999999999", "🔗 Ver Mapa")</f>
        <v>🔗 Ver Mapa</v>
      </c>
    </row>
    <row r="11163" spans="1:12" ht="43.5" x14ac:dyDescent="0.35">
      <c r="A11163" s="5" t="s">
        <v>288</v>
      </c>
      <c r="B11163" s="5" t="s">
        <v>289</v>
      </c>
      <c r="C11163" s="5" t="s">
        <v>1950</v>
      </c>
      <c r="D11163" s="5" t="s">
        <v>745</v>
      </c>
      <c r="E11163" s="5" t="s">
        <v>52</v>
      </c>
      <c r="F11163" s="5" t="s">
        <v>53</v>
      </c>
      <c r="G11163" s="5" t="s">
        <v>845</v>
      </c>
      <c r="H11163" s="5" t="s">
        <v>846</v>
      </c>
      <c r="I11163" s="5" t="s">
        <v>31</v>
      </c>
      <c r="J11163" s="5">
        <v>16.841702000000002</v>
      </c>
      <c r="K11163" s="5">
        <v>-96.006862999999996</v>
      </c>
      <c r="L11163" s="5" t="str">
        <f>HYPERLINK("https://maps.google.com/?q=16.841702,-96.006862999999996", "🔗 Ver Mapa")</f>
        <v>🔗 Ver Mapa</v>
      </c>
    </row>
    <row r="11164" spans="1:12" ht="43.5" x14ac:dyDescent="0.35">
      <c r="A11164" s="6" t="s">
        <v>288</v>
      </c>
      <c r="B11164" s="6" t="s">
        <v>289</v>
      </c>
      <c r="C11164" s="6" t="s">
        <v>1950</v>
      </c>
      <c r="D11164" s="6" t="s">
        <v>745</v>
      </c>
      <c r="E11164" s="6" t="s">
        <v>52</v>
      </c>
      <c r="F11164" s="6" t="s">
        <v>53</v>
      </c>
      <c r="G11164" s="6" t="s">
        <v>845</v>
      </c>
      <c r="H11164" s="6" t="s">
        <v>846</v>
      </c>
      <c r="I11164" s="6" t="s">
        <v>31</v>
      </c>
      <c r="J11164" s="6">
        <v>16.841715000000001</v>
      </c>
      <c r="K11164" s="6">
        <v>-96.008429000000007</v>
      </c>
      <c r="L11164" s="6" t="str">
        <f>HYPERLINK("https://maps.google.com/?q=16.841715,-96.008429000000007", "🔗 Ver Mapa")</f>
        <v>🔗 Ver Mapa</v>
      </c>
    </row>
    <row r="11165" spans="1:12" ht="43.5" x14ac:dyDescent="0.35">
      <c r="A11165" s="5" t="s">
        <v>288</v>
      </c>
      <c r="B11165" s="5" t="s">
        <v>289</v>
      </c>
      <c r="C11165" s="5" t="s">
        <v>1950</v>
      </c>
      <c r="D11165" s="5" t="s">
        <v>745</v>
      </c>
      <c r="E11165" s="5" t="s">
        <v>52</v>
      </c>
      <c r="F11165" s="5" t="s">
        <v>53</v>
      </c>
      <c r="G11165" s="5" t="s">
        <v>845</v>
      </c>
      <c r="H11165" s="5" t="s">
        <v>846</v>
      </c>
      <c r="I11165" s="5" t="s">
        <v>31</v>
      </c>
      <c r="J11165" s="5">
        <v>16.841792999999999</v>
      </c>
      <c r="K11165" s="5">
        <v>-96.009411999999998</v>
      </c>
      <c r="L11165" s="5" t="str">
        <f>HYPERLINK("https://maps.google.com/?q=16.841793,-96.009411999999998", "🔗 Ver Mapa")</f>
        <v>🔗 Ver Mapa</v>
      </c>
    </row>
    <row r="11166" spans="1:12" ht="43.5" x14ac:dyDescent="0.35">
      <c r="A11166" s="6" t="s">
        <v>288</v>
      </c>
      <c r="B11166" s="6" t="s">
        <v>289</v>
      </c>
      <c r="C11166" s="6" t="s">
        <v>1950</v>
      </c>
      <c r="D11166" s="6" t="s">
        <v>745</v>
      </c>
      <c r="E11166" s="6" t="s">
        <v>52</v>
      </c>
      <c r="F11166" s="6" t="s">
        <v>53</v>
      </c>
      <c r="G11166" s="6" t="s">
        <v>845</v>
      </c>
      <c r="H11166" s="6" t="s">
        <v>846</v>
      </c>
      <c r="I11166" s="6" t="s">
        <v>31</v>
      </c>
      <c r="J11166" s="6">
        <v>16.842009999999998</v>
      </c>
      <c r="K11166" s="6">
        <v>-96.008199000000005</v>
      </c>
      <c r="L11166" s="6" t="str">
        <f>HYPERLINK("https://maps.google.com/?q=16.84201,-96.008199000000005", "🔗 Ver Mapa")</f>
        <v>🔗 Ver Mapa</v>
      </c>
    </row>
    <row r="11167" spans="1:12" ht="43.5" x14ac:dyDescent="0.35">
      <c r="A11167" s="5" t="s">
        <v>288</v>
      </c>
      <c r="B11167" s="5" t="s">
        <v>289</v>
      </c>
      <c r="C11167" s="5" t="s">
        <v>1950</v>
      </c>
      <c r="D11167" s="5" t="s">
        <v>745</v>
      </c>
      <c r="E11167" s="5" t="s">
        <v>52</v>
      </c>
      <c r="F11167" s="5" t="s">
        <v>53</v>
      </c>
      <c r="G11167" s="5" t="s">
        <v>845</v>
      </c>
      <c r="H11167" s="5" t="s">
        <v>846</v>
      </c>
      <c r="I11167" s="5" t="s">
        <v>31</v>
      </c>
      <c r="J11167" s="5">
        <v>16.842214999999999</v>
      </c>
      <c r="K11167" s="5">
        <v>-96.008026999999998</v>
      </c>
      <c r="L11167" s="5" t="str">
        <f>HYPERLINK("https://maps.google.com/?q=16.842215,-96.008026999999998", "🔗 Ver Mapa")</f>
        <v>🔗 Ver Mapa</v>
      </c>
    </row>
    <row r="11168" spans="1:12" ht="43.5" x14ac:dyDescent="0.35">
      <c r="A11168" s="6" t="s">
        <v>288</v>
      </c>
      <c r="B11168" s="6" t="s">
        <v>289</v>
      </c>
      <c r="C11168" s="6" t="s">
        <v>1950</v>
      </c>
      <c r="D11168" s="6" t="s">
        <v>745</v>
      </c>
      <c r="E11168" s="6" t="s">
        <v>52</v>
      </c>
      <c r="F11168" s="6" t="s">
        <v>53</v>
      </c>
      <c r="G11168" s="6" t="s">
        <v>845</v>
      </c>
      <c r="H11168" s="6" t="s">
        <v>846</v>
      </c>
      <c r="I11168" s="6" t="s">
        <v>31</v>
      </c>
      <c r="J11168" s="6">
        <v>16.842579000000001</v>
      </c>
      <c r="K11168" s="6">
        <v>-96.008236999999994</v>
      </c>
      <c r="L11168" s="6" t="str">
        <f>HYPERLINK("https://maps.google.com/?q=16.842579,-96.008236999999994", "🔗 Ver Mapa")</f>
        <v>🔗 Ver Mapa</v>
      </c>
    </row>
    <row r="11169" spans="1:12" ht="43.5" x14ac:dyDescent="0.35">
      <c r="A11169" s="5" t="s">
        <v>288</v>
      </c>
      <c r="B11169" s="5" t="s">
        <v>289</v>
      </c>
      <c r="C11169" s="5" t="s">
        <v>1950</v>
      </c>
      <c r="D11169" s="5" t="s">
        <v>745</v>
      </c>
      <c r="E11169" s="5" t="s">
        <v>52</v>
      </c>
      <c r="F11169" s="5" t="s">
        <v>53</v>
      </c>
      <c r="G11169" s="5" t="s">
        <v>845</v>
      </c>
      <c r="H11169" s="5" t="s">
        <v>846</v>
      </c>
      <c r="I11169" s="5" t="s">
        <v>31</v>
      </c>
      <c r="J11169" s="5">
        <v>16.842621000000001</v>
      </c>
      <c r="K11169" s="5">
        <v>-96.008639000000002</v>
      </c>
      <c r="L11169" s="5" t="str">
        <f>HYPERLINK("https://maps.google.com/?q=16.842621,-96.008639000000002", "🔗 Ver Mapa")</f>
        <v>🔗 Ver Mapa</v>
      </c>
    </row>
    <row r="11170" spans="1:12" ht="43.5" x14ac:dyDescent="0.35">
      <c r="A11170" s="6" t="s">
        <v>288</v>
      </c>
      <c r="B11170" s="6" t="s">
        <v>289</v>
      </c>
      <c r="C11170" s="6" t="s">
        <v>1950</v>
      </c>
      <c r="D11170" s="6" t="s">
        <v>745</v>
      </c>
      <c r="E11170" s="6" t="s">
        <v>52</v>
      </c>
      <c r="F11170" s="6" t="s">
        <v>53</v>
      </c>
      <c r="G11170" s="6" t="s">
        <v>845</v>
      </c>
      <c r="H11170" s="6" t="s">
        <v>846</v>
      </c>
      <c r="I11170" s="6" t="s">
        <v>31</v>
      </c>
      <c r="J11170" s="6">
        <v>16.842914</v>
      </c>
      <c r="K11170" s="6">
        <v>-96.008869000000004</v>
      </c>
      <c r="L11170" s="6" t="str">
        <f>HYPERLINK("https://maps.google.com/?q=16.842914,-96.008869000000004", "🔗 Ver Mapa")</f>
        <v>🔗 Ver Mapa</v>
      </c>
    </row>
    <row r="11171" spans="1:12" ht="43.5" x14ac:dyDescent="0.35">
      <c r="A11171" s="5" t="s">
        <v>288</v>
      </c>
      <c r="B11171" s="5" t="s">
        <v>289</v>
      </c>
      <c r="C11171" s="5" t="s">
        <v>1950</v>
      </c>
      <c r="D11171" s="5" t="s">
        <v>745</v>
      </c>
      <c r="E11171" s="5" t="s">
        <v>52</v>
      </c>
      <c r="F11171" s="5" t="s">
        <v>53</v>
      </c>
      <c r="G11171" s="5" t="s">
        <v>845</v>
      </c>
      <c r="H11171" s="5" t="s">
        <v>846</v>
      </c>
      <c r="I11171" s="5" t="s">
        <v>31</v>
      </c>
      <c r="J11171" s="5">
        <v>16.843205000000001</v>
      </c>
      <c r="K11171" s="5">
        <v>-96.008386000000002</v>
      </c>
      <c r="L11171" s="5" t="str">
        <f>HYPERLINK("https://maps.google.com/?q=16.843205,-96.008386000000002", "🔗 Ver Mapa")</f>
        <v>🔗 Ver Mapa</v>
      </c>
    </row>
    <row r="11172" spans="1:12" ht="43.5" x14ac:dyDescent="0.35">
      <c r="A11172" s="6" t="s">
        <v>288</v>
      </c>
      <c r="B11172" s="6" t="s">
        <v>289</v>
      </c>
      <c r="C11172" s="6" t="s">
        <v>1950</v>
      </c>
      <c r="D11172" s="6" t="s">
        <v>745</v>
      </c>
      <c r="E11172" s="6" t="s">
        <v>52</v>
      </c>
      <c r="F11172" s="6" t="s">
        <v>53</v>
      </c>
      <c r="G11172" s="6" t="s">
        <v>845</v>
      </c>
      <c r="H11172" s="6" t="s">
        <v>846</v>
      </c>
      <c r="I11172" s="6" t="s">
        <v>31</v>
      </c>
      <c r="J11172" s="6">
        <v>16.843298999999998</v>
      </c>
      <c r="K11172" s="6">
        <v>-96.008065999999999</v>
      </c>
      <c r="L11172" s="6" t="str">
        <f>HYPERLINK("https://maps.google.com/?q=16.843299,-96.008065999999999", "🔗 Ver Mapa")</f>
        <v>🔗 Ver Mapa</v>
      </c>
    </row>
    <row r="11173" spans="1:12" ht="43.5" x14ac:dyDescent="0.35">
      <c r="A11173" s="5" t="s">
        <v>288</v>
      </c>
      <c r="B11173" s="5" t="s">
        <v>289</v>
      </c>
      <c r="C11173" s="5" t="s">
        <v>1950</v>
      </c>
      <c r="D11173" s="5" t="s">
        <v>745</v>
      </c>
      <c r="E11173" s="5" t="s">
        <v>52</v>
      </c>
      <c r="F11173" s="5" t="s">
        <v>53</v>
      </c>
      <c r="G11173" s="5" t="s">
        <v>845</v>
      </c>
      <c r="H11173" s="5" t="s">
        <v>846</v>
      </c>
      <c r="I11173" s="5" t="s">
        <v>31</v>
      </c>
      <c r="J11173" s="5">
        <v>16.843347000000001</v>
      </c>
      <c r="K11173" s="5">
        <v>-96.007605999999996</v>
      </c>
      <c r="L11173" s="5" t="str">
        <f>HYPERLINK("https://maps.google.com/?q=16.843347,-96.007605999999996", "🔗 Ver Mapa")</f>
        <v>🔗 Ver Mapa</v>
      </c>
    </row>
    <row r="11174" spans="1:12" ht="43.5" x14ac:dyDescent="0.35">
      <c r="A11174" s="6" t="s">
        <v>288</v>
      </c>
      <c r="B11174" s="6" t="s">
        <v>289</v>
      </c>
      <c r="C11174" s="6" t="s">
        <v>1950</v>
      </c>
      <c r="D11174" s="6" t="s">
        <v>745</v>
      </c>
      <c r="E11174" s="6" t="s">
        <v>52</v>
      </c>
      <c r="F11174" s="6" t="s">
        <v>53</v>
      </c>
      <c r="G11174" s="6" t="s">
        <v>845</v>
      </c>
      <c r="H11174" s="6" t="s">
        <v>846</v>
      </c>
      <c r="I11174" s="6" t="s">
        <v>31</v>
      </c>
      <c r="J11174" s="6">
        <v>16.843374000000001</v>
      </c>
      <c r="K11174" s="6">
        <v>-96.008842999999999</v>
      </c>
      <c r="L11174" s="6" t="str">
        <f>HYPERLINK("https://maps.google.com/?q=16.843374,-96.008842999999999", "🔗 Ver Mapa")</f>
        <v>🔗 Ver Mapa</v>
      </c>
    </row>
    <row r="11175" spans="1:12" ht="43.5" x14ac:dyDescent="0.35">
      <c r="A11175" s="5" t="s">
        <v>288</v>
      </c>
      <c r="B11175" s="5" t="s">
        <v>289</v>
      </c>
      <c r="C11175" s="5" t="s">
        <v>1950</v>
      </c>
      <c r="D11175" s="5" t="s">
        <v>745</v>
      </c>
      <c r="E11175" s="5" t="s">
        <v>52</v>
      </c>
      <c r="F11175" s="5" t="s">
        <v>53</v>
      </c>
      <c r="G11175" s="5" t="s">
        <v>845</v>
      </c>
      <c r="H11175" s="5" t="s">
        <v>846</v>
      </c>
      <c r="I11175" s="5" t="s">
        <v>31</v>
      </c>
      <c r="J11175" s="5">
        <v>16.843478999999999</v>
      </c>
      <c r="K11175" s="5">
        <v>-96.008588000000003</v>
      </c>
      <c r="L11175" s="5" t="str">
        <f>HYPERLINK("https://maps.google.com/?q=16.843479,-96.008588000000003", "🔗 Ver Mapa")</f>
        <v>🔗 Ver Mapa</v>
      </c>
    </row>
    <row r="11176" spans="1:12" ht="43.5" x14ac:dyDescent="0.35">
      <c r="A11176" s="6" t="s">
        <v>288</v>
      </c>
      <c r="B11176" s="6" t="s">
        <v>289</v>
      </c>
      <c r="C11176" s="6" t="s">
        <v>1950</v>
      </c>
      <c r="D11176" s="6" t="s">
        <v>745</v>
      </c>
      <c r="E11176" s="6" t="s">
        <v>52</v>
      </c>
      <c r="F11176" s="6" t="s">
        <v>53</v>
      </c>
      <c r="G11176" s="6" t="s">
        <v>845</v>
      </c>
      <c r="H11176" s="6" t="s">
        <v>846</v>
      </c>
      <c r="I11176" s="6" t="s">
        <v>31</v>
      </c>
      <c r="J11176" s="6">
        <v>16.843733</v>
      </c>
      <c r="K11176" s="6">
        <v>-96.008678000000003</v>
      </c>
      <c r="L11176" s="6" t="str">
        <f>HYPERLINK("https://maps.google.com/?q=16.843733,-96.008678000000003", "🔗 Ver Mapa")</f>
        <v>🔗 Ver Mapa</v>
      </c>
    </row>
    <row r="11177" spans="1:12" ht="43.5" x14ac:dyDescent="0.35">
      <c r="A11177" s="5" t="s">
        <v>288</v>
      </c>
      <c r="B11177" s="5" t="s">
        <v>289</v>
      </c>
      <c r="C11177" s="5" t="s">
        <v>1950</v>
      </c>
      <c r="D11177" s="5" t="s">
        <v>745</v>
      </c>
      <c r="E11177" s="5" t="s">
        <v>52</v>
      </c>
      <c r="F11177" s="5" t="s">
        <v>53</v>
      </c>
      <c r="G11177" s="5" t="s">
        <v>845</v>
      </c>
      <c r="H11177" s="5" t="s">
        <v>846</v>
      </c>
      <c r="I11177" s="5" t="s">
        <v>31</v>
      </c>
      <c r="J11177" s="5">
        <v>16.843792000000001</v>
      </c>
      <c r="K11177" s="5">
        <v>-96.008424000000005</v>
      </c>
      <c r="L11177" s="5" t="str">
        <f>HYPERLINK("https://maps.google.com/?q=16.843792,-96.008424000000005", "🔗 Ver Mapa")</f>
        <v>🔗 Ver Mapa</v>
      </c>
    </row>
    <row r="11178" spans="1:12" ht="43.5" x14ac:dyDescent="0.35">
      <c r="A11178" s="6" t="s">
        <v>288</v>
      </c>
      <c r="B11178" s="6" t="s">
        <v>289</v>
      </c>
      <c r="C11178" s="6" t="s">
        <v>1950</v>
      </c>
      <c r="D11178" s="6" t="s">
        <v>745</v>
      </c>
      <c r="E11178" s="6" t="s">
        <v>52</v>
      </c>
      <c r="F11178" s="6" t="s">
        <v>53</v>
      </c>
      <c r="G11178" s="6" t="s">
        <v>845</v>
      </c>
      <c r="H11178" s="6" t="s">
        <v>846</v>
      </c>
      <c r="I11178" s="6" t="s">
        <v>31</v>
      </c>
      <c r="J11178" s="6">
        <v>16.844100999999998</v>
      </c>
      <c r="K11178" s="6">
        <v>-96.008540999999994</v>
      </c>
      <c r="L11178" s="6" t="str">
        <f>HYPERLINK("https://maps.google.com/?q=16.844101,-96.008540999999994", "🔗 Ver Mapa")</f>
        <v>🔗 Ver Mapa</v>
      </c>
    </row>
    <row r="11179" spans="1:12" ht="43.5" x14ac:dyDescent="0.35">
      <c r="A11179" s="5" t="s">
        <v>288</v>
      </c>
      <c r="B11179" s="5" t="s">
        <v>289</v>
      </c>
      <c r="C11179" s="5" t="s">
        <v>1950</v>
      </c>
      <c r="D11179" s="5" t="s">
        <v>745</v>
      </c>
      <c r="E11179" s="5" t="s">
        <v>52</v>
      </c>
      <c r="F11179" s="5" t="s">
        <v>53</v>
      </c>
      <c r="G11179" s="5" t="s">
        <v>845</v>
      </c>
      <c r="H11179" s="5" t="s">
        <v>846</v>
      </c>
      <c r="I11179" s="5" t="s">
        <v>31</v>
      </c>
      <c r="J11179" s="5">
        <v>16.844103</v>
      </c>
      <c r="K11179" s="5">
        <v>-96.009900999999999</v>
      </c>
      <c r="L11179" s="5" t="str">
        <f>HYPERLINK("https://maps.google.com/?q=16.844103,-96.009900999999999", "🔗 Ver Mapa")</f>
        <v>🔗 Ver Mapa</v>
      </c>
    </row>
    <row r="11180" spans="1:12" ht="43.5" x14ac:dyDescent="0.35">
      <c r="A11180" s="6" t="s">
        <v>288</v>
      </c>
      <c r="B11180" s="6" t="s">
        <v>289</v>
      </c>
      <c r="C11180" s="6" t="s">
        <v>1950</v>
      </c>
      <c r="D11180" s="6" t="s">
        <v>745</v>
      </c>
      <c r="E11180" s="6" t="s">
        <v>52</v>
      </c>
      <c r="F11180" s="6" t="s">
        <v>53</v>
      </c>
      <c r="G11180" s="6" t="s">
        <v>845</v>
      </c>
      <c r="H11180" s="6" t="s">
        <v>846</v>
      </c>
      <c r="I11180" s="6" t="s">
        <v>31</v>
      </c>
      <c r="J11180" s="6">
        <v>16.844180000000001</v>
      </c>
      <c r="K11180" s="6">
        <v>-96.010245999999995</v>
      </c>
      <c r="L11180" s="6" t="str">
        <f>HYPERLINK("https://maps.google.com/?q=16.84418,-96.010245999999995", "🔗 Ver Mapa")</f>
        <v>🔗 Ver Mapa</v>
      </c>
    </row>
    <row r="11181" spans="1:12" ht="43.5" x14ac:dyDescent="0.35">
      <c r="A11181" s="5" t="s">
        <v>288</v>
      </c>
      <c r="B11181" s="5" t="s">
        <v>289</v>
      </c>
      <c r="C11181" s="5" t="s">
        <v>1950</v>
      </c>
      <c r="D11181" s="5" t="s">
        <v>745</v>
      </c>
      <c r="E11181" s="5" t="s">
        <v>52</v>
      </c>
      <c r="F11181" s="5" t="s">
        <v>53</v>
      </c>
      <c r="G11181" s="5" t="s">
        <v>845</v>
      </c>
      <c r="H11181" s="5" t="s">
        <v>846</v>
      </c>
      <c r="I11181" s="5" t="s">
        <v>31</v>
      </c>
      <c r="J11181" s="5">
        <v>16.844339999999999</v>
      </c>
      <c r="K11181" s="5">
        <v>-96.009466000000003</v>
      </c>
      <c r="L11181" s="5" t="str">
        <f>HYPERLINK("https://maps.google.com/?q=16.84434,-96.009466000000003", "🔗 Ver Mapa")</f>
        <v>🔗 Ver Mapa</v>
      </c>
    </row>
    <row r="11182" spans="1:12" ht="43.5" x14ac:dyDescent="0.35">
      <c r="A11182" s="6" t="s">
        <v>288</v>
      </c>
      <c r="B11182" s="6" t="s">
        <v>289</v>
      </c>
      <c r="C11182" s="6" t="s">
        <v>1950</v>
      </c>
      <c r="D11182" s="6" t="s">
        <v>745</v>
      </c>
      <c r="E11182" s="6" t="s">
        <v>52</v>
      </c>
      <c r="F11182" s="6" t="s">
        <v>53</v>
      </c>
      <c r="G11182" s="6" t="s">
        <v>845</v>
      </c>
      <c r="H11182" s="6" t="s">
        <v>846</v>
      </c>
      <c r="I11182" s="6" t="s">
        <v>31</v>
      </c>
      <c r="J11182" s="6">
        <v>16.844532000000001</v>
      </c>
      <c r="K11182" s="6">
        <v>-96.008375000000001</v>
      </c>
      <c r="L11182" s="6" t="str">
        <f>HYPERLINK("https://maps.google.com/?q=16.844532,-96.008375000000001", "🔗 Ver Mapa")</f>
        <v>🔗 Ver Mapa</v>
      </c>
    </row>
    <row r="11183" spans="1:12" ht="43.5" x14ac:dyDescent="0.35">
      <c r="A11183" s="5" t="s">
        <v>288</v>
      </c>
      <c r="B11183" s="5" t="s">
        <v>289</v>
      </c>
      <c r="C11183" s="5" t="s">
        <v>1950</v>
      </c>
      <c r="D11183" s="5" t="s">
        <v>745</v>
      </c>
      <c r="E11183" s="5" t="s">
        <v>52</v>
      </c>
      <c r="F11183" s="5" t="s">
        <v>53</v>
      </c>
      <c r="G11183" s="5" t="s">
        <v>845</v>
      </c>
      <c r="H11183" s="5" t="s">
        <v>846</v>
      </c>
      <c r="I11183" s="5" t="s">
        <v>31</v>
      </c>
      <c r="J11183" s="5">
        <v>16.844586</v>
      </c>
      <c r="K11183" s="5">
        <v>-96.010259000000005</v>
      </c>
      <c r="L11183" s="5" t="str">
        <f>HYPERLINK("https://maps.google.com/?q=16.844586,-96.010259000000005", "🔗 Ver Mapa")</f>
        <v>🔗 Ver Mapa</v>
      </c>
    </row>
    <row r="11184" spans="1:12" ht="43.5" x14ac:dyDescent="0.35">
      <c r="A11184" s="6" t="s">
        <v>288</v>
      </c>
      <c r="B11184" s="6" t="s">
        <v>289</v>
      </c>
      <c r="C11184" s="6" t="s">
        <v>1950</v>
      </c>
      <c r="D11184" s="6" t="s">
        <v>745</v>
      </c>
      <c r="E11184" s="6" t="s">
        <v>52</v>
      </c>
      <c r="F11184" s="6" t="s">
        <v>53</v>
      </c>
      <c r="G11184" s="6" t="s">
        <v>845</v>
      </c>
      <c r="H11184" s="6" t="s">
        <v>846</v>
      </c>
      <c r="I11184" s="6" t="s">
        <v>31</v>
      </c>
      <c r="J11184" s="6">
        <v>16.844695999999999</v>
      </c>
      <c r="K11184" s="6">
        <v>-96.009094000000005</v>
      </c>
      <c r="L11184" s="6" t="str">
        <f>HYPERLINK("https://maps.google.com/?q=16.844696,-96.009094000000005", "🔗 Ver Mapa")</f>
        <v>🔗 Ver Mapa</v>
      </c>
    </row>
    <row r="11185" spans="1:12" ht="43.5" x14ac:dyDescent="0.35">
      <c r="A11185" s="5" t="s">
        <v>288</v>
      </c>
      <c r="B11185" s="5" t="s">
        <v>289</v>
      </c>
      <c r="C11185" s="5" t="s">
        <v>1950</v>
      </c>
      <c r="D11185" s="5" t="s">
        <v>745</v>
      </c>
      <c r="E11185" s="5" t="s">
        <v>52</v>
      </c>
      <c r="F11185" s="5" t="s">
        <v>53</v>
      </c>
      <c r="G11185" s="5" t="s">
        <v>845</v>
      </c>
      <c r="H11185" s="5" t="s">
        <v>846</v>
      </c>
      <c r="I11185" s="5" t="s">
        <v>31</v>
      </c>
      <c r="J11185" s="5">
        <v>16.844806999999999</v>
      </c>
      <c r="K11185" s="5">
        <v>-96.008024000000006</v>
      </c>
      <c r="L11185" s="5" t="str">
        <f>HYPERLINK("https://maps.google.com/?q=16.844807,-96.008024000000006", "🔗 Ver Mapa")</f>
        <v>🔗 Ver Mapa</v>
      </c>
    </row>
    <row r="11186" spans="1:12" ht="43.5" x14ac:dyDescent="0.35">
      <c r="A11186" s="6" t="s">
        <v>288</v>
      </c>
      <c r="B11186" s="6" t="s">
        <v>289</v>
      </c>
      <c r="C11186" s="6" t="s">
        <v>1950</v>
      </c>
      <c r="D11186" s="6" t="s">
        <v>745</v>
      </c>
      <c r="E11186" s="6" t="s">
        <v>52</v>
      </c>
      <c r="F11186" s="6" t="s">
        <v>53</v>
      </c>
      <c r="G11186" s="6" t="s">
        <v>845</v>
      </c>
      <c r="H11186" s="6" t="s">
        <v>846</v>
      </c>
      <c r="I11186" s="6" t="s">
        <v>31</v>
      </c>
      <c r="J11186" s="6">
        <v>16.844949</v>
      </c>
      <c r="K11186" s="6">
        <v>-96.011622000000003</v>
      </c>
      <c r="L11186" s="6" t="str">
        <f>HYPERLINK("https://maps.google.com/?q=16.844949,-96.011622000000003", "🔗 Ver Mapa")</f>
        <v>🔗 Ver Mapa</v>
      </c>
    </row>
    <row r="11187" spans="1:12" ht="43.5" x14ac:dyDescent="0.35">
      <c r="A11187" s="5" t="s">
        <v>288</v>
      </c>
      <c r="B11187" s="5" t="s">
        <v>289</v>
      </c>
      <c r="C11187" s="5" t="s">
        <v>1950</v>
      </c>
      <c r="D11187" s="5" t="s">
        <v>745</v>
      </c>
      <c r="E11187" s="5" t="s">
        <v>52</v>
      </c>
      <c r="F11187" s="5" t="s">
        <v>53</v>
      </c>
      <c r="G11187" s="5" t="s">
        <v>845</v>
      </c>
      <c r="H11187" s="5" t="s">
        <v>846</v>
      </c>
      <c r="I11187" s="5" t="s">
        <v>31</v>
      </c>
      <c r="J11187" s="5">
        <v>16.844963</v>
      </c>
      <c r="K11187" s="5">
        <v>-96.011921999999998</v>
      </c>
      <c r="L11187" s="5" t="str">
        <f>HYPERLINK("https://maps.google.com/?q=16.844963,-96.011921999999998", "🔗 Ver Mapa")</f>
        <v>🔗 Ver Mapa</v>
      </c>
    </row>
    <row r="11188" spans="1:12" ht="43.5" x14ac:dyDescent="0.35">
      <c r="A11188" s="6" t="s">
        <v>288</v>
      </c>
      <c r="B11188" s="6" t="s">
        <v>289</v>
      </c>
      <c r="C11188" s="6" t="s">
        <v>1950</v>
      </c>
      <c r="D11188" s="6" t="s">
        <v>745</v>
      </c>
      <c r="E11188" s="6" t="s">
        <v>52</v>
      </c>
      <c r="F11188" s="6" t="s">
        <v>53</v>
      </c>
      <c r="G11188" s="6" t="s">
        <v>845</v>
      </c>
      <c r="H11188" s="6" t="s">
        <v>846</v>
      </c>
      <c r="I11188" s="6" t="s">
        <v>31</v>
      </c>
      <c r="J11188" s="6">
        <v>16.845039</v>
      </c>
      <c r="K11188" s="6">
        <v>-96.010307999999995</v>
      </c>
      <c r="L11188" s="6" t="str">
        <f>HYPERLINK("https://maps.google.com/?q=16.845039,-96.010307999999995", "🔗 Ver Mapa")</f>
        <v>🔗 Ver Mapa</v>
      </c>
    </row>
    <row r="11189" spans="1:12" ht="43.5" x14ac:dyDescent="0.35">
      <c r="A11189" s="5" t="s">
        <v>288</v>
      </c>
      <c r="B11189" s="5" t="s">
        <v>289</v>
      </c>
      <c r="C11189" s="5" t="s">
        <v>1950</v>
      </c>
      <c r="D11189" s="5" t="s">
        <v>745</v>
      </c>
      <c r="E11189" s="5" t="s">
        <v>52</v>
      </c>
      <c r="F11189" s="5" t="s">
        <v>53</v>
      </c>
      <c r="G11189" s="5" t="s">
        <v>845</v>
      </c>
      <c r="H11189" s="5" t="s">
        <v>846</v>
      </c>
      <c r="I11189" s="5" t="s">
        <v>31</v>
      </c>
      <c r="J11189" s="5">
        <v>16.845189999999999</v>
      </c>
      <c r="K11189" s="5">
        <v>-96.011431000000002</v>
      </c>
      <c r="L11189" s="5" t="str">
        <f>HYPERLINK("https://maps.google.com/?q=16.84519,-96.011431000000002", "🔗 Ver Mapa")</f>
        <v>🔗 Ver Mapa</v>
      </c>
    </row>
    <row r="11190" spans="1:12" ht="43.5" x14ac:dyDescent="0.35">
      <c r="A11190" s="6" t="s">
        <v>288</v>
      </c>
      <c r="B11190" s="6" t="s">
        <v>289</v>
      </c>
      <c r="C11190" s="6" t="s">
        <v>1950</v>
      </c>
      <c r="D11190" s="6" t="s">
        <v>745</v>
      </c>
      <c r="E11190" s="6" t="s">
        <v>52</v>
      </c>
      <c r="F11190" s="6" t="s">
        <v>53</v>
      </c>
      <c r="G11190" s="6" t="s">
        <v>845</v>
      </c>
      <c r="H11190" s="6" t="s">
        <v>846</v>
      </c>
      <c r="I11190" s="6" t="s">
        <v>31</v>
      </c>
      <c r="J11190" s="6">
        <v>16.845289999999999</v>
      </c>
      <c r="K11190" s="6">
        <v>-96.012039000000001</v>
      </c>
      <c r="L11190" s="6" t="str">
        <f>HYPERLINK("https://maps.google.com/?q=16.84529,-96.012039000000001", "🔗 Ver Mapa")</f>
        <v>🔗 Ver Mapa</v>
      </c>
    </row>
    <row r="11191" spans="1:12" ht="43.5" x14ac:dyDescent="0.35">
      <c r="A11191" s="5" t="s">
        <v>288</v>
      </c>
      <c r="B11191" s="5" t="s">
        <v>289</v>
      </c>
      <c r="C11191" s="5" t="s">
        <v>1950</v>
      </c>
      <c r="D11191" s="5" t="s">
        <v>745</v>
      </c>
      <c r="E11191" s="5" t="s">
        <v>52</v>
      </c>
      <c r="F11191" s="5" t="s">
        <v>53</v>
      </c>
      <c r="G11191" s="5" t="s">
        <v>845</v>
      </c>
      <c r="H11191" s="5" t="s">
        <v>846</v>
      </c>
      <c r="I11191" s="5" t="s">
        <v>31</v>
      </c>
      <c r="J11191" s="5">
        <v>16.845447</v>
      </c>
      <c r="K11191" s="5">
        <v>-96.010469999999998</v>
      </c>
      <c r="L11191" s="5" t="str">
        <f>HYPERLINK("https://maps.google.com/?q=16.845447,-96.010469999999998", "🔗 Ver Mapa")</f>
        <v>🔗 Ver Mapa</v>
      </c>
    </row>
    <row r="11192" spans="1:12" ht="43.5" x14ac:dyDescent="0.35">
      <c r="A11192" s="6" t="s">
        <v>288</v>
      </c>
      <c r="B11192" s="6" t="s">
        <v>289</v>
      </c>
      <c r="C11192" s="6" t="s">
        <v>1950</v>
      </c>
      <c r="D11192" s="6" t="s">
        <v>745</v>
      </c>
      <c r="E11192" s="6" t="s">
        <v>52</v>
      </c>
      <c r="F11192" s="6" t="s">
        <v>53</v>
      </c>
      <c r="G11192" s="6" t="s">
        <v>845</v>
      </c>
      <c r="H11192" s="6" t="s">
        <v>846</v>
      </c>
      <c r="I11192" s="6" t="s">
        <v>31</v>
      </c>
      <c r="J11192" s="6">
        <v>16.845603000000001</v>
      </c>
      <c r="K11192" s="6">
        <v>-96.011218</v>
      </c>
      <c r="L11192" s="6" t="str">
        <f>HYPERLINK("https://maps.google.com/?q=16.845603,-96.011218", "🔗 Ver Mapa")</f>
        <v>🔗 Ver Mapa</v>
      </c>
    </row>
    <row r="11193" spans="1:12" ht="43.5" x14ac:dyDescent="0.35">
      <c r="A11193" s="5" t="s">
        <v>288</v>
      </c>
      <c r="B11193" s="5" t="s">
        <v>289</v>
      </c>
      <c r="C11193" s="5" t="s">
        <v>1950</v>
      </c>
      <c r="D11193" s="5" t="s">
        <v>745</v>
      </c>
      <c r="E11193" s="5" t="s">
        <v>52</v>
      </c>
      <c r="F11193" s="5" t="s">
        <v>53</v>
      </c>
      <c r="G11193" s="5" t="s">
        <v>845</v>
      </c>
      <c r="H11193" s="5" t="s">
        <v>846</v>
      </c>
      <c r="I11193" s="5" t="s">
        <v>31</v>
      </c>
      <c r="J11193" s="5">
        <v>16.845707999999998</v>
      </c>
      <c r="K11193" s="5">
        <v>-96.012265999999997</v>
      </c>
      <c r="L11193" s="5" t="str">
        <f>HYPERLINK("https://maps.google.com/?q=16.845708,-96.012265999999997", "🔗 Ver Mapa")</f>
        <v>🔗 Ver Mapa</v>
      </c>
    </row>
    <row r="11194" spans="1:12" ht="43.5" x14ac:dyDescent="0.35">
      <c r="A11194" s="6" t="s">
        <v>288</v>
      </c>
      <c r="B11194" s="6" t="s">
        <v>289</v>
      </c>
      <c r="C11194" s="6" t="s">
        <v>1950</v>
      </c>
      <c r="D11194" s="6" t="s">
        <v>745</v>
      </c>
      <c r="E11194" s="6" t="s">
        <v>52</v>
      </c>
      <c r="F11194" s="6" t="s">
        <v>53</v>
      </c>
      <c r="G11194" s="6" t="s">
        <v>845</v>
      </c>
      <c r="H11194" s="6" t="s">
        <v>846</v>
      </c>
      <c r="I11194" s="6" t="s">
        <v>31</v>
      </c>
      <c r="J11194" s="6">
        <v>16.845773999999999</v>
      </c>
      <c r="K11194" s="6">
        <v>-96.009958999999995</v>
      </c>
      <c r="L11194" s="6" t="str">
        <f>HYPERLINK("https://maps.google.com/?q=16.845774,-96.009958999999995", "🔗 Ver Mapa")</f>
        <v>🔗 Ver Mapa</v>
      </c>
    </row>
    <row r="11195" spans="1:12" ht="43.5" x14ac:dyDescent="0.35">
      <c r="A11195" s="5" t="s">
        <v>288</v>
      </c>
      <c r="B11195" s="5" t="s">
        <v>289</v>
      </c>
      <c r="C11195" s="5" t="s">
        <v>1950</v>
      </c>
      <c r="D11195" s="5" t="s">
        <v>745</v>
      </c>
      <c r="E11195" s="5" t="s">
        <v>52</v>
      </c>
      <c r="F11195" s="5" t="s">
        <v>53</v>
      </c>
      <c r="G11195" s="5" t="s">
        <v>845</v>
      </c>
      <c r="H11195" s="5" t="s">
        <v>846</v>
      </c>
      <c r="I11195" s="5" t="s">
        <v>31</v>
      </c>
      <c r="J11195" s="5">
        <v>16.845779</v>
      </c>
      <c r="K11195" s="5">
        <v>-96.010323999999997</v>
      </c>
      <c r="L11195" s="5" t="str">
        <f>HYPERLINK("https://maps.google.com/?q=16.845779,-96.010323999999997", "🔗 Ver Mapa")</f>
        <v>🔗 Ver Mapa</v>
      </c>
    </row>
    <row r="11196" spans="1:12" ht="43.5" x14ac:dyDescent="0.35">
      <c r="A11196" s="6" t="s">
        <v>288</v>
      </c>
      <c r="B11196" s="6" t="s">
        <v>289</v>
      </c>
      <c r="C11196" s="6" t="s">
        <v>1950</v>
      </c>
      <c r="D11196" s="6" t="s">
        <v>745</v>
      </c>
      <c r="E11196" s="6" t="s">
        <v>52</v>
      </c>
      <c r="F11196" s="6" t="s">
        <v>53</v>
      </c>
      <c r="G11196" s="6" t="s">
        <v>845</v>
      </c>
      <c r="H11196" s="6" t="s">
        <v>846</v>
      </c>
      <c r="I11196" s="6" t="s">
        <v>31</v>
      </c>
      <c r="J11196" s="6">
        <v>16.845786</v>
      </c>
      <c r="K11196" s="6">
        <v>-96.009574000000001</v>
      </c>
      <c r="L11196" s="6" t="str">
        <f>HYPERLINK("https://maps.google.com/?q=16.845786,-96.009574000000001", "🔗 Ver Mapa")</f>
        <v>🔗 Ver Mapa</v>
      </c>
    </row>
    <row r="11197" spans="1:12" ht="43.5" x14ac:dyDescent="0.35">
      <c r="A11197" s="5" t="s">
        <v>288</v>
      </c>
      <c r="B11197" s="5" t="s">
        <v>289</v>
      </c>
      <c r="C11197" s="5" t="s">
        <v>1950</v>
      </c>
      <c r="D11197" s="5" t="s">
        <v>745</v>
      </c>
      <c r="E11197" s="5" t="s">
        <v>52</v>
      </c>
      <c r="F11197" s="5" t="s">
        <v>53</v>
      </c>
      <c r="G11197" s="5" t="s">
        <v>845</v>
      </c>
      <c r="H11197" s="5" t="s">
        <v>846</v>
      </c>
      <c r="I11197" s="5" t="s">
        <v>31</v>
      </c>
      <c r="J11197" s="5">
        <v>16.84599</v>
      </c>
      <c r="K11197" s="5">
        <v>-96.010546000000005</v>
      </c>
      <c r="L11197" s="5" t="str">
        <f>HYPERLINK("https://maps.google.com/?q=16.84599,-96.010546000000005", "🔗 Ver Mapa")</f>
        <v>🔗 Ver Mapa</v>
      </c>
    </row>
    <row r="11198" spans="1:12" ht="43.5" x14ac:dyDescent="0.35">
      <c r="A11198" s="6" t="s">
        <v>288</v>
      </c>
      <c r="B11198" s="6" t="s">
        <v>289</v>
      </c>
      <c r="C11198" s="6" t="s">
        <v>1950</v>
      </c>
      <c r="D11198" s="6" t="s">
        <v>745</v>
      </c>
      <c r="E11198" s="6" t="s">
        <v>52</v>
      </c>
      <c r="F11198" s="6" t="s">
        <v>53</v>
      </c>
      <c r="G11198" s="6" t="s">
        <v>845</v>
      </c>
      <c r="H11198" s="6" t="s">
        <v>846</v>
      </c>
      <c r="I11198" s="6" t="s">
        <v>31</v>
      </c>
      <c r="J11198" s="6">
        <v>16.846067000000001</v>
      </c>
      <c r="K11198" s="6">
        <v>-96.010835999999998</v>
      </c>
      <c r="L11198" s="6" t="str">
        <f>HYPERLINK("https://maps.google.com/?q=16.846067,-96.010835999999998", "🔗 Ver Mapa")</f>
        <v>🔗 Ver Mapa</v>
      </c>
    </row>
    <row r="11199" spans="1:12" ht="43.5" x14ac:dyDescent="0.35">
      <c r="A11199" s="5" t="s">
        <v>288</v>
      </c>
      <c r="B11199" s="5" t="s">
        <v>289</v>
      </c>
      <c r="C11199" s="5" t="s">
        <v>1950</v>
      </c>
      <c r="D11199" s="5" t="s">
        <v>745</v>
      </c>
      <c r="E11199" s="5" t="s">
        <v>52</v>
      </c>
      <c r="F11199" s="5" t="s">
        <v>53</v>
      </c>
      <c r="G11199" s="5" t="s">
        <v>845</v>
      </c>
      <c r="H11199" s="5" t="s">
        <v>846</v>
      </c>
      <c r="I11199" s="5" t="s">
        <v>31</v>
      </c>
      <c r="J11199" s="5">
        <v>16.8461</v>
      </c>
      <c r="K11199" s="5">
        <v>-96.012541999999996</v>
      </c>
      <c r="L11199" s="5" t="str">
        <f>HYPERLINK("https://maps.google.com/?q=16.8461,-96.012541999999996", "🔗 Ver Mapa")</f>
        <v>🔗 Ver Mapa</v>
      </c>
    </row>
    <row r="11200" spans="1:12" ht="43.5" x14ac:dyDescent="0.35">
      <c r="A11200" s="6" t="s">
        <v>288</v>
      </c>
      <c r="B11200" s="6" t="s">
        <v>289</v>
      </c>
      <c r="C11200" s="6" t="s">
        <v>1950</v>
      </c>
      <c r="D11200" s="6" t="s">
        <v>745</v>
      </c>
      <c r="E11200" s="6" t="s">
        <v>52</v>
      </c>
      <c r="F11200" s="6" t="s">
        <v>53</v>
      </c>
      <c r="G11200" s="6" t="s">
        <v>845</v>
      </c>
      <c r="H11200" s="6" t="s">
        <v>846</v>
      </c>
      <c r="I11200" s="6" t="s">
        <v>31</v>
      </c>
      <c r="J11200" s="6">
        <v>16.846118000000001</v>
      </c>
      <c r="K11200" s="6">
        <v>-96.011238000000006</v>
      </c>
      <c r="L11200" s="6" t="str">
        <f>HYPERLINK("https://maps.google.com/?q=16.846118,-96.011238000000006", "🔗 Ver Mapa")</f>
        <v>🔗 Ver Mapa</v>
      </c>
    </row>
    <row r="11201" spans="1:12" ht="43.5" x14ac:dyDescent="0.35">
      <c r="A11201" s="5" t="s">
        <v>288</v>
      </c>
      <c r="B11201" s="5" t="s">
        <v>289</v>
      </c>
      <c r="C11201" s="5" t="s">
        <v>1950</v>
      </c>
      <c r="D11201" s="5" t="s">
        <v>745</v>
      </c>
      <c r="E11201" s="5" t="s">
        <v>52</v>
      </c>
      <c r="F11201" s="5" t="s">
        <v>53</v>
      </c>
      <c r="G11201" s="5" t="s">
        <v>845</v>
      </c>
      <c r="H11201" s="5" t="s">
        <v>846</v>
      </c>
      <c r="I11201" s="5" t="s">
        <v>31</v>
      </c>
      <c r="J11201" s="5">
        <v>16.846273</v>
      </c>
      <c r="K11201" s="5">
        <v>-96.009519999999995</v>
      </c>
      <c r="L11201" s="5" t="str">
        <f>HYPERLINK("https://maps.google.com/?q=16.846273,-96.009519999999995", "🔗 Ver Mapa")</f>
        <v>🔗 Ver Mapa</v>
      </c>
    </row>
    <row r="11202" spans="1:12" ht="43.5" x14ac:dyDescent="0.35">
      <c r="A11202" s="6" t="s">
        <v>288</v>
      </c>
      <c r="B11202" s="6" t="s">
        <v>289</v>
      </c>
      <c r="C11202" s="6" t="s">
        <v>1950</v>
      </c>
      <c r="D11202" s="6" t="s">
        <v>745</v>
      </c>
      <c r="E11202" s="6" t="s">
        <v>52</v>
      </c>
      <c r="F11202" s="6" t="s">
        <v>53</v>
      </c>
      <c r="G11202" s="6" t="s">
        <v>845</v>
      </c>
      <c r="H11202" s="6" t="s">
        <v>846</v>
      </c>
      <c r="I11202" s="6" t="s">
        <v>31</v>
      </c>
      <c r="J11202" s="6">
        <v>16.846447000000001</v>
      </c>
      <c r="K11202" s="6">
        <v>-96.012760999999998</v>
      </c>
      <c r="L11202" s="6" t="str">
        <f>HYPERLINK("https://maps.google.com/?q=16.846447,-96.012760999999998", "🔗 Ver Mapa")</f>
        <v>🔗 Ver Mapa</v>
      </c>
    </row>
    <row r="11203" spans="1:12" ht="58" x14ac:dyDescent="0.35">
      <c r="A11203" s="5" t="s">
        <v>288</v>
      </c>
      <c r="B11203" s="5" t="s">
        <v>289</v>
      </c>
      <c r="C11203" s="5" t="s">
        <v>1951</v>
      </c>
      <c r="D11203" s="5" t="s">
        <v>414</v>
      </c>
      <c r="E11203" s="5" t="s">
        <v>52</v>
      </c>
      <c r="F11203" s="5" t="s">
        <v>228</v>
      </c>
      <c r="G11203" s="5" t="s">
        <v>1952</v>
      </c>
      <c r="H11203" s="5" t="s">
        <v>1953</v>
      </c>
      <c r="I11203" s="5" t="s">
        <v>31</v>
      </c>
      <c r="J11203" s="5">
        <v>16.857067000000001</v>
      </c>
      <c r="K11203" s="5">
        <v>-96.690247999999997</v>
      </c>
      <c r="L11203" s="5" t="str">
        <f>HYPERLINK("https://maps.google.com/?q=16.857067,-96.690248", "🔗 Ver Mapa")</f>
        <v>🔗 Ver Mapa</v>
      </c>
    </row>
    <row r="11204" spans="1:12" ht="58" x14ac:dyDescent="0.35">
      <c r="A11204" s="6" t="s">
        <v>288</v>
      </c>
      <c r="B11204" s="6" t="s">
        <v>289</v>
      </c>
      <c r="C11204" s="6" t="s">
        <v>1951</v>
      </c>
      <c r="D11204" s="6" t="s">
        <v>414</v>
      </c>
      <c r="E11204" s="6" t="s">
        <v>52</v>
      </c>
      <c r="F11204" s="6" t="s">
        <v>228</v>
      </c>
      <c r="G11204" s="6" t="s">
        <v>1952</v>
      </c>
      <c r="H11204" s="6" t="s">
        <v>1953</v>
      </c>
      <c r="I11204" s="6" t="s">
        <v>31</v>
      </c>
      <c r="J11204" s="6">
        <v>16.857851</v>
      </c>
      <c r="K11204" s="6">
        <v>-96.690049000000002</v>
      </c>
      <c r="L11204" s="6" t="str">
        <f>HYPERLINK("https://maps.google.com/?q=16.857851,-96.690049", "🔗 Ver Mapa")</f>
        <v>🔗 Ver Mapa</v>
      </c>
    </row>
    <row r="11205" spans="1:12" ht="58" x14ac:dyDescent="0.35">
      <c r="A11205" s="5" t="s">
        <v>288</v>
      </c>
      <c r="B11205" s="5" t="s">
        <v>289</v>
      </c>
      <c r="C11205" s="5" t="s">
        <v>1951</v>
      </c>
      <c r="D11205" s="5" t="s">
        <v>414</v>
      </c>
      <c r="E11205" s="5" t="s">
        <v>52</v>
      </c>
      <c r="F11205" s="5" t="s">
        <v>228</v>
      </c>
      <c r="G11205" s="5" t="s">
        <v>1952</v>
      </c>
      <c r="H11205" s="5" t="s">
        <v>1953</v>
      </c>
      <c r="I11205" s="5" t="s">
        <v>31</v>
      </c>
      <c r="J11205" s="5">
        <v>16.859463999999999</v>
      </c>
      <c r="K11205" s="5">
        <v>-96.689599000000001</v>
      </c>
      <c r="L11205" s="5" t="str">
        <f>HYPERLINK("https://maps.google.com/?q=16.859464,-96.689599", "🔗 Ver Mapa")</f>
        <v>🔗 Ver Mapa</v>
      </c>
    </row>
    <row r="11206" spans="1:12" ht="58" x14ac:dyDescent="0.35">
      <c r="A11206" s="6" t="s">
        <v>288</v>
      </c>
      <c r="B11206" s="6" t="s">
        <v>289</v>
      </c>
      <c r="C11206" s="6" t="s">
        <v>1951</v>
      </c>
      <c r="D11206" s="6" t="s">
        <v>414</v>
      </c>
      <c r="E11206" s="6" t="s">
        <v>52</v>
      </c>
      <c r="F11206" s="6" t="s">
        <v>228</v>
      </c>
      <c r="G11206" s="6" t="s">
        <v>1952</v>
      </c>
      <c r="H11206" s="6" t="s">
        <v>1953</v>
      </c>
      <c r="I11206" s="6" t="s">
        <v>31</v>
      </c>
      <c r="J11206" s="6">
        <v>16.859902999999999</v>
      </c>
      <c r="K11206" s="6">
        <v>-96.689397999999997</v>
      </c>
      <c r="L11206" s="6" t="str">
        <f>HYPERLINK("https://maps.google.com/?q=16.859903,-96.689398", "🔗 Ver Mapa")</f>
        <v>🔗 Ver Mapa</v>
      </c>
    </row>
    <row r="11207" spans="1:12" ht="58" x14ac:dyDescent="0.35">
      <c r="A11207" s="5" t="s">
        <v>288</v>
      </c>
      <c r="B11207" s="5" t="s">
        <v>289</v>
      </c>
      <c r="C11207" s="5" t="s">
        <v>1951</v>
      </c>
      <c r="D11207" s="5" t="s">
        <v>414</v>
      </c>
      <c r="E11207" s="5" t="s">
        <v>52</v>
      </c>
      <c r="F11207" s="5" t="s">
        <v>228</v>
      </c>
      <c r="G11207" s="5" t="s">
        <v>1952</v>
      </c>
      <c r="H11207" s="5" t="s">
        <v>1953</v>
      </c>
      <c r="I11207" s="5" t="s">
        <v>31</v>
      </c>
      <c r="J11207" s="5">
        <v>16.860156</v>
      </c>
      <c r="K11207" s="5">
        <v>-96.689189999999996</v>
      </c>
      <c r="L11207" s="5" t="str">
        <f>HYPERLINK("https://maps.google.com/?q=16.860156,-96.68919", "🔗 Ver Mapa")</f>
        <v>🔗 Ver Mapa</v>
      </c>
    </row>
    <row r="11208" spans="1:12" ht="43.5" x14ac:dyDescent="0.35">
      <c r="A11208" s="6" t="s">
        <v>288</v>
      </c>
      <c r="B11208" s="6" t="s">
        <v>289</v>
      </c>
      <c r="C11208" s="6" t="s">
        <v>1954</v>
      </c>
      <c r="D11208" s="6" t="s">
        <v>745</v>
      </c>
      <c r="E11208" s="6" t="s">
        <v>16</v>
      </c>
      <c r="F11208" s="6" t="s">
        <v>21</v>
      </c>
      <c r="G11208" s="6" t="s">
        <v>699</v>
      </c>
      <c r="H11208" s="6" t="s">
        <v>1955</v>
      </c>
      <c r="I11208" s="6" t="s">
        <v>31</v>
      </c>
      <c r="J11208" s="6">
        <v>16.998124000000001</v>
      </c>
      <c r="K11208" s="6">
        <v>-97.797821999999996</v>
      </c>
      <c r="L11208" s="6" t="str">
        <f>HYPERLINK("https://maps.google.com/?q=16.998124,-97.797821999999996", "🔗 Ver Mapa")</f>
        <v>🔗 Ver Mapa</v>
      </c>
    </row>
    <row r="11209" spans="1:12" ht="43.5" x14ac:dyDescent="0.35">
      <c r="A11209" s="5" t="s">
        <v>288</v>
      </c>
      <c r="B11209" s="5" t="s">
        <v>289</v>
      </c>
      <c r="C11209" s="5" t="s">
        <v>1954</v>
      </c>
      <c r="D11209" s="5" t="s">
        <v>745</v>
      </c>
      <c r="E11209" s="5" t="s">
        <v>16</v>
      </c>
      <c r="F11209" s="5" t="s">
        <v>21</v>
      </c>
      <c r="G11209" s="5" t="s">
        <v>699</v>
      </c>
      <c r="H11209" s="5" t="s">
        <v>1955</v>
      </c>
      <c r="I11209" s="5" t="s">
        <v>31</v>
      </c>
      <c r="J11209" s="5">
        <v>16.998415000000001</v>
      </c>
      <c r="K11209" s="5">
        <v>-97.798137999999994</v>
      </c>
      <c r="L11209" s="5" t="str">
        <f>HYPERLINK("https://maps.google.com/?q=16.998415,-97.798137999999994", "🔗 Ver Mapa")</f>
        <v>🔗 Ver Mapa</v>
      </c>
    </row>
    <row r="11210" spans="1:12" ht="43.5" x14ac:dyDescent="0.35">
      <c r="A11210" s="6" t="s">
        <v>288</v>
      </c>
      <c r="B11210" s="6" t="s">
        <v>289</v>
      </c>
      <c r="C11210" s="6" t="s">
        <v>1954</v>
      </c>
      <c r="D11210" s="6" t="s">
        <v>745</v>
      </c>
      <c r="E11210" s="6" t="s">
        <v>16</v>
      </c>
      <c r="F11210" s="6" t="s">
        <v>21</v>
      </c>
      <c r="G11210" s="6" t="s">
        <v>699</v>
      </c>
      <c r="H11210" s="6" t="s">
        <v>1955</v>
      </c>
      <c r="I11210" s="6" t="s">
        <v>31</v>
      </c>
      <c r="J11210" s="6">
        <v>16.998822000000001</v>
      </c>
      <c r="K11210" s="6">
        <v>-97.798145000000005</v>
      </c>
      <c r="L11210" s="6" t="str">
        <f>HYPERLINK("https://maps.google.com/?q=16.998822,-97.798145000000005", "🔗 Ver Mapa")</f>
        <v>🔗 Ver Mapa</v>
      </c>
    </row>
    <row r="11211" spans="1:12" ht="43.5" x14ac:dyDescent="0.35">
      <c r="A11211" s="5" t="s">
        <v>288</v>
      </c>
      <c r="B11211" s="5" t="s">
        <v>289</v>
      </c>
      <c r="C11211" s="5" t="s">
        <v>1954</v>
      </c>
      <c r="D11211" s="5" t="s">
        <v>745</v>
      </c>
      <c r="E11211" s="5" t="s">
        <v>16</v>
      </c>
      <c r="F11211" s="5" t="s">
        <v>21</v>
      </c>
      <c r="G11211" s="5" t="s">
        <v>699</v>
      </c>
      <c r="H11211" s="5" t="s">
        <v>1955</v>
      </c>
      <c r="I11211" s="5" t="s">
        <v>31</v>
      </c>
      <c r="J11211" s="5">
        <v>16.999189000000001</v>
      </c>
      <c r="K11211" s="5">
        <v>-97.797701000000004</v>
      </c>
      <c r="L11211" s="5" t="str">
        <f>HYPERLINK("https://maps.google.com/?q=16.999189,-97.797701000000004", "🔗 Ver Mapa")</f>
        <v>🔗 Ver Mapa</v>
      </c>
    </row>
    <row r="11212" spans="1:12" ht="43.5" x14ac:dyDescent="0.35">
      <c r="A11212" s="6" t="s">
        <v>288</v>
      </c>
      <c r="B11212" s="6" t="s">
        <v>289</v>
      </c>
      <c r="C11212" s="6" t="s">
        <v>1954</v>
      </c>
      <c r="D11212" s="6" t="s">
        <v>745</v>
      </c>
      <c r="E11212" s="6" t="s">
        <v>16</v>
      </c>
      <c r="F11212" s="6" t="s">
        <v>21</v>
      </c>
      <c r="G11212" s="6" t="s">
        <v>699</v>
      </c>
      <c r="H11212" s="6" t="s">
        <v>1955</v>
      </c>
      <c r="I11212" s="6" t="s">
        <v>31</v>
      </c>
      <c r="J11212" s="6">
        <v>16.999210000000001</v>
      </c>
      <c r="K11212" s="6">
        <v>-97.798141999999999</v>
      </c>
      <c r="L11212" s="6" t="str">
        <f>HYPERLINK("https://maps.google.com/?q=16.99921,-97.798141999999999", "🔗 Ver Mapa")</f>
        <v>🔗 Ver Mapa</v>
      </c>
    </row>
    <row r="11213" spans="1:12" ht="43.5" x14ac:dyDescent="0.35">
      <c r="A11213" s="5" t="s">
        <v>288</v>
      </c>
      <c r="B11213" s="5" t="s">
        <v>289</v>
      </c>
      <c r="C11213" s="5" t="s">
        <v>1954</v>
      </c>
      <c r="D11213" s="5" t="s">
        <v>745</v>
      </c>
      <c r="E11213" s="5" t="s">
        <v>16</v>
      </c>
      <c r="F11213" s="5" t="s">
        <v>21</v>
      </c>
      <c r="G11213" s="5" t="s">
        <v>699</v>
      </c>
      <c r="H11213" s="5" t="s">
        <v>1955</v>
      </c>
      <c r="I11213" s="5" t="s">
        <v>31</v>
      </c>
      <c r="J11213" s="5">
        <v>16.999383000000002</v>
      </c>
      <c r="K11213" s="5">
        <v>-97.797476000000003</v>
      </c>
      <c r="L11213" s="5" t="str">
        <f>HYPERLINK("https://maps.google.com/?q=16.999383,-97.797476000000003", "🔗 Ver Mapa")</f>
        <v>🔗 Ver Mapa</v>
      </c>
    </row>
    <row r="11214" spans="1:12" ht="43.5" x14ac:dyDescent="0.35">
      <c r="A11214" s="6" t="s">
        <v>288</v>
      </c>
      <c r="B11214" s="6" t="s">
        <v>289</v>
      </c>
      <c r="C11214" s="6" t="s">
        <v>1954</v>
      </c>
      <c r="D11214" s="6" t="s">
        <v>745</v>
      </c>
      <c r="E11214" s="6" t="s">
        <v>16</v>
      </c>
      <c r="F11214" s="6" t="s">
        <v>21</v>
      </c>
      <c r="G11214" s="6" t="s">
        <v>699</v>
      </c>
      <c r="H11214" s="6" t="s">
        <v>1955</v>
      </c>
      <c r="I11214" s="6" t="s">
        <v>31</v>
      </c>
      <c r="J11214" s="6">
        <v>16.999535999999999</v>
      </c>
      <c r="K11214" s="6">
        <v>-97.797987000000006</v>
      </c>
      <c r="L11214" s="6" t="str">
        <f>HYPERLINK("https://maps.google.com/?q=16.999536,-97.797987000000006", "🔗 Ver Mapa")</f>
        <v>🔗 Ver Mapa</v>
      </c>
    </row>
    <row r="11215" spans="1:12" ht="43.5" x14ac:dyDescent="0.35">
      <c r="A11215" s="5" t="s">
        <v>288</v>
      </c>
      <c r="B11215" s="5" t="s">
        <v>289</v>
      </c>
      <c r="C11215" s="5" t="s">
        <v>1954</v>
      </c>
      <c r="D11215" s="5" t="s">
        <v>745</v>
      </c>
      <c r="E11215" s="5" t="s">
        <v>16</v>
      </c>
      <c r="F11215" s="5" t="s">
        <v>21</v>
      </c>
      <c r="G11215" s="5" t="s">
        <v>699</v>
      </c>
      <c r="H11215" s="5" t="s">
        <v>1955</v>
      </c>
      <c r="I11215" s="5" t="s">
        <v>31</v>
      </c>
      <c r="J11215" s="5">
        <v>16.999794000000001</v>
      </c>
      <c r="K11215" s="5">
        <v>-97.797461999999996</v>
      </c>
      <c r="L11215" s="5" t="str">
        <f>HYPERLINK("https://maps.google.com/?q=16.999794,-97.797461999999996", "🔗 Ver Mapa")</f>
        <v>🔗 Ver Mapa</v>
      </c>
    </row>
    <row r="11216" spans="1:12" ht="43.5" x14ac:dyDescent="0.35">
      <c r="A11216" s="6" t="s">
        <v>288</v>
      </c>
      <c r="B11216" s="6" t="s">
        <v>289</v>
      </c>
      <c r="C11216" s="6" t="s">
        <v>1954</v>
      </c>
      <c r="D11216" s="6" t="s">
        <v>745</v>
      </c>
      <c r="E11216" s="6" t="s">
        <v>16</v>
      </c>
      <c r="F11216" s="6" t="s">
        <v>21</v>
      </c>
      <c r="G11216" s="6" t="s">
        <v>699</v>
      </c>
      <c r="H11216" s="6" t="s">
        <v>1955</v>
      </c>
      <c r="I11216" s="6" t="s">
        <v>31</v>
      </c>
      <c r="J11216" s="6">
        <v>17.000128</v>
      </c>
      <c r="K11216" s="6">
        <v>-97.797441000000006</v>
      </c>
      <c r="L11216" s="6" t="str">
        <f>HYPERLINK("https://maps.google.com/?q=17.000128,-97.797441000000006", "🔗 Ver Mapa")</f>
        <v>🔗 Ver Mapa</v>
      </c>
    </row>
    <row r="11217" spans="1:12" ht="43.5" x14ac:dyDescent="0.35">
      <c r="A11217" s="5" t="s">
        <v>288</v>
      </c>
      <c r="B11217" s="5" t="s">
        <v>289</v>
      </c>
      <c r="C11217" s="5" t="s">
        <v>1954</v>
      </c>
      <c r="D11217" s="5" t="s">
        <v>745</v>
      </c>
      <c r="E11217" s="5" t="s">
        <v>16</v>
      </c>
      <c r="F11217" s="5" t="s">
        <v>21</v>
      </c>
      <c r="G11217" s="5" t="s">
        <v>699</v>
      </c>
      <c r="H11217" s="5" t="s">
        <v>1955</v>
      </c>
      <c r="I11217" s="5" t="s">
        <v>31</v>
      </c>
      <c r="J11217" s="5">
        <v>17.000171000000002</v>
      </c>
      <c r="K11217" s="5">
        <v>-97.797083999999998</v>
      </c>
      <c r="L11217" s="5" t="str">
        <f>HYPERLINK("https://maps.google.com/?q=17.000171,-97.797083999999998", "🔗 Ver Mapa")</f>
        <v>🔗 Ver Mapa</v>
      </c>
    </row>
    <row r="11218" spans="1:12" ht="72.5" x14ac:dyDescent="0.35">
      <c r="A11218" s="6" t="s">
        <v>674</v>
      </c>
      <c r="B11218" s="6" t="s">
        <v>675</v>
      </c>
      <c r="C11218" s="6" t="s">
        <v>1956</v>
      </c>
      <c r="D11218" s="6" t="s">
        <v>677</v>
      </c>
      <c r="E11218" s="6" t="s">
        <v>90</v>
      </c>
      <c r="F11218" s="6" t="s">
        <v>119</v>
      </c>
      <c r="G11218" s="6" t="s">
        <v>1957</v>
      </c>
      <c r="H11218" s="6" t="s">
        <v>1958</v>
      </c>
      <c r="I11218" s="6" t="s">
        <v>31</v>
      </c>
      <c r="J11218" s="6">
        <v>17.317544999999999</v>
      </c>
      <c r="K11218" s="6" t="s">
        <v>1959</v>
      </c>
      <c r="L11218" s="6" t="str">
        <f>HYPERLINK("https://maps.google.com/?q=17.317545,-96.555313 ", "🔗 Ver Mapa")</f>
        <v>🔗 Ver Mapa</v>
      </c>
    </row>
    <row r="11219" spans="1:12" ht="72.5" x14ac:dyDescent="0.35">
      <c r="A11219" s="5" t="s">
        <v>674</v>
      </c>
      <c r="B11219" s="5" t="s">
        <v>675</v>
      </c>
      <c r="C11219" s="5" t="s">
        <v>1956</v>
      </c>
      <c r="D11219" s="5" t="s">
        <v>677</v>
      </c>
      <c r="E11219" s="5" t="s">
        <v>90</v>
      </c>
      <c r="F11219" s="5" t="s">
        <v>119</v>
      </c>
      <c r="G11219" s="5" t="s">
        <v>1957</v>
      </c>
      <c r="H11219" s="5" t="s">
        <v>1958</v>
      </c>
      <c r="I11219" s="5" t="s">
        <v>31</v>
      </c>
      <c r="J11219" s="5">
        <v>17.319054999999999</v>
      </c>
      <c r="K11219" s="5">
        <v>-96.566723999999994</v>
      </c>
      <c r="L11219" s="5" t="str">
        <f>HYPERLINK("https://maps.google.com/?q=17.319055,-96.566724", "🔗 Ver Mapa")</f>
        <v>🔗 Ver Mapa</v>
      </c>
    </row>
    <row r="11220" spans="1:12" ht="72.5" x14ac:dyDescent="0.35">
      <c r="A11220" s="6" t="s">
        <v>674</v>
      </c>
      <c r="B11220" s="6" t="s">
        <v>675</v>
      </c>
      <c r="C11220" s="6" t="s">
        <v>1956</v>
      </c>
      <c r="D11220" s="6" t="s">
        <v>677</v>
      </c>
      <c r="E11220" s="6" t="s">
        <v>90</v>
      </c>
      <c r="F11220" s="6" t="s">
        <v>119</v>
      </c>
      <c r="G11220" s="6" t="s">
        <v>1957</v>
      </c>
      <c r="H11220" s="6" t="s">
        <v>1958</v>
      </c>
      <c r="I11220" s="6" t="s">
        <v>31</v>
      </c>
      <c r="J11220" s="6">
        <v>17.328752999999999</v>
      </c>
      <c r="K11220" s="6">
        <v>-96.558902000000003</v>
      </c>
      <c r="L11220" s="6" t="str">
        <f>HYPERLINK("https://maps.google.com/?q=17.328753,-96.558902", "🔗 Ver Mapa")</f>
        <v>🔗 Ver Mapa</v>
      </c>
    </row>
    <row r="11221" spans="1:12" ht="72.5" x14ac:dyDescent="0.35">
      <c r="A11221" s="5" t="s">
        <v>674</v>
      </c>
      <c r="B11221" s="5" t="s">
        <v>675</v>
      </c>
      <c r="C11221" s="5" t="s">
        <v>1960</v>
      </c>
      <c r="D11221" s="5" t="s">
        <v>677</v>
      </c>
      <c r="E11221" s="5" t="s">
        <v>17</v>
      </c>
      <c r="F11221" s="5" t="s">
        <v>59</v>
      </c>
      <c r="G11221" s="5" t="s">
        <v>1961</v>
      </c>
      <c r="H11221" s="5" t="s">
        <v>1962</v>
      </c>
      <c r="I11221" s="5" t="s">
        <v>31</v>
      </c>
      <c r="J11221" s="5">
        <v>16.54035</v>
      </c>
      <c r="K11221" s="5">
        <v>-98.168492000000001</v>
      </c>
      <c r="L11221" s="5" t="str">
        <f>HYPERLINK("https://maps.google.com/?q=16.54035,-98.168492", "🔗 Ver Mapa")</f>
        <v>🔗 Ver Mapa</v>
      </c>
    </row>
    <row r="11222" spans="1:12" ht="72.5" x14ac:dyDescent="0.35">
      <c r="A11222" s="6" t="s">
        <v>674</v>
      </c>
      <c r="B11222" s="6" t="s">
        <v>675</v>
      </c>
      <c r="C11222" s="6" t="s">
        <v>1960</v>
      </c>
      <c r="D11222" s="6" t="s">
        <v>677</v>
      </c>
      <c r="E11222" s="6" t="s">
        <v>17</v>
      </c>
      <c r="F11222" s="6" t="s">
        <v>59</v>
      </c>
      <c r="G11222" s="6" t="s">
        <v>1961</v>
      </c>
      <c r="H11222" s="6" t="s">
        <v>1962</v>
      </c>
      <c r="I11222" s="6" t="s">
        <v>31</v>
      </c>
      <c r="J11222" s="6">
        <v>16.541605000000001</v>
      </c>
      <c r="K11222" s="6">
        <v>-98.166331</v>
      </c>
      <c r="L11222" s="6" t="str">
        <f>HYPERLINK("https://maps.google.com/?q=16.541605,-98.166331", "🔗 Ver Mapa")</f>
        <v>🔗 Ver Mapa</v>
      </c>
    </row>
    <row r="11223" spans="1:12" ht="72.5" x14ac:dyDescent="0.35">
      <c r="A11223" s="5" t="s">
        <v>674</v>
      </c>
      <c r="B11223" s="5" t="s">
        <v>675</v>
      </c>
      <c r="C11223" s="5" t="s">
        <v>1960</v>
      </c>
      <c r="D11223" s="5" t="s">
        <v>677</v>
      </c>
      <c r="E11223" s="5" t="s">
        <v>17</v>
      </c>
      <c r="F11223" s="5" t="s">
        <v>59</v>
      </c>
      <c r="G11223" s="5" t="s">
        <v>1961</v>
      </c>
      <c r="H11223" s="5" t="s">
        <v>1962</v>
      </c>
      <c r="I11223" s="5" t="s">
        <v>31</v>
      </c>
      <c r="J11223" s="5">
        <v>16.5443</v>
      </c>
      <c r="K11223" s="5">
        <v>-98.1678</v>
      </c>
      <c r="L11223" s="5" t="str">
        <f>HYPERLINK("https://maps.google.com/?q=16.5443,-98.167800", "🔗 Ver Mapa")</f>
        <v>🔗 Ver Mapa</v>
      </c>
    </row>
    <row r="11224" spans="1:12" ht="72.5" x14ac:dyDescent="0.35">
      <c r="A11224" s="6" t="s">
        <v>674</v>
      </c>
      <c r="B11224" s="6" t="s">
        <v>675</v>
      </c>
      <c r="C11224" s="6" t="s">
        <v>1963</v>
      </c>
      <c r="D11224" s="6" t="s">
        <v>677</v>
      </c>
      <c r="E11224" s="6" t="s">
        <v>90</v>
      </c>
      <c r="F11224" s="6" t="s">
        <v>119</v>
      </c>
      <c r="G11224" s="6" t="s">
        <v>1791</v>
      </c>
      <c r="H11224" s="6" t="s">
        <v>1792</v>
      </c>
      <c r="I11224" s="6" t="s">
        <v>31</v>
      </c>
      <c r="J11224" s="6">
        <v>17.428232000000001</v>
      </c>
      <c r="K11224" s="6">
        <v>-96.656785999999997</v>
      </c>
      <c r="L11224" s="6" t="str">
        <f>HYPERLINK("https://maps.google.com/?q=17.428232,-96.656786", "🔗 Ver Mapa")</f>
        <v>🔗 Ver Mapa</v>
      </c>
    </row>
    <row r="11225" spans="1:12" ht="72.5" x14ac:dyDescent="0.35">
      <c r="A11225" s="5" t="s">
        <v>674</v>
      </c>
      <c r="B11225" s="5" t="s">
        <v>675</v>
      </c>
      <c r="C11225" s="5" t="s">
        <v>1963</v>
      </c>
      <c r="D11225" s="5" t="s">
        <v>677</v>
      </c>
      <c r="E11225" s="5" t="s">
        <v>90</v>
      </c>
      <c r="F11225" s="5" t="s">
        <v>119</v>
      </c>
      <c r="G11225" s="5" t="s">
        <v>1791</v>
      </c>
      <c r="H11225" s="5" t="s">
        <v>1792</v>
      </c>
      <c r="I11225" s="5" t="s">
        <v>31</v>
      </c>
      <c r="J11225" s="5">
        <v>17.431356000000001</v>
      </c>
      <c r="K11225" s="5">
        <v>-96.653919999999999</v>
      </c>
      <c r="L11225" s="5" t="str">
        <f>HYPERLINK("https://maps.google.com/?q=17.431356,-96.653920", "🔗 Ver Mapa")</f>
        <v>🔗 Ver Mapa</v>
      </c>
    </row>
    <row r="11226" spans="1:12" ht="72.5" x14ac:dyDescent="0.35">
      <c r="A11226" s="6" t="s">
        <v>674</v>
      </c>
      <c r="B11226" s="6" t="s">
        <v>675</v>
      </c>
      <c r="C11226" s="6" t="s">
        <v>1963</v>
      </c>
      <c r="D11226" s="6" t="s">
        <v>677</v>
      </c>
      <c r="E11226" s="6" t="s">
        <v>90</v>
      </c>
      <c r="F11226" s="6" t="s">
        <v>119</v>
      </c>
      <c r="G11226" s="6" t="s">
        <v>1791</v>
      </c>
      <c r="H11226" s="6" t="s">
        <v>1792</v>
      </c>
      <c r="I11226" s="6" t="s">
        <v>31</v>
      </c>
      <c r="J11226" s="6">
        <v>17.433</v>
      </c>
      <c r="K11226" s="6">
        <v>-96.656728999999999</v>
      </c>
      <c r="L11226" s="6" t="str">
        <f>HYPERLINK("https://maps.google.com/?q=17.433,-96.656729", "🔗 Ver Mapa")</f>
        <v>🔗 Ver Mapa</v>
      </c>
    </row>
    <row r="11227" spans="1:12" ht="72.5" x14ac:dyDescent="0.35">
      <c r="A11227" s="5" t="s">
        <v>674</v>
      </c>
      <c r="B11227" s="5" t="s">
        <v>675</v>
      </c>
      <c r="C11227" s="5" t="s">
        <v>1964</v>
      </c>
      <c r="D11227" s="5" t="s">
        <v>677</v>
      </c>
      <c r="E11227" s="5" t="s">
        <v>16</v>
      </c>
      <c r="F11227" s="5" t="s">
        <v>95</v>
      </c>
      <c r="G11227" s="5" t="s">
        <v>1965</v>
      </c>
      <c r="H11227" s="5" t="s">
        <v>1966</v>
      </c>
      <c r="I11227" s="5" t="s">
        <v>31</v>
      </c>
      <c r="J11227" s="5">
        <v>17.507740999999999</v>
      </c>
      <c r="K11227" s="5">
        <v>-97.631266999999994</v>
      </c>
      <c r="L11227" s="5" t="str">
        <f>HYPERLINK("https://maps.google.com/?q=17.507741,-97.631267", "🔗 Ver Mapa")</f>
        <v>🔗 Ver Mapa</v>
      </c>
    </row>
    <row r="11228" spans="1:12" ht="72.5" x14ac:dyDescent="0.35">
      <c r="A11228" s="6" t="s">
        <v>674</v>
      </c>
      <c r="B11228" s="6" t="s">
        <v>675</v>
      </c>
      <c r="C11228" s="6" t="s">
        <v>1964</v>
      </c>
      <c r="D11228" s="6" t="s">
        <v>677</v>
      </c>
      <c r="E11228" s="6" t="s">
        <v>16</v>
      </c>
      <c r="F11228" s="6" t="s">
        <v>95</v>
      </c>
      <c r="G11228" s="6" t="s">
        <v>1965</v>
      </c>
      <c r="H11228" s="6" t="s">
        <v>1966</v>
      </c>
      <c r="I11228" s="6" t="s">
        <v>31</v>
      </c>
      <c r="J11228" s="6">
        <v>17.511272999999999</v>
      </c>
      <c r="K11228" s="6">
        <v>-97.636583999999999</v>
      </c>
      <c r="L11228" s="6" t="str">
        <f>HYPERLINK("https://maps.google.com/?q=17.511273,-97.636584", "🔗 Ver Mapa")</f>
        <v>🔗 Ver Mapa</v>
      </c>
    </row>
    <row r="11229" spans="1:12" ht="72.5" x14ac:dyDescent="0.35">
      <c r="A11229" s="5" t="s">
        <v>674</v>
      </c>
      <c r="B11229" s="5" t="s">
        <v>675</v>
      </c>
      <c r="C11229" s="5" t="s">
        <v>1964</v>
      </c>
      <c r="D11229" s="5" t="s">
        <v>677</v>
      </c>
      <c r="E11229" s="5" t="s">
        <v>16</v>
      </c>
      <c r="F11229" s="5" t="s">
        <v>95</v>
      </c>
      <c r="G11229" s="5" t="s">
        <v>1965</v>
      </c>
      <c r="H11229" s="5" t="s">
        <v>1966</v>
      </c>
      <c r="I11229" s="5" t="s">
        <v>31</v>
      </c>
      <c r="J11229" s="5">
        <v>17.512703999999999</v>
      </c>
      <c r="K11229" s="5">
        <v>-97.641859999999994</v>
      </c>
      <c r="L11229" s="5" t="str">
        <f>HYPERLINK("https://maps.google.com/?q=17.512704,-97.641860", "🔗 Ver Mapa")</f>
        <v>🔗 Ver Mapa</v>
      </c>
    </row>
    <row r="11230" spans="1:12" ht="72.5" x14ac:dyDescent="0.35">
      <c r="A11230" s="6" t="s">
        <v>674</v>
      </c>
      <c r="B11230" s="6" t="s">
        <v>675</v>
      </c>
      <c r="C11230" s="6" t="s">
        <v>1967</v>
      </c>
      <c r="D11230" s="6" t="s">
        <v>677</v>
      </c>
      <c r="E11230" s="6" t="s">
        <v>17</v>
      </c>
      <c r="F11230" s="6" t="s">
        <v>59</v>
      </c>
      <c r="G11230" s="6" t="s">
        <v>1961</v>
      </c>
      <c r="H11230" s="6" t="s">
        <v>1968</v>
      </c>
      <c r="I11230" s="6" t="s">
        <v>31</v>
      </c>
      <c r="J11230" s="6">
        <v>16.508745999999999</v>
      </c>
      <c r="K11230" s="6">
        <v>-98.159469999999999</v>
      </c>
      <c r="L11230" s="6" t="str">
        <f>HYPERLINK("https://maps.google.com/?q=16.508746,-98.159470", "🔗 Ver Mapa")</f>
        <v>🔗 Ver Mapa</v>
      </c>
    </row>
    <row r="11231" spans="1:12" ht="72.5" x14ac:dyDescent="0.35">
      <c r="A11231" s="5" t="s">
        <v>674</v>
      </c>
      <c r="B11231" s="5" t="s">
        <v>675</v>
      </c>
      <c r="C11231" s="5" t="s">
        <v>1967</v>
      </c>
      <c r="D11231" s="5" t="s">
        <v>677</v>
      </c>
      <c r="E11231" s="5" t="s">
        <v>17</v>
      </c>
      <c r="F11231" s="5" t="s">
        <v>59</v>
      </c>
      <c r="G11231" s="5" t="s">
        <v>1961</v>
      </c>
      <c r="H11231" s="5" t="s">
        <v>1968</v>
      </c>
      <c r="I11231" s="5" t="s">
        <v>31</v>
      </c>
      <c r="J11231" s="5">
        <v>16.509516000000001</v>
      </c>
      <c r="K11231" s="5">
        <v>-98.162880000000001</v>
      </c>
      <c r="L11231" s="5" t="str">
        <f>HYPERLINK("https://maps.google.com/?q=16.509516,-98.162880", "🔗 Ver Mapa")</f>
        <v>🔗 Ver Mapa</v>
      </c>
    </row>
    <row r="11232" spans="1:12" ht="72.5" x14ac:dyDescent="0.35">
      <c r="A11232" s="6" t="s">
        <v>674</v>
      </c>
      <c r="B11232" s="6" t="s">
        <v>675</v>
      </c>
      <c r="C11232" s="6" t="s">
        <v>1967</v>
      </c>
      <c r="D11232" s="6" t="s">
        <v>677</v>
      </c>
      <c r="E11232" s="6" t="s">
        <v>17</v>
      </c>
      <c r="F11232" s="6" t="s">
        <v>59</v>
      </c>
      <c r="G11232" s="6" t="s">
        <v>1961</v>
      </c>
      <c r="H11232" s="6" t="s">
        <v>1968</v>
      </c>
      <c r="I11232" s="6" t="s">
        <v>31</v>
      </c>
      <c r="J11232" s="6">
        <v>16.510120000000001</v>
      </c>
      <c r="K11232" s="6">
        <v>-98.156307999999996</v>
      </c>
      <c r="L11232" s="6" t="str">
        <f>HYPERLINK("https://maps.google.com/?q=16.51012,-98.156308", "🔗 Ver Mapa")</f>
        <v>🔗 Ver Mapa</v>
      </c>
    </row>
    <row r="11233" spans="1:12" ht="43.5" x14ac:dyDescent="0.35">
      <c r="A11233" s="5" t="s">
        <v>98</v>
      </c>
      <c r="B11233" s="5" t="s">
        <v>99</v>
      </c>
      <c r="C11233" s="5" t="s">
        <v>1969</v>
      </c>
      <c r="D11233" s="5" t="s">
        <v>14</v>
      </c>
      <c r="E11233" s="5" t="s">
        <v>16</v>
      </c>
      <c r="F11233" s="5" t="s">
        <v>21</v>
      </c>
      <c r="G11233" s="5" t="s">
        <v>25</v>
      </c>
      <c r="H11233" s="5" t="s">
        <v>1763</v>
      </c>
      <c r="I11233" s="5" t="s">
        <v>31</v>
      </c>
      <c r="J11233" s="5">
        <v>17.115078755258999</v>
      </c>
      <c r="K11233" s="5">
        <v>-97.496558791164006</v>
      </c>
      <c r="L11233" s="5" t="str">
        <f>HYPERLINK("https://maps.google.com/?q=17.1150787552589,-97.496558791163906", "🔗 Ver Mapa")</f>
        <v>🔗 Ver Mapa</v>
      </c>
    </row>
    <row r="11234" spans="1:12" ht="43.5" x14ac:dyDescent="0.35">
      <c r="A11234" s="6" t="s">
        <v>98</v>
      </c>
      <c r="B11234" s="6" t="s">
        <v>99</v>
      </c>
      <c r="C11234" s="6" t="s">
        <v>1969</v>
      </c>
      <c r="D11234" s="6" t="s">
        <v>14</v>
      </c>
      <c r="E11234" s="6" t="s">
        <v>16</v>
      </c>
      <c r="F11234" s="6" t="s">
        <v>21</v>
      </c>
      <c r="G11234" s="6" t="s">
        <v>25</v>
      </c>
      <c r="H11234" s="6" t="s">
        <v>1763</v>
      </c>
      <c r="I11234" s="6" t="s">
        <v>31</v>
      </c>
      <c r="J11234" s="6">
        <v>17.118609367617001</v>
      </c>
      <c r="K11234" s="6">
        <v>-97.496962772209002</v>
      </c>
      <c r="L11234" s="6" t="str">
        <f>HYPERLINK("https://maps.google.com/?q=17.1186093676173,-97.496962772209002", "🔗 Ver Mapa")</f>
        <v>🔗 Ver Mapa</v>
      </c>
    </row>
    <row r="11235" spans="1:12" ht="43.5" x14ac:dyDescent="0.35">
      <c r="A11235" s="5" t="s">
        <v>98</v>
      </c>
      <c r="B11235" s="5" t="s">
        <v>99</v>
      </c>
      <c r="C11235" s="5" t="s">
        <v>1969</v>
      </c>
      <c r="D11235" s="5" t="s">
        <v>14</v>
      </c>
      <c r="E11235" s="5" t="s">
        <v>16</v>
      </c>
      <c r="F11235" s="5" t="s">
        <v>21</v>
      </c>
      <c r="G11235" s="5" t="s">
        <v>25</v>
      </c>
      <c r="H11235" s="5" t="s">
        <v>1763</v>
      </c>
      <c r="I11235" s="5" t="s">
        <v>31</v>
      </c>
      <c r="J11235" s="5">
        <v>17.120519449334001</v>
      </c>
      <c r="K11235" s="5">
        <v>-97.495226556627003</v>
      </c>
      <c r="L11235" s="5" t="str">
        <f>HYPERLINK("https://maps.google.com/?q=17.1205194493341,-97.495226556627102", "🔗 Ver Mapa")</f>
        <v>🔗 Ver Mapa</v>
      </c>
    </row>
    <row r="11236" spans="1:12" ht="43.5" x14ac:dyDescent="0.35">
      <c r="A11236" s="6" t="s">
        <v>98</v>
      </c>
      <c r="B11236" s="6" t="s">
        <v>99</v>
      </c>
      <c r="C11236" s="6" t="s">
        <v>1969</v>
      </c>
      <c r="D11236" s="6" t="s">
        <v>14</v>
      </c>
      <c r="E11236" s="6" t="s">
        <v>16</v>
      </c>
      <c r="F11236" s="6" t="s">
        <v>21</v>
      </c>
      <c r="G11236" s="6" t="s">
        <v>25</v>
      </c>
      <c r="H11236" s="6" t="s">
        <v>1763</v>
      </c>
      <c r="I11236" s="6" t="s">
        <v>31</v>
      </c>
      <c r="J11236" s="6">
        <v>17.120621557993001</v>
      </c>
      <c r="K11236" s="6">
        <v>-97.498581192065004</v>
      </c>
      <c r="L11236" s="6" t="str">
        <f>HYPERLINK("https://maps.google.com/?q=17.1206215579925,-97.498581192065004", "🔗 Ver Mapa")</f>
        <v>🔗 Ver Mapa</v>
      </c>
    </row>
    <row r="11237" spans="1:12" ht="43.5" x14ac:dyDescent="0.35">
      <c r="A11237" s="5" t="s">
        <v>98</v>
      </c>
      <c r="B11237" s="5" t="s">
        <v>99</v>
      </c>
      <c r="C11237" s="5" t="s">
        <v>1969</v>
      </c>
      <c r="D11237" s="5" t="s">
        <v>14</v>
      </c>
      <c r="E11237" s="5" t="s">
        <v>16</v>
      </c>
      <c r="F11237" s="5" t="s">
        <v>21</v>
      </c>
      <c r="G11237" s="5" t="s">
        <v>25</v>
      </c>
      <c r="H11237" s="5" t="s">
        <v>1763</v>
      </c>
      <c r="I11237" s="5" t="s">
        <v>31</v>
      </c>
      <c r="J11237" s="5">
        <v>17.122436229327</v>
      </c>
      <c r="K11237" s="5">
        <v>-97.497425716627006</v>
      </c>
      <c r="L11237" s="5" t="str">
        <f>HYPERLINK("https://maps.google.com/?q=17.1224362293269,-97.497425716627106", "🔗 Ver Mapa")</f>
        <v>🔗 Ver Mapa</v>
      </c>
    </row>
    <row r="11238" spans="1:12" ht="43.5" x14ac:dyDescent="0.35">
      <c r="A11238" s="6" t="s">
        <v>98</v>
      </c>
      <c r="B11238" s="6" t="s">
        <v>99</v>
      </c>
      <c r="C11238" s="6" t="s">
        <v>1969</v>
      </c>
      <c r="D11238" s="6" t="s">
        <v>14</v>
      </c>
      <c r="E11238" s="6" t="s">
        <v>16</v>
      </c>
      <c r="F11238" s="6" t="s">
        <v>21</v>
      </c>
      <c r="G11238" s="6" t="s">
        <v>25</v>
      </c>
      <c r="H11238" s="6" t="s">
        <v>1763</v>
      </c>
      <c r="I11238" s="6" t="s">
        <v>31</v>
      </c>
      <c r="J11238" s="6">
        <v>17.127468262901001</v>
      </c>
      <c r="K11238" s="6">
        <v>-97.497451557743005</v>
      </c>
      <c r="L11238" s="6" t="str">
        <f>HYPERLINK("https://maps.google.com/?q=17.1274682629015,-97.497451557742707", "🔗 Ver Mapa")</f>
        <v>🔗 Ver Mapa</v>
      </c>
    </row>
    <row r="11239" spans="1:12" ht="43.5" x14ac:dyDescent="0.35">
      <c r="A11239" s="5" t="s">
        <v>98</v>
      </c>
      <c r="B11239" s="5" t="s">
        <v>99</v>
      </c>
      <c r="C11239" s="5" t="s">
        <v>1970</v>
      </c>
      <c r="D11239" s="5" t="s">
        <v>14</v>
      </c>
      <c r="E11239" s="5" t="s">
        <v>140</v>
      </c>
      <c r="F11239" s="5" t="s">
        <v>141</v>
      </c>
      <c r="G11239" s="5" t="s">
        <v>142</v>
      </c>
      <c r="H11239" s="5" t="s">
        <v>377</v>
      </c>
      <c r="I11239" s="5" t="s">
        <v>31</v>
      </c>
      <c r="J11239" s="5">
        <v>17.859614716663</v>
      </c>
      <c r="K11239" s="5">
        <v>-96.304320404798005</v>
      </c>
      <c r="L11239" s="5" t="str">
        <f>HYPERLINK("https://maps.google.com/?q=17.8596147166626,-96.304320404798204", "🔗 Ver Mapa")</f>
        <v>🔗 Ver Mapa</v>
      </c>
    </row>
    <row r="11240" spans="1:12" ht="43.5" x14ac:dyDescent="0.35">
      <c r="A11240" s="6" t="s">
        <v>98</v>
      </c>
      <c r="B11240" s="6" t="s">
        <v>99</v>
      </c>
      <c r="C11240" s="6" t="s">
        <v>1970</v>
      </c>
      <c r="D11240" s="6" t="s">
        <v>14</v>
      </c>
      <c r="E11240" s="6" t="s">
        <v>140</v>
      </c>
      <c r="F11240" s="6" t="s">
        <v>141</v>
      </c>
      <c r="G11240" s="6" t="s">
        <v>142</v>
      </c>
      <c r="H11240" s="6" t="s">
        <v>377</v>
      </c>
      <c r="I11240" s="6" t="s">
        <v>31</v>
      </c>
      <c r="J11240" s="6">
        <v>17.861058411538998</v>
      </c>
      <c r="K11240" s="6">
        <v>-96.304825998235998</v>
      </c>
      <c r="L11240" s="6" t="str">
        <f>HYPERLINK("https://maps.google.com/?q=17.8610584115395,-96.304825998236097", "🔗 Ver Mapa")</f>
        <v>🔗 Ver Mapa</v>
      </c>
    </row>
    <row r="11241" spans="1:12" ht="43.5" x14ac:dyDescent="0.35">
      <c r="A11241" s="5" t="s">
        <v>98</v>
      </c>
      <c r="B11241" s="5" t="s">
        <v>99</v>
      </c>
      <c r="C11241" s="5" t="s">
        <v>1970</v>
      </c>
      <c r="D11241" s="5" t="s">
        <v>14</v>
      </c>
      <c r="E11241" s="5" t="s">
        <v>140</v>
      </c>
      <c r="F11241" s="5" t="s">
        <v>141</v>
      </c>
      <c r="G11241" s="5" t="s">
        <v>142</v>
      </c>
      <c r="H11241" s="5" t="s">
        <v>377</v>
      </c>
      <c r="I11241" s="5" t="s">
        <v>31</v>
      </c>
      <c r="J11241" s="5">
        <v>17.861255901061</v>
      </c>
      <c r="K11241" s="5">
        <v>-96.305441760232</v>
      </c>
      <c r="L11241" s="5" t="str">
        <f>HYPERLINK("https://maps.google.com/?q=17.861255901061,-96.3054417602321", "🔗 Ver Mapa")</f>
        <v>🔗 Ver Mapa</v>
      </c>
    </row>
    <row r="11242" spans="1:12" ht="43.5" x14ac:dyDescent="0.35">
      <c r="A11242" s="6" t="s">
        <v>98</v>
      </c>
      <c r="B11242" s="6" t="s">
        <v>99</v>
      </c>
      <c r="C11242" s="6" t="s">
        <v>1970</v>
      </c>
      <c r="D11242" s="6" t="s">
        <v>14</v>
      </c>
      <c r="E11242" s="6" t="s">
        <v>140</v>
      </c>
      <c r="F11242" s="6" t="s">
        <v>141</v>
      </c>
      <c r="G11242" s="6" t="s">
        <v>142</v>
      </c>
      <c r="H11242" s="6" t="s">
        <v>377</v>
      </c>
      <c r="I11242" s="6" t="s">
        <v>31</v>
      </c>
      <c r="J11242" s="6">
        <v>17.861424920779001</v>
      </c>
      <c r="K11242" s="6">
        <v>-96.305734644105002</v>
      </c>
      <c r="L11242" s="6" t="str">
        <f>HYPERLINK("https://maps.google.com/?q=17.8614249207788,-96.305734644105399", "🔗 Ver Mapa")</f>
        <v>🔗 Ver Mapa</v>
      </c>
    </row>
    <row r="11243" spans="1:12" ht="43.5" x14ac:dyDescent="0.35">
      <c r="A11243" s="5" t="s">
        <v>98</v>
      </c>
      <c r="B11243" s="5" t="s">
        <v>99</v>
      </c>
      <c r="C11243" s="5" t="s">
        <v>1970</v>
      </c>
      <c r="D11243" s="5" t="s">
        <v>14</v>
      </c>
      <c r="E11243" s="5" t="s">
        <v>140</v>
      </c>
      <c r="F11243" s="5" t="s">
        <v>141</v>
      </c>
      <c r="G11243" s="5" t="s">
        <v>142</v>
      </c>
      <c r="H11243" s="5" t="s">
        <v>377</v>
      </c>
      <c r="I11243" s="5" t="s">
        <v>31</v>
      </c>
      <c r="J11243" s="5">
        <v>17.861908697825999</v>
      </c>
      <c r="K11243" s="5">
        <v>-96.307128056463</v>
      </c>
      <c r="L11243" s="5" t="str">
        <f>HYPERLINK("https://maps.google.com/?q=17.8619086978258,-96.307128056462602", "🔗 Ver Mapa")</f>
        <v>🔗 Ver Mapa</v>
      </c>
    </row>
    <row r="11244" spans="1:12" ht="43.5" x14ac:dyDescent="0.35">
      <c r="A11244" s="6" t="s">
        <v>98</v>
      </c>
      <c r="B11244" s="6" t="s">
        <v>99</v>
      </c>
      <c r="C11244" s="6" t="s">
        <v>1970</v>
      </c>
      <c r="D11244" s="6" t="s">
        <v>14</v>
      </c>
      <c r="E11244" s="6" t="s">
        <v>140</v>
      </c>
      <c r="F11244" s="6" t="s">
        <v>141</v>
      </c>
      <c r="G11244" s="6" t="s">
        <v>142</v>
      </c>
      <c r="H11244" s="6" t="s">
        <v>377</v>
      </c>
      <c r="I11244" s="6" t="s">
        <v>31</v>
      </c>
      <c r="J11244" s="6">
        <v>17.862014642798002</v>
      </c>
      <c r="K11244" s="6">
        <v>-96.305691209686998</v>
      </c>
      <c r="L11244" s="6" t="str">
        <f>HYPERLINK("https://maps.google.com/?q=17.8620146427979,-96.305691209687197", "🔗 Ver Mapa")</f>
        <v>🔗 Ver Mapa</v>
      </c>
    </row>
    <row r="11245" spans="1:12" ht="43.5" x14ac:dyDescent="0.35">
      <c r="A11245" s="5" t="s">
        <v>98</v>
      </c>
      <c r="B11245" s="5" t="s">
        <v>99</v>
      </c>
      <c r="C11245" s="5" t="s">
        <v>1970</v>
      </c>
      <c r="D11245" s="5" t="s">
        <v>14</v>
      </c>
      <c r="E11245" s="5" t="s">
        <v>140</v>
      </c>
      <c r="F11245" s="5" t="s">
        <v>141</v>
      </c>
      <c r="G11245" s="5" t="s">
        <v>142</v>
      </c>
      <c r="H11245" s="5" t="s">
        <v>377</v>
      </c>
      <c r="I11245" s="5" t="s">
        <v>31</v>
      </c>
      <c r="J11245" s="5">
        <v>17.862111657383998</v>
      </c>
      <c r="K11245" s="5">
        <v>-96.306787409880002</v>
      </c>
      <c r="L11245" s="5" t="str">
        <f>HYPERLINK("https://maps.google.com/?q=17.8621116573843,-96.3067874098804", "🔗 Ver Mapa")</f>
        <v>🔗 Ver Mapa</v>
      </c>
    </row>
    <row r="11246" spans="1:12" ht="43.5" x14ac:dyDescent="0.35">
      <c r="A11246" s="6" t="s">
        <v>98</v>
      </c>
      <c r="B11246" s="6" t="s">
        <v>99</v>
      </c>
      <c r="C11246" s="6" t="s">
        <v>1970</v>
      </c>
      <c r="D11246" s="6" t="s">
        <v>14</v>
      </c>
      <c r="E11246" s="6" t="s">
        <v>140</v>
      </c>
      <c r="F11246" s="6" t="s">
        <v>141</v>
      </c>
      <c r="G11246" s="6" t="s">
        <v>142</v>
      </c>
      <c r="H11246" s="6" t="s">
        <v>377</v>
      </c>
      <c r="I11246" s="6" t="s">
        <v>31</v>
      </c>
      <c r="J11246" s="6">
        <v>17.862659257813</v>
      </c>
      <c r="K11246" s="6">
        <v>-96.307711433783993</v>
      </c>
      <c r="L11246" s="6" t="str">
        <f>HYPERLINK("https://maps.google.com/?q=17.8626592578131,-96.307711433783695", "🔗 Ver Mapa")</f>
        <v>🔗 Ver Mapa</v>
      </c>
    </row>
    <row r="11247" spans="1:12" ht="43.5" x14ac:dyDescent="0.35">
      <c r="A11247" s="5" t="s">
        <v>98</v>
      </c>
      <c r="B11247" s="5" t="s">
        <v>99</v>
      </c>
      <c r="C11247" s="5" t="s">
        <v>1970</v>
      </c>
      <c r="D11247" s="5" t="s">
        <v>14</v>
      </c>
      <c r="E11247" s="5" t="s">
        <v>140</v>
      </c>
      <c r="F11247" s="5" t="s">
        <v>141</v>
      </c>
      <c r="G11247" s="5" t="s">
        <v>142</v>
      </c>
      <c r="H11247" s="5" t="s">
        <v>377</v>
      </c>
      <c r="I11247" s="5" t="s">
        <v>31</v>
      </c>
      <c r="J11247" s="5">
        <v>17.862849446154001</v>
      </c>
      <c r="K11247" s="5">
        <v>-96.307467357841006</v>
      </c>
      <c r="L11247" s="5" t="str">
        <f>HYPERLINK("https://maps.google.com/?q=17.8628494461543,-96.307467357840693", "🔗 Ver Mapa")</f>
        <v>🔗 Ver Mapa</v>
      </c>
    </row>
    <row r="11248" spans="1:12" ht="43.5" x14ac:dyDescent="0.35">
      <c r="A11248" s="6" t="s">
        <v>98</v>
      </c>
      <c r="B11248" s="6" t="s">
        <v>99</v>
      </c>
      <c r="C11248" s="6" t="s">
        <v>1970</v>
      </c>
      <c r="D11248" s="6" t="s">
        <v>14</v>
      </c>
      <c r="E11248" s="6" t="s">
        <v>140</v>
      </c>
      <c r="F11248" s="6" t="s">
        <v>141</v>
      </c>
      <c r="G11248" s="6" t="s">
        <v>142</v>
      </c>
      <c r="H11248" s="6" t="s">
        <v>377</v>
      </c>
      <c r="I11248" s="6" t="s">
        <v>31</v>
      </c>
      <c r="J11248" s="6">
        <v>17.863058789575</v>
      </c>
      <c r="K11248" s="6">
        <v>-96.308027416849001</v>
      </c>
      <c r="L11248" s="6" t="str">
        <f>HYPERLINK("https://maps.google.com/?q=17.8630587895751,-96.308027416849399", "🔗 Ver Mapa")</f>
        <v>🔗 Ver Mapa</v>
      </c>
    </row>
    <row r="11249" spans="1:12" ht="43.5" x14ac:dyDescent="0.35">
      <c r="A11249" s="5" t="s">
        <v>98</v>
      </c>
      <c r="B11249" s="5" t="s">
        <v>99</v>
      </c>
      <c r="C11249" s="5" t="s">
        <v>1970</v>
      </c>
      <c r="D11249" s="5" t="s">
        <v>14</v>
      </c>
      <c r="E11249" s="5" t="s">
        <v>140</v>
      </c>
      <c r="F11249" s="5" t="s">
        <v>141</v>
      </c>
      <c r="G11249" s="5" t="s">
        <v>142</v>
      </c>
      <c r="H11249" s="5" t="s">
        <v>377</v>
      </c>
      <c r="I11249" s="5" t="s">
        <v>31</v>
      </c>
      <c r="J11249" s="5">
        <v>17.863362583743999</v>
      </c>
      <c r="K11249" s="5">
        <v>-96.307668516804995</v>
      </c>
      <c r="L11249" s="5" t="str">
        <f>HYPERLINK("https://maps.google.com/?q=17.8633625837438,-96.307668516804995", "🔗 Ver Mapa")</f>
        <v>🔗 Ver Mapa</v>
      </c>
    </row>
    <row r="11250" spans="1:12" ht="43.5" x14ac:dyDescent="0.35">
      <c r="A11250" s="6" t="s">
        <v>98</v>
      </c>
      <c r="B11250" s="6" t="s">
        <v>99</v>
      </c>
      <c r="C11250" s="6" t="s">
        <v>1970</v>
      </c>
      <c r="D11250" s="6" t="s">
        <v>14</v>
      </c>
      <c r="E11250" s="6" t="s">
        <v>140</v>
      </c>
      <c r="F11250" s="6" t="s">
        <v>141</v>
      </c>
      <c r="G11250" s="6" t="s">
        <v>142</v>
      </c>
      <c r="H11250" s="6" t="s">
        <v>377</v>
      </c>
      <c r="I11250" s="6" t="s">
        <v>31</v>
      </c>
      <c r="J11250" s="6">
        <v>17.863436041231001</v>
      </c>
      <c r="K11250" s="6">
        <v>-96.308188815452993</v>
      </c>
      <c r="L11250" s="6" t="str">
        <f>HYPERLINK("https://maps.google.com/?q=17.863436041231,-96.308188815453207", "🔗 Ver Mapa")</f>
        <v>🔗 Ver Mapa</v>
      </c>
    </row>
    <row r="11251" spans="1:12" ht="43.5" x14ac:dyDescent="0.35">
      <c r="A11251" s="5" t="s">
        <v>98</v>
      </c>
      <c r="B11251" s="5" t="s">
        <v>99</v>
      </c>
      <c r="C11251" s="5" t="s">
        <v>1970</v>
      </c>
      <c r="D11251" s="5" t="s">
        <v>14</v>
      </c>
      <c r="E11251" s="5" t="s">
        <v>140</v>
      </c>
      <c r="F11251" s="5" t="s">
        <v>141</v>
      </c>
      <c r="G11251" s="5" t="s">
        <v>142</v>
      </c>
      <c r="H11251" s="5" t="s">
        <v>377</v>
      </c>
      <c r="I11251" s="5" t="s">
        <v>31</v>
      </c>
      <c r="J11251" s="5">
        <v>17.863589786055002</v>
      </c>
      <c r="K11251" s="5">
        <v>-96.307480762268</v>
      </c>
      <c r="L11251" s="5" t="str">
        <f>HYPERLINK("https://maps.google.com/?q=17.8635897860554,-96.307480762268099", "🔗 Ver Mapa")</f>
        <v>🔗 Ver Mapa</v>
      </c>
    </row>
    <row r="11252" spans="1:12" ht="43.5" x14ac:dyDescent="0.35">
      <c r="A11252" s="6" t="s">
        <v>98</v>
      </c>
      <c r="B11252" s="6" t="s">
        <v>99</v>
      </c>
      <c r="C11252" s="6" t="s">
        <v>1970</v>
      </c>
      <c r="D11252" s="6" t="s">
        <v>14</v>
      </c>
      <c r="E11252" s="6" t="s">
        <v>140</v>
      </c>
      <c r="F11252" s="6" t="s">
        <v>141</v>
      </c>
      <c r="G11252" s="6" t="s">
        <v>142</v>
      </c>
      <c r="H11252" s="6" t="s">
        <v>377</v>
      </c>
      <c r="I11252" s="6" t="s">
        <v>31</v>
      </c>
      <c r="J11252" s="6">
        <v>17.863802384724</v>
      </c>
      <c r="K11252" s="6">
        <v>-96.308672958523999</v>
      </c>
      <c r="L11252" s="6" t="str">
        <f>HYPERLINK("https://maps.google.com/?q=17.8638023847236,-96.308672958524497", "🔗 Ver Mapa")</f>
        <v>🔗 Ver Mapa</v>
      </c>
    </row>
    <row r="11253" spans="1:12" ht="43.5" x14ac:dyDescent="0.35">
      <c r="A11253" s="5" t="s">
        <v>98</v>
      </c>
      <c r="B11253" s="5" t="s">
        <v>99</v>
      </c>
      <c r="C11253" s="5" t="s">
        <v>1970</v>
      </c>
      <c r="D11253" s="5" t="s">
        <v>14</v>
      </c>
      <c r="E11253" s="5" t="s">
        <v>140</v>
      </c>
      <c r="F11253" s="5" t="s">
        <v>141</v>
      </c>
      <c r="G11253" s="5" t="s">
        <v>142</v>
      </c>
      <c r="H11253" s="5" t="s">
        <v>377</v>
      </c>
      <c r="I11253" s="5" t="s">
        <v>31</v>
      </c>
      <c r="J11253" s="5">
        <v>17.863875135695999</v>
      </c>
      <c r="K11253" s="5">
        <v>-96.307944738052996</v>
      </c>
      <c r="L11253" s="5" t="str">
        <f>HYPERLINK("https://maps.google.com/?q=17.8638751356962,-96.307944738053493", "🔗 Ver Mapa")</f>
        <v>🔗 Ver Mapa</v>
      </c>
    </row>
    <row r="11254" spans="1:12" ht="43.5" x14ac:dyDescent="0.35">
      <c r="A11254" s="6" t="s">
        <v>98</v>
      </c>
      <c r="B11254" s="6" t="s">
        <v>99</v>
      </c>
      <c r="C11254" s="6" t="s">
        <v>1970</v>
      </c>
      <c r="D11254" s="6" t="s">
        <v>14</v>
      </c>
      <c r="E11254" s="6" t="s">
        <v>140</v>
      </c>
      <c r="F11254" s="6" t="s">
        <v>141</v>
      </c>
      <c r="G11254" s="6" t="s">
        <v>142</v>
      </c>
      <c r="H11254" s="6" t="s">
        <v>377</v>
      </c>
      <c r="I11254" s="6" t="s">
        <v>31</v>
      </c>
      <c r="J11254" s="6">
        <v>17.863971548317998</v>
      </c>
      <c r="K11254" s="6">
        <v>-96.308707497677005</v>
      </c>
      <c r="L11254" s="6" t="str">
        <f>HYPERLINK("https://maps.google.com/?q=17.8639715483185,-96.308707497676806", "🔗 Ver Mapa")</f>
        <v>🔗 Ver Mapa</v>
      </c>
    </row>
    <row r="11255" spans="1:12" ht="43.5" x14ac:dyDescent="0.35">
      <c r="A11255" s="5" t="s">
        <v>98</v>
      </c>
      <c r="B11255" s="5" t="s">
        <v>99</v>
      </c>
      <c r="C11255" s="5" t="s">
        <v>1970</v>
      </c>
      <c r="D11255" s="5" t="s">
        <v>14</v>
      </c>
      <c r="E11255" s="5" t="s">
        <v>140</v>
      </c>
      <c r="F11255" s="5" t="s">
        <v>141</v>
      </c>
      <c r="G11255" s="5" t="s">
        <v>142</v>
      </c>
      <c r="H11255" s="5" t="s">
        <v>377</v>
      </c>
      <c r="I11255" s="5" t="s">
        <v>31</v>
      </c>
      <c r="J11255" s="5">
        <v>17.864617429068002</v>
      </c>
      <c r="K11255" s="5">
        <v>-96.308160327037996</v>
      </c>
      <c r="L11255" s="5" t="str">
        <f>HYPERLINK("https://maps.google.com/?q=17.8646174290683,-96.308160327037598", "🔗 Ver Mapa")</f>
        <v>🔗 Ver Mapa</v>
      </c>
    </row>
    <row r="11256" spans="1:12" ht="43.5" x14ac:dyDescent="0.35">
      <c r="A11256" s="6" t="s">
        <v>98</v>
      </c>
      <c r="B11256" s="6" t="s">
        <v>99</v>
      </c>
      <c r="C11256" s="6" t="s">
        <v>1970</v>
      </c>
      <c r="D11256" s="6" t="s">
        <v>14</v>
      </c>
      <c r="E11256" s="6" t="s">
        <v>140</v>
      </c>
      <c r="F11256" s="6" t="s">
        <v>141</v>
      </c>
      <c r="G11256" s="6" t="s">
        <v>142</v>
      </c>
      <c r="H11256" s="6" t="s">
        <v>377</v>
      </c>
      <c r="I11256" s="6" t="s">
        <v>31</v>
      </c>
      <c r="J11256" s="6">
        <v>17.864861829864999</v>
      </c>
      <c r="K11256" s="6">
        <v>-96.307227245185999</v>
      </c>
      <c r="L11256" s="6" t="str">
        <f>HYPERLINK("https://maps.google.com/?q=17.8648618298649,-96.307227245185501", "🔗 Ver Mapa")</f>
        <v>🔗 Ver Mapa</v>
      </c>
    </row>
    <row r="11257" spans="1:12" ht="43.5" x14ac:dyDescent="0.35">
      <c r="A11257" s="5" t="s">
        <v>98</v>
      </c>
      <c r="B11257" s="5" t="s">
        <v>99</v>
      </c>
      <c r="C11257" s="5" t="s">
        <v>1970</v>
      </c>
      <c r="D11257" s="5" t="s">
        <v>14</v>
      </c>
      <c r="E11257" s="5" t="s">
        <v>140</v>
      </c>
      <c r="F11257" s="5" t="s">
        <v>141</v>
      </c>
      <c r="G11257" s="5" t="s">
        <v>142</v>
      </c>
      <c r="H11257" s="5" t="s">
        <v>377</v>
      </c>
      <c r="I11257" s="5" t="s">
        <v>31</v>
      </c>
      <c r="J11257" s="5">
        <v>17.864888827211999</v>
      </c>
      <c r="K11257" s="5">
        <v>-96.308817407671995</v>
      </c>
      <c r="L11257" s="5" t="str">
        <f>HYPERLINK("https://maps.google.com/?q=17.8648888272122,-96.308817407672095", "🔗 Ver Mapa")</f>
        <v>🔗 Ver Mapa</v>
      </c>
    </row>
    <row r="11258" spans="1:12" ht="43.5" x14ac:dyDescent="0.35">
      <c r="A11258" s="6" t="s">
        <v>98</v>
      </c>
      <c r="B11258" s="6" t="s">
        <v>99</v>
      </c>
      <c r="C11258" s="6" t="s">
        <v>1970</v>
      </c>
      <c r="D11258" s="6" t="s">
        <v>14</v>
      </c>
      <c r="E11258" s="6" t="s">
        <v>140</v>
      </c>
      <c r="F11258" s="6" t="s">
        <v>141</v>
      </c>
      <c r="G11258" s="6" t="s">
        <v>142</v>
      </c>
      <c r="H11258" s="6" t="s">
        <v>377</v>
      </c>
      <c r="I11258" s="6" t="s">
        <v>31</v>
      </c>
      <c r="J11258" s="6">
        <v>17.865073901443999</v>
      </c>
      <c r="K11258" s="6">
        <v>-96.308887143313996</v>
      </c>
      <c r="L11258" s="6" t="str">
        <f>HYPERLINK("https://maps.google.com/?q=17.8650739014443,-96.308887143313896", "🔗 Ver Mapa")</f>
        <v>🔗 Ver Mapa</v>
      </c>
    </row>
    <row r="11259" spans="1:12" ht="43.5" x14ac:dyDescent="0.35">
      <c r="A11259" s="5" t="s">
        <v>98</v>
      </c>
      <c r="B11259" s="5" t="s">
        <v>99</v>
      </c>
      <c r="C11259" s="5" t="s">
        <v>1970</v>
      </c>
      <c r="D11259" s="5" t="s">
        <v>14</v>
      </c>
      <c r="E11259" s="5" t="s">
        <v>140</v>
      </c>
      <c r="F11259" s="5" t="s">
        <v>141</v>
      </c>
      <c r="G11259" s="5" t="s">
        <v>142</v>
      </c>
      <c r="H11259" s="5" t="s">
        <v>377</v>
      </c>
      <c r="I11259" s="5" t="s">
        <v>31</v>
      </c>
      <c r="J11259" s="5">
        <v>17.865090991792002</v>
      </c>
      <c r="K11259" s="5">
        <v>-96.306976134804998</v>
      </c>
      <c r="L11259" s="5" t="str">
        <f>HYPERLINK("https://maps.google.com/?q=17.8650909917924,-96.3069761348046", "🔗 Ver Mapa")</f>
        <v>🔗 Ver Mapa</v>
      </c>
    </row>
    <row r="11260" spans="1:12" ht="43.5" x14ac:dyDescent="0.35">
      <c r="A11260" s="6" t="s">
        <v>98</v>
      </c>
      <c r="B11260" s="6" t="s">
        <v>99</v>
      </c>
      <c r="C11260" s="6" t="s">
        <v>1970</v>
      </c>
      <c r="D11260" s="6" t="s">
        <v>14</v>
      </c>
      <c r="E11260" s="6" t="s">
        <v>140</v>
      </c>
      <c r="F11260" s="6" t="s">
        <v>141</v>
      </c>
      <c r="G11260" s="6" t="s">
        <v>142</v>
      </c>
      <c r="H11260" s="6" t="s">
        <v>377</v>
      </c>
      <c r="I11260" s="6" t="s">
        <v>31</v>
      </c>
      <c r="J11260" s="6">
        <v>17.865136837866999</v>
      </c>
      <c r="K11260" s="6">
        <v>-96.308237145304005</v>
      </c>
      <c r="L11260" s="6" t="str">
        <f>HYPERLINK("https://maps.google.com/?q=17.8651368378667,-96.308237145304403", "🔗 Ver Mapa")</f>
        <v>🔗 Ver Mapa</v>
      </c>
    </row>
    <row r="11261" spans="1:12" ht="43.5" x14ac:dyDescent="0.35">
      <c r="A11261" s="5" t="s">
        <v>98</v>
      </c>
      <c r="B11261" s="5" t="s">
        <v>99</v>
      </c>
      <c r="C11261" s="5" t="s">
        <v>1970</v>
      </c>
      <c r="D11261" s="5" t="s">
        <v>14</v>
      </c>
      <c r="E11261" s="5" t="s">
        <v>140</v>
      </c>
      <c r="F11261" s="5" t="s">
        <v>141</v>
      </c>
      <c r="G11261" s="5" t="s">
        <v>142</v>
      </c>
      <c r="H11261" s="5" t="s">
        <v>377</v>
      </c>
      <c r="I11261" s="5" t="s">
        <v>31</v>
      </c>
      <c r="J11261" s="5">
        <v>17.865196549937</v>
      </c>
      <c r="K11261" s="5">
        <v>-96.309447263373002</v>
      </c>
      <c r="L11261" s="5" t="str">
        <f>HYPERLINK("https://maps.google.com/?q=17.8651965499374,-96.309447263373002", "🔗 Ver Mapa")</f>
        <v>🔗 Ver Mapa</v>
      </c>
    </row>
    <row r="11262" spans="1:12" ht="43.5" x14ac:dyDescent="0.35">
      <c r="A11262" s="6" t="s">
        <v>98</v>
      </c>
      <c r="B11262" s="6" t="s">
        <v>99</v>
      </c>
      <c r="C11262" s="6" t="s">
        <v>1970</v>
      </c>
      <c r="D11262" s="6" t="s">
        <v>14</v>
      </c>
      <c r="E11262" s="6" t="s">
        <v>140</v>
      </c>
      <c r="F11262" s="6" t="s">
        <v>141</v>
      </c>
      <c r="G11262" s="6" t="s">
        <v>142</v>
      </c>
      <c r="H11262" s="6" t="s">
        <v>377</v>
      </c>
      <c r="I11262" s="6" t="s">
        <v>31</v>
      </c>
      <c r="J11262" s="6">
        <v>17.865196914594001</v>
      </c>
      <c r="K11262" s="6">
        <v>-96.30896645</v>
      </c>
      <c r="L11262" s="6" t="str">
        <f>HYPERLINK("https://maps.google.com/?q=17.8651969145939,-96.30896645", "🔗 Ver Mapa")</f>
        <v>🔗 Ver Mapa</v>
      </c>
    </row>
    <row r="11263" spans="1:12" ht="43.5" x14ac:dyDescent="0.35">
      <c r="A11263" s="5" t="s">
        <v>98</v>
      </c>
      <c r="B11263" s="5" t="s">
        <v>99</v>
      </c>
      <c r="C11263" s="5" t="s">
        <v>1970</v>
      </c>
      <c r="D11263" s="5" t="s">
        <v>14</v>
      </c>
      <c r="E11263" s="5" t="s">
        <v>140</v>
      </c>
      <c r="F11263" s="5" t="s">
        <v>141</v>
      </c>
      <c r="G11263" s="5" t="s">
        <v>142</v>
      </c>
      <c r="H11263" s="5" t="s">
        <v>377</v>
      </c>
      <c r="I11263" s="5" t="s">
        <v>31</v>
      </c>
      <c r="J11263" s="5">
        <v>17.865313655685998</v>
      </c>
      <c r="K11263" s="5">
        <v>-96.308595375582001</v>
      </c>
      <c r="L11263" s="5" t="str">
        <f>HYPERLINK("https://maps.google.com/?q=17.8653136556864,-96.308595375582399", "🔗 Ver Mapa")</f>
        <v>🔗 Ver Mapa</v>
      </c>
    </row>
    <row r="11264" spans="1:12" ht="43.5" x14ac:dyDescent="0.35">
      <c r="A11264" s="6" t="s">
        <v>98</v>
      </c>
      <c r="B11264" s="6" t="s">
        <v>99</v>
      </c>
      <c r="C11264" s="6" t="s">
        <v>1970</v>
      </c>
      <c r="D11264" s="6" t="s">
        <v>14</v>
      </c>
      <c r="E11264" s="6" t="s">
        <v>140</v>
      </c>
      <c r="F11264" s="6" t="s">
        <v>141</v>
      </c>
      <c r="G11264" s="6" t="s">
        <v>142</v>
      </c>
      <c r="H11264" s="6" t="s">
        <v>377</v>
      </c>
      <c r="I11264" s="6" t="s">
        <v>31</v>
      </c>
      <c r="J11264" s="6">
        <v>17.865369872813002</v>
      </c>
      <c r="K11264" s="6">
        <v>-96.309281601104999</v>
      </c>
      <c r="L11264" s="6" t="str">
        <f>HYPERLINK("https://maps.google.com/?q=17.8653698728128,-96.309281601104502", "🔗 Ver Mapa")</f>
        <v>🔗 Ver Mapa</v>
      </c>
    </row>
    <row r="11265" spans="1:12" ht="43.5" x14ac:dyDescent="0.35">
      <c r="A11265" s="5" t="s">
        <v>98</v>
      </c>
      <c r="B11265" s="5" t="s">
        <v>99</v>
      </c>
      <c r="C11265" s="5" t="s">
        <v>1970</v>
      </c>
      <c r="D11265" s="5" t="s">
        <v>14</v>
      </c>
      <c r="E11265" s="5" t="s">
        <v>140</v>
      </c>
      <c r="F11265" s="5" t="s">
        <v>141</v>
      </c>
      <c r="G11265" s="5" t="s">
        <v>142</v>
      </c>
      <c r="H11265" s="5" t="s">
        <v>377</v>
      </c>
      <c r="I11265" s="5" t="s">
        <v>31</v>
      </c>
      <c r="J11265" s="5">
        <v>17.865385356375999</v>
      </c>
      <c r="K11265" s="5">
        <v>-96.308850946687002</v>
      </c>
      <c r="L11265" s="5" t="str">
        <f>HYPERLINK("https://maps.google.com/?q=17.8653853563765,-96.308850946686505", "🔗 Ver Mapa")</f>
        <v>🔗 Ver Mapa</v>
      </c>
    </row>
    <row r="11266" spans="1:12" ht="43.5" x14ac:dyDescent="0.35">
      <c r="A11266" s="6" t="s">
        <v>98</v>
      </c>
      <c r="B11266" s="6" t="s">
        <v>99</v>
      </c>
      <c r="C11266" s="6" t="s">
        <v>1970</v>
      </c>
      <c r="D11266" s="6" t="s">
        <v>14</v>
      </c>
      <c r="E11266" s="6" t="s">
        <v>140</v>
      </c>
      <c r="F11266" s="6" t="s">
        <v>141</v>
      </c>
      <c r="G11266" s="6" t="s">
        <v>142</v>
      </c>
      <c r="H11266" s="6" t="s">
        <v>377</v>
      </c>
      <c r="I11266" s="6" t="s">
        <v>31</v>
      </c>
      <c r="J11266" s="6">
        <v>17.865386896486001</v>
      </c>
      <c r="K11266" s="6">
        <v>-96.309870891282998</v>
      </c>
      <c r="L11266" s="6" t="str">
        <f>HYPERLINK("https://maps.google.com/?q=17.8653868964858,-96.309870891282799", "🔗 Ver Mapa")</f>
        <v>🔗 Ver Mapa</v>
      </c>
    </row>
    <row r="11267" spans="1:12" ht="43.5" x14ac:dyDescent="0.35">
      <c r="A11267" s="5" t="s">
        <v>98</v>
      </c>
      <c r="B11267" s="5" t="s">
        <v>99</v>
      </c>
      <c r="C11267" s="5" t="s">
        <v>1970</v>
      </c>
      <c r="D11267" s="5" t="s">
        <v>14</v>
      </c>
      <c r="E11267" s="5" t="s">
        <v>140</v>
      </c>
      <c r="F11267" s="5" t="s">
        <v>141</v>
      </c>
      <c r="G11267" s="5" t="s">
        <v>142</v>
      </c>
      <c r="H11267" s="5" t="s">
        <v>377</v>
      </c>
      <c r="I11267" s="5" t="s">
        <v>31</v>
      </c>
      <c r="J11267" s="5">
        <v>17.865423073553</v>
      </c>
      <c r="K11267" s="5">
        <v>-96.307315983804997</v>
      </c>
      <c r="L11267" s="5" t="str">
        <f>HYPERLINK("https://maps.google.com/?q=17.8654230735534,-96.307315983804799", "🔗 Ver Mapa")</f>
        <v>🔗 Ver Mapa</v>
      </c>
    </row>
    <row r="11268" spans="1:12" ht="43.5" x14ac:dyDescent="0.35">
      <c r="A11268" s="6" t="s">
        <v>98</v>
      </c>
      <c r="B11268" s="6" t="s">
        <v>99</v>
      </c>
      <c r="C11268" s="6" t="s">
        <v>1970</v>
      </c>
      <c r="D11268" s="6" t="s">
        <v>14</v>
      </c>
      <c r="E11268" s="6" t="s">
        <v>140</v>
      </c>
      <c r="F11268" s="6" t="s">
        <v>141</v>
      </c>
      <c r="G11268" s="6" t="s">
        <v>142</v>
      </c>
      <c r="H11268" s="6" t="s">
        <v>377</v>
      </c>
      <c r="I11268" s="6" t="s">
        <v>31</v>
      </c>
      <c r="J11268" s="6">
        <v>17.865492036376999</v>
      </c>
      <c r="K11268" s="6">
        <v>-96.309628826687003</v>
      </c>
      <c r="L11268" s="6" t="str">
        <f>HYPERLINK("https://maps.google.com/?q=17.8654920363773,-96.309628826686506", "🔗 Ver Mapa")</f>
        <v>🔗 Ver Mapa</v>
      </c>
    </row>
    <row r="11269" spans="1:12" ht="43.5" x14ac:dyDescent="0.35">
      <c r="A11269" s="5" t="s">
        <v>98</v>
      </c>
      <c r="B11269" s="5" t="s">
        <v>99</v>
      </c>
      <c r="C11269" s="5" t="s">
        <v>1970</v>
      </c>
      <c r="D11269" s="5" t="s">
        <v>14</v>
      </c>
      <c r="E11269" s="5" t="s">
        <v>140</v>
      </c>
      <c r="F11269" s="5" t="s">
        <v>141</v>
      </c>
      <c r="G11269" s="5" t="s">
        <v>142</v>
      </c>
      <c r="H11269" s="5" t="s">
        <v>377</v>
      </c>
      <c r="I11269" s="5" t="s">
        <v>31</v>
      </c>
      <c r="J11269" s="5">
        <v>17.865517563507002</v>
      </c>
      <c r="K11269" s="5">
        <v>-96.310106264477</v>
      </c>
      <c r="L11269" s="5" t="str">
        <f>HYPERLINK("https://maps.google.com/?q=17.8655175635067,-96.310106264477497", "🔗 Ver Mapa")</f>
        <v>🔗 Ver Mapa</v>
      </c>
    </row>
    <row r="11270" spans="1:12" ht="43.5" x14ac:dyDescent="0.35">
      <c r="A11270" s="6" t="s">
        <v>98</v>
      </c>
      <c r="B11270" s="6" t="s">
        <v>99</v>
      </c>
      <c r="C11270" s="6" t="s">
        <v>1970</v>
      </c>
      <c r="D11270" s="6" t="s">
        <v>14</v>
      </c>
      <c r="E11270" s="6" t="s">
        <v>140</v>
      </c>
      <c r="F11270" s="6" t="s">
        <v>141</v>
      </c>
      <c r="G11270" s="6" t="s">
        <v>142</v>
      </c>
      <c r="H11270" s="6" t="s">
        <v>377</v>
      </c>
      <c r="I11270" s="6" t="s">
        <v>31</v>
      </c>
      <c r="J11270" s="6">
        <v>17.865526255209002</v>
      </c>
      <c r="K11270" s="6">
        <v>-96.308252863611003</v>
      </c>
      <c r="L11270" s="6" t="str">
        <f>HYPERLINK("https://maps.google.com/?q=17.8655262552087,-96.308252863610704", "🔗 Ver Mapa")</f>
        <v>🔗 Ver Mapa</v>
      </c>
    </row>
    <row r="11271" spans="1:12" ht="43.5" x14ac:dyDescent="0.35">
      <c r="A11271" s="5" t="s">
        <v>98</v>
      </c>
      <c r="B11271" s="5" t="s">
        <v>99</v>
      </c>
      <c r="C11271" s="5" t="s">
        <v>1970</v>
      </c>
      <c r="D11271" s="5" t="s">
        <v>14</v>
      </c>
      <c r="E11271" s="5" t="s">
        <v>140</v>
      </c>
      <c r="F11271" s="5" t="s">
        <v>141</v>
      </c>
      <c r="G11271" s="5" t="s">
        <v>142</v>
      </c>
      <c r="H11271" s="5" t="s">
        <v>377</v>
      </c>
      <c r="I11271" s="5" t="s">
        <v>31</v>
      </c>
      <c r="J11271" s="5">
        <v>17.865544362813001</v>
      </c>
      <c r="K11271" s="5">
        <v>-96.309502762150004</v>
      </c>
      <c r="L11271" s="5" t="str">
        <f>HYPERLINK("https://maps.google.com/?q=17.8655443628128,-96.309502762149606", "🔗 Ver Mapa")</f>
        <v>🔗 Ver Mapa</v>
      </c>
    </row>
    <row r="11272" spans="1:12" ht="43.5" x14ac:dyDescent="0.35">
      <c r="A11272" s="6" t="s">
        <v>98</v>
      </c>
      <c r="B11272" s="6" t="s">
        <v>99</v>
      </c>
      <c r="C11272" s="6" t="s">
        <v>1970</v>
      </c>
      <c r="D11272" s="6" t="s">
        <v>14</v>
      </c>
      <c r="E11272" s="6" t="s">
        <v>140</v>
      </c>
      <c r="F11272" s="6" t="s">
        <v>141</v>
      </c>
      <c r="G11272" s="6" t="s">
        <v>142</v>
      </c>
      <c r="H11272" s="6" t="s">
        <v>377</v>
      </c>
      <c r="I11272" s="6" t="s">
        <v>31</v>
      </c>
      <c r="J11272" s="6">
        <v>17.865698473104999</v>
      </c>
      <c r="K11272" s="6">
        <v>-96.307502218633005</v>
      </c>
      <c r="L11272" s="6" t="str">
        <f>HYPERLINK("https://maps.google.com/?q=17.8656984731045,-96.307502218633303", "🔗 Ver Mapa")</f>
        <v>🔗 Ver Mapa</v>
      </c>
    </row>
    <row r="11273" spans="1:12" ht="43.5" x14ac:dyDescent="0.35">
      <c r="A11273" s="5" t="s">
        <v>98</v>
      </c>
      <c r="B11273" s="5" t="s">
        <v>99</v>
      </c>
      <c r="C11273" s="5" t="s">
        <v>1970</v>
      </c>
      <c r="D11273" s="5" t="s">
        <v>14</v>
      </c>
      <c r="E11273" s="5" t="s">
        <v>140</v>
      </c>
      <c r="F11273" s="5" t="s">
        <v>141</v>
      </c>
      <c r="G11273" s="5" t="s">
        <v>142</v>
      </c>
      <c r="H11273" s="5" t="s">
        <v>377</v>
      </c>
      <c r="I11273" s="5" t="s">
        <v>31</v>
      </c>
      <c r="J11273" s="5">
        <v>17.865716681895002</v>
      </c>
      <c r="K11273" s="5">
        <v>-96.309298912862999</v>
      </c>
      <c r="L11273" s="5" t="str">
        <f>HYPERLINK("https://maps.google.com/?q=17.8657166818955,-96.309298912862999", "🔗 Ver Mapa")</f>
        <v>🔗 Ver Mapa</v>
      </c>
    </row>
    <row r="11274" spans="1:12" ht="43.5" x14ac:dyDescent="0.35">
      <c r="A11274" s="6" t="s">
        <v>98</v>
      </c>
      <c r="B11274" s="6" t="s">
        <v>99</v>
      </c>
      <c r="C11274" s="6" t="s">
        <v>1970</v>
      </c>
      <c r="D11274" s="6" t="s">
        <v>14</v>
      </c>
      <c r="E11274" s="6" t="s">
        <v>140</v>
      </c>
      <c r="F11274" s="6" t="s">
        <v>141</v>
      </c>
      <c r="G11274" s="6" t="s">
        <v>142</v>
      </c>
      <c r="H11274" s="6" t="s">
        <v>377</v>
      </c>
      <c r="I11274" s="6" t="s">
        <v>31</v>
      </c>
      <c r="J11274" s="6">
        <v>17.865761099677002</v>
      </c>
      <c r="K11274" s="6">
        <v>-96.309012716235998</v>
      </c>
      <c r="L11274" s="6" t="str">
        <f>HYPERLINK("https://maps.google.com/?q=17.8657610996773,-96.309012716235799", "🔗 Ver Mapa")</f>
        <v>🔗 Ver Mapa</v>
      </c>
    </row>
    <row r="11275" spans="1:12" ht="43.5" x14ac:dyDescent="0.35">
      <c r="A11275" s="5" t="s">
        <v>98</v>
      </c>
      <c r="B11275" s="5" t="s">
        <v>99</v>
      </c>
      <c r="C11275" s="5" t="s">
        <v>1970</v>
      </c>
      <c r="D11275" s="5" t="s">
        <v>14</v>
      </c>
      <c r="E11275" s="5" t="s">
        <v>140</v>
      </c>
      <c r="F11275" s="5" t="s">
        <v>141</v>
      </c>
      <c r="G11275" s="5" t="s">
        <v>142</v>
      </c>
      <c r="H11275" s="5" t="s">
        <v>377</v>
      </c>
      <c r="I11275" s="5" t="s">
        <v>31</v>
      </c>
      <c r="J11275" s="5">
        <v>17.865763909531001</v>
      </c>
      <c r="K11275" s="5">
        <v>-96.309420954775007</v>
      </c>
      <c r="L11275" s="5" t="str">
        <f>HYPERLINK("https://maps.google.com/?q=17.8657639095306,-96.309420954774694", "🔗 Ver Mapa")</f>
        <v>🔗 Ver Mapa</v>
      </c>
    </row>
    <row r="11276" spans="1:12" ht="43.5" x14ac:dyDescent="0.35">
      <c r="A11276" s="6" t="s">
        <v>98</v>
      </c>
      <c r="B11276" s="6" t="s">
        <v>99</v>
      </c>
      <c r="C11276" s="6" t="s">
        <v>1970</v>
      </c>
      <c r="D11276" s="6" t="s">
        <v>14</v>
      </c>
      <c r="E11276" s="6" t="s">
        <v>140</v>
      </c>
      <c r="F11276" s="6" t="s">
        <v>141</v>
      </c>
      <c r="G11276" s="6" t="s">
        <v>142</v>
      </c>
      <c r="H11276" s="6" t="s">
        <v>377</v>
      </c>
      <c r="I11276" s="6" t="s">
        <v>31</v>
      </c>
      <c r="J11276" s="6">
        <v>17.865835768960999</v>
      </c>
      <c r="K11276" s="6">
        <v>-96.309151518503995</v>
      </c>
      <c r="L11276" s="6" t="str">
        <f>HYPERLINK("https://maps.google.com/?q=17.8658357689613,-96.309151518504194", "🔗 Ver Mapa")</f>
        <v>🔗 Ver Mapa</v>
      </c>
    </row>
    <row r="11277" spans="1:12" ht="43.5" x14ac:dyDescent="0.35">
      <c r="A11277" s="5" t="s">
        <v>98</v>
      </c>
      <c r="B11277" s="5" t="s">
        <v>99</v>
      </c>
      <c r="C11277" s="5" t="s">
        <v>1970</v>
      </c>
      <c r="D11277" s="5" t="s">
        <v>14</v>
      </c>
      <c r="E11277" s="5" t="s">
        <v>140</v>
      </c>
      <c r="F11277" s="5" t="s">
        <v>141</v>
      </c>
      <c r="G11277" s="5" t="s">
        <v>142</v>
      </c>
      <c r="H11277" s="5" t="s">
        <v>377</v>
      </c>
      <c r="I11277" s="5" t="s">
        <v>31</v>
      </c>
      <c r="J11277" s="5">
        <v>17.865862559231999</v>
      </c>
      <c r="K11277" s="5">
        <v>-96.308269286661996</v>
      </c>
      <c r="L11277" s="5" t="str">
        <f>HYPERLINK("https://maps.google.com/?q=17.8658625592317,-96.308269286661897", "🔗 Ver Mapa")</f>
        <v>🔗 Ver Mapa</v>
      </c>
    </row>
    <row r="11278" spans="1:12" ht="43.5" x14ac:dyDescent="0.35">
      <c r="A11278" s="6" t="s">
        <v>98</v>
      </c>
      <c r="B11278" s="6" t="s">
        <v>99</v>
      </c>
      <c r="C11278" s="6" t="s">
        <v>1970</v>
      </c>
      <c r="D11278" s="6" t="s">
        <v>14</v>
      </c>
      <c r="E11278" s="6" t="s">
        <v>140</v>
      </c>
      <c r="F11278" s="6" t="s">
        <v>141</v>
      </c>
      <c r="G11278" s="6" t="s">
        <v>142</v>
      </c>
      <c r="H11278" s="6" t="s">
        <v>377</v>
      </c>
      <c r="I11278" s="6" t="s">
        <v>31</v>
      </c>
      <c r="J11278" s="6">
        <v>17.865888271866002</v>
      </c>
      <c r="K11278" s="6">
        <v>-96.309073564179997</v>
      </c>
      <c r="L11278" s="6" t="str">
        <f>HYPERLINK("https://maps.google.com/?q=17.8658882718658,-96.309073564180295", "🔗 Ver Mapa")</f>
        <v>🔗 Ver Mapa</v>
      </c>
    </row>
    <row r="11279" spans="1:12" ht="43.5" x14ac:dyDescent="0.35">
      <c r="A11279" s="5" t="s">
        <v>98</v>
      </c>
      <c r="B11279" s="5" t="s">
        <v>99</v>
      </c>
      <c r="C11279" s="5" t="s">
        <v>1970</v>
      </c>
      <c r="D11279" s="5" t="s">
        <v>14</v>
      </c>
      <c r="E11279" s="5" t="s">
        <v>140</v>
      </c>
      <c r="F11279" s="5" t="s">
        <v>141</v>
      </c>
      <c r="G11279" s="5" t="s">
        <v>142</v>
      </c>
      <c r="H11279" s="5" t="s">
        <v>377</v>
      </c>
      <c r="I11279" s="5" t="s">
        <v>31</v>
      </c>
      <c r="J11279" s="5">
        <v>17.865895930461999</v>
      </c>
      <c r="K11279" s="5">
        <v>-96.308893856175999</v>
      </c>
      <c r="L11279" s="5" t="str">
        <f>HYPERLINK("https://maps.google.com/?q=17.865895930462,-96.308893856176297", "🔗 Ver Mapa")</f>
        <v>🔗 Ver Mapa</v>
      </c>
    </row>
    <row r="11280" spans="1:12" ht="43.5" x14ac:dyDescent="0.35">
      <c r="A11280" s="6" t="s">
        <v>98</v>
      </c>
      <c r="B11280" s="6" t="s">
        <v>99</v>
      </c>
      <c r="C11280" s="6" t="s">
        <v>1970</v>
      </c>
      <c r="D11280" s="6" t="s">
        <v>14</v>
      </c>
      <c r="E11280" s="6" t="s">
        <v>140</v>
      </c>
      <c r="F11280" s="6" t="s">
        <v>141</v>
      </c>
      <c r="G11280" s="6" t="s">
        <v>142</v>
      </c>
      <c r="H11280" s="6" t="s">
        <v>377</v>
      </c>
      <c r="I11280" s="6" t="s">
        <v>31</v>
      </c>
      <c r="J11280" s="6">
        <v>17.865940603516002</v>
      </c>
      <c r="K11280" s="6">
        <v>-96.308810712208995</v>
      </c>
      <c r="L11280" s="6" t="str">
        <f>HYPERLINK("https://maps.google.com/?q=17.8659406035158,-96.308810712209393", "🔗 Ver Mapa")</f>
        <v>🔗 Ver Mapa</v>
      </c>
    </row>
    <row r="11281" spans="1:12" ht="43.5" x14ac:dyDescent="0.35">
      <c r="A11281" s="5" t="s">
        <v>98</v>
      </c>
      <c r="B11281" s="5" t="s">
        <v>99</v>
      </c>
      <c r="C11281" s="5" t="s">
        <v>1970</v>
      </c>
      <c r="D11281" s="5" t="s">
        <v>14</v>
      </c>
      <c r="E11281" s="5" t="s">
        <v>140</v>
      </c>
      <c r="F11281" s="5" t="s">
        <v>141</v>
      </c>
      <c r="G11281" s="5" t="s">
        <v>142</v>
      </c>
      <c r="H11281" s="5" t="s">
        <v>377</v>
      </c>
      <c r="I11281" s="5" t="s">
        <v>31</v>
      </c>
      <c r="J11281" s="5">
        <v>17.865966137084001</v>
      </c>
      <c r="K11281" s="5">
        <v>-96.309333737790993</v>
      </c>
      <c r="L11281" s="5" t="str">
        <f>HYPERLINK("https://maps.google.com/?q=17.8659661370842,-96.309333737791306", "🔗 Ver Mapa")</f>
        <v>🔗 Ver Mapa</v>
      </c>
    </row>
    <row r="11282" spans="1:12" ht="43.5" x14ac:dyDescent="0.35">
      <c r="A11282" s="6" t="s">
        <v>98</v>
      </c>
      <c r="B11282" s="6" t="s">
        <v>99</v>
      </c>
      <c r="C11282" s="6" t="s">
        <v>1970</v>
      </c>
      <c r="D11282" s="6" t="s">
        <v>14</v>
      </c>
      <c r="E11282" s="6" t="s">
        <v>140</v>
      </c>
      <c r="F11282" s="6" t="s">
        <v>141</v>
      </c>
      <c r="G11282" s="6" t="s">
        <v>142</v>
      </c>
      <c r="H11282" s="6" t="s">
        <v>377</v>
      </c>
      <c r="I11282" s="6" t="s">
        <v>31</v>
      </c>
      <c r="J11282" s="6">
        <v>17.866041439949001</v>
      </c>
      <c r="K11282" s="6">
        <v>-96.309200965581994</v>
      </c>
      <c r="L11282" s="6" t="str">
        <f>HYPERLINK("https://maps.google.com/?q=17.8660414399495,-96.309200965582207", "🔗 Ver Mapa")</f>
        <v>🔗 Ver Mapa</v>
      </c>
    </row>
    <row r="11283" spans="1:12" ht="43.5" x14ac:dyDescent="0.35">
      <c r="A11283" s="5" t="s">
        <v>98</v>
      </c>
      <c r="B11283" s="5" t="s">
        <v>99</v>
      </c>
      <c r="C11283" s="5" t="s">
        <v>1970</v>
      </c>
      <c r="D11283" s="5" t="s">
        <v>14</v>
      </c>
      <c r="E11283" s="5" t="s">
        <v>140</v>
      </c>
      <c r="F11283" s="5" t="s">
        <v>141</v>
      </c>
      <c r="G11283" s="5" t="s">
        <v>142</v>
      </c>
      <c r="H11283" s="5" t="s">
        <v>377</v>
      </c>
      <c r="I11283" s="5" t="s">
        <v>31</v>
      </c>
      <c r="J11283" s="5">
        <v>17.866112922106002</v>
      </c>
      <c r="K11283" s="5">
        <v>-96.308970296685999</v>
      </c>
      <c r="L11283" s="5" t="str">
        <f>HYPERLINK("https://maps.google.com/?q=17.8661129221063,-96.308970296686496", "🔗 Ver Mapa")</f>
        <v>🔗 Ver Mapa</v>
      </c>
    </row>
    <row r="11284" spans="1:12" ht="43.5" x14ac:dyDescent="0.35">
      <c r="A11284" s="6" t="s">
        <v>98</v>
      </c>
      <c r="B11284" s="6" t="s">
        <v>99</v>
      </c>
      <c r="C11284" s="6" t="s">
        <v>1970</v>
      </c>
      <c r="D11284" s="6" t="s">
        <v>14</v>
      </c>
      <c r="E11284" s="6" t="s">
        <v>140</v>
      </c>
      <c r="F11284" s="6" t="s">
        <v>141</v>
      </c>
      <c r="G11284" s="6" t="s">
        <v>142</v>
      </c>
      <c r="H11284" s="6" t="s">
        <v>377</v>
      </c>
      <c r="I11284" s="6" t="s">
        <v>31</v>
      </c>
      <c r="J11284" s="6">
        <v>17.866122945497999</v>
      </c>
      <c r="K11284" s="6">
        <v>-96.308227709361006</v>
      </c>
      <c r="L11284" s="6" t="str">
        <f>HYPERLINK("https://maps.google.com/?q=17.8661229454985,-96.308227709361105", "🔗 Ver Mapa")</f>
        <v>🔗 Ver Mapa</v>
      </c>
    </row>
    <row r="11285" spans="1:12" ht="43.5" x14ac:dyDescent="0.35">
      <c r="A11285" s="5" t="s">
        <v>98</v>
      </c>
      <c r="B11285" s="5" t="s">
        <v>99</v>
      </c>
      <c r="C11285" s="5" t="s">
        <v>1970</v>
      </c>
      <c r="D11285" s="5" t="s">
        <v>14</v>
      </c>
      <c r="E11285" s="5" t="s">
        <v>140</v>
      </c>
      <c r="F11285" s="5" t="s">
        <v>141</v>
      </c>
      <c r="G11285" s="5" t="s">
        <v>142</v>
      </c>
      <c r="H11285" s="5" t="s">
        <v>377</v>
      </c>
      <c r="I11285" s="5" t="s">
        <v>31</v>
      </c>
      <c r="J11285" s="5">
        <v>17.866676435771002</v>
      </c>
      <c r="K11285" s="5">
        <v>-96.308982000588998</v>
      </c>
      <c r="L11285" s="5" t="str">
        <f>HYPERLINK("https://maps.google.com/?q=17.8666764357713,-96.308982000588699", "🔗 Ver Mapa")</f>
        <v>🔗 Ver Mapa</v>
      </c>
    </row>
    <row r="11286" spans="1:12" ht="43.5" x14ac:dyDescent="0.35">
      <c r="A11286" s="6" t="s">
        <v>98</v>
      </c>
      <c r="B11286" s="6" t="s">
        <v>99</v>
      </c>
      <c r="C11286" s="6" t="s">
        <v>1970</v>
      </c>
      <c r="D11286" s="6" t="s">
        <v>14</v>
      </c>
      <c r="E11286" s="6" t="s">
        <v>140</v>
      </c>
      <c r="F11286" s="6" t="s">
        <v>141</v>
      </c>
      <c r="G11286" s="6" t="s">
        <v>142</v>
      </c>
      <c r="H11286" s="6" t="s">
        <v>377</v>
      </c>
      <c r="I11286" s="6" t="s">
        <v>31</v>
      </c>
      <c r="J11286" s="6">
        <v>17.866730436386</v>
      </c>
      <c r="K11286" s="6">
        <v>-96.308507625404005</v>
      </c>
      <c r="L11286" s="6" t="str">
        <f>HYPERLINK("https://maps.google.com/?q=17.8667304363864,-96.308507625403706", "🔗 Ver Mapa")</f>
        <v>🔗 Ver Mapa</v>
      </c>
    </row>
    <row r="11287" spans="1:12" ht="43.5" x14ac:dyDescent="0.35">
      <c r="A11287" s="5" t="s">
        <v>98</v>
      </c>
      <c r="B11287" s="5" t="s">
        <v>99</v>
      </c>
      <c r="C11287" s="5" t="s">
        <v>1970</v>
      </c>
      <c r="D11287" s="5" t="s">
        <v>14</v>
      </c>
      <c r="E11287" s="5" t="s">
        <v>140</v>
      </c>
      <c r="F11287" s="5" t="s">
        <v>141</v>
      </c>
      <c r="G11287" s="5" t="s">
        <v>142</v>
      </c>
      <c r="H11287" s="5" t="s">
        <v>377</v>
      </c>
      <c r="I11287" s="5" t="s">
        <v>31</v>
      </c>
      <c r="J11287" s="5">
        <v>17.86680318726</v>
      </c>
      <c r="K11287" s="5">
        <v>-96.308169663100998</v>
      </c>
      <c r="L11287" s="5" t="str">
        <f>HYPERLINK("https://maps.google.com/?q=17.8668031872603,-96.3081696631006", "🔗 Ver Mapa")</f>
        <v>🔗 Ver Mapa</v>
      </c>
    </row>
    <row r="11288" spans="1:12" ht="43.5" x14ac:dyDescent="0.35">
      <c r="A11288" s="6" t="s">
        <v>98</v>
      </c>
      <c r="B11288" s="6" t="s">
        <v>99</v>
      </c>
      <c r="C11288" s="6" t="s">
        <v>1970</v>
      </c>
      <c r="D11288" s="6" t="s">
        <v>14</v>
      </c>
      <c r="E11288" s="6" t="s">
        <v>140</v>
      </c>
      <c r="F11288" s="6" t="s">
        <v>141</v>
      </c>
      <c r="G11288" s="6" t="s">
        <v>142</v>
      </c>
      <c r="H11288" s="6" t="s">
        <v>377</v>
      </c>
      <c r="I11288" s="6" t="s">
        <v>31</v>
      </c>
      <c r="J11288" s="6">
        <v>17.866805745665001</v>
      </c>
      <c r="K11288" s="6">
        <v>-96.308046290535003</v>
      </c>
      <c r="L11288" s="6" t="str">
        <f>HYPERLINK("https://maps.google.com/?q=17.8668057456653,-96.308046290534904", "🔗 Ver Mapa")</f>
        <v>🔗 Ver Mapa</v>
      </c>
    </row>
    <row r="11289" spans="1:12" ht="43.5" x14ac:dyDescent="0.35">
      <c r="A11289" s="5" t="s">
        <v>98</v>
      </c>
      <c r="B11289" s="5" t="s">
        <v>99</v>
      </c>
      <c r="C11289" s="5" t="s">
        <v>1970</v>
      </c>
      <c r="D11289" s="5" t="s">
        <v>14</v>
      </c>
      <c r="E11289" s="5" t="s">
        <v>140</v>
      </c>
      <c r="F11289" s="5" t="s">
        <v>141</v>
      </c>
      <c r="G11289" s="5" t="s">
        <v>142</v>
      </c>
      <c r="H11289" s="5" t="s">
        <v>377</v>
      </c>
      <c r="I11289" s="5" t="s">
        <v>31</v>
      </c>
      <c r="J11289" s="5">
        <v>17.866840206387</v>
      </c>
      <c r="K11289" s="5">
        <v>-96.308584072209001</v>
      </c>
      <c r="L11289" s="5" t="str">
        <f>HYPERLINK("https://maps.google.com/?q=17.8668402063872,-96.308584072209001", "🔗 Ver Mapa")</f>
        <v>🔗 Ver Mapa</v>
      </c>
    </row>
    <row r="11290" spans="1:12" ht="43.5" x14ac:dyDescent="0.35">
      <c r="A11290" s="6" t="s">
        <v>98</v>
      </c>
      <c r="B11290" s="6" t="s">
        <v>99</v>
      </c>
      <c r="C11290" s="6" t="s">
        <v>1970</v>
      </c>
      <c r="D11290" s="6" t="s">
        <v>14</v>
      </c>
      <c r="E11290" s="6" t="s">
        <v>140</v>
      </c>
      <c r="F11290" s="6" t="s">
        <v>141</v>
      </c>
      <c r="G11290" s="6" t="s">
        <v>142</v>
      </c>
      <c r="H11290" s="6" t="s">
        <v>377</v>
      </c>
      <c r="I11290" s="6" t="s">
        <v>31</v>
      </c>
      <c r="J11290" s="6">
        <v>17.866888708358001</v>
      </c>
      <c r="K11290" s="6">
        <v>-96.308339983943</v>
      </c>
      <c r="L11290" s="6" t="str">
        <f>HYPERLINK("https://maps.google.com/?q=17.8668887083576,-96.308339983942801", "🔗 Ver Mapa")</f>
        <v>🔗 Ver Mapa</v>
      </c>
    </row>
    <row r="11291" spans="1:12" ht="43.5" x14ac:dyDescent="0.35">
      <c r="A11291" s="5" t="s">
        <v>98</v>
      </c>
      <c r="B11291" s="5" t="s">
        <v>99</v>
      </c>
      <c r="C11291" s="5" t="s">
        <v>1970</v>
      </c>
      <c r="D11291" s="5" t="s">
        <v>14</v>
      </c>
      <c r="E11291" s="5" t="s">
        <v>140</v>
      </c>
      <c r="F11291" s="5" t="s">
        <v>141</v>
      </c>
      <c r="G11291" s="5" t="s">
        <v>142</v>
      </c>
      <c r="H11291" s="5" t="s">
        <v>377</v>
      </c>
      <c r="I11291" s="5" t="s">
        <v>31</v>
      </c>
      <c r="J11291" s="5">
        <v>17.866909136433001</v>
      </c>
      <c r="K11291" s="5">
        <v>-96.308616257672</v>
      </c>
      <c r="L11291" s="5" t="str">
        <f>HYPERLINK("https://maps.google.com/?q=17.8669091364332,-96.308616257672099", "🔗 Ver Mapa")</f>
        <v>🔗 Ver Mapa</v>
      </c>
    </row>
    <row r="11292" spans="1:12" ht="43.5" x14ac:dyDescent="0.35">
      <c r="A11292" s="6" t="s">
        <v>98</v>
      </c>
      <c r="B11292" s="6" t="s">
        <v>99</v>
      </c>
      <c r="C11292" s="6" t="s">
        <v>1970</v>
      </c>
      <c r="D11292" s="6" t="s">
        <v>14</v>
      </c>
      <c r="E11292" s="6" t="s">
        <v>140</v>
      </c>
      <c r="F11292" s="6" t="s">
        <v>141</v>
      </c>
      <c r="G11292" s="6" t="s">
        <v>142</v>
      </c>
      <c r="H11292" s="6" t="s">
        <v>377</v>
      </c>
      <c r="I11292" s="6" t="s">
        <v>31</v>
      </c>
      <c r="J11292" s="6">
        <v>17.866932997620001</v>
      </c>
      <c r="K11292" s="6">
        <v>-96.309004800178002</v>
      </c>
      <c r="L11292" s="6" t="str">
        <f>HYPERLINK("https://maps.google.com/?q=17.8669329976202,-96.3090048001783", "🔗 Ver Mapa")</f>
        <v>🔗 Ver Mapa</v>
      </c>
    </row>
    <row r="11293" spans="1:12" ht="43.5" x14ac:dyDescent="0.35">
      <c r="A11293" s="5" t="s">
        <v>98</v>
      </c>
      <c r="B11293" s="5" t="s">
        <v>99</v>
      </c>
      <c r="C11293" s="5" t="s">
        <v>1970</v>
      </c>
      <c r="D11293" s="5" t="s">
        <v>14</v>
      </c>
      <c r="E11293" s="5" t="s">
        <v>140</v>
      </c>
      <c r="F11293" s="5" t="s">
        <v>141</v>
      </c>
      <c r="G11293" s="5" t="s">
        <v>142</v>
      </c>
      <c r="H11293" s="5" t="s">
        <v>377</v>
      </c>
      <c r="I11293" s="5" t="s">
        <v>31</v>
      </c>
      <c r="J11293" s="5">
        <v>17.866988273539</v>
      </c>
      <c r="K11293" s="5">
        <v>-96.308639048895998</v>
      </c>
      <c r="L11293" s="5" t="str">
        <f>HYPERLINK("https://maps.google.com/?q=17.8669882735386,-96.3086390488955", "🔗 Ver Mapa")</f>
        <v>🔗 Ver Mapa</v>
      </c>
    </row>
    <row r="11294" spans="1:12" ht="43.5" x14ac:dyDescent="0.35">
      <c r="A11294" s="6" t="s">
        <v>98</v>
      </c>
      <c r="B11294" s="6" t="s">
        <v>99</v>
      </c>
      <c r="C11294" s="6" t="s">
        <v>1970</v>
      </c>
      <c r="D11294" s="6" t="s">
        <v>14</v>
      </c>
      <c r="E11294" s="6" t="s">
        <v>140</v>
      </c>
      <c r="F11294" s="6" t="s">
        <v>141</v>
      </c>
      <c r="G11294" s="6" t="s">
        <v>142</v>
      </c>
      <c r="H11294" s="6" t="s">
        <v>377</v>
      </c>
      <c r="I11294" s="6" t="s">
        <v>31</v>
      </c>
      <c r="J11294" s="6">
        <v>17.867103151190001</v>
      </c>
      <c r="K11294" s="6">
        <v>-96.308232700237994</v>
      </c>
      <c r="L11294" s="6" t="str">
        <f>HYPERLINK("https://maps.google.com/?q=17.8671031511897,-96.308232700237795", "🔗 Ver Mapa")</f>
        <v>🔗 Ver Mapa</v>
      </c>
    </row>
    <row r="11295" spans="1:12" ht="43.5" x14ac:dyDescent="0.35">
      <c r="A11295" s="5" t="s">
        <v>98</v>
      </c>
      <c r="B11295" s="5" t="s">
        <v>99</v>
      </c>
      <c r="C11295" s="5" t="s">
        <v>1970</v>
      </c>
      <c r="D11295" s="5" t="s">
        <v>14</v>
      </c>
      <c r="E11295" s="5" t="s">
        <v>140</v>
      </c>
      <c r="F11295" s="5" t="s">
        <v>141</v>
      </c>
      <c r="G11295" s="5" t="s">
        <v>142</v>
      </c>
      <c r="H11295" s="5" t="s">
        <v>377</v>
      </c>
      <c r="I11295" s="5" t="s">
        <v>31</v>
      </c>
      <c r="J11295" s="5">
        <v>17.867278027040999</v>
      </c>
      <c r="K11295" s="5">
        <v>-96.309105029999998</v>
      </c>
      <c r="L11295" s="5" t="str">
        <f>HYPERLINK("https://maps.google.com/?q=17.8672780270409,-96.309105030000197", "🔗 Ver Mapa")</f>
        <v>🔗 Ver Mapa</v>
      </c>
    </row>
    <row r="11296" spans="1:12" ht="43.5" x14ac:dyDescent="0.35">
      <c r="A11296" s="6" t="s">
        <v>98</v>
      </c>
      <c r="B11296" s="6" t="s">
        <v>99</v>
      </c>
      <c r="C11296" s="6" t="s">
        <v>1970</v>
      </c>
      <c r="D11296" s="6" t="s">
        <v>14</v>
      </c>
      <c r="E11296" s="6" t="s">
        <v>140</v>
      </c>
      <c r="F11296" s="6" t="s">
        <v>141</v>
      </c>
      <c r="G11296" s="6" t="s">
        <v>142</v>
      </c>
      <c r="H11296" s="6" t="s">
        <v>377</v>
      </c>
      <c r="I11296" s="6" t="s">
        <v>31</v>
      </c>
      <c r="J11296" s="6">
        <v>17.867281856390001</v>
      </c>
      <c r="K11296" s="6">
        <v>-96.308997742209002</v>
      </c>
      <c r="L11296" s="6" t="str">
        <f>HYPERLINK("https://maps.google.com/?q=17.8672818563904,-96.308997742209002", "🔗 Ver Mapa")</f>
        <v>🔗 Ver Mapa</v>
      </c>
    </row>
    <row r="11297" spans="1:12" ht="43.5" x14ac:dyDescent="0.35">
      <c r="A11297" s="5" t="s">
        <v>98</v>
      </c>
      <c r="B11297" s="5" t="s">
        <v>99</v>
      </c>
      <c r="C11297" s="5" t="s">
        <v>1970</v>
      </c>
      <c r="D11297" s="5" t="s">
        <v>14</v>
      </c>
      <c r="E11297" s="5" t="s">
        <v>140</v>
      </c>
      <c r="F11297" s="5" t="s">
        <v>141</v>
      </c>
      <c r="G11297" s="5" t="s">
        <v>142</v>
      </c>
      <c r="H11297" s="5" t="s">
        <v>377</v>
      </c>
      <c r="I11297" s="5" t="s">
        <v>31</v>
      </c>
      <c r="J11297" s="5">
        <v>17.867307383545999</v>
      </c>
      <c r="K11297" s="5">
        <v>-96.308796577791</v>
      </c>
      <c r="L11297" s="5" t="str">
        <f>HYPERLINK("https://maps.google.com/?q=17.8673073835456,-96.308796577791", "🔗 Ver Mapa")</f>
        <v>🔗 Ver Mapa</v>
      </c>
    </row>
    <row r="11298" spans="1:12" ht="43.5" x14ac:dyDescent="0.35">
      <c r="A11298" s="6" t="s">
        <v>98</v>
      </c>
      <c r="B11298" s="6" t="s">
        <v>99</v>
      </c>
      <c r="C11298" s="6" t="s">
        <v>1970</v>
      </c>
      <c r="D11298" s="6" t="s">
        <v>14</v>
      </c>
      <c r="E11298" s="6" t="s">
        <v>140</v>
      </c>
      <c r="F11298" s="6" t="s">
        <v>141</v>
      </c>
      <c r="G11298" s="6" t="s">
        <v>142</v>
      </c>
      <c r="H11298" s="6" t="s">
        <v>377</v>
      </c>
      <c r="I11298" s="6" t="s">
        <v>31</v>
      </c>
      <c r="J11298" s="6">
        <v>17.867412047403999</v>
      </c>
      <c r="K11298" s="6">
        <v>-96.308047623636</v>
      </c>
      <c r="L11298" s="6" t="str">
        <f>HYPERLINK("https://maps.google.com/?q=17.8674120474036,-96.308047623635503", "🔗 Ver Mapa")</f>
        <v>🔗 Ver Mapa</v>
      </c>
    </row>
    <row r="11299" spans="1:12" ht="43.5" x14ac:dyDescent="0.35">
      <c r="A11299" s="5" t="s">
        <v>98</v>
      </c>
      <c r="B11299" s="5" t="s">
        <v>99</v>
      </c>
      <c r="C11299" s="5" t="s">
        <v>1970</v>
      </c>
      <c r="D11299" s="5" t="s">
        <v>14</v>
      </c>
      <c r="E11299" s="5" t="s">
        <v>140</v>
      </c>
      <c r="F11299" s="5" t="s">
        <v>141</v>
      </c>
      <c r="G11299" s="5" t="s">
        <v>142</v>
      </c>
      <c r="H11299" s="5" t="s">
        <v>377</v>
      </c>
      <c r="I11299" s="5" t="s">
        <v>31</v>
      </c>
      <c r="J11299" s="5">
        <v>17.867478559971001</v>
      </c>
      <c r="K11299" s="5">
        <v>-96.309087513373001</v>
      </c>
      <c r="L11299" s="5" t="str">
        <f>HYPERLINK("https://maps.google.com/?q=17.8674785599705,-96.309087513373299", "🔗 Ver Mapa")</f>
        <v>🔗 Ver Mapa</v>
      </c>
    </row>
    <row r="11300" spans="1:12" ht="43.5" x14ac:dyDescent="0.35">
      <c r="A11300" s="6" t="s">
        <v>98</v>
      </c>
      <c r="B11300" s="6" t="s">
        <v>99</v>
      </c>
      <c r="C11300" s="6" t="s">
        <v>1970</v>
      </c>
      <c r="D11300" s="6" t="s">
        <v>14</v>
      </c>
      <c r="E11300" s="6" t="s">
        <v>140</v>
      </c>
      <c r="F11300" s="6" t="s">
        <v>141</v>
      </c>
      <c r="G11300" s="6" t="s">
        <v>142</v>
      </c>
      <c r="H11300" s="6" t="s">
        <v>377</v>
      </c>
      <c r="I11300" s="6" t="s">
        <v>31</v>
      </c>
      <c r="J11300" s="6">
        <v>17.867521962813001</v>
      </c>
      <c r="K11300" s="6">
        <v>-96.308859527791</v>
      </c>
      <c r="L11300" s="6" t="str">
        <f>HYPERLINK("https://maps.google.com/?q=17.8675219628131,-96.308859527791299", "🔗 Ver Mapa")</f>
        <v>🔗 Ver Mapa</v>
      </c>
    </row>
    <row r="11301" spans="1:12" ht="43.5" x14ac:dyDescent="0.35">
      <c r="A11301" s="5" t="s">
        <v>98</v>
      </c>
      <c r="B11301" s="5" t="s">
        <v>99</v>
      </c>
      <c r="C11301" s="5" t="s">
        <v>1970</v>
      </c>
      <c r="D11301" s="5" t="s">
        <v>14</v>
      </c>
      <c r="E11301" s="5" t="s">
        <v>140</v>
      </c>
      <c r="F11301" s="5" t="s">
        <v>141</v>
      </c>
      <c r="G11301" s="5" t="s">
        <v>142</v>
      </c>
      <c r="H11301" s="5" t="s">
        <v>377</v>
      </c>
      <c r="I11301" s="5" t="s">
        <v>31</v>
      </c>
      <c r="J11301" s="5">
        <v>17.867623421712999</v>
      </c>
      <c r="K11301" s="5">
        <v>-96.310406681417007</v>
      </c>
      <c r="L11301" s="5" t="str">
        <f>HYPERLINK("https://maps.google.com/?q=17.8676234217126,-96.310406681417206", "🔗 Ver Mapa")</f>
        <v>🔗 Ver Mapa</v>
      </c>
    </row>
    <row r="11302" spans="1:12" ht="43.5" x14ac:dyDescent="0.35">
      <c r="A11302" s="6" t="s">
        <v>98</v>
      </c>
      <c r="B11302" s="6" t="s">
        <v>99</v>
      </c>
      <c r="C11302" s="6" t="s">
        <v>1970</v>
      </c>
      <c r="D11302" s="6" t="s">
        <v>14</v>
      </c>
      <c r="E11302" s="6" t="s">
        <v>140</v>
      </c>
      <c r="F11302" s="6" t="s">
        <v>141</v>
      </c>
      <c r="G11302" s="6" t="s">
        <v>142</v>
      </c>
      <c r="H11302" s="6" t="s">
        <v>377</v>
      </c>
      <c r="I11302" s="6" t="s">
        <v>31</v>
      </c>
      <c r="J11302" s="6">
        <v>17.867727609233</v>
      </c>
      <c r="K11302" s="6">
        <v>-96.309036079999998</v>
      </c>
      <c r="L11302" s="6" t="str">
        <f>HYPERLINK("https://maps.google.com/?q=17.8677276092327,-96.309036080000197", "🔗 Ver Mapa")</f>
        <v>🔗 Ver Mapa</v>
      </c>
    </row>
    <row r="11303" spans="1:12" ht="43.5" x14ac:dyDescent="0.35">
      <c r="A11303" s="5" t="s">
        <v>98</v>
      </c>
      <c r="B11303" s="5" t="s">
        <v>99</v>
      </c>
      <c r="C11303" s="5" t="s">
        <v>1970</v>
      </c>
      <c r="D11303" s="5" t="s">
        <v>14</v>
      </c>
      <c r="E11303" s="5" t="s">
        <v>140</v>
      </c>
      <c r="F11303" s="5" t="s">
        <v>141</v>
      </c>
      <c r="G11303" s="5" t="s">
        <v>142</v>
      </c>
      <c r="H11303" s="5" t="s">
        <v>377</v>
      </c>
      <c r="I11303" s="5" t="s">
        <v>31</v>
      </c>
      <c r="J11303" s="5">
        <v>17.867728888491001</v>
      </c>
      <c r="K11303" s="5">
        <v>-96.309475958836003</v>
      </c>
      <c r="L11303" s="5" t="str">
        <f>HYPERLINK("https://maps.google.com/?q=17.8677288884911,-96.309475958836401", "🔗 Ver Mapa")</f>
        <v>🔗 Ver Mapa</v>
      </c>
    </row>
    <row r="11304" spans="1:12" ht="43.5" x14ac:dyDescent="0.35">
      <c r="A11304" s="6" t="s">
        <v>98</v>
      </c>
      <c r="B11304" s="6" t="s">
        <v>99</v>
      </c>
      <c r="C11304" s="6" t="s">
        <v>1970</v>
      </c>
      <c r="D11304" s="6" t="s">
        <v>14</v>
      </c>
      <c r="E11304" s="6" t="s">
        <v>140</v>
      </c>
      <c r="F11304" s="6" t="s">
        <v>141</v>
      </c>
      <c r="G11304" s="6" t="s">
        <v>142</v>
      </c>
      <c r="H11304" s="6" t="s">
        <v>377</v>
      </c>
      <c r="I11304" s="6" t="s">
        <v>31</v>
      </c>
      <c r="J11304" s="6">
        <v>17.867731441458002</v>
      </c>
      <c r="K11304" s="6">
        <v>-96.309344533372993</v>
      </c>
      <c r="L11304" s="6" t="str">
        <f>HYPERLINK("https://maps.google.com/?q=17.8677314414575,-96.309344533373306", "🔗 Ver Mapa")</f>
        <v>🔗 Ver Mapa</v>
      </c>
    </row>
    <row r="11305" spans="1:12" ht="43.5" x14ac:dyDescent="0.35">
      <c r="A11305" s="5" t="s">
        <v>98</v>
      </c>
      <c r="B11305" s="5" t="s">
        <v>99</v>
      </c>
      <c r="C11305" s="5" t="s">
        <v>1970</v>
      </c>
      <c r="D11305" s="5" t="s">
        <v>14</v>
      </c>
      <c r="E11305" s="5" t="s">
        <v>140</v>
      </c>
      <c r="F11305" s="5" t="s">
        <v>141</v>
      </c>
      <c r="G11305" s="5" t="s">
        <v>142</v>
      </c>
      <c r="H11305" s="5" t="s">
        <v>377</v>
      </c>
      <c r="I11305" s="5" t="s">
        <v>31</v>
      </c>
      <c r="J11305" s="5">
        <v>17.868022943688999</v>
      </c>
      <c r="K11305" s="5">
        <v>-96.310060677037995</v>
      </c>
      <c r="L11305" s="5" t="str">
        <f>HYPERLINK("https://maps.google.com/?q=17.8680229436891,-96.310060677038393", "🔗 Ver Mapa")</f>
        <v>🔗 Ver Mapa</v>
      </c>
    </row>
    <row r="11306" spans="1:12" ht="43.5" x14ac:dyDescent="0.35">
      <c r="A11306" s="6" t="s">
        <v>98</v>
      </c>
      <c r="B11306" s="6" t="s">
        <v>99</v>
      </c>
      <c r="C11306" s="6" t="s">
        <v>1970</v>
      </c>
      <c r="D11306" s="6" t="s">
        <v>14</v>
      </c>
      <c r="E11306" s="6" t="s">
        <v>140</v>
      </c>
      <c r="F11306" s="6" t="s">
        <v>141</v>
      </c>
      <c r="G11306" s="6" t="s">
        <v>142</v>
      </c>
      <c r="H11306" s="6" t="s">
        <v>377</v>
      </c>
      <c r="I11306" s="6" t="s">
        <v>31</v>
      </c>
      <c r="J11306" s="6">
        <v>17.868058200728001</v>
      </c>
      <c r="K11306" s="6">
        <v>-96.308826863313996</v>
      </c>
      <c r="L11306" s="6" t="str">
        <f>HYPERLINK("https://maps.google.com/?q=17.8680582007276,-96.308826863313897", "🔗 Ver Mapa")</f>
        <v>🔗 Ver Mapa</v>
      </c>
    </row>
    <row r="11307" spans="1:12" ht="43.5" x14ac:dyDescent="0.35">
      <c r="A11307" s="5" t="s">
        <v>98</v>
      </c>
      <c r="B11307" s="5" t="s">
        <v>99</v>
      </c>
      <c r="C11307" s="5" t="s">
        <v>1970</v>
      </c>
      <c r="D11307" s="5" t="s">
        <v>14</v>
      </c>
      <c r="E11307" s="5" t="s">
        <v>140</v>
      </c>
      <c r="F11307" s="5" t="s">
        <v>141</v>
      </c>
      <c r="G11307" s="5" t="s">
        <v>142</v>
      </c>
      <c r="H11307" s="5" t="s">
        <v>377</v>
      </c>
      <c r="I11307" s="5" t="s">
        <v>31</v>
      </c>
      <c r="J11307" s="5">
        <v>17.868060755647999</v>
      </c>
      <c r="K11307" s="5">
        <v>-96.309025347791007</v>
      </c>
      <c r="L11307" s="5" t="str">
        <f>HYPERLINK("https://maps.google.com/?q=17.8680607556475,-96.309025347791007", "🔗 Ver Mapa")</f>
        <v>🔗 Ver Mapa</v>
      </c>
    </row>
    <row r="11308" spans="1:12" ht="43.5" x14ac:dyDescent="0.35">
      <c r="A11308" s="6" t="s">
        <v>98</v>
      </c>
      <c r="B11308" s="6" t="s">
        <v>99</v>
      </c>
      <c r="C11308" s="6" t="s">
        <v>1970</v>
      </c>
      <c r="D11308" s="6" t="s">
        <v>14</v>
      </c>
      <c r="E11308" s="6" t="s">
        <v>140</v>
      </c>
      <c r="F11308" s="6" t="s">
        <v>141</v>
      </c>
      <c r="G11308" s="6" t="s">
        <v>142</v>
      </c>
      <c r="H11308" s="6" t="s">
        <v>377</v>
      </c>
      <c r="I11308" s="6" t="s">
        <v>31</v>
      </c>
      <c r="J11308" s="6">
        <v>17.868092667146001</v>
      </c>
      <c r="K11308" s="6">
        <v>-96.308664592208999</v>
      </c>
      <c r="L11308" s="6" t="str">
        <f>HYPERLINK("https://maps.google.com/?q=17.8680926671457,-96.308664592209297", "🔗 Ver Mapa")</f>
        <v>🔗 Ver Mapa</v>
      </c>
    </row>
    <row r="11309" spans="1:12" ht="43.5" x14ac:dyDescent="0.35">
      <c r="A11309" s="5" t="s">
        <v>98</v>
      </c>
      <c r="B11309" s="5" t="s">
        <v>99</v>
      </c>
      <c r="C11309" s="5" t="s">
        <v>1970</v>
      </c>
      <c r="D11309" s="5" t="s">
        <v>14</v>
      </c>
      <c r="E11309" s="5" t="s">
        <v>140</v>
      </c>
      <c r="F11309" s="5" t="s">
        <v>141</v>
      </c>
      <c r="G11309" s="5" t="s">
        <v>142</v>
      </c>
      <c r="H11309" s="5" t="s">
        <v>377</v>
      </c>
      <c r="I11309" s="5" t="s">
        <v>31</v>
      </c>
      <c r="J11309" s="5">
        <v>17.868202435646001</v>
      </c>
      <c r="K11309" s="5">
        <v>-96.308808085582001</v>
      </c>
      <c r="L11309" s="5" t="str">
        <f>HYPERLINK("https://maps.google.com/?q=17.8682024356455,-96.308808085582299", "🔗 Ver Mapa")</f>
        <v>🔗 Ver Mapa</v>
      </c>
    </row>
    <row r="11310" spans="1:12" ht="43.5" x14ac:dyDescent="0.35">
      <c r="A11310" s="6" t="s">
        <v>98</v>
      </c>
      <c r="B11310" s="6" t="s">
        <v>99</v>
      </c>
      <c r="C11310" s="6" t="s">
        <v>1970</v>
      </c>
      <c r="D11310" s="6" t="s">
        <v>14</v>
      </c>
      <c r="E11310" s="6" t="s">
        <v>140</v>
      </c>
      <c r="F11310" s="6" t="s">
        <v>141</v>
      </c>
      <c r="G11310" s="6" t="s">
        <v>142</v>
      </c>
      <c r="H11310" s="6" t="s">
        <v>377</v>
      </c>
      <c r="I11310" s="6" t="s">
        <v>31</v>
      </c>
      <c r="J11310" s="6">
        <v>17.868327525643998</v>
      </c>
      <c r="K11310" s="6">
        <v>-96.308863073314001</v>
      </c>
      <c r="L11310" s="6" t="str">
        <f>HYPERLINK("https://maps.google.com/?q=17.8683275256437,-96.308863073313503", "🔗 Ver Mapa")</f>
        <v>🔗 Ver Mapa</v>
      </c>
    </row>
    <row r="11311" spans="1:12" ht="43.5" x14ac:dyDescent="0.35">
      <c r="A11311" s="5" t="s">
        <v>98</v>
      </c>
      <c r="B11311" s="5" t="s">
        <v>99</v>
      </c>
      <c r="C11311" s="5" t="s">
        <v>1970</v>
      </c>
      <c r="D11311" s="5" t="s">
        <v>14</v>
      </c>
      <c r="E11311" s="5" t="s">
        <v>140</v>
      </c>
      <c r="F11311" s="5" t="s">
        <v>141</v>
      </c>
      <c r="G11311" s="5" t="s">
        <v>142</v>
      </c>
      <c r="H11311" s="5" t="s">
        <v>377</v>
      </c>
      <c r="I11311" s="5" t="s">
        <v>31</v>
      </c>
      <c r="J11311" s="5">
        <v>17.868474794703001</v>
      </c>
      <c r="K11311" s="5">
        <v>-96.309834023397997</v>
      </c>
      <c r="L11311" s="5" t="str">
        <f>HYPERLINK("https://maps.google.com/?q=17.8684747947032,-96.309834023397698", "🔗 Ver Mapa")</f>
        <v>🔗 Ver Mapa</v>
      </c>
    </row>
    <row r="11312" spans="1:12" ht="43.5" x14ac:dyDescent="0.35">
      <c r="A11312" s="6" t="s">
        <v>98</v>
      </c>
      <c r="B11312" s="6" t="s">
        <v>99</v>
      </c>
      <c r="C11312" s="6" t="s">
        <v>1970</v>
      </c>
      <c r="D11312" s="6" t="s">
        <v>14</v>
      </c>
      <c r="E11312" s="6" t="s">
        <v>140</v>
      </c>
      <c r="F11312" s="6" t="s">
        <v>141</v>
      </c>
      <c r="G11312" s="6" t="s">
        <v>142</v>
      </c>
      <c r="H11312" s="6" t="s">
        <v>377</v>
      </c>
      <c r="I11312" s="6" t="s">
        <v>31</v>
      </c>
      <c r="J11312" s="6">
        <v>17.868522812055001</v>
      </c>
      <c r="K11312" s="6">
        <v>-96.308867100000001</v>
      </c>
      <c r="L11312" s="6" t="str">
        <f>HYPERLINK("https://maps.google.com/?q=17.8685228120548,-96.308867100000001", "🔗 Ver Mapa")</f>
        <v>🔗 Ver Mapa</v>
      </c>
    </row>
    <row r="11313" spans="1:12" ht="43.5" x14ac:dyDescent="0.35">
      <c r="A11313" s="5" t="s">
        <v>98</v>
      </c>
      <c r="B11313" s="5" t="s">
        <v>99</v>
      </c>
      <c r="C11313" s="5" t="s">
        <v>1970</v>
      </c>
      <c r="D11313" s="5" t="s">
        <v>14</v>
      </c>
      <c r="E11313" s="5" t="s">
        <v>140</v>
      </c>
      <c r="F11313" s="5" t="s">
        <v>141</v>
      </c>
      <c r="G11313" s="5" t="s">
        <v>142</v>
      </c>
      <c r="H11313" s="5" t="s">
        <v>377</v>
      </c>
      <c r="I11313" s="5" t="s">
        <v>31</v>
      </c>
      <c r="J11313" s="5">
        <v>17.868627485373</v>
      </c>
      <c r="K11313" s="5">
        <v>-96.308930128420002</v>
      </c>
      <c r="L11313" s="5" t="str">
        <f>HYPERLINK("https://maps.google.com/?q=17.8686274853729,-96.308930128420002", "🔗 Ver Mapa")</f>
        <v>🔗 Ver Mapa</v>
      </c>
    </row>
    <row r="11314" spans="1:12" ht="43.5" x14ac:dyDescent="0.35">
      <c r="A11314" s="6" t="s">
        <v>98</v>
      </c>
      <c r="B11314" s="6" t="s">
        <v>99</v>
      </c>
      <c r="C11314" s="6" t="s">
        <v>1970</v>
      </c>
      <c r="D11314" s="6" t="s">
        <v>14</v>
      </c>
      <c r="E11314" s="6" t="s">
        <v>140</v>
      </c>
      <c r="F11314" s="6" t="s">
        <v>141</v>
      </c>
      <c r="G11314" s="6" t="s">
        <v>142</v>
      </c>
      <c r="H11314" s="6" t="s">
        <v>377</v>
      </c>
      <c r="I11314" s="6" t="s">
        <v>31</v>
      </c>
      <c r="J11314" s="6">
        <v>17.868638175638999</v>
      </c>
      <c r="K11314" s="6">
        <v>-96.310051282328004</v>
      </c>
      <c r="L11314" s="6" t="str">
        <f>HYPERLINK("https://maps.google.com/?q=17.8686381756393,-96.310051282327905", "🔗 Ver Mapa")</f>
        <v>🔗 Ver Mapa</v>
      </c>
    </row>
    <row r="11315" spans="1:12" ht="43.5" x14ac:dyDescent="0.35">
      <c r="A11315" s="5" t="s">
        <v>98</v>
      </c>
      <c r="B11315" s="5" t="s">
        <v>99</v>
      </c>
      <c r="C11315" s="5" t="s">
        <v>1970</v>
      </c>
      <c r="D11315" s="5" t="s">
        <v>14</v>
      </c>
      <c r="E11315" s="5" t="s">
        <v>140</v>
      </c>
      <c r="F11315" s="5" t="s">
        <v>141</v>
      </c>
      <c r="G11315" s="5" t="s">
        <v>142</v>
      </c>
      <c r="H11315" s="5" t="s">
        <v>377</v>
      </c>
      <c r="I11315" s="5" t="s">
        <v>31</v>
      </c>
      <c r="J11315" s="5">
        <v>17.868769167164999</v>
      </c>
      <c r="K11315" s="5">
        <v>-96.308834910000002</v>
      </c>
      <c r="L11315" s="5" t="str">
        <f>HYPERLINK("https://maps.google.com/?q=17.8687691671653,-96.308834910000002", "🔗 Ver Mapa")</f>
        <v>🔗 Ver Mapa</v>
      </c>
    </row>
    <row r="11316" spans="1:12" ht="43.5" x14ac:dyDescent="0.35">
      <c r="A11316" s="6" t="s">
        <v>98</v>
      </c>
      <c r="B11316" s="6" t="s">
        <v>99</v>
      </c>
      <c r="C11316" s="6" t="s">
        <v>1970</v>
      </c>
      <c r="D11316" s="6" t="s">
        <v>14</v>
      </c>
      <c r="E11316" s="6" t="s">
        <v>140</v>
      </c>
      <c r="F11316" s="6" t="s">
        <v>141</v>
      </c>
      <c r="G11316" s="6" t="s">
        <v>142</v>
      </c>
      <c r="H11316" s="6" t="s">
        <v>377</v>
      </c>
      <c r="I11316" s="6" t="s">
        <v>31</v>
      </c>
      <c r="J11316" s="6">
        <v>17.86894324076</v>
      </c>
      <c r="K11316" s="6">
        <v>-96.308699446627003</v>
      </c>
      <c r="L11316" s="6" t="str">
        <f>HYPERLINK("https://maps.google.com/?q=17.8689432407596,-96.308699446627003", "🔗 Ver Mapa")</f>
        <v>🔗 Ver Mapa</v>
      </c>
    </row>
    <row r="11317" spans="1:12" ht="43.5" x14ac:dyDescent="0.35">
      <c r="A11317" s="5" t="s">
        <v>98</v>
      </c>
      <c r="B11317" s="5" t="s">
        <v>99</v>
      </c>
      <c r="C11317" s="5" t="s">
        <v>1970</v>
      </c>
      <c r="D11317" s="5" t="s">
        <v>14</v>
      </c>
      <c r="E11317" s="5" t="s">
        <v>140</v>
      </c>
      <c r="F11317" s="5" t="s">
        <v>141</v>
      </c>
      <c r="G11317" s="5" t="s">
        <v>142</v>
      </c>
      <c r="H11317" s="5" t="s">
        <v>377</v>
      </c>
      <c r="I11317" s="5" t="s">
        <v>31</v>
      </c>
      <c r="J11317" s="5">
        <v>17.868953448707</v>
      </c>
      <c r="K11317" s="5">
        <v>-96.308834898954998</v>
      </c>
      <c r="L11317" s="5" t="str">
        <f>HYPERLINK("https://maps.google.com/?q=17.8689534487066,-96.308834898955297", "🔗 Ver Mapa")</f>
        <v>🔗 Ver Mapa</v>
      </c>
    </row>
    <row r="11318" spans="1:12" ht="43.5" x14ac:dyDescent="0.35">
      <c r="A11318" s="6" t="s">
        <v>98</v>
      </c>
      <c r="B11318" s="6" t="s">
        <v>99</v>
      </c>
      <c r="C11318" s="6" t="s">
        <v>1970</v>
      </c>
      <c r="D11318" s="6" t="s">
        <v>14</v>
      </c>
      <c r="E11318" s="6" t="s">
        <v>140</v>
      </c>
      <c r="F11318" s="6" t="s">
        <v>141</v>
      </c>
      <c r="G11318" s="6" t="s">
        <v>142</v>
      </c>
      <c r="H11318" s="6" t="s">
        <v>377</v>
      </c>
      <c r="I11318" s="6" t="s">
        <v>31</v>
      </c>
      <c r="J11318" s="6">
        <v>17.868976427322</v>
      </c>
      <c r="K11318" s="6">
        <v>-96.309162133501999</v>
      </c>
      <c r="L11318" s="6" t="str">
        <f>HYPERLINK("https://maps.google.com/?q=17.8689764273224,-96.309162133501701", "🔗 Ver Mapa")</f>
        <v>🔗 Ver Mapa</v>
      </c>
    </row>
    <row r="11319" spans="1:12" ht="43.5" x14ac:dyDescent="0.35">
      <c r="A11319" s="5" t="s">
        <v>98</v>
      </c>
      <c r="B11319" s="5" t="s">
        <v>99</v>
      </c>
      <c r="C11319" s="5" t="s">
        <v>1970</v>
      </c>
      <c r="D11319" s="5" t="s">
        <v>14</v>
      </c>
      <c r="E11319" s="5" t="s">
        <v>140</v>
      </c>
      <c r="F11319" s="5" t="s">
        <v>141</v>
      </c>
      <c r="G11319" s="5" t="s">
        <v>142</v>
      </c>
      <c r="H11319" s="5" t="s">
        <v>377</v>
      </c>
      <c r="I11319" s="5" t="s">
        <v>31</v>
      </c>
      <c r="J11319" s="5">
        <v>17.869170440226998</v>
      </c>
      <c r="K11319" s="5">
        <v>-96.309003882838994</v>
      </c>
      <c r="L11319" s="5" t="str">
        <f>HYPERLINK("https://maps.google.com/?q=17.8691704402266,-96.309003882838596", "🔗 Ver Mapa")</f>
        <v>🔗 Ver Mapa</v>
      </c>
    </row>
    <row r="11320" spans="1:12" ht="43.5" x14ac:dyDescent="0.35">
      <c r="A11320" s="6" t="s">
        <v>98</v>
      </c>
      <c r="B11320" s="6" t="s">
        <v>99</v>
      </c>
      <c r="C11320" s="6" t="s">
        <v>1970</v>
      </c>
      <c r="D11320" s="6" t="s">
        <v>14</v>
      </c>
      <c r="E11320" s="6" t="s">
        <v>140</v>
      </c>
      <c r="F11320" s="6" t="s">
        <v>141</v>
      </c>
      <c r="G11320" s="6" t="s">
        <v>142</v>
      </c>
      <c r="H11320" s="6" t="s">
        <v>377</v>
      </c>
      <c r="I11320" s="6" t="s">
        <v>31</v>
      </c>
      <c r="J11320" s="6">
        <v>17.869368519590999</v>
      </c>
      <c r="K11320" s="6">
        <v>-96.308385227727996</v>
      </c>
      <c r="L11320" s="6" t="str">
        <f>HYPERLINK("https://maps.google.com/?q=17.8693685195908,-96.3083852277285", "🔗 Ver Mapa")</f>
        <v>🔗 Ver Mapa</v>
      </c>
    </row>
    <row r="11321" spans="1:12" ht="43.5" x14ac:dyDescent="0.35">
      <c r="A11321" s="5" t="s">
        <v>98</v>
      </c>
      <c r="B11321" s="5" t="s">
        <v>99</v>
      </c>
      <c r="C11321" s="5" t="s">
        <v>1970</v>
      </c>
      <c r="D11321" s="5" t="s">
        <v>14</v>
      </c>
      <c r="E11321" s="5" t="s">
        <v>140</v>
      </c>
      <c r="F11321" s="5" t="s">
        <v>141</v>
      </c>
      <c r="G11321" s="5" t="s">
        <v>142</v>
      </c>
      <c r="H11321" s="5" t="s">
        <v>377</v>
      </c>
      <c r="I11321" s="5" t="s">
        <v>31</v>
      </c>
      <c r="J11321" s="5">
        <v>17.869574677037999</v>
      </c>
      <c r="K11321" s="5">
        <v>-96.308540770500002</v>
      </c>
      <c r="L11321" s="5" t="str">
        <f>HYPERLINK("https://maps.google.com/?q=17.8695746770379,-96.308540770500301", "🔗 Ver Mapa")</f>
        <v>🔗 Ver Mapa</v>
      </c>
    </row>
    <row r="11322" spans="1:12" ht="43.5" x14ac:dyDescent="0.35">
      <c r="A11322" s="6" t="s">
        <v>98</v>
      </c>
      <c r="B11322" s="6" t="s">
        <v>99</v>
      </c>
      <c r="C11322" s="6" t="s">
        <v>1970</v>
      </c>
      <c r="D11322" s="6" t="s">
        <v>14</v>
      </c>
      <c r="E11322" s="6" t="s">
        <v>140</v>
      </c>
      <c r="F11322" s="6" t="s">
        <v>141</v>
      </c>
      <c r="G11322" s="6" t="s">
        <v>142</v>
      </c>
      <c r="H11322" s="6" t="s">
        <v>377</v>
      </c>
      <c r="I11322" s="6" t="s">
        <v>31</v>
      </c>
      <c r="J11322" s="6">
        <v>17.869823957691999</v>
      </c>
      <c r="K11322" s="6">
        <v>-96.309486675448994</v>
      </c>
      <c r="L11322" s="6" t="str">
        <f>HYPERLINK("https://maps.google.com/?q=17.8698239576924,-96.309486675448596", "🔗 Ver Mapa")</f>
        <v>🔗 Ver Mapa</v>
      </c>
    </row>
    <row r="11323" spans="1:12" ht="43.5" x14ac:dyDescent="0.35">
      <c r="A11323" s="5" t="s">
        <v>98</v>
      </c>
      <c r="B11323" s="5" t="s">
        <v>99</v>
      </c>
      <c r="C11323" s="5" t="s">
        <v>1971</v>
      </c>
      <c r="D11323" s="5" t="s">
        <v>14</v>
      </c>
      <c r="E11323" s="5" t="s">
        <v>52</v>
      </c>
      <c r="F11323" s="5" t="s">
        <v>70</v>
      </c>
      <c r="G11323" s="5" t="s">
        <v>123</v>
      </c>
      <c r="H11323" s="5" t="s">
        <v>307</v>
      </c>
      <c r="I11323" s="5" t="s">
        <v>31</v>
      </c>
      <c r="J11323" s="5">
        <v>16.997955999999999</v>
      </c>
      <c r="K11323" s="5">
        <v>-96.760758999999993</v>
      </c>
      <c r="L11323" s="5" t="str">
        <f>HYPERLINK("https://maps.google.com/?q=16.997956,-96.760758999999993", "🔗 Ver Mapa")</f>
        <v>🔗 Ver Mapa</v>
      </c>
    </row>
    <row r="11324" spans="1:12" ht="43.5" x14ac:dyDescent="0.35">
      <c r="A11324" s="6" t="s">
        <v>98</v>
      </c>
      <c r="B11324" s="6" t="s">
        <v>99</v>
      </c>
      <c r="C11324" s="6" t="s">
        <v>1971</v>
      </c>
      <c r="D11324" s="6" t="s">
        <v>14</v>
      </c>
      <c r="E11324" s="6" t="s">
        <v>52</v>
      </c>
      <c r="F11324" s="6" t="s">
        <v>70</v>
      </c>
      <c r="G11324" s="6" t="s">
        <v>123</v>
      </c>
      <c r="H11324" s="6" t="s">
        <v>307</v>
      </c>
      <c r="I11324" s="6" t="s">
        <v>31</v>
      </c>
      <c r="J11324" s="6">
        <v>16.998266999999998</v>
      </c>
      <c r="K11324" s="6">
        <v>-96.761544999999998</v>
      </c>
      <c r="L11324" s="6" t="str">
        <f>HYPERLINK("https://maps.google.com/?q=16.998267,-96.761544999999998", "🔗 Ver Mapa")</f>
        <v>🔗 Ver Mapa</v>
      </c>
    </row>
    <row r="11325" spans="1:12" ht="43.5" x14ac:dyDescent="0.35">
      <c r="A11325" s="5" t="s">
        <v>98</v>
      </c>
      <c r="B11325" s="5" t="s">
        <v>99</v>
      </c>
      <c r="C11325" s="5" t="s">
        <v>1971</v>
      </c>
      <c r="D11325" s="5" t="s">
        <v>14</v>
      </c>
      <c r="E11325" s="5" t="s">
        <v>52</v>
      </c>
      <c r="F11325" s="5" t="s">
        <v>70</v>
      </c>
      <c r="G11325" s="5" t="s">
        <v>123</v>
      </c>
      <c r="H11325" s="5" t="s">
        <v>307</v>
      </c>
      <c r="I11325" s="5" t="s">
        <v>31</v>
      </c>
      <c r="J11325" s="5">
        <v>16.999213000000001</v>
      </c>
      <c r="K11325" s="5">
        <v>-96.762269000000003</v>
      </c>
      <c r="L11325" s="5" t="str">
        <f>HYPERLINK("https://maps.google.com/?q=16.999213,-96.762269000000003", "🔗 Ver Mapa")</f>
        <v>🔗 Ver Mapa</v>
      </c>
    </row>
    <row r="11326" spans="1:12" ht="43.5" x14ac:dyDescent="0.35">
      <c r="A11326" s="6" t="s">
        <v>98</v>
      </c>
      <c r="B11326" s="6" t="s">
        <v>99</v>
      </c>
      <c r="C11326" s="6" t="s">
        <v>1971</v>
      </c>
      <c r="D11326" s="6" t="s">
        <v>14</v>
      </c>
      <c r="E11326" s="6" t="s">
        <v>52</v>
      </c>
      <c r="F11326" s="6" t="s">
        <v>70</v>
      </c>
      <c r="G11326" s="6" t="s">
        <v>123</v>
      </c>
      <c r="H11326" s="6" t="s">
        <v>307</v>
      </c>
      <c r="I11326" s="6" t="s">
        <v>31</v>
      </c>
      <c r="J11326" s="6">
        <v>16.999531000000001</v>
      </c>
      <c r="K11326" s="6">
        <v>-96.761324999999999</v>
      </c>
      <c r="L11326" s="6" t="str">
        <f>HYPERLINK("https://maps.google.com/?q=16.999531,-96.761324999999999", "🔗 Ver Mapa")</f>
        <v>🔗 Ver Mapa</v>
      </c>
    </row>
    <row r="11327" spans="1:12" ht="43.5" x14ac:dyDescent="0.35">
      <c r="A11327" s="5" t="s">
        <v>98</v>
      </c>
      <c r="B11327" s="5" t="s">
        <v>99</v>
      </c>
      <c r="C11327" s="5" t="s">
        <v>1971</v>
      </c>
      <c r="D11327" s="5" t="s">
        <v>14</v>
      </c>
      <c r="E11327" s="5" t="s">
        <v>52</v>
      </c>
      <c r="F11327" s="5" t="s">
        <v>70</v>
      </c>
      <c r="G11327" s="5" t="s">
        <v>123</v>
      </c>
      <c r="H11327" s="5" t="s">
        <v>307</v>
      </c>
      <c r="I11327" s="5" t="s">
        <v>31</v>
      </c>
      <c r="J11327" s="5">
        <v>16.999877000000001</v>
      </c>
      <c r="K11327" s="5">
        <v>-96.761928999999995</v>
      </c>
      <c r="L11327" s="5" t="str">
        <f>HYPERLINK("https://maps.google.com/?q=16.999877,-96.761928999999995", "🔗 Ver Mapa")</f>
        <v>🔗 Ver Mapa</v>
      </c>
    </row>
    <row r="11328" spans="1:12" ht="43.5" x14ac:dyDescent="0.35">
      <c r="A11328" s="6" t="s">
        <v>98</v>
      </c>
      <c r="B11328" s="6" t="s">
        <v>99</v>
      </c>
      <c r="C11328" s="6" t="s">
        <v>1971</v>
      </c>
      <c r="D11328" s="6" t="s">
        <v>14</v>
      </c>
      <c r="E11328" s="6" t="s">
        <v>52</v>
      </c>
      <c r="F11328" s="6" t="s">
        <v>70</v>
      </c>
      <c r="G11328" s="6" t="s">
        <v>123</v>
      </c>
      <c r="H11328" s="6" t="s">
        <v>307</v>
      </c>
      <c r="I11328" s="6" t="s">
        <v>31</v>
      </c>
      <c r="J11328" s="6">
        <v>17.000174000000001</v>
      </c>
      <c r="K11328" s="6">
        <v>-96.762142999999995</v>
      </c>
      <c r="L11328" s="6" t="str">
        <f>HYPERLINK("https://maps.google.com/?q=17.000174,-96.762142999999995", "🔗 Ver Mapa")</f>
        <v>🔗 Ver Mapa</v>
      </c>
    </row>
    <row r="11329" spans="1:12" ht="43.5" x14ac:dyDescent="0.35">
      <c r="A11329" s="5" t="s">
        <v>98</v>
      </c>
      <c r="B11329" s="5" t="s">
        <v>99</v>
      </c>
      <c r="C11329" s="5" t="s">
        <v>1971</v>
      </c>
      <c r="D11329" s="5" t="s">
        <v>14</v>
      </c>
      <c r="E11329" s="5" t="s">
        <v>52</v>
      </c>
      <c r="F11329" s="5" t="s">
        <v>70</v>
      </c>
      <c r="G11329" s="5" t="s">
        <v>123</v>
      </c>
      <c r="H11329" s="5" t="s">
        <v>307</v>
      </c>
      <c r="I11329" s="5" t="s">
        <v>31</v>
      </c>
      <c r="J11329" s="5">
        <v>17.000330000000002</v>
      </c>
      <c r="K11329" s="5">
        <v>-96.760486</v>
      </c>
      <c r="L11329" s="5" t="str">
        <f>HYPERLINK("https://maps.google.com/?q=17.00033,-96.760486", "🔗 Ver Mapa")</f>
        <v>🔗 Ver Mapa</v>
      </c>
    </row>
    <row r="11330" spans="1:12" ht="43.5" x14ac:dyDescent="0.35">
      <c r="A11330" s="6" t="s">
        <v>98</v>
      </c>
      <c r="B11330" s="6" t="s">
        <v>99</v>
      </c>
      <c r="C11330" s="6" t="s">
        <v>1971</v>
      </c>
      <c r="D11330" s="6" t="s">
        <v>14</v>
      </c>
      <c r="E11330" s="6" t="s">
        <v>52</v>
      </c>
      <c r="F11330" s="6" t="s">
        <v>70</v>
      </c>
      <c r="G11330" s="6" t="s">
        <v>123</v>
      </c>
      <c r="H11330" s="6" t="s">
        <v>307</v>
      </c>
      <c r="I11330" s="6" t="s">
        <v>31</v>
      </c>
      <c r="J11330" s="6">
        <v>17.000816</v>
      </c>
      <c r="K11330" s="6">
        <v>-96.762067999999999</v>
      </c>
      <c r="L11330" s="6" t="str">
        <f>HYPERLINK("https://maps.google.com/?q=17.000816,-96.762067999999999", "🔗 Ver Mapa")</f>
        <v>🔗 Ver Mapa</v>
      </c>
    </row>
    <row r="11331" spans="1:12" ht="43.5" x14ac:dyDescent="0.35">
      <c r="A11331" s="5" t="s">
        <v>98</v>
      </c>
      <c r="B11331" s="5" t="s">
        <v>99</v>
      </c>
      <c r="C11331" s="5" t="s">
        <v>1971</v>
      </c>
      <c r="D11331" s="5" t="s">
        <v>14</v>
      </c>
      <c r="E11331" s="5" t="s">
        <v>52</v>
      </c>
      <c r="F11331" s="5" t="s">
        <v>70</v>
      </c>
      <c r="G11331" s="5" t="s">
        <v>123</v>
      </c>
      <c r="H11331" s="5" t="s">
        <v>307</v>
      </c>
      <c r="I11331" s="5" t="s">
        <v>31</v>
      </c>
      <c r="J11331" s="5">
        <v>17.001156000000002</v>
      </c>
      <c r="K11331" s="5">
        <v>-96.760914999999997</v>
      </c>
      <c r="L11331" s="5" t="str">
        <f>HYPERLINK("https://maps.google.com/?q=17.001156,-96.760914999999997", "🔗 Ver Mapa")</f>
        <v>🔗 Ver Mapa</v>
      </c>
    </row>
    <row r="11332" spans="1:12" ht="43.5" x14ac:dyDescent="0.35">
      <c r="A11332" s="6" t="s">
        <v>98</v>
      </c>
      <c r="B11332" s="6" t="s">
        <v>99</v>
      </c>
      <c r="C11332" s="6" t="s">
        <v>1971</v>
      </c>
      <c r="D11332" s="6" t="s">
        <v>14</v>
      </c>
      <c r="E11332" s="6" t="s">
        <v>52</v>
      </c>
      <c r="F11332" s="6" t="s">
        <v>70</v>
      </c>
      <c r="G11332" s="6" t="s">
        <v>123</v>
      </c>
      <c r="H11332" s="6" t="s">
        <v>307</v>
      </c>
      <c r="I11332" s="6" t="s">
        <v>31</v>
      </c>
      <c r="J11332" s="6">
        <v>17.001923999999999</v>
      </c>
      <c r="K11332" s="6">
        <v>-96.760531</v>
      </c>
      <c r="L11332" s="6" t="str">
        <f>HYPERLINK("https://maps.google.com/?q=17.001924,-96.760531", "🔗 Ver Mapa")</f>
        <v>🔗 Ver Mapa</v>
      </c>
    </row>
    <row r="11333" spans="1:12" ht="43.5" x14ac:dyDescent="0.35">
      <c r="A11333" s="5" t="s">
        <v>98</v>
      </c>
      <c r="B11333" s="5" t="s">
        <v>99</v>
      </c>
      <c r="C11333" s="5" t="s">
        <v>1972</v>
      </c>
      <c r="D11333" s="5" t="s">
        <v>14</v>
      </c>
      <c r="E11333" s="5" t="s">
        <v>39</v>
      </c>
      <c r="F11333" s="5" t="s">
        <v>494</v>
      </c>
      <c r="G11333" s="5" t="s">
        <v>1973</v>
      </c>
      <c r="H11333" s="5" t="s">
        <v>1974</v>
      </c>
      <c r="I11333" s="5" t="s">
        <v>31</v>
      </c>
      <c r="J11333" s="5">
        <v>16.648652169999998</v>
      </c>
      <c r="K11333" s="5">
        <v>-97.531680850000001</v>
      </c>
      <c r="L11333" s="5" t="str">
        <f>HYPERLINK("https://maps.google.com/?q=16.64865217,-97.531680850000001", "🔗 Ver Mapa")</f>
        <v>🔗 Ver Mapa</v>
      </c>
    </row>
    <row r="11334" spans="1:12" ht="43.5" x14ac:dyDescent="0.35">
      <c r="A11334" s="6" t="s">
        <v>98</v>
      </c>
      <c r="B11334" s="6" t="s">
        <v>99</v>
      </c>
      <c r="C11334" s="6" t="s">
        <v>1972</v>
      </c>
      <c r="D11334" s="6" t="s">
        <v>14</v>
      </c>
      <c r="E11334" s="6" t="s">
        <v>39</v>
      </c>
      <c r="F11334" s="6" t="s">
        <v>494</v>
      </c>
      <c r="G11334" s="6" t="s">
        <v>1973</v>
      </c>
      <c r="H11334" s="6" t="s">
        <v>1974</v>
      </c>
      <c r="I11334" s="6" t="s">
        <v>31</v>
      </c>
      <c r="J11334" s="6">
        <v>16.648654730000001</v>
      </c>
      <c r="K11334" s="6">
        <v>-97.531097470000006</v>
      </c>
      <c r="L11334" s="6" t="str">
        <f>HYPERLINK("https://maps.google.com/?q=16.64865473,-97.531097470000006", "🔗 Ver Mapa")</f>
        <v>🔗 Ver Mapa</v>
      </c>
    </row>
    <row r="11335" spans="1:12" ht="43.5" x14ac:dyDescent="0.35">
      <c r="A11335" s="5" t="s">
        <v>98</v>
      </c>
      <c r="B11335" s="5" t="s">
        <v>99</v>
      </c>
      <c r="C11335" s="5" t="s">
        <v>1972</v>
      </c>
      <c r="D11335" s="5" t="s">
        <v>14</v>
      </c>
      <c r="E11335" s="5" t="s">
        <v>39</v>
      </c>
      <c r="F11335" s="5" t="s">
        <v>494</v>
      </c>
      <c r="G11335" s="5" t="s">
        <v>1973</v>
      </c>
      <c r="H11335" s="5" t="s">
        <v>1974</v>
      </c>
      <c r="I11335" s="5" t="s">
        <v>31</v>
      </c>
      <c r="J11335" s="5">
        <v>16.648717690000002</v>
      </c>
      <c r="K11335" s="5">
        <v>-97.530182839999995</v>
      </c>
      <c r="L11335" s="5" t="str">
        <f>HYPERLINK("https://maps.google.com/?q=16.64871769,-97.530182839999995", "🔗 Ver Mapa")</f>
        <v>🔗 Ver Mapa</v>
      </c>
    </row>
    <row r="11336" spans="1:12" ht="43.5" x14ac:dyDescent="0.35">
      <c r="A11336" s="6" t="s">
        <v>98</v>
      </c>
      <c r="B11336" s="6" t="s">
        <v>99</v>
      </c>
      <c r="C11336" s="6" t="s">
        <v>1972</v>
      </c>
      <c r="D11336" s="6" t="s">
        <v>14</v>
      </c>
      <c r="E11336" s="6" t="s">
        <v>39</v>
      </c>
      <c r="F11336" s="6" t="s">
        <v>494</v>
      </c>
      <c r="G11336" s="6" t="s">
        <v>1973</v>
      </c>
      <c r="H11336" s="6" t="s">
        <v>1974</v>
      </c>
      <c r="I11336" s="6" t="s">
        <v>31</v>
      </c>
      <c r="J11336" s="6">
        <v>16.648793250000001</v>
      </c>
      <c r="K11336" s="6">
        <v>-97.530078439999997</v>
      </c>
      <c r="L11336" s="6" t="str">
        <f>HYPERLINK("https://maps.google.com/?q=16.64879325,-97.530078439999997", "🔗 Ver Mapa")</f>
        <v>🔗 Ver Mapa</v>
      </c>
    </row>
    <row r="11337" spans="1:12" ht="43.5" x14ac:dyDescent="0.35">
      <c r="A11337" s="5" t="s">
        <v>98</v>
      </c>
      <c r="B11337" s="5" t="s">
        <v>99</v>
      </c>
      <c r="C11337" s="5" t="s">
        <v>1972</v>
      </c>
      <c r="D11337" s="5" t="s">
        <v>14</v>
      </c>
      <c r="E11337" s="5" t="s">
        <v>39</v>
      </c>
      <c r="F11337" s="5" t="s">
        <v>494</v>
      </c>
      <c r="G11337" s="5" t="s">
        <v>1973</v>
      </c>
      <c r="H11337" s="5" t="s">
        <v>1974</v>
      </c>
      <c r="I11337" s="5" t="s">
        <v>31</v>
      </c>
      <c r="J11337" s="5">
        <v>16.648821269999999</v>
      </c>
      <c r="K11337" s="5">
        <v>-97.530485830000003</v>
      </c>
      <c r="L11337" s="5" t="str">
        <f>HYPERLINK("https://maps.google.com/?q=16.64882127,-97.530485830000003", "🔗 Ver Mapa")</f>
        <v>🔗 Ver Mapa</v>
      </c>
    </row>
    <row r="11338" spans="1:12" ht="43.5" x14ac:dyDescent="0.35">
      <c r="A11338" s="6" t="s">
        <v>98</v>
      </c>
      <c r="B11338" s="6" t="s">
        <v>99</v>
      </c>
      <c r="C11338" s="6" t="s">
        <v>1972</v>
      </c>
      <c r="D11338" s="6" t="s">
        <v>14</v>
      </c>
      <c r="E11338" s="6" t="s">
        <v>39</v>
      </c>
      <c r="F11338" s="6" t="s">
        <v>494</v>
      </c>
      <c r="G11338" s="6" t="s">
        <v>1973</v>
      </c>
      <c r="H11338" s="6" t="s">
        <v>1974</v>
      </c>
      <c r="I11338" s="6" t="s">
        <v>31</v>
      </c>
      <c r="J11338" s="6">
        <v>16.648920480000001</v>
      </c>
      <c r="K11338" s="6">
        <v>-97.52984558</v>
      </c>
      <c r="L11338" s="6" t="str">
        <f>HYPERLINK("https://maps.google.com/?q=16.64892048,-97.52984558", "🔗 Ver Mapa")</f>
        <v>🔗 Ver Mapa</v>
      </c>
    </row>
    <row r="11339" spans="1:12" ht="43.5" x14ac:dyDescent="0.35">
      <c r="A11339" s="5" t="s">
        <v>98</v>
      </c>
      <c r="B11339" s="5" t="s">
        <v>99</v>
      </c>
      <c r="C11339" s="5" t="s">
        <v>1972</v>
      </c>
      <c r="D11339" s="5" t="s">
        <v>14</v>
      </c>
      <c r="E11339" s="5" t="s">
        <v>39</v>
      </c>
      <c r="F11339" s="5" t="s">
        <v>494</v>
      </c>
      <c r="G11339" s="5" t="s">
        <v>1973</v>
      </c>
      <c r="H11339" s="5" t="s">
        <v>1974</v>
      </c>
      <c r="I11339" s="5" t="s">
        <v>31</v>
      </c>
      <c r="J11339" s="5">
        <v>16.64903778</v>
      </c>
      <c r="K11339" s="5">
        <v>-97.528709649999996</v>
      </c>
      <c r="L11339" s="5" t="str">
        <f>HYPERLINK("https://maps.google.com/?q=16.64903778,-97.528709649999996", "🔗 Ver Mapa")</f>
        <v>🔗 Ver Mapa</v>
      </c>
    </row>
    <row r="11340" spans="1:12" ht="43.5" x14ac:dyDescent="0.35">
      <c r="A11340" s="6" t="s">
        <v>98</v>
      </c>
      <c r="B11340" s="6" t="s">
        <v>99</v>
      </c>
      <c r="C11340" s="6" t="s">
        <v>1972</v>
      </c>
      <c r="D11340" s="6" t="s">
        <v>14</v>
      </c>
      <c r="E11340" s="6" t="s">
        <v>39</v>
      </c>
      <c r="F11340" s="6" t="s">
        <v>494</v>
      </c>
      <c r="G11340" s="6" t="s">
        <v>1973</v>
      </c>
      <c r="H11340" s="6" t="s">
        <v>1974</v>
      </c>
      <c r="I11340" s="6" t="s">
        <v>31</v>
      </c>
      <c r="J11340" s="6">
        <v>16.649142550000001</v>
      </c>
      <c r="K11340" s="6">
        <v>-97.529316449999996</v>
      </c>
      <c r="L11340" s="6" t="str">
        <f>HYPERLINK("https://maps.google.com/?q=16.64914255,-97.529316449999996", "🔗 Ver Mapa")</f>
        <v>🔗 Ver Mapa</v>
      </c>
    </row>
    <row r="11341" spans="1:12" ht="43.5" x14ac:dyDescent="0.35">
      <c r="A11341" s="5" t="s">
        <v>98</v>
      </c>
      <c r="B11341" s="5" t="s">
        <v>99</v>
      </c>
      <c r="C11341" s="5" t="s">
        <v>1972</v>
      </c>
      <c r="D11341" s="5" t="s">
        <v>14</v>
      </c>
      <c r="E11341" s="5" t="s">
        <v>39</v>
      </c>
      <c r="F11341" s="5" t="s">
        <v>494</v>
      </c>
      <c r="G11341" s="5" t="s">
        <v>1973</v>
      </c>
      <c r="H11341" s="5" t="s">
        <v>1974</v>
      </c>
      <c r="I11341" s="5" t="s">
        <v>31</v>
      </c>
      <c r="J11341" s="5">
        <v>16.649256789999999</v>
      </c>
      <c r="K11341" s="5">
        <v>-97.533152130000005</v>
      </c>
      <c r="L11341" s="5" t="str">
        <f>HYPERLINK("https://maps.google.com/?q=16.64925679,-97.533152130000005", "🔗 Ver Mapa")</f>
        <v>🔗 Ver Mapa</v>
      </c>
    </row>
    <row r="11342" spans="1:12" ht="43.5" x14ac:dyDescent="0.35">
      <c r="A11342" s="6" t="s">
        <v>98</v>
      </c>
      <c r="B11342" s="6" t="s">
        <v>99</v>
      </c>
      <c r="C11342" s="6" t="s">
        <v>1972</v>
      </c>
      <c r="D11342" s="6" t="s">
        <v>14</v>
      </c>
      <c r="E11342" s="6" t="s">
        <v>39</v>
      </c>
      <c r="F11342" s="6" t="s">
        <v>494</v>
      </c>
      <c r="G11342" s="6" t="s">
        <v>1973</v>
      </c>
      <c r="H11342" s="6" t="s">
        <v>1974</v>
      </c>
      <c r="I11342" s="6" t="s">
        <v>31</v>
      </c>
      <c r="J11342" s="6">
        <v>16.649300390000001</v>
      </c>
      <c r="K11342" s="6">
        <v>-97.532302090000002</v>
      </c>
      <c r="L11342" s="6" t="str">
        <f>HYPERLINK("https://maps.google.com/?q=16.64930039,-97.532302090000002", "🔗 Ver Mapa")</f>
        <v>🔗 Ver Mapa</v>
      </c>
    </row>
    <row r="11343" spans="1:12" ht="58" x14ac:dyDescent="0.35">
      <c r="A11343" s="5" t="s">
        <v>98</v>
      </c>
      <c r="B11343" s="5" t="s">
        <v>99</v>
      </c>
      <c r="C11343" s="5" t="s">
        <v>1975</v>
      </c>
      <c r="D11343" s="5" t="s">
        <v>14</v>
      </c>
      <c r="E11343" s="5" t="s">
        <v>158</v>
      </c>
      <c r="F11343" s="5" t="s">
        <v>159</v>
      </c>
      <c r="G11343" s="5" t="s">
        <v>192</v>
      </c>
      <c r="H11343" s="5" t="s">
        <v>193</v>
      </c>
      <c r="I11343" s="5" t="s">
        <v>31</v>
      </c>
      <c r="J11343" s="5">
        <v>16.358983764723</v>
      </c>
      <c r="K11343" s="5">
        <v>-94.190335326736999</v>
      </c>
      <c r="L11343" s="5" t="str">
        <f>HYPERLINK("https://maps.google.com/?q=16.3589837647231,-94.190335326736701", "🔗 Ver Mapa")</f>
        <v>🔗 Ver Mapa</v>
      </c>
    </row>
    <row r="11344" spans="1:12" ht="58" x14ac:dyDescent="0.35">
      <c r="A11344" s="6" t="s">
        <v>98</v>
      </c>
      <c r="B11344" s="6" t="s">
        <v>99</v>
      </c>
      <c r="C11344" s="6" t="s">
        <v>1975</v>
      </c>
      <c r="D11344" s="6" t="s">
        <v>14</v>
      </c>
      <c r="E11344" s="6" t="s">
        <v>158</v>
      </c>
      <c r="F11344" s="6" t="s">
        <v>159</v>
      </c>
      <c r="G11344" s="6" t="s">
        <v>192</v>
      </c>
      <c r="H11344" s="6" t="s">
        <v>193</v>
      </c>
      <c r="I11344" s="6" t="s">
        <v>31</v>
      </c>
      <c r="J11344" s="6">
        <v>16.359712100968</v>
      </c>
      <c r="K11344" s="6">
        <v>-94.188485943621004</v>
      </c>
      <c r="L11344" s="6" t="str">
        <f>HYPERLINK("https://maps.google.com/?q=16.3597121009684,-94.188485943620606", "🔗 Ver Mapa")</f>
        <v>🔗 Ver Mapa</v>
      </c>
    </row>
    <row r="11345" spans="1:12" ht="58" x14ac:dyDescent="0.35">
      <c r="A11345" s="5" t="s">
        <v>98</v>
      </c>
      <c r="B11345" s="5" t="s">
        <v>99</v>
      </c>
      <c r="C11345" s="5" t="s">
        <v>1975</v>
      </c>
      <c r="D11345" s="5" t="s">
        <v>14</v>
      </c>
      <c r="E11345" s="5" t="s">
        <v>158</v>
      </c>
      <c r="F11345" s="5" t="s">
        <v>159</v>
      </c>
      <c r="G11345" s="5" t="s">
        <v>192</v>
      </c>
      <c r="H11345" s="5" t="s">
        <v>193</v>
      </c>
      <c r="I11345" s="5" t="s">
        <v>31</v>
      </c>
      <c r="J11345" s="5">
        <v>16.361876591234001</v>
      </c>
      <c r="K11345" s="5">
        <v>-94.191894402447005</v>
      </c>
      <c r="L11345" s="5" t="str">
        <f>HYPERLINK("https://maps.google.com/?q=16.3618765912344,-94.191894402446707", "🔗 Ver Mapa")</f>
        <v>🔗 Ver Mapa</v>
      </c>
    </row>
    <row r="11346" spans="1:12" ht="58" x14ac:dyDescent="0.35">
      <c r="A11346" s="6" t="s">
        <v>98</v>
      </c>
      <c r="B11346" s="6" t="s">
        <v>99</v>
      </c>
      <c r="C11346" s="6" t="s">
        <v>1975</v>
      </c>
      <c r="D11346" s="6" t="s">
        <v>14</v>
      </c>
      <c r="E11346" s="6" t="s">
        <v>158</v>
      </c>
      <c r="F11346" s="6" t="s">
        <v>159</v>
      </c>
      <c r="G11346" s="6" t="s">
        <v>192</v>
      </c>
      <c r="H11346" s="6" t="s">
        <v>193</v>
      </c>
      <c r="I11346" s="6" t="s">
        <v>31</v>
      </c>
      <c r="J11346" s="6">
        <v>16.362120843882</v>
      </c>
      <c r="K11346" s="6">
        <v>-94.192765792659998</v>
      </c>
      <c r="L11346" s="6" t="str">
        <f>HYPERLINK("https://maps.google.com/?q=16.3621208438818,-94.192765792659699", "🔗 Ver Mapa")</f>
        <v>🔗 Ver Mapa</v>
      </c>
    </row>
    <row r="11347" spans="1:12" ht="58" x14ac:dyDescent="0.35">
      <c r="A11347" s="5" t="s">
        <v>98</v>
      </c>
      <c r="B11347" s="5" t="s">
        <v>99</v>
      </c>
      <c r="C11347" s="5" t="s">
        <v>1975</v>
      </c>
      <c r="D11347" s="5" t="s">
        <v>14</v>
      </c>
      <c r="E11347" s="5" t="s">
        <v>158</v>
      </c>
      <c r="F11347" s="5" t="s">
        <v>159</v>
      </c>
      <c r="G11347" s="5" t="s">
        <v>192</v>
      </c>
      <c r="H11347" s="5" t="s">
        <v>193</v>
      </c>
      <c r="I11347" s="5" t="s">
        <v>31</v>
      </c>
      <c r="J11347" s="5">
        <v>16.362601500716998</v>
      </c>
      <c r="K11347" s="5">
        <v>-94.188374203704996</v>
      </c>
      <c r="L11347" s="5" t="str">
        <f>HYPERLINK("https://maps.google.com/?q=16.362601500717,-94.188374203704797", "🔗 Ver Mapa")</f>
        <v>🔗 Ver Mapa</v>
      </c>
    </row>
    <row r="11348" spans="1:12" ht="58" x14ac:dyDescent="0.35">
      <c r="A11348" s="6" t="s">
        <v>98</v>
      </c>
      <c r="B11348" s="6" t="s">
        <v>99</v>
      </c>
      <c r="C11348" s="6" t="s">
        <v>1975</v>
      </c>
      <c r="D11348" s="6" t="s">
        <v>14</v>
      </c>
      <c r="E11348" s="6" t="s">
        <v>158</v>
      </c>
      <c r="F11348" s="6" t="s">
        <v>159</v>
      </c>
      <c r="G11348" s="6" t="s">
        <v>192</v>
      </c>
      <c r="H11348" s="6" t="s">
        <v>193</v>
      </c>
      <c r="I11348" s="6" t="s">
        <v>31</v>
      </c>
      <c r="J11348" s="6">
        <v>16.362765668258</v>
      </c>
      <c r="K11348" s="6">
        <v>-94.188189559525</v>
      </c>
      <c r="L11348" s="6" t="str">
        <f>HYPERLINK("https://maps.google.com/?q=16.3627656682582,-94.188189559524503", "🔗 Ver Mapa")</f>
        <v>🔗 Ver Mapa</v>
      </c>
    </row>
    <row r="11349" spans="1:12" ht="58" x14ac:dyDescent="0.35">
      <c r="A11349" s="5" t="s">
        <v>98</v>
      </c>
      <c r="B11349" s="5" t="s">
        <v>99</v>
      </c>
      <c r="C11349" s="5" t="s">
        <v>1975</v>
      </c>
      <c r="D11349" s="5" t="s">
        <v>14</v>
      </c>
      <c r="E11349" s="5" t="s">
        <v>158</v>
      </c>
      <c r="F11349" s="5" t="s">
        <v>159</v>
      </c>
      <c r="G11349" s="5" t="s">
        <v>192</v>
      </c>
      <c r="H11349" s="5" t="s">
        <v>193</v>
      </c>
      <c r="I11349" s="5" t="s">
        <v>31</v>
      </c>
      <c r="J11349" s="5">
        <v>16.362767051797999</v>
      </c>
      <c r="K11349" s="5">
        <v>-94.190400412024999</v>
      </c>
      <c r="L11349" s="5" t="str">
        <f>HYPERLINK("https://maps.google.com/?q=16.3627670517984,-94.190400412025198", "🔗 Ver Mapa")</f>
        <v>🔗 Ver Mapa</v>
      </c>
    </row>
    <row r="11350" spans="1:12" ht="58" x14ac:dyDescent="0.35">
      <c r="A11350" s="6" t="s">
        <v>98</v>
      </c>
      <c r="B11350" s="6" t="s">
        <v>99</v>
      </c>
      <c r="C11350" s="6" t="s">
        <v>1975</v>
      </c>
      <c r="D11350" s="6" t="s">
        <v>14</v>
      </c>
      <c r="E11350" s="6" t="s">
        <v>158</v>
      </c>
      <c r="F11350" s="6" t="s">
        <v>159</v>
      </c>
      <c r="G11350" s="6" t="s">
        <v>192</v>
      </c>
      <c r="H11350" s="6" t="s">
        <v>193</v>
      </c>
      <c r="I11350" s="6" t="s">
        <v>31</v>
      </c>
      <c r="J11350" s="6">
        <v>16.362799915438998</v>
      </c>
      <c r="K11350" s="6">
        <v>-94.191704915344005</v>
      </c>
      <c r="L11350" s="6" t="str">
        <f>HYPERLINK("https://maps.google.com/?q=16.3627999154388,-94.191704915344204", "🔗 Ver Mapa")</f>
        <v>🔗 Ver Mapa</v>
      </c>
    </row>
    <row r="11351" spans="1:12" ht="58" x14ac:dyDescent="0.35">
      <c r="A11351" s="5" t="s">
        <v>98</v>
      </c>
      <c r="B11351" s="5" t="s">
        <v>99</v>
      </c>
      <c r="C11351" s="5" t="s">
        <v>1975</v>
      </c>
      <c r="D11351" s="5" t="s">
        <v>14</v>
      </c>
      <c r="E11351" s="5" t="s">
        <v>158</v>
      </c>
      <c r="F11351" s="5" t="s">
        <v>159</v>
      </c>
      <c r="G11351" s="5" t="s">
        <v>192</v>
      </c>
      <c r="H11351" s="5" t="s">
        <v>193</v>
      </c>
      <c r="I11351" s="5" t="s">
        <v>31</v>
      </c>
      <c r="J11351" s="5">
        <v>16.364788767663999</v>
      </c>
      <c r="K11351" s="5">
        <v>-94.200729008598003</v>
      </c>
      <c r="L11351" s="5" t="str">
        <f>HYPERLINK("https://maps.google.com/?q=16.3647887676644,-94.200729008598302", "🔗 Ver Mapa")</f>
        <v>🔗 Ver Mapa</v>
      </c>
    </row>
    <row r="11352" spans="1:12" ht="58" x14ac:dyDescent="0.35">
      <c r="A11352" s="6" t="s">
        <v>98</v>
      </c>
      <c r="B11352" s="6" t="s">
        <v>99</v>
      </c>
      <c r="C11352" s="6" t="s">
        <v>1975</v>
      </c>
      <c r="D11352" s="6" t="s">
        <v>14</v>
      </c>
      <c r="E11352" s="6" t="s">
        <v>158</v>
      </c>
      <c r="F11352" s="6" t="s">
        <v>159</v>
      </c>
      <c r="G11352" s="6" t="s">
        <v>192</v>
      </c>
      <c r="H11352" s="6" t="s">
        <v>193</v>
      </c>
      <c r="I11352" s="6" t="s">
        <v>31</v>
      </c>
      <c r="J11352" s="6">
        <v>16.365424579267</v>
      </c>
      <c r="K11352" s="6">
        <v>-94.191550734952997</v>
      </c>
      <c r="L11352" s="6" t="str">
        <f>HYPERLINK("https://maps.google.com/?q=16.3654245792671,-94.191550734952997", "🔗 Ver Mapa")</f>
        <v>🔗 Ver Mapa</v>
      </c>
    </row>
    <row r="11353" spans="1:12" ht="58" x14ac:dyDescent="0.35">
      <c r="A11353" s="5" t="s">
        <v>98</v>
      </c>
      <c r="B11353" s="5" t="s">
        <v>99</v>
      </c>
      <c r="C11353" s="5" t="s">
        <v>1975</v>
      </c>
      <c r="D11353" s="5" t="s">
        <v>14</v>
      </c>
      <c r="E11353" s="5" t="s">
        <v>158</v>
      </c>
      <c r="F11353" s="5" t="s">
        <v>159</v>
      </c>
      <c r="G11353" s="5" t="s">
        <v>192</v>
      </c>
      <c r="H11353" s="5" t="s">
        <v>193</v>
      </c>
      <c r="I11353" s="5" t="s">
        <v>31</v>
      </c>
      <c r="J11353" s="5">
        <v>16.370079116256999</v>
      </c>
      <c r="K11353" s="5">
        <v>-94.200703338045997</v>
      </c>
      <c r="L11353" s="5" t="str">
        <f>HYPERLINK("https://maps.google.com/?q=16.3700791162573,-94.200703338045898", "🔗 Ver Mapa")</f>
        <v>🔗 Ver Mapa</v>
      </c>
    </row>
    <row r="11354" spans="1:12" ht="58" x14ac:dyDescent="0.35">
      <c r="A11354" s="6" t="s">
        <v>98</v>
      </c>
      <c r="B11354" s="6" t="s">
        <v>99</v>
      </c>
      <c r="C11354" s="6" t="s">
        <v>1975</v>
      </c>
      <c r="D11354" s="6" t="s">
        <v>14</v>
      </c>
      <c r="E11354" s="6" t="s">
        <v>158</v>
      </c>
      <c r="F11354" s="6" t="s">
        <v>159</v>
      </c>
      <c r="G11354" s="6" t="s">
        <v>192</v>
      </c>
      <c r="H11354" s="6" t="s">
        <v>193</v>
      </c>
      <c r="I11354" s="6" t="s">
        <v>31</v>
      </c>
      <c r="J11354" s="6">
        <v>16.371696408531001</v>
      </c>
      <c r="K11354" s="6">
        <v>-94.199648633099002</v>
      </c>
      <c r="L11354" s="6" t="str">
        <f>HYPERLINK("https://maps.google.com/?q=16.371696408531,-94.199648633099002", "🔗 Ver Mapa")</f>
        <v>🔗 Ver Mapa</v>
      </c>
    </row>
    <row r="11355" spans="1:12" ht="58" x14ac:dyDescent="0.35">
      <c r="A11355" s="5" t="s">
        <v>98</v>
      </c>
      <c r="B11355" s="5" t="s">
        <v>99</v>
      </c>
      <c r="C11355" s="5" t="s">
        <v>1975</v>
      </c>
      <c r="D11355" s="5" t="s">
        <v>14</v>
      </c>
      <c r="E11355" s="5" t="s">
        <v>158</v>
      </c>
      <c r="F11355" s="5" t="s">
        <v>159</v>
      </c>
      <c r="G11355" s="5" t="s">
        <v>192</v>
      </c>
      <c r="H11355" s="5" t="s">
        <v>193</v>
      </c>
      <c r="I11355" s="5" t="s">
        <v>31</v>
      </c>
      <c r="J11355" s="5">
        <v>16.371775092787999</v>
      </c>
      <c r="K11355" s="5">
        <v>-94.195407597553</v>
      </c>
      <c r="L11355" s="5" t="str">
        <f>HYPERLINK("https://maps.google.com/?q=16.3717750927884,-94.195407597553199", "🔗 Ver Mapa")</f>
        <v>🔗 Ver Mapa</v>
      </c>
    </row>
    <row r="11356" spans="1:12" ht="58" x14ac:dyDescent="0.35">
      <c r="A11356" s="6" t="s">
        <v>98</v>
      </c>
      <c r="B11356" s="6" t="s">
        <v>99</v>
      </c>
      <c r="C11356" s="6" t="s">
        <v>1975</v>
      </c>
      <c r="D11356" s="6" t="s">
        <v>14</v>
      </c>
      <c r="E11356" s="6" t="s">
        <v>158</v>
      </c>
      <c r="F11356" s="6" t="s">
        <v>159</v>
      </c>
      <c r="G11356" s="6" t="s">
        <v>192</v>
      </c>
      <c r="H11356" s="6" t="s">
        <v>193</v>
      </c>
      <c r="I11356" s="6" t="s">
        <v>31</v>
      </c>
      <c r="J11356" s="6">
        <v>16.371808219856</v>
      </c>
      <c r="K11356" s="6">
        <v>-94.199570409217998</v>
      </c>
      <c r="L11356" s="6" t="str">
        <f>HYPERLINK("https://maps.google.com/?q=16.3718082198561,-94.199570409217699", "🔗 Ver Mapa")</f>
        <v>🔗 Ver Mapa</v>
      </c>
    </row>
    <row r="11357" spans="1:12" ht="58" x14ac:dyDescent="0.35">
      <c r="A11357" s="5" t="s">
        <v>98</v>
      </c>
      <c r="B11357" s="5" t="s">
        <v>99</v>
      </c>
      <c r="C11357" s="5" t="s">
        <v>1975</v>
      </c>
      <c r="D11357" s="5" t="s">
        <v>14</v>
      </c>
      <c r="E11357" s="5" t="s">
        <v>158</v>
      </c>
      <c r="F11357" s="5" t="s">
        <v>159</v>
      </c>
      <c r="G11357" s="5" t="s">
        <v>192</v>
      </c>
      <c r="H11357" s="5" t="s">
        <v>193</v>
      </c>
      <c r="I11357" s="5" t="s">
        <v>31</v>
      </c>
      <c r="J11357" s="5">
        <v>16.371983477853</v>
      </c>
      <c r="K11357" s="5">
        <v>-94.193361910646004</v>
      </c>
      <c r="L11357" s="5" t="str">
        <f>HYPERLINK("https://maps.google.com/?q=16.371983477853,-94.193361910645606", "🔗 Ver Mapa")</f>
        <v>🔗 Ver Mapa</v>
      </c>
    </row>
    <row r="11358" spans="1:12" ht="58" x14ac:dyDescent="0.35">
      <c r="A11358" s="6" t="s">
        <v>98</v>
      </c>
      <c r="B11358" s="6" t="s">
        <v>99</v>
      </c>
      <c r="C11358" s="6" t="s">
        <v>1975</v>
      </c>
      <c r="D11358" s="6" t="s">
        <v>14</v>
      </c>
      <c r="E11358" s="6" t="s">
        <v>158</v>
      </c>
      <c r="F11358" s="6" t="s">
        <v>159</v>
      </c>
      <c r="G11358" s="6" t="s">
        <v>192</v>
      </c>
      <c r="H11358" s="6" t="s">
        <v>193</v>
      </c>
      <c r="I11358" s="6" t="s">
        <v>31</v>
      </c>
      <c r="J11358" s="6">
        <v>16.372085121175001</v>
      </c>
      <c r="K11358" s="6">
        <v>-94.199817449074004</v>
      </c>
      <c r="L11358" s="6" t="str">
        <f>HYPERLINK("https://maps.google.com/?q=16.3720851211752,-94.199817449073706", "🔗 Ver Mapa")</f>
        <v>🔗 Ver Mapa</v>
      </c>
    </row>
    <row r="11359" spans="1:12" ht="58" x14ac:dyDescent="0.35">
      <c r="A11359" s="5" t="s">
        <v>98</v>
      </c>
      <c r="B11359" s="5" t="s">
        <v>99</v>
      </c>
      <c r="C11359" s="5" t="s">
        <v>1975</v>
      </c>
      <c r="D11359" s="5" t="s">
        <v>14</v>
      </c>
      <c r="E11359" s="5" t="s">
        <v>158</v>
      </c>
      <c r="F11359" s="5" t="s">
        <v>159</v>
      </c>
      <c r="G11359" s="5" t="s">
        <v>192</v>
      </c>
      <c r="H11359" s="5" t="s">
        <v>193</v>
      </c>
      <c r="I11359" s="5" t="s">
        <v>31</v>
      </c>
      <c r="J11359" s="5">
        <v>16.377487456480999</v>
      </c>
      <c r="K11359" s="5">
        <v>-94.190675029429997</v>
      </c>
      <c r="L11359" s="5" t="str">
        <f>HYPERLINK("https://maps.google.com/?q=16.3774874564808,-94.190675029430395", "🔗 Ver Mapa")</f>
        <v>🔗 Ver Mapa</v>
      </c>
    </row>
    <row r="11360" spans="1:12" ht="58" x14ac:dyDescent="0.35">
      <c r="A11360" s="6" t="s">
        <v>98</v>
      </c>
      <c r="B11360" s="6" t="s">
        <v>99</v>
      </c>
      <c r="C11360" s="6" t="s">
        <v>1975</v>
      </c>
      <c r="D11360" s="6" t="s">
        <v>14</v>
      </c>
      <c r="E11360" s="6" t="s">
        <v>158</v>
      </c>
      <c r="F11360" s="6" t="s">
        <v>159</v>
      </c>
      <c r="G11360" s="6" t="s">
        <v>192</v>
      </c>
      <c r="H11360" s="6" t="s">
        <v>193</v>
      </c>
      <c r="I11360" s="6" t="s">
        <v>31</v>
      </c>
      <c r="J11360" s="6">
        <v>16.380321618629999</v>
      </c>
      <c r="K11360" s="6">
        <v>-94.194644317791003</v>
      </c>
      <c r="L11360" s="6" t="str">
        <f>HYPERLINK("https://maps.google.com/?q=16.3803216186302,-94.194644317790903", "🔗 Ver Mapa")</f>
        <v>🔗 Ver Mapa</v>
      </c>
    </row>
    <row r="11361" spans="1:12" ht="58" x14ac:dyDescent="0.35">
      <c r="A11361" s="5" t="s">
        <v>98</v>
      </c>
      <c r="B11361" s="5" t="s">
        <v>99</v>
      </c>
      <c r="C11361" s="5" t="s">
        <v>1975</v>
      </c>
      <c r="D11361" s="5" t="s">
        <v>14</v>
      </c>
      <c r="E11361" s="5" t="s">
        <v>158</v>
      </c>
      <c r="F11361" s="5" t="s">
        <v>159</v>
      </c>
      <c r="G11361" s="5" t="s">
        <v>192</v>
      </c>
      <c r="H11361" s="5" t="s">
        <v>193</v>
      </c>
      <c r="I11361" s="5" t="s">
        <v>31</v>
      </c>
      <c r="J11361" s="5">
        <v>16.380694045186001</v>
      </c>
      <c r="K11361" s="5">
        <v>-94.194109874833998</v>
      </c>
      <c r="L11361" s="5" t="str">
        <f>HYPERLINK("https://maps.google.com/?q=16.3806940451859,-94.194109874833998", "🔗 Ver Mapa")</f>
        <v>🔗 Ver Mapa</v>
      </c>
    </row>
    <row r="11362" spans="1:12" ht="58" x14ac:dyDescent="0.35">
      <c r="A11362" s="6" t="s">
        <v>98</v>
      </c>
      <c r="B11362" s="6" t="s">
        <v>99</v>
      </c>
      <c r="C11362" s="6" t="s">
        <v>1975</v>
      </c>
      <c r="D11362" s="6" t="s">
        <v>14</v>
      </c>
      <c r="E11362" s="6" t="s">
        <v>158</v>
      </c>
      <c r="F11362" s="6" t="s">
        <v>159</v>
      </c>
      <c r="G11362" s="6" t="s">
        <v>192</v>
      </c>
      <c r="H11362" s="6" t="s">
        <v>193</v>
      </c>
      <c r="I11362" s="6" t="s">
        <v>31</v>
      </c>
      <c r="J11362" s="6">
        <v>16.380706914428998</v>
      </c>
      <c r="K11362" s="6">
        <v>-94.194780427088006</v>
      </c>
      <c r="L11362" s="6" t="str">
        <f>HYPERLINK("https://maps.google.com/?q=16.3807069144286,-94.194780427087906", "🔗 Ver Mapa")</f>
        <v>🔗 Ver Mapa</v>
      </c>
    </row>
    <row r="11363" spans="1:12" ht="58" x14ac:dyDescent="0.35">
      <c r="A11363" s="5" t="s">
        <v>98</v>
      </c>
      <c r="B11363" s="5" t="s">
        <v>99</v>
      </c>
      <c r="C11363" s="5" t="s">
        <v>1976</v>
      </c>
      <c r="D11363" s="5" t="s">
        <v>14</v>
      </c>
      <c r="E11363" s="5" t="s">
        <v>158</v>
      </c>
      <c r="F11363" s="5" t="s">
        <v>159</v>
      </c>
      <c r="G11363" s="5" t="s">
        <v>192</v>
      </c>
      <c r="H11363" s="5" t="s">
        <v>193</v>
      </c>
      <c r="I11363" s="5" t="s">
        <v>31</v>
      </c>
      <c r="J11363" s="5">
        <v>16.358983764723</v>
      </c>
      <c r="K11363" s="5">
        <v>-94.190335326736999</v>
      </c>
      <c r="L11363" s="5" t="str">
        <f>HYPERLINK("https://maps.google.com/?q=16.3589837647231,-94.190335326736701", "🔗 Ver Mapa")</f>
        <v>🔗 Ver Mapa</v>
      </c>
    </row>
    <row r="11364" spans="1:12" ht="58" x14ac:dyDescent="0.35">
      <c r="A11364" s="6" t="s">
        <v>98</v>
      </c>
      <c r="B11364" s="6" t="s">
        <v>99</v>
      </c>
      <c r="C11364" s="6" t="s">
        <v>1976</v>
      </c>
      <c r="D11364" s="6" t="s">
        <v>14</v>
      </c>
      <c r="E11364" s="6" t="s">
        <v>158</v>
      </c>
      <c r="F11364" s="6" t="s">
        <v>159</v>
      </c>
      <c r="G11364" s="6" t="s">
        <v>192</v>
      </c>
      <c r="H11364" s="6" t="s">
        <v>193</v>
      </c>
      <c r="I11364" s="6" t="s">
        <v>31</v>
      </c>
      <c r="J11364" s="6">
        <v>16.359712100968</v>
      </c>
      <c r="K11364" s="6">
        <v>-94.188485943621004</v>
      </c>
      <c r="L11364" s="6" t="str">
        <f>HYPERLINK("https://maps.google.com/?q=16.3597121009684,-94.188485943620606", "🔗 Ver Mapa")</f>
        <v>🔗 Ver Mapa</v>
      </c>
    </row>
    <row r="11365" spans="1:12" ht="58" x14ac:dyDescent="0.35">
      <c r="A11365" s="5" t="s">
        <v>98</v>
      </c>
      <c r="B11365" s="5" t="s">
        <v>99</v>
      </c>
      <c r="C11365" s="5" t="s">
        <v>1976</v>
      </c>
      <c r="D11365" s="5" t="s">
        <v>14</v>
      </c>
      <c r="E11365" s="5" t="s">
        <v>158</v>
      </c>
      <c r="F11365" s="5" t="s">
        <v>159</v>
      </c>
      <c r="G11365" s="5" t="s">
        <v>192</v>
      </c>
      <c r="H11365" s="5" t="s">
        <v>193</v>
      </c>
      <c r="I11365" s="5" t="s">
        <v>31</v>
      </c>
      <c r="J11365" s="5">
        <v>16.361876591234001</v>
      </c>
      <c r="K11365" s="5">
        <v>-94.191894402447005</v>
      </c>
      <c r="L11365" s="5" t="str">
        <f>HYPERLINK("https://maps.google.com/?q=16.3618765912344,-94.191894402446707", "🔗 Ver Mapa")</f>
        <v>🔗 Ver Mapa</v>
      </c>
    </row>
    <row r="11366" spans="1:12" ht="58" x14ac:dyDescent="0.35">
      <c r="A11366" s="6" t="s">
        <v>98</v>
      </c>
      <c r="B11366" s="6" t="s">
        <v>99</v>
      </c>
      <c r="C11366" s="6" t="s">
        <v>1976</v>
      </c>
      <c r="D11366" s="6" t="s">
        <v>14</v>
      </c>
      <c r="E11366" s="6" t="s">
        <v>158</v>
      </c>
      <c r="F11366" s="6" t="s">
        <v>159</v>
      </c>
      <c r="G11366" s="6" t="s">
        <v>192</v>
      </c>
      <c r="H11366" s="6" t="s">
        <v>193</v>
      </c>
      <c r="I11366" s="6" t="s">
        <v>31</v>
      </c>
      <c r="J11366" s="6">
        <v>16.362120843882</v>
      </c>
      <c r="K11366" s="6">
        <v>-94.192765792659998</v>
      </c>
      <c r="L11366" s="6" t="str">
        <f>HYPERLINK("https://maps.google.com/?q=16.3621208438818,-94.192765792659699", "🔗 Ver Mapa")</f>
        <v>🔗 Ver Mapa</v>
      </c>
    </row>
    <row r="11367" spans="1:12" ht="58" x14ac:dyDescent="0.35">
      <c r="A11367" s="5" t="s">
        <v>98</v>
      </c>
      <c r="B11367" s="5" t="s">
        <v>99</v>
      </c>
      <c r="C11367" s="5" t="s">
        <v>1976</v>
      </c>
      <c r="D11367" s="5" t="s">
        <v>14</v>
      </c>
      <c r="E11367" s="5" t="s">
        <v>158</v>
      </c>
      <c r="F11367" s="5" t="s">
        <v>159</v>
      </c>
      <c r="G11367" s="5" t="s">
        <v>192</v>
      </c>
      <c r="H11367" s="5" t="s">
        <v>193</v>
      </c>
      <c r="I11367" s="5" t="s">
        <v>31</v>
      </c>
      <c r="J11367" s="5">
        <v>16.362601500716998</v>
      </c>
      <c r="K11367" s="5">
        <v>-94.188374203704996</v>
      </c>
      <c r="L11367" s="5" t="str">
        <f>HYPERLINK("https://maps.google.com/?q=16.362601500717,-94.188374203704797", "🔗 Ver Mapa")</f>
        <v>🔗 Ver Mapa</v>
      </c>
    </row>
    <row r="11368" spans="1:12" ht="58" x14ac:dyDescent="0.35">
      <c r="A11368" s="6" t="s">
        <v>98</v>
      </c>
      <c r="B11368" s="6" t="s">
        <v>99</v>
      </c>
      <c r="C11368" s="6" t="s">
        <v>1976</v>
      </c>
      <c r="D11368" s="6" t="s">
        <v>14</v>
      </c>
      <c r="E11368" s="6" t="s">
        <v>158</v>
      </c>
      <c r="F11368" s="6" t="s">
        <v>159</v>
      </c>
      <c r="G11368" s="6" t="s">
        <v>192</v>
      </c>
      <c r="H11368" s="6" t="s">
        <v>193</v>
      </c>
      <c r="I11368" s="6" t="s">
        <v>31</v>
      </c>
      <c r="J11368" s="6">
        <v>16.362765668258</v>
      </c>
      <c r="K11368" s="6">
        <v>-94.188189559525</v>
      </c>
      <c r="L11368" s="6" t="str">
        <f>HYPERLINK("https://maps.google.com/?q=16.3627656682582,-94.188189559524503", "🔗 Ver Mapa")</f>
        <v>🔗 Ver Mapa</v>
      </c>
    </row>
    <row r="11369" spans="1:12" ht="58" x14ac:dyDescent="0.35">
      <c r="A11369" s="5" t="s">
        <v>98</v>
      </c>
      <c r="B11369" s="5" t="s">
        <v>99</v>
      </c>
      <c r="C11369" s="5" t="s">
        <v>1976</v>
      </c>
      <c r="D11369" s="5" t="s">
        <v>14</v>
      </c>
      <c r="E11369" s="5" t="s">
        <v>158</v>
      </c>
      <c r="F11369" s="5" t="s">
        <v>159</v>
      </c>
      <c r="G11369" s="5" t="s">
        <v>192</v>
      </c>
      <c r="H11369" s="5" t="s">
        <v>193</v>
      </c>
      <c r="I11369" s="5" t="s">
        <v>31</v>
      </c>
      <c r="J11369" s="5">
        <v>16.362767051797999</v>
      </c>
      <c r="K11369" s="5">
        <v>-94.190400412024999</v>
      </c>
      <c r="L11369" s="5" t="str">
        <f>HYPERLINK("https://maps.google.com/?q=16.3627670517984,-94.190400412025198", "🔗 Ver Mapa")</f>
        <v>🔗 Ver Mapa</v>
      </c>
    </row>
    <row r="11370" spans="1:12" ht="58" x14ac:dyDescent="0.35">
      <c r="A11370" s="6" t="s">
        <v>98</v>
      </c>
      <c r="B11370" s="6" t="s">
        <v>99</v>
      </c>
      <c r="C11370" s="6" t="s">
        <v>1976</v>
      </c>
      <c r="D11370" s="6" t="s">
        <v>14</v>
      </c>
      <c r="E11370" s="6" t="s">
        <v>158</v>
      </c>
      <c r="F11370" s="6" t="s">
        <v>159</v>
      </c>
      <c r="G11370" s="6" t="s">
        <v>192</v>
      </c>
      <c r="H11370" s="6" t="s">
        <v>193</v>
      </c>
      <c r="I11370" s="6" t="s">
        <v>31</v>
      </c>
      <c r="J11370" s="6">
        <v>16.362799915438998</v>
      </c>
      <c r="K11370" s="6">
        <v>-94.191704915344005</v>
      </c>
      <c r="L11370" s="6" t="str">
        <f>HYPERLINK("https://maps.google.com/?q=16.3627999154388,-94.191704915344204", "🔗 Ver Mapa")</f>
        <v>🔗 Ver Mapa</v>
      </c>
    </row>
    <row r="11371" spans="1:12" ht="58" x14ac:dyDescent="0.35">
      <c r="A11371" s="5" t="s">
        <v>98</v>
      </c>
      <c r="B11371" s="5" t="s">
        <v>99</v>
      </c>
      <c r="C11371" s="5" t="s">
        <v>1976</v>
      </c>
      <c r="D11371" s="5" t="s">
        <v>14</v>
      </c>
      <c r="E11371" s="5" t="s">
        <v>158</v>
      </c>
      <c r="F11371" s="5" t="s">
        <v>159</v>
      </c>
      <c r="G11371" s="5" t="s">
        <v>192</v>
      </c>
      <c r="H11371" s="5" t="s">
        <v>193</v>
      </c>
      <c r="I11371" s="5" t="s">
        <v>31</v>
      </c>
      <c r="J11371" s="5">
        <v>16.364788767663999</v>
      </c>
      <c r="K11371" s="5">
        <v>-94.200729008598003</v>
      </c>
      <c r="L11371" s="5" t="str">
        <f>HYPERLINK("https://maps.google.com/?q=16.3647887676644,-94.200729008598302", "🔗 Ver Mapa")</f>
        <v>🔗 Ver Mapa</v>
      </c>
    </row>
    <row r="11372" spans="1:12" ht="58" x14ac:dyDescent="0.35">
      <c r="A11372" s="6" t="s">
        <v>98</v>
      </c>
      <c r="B11372" s="6" t="s">
        <v>99</v>
      </c>
      <c r="C11372" s="6" t="s">
        <v>1976</v>
      </c>
      <c r="D11372" s="6" t="s">
        <v>14</v>
      </c>
      <c r="E11372" s="6" t="s">
        <v>158</v>
      </c>
      <c r="F11372" s="6" t="s">
        <v>159</v>
      </c>
      <c r="G11372" s="6" t="s">
        <v>192</v>
      </c>
      <c r="H11372" s="6" t="s">
        <v>193</v>
      </c>
      <c r="I11372" s="6" t="s">
        <v>31</v>
      </c>
      <c r="J11372" s="6">
        <v>16.365424579267</v>
      </c>
      <c r="K11372" s="6">
        <v>-94.191550734952997</v>
      </c>
      <c r="L11372" s="6" t="str">
        <f>HYPERLINK("https://maps.google.com/?q=16.3654245792671,-94.191550734952997", "🔗 Ver Mapa")</f>
        <v>🔗 Ver Mapa</v>
      </c>
    </row>
    <row r="11373" spans="1:12" ht="58" x14ac:dyDescent="0.35">
      <c r="A11373" s="5" t="s">
        <v>98</v>
      </c>
      <c r="B11373" s="5" t="s">
        <v>99</v>
      </c>
      <c r="C11373" s="5" t="s">
        <v>1976</v>
      </c>
      <c r="D11373" s="5" t="s">
        <v>14</v>
      </c>
      <c r="E11373" s="5" t="s">
        <v>158</v>
      </c>
      <c r="F11373" s="5" t="s">
        <v>159</v>
      </c>
      <c r="G11373" s="5" t="s">
        <v>192</v>
      </c>
      <c r="H11373" s="5" t="s">
        <v>193</v>
      </c>
      <c r="I11373" s="5" t="s">
        <v>31</v>
      </c>
      <c r="J11373" s="5">
        <v>16.370079116256999</v>
      </c>
      <c r="K11373" s="5">
        <v>-94.200703338045997</v>
      </c>
      <c r="L11373" s="5" t="str">
        <f>HYPERLINK("https://maps.google.com/?q=16.3700791162573,-94.200703338045898", "🔗 Ver Mapa")</f>
        <v>🔗 Ver Mapa</v>
      </c>
    </row>
    <row r="11374" spans="1:12" ht="58" x14ac:dyDescent="0.35">
      <c r="A11374" s="6" t="s">
        <v>98</v>
      </c>
      <c r="B11374" s="6" t="s">
        <v>99</v>
      </c>
      <c r="C11374" s="6" t="s">
        <v>1976</v>
      </c>
      <c r="D11374" s="6" t="s">
        <v>14</v>
      </c>
      <c r="E11374" s="6" t="s">
        <v>158</v>
      </c>
      <c r="F11374" s="6" t="s">
        <v>159</v>
      </c>
      <c r="G11374" s="6" t="s">
        <v>192</v>
      </c>
      <c r="H11374" s="6" t="s">
        <v>193</v>
      </c>
      <c r="I11374" s="6" t="s">
        <v>31</v>
      </c>
      <c r="J11374" s="6">
        <v>16.371696408531001</v>
      </c>
      <c r="K11374" s="6">
        <v>-94.199648633099002</v>
      </c>
      <c r="L11374" s="6" t="str">
        <f>HYPERLINK("https://maps.google.com/?q=16.371696408531,-94.199648633099002", "🔗 Ver Mapa")</f>
        <v>🔗 Ver Mapa</v>
      </c>
    </row>
    <row r="11375" spans="1:12" ht="58" x14ac:dyDescent="0.35">
      <c r="A11375" s="5" t="s">
        <v>98</v>
      </c>
      <c r="B11375" s="5" t="s">
        <v>99</v>
      </c>
      <c r="C11375" s="5" t="s">
        <v>1976</v>
      </c>
      <c r="D11375" s="5" t="s">
        <v>14</v>
      </c>
      <c r="E11375" s="5" t="s">
        <v>158</v>
      </c>
      <c r="F11375" s="5" t="s">
        <v>159</v>
      </c>
      <c r="G11375" s="5" t="s">
        <v>192</v>
      </c>
      <c r="H11375" s="5" t="s">
        <v>193</v>
      </c>
      <c r="I11375" s="5" t="s">
        <v>31</v>
      </c>
      <c r="J11375" s="5">
        <v>16.371775092787999</v>
      </c>
      <c r="K11375" s="5">
        <v>-94.195407597553</v>
      </c>
      <c r="L11375" s="5" t="str">
        <f>HYPERLINK("https://maps.google.com/?q=16.3717750927884,-94.195407597553199", "🔗 Ver Mapa")</f>
        <v>🔗 Ver Mapa</v>
      </c>
    </row>
    <row r="11376" spans="1:12" ht="58" x14ac:dyDescent="0.35">
      <c r="A11376" s="6" t="s">
        <v>98</v>
      </c>
      <c r="B11376" s="6" t="s">
        <v>99</v>
      </c>
      <c r="C11376" s="6" t="s">
        <v>1976</v>
      </c>
      <c r="D11376" s="6" t="s">
        <v>14</v>
      </c>
      <c r="E11376" s="6" t="s">
        <v>158</v>
      </c>
      <c r="F11376" s="6" t="s">
        <v>159</v>
      </c>
      <c r="G11376" s="6" t="s">
        <v>192</v>
      </c>
      <c r="H11376" s="6" t="s">
        <v>193</v>
      </c>
      <c r="I11376" s="6" t="s">
        <v>31</v>
      </c>
      <c r="J11376" s="6">
        <v>16.371808219856</v>
      </c>
      <c r="K11376" s="6">
        <v>-94.199570409217998</v>
      </c>
      <c r="L11376" s="6" t="str">
        <f>HYPERLINK("https://maps.google.com/?q=16.3718082198561,-94.199570409217699", "🔗 Ver Mapa")</f>
        <v>🔗 Ver Mapa</v>
      </c>
    </row>
    <row r="11377" spans="1:12" ht="58" x14ac:dyDescent="0.35">
      <c r="A11377" s="5" t="s">
        <v>98</v>
      </c>
      <c r="B11377" s="5" t="s">
        <v>99</v>
      </c>
      <c r="C11377" s="5" t="s">
        <v>1976</v>
      </c>
      <c r="D11377" s="5" t="s">
        <v>14</v>
      </c>
      <c r="E11377" s="5" t="s">
        <v>158</v>
      </c>
      <c r="F11377" s="5" t="s">
        <v>159</v>
      </c>
      <c r="G11377" s="5" t="s">
        <v>192</v>
      </c>
      <c r="H11377" s="5" t="s">
        <v>193</v>
      </c>
      <c r="I11377" s="5" t="s">
        <v>31</v>
      </c>
      <c r="J11377" s="5">
        <v>16.371983477853</v>
      </c>
      <c r="K11377" s="5">
        <v>-94.193361910646004</v>
      </c>
      <c r="L11377" s="5" t="str">
        <f>HYPERLINK("https://maps.google.com/?q=16.371983477853,-94.193361910645606", "🔗 Ver Mapa")</f>
        <v>🔗 Ver Mapa</v>
      </c>
    </row>
    <row r="11378" spans="1:12" ht="58" x14ac:dyDescent="0.35">
      <c r="A11378" s="6" t="s">
        <v>98</v>
      </c>
      <c r="B11378" s="6" t="s">
        <v>99</v>
      </c>
      <c r="C11378" s="6" t="s">
        <v>1976</v>
      </c>
      <c r="D11378" s="6" t="s">
        <v>14</v>
      </c>
      <c r="E11378" s="6" t="s">
        <v>158</v>
      </c>
      <c r="F11378" s="6" t="s">
        <v>159</v>
      </c>
      <c r="G11378" s="6" t="s">
        <v>192</v>
      </c>
      <c r="H11378" s="6" t="s">
        <v>193</v>
      </c>
      <c r="I11378" s="6" t="s">
        <v>31</v>
      </c>
      <c r="J11378" s="6">
        <v>16.372085121175001</v>
      </c>
      <c r="K11378" s="6">
        <v>-94.199817449074004</v>
      </c>
      <c r="L11378" s="6" t="str">
        <f>HYPERLINK("https://maps.google.com/?q=16.3720851211752,-94.199817449073706", "🔗 Ver Mapa")</f>
        <v>🔗 Ver Mapa</v>
      </c>
    </row>
    <row r="11379" spans="1:12" ht="58" x14ac:dyDescent="0.35">
      <c r="A11379" s="5" t="s">
        <v>98</v>
      </c>
      <c r="B11379" s="5" t="s">
        <v>99</v>
      </c>
      <c r="C11379" s="5" t="s">
        <v>1976</v>
      </c>
      <c r="D11379" s="5" t="s">
        <v>14</v>
      </c>
      <c r="E11379" s="5" t="s">
        <v>158</v>
      </c>
      <c r="F11379" s="5" t="s">
        <v>159</v>
      </c>
      <c r="G11379" s="5" t="s">
        <v>192</v>
      </c>
      <c r="H11379" s="5" t="s">
        <v>193</v>
      </c>
      <c r="I11379" s="5" t="s">
        <v>31</v>
      </c>
      <c r="J11379" s="5">
        <v>16.377487456480999</v>
      </c>
      <c r="K11379" s="5">
        <v>-94.190675029429997</v>
      </c>
      <c r="L11379" s="5" t="str">
        <f>HYPERLINK("https://maps.google.com/?q=16.3774874564808,-94.190675029430395", "🔗 Ver Mapa")</f>
        <v>🔗 Ver Mapa</v>
      </c>
    </row>
    <row r="11380" spans="1:12" ht="58" x14ac:dyDescent="0.35">
      <c r="A11380" s="6" t="s">
        <v>98</v>
      </c>
      <c r="B11380" s="6" t="s">
        <v>99</v>
      </c>
      <c r="C11380" s="6" t="s">
        <v>1976</v>
      </c>
      <c r="D11380" s="6" t="s">
        <v>14</v>
      </c>
      <c r="E11380" s="6" t="s">
        <v>158</v>
      </c>
      <c r="F11380" s="6" t="s">
        <v>159</v>
      </c>
      <c r="G11380" s="6" t="s">
        <v>192</v>
      </c>
      <c r="H11380" s="6" t="s">
        <v>193</v>
      </c>
      <c r="I11380" s="6" t="s">
        <v>31</v>
      </c>
      <c r="J11380" s="6">
        <v>16.380321618629999</v>
      </c>
      <c r="K11380" s="6">
        <v>-94.194644317791003</v>
      </c>
      <c r="L11380" s="6" t="str">
        <f>HYPERLINK("https://maps.google.com/?q=16.3803216186302,-94.194644317790903", "🔗 Ver Mapa")</f>
        <v>🔗 Ver Mapa</v>
      </c>
    </row>
    <row r="11381" spans="1:12" ht="58" x14ac:dyDescent="0.35">
      <c r="A11381" s="5" t="s">
        <v>98</v>
      </c>
      <c r="B11381" s="5" t="s">
        <v>99</v>
      </c>
      <c r="C11381" s="5" t="s">
        <v>1976</v>
      </c>
      <c r="D11381" s="5" t="s">
        <v>14</v>
      </c>
      <c r="E11381" s="5" t="s">
        <v>158</v>
      </c>
      <c r="F11381" s="5" t="s">
        <v>159</v>
      </c>
      <c r="G11381" s="5" t="s">
        <v>192</v>
      </c>
      <c r="H11381" s="5" t="s">
        <v>193</v>
      </c>
      <c r="I11381" s="5" t="s">
        <v>31</v>
      </c>
      <c r="J11381" s="5">
        <v>16.380694045186001</v>
      </c>
      <c r="K11381" s="5">
        <v>-94.194109874833998</v>
      </c>
      <c r="L11381" s="5" t="str">
        <f>HYPERLINK("https://maps.google.com/?q=16.3806940451859,-94.194109874833998", "🔗 Ver Mapa")</f>
        <v>🔗 Ver Mapa</v>
      </c>
    </row>
    <row r="11382" spans="1:12" ht="58" x14ac:dyDescent="0.35">
      <c r="A11382" s="6" t="s">
        <v>98</v>
      </c>
      <c r="B11382" s="6" t="s">
        <v>99</v>
      </c>
      <c r="C11382" s="6" t="s">
        <v>1976</v>
      </c>
      <c r="D11382" s="6" t="s">
        <v>14</v>
      </c>
      <c r="E11382" s="6" t="s">
        <v>158</v>
      </c>
      <c r="F11382" s="6" t="s">
        <v>159</v>
      </c>
      <c r="G11382" s="6" t="s">
        <v>192</v>
      </c>
      <c r="H11382" s="6" t="s">
        <v>193</v>
      </c>
      <c r="I11382" s="6" t="s">
        <v>31</v>
      </c>
      <c r="J11382" s="6">
        <v>16.380706914428998</v>
      </c>
      <c r="K11382" s="6">
        <v>-94.194780427088006</v>
      </c>
      <c r="L11382" s="6" t="str">
        <f>HYPERLINK("https://maps.google.com/?q=16.3807069144286,-94.194780427087906", "🔗 Ver Mapa")</f>
        <v>🔗 Ver Mapa</v>
      </c>
    </row>
    <row r="11383" spans="1:12" ht="43.5" x14ac:dyDescent="0.35">
      <c r="A11383" s="5" t="s">
        <v>98</v>
      </c>
      <c r="B11383" s="5" t="s">
        <v>99</v>
      </c>
      <c r="C11383" s="5" t="s">
        <v>1977</v>
      </c>
      <c r="D11383" s="5" t="s">
        <v>14</v>
      </c>
      <c r="E11383" s="5" t="s">
        <v>16</v>
      </c>
      <c r="F11383" s="5" t="s">
        <v>21</v>
      </c>
      <c r="G11383" s="5" t="s">
        <v>1238</v>
      </c>
      <c r="H11383" s="5" t="s">
        <v>1239</v>
      </c>
      <c r="I11383" s="5" t="s">
        <v>31</v>
      </c>
      <c r="J11383" s="5">
        <v>17.342624804094999</v>
      </c>
      <c r="K11383" s="5" t="s">
        <v>1978</v>
      </c>
      <c r="L11383" s="5" t="str">
        <f>HYPERLINK("https://maps.google.com/?q=17.3426248040952, -97.56281463310061", "🔗 Ver Mapa")</f>
        <v>🔗 Ver Mapa</v>
      </c>
    </row>
    <row r="11384" spans="1:12" ht="43.5" x14ac:dyDescent="0.35">
      <c r="A11384" s="6" t="s">
        <v>98</v>
      </c>
      <c r="B11384" s="6" t="s">
        <v>99</v>
      </c>
      <c r="C11384" s="6" t="s">
        <v>1977</v>
      </c>
      <c r="D11384" s="6" t="s">
        <v>14</v>
      </c>
      <c r="E11384" s="6" t="s">
        <v>16</v>
      </c>
      <c r="F11384" s="6" t="s">
        <v>21</v>
      </c>
      <c r="G11384" s="6" t="s">
        <v>1238</v>
      </c>
      <c r="H11384" s="6" t="s">
        <v>1239</v>
      </c>
      <c r="I11384" s="6" t="s">
        <v>31</v>
      </c>
      <c r="J11384" s="6">
        <v>17.342768178008999</v>
      </c>
      <c r="K11384" s="6">
        <v>-97.557333538978</v>
      </c>
      <c r="L11384" s="6" t="str">
        <f>HYPERLINK("https://maps.google.com/?q=17.3427681780092,-97.55733353897799", "🔗 Ver Mapa")</f>
        <v>🔗 Ver Mapa</v>
      </c>
    </row>
    <row r="11385" spans="1:12" ht="43.5" x14ac:dyDescent="0.35">
      <c r="A11385" s="5" t="s">
        <v>98</v>
      </c>
      <c r="B11385" s="5" t="s">
        <v>99</v>
      </c>
      <c r="C11385" s="5" t="s">
        <v>1977</v>
      </c>
      <c r="D11385" s="5" t="s">
        <v>14</v>
      </c>
      <c r="E11385" s="5" t="s">
        <v>16</v>
      </c>
      <c r="F11385" s="5" t="s">
        <v>21</v>
      </c>
      <c r="G11385" s="5" t="s">
        <v>1238</v>
      </c>
      <c r="H11385" s="5" t="s">
        <v>1239</v>
      </c>
      <c r="I11385" s="5" t="s">
        <v>31</v>
      </c>
      <c r="J11385" s="5">
        <v>17.343422712578999</v>
      </c>
      <c r="K11385" s="5" t="s">
        <v>1979</v>
      </c>
      <c r="L11385" s="5" t="str">
        <f>HYPERLINK("https://maps.google.com/?q=17.3434227125791, -97.5621052526487", "🔗 Ver Mapa")</f>
        <v>🔗 Ver Mapa</v>
      </c>
    </row>
    <row r="11386" spans="1:12" ht="43.5" x14ac:dyDescent="0.35">
      <c r="A11386" s="6" t="s">
        <v>98</v>
      </c>
      <c r="B11386" s="6" t="s">
        <v>99</v>
      </c>
      <c r="C11386" s="6" t="s">
        <v>1977</v>
      </c>
      <c r="D11386" s="6" t="s">
        <v>14</v>
      </c>
      <c r="E11386" s="6" t="s">
        <v>16</v>
      </c>
      <c r="F11386" s="6" t="s">
        <v>21</v>
      </c>
      <c r="G11386" s="6" t="s">
        <v>1238</v>
      </c>
      <c r="H11386" s="6" t="s">
        <v>1239</v>
      </c>
      <c r="I11386" s="6" t="s">
        <v>31</v>
      </c>
      <c r="J11386" s="6">
        <v>17.343500177108002</v>
      </c>
      <c r="K11386" s="6">
        <v>-97.560042320849007</v>
      </c>
      <c r="L11386" s="6" t="str">
        <f>HYPERLINK("https://maps.google.com/?q=17.3435001771076,-97.56004232084946", "🔗 Ver Mapa")</f>
        <v>🔗 Ver Mapa</v>
      </c>
    </row>
    <row r="11387" spans="1:12" ht="43.5" x14ac:dyDescent="0.35">
      <c r="A11387" s="5" t="s">
        <v>98</v>
      </c>
      <c r="B11387" s="5" t="s">
        <v>99</v>
      </c>
      <c r="C11387" s="5" t="s">
        <v>1977</v>
      </c>
      <c r="D11387" s="5" t="s">
        <v>14</v>
      </c>
      <c r="E11387" s="5" t="s">
        <v>16</v>
      </c>
      <c r="F11387" s="5" t="s">
        <v>21</v>
      </c>
      <c r="G11387" s="5" t="s">
        <v>1238</v>
      </c>
      <c r="H11387" s="5" t="s">
        <v>1239</v>
      </c>
      <c r="I11387" s="5" t="s">
        <v>31</v>
      </c>
      <c r="J11387" s="5">
        <v>17.343946470456</v>
      </c>
      <c r="K11387" s="5">
        <v>-97.561699320445996</v>
      </c>
      <c r="L11387" s="5" t="str">
        <f>HYPERLINK("https://maps.google.com/?q=17.3439464704561,-97.56169932044563", "🔗 Ver Mapa")</f>
        <v>🔗 Ver Mapa</v>
      </c>
    </row>
    <row r="11388" spans="1:12" ht="43.5" x14ac:dyDescent="0.35">
      <c r="A11388" s="6" t="s">
        <v>98</v>
      </c>
      <c r="B11388" s="6" t="s">
        <v>99</v>
      </c>
      <c r="C11388" s="6" t="s">
        <v>1977</v>
      </c>
      <c r="D11388" s="6" t="s">
        <v>14</v>
      </c>
      <c r="E11388" s="6" t="s">
        <v>16</v>
      </c>
      <c r="F11388" s="6" t="s">
        <v>21</v>
      </c>
      <c r="G11388" s="6" t="s">
        <v>1238</v>
      </c>
      <c r="H11388" s="6" t="s">
        <v>1239</v>
      </c>
      <c r="I11388" s="6" t="s">
        <v>31</v>
      </c>
      <c r="J11388" s="6">
        <v>17.344268237354001</v>
      </c>
      <c r="K11388" s="6">
        <v>-97.557383895135999</v>
      </c>
      <c r="L11388" s="6" t="str">
        <f>HYPERLINK("https://maps.google.com/?q=17.3442682373544,-97.55738389513597", "🔗 Ver Mapa")</f>
        <v>🔗 Ver Mapa</v>
      </c>
    </row>
    <row r="11389" spans="1:12" ht="43.5" x14ac:dyDescent="0.35">
      <c r="A11389" s="5" t="s">
        <v>98</v>
      </c>
      <c r="B11389" s="5" t="s">
        <v>99</v>
      </c>
      <c r="C11389" s="5" t="s">
        <v>1977</v>
      </c>
      <c r="D11389" s="5" t="s">
        <v>14</v>
      </c>
      <c r="E11389" s="5" t="s">
        <v>16</v>
      </c>
      <c r="F11389" s="5" t="s">
        <v>21</v>
      </c>
      <c r="G11389" s="5" t="s">
        <v>1238</v>
      </c>
      <c r="H11389" s="5" t="s">
        <v>1239</v>
      </c>
      <c r="I11389" s="5" t="s">
        <v>31</v>
      </c>
      <c r="J11389" s="5">
        <v>17.345272677297</v>
      </c>
      <c r="K11389" s="5">
        <v>-97.560583521496</v>
      </c>
      <c r="L11389" s="5" t="str">
        <f>HYPERLINK("https://maps.google.com/?q=17.3452726772967,-97.56058352149591", "🔗 Ver Mapa")</f>
        <v>🔗 Ver Mapa</v>
      </c>
    </row>
    <row r="11390" spans="1:12" ht="43.5" x14ac:dyDescent="0.35">
      <c r="A11390" s="6" t="s">
        <v>98</v>
      </c>
      <c r="B11390" s="6" t="s">
        <v>99</v>
      </c>
      <c r="C11390" s="6" t="s">
        <v>1977</v>
      </c>
      <c r="D11390" s="6" t="s">
        <v>14</v>
      </c>
      <c r="E11390" s="6" t="s">
        <v>16</v>
      </c>
      <c r="F11390" s="6" t="s">
        <v>21</v>
      </c>
      <c r="G11390" s="6" t="s">
        <v>1238</v>
      </c>
      <c r="H11390" s="6" t="s">
        <v>1239</v>
      </c>
      <c r="I11390" s="6" t="s">
        <v>31</v>
      </c>
      <c r="J11390" s="6">
        <v>17.346279837497001</v>
      </c>
      <c r="K11390" s="6">
        <v>-97.559391836805005</v>
      </c>
      <c r="L11390" s="6" t="str">
        <f>HYPERLINK("https://maps.google.com/?q=17.346279837497,-97.55939183680536", "🔗 Ver Mapa")</f>
        <v>🔗 Ver Mapa</v>
      </c>
    </row>
    <row r="11391" spans="1:12" ht="43.5" x14ac:dyDescent="0.35">
      <c r="A11391" s="5" t="s">
        <v>98</v>
      </c>
      <c r="B11391" s="5" t="s">
        <v>99</v>
      </c>
      <c r="C11391" s="5" t="s">
        <v>1977</v>
      </c>
      <c r="D11391" s="5" t="s">
        <v>14</v>
      </c>
      <c r="E11391" s="5" t="s">
        <v>16</v>
      </c>
      <c r="F11391" s="5" t="s">
        <v>21</v>
      </c>
      <c r="G11391" s="5" t="s">
        <v>1238</v>
      </c>
      <c r="H11391" s="5" t="s">
        <v>1239</v>
      </c>
      <c r="I11391" s="5" t="s">
        <v>31</v>
      </c>
      <c r="J11391" s="5">
        <v>17.347134016721</v>
      </c>
      <c r="K11391" s="5">
        <v>-97.559255619032996</v>
      </c>
      <c r="L11391" s="5" t="str">
        <f>HYPERLINK("https://maps.google.com/?q=17.3471340167207,-97.5592556190331", "🔗 Ver Mapa")</f>
        <v>🔗 Ver Mapa</v>
      </c>
    </row>
    <row r="11392" spans="1:12" ht="43.5" x14ac:dyDescent="0.35">
      <c r="A11392" s="6" t="s">
        <v>98</v>
      </c>
      <c r="B11392" s="6" t="s">
        <v>99</v>
      </c>
      <c r="C11392" s="6" t="s">
        <v>1980</v>
      </c>
      <c r="D11392" s="6" t="s">
        <v>14</v>
      </c>
      <c r="E11392" s="6" t="s">
        <v>16</v>
      </c>
      <c r="F11392" s="6" t="s">
        <v>21</v>
      </c>
      <c r="G11392" s="6" t="s">
        <v>1981</v>
      </c>
      <c r="H11392" s="6" t="s">
        <v>1982</v>
      </c>
      <c r="I11392" s="6" t="s">
        <v>31</v>
      </c>
      <c r="J11392" s="6">
        <v>17.192288000000001</v>
      </c>
      <c r="K11392" s="6">
        <v>-97.892238000000006</v>
      </c>
      <c r="L11392" s="6" t="str">
        <f>HYPERLINK("https://maps.google.com/?q=17.192288,-97.892238000000006", "🔗 Ver Mapa")</f>
        <v>🔗 Ver Mapa</v>
      </c>
    </row>
    <row r="11393" spans="1:12" ht="43.5" x14ac:dyDescent="0.35">
      <c r="A11393" s="5" t="s">
        <v>98</v>
      </c>
      <c r="B11393" s="5" t="s">
        <v>99</v>
      </c>
      <c r="C11393" s="5" t="s">
        <v>1980</v>
      </c>
      <c r="D11393" s="5" t="s">
        <v>14</v>
      </c>
      <c r="E11393" s="5" t="s">
        <v>16</v>
      </c>
      <c r="F11393" s="5" t="s">
        <v>21</v>
      </c>
      <c r="G11393" s="5" t="s">
        <v>1981</v>
      </c>
      <c r="H11393" s="5" t="s">
        <v>1982</v>
      </c>
      <c r="I11393" s="5" t="s">
        <v>31</v>
      </c>
      <c r="J11393" s="5">
        <v>17.192362353147999</v>
      </c>
      <c r="K11393" s="5">
        <v>-97.891843905170006</v>
      </c>
      <c r="L11393" s="5" t="str">
        <f>HYPERLINK("https://maps.google.com/?q=17.1923623531477,-97.891843905169594", "🔗 Ver Mapa")</f>
        <v>🔗 Ver Mapa</v>
      </c>
    </row>
    <row r="11394" spans="1:12" ht="43.5" x14ac:dyDescent="0.35">
      <c r="A11394" s="6" t="s">
        <v>98</v>
      </c>
      <c r="B11394" s="6" t="s">
        <v>99</v>
      </c>
      <c r="C11394" s="6" t="s">
        <v>1980</v>
      </c>
      <c r="D11394" s="6" t="s">
        <v>14</v>
      </c>
      <c r="E11394" s="6" t="s">
        <v>16</v>
      </c>
      <c r="F11394" s="6" t="s">
        <v>21</v>
      </c>
      <c r="G11394" s="6" t="s">
        <v>1981</v>
      </c>
      <c r="H11394" s="6" t="s">
        <v>1982</v>
      </c>
      <c r="I11394" s="6" t="s">
        <v>31</v>
      </c>
      <c r="J11394" s="6">
        <v>17.192550082412001</v>
      </c>
      <c r="K11394" s="6">
        <v>-97.891736037572002</v>
      </c>
      <c r="L11394" s="6" t="str">
        <f>HYPERLINK("https://maps.google.com/?q=17.1925500824125,-97.891736037572002", "🔗 Ver Mapa")</f>
        <v>🔗 Ver Mapa</v>
      </c>
    </row>
    <row r="11395" spans="1:12" ht="43.5" x14ac:dyDescent="0.35">
      <c r="A11395" s="5" t="s">
        <v>98</v>
      </c>
      <c r="B11395" s="5" t="s">
        <v>99</v>
      </c>
      <c r="C11395" s="5" t="s">
        <v>1980</v>
      </c>
      <c r="D11395" s="5" t="s">
        <v>14</v>
      </c>
      <c r="E11395" s="5" t="s">
        <v>16</v>
      </c>
      <c r="F11395" s="5" t="s">
        <v>21</v>
      </c>
      <c r="G11395" s="5" t="s">
        <v>1981</v>
      </c>
      <c r="H11395" s="5" t="s">
        <v>1982</v>
      </c>
      <c r="I11395" s="5" t="s">
        <v>31</v>
      </c>
      <c r="J11395" s="5">
        <v>17.192759234876</v>
      </c>
      <c r="K11395" s="5">
        <v>-97.892538688619993</v>
      </c>
      <c r="L11395" s="5" t="str">
        <f>HYPERLINK("https://maps.google.com/?q=17.1927592348757,-97.892538688619894", "🔗 Ver Mapa")</f>
        <v>🔗 Ver Mapa</v>
      </c>
    </row>
    <row r="11396" spans="1:12" ht="43.5" x14ac:dyDescent="0.35">
      <c r="A11396" s="6" t="s">
        <v>98</v>
      </c>
      <c r="B11396" s="6" t="s">
        <v>99</v>
      </c>
      <c r="C11396" s="6" t="s">
        <v>1980</v>
      </c>
      <c r="D11396" s="6" t="s">
        <v>14</v>
      </c>
      <c r="E11396" s="6" t="s">
        <v>16</v>
      </c>
      <c r="F11396" s="6" t="s">
        <v>21</v>
      </c>
      <c r="G11396" s="6" t="s">
        <v>1981</v>
      </c>
      <c r="H11396" s="6" t="s">
        <v>1982</v>
      </c>
      <c r="I11396" s="6" t="s">
        <v>31</v>
      </c>
      <c r="J11396" s="6">
        <v>17.192870938902001</v>
      </c>
      <c r="K11396" s="6">
        <v>-97.891706503026995</v>
      </c>
      <c r="L11396" s="6" t="str">
        <f>HYPERLINK("https://maps.google.com/?q=17.1928709389017,-97.891706503026597", "🔗 Ver Mapa")</f>
        <v>🔗 Ver Mapa</v>
      </c>
    </row>
    <row r="11397" spans="1:12" ht="43.5" x14ac:dyDescent="0.35">
      <c r="A11397" s="5" t="s">
        <v>98</v>
      </c>
      <c r="B11397" s="5" t="s">
        <v>99</v>
      </c>
      <c r="C11397" s="5" t="s">
        <v>1980</v>
      </c>
      <c r="D11397" s="5" t="s">
        <v>14</v>
      </c>
      <c r="E11397" s="5" t="s">
        <v>16</v>
      </c>
      <c r="F11397" s="5" t="s">
        <v>21</v>
      </c>
      <c r="G11397" s="5" t="s">
        <v>1981</v>
      </c>
      <c r="H11397" s="5" t="s">
        <v>1982</v>
      </c>
      <c r="I11397" s="5" t="s">
        <v>31</v>
      </c>
      <c r="J11397" s="5">
        <v>17.192889999999998</v>
      </c>
      <c r="K11397" s="5">
        <v>-97.891448999999994</v>
      </c>
      <c r="L11397" s="5" t="str">
        <f>HYPERLINK("https://maps.google.com/?q=17.19289,-97.891448999999994", "🔗 Ver Mapa")</f>
        <v>🔗 Ver Mapa</v>
      </c>
    </row>
    <row r="11398" spans="1:12" ht="43.5" x14ac:dyDescent="0.35">
      <c r="A11398" s="6" t="s">
        <v>98</v>
      </c>
      <c r="B11398" s="6" t="s">
        <v>99</v>
      </c>
      <c r="C11398" s="6" t="s">
        <v>1980</v>
      </c>
      <c r="D11398" s="6" t="s">
        <v>14</v>
      </c>
      <c r="E11398" s="6" t="s">
        <v>16</v>
      </c>
      <c r="F11398" s="6" t="s">
        <v>21</v>
      </c>
      <c r="G11398" s="6" t="s">
        <v>1981</v>
      </c>
      <c r="H11398" s="6" t="s">
        <v>1982</v>
      </c>
      <c r="I11398" s="6" t="s">
        <v>31</v>
      </c>
      <c r="J11398" s="6">
        <v>17.19330485535</v>
      </c>
      <c r="K11398" s="6">
        <v>-97.891419788104997</v>
      </c>
      <c r="L11398" s="6" t="str">
        <f>HYPERLINK("https://maps.google.com/?q=17.1933048553502,-97.891419788104699", "🔗 Ver Mapa")</f>
        <v>🔗 Ver Mapa</v>
      </c>
    </row>
    <row r="11399" spans="1:12" ht="43.5" x14ac:dyDescent="0.35">
      <c r="A11399" s="5" t="s">
        <v>98</v>
      </c>
      <c r="B11399" s="5" t="s">
        <v>99</v>
      </c>
      <c r="C11399" s="5" t="s">
        <v>1983</v>
      </c>
      <c r="D11399" s="5" t="s">
        <v>14</v>
      </c>
      <c r="E11399" s="5" t="s">
        <v>16</v>
      </c>
      <c r="F11399" s="5" t="s">
        <v>21</v>
      </c>
      <c r="G11399" s="5" t="s">
        <v>235</v>
      </c>
      <c r="H11399" s="5" t="s">
        <v>1984</v>
      </c>
      <c r="I11399" s="5" t="s">
        <v>31</v>
      </c>
      <c r="J11399" s="5">
        <v>17.193546907329999</v>
      </c>
      <c r="K11399" s="5">
        <v>-97.757884752148996</v>
      </c>
      <c r="L11399" s="5" t="str">
        <f>HYPERLINK("https://maps.google.com/?q=17.1935469073304,-97.757884752149494", "🔗 Ver Mapa")</f>
        <v>🔗 Ver Mapa</v>
      </c>
    </row>
    <row r="11400" spans="1:12" ht="43.5" x14ac:dyDescent="0.35">
      <c r="A11400" s="6" t="s">
        <v>98</v>
      </c>
      <c r="B11400" s="6" t="s">
        <v>99</v>
      </c>
      <c r="C11400" s="6" t="s">
        <v>1983</v>
      </c>
      <c r="D11400" s="6" t="s">
        <v>14</v>
      </c>
      <c r="E11400" s="6" t="s">
        <v>16</v>
      </c>
      <c r="F11400" s="6" t="s">
        <v>21</v>
      </c>
      <c r="G11400" s="6" t="s">
        <v>235</v>
      </c>
      <c r="H11400" s="6" t="s">
        <v>1984</v>
      </c>
      <c r="I11400" s="6" t="s">
        <v>31</v>
      </c>
      <c r="J11400" s="6">
        <v>17.193667337531998</v>
      </c>
      <c r="K11400" s="6">
        <v>-97.757937055225</v>
      </c>
      <c r="L11400" s="6" t="str">
        <f>HYPERLINK("https://maps.google.com/?q=17.193667337532,-97.757937055225497", "🔗 Ver Mapa")</f>
        <v>🔗 Ver Mapa</v>
      </c>
    </row>
    <row r="11401" spans="1:12" ht="43.5" x14ac:dyDescent="0.35">
      <c r="A11401" s="5" t="s">
        <v>98</v>
      </c>
      <c r="B11401" s="5" t="s">
        <v>99</v>
      </c>
      <c r="C11401" s="5" t="s">
        <v>1983</v>
      </c>
      <c r="D11401" s="5" t="s">
        <v>14</v>
      </c>
      <c r="E11401" s="5" t="s">
        <v>16</v>
      </c>
      <c r="F11401" s="5" t="s">
        <v>21</v>
      </c>
      <c r="G11401" s="5" t="s">
        <v>235</v>
      </c>
      <c r="H11401" s="5" t="s">
        <v>1984</v>
      </c>
      <c r="I11401" s="5" t="s">
        <v>31</v>
      </c>
      <c r="J11401" s="5">
        <v>17.193708920252998</v>
      </c>
      <c r="K11401" s="5">
        <v>-97.757800839962997</v>
      </c>
      <c r="L11401" s="5" t="str">
        <f>HYPERLINK("https://maps.google.com/?q=17.193708920253,-97.757800839962798", "🔗 Ver Mapa")</f>
        <v>🔗 Ver Mapa</v>
      </c>
    </row>
    <row r="11402" spans="1:12" ht="43.5" x14ac:dyDescent="0.35">
      <c r="A11402" s="6" t="s">
        <v>98</v>
      </c>
      <c r="B11402" s="6" t="s">
        <v>99</v>
      </c>
      <c r="C11402" s="6" t="s">
        <v>1983</v>
      </c>
      <c r="D11402" s="6" t="s">
        <v>14</v>
      </c>
      <c r="E11402" s="6" t="s">
        <v>16</v>
      </c>
      <c r="F11402" s="6" t="s">
        <v>21</v>
      </c>
      <c r="G11402" s="6" t="s">
        <v>235</v>
      </c>
      <c r="H11402" s="6" t="s">
        <v>1984</v>
      </c>
      <c r="I11402" s="6" t="s">
        <v>31</v>
      </c>
      <c r="J11402" s="6">
        <v>17.201810075952999</v>
      </c>
      <c r="K11402" s="6">
        <v>-97.757183779513994</v>
      </c>
      <c r="L11402" s="6" t="str">
        <f>HYPERLINK("https://maps.google.com/?q=17.2018100759532,-97.757183779514094", "🔗 Ver Mapa")</f>
        <v>🔗 Ver Mapa</v>
      </c>
    </row>
    <row r="11403" spans="1:12" ht="43.5" x14ac:dyDescent="0.35">
      <c r="A11403" s="5" t="s">
        <v>98</v>
      </c>
      <c r="B11403" s="5" t="s">
        <v>99</v>
      </c>
      <c r="C11403" s="5" t="s">
        <v>1983</v>
      </c>
      <c r="D11403" s="5" t="s">
        <v>14</v>
      </c>
      <c r="E11403" s="5" t="s">
        <v>16</v>
      </c>
      <c r="F11403" s="5" t="s">
        <v>21</v>
      </c>
      <c r="G11403" s="5" t="s">
        <v>235</v>
      </c>
      <c r="H11403" s="5" t="s">
        <v>1984</v>
      </c>
      <c r="I11403" s="5" t="s">
        <v>31</v>
      </c>
      <c r="J11403" s="5">
        <v>17.202112558176001</v>
      </c>
      <c r="K11403" s="5">
        <v>-97.758474030464996</v>
      </c>
      <c r="L11403" s="5" t="str">
        <f>HYPERLINK("https://maps.google.com/?q=17.2021125581758,-97.758474030465095", "🔗 Ver Mapa")</f>
        <v>🔗 Ver Mapa</v>
      </c>
    </row>
    <row r="11404" spans="1:12" ht="43.5" x14ac:dyDescent="0.35">
      <c r="A11404" s="6" t="s">
        <v>98</v>
      </c>
      <c r="B11404" s="6" t="s">
        <v>99</v>
      </c>
      <c r="C11404" s="6" t="s">
        <v>1983</v>
      </c>
      <c r="D11404" s="6" t="s">
        <v>14</v>
      </c>
      <c r="E11404" s="6" t="s">
        <v>16</v>
      </c>
      <c r="F11404" s="6" t="s">
        <v>21</v>
      </c>
      <c r="G11404" s="6" t="s">
        <v>235</v>
      </c>
      <c r="H11404" s="6" t="s">
        <v>1984</v>
      </c>
      <c r="I11404" s="6" t="s">
        <v>31</v>
      </c>
      <c r="J11404" s="6">
        <v>17.202166364935</v>
      </c>
      <c r="K11404" s="6">
        <v>-97.757916130989997</v>
      </c>
      <c r="L11404" s="6" t="str">
        <f>HYPERLINK("https://maps.google.com/?q=17.2021663649347,-97.757916130990196", "🔗 Ver Mapa")</f>
        <v>🔗 Ver Mapa</v>
      </c>
    </row>
    <row r="11405" spans="1:12" ht="43.5" x14ac:dyDescent="0.35">
      <c r="A11405" s="5" t="s">
        <v>98</v>
      </c>
      <c r="B11405" s="5" t="s">
        <v>99</v>
      </c>
      <c r="C11405" s="5" t="s">
        <v>1985</v>
      </c>
      <c r="D11405" s="5" t="s">
        <v>14</v>
      </c>
      <c r="E11405" s="5" t="s">
        <v>16</v>
      </c>
      <c r="F11405" s="5" t="s">
        <v>21</v>
      </c>
      <c r="G11405" s="5" t="s">
        <v>235</v>
      </c>
      <c r="H11405" s="5" t="s">
        <v>1986</v>
      </c>
      <c r="I11405" s="5" t="s">
        <v>31</v>
      </c>
      <c r="J11405" s="5">
        <v>17.199809399060001</v>
      </c>
      <c r="K11405" s="5">
        <v>-97.771060617285997</v>
      </c>
      <c r="L11405" s="5" t="str">
        <f>HYPERLINK("https://maps.google.com/?q=17.1998093990596,-97.771060617285997", "🔗 Ver Mapa")</f>
        <v>🔗 Ver Mapa</v>
      </c>
    </row>
    <row r="11406" spans="1:12" ht="43.5" x14ac:dyDescent="0.35">
      <c r="A11406" s="6" t="s">
        <v>98</v>
      </c>
      <c r="B11406" s="6" t="s">
        <v>99</v>
      </c>
      <c r="C11406" s="6" t="s">
        <v>1985</v>
      </c>
      <c r="D11406" s="6" t="s">
        <v>14</v>
      </c>
      <c r="E11406" s="6" t="s">
        <v>16</v>
      </c>
      <c r="F11406" s="6" t="s">
        <v>21</v>
      </c>
      <c r="G11406" s="6" t="s">
        <v>235</v>
      </c>
      <c r="H11406" s="6" t="s">
        <v>1986</v>
      </c>
      <c r="I11406" s="6" t="s">
        <v>31</v>
      </c>
      <c r="J11406" s="6">
        <v>17.200388718084</v>
      </c>
      <c r="K11406" s="6">
        <v>-97.770459802465993</v>
      </c>
      <c r="L11406" s="6" t="str">
        <f>HYPERLINK("https://maps.google.com/?q=17.2003887180843,-97.770459802466306", "🔗 Ver Mapa")</f>
        <v>🔗 Ver Mapa</v>
      </c>
    </row>
    <row r="11407" spans="1:12" ht="43.5" x14ac:dyDescent="0.35">
      <c r="A11407" s="5" t="s">
        <v>98</v>
      </c>
      <c r="B11407" s="5" t="s">
        <v>99</v>
      </c>
      <c r="C11407" s="5" t="s">
        <v>1985</v>
      </c>
      <c r="D11407" s="5" t="s">
        <v>14</v>
      </c>
      <c r="E11407" s="5" t="s">
        <v>16</v>
      </c>
      <c r="F11407" s="5" t="s">
        <v>21</v>
      </c>
      <c r="G11407" s="5" t="s">
        <v>235</v>
      </c>
      <c r="H11407" s="5" t="s">
        <v>1986</v>
      </c>
      <c r="I11407" s="5" t="s">
        <v>31</v>
      </c>
      <c r="J11407" s="5">
        <v>17.201088400043002</v>
      </c>
      <c r="K11407" s="5">
        <v>-97.770477580356996</v>
      </c>
      <c r="L11407" s="5" t="str">
        <f>HYPERLINK("https://maps.google.com/?q=17.2010884000428,-97.770477580356598", "🔗 Ver Mapa")</f>
        <v>🔗 Ver Mapa</v>
      </c>
    </row>
    <row r="11408" spans="1:12" ht="43.5" x14ac:dyDescent="0.35">
      <c r="A11408" s="6" t="s">
        <v>98</v>
      </c>
      <c r="B11408" s="6" t="s">
        <v>99</v>
      </c>
      <c r="C11408" s="6" t="s">
        <v>1985</v>
      </c>
      <c r="D11408" s="6" t="s">
        <v>14</v>
      </c>
      <c r="E11408" s="6" t="s">
        <v>16</v>
      </c>
      <c r="F11408" s="6" t="s">
        <v>21</v>
      </c>
      <c r="G11408" s="6" t="s">
        <v>235</v>
      </c>
      <c r="H11408" s="6" t="s">
        <v>1986</v>
      </c>
      <c r="I11408" s="6" t="s">
        <v>31</v>
      </c>
      <c r="J11408" s="6">
        <v>17.201247519146001</v>
      </c>
      <c r="K11408" s="6">
        <v>-97.770183177909999</v>
      </c>
      <c r="L11408" s="6" t="str">
        <f>HYPERLINK("https://maps.google.com/?q=17.2012475191465,-97.7701831779098", "🔗 Ver Mapa")</f>
        <v>🔗 Ver Mapa</v>
      </c>
    </row>
    <row r="11409" spans="1:12" ht="43.5" x14ac:dyDescent="0.35">
      <c r="A11409" s="5" t="s">
        <v>98</v>
      </c>
      <c r="B11409" s="5" t="s">
        <v>99</v>
      </c>
      <c r="C11409" s="5" t="s">
        <v>1985</v>
      </c>
      <c r="D11409" s="5" t="s">
        <v>14</v>
      </c>
      <c r="E11409" s="5" t="s">
        <v>16</v>
      </c>
      <c r="F11409" s="5" t="s">
        <v>21</v>
      </c>
      <c r="G11409" s="5" t="s">
        <v>235</v>
      </c>
      <c r="H11409" s="5" t="s">
        <v>1986</v>
      </c>
      <c r="I11409" s="5" t="s">
        <v>31</v>
      </c>
      <c r="J11409" s="5">
        <v>17.201368590783002</v>
      </c>
      <c r="K11409" s="5">
        <v>-97.770574258978996</v>
      </c>
      <c r="L11409" s="5" t="str">
        <f>HYPERLINK("https://maps.google.com/?q=17.2013685907827,-97.770574258979494", "🔗 Ver Mapa")</f>
        <v>🔗 Ver Mapa</v>
      </c>
    </row>
    <row r="11410" spans="1:12" ht="43.5" x14ac:dyDescent="0.35">
      <c r="A11410" s="6" t="s">
        <v>98</v>
      </c>
      <c r="B11410" s="6" t="s">
        <v>99</v>
      </c>
      <c r="C11410" s="6" t="s">
        <v>1985</v>
      </c>
      <c r="D11410" s="6" t="s">
        <v>14</v>
      </c>
      <c r="E11410" s="6" t="s">
        <v>16</v>
      </c>
      <c r="F11410" s="6" t="s">
        <v>21</v>
      </c>
      <c r="G11410" s="6" t="s">
        <v>235</v>
      </c>
      <c r="H11410" s="6" t="s">
        <v>1986</v>
      </c>
      <c r="I11410" s="6" t="s">
        <v>31</v>
      </c>
      <c r="J11410" s="6">
        <v>17.201472996038</v>
      </c>
      <c r="K11410" s="6">
        <v>-97.770719619713006</v>
      </c>
      <c r="L11410" s="6" t="str">
        <f>HYPERLINK("https://maps.google.com/?q=17.2014729960379,-97.770719619712693", "🔗 Ver Mapa")</f>
        <v>🔗 Ver Mapa</v>
      </c>
    </row>
    <row r="11411" spans="1:12" ht="43.5" x14ac:dyDescent="0.35">
      <c r="A11411" s="5" t="s">
        <v>98</v>
      </c>
      <c r="B11411" s="5" t="s">
        <v>99</v>
      </c>
      <c r="C11411" s="5" t="s">
        <v>1987</v>
      </c>
      <c r="D11411" s="5" t="s">
        <v>14</v>
      </c>
      <c r="E11411" s="5" t="s">
        <v>16</v>
      </c>
      <c r="F11411" s="5" t="s">
        <v>215</v>
      </c>
      <c r="G11411" s="5" t="s">
        <v>1988</v>
      </c>
      <c r="H11411" s="5" t="s">
        <v>1989</v>
      </c>
      <c r="I11411" s="5" t="s">
        <v>31</v>
      </c>
      <c r="J11411" s="5">
        <v>17.373944769546998</v>
      </c>
      <c r="K11411" s="5">
        <v>-98.183664722719001</v>
      </c>
      <c r="L11411" s="5" t="str">
        <f>HYPERLINK("https://maps.google.com/?q=17.3739447695466,-98.1836647227192", "🔗 Ver Mapa")</f>
        <v>🔗 Ver Mapa</v>
      </c>
    </row>
    <row r="11412" spans="1:12" ht="43.5" x14ac:dyDescent="0.35">
      <c r="A11412" s="6" t="s">
        <v>98</v>
      </c>
      <c r="B11412" s="6" t="s">
        <v>99</v>
      </c>
      <c r="C11412" s="6" t="s">
        <v>1987</v>
      </c>
      <c r="D11412" s="6" t="s">
        <v>14</v>
      </c>
      <c r="E11412" s="6" t="s">
        <v>16</v>
      </c>
      <c r="F11412" s="6" t="s">
        <v>215</v>
      </c>
      <c r="G11412" s="6" t="s">
        <v>1988</v>
      </c>
      <c r="H11412" s="6" t="s">
        <v>1989</v>
      </c>
      <c r="I11412" s="6" t="s">
        <v>31</v>
      </c>
      <c r="J11412" s="6">
        <v>17.374710397952999</v>
      </c>
      <c r="K11412" s="6">
        <v>-98.183704198742006</v>
      </c>
      <c r="L11412" s="6" t="str">
        <f>HYPERLINK("https://maps.google.com/?q=17.3747103979533,-98.183704198741907", "🔗 Ver Mapa")</f>
        <v>🔗 Ver Mapa</v>
      </c>
    </row>
    <row r="11413" spans="1:12" ht="43.5" x14ac:dyDescent="0.35">
      <c r="A11413" s="5" t="s">
        <v>98</v>
      </c>
      <c r="B11413" s="5" t="s">
        <v>99</v>
      </c>
      <c r="C11413" s="5" t="s">
        <v>1987</v>
      </c>
      <c r="D11413" s="5" t="s">
        <v>14</v>
      </c>
      <c r="E11413" s="5" t="s">
        <v>16</v>
      </c>
      <c r="F11413" s="5" t="s">
        <v>215</v>
      </c>
      <c r="G11413" s="5" t="s">
        <v>1988</v>
      </c>
      <c r="H11413" s="5" t="s">
        <v>1989</v>
      </c>
      <c r="I11413" s="5" t="s">
        <v>31</v>
      </c>
      <c r="J11413" s="5">
        <v>17.375994963057</v>
      </c>
      <c r="K11413" s="5">
        <v>-98.187563588779994</v>
      </c>
      <c r="L11413" s="5" t="str">
        <f>HYPERLINK("https://maps.google.com/?q=17.3759949630568,-98.187563588779696", "🔗 Ver Mapa")</f>
        <v>🔗 Ver Mapa</v>
      </c>
    </row>
    <row r="11414" spans="1:12" ht="43.5" x14ac:dyDescent="0.35">
      <c r="A11414" s="6" t="s">
        <v>98</v>
      </c>
      <c r="B11414" s="6" t="s">
        <v>99</v>
      </c>
      <c r="C11414" s="6" t="s">
        <v>1987</v>
      </c>
      <c r="D11414" s="6" t="s">
        <v>14</v>
      </c>
      <c r="E11414" s="6" t="s">
        <v>16</v>
      </c>
      <c r="F11414" s="6" t="s">
        <v>215</v>
      </c>
      <c r="G11414" s="6" t="s">
        <v>1988</v>
      </c>
      <c r="H11414" s="6" t="s">
        <v>1989</v>
      </c>
      <c r="I11414" s="6" t="s">
        <v>31</v>
      </c>
      <c r="J11414" s="6">
        <v>17.376102474953999</v>
      </c>
      <c r="K11414" s="6">
        <v>-98.185348084134006</v>
      </c>
      <c r="L11414" s="6" t="str">
        <f>HYPERLINK("https://maps.google.com/?q=17.376102474954,-98.185348084134006", "🔗 Ver Mapa")</f>
        <v>🔗 Ver Mapa</v>
      </c>
    </row>
    <row r="11415" spans="1:12" ht="43.5" x14ac:dyDescent="0.35">
      <c r="A11415" s="5" t="s">
        <v>98</v>
      </c>
      <c r="B11415" s="5" t="s">
        <v>99</v>
      </c>
      <c r="C11415" s="5" t="s">
        <v>1987</v>
      </c>
      <c r="D11415" s="5" t="s">
        <v>14</v>
      </c>
      <c r="E11415" s="5" t="s">
        <v>16</v>
      </c>
      <c r="F11415" s="5" t="s">
        <v>215</v>
      </c>
      <c r="G11415" s="5" t="s">
        <v>1988</v>
      </c>
      <c r="H11415" s="5" t="s">
        <v>1989</v>
      </c>
      <c r="I11415" s="5" t="s">
        <v>31</v>
      </c>
      <c r="J11415" s="5">
        <v>17.376143431852</v>
      </c>
      <c r="K11415" s="5">
        <v>-98.189189007444</v>
      </c>
      <c r="L11415" s="5" t="str">
        <f>HYPERLINK("https://maps.google.com/?q=17.3761434318516,-98.1891890074439", "🔗 Ver Mapa")</f>
        <v>🔗 Ver Mapa</v>
      </c>
    </row>
    <row r="11416" spans="1:12" ht="43.5" x14ac:dyDescent="0.35">
      <c r="A11416" s="6" t="s">
        <v>98</v>
      </c>
      <c r="B11416" s="6" t="s">
        <v>99</v>
      </c>
      <c r="C11416" s="6" t="s">
        <v>1987</v>
      </c>
      <c r="D11416" s="6" t="s">
        <v>14</v>
      </c>
      <c r="E11416" s="6" t="s">
        <v>16</v>
      </c>
      <c r="F11416" s="6" t="s">
        <v>215</v>
      </c>
      <c r="G11416" s="6" t="s">
        <v>1988</v>
      </c>
      <c r="H11416" s="6" t="s">
        <v>1989</v>
      </c>
      <c r="I11416" s="6" t="s">
        <v>31</v>
      </c>
      <c r="J11416" s="6">
        <v>17.376169029907</v>
      </c>
      <c r="K11416" s="6">
        <v>-98.184028437297997</v>
      </c>
      <c r="L11416" s="6" t="str">
        <f>HYPERLINK("https://maps.google.com/?q=17.3761690299066,-98.184028437298494", "🔗 Ver Mapa")</f>
        <v>🔗 Ver Mapa</v>
      </c>
    </row>
    <row r="11417" spans="1:12" ht="43.5" x14ac:dyDescent="0.35">
      <c r="A11417" s="5" t="s">
        <v>98</v>
      </c>
      <c r="B11417" s="5" t="s">
        <v>99</v>
      </c>
      <c r="C11417" s="5" t="s">
        <v>1987</v>
      </c>
      <c r="D11417" s="5" t="s">
        <v>14</v>
      </c>
      <c r="E11417" s="5" t="s">
        <v>16</v>
      </c>
      <c r="F11417" s="5" t="s">
        <v>215</v>
      </c>
      <c r="G11417" s="5" t="s">
        <v>1988</v>
      </c>
      <c r="H11417" s="5" t="s">
        <v>1989</v>
      </c>
      <c r="I11417" s="5" t="s">
        <v>31</v>
      </c>
      <c r="J11417" s="5">
        <v>17.376435249475001</v>
      </c>
      <c r="K11417" s="5">
        <v>-98.185163011712007</v>
      </c>
      <c r="L11417" s="5" t="str">
        <f>HYPERLINK("https://maps.google.com/?q=17.376435249475,-98.185163011711794", "🔗 Ver Mapa")</f>
        <v>🔗 Ver Mapa</v>
      </c>
    </row>
    <row r="11418" spans="1:12" ht="43.5" x14ac:dyDescent="0.35">
      <c r="A11418" s="6" t="s">
        <v>98</v>
      </c>
      <c r="B11418" s="6" t="s">
        <v>99</v>
      </c>
      <c r="C11418" s="6" t="s">
        <v>1987</v>
      </c>
      <c r="D11418" s="6" t="s">
        <v>14</v>
      </c>
      <c r="E11418" s="6" t="s">
        <v>16</v>
      </c>
      <c r="F11418" s="6" t="s">
        <v>215</v>
      </c>
      <c r="G11418" s="6" t="s">
        <v>1988</v>
      </c>
      <c r="H11418" s="6" t="s">
        <v>1989</v>
      </c>
      <c r="I11418" s="6" t="s">
        <v>31</v>
      </c>
      <c r="J11418" s="6">
        <v>17.377541080461999</v>
      </c>
      <c r="K11418" s="6">
        <v>-98.186324408215995</v>
      </c>
      <c r="L11418" s="6" t="str">
        <f>HYPERLINK("https://maps.google.com/?q=17.3775410804616,-98.186324408215597", "🔗 Ver Mapa")</f>
        <v>🔗 Ver Mapa</v>
      </c>
    </row>
    <row r="11419" spans="1:12" ht="43.5" x14ac:dyDescent="0.35">
      <c r="A11419" s="5" t="s">
        <v>98</v>
      </c>
      <c r="B11419" s="5" t="s">
        <v>99</v>
      </c>
      <c r="C11419" s="5" t="s">
        <v>1987</v>
      </c>
      <c r="D11419" s="5" t="s">
        <v>14</v>
      </c>
      <c r="E11419" s="5" t="s">
        <v>16</v>
      </c>
      <c r="F11419" s="5" t="s">
        <v>215</v>
      </c>
      <c r="G11419" s="5" t="s">
        <v>1988</v>
      </c>
      <c r="H11419" s="5" t="s">
        <v>1989</v>
      </c>
      <c r="I11419" s="5" t="s">
        <v>31</v>
      </c>
      <c r="J11419" s="5">
        <v>17.379594017498999</v>
      </c>
      <c r="K11419" s="5">
        <v>-98.189634254140998</v>
      </c>
      <c r="L11419" s="5" t="str">
        <f>HYPERLINK("https://maps.google.com/?q=17.3795940174994,-98.189634254140501", "🔗 Ver Mapa")</f>
        <v>🔗 Ver Mapa</v>
      </c>
    </row>
    <row r="11420" spans="1:12" ht="43.5" x14ac:dyDescent="0.35">
      <c r="A11420" s="6" t="s">
        <v>98</v>
      </c>
      <c r="B11420" s="6" t="s">
        <v>99</v>
      </c>
      <c r="C11420" s="6" t="s">
        <v>1987</v>
      </c>
      <c r="D11420" s="6" t="s">
        <v>14</v>
      </c>
      <c r="E11420" s="6" t="s">
        <v>16</v>
      </c>
      <c r="F11420" s="6" t="s">
        <v>215</v>
      </c>
      <c r="G11420" s="6" t="s">
        <v>1988</v>
      </c>
      <c r="H11420" s="6" t="s">
        <v>1989</v>
      </c>
      <c r="I11420" s="6" t="s">
        <v>31</v>
      </c>
      <c r="J11420" s="6">
        <v>17.379649052278001</v>
      </c>
      <c r="K11420" s="6">
        <v>-98.189710697096999</v>
      </c>
      <c r="L11420" s="6" t="str">
        <f>HYPERLINK("https://maps.google.com/?q=17.3796490522777,-98.189710697097397", "🔗 Ver Mapa")</f>
        <v>🔗 Ver Mapa</v>
      </c>
    </row>
    <row r="11421" spans="1:12" ht="43.5" x14ac:dyDescent="0.35">
      <c r="A11421" s="5" t="s">
        <v>98</v>
      </c>
      <c r="B11421" s="5" t="s">
        <v>99</v>
      </c>
      <c r="C11421" s="5" t="s">
        <v>1987</v>
      </c>
      <c r="D11421" s="5" t="s">
        <v>14</v>
      </c>
      <c r="E11421" s="5" t="s">
        <v>16</v>
      </c>
      <c r="F11421" s="5" t="s">
        <v>215</v>
      </c>
      <c r="G11421" s="5" t="s">
        <v>1988</v>
      </c>
      <c r="H11421" s="5" t="s">
        <v>1989</v>
      </c>
      <c r="I11421" s="5" t="s">
        <v>31</v>
      </c>
      <c r="J11421" s="5">
        <v>17.380355478134</v>
      </c>
      <c r="K11421" s="5">
        <v>-98.185458164349001</v>
      </c>
      <c r="L11421" s="5" t="str">
        <f>HYPERLINK("https://maps.google.com/?q=17.3803554781338,-98.185458164348702", "🔗 Ver Mapa")</f>
        <v>🔗 Ver Mapa</v>
      </c>
    </row>
    <row r="11422" spans="1:12" ht="43.5" x14ac:dyDescent="0.35">
      <c r="A11422" s="6" t="s">
        <v>98</v>
      </c>
      <c r="B11422" s="6" t="s">
        <v>99</v>
      </c>
      <c r="C11422" s="6" t="s">
        <v>1987</v>
      </c>
      <c r="D11422" s="6" t="s">
        <v>14</v>
      </c>
      <c r="E11422" s="6" t="s">
        <v>16</v>
      </c>
      <c r="F11422" s="6" t="s">
        <v>215</v>
      </c>
      <c r="G11422" s="6" t="s">
        <v>1988</v>
      </c>
      <c r="H11422" s="6" t="s">
        <v>1989</v>
      </c>
      <c r="I11422" s="6" t="s">
        <v>31</v>
      </c>
      <c r="J11422" s="6">
        <v>17.380580735719999</v>
      </c>
      <c r="K11422" s="6">
        <v>-98.185731749667994</v>
      </c>
      <c r="L11422" s="6" t="str">
        <f>HYPERLINK("https://maps.google.com/?q=17.3805807357195,-98.185731749668093", "🔗 Ver Mapa")</f>
        <v>🔗 Ver Mapa</v>
      </c>
    </row>
    <row r="11423" spans="1:12" ht="43.5" x14ac:dyDescent="0.35">
      <c r="A11423" s="5" t="s">
        <v>98</v>
      </c>
      <c r="B11423" s="5" t="s">
        <v>99</v>
      </c>
      <c r="C11423" s="5" t="s">
        <v>1987</v>
      </c>
      <c r="D11423" s="5" t="s">
        <v>14</v>
      </c>
      <c r="E11423" s="5" t="s">
        <v>16</v>
      </c>
      <c r="F11423" s="5" t="s">
        <v>215</v>
      </c>
      <c r="G11423" s="5" t="s">
        <v>1988</v>
      </c>
      <c r="H11423" s="5" t="s">
        <v>1989</v>
      </c>
      <c r="I11423" s="5" t="s">
        <v>31</v>
      </c>
      <c r="J11423" s="5">
        <v>17.381197632915999</v>
      </c>
      <c r="K11423" s="5">
        <v>-98.186855595245007</v>
      </c>
      <c r="L11423" s="5" t="str">
        <f>HYPERLINK("https://maps.google.com/?q=17.3811976329155,-98.186855595245007", "🔗 Ver Mapa")</f>
        <v>🔗 Ver Mapa</v>
      </c>
    </row>
    <row r="11424" spans="1:12" ht="43.5" x14ac:dyDescent="0.35">
      <c r="A11424" s="6" t="s">
        <v>98</v>
      </c>
      <c r="B11424" s="6" t="s">
        <v>99</v>
      </c>
      <c r="C11424" s="6" t="s">
        <v>1987</v>
      </c>
      <c r="D11424" s="6" t="s">
        <v>14</v>
      </c>
      <c r="E11424" s="6" t="s">
        <v>16</v>
      </c>
      <c r="F11424" s="6" t="s">
        <v>215</v>
      </c>
      <c r="G11424" s="6" t="s">
        <v>1988</v>
      </c>
      <c r="H11424" s="6" t="s">
        <v>1989</v>
      </c>
      <c r="I11424" s="6" t="s">
        <v>31</v>
      </c>
      <c r="J11424" s="6">
        <v>17.381259132189001</v>
      </c>
      <c r="K11424" s="6">
        <v>-98.188361545963005</v>
      </c>
      <c r="L11424" s="6" t="str">
        <f>HYPERLINK("https://maps.google.com/?q=17.381259132189,-98.188361545963303", "🔗 Ver Mapa")</f>
        <v>🔗 Ver Mapa</v>
      </c>
    </row>
    <row r="11425" spans="1:12" ht="43.5" x14ac:dyDescent="0.35">
      <c r="A11425" s="5" t="s">
        <v>98</v>
      </c>
      <c r="B11425" s="5" t="s">
        <v>99</v>
      </c>
      <c r="C11425" s="5" t="s">
        <v>1987</v>
      </c>
      <c r="D11425" s="5" t="s">
        <v>14</v>
      </c>
      <c r="E11425" s="5" t="s">
        <v>16</v>
      </c>
      <c r="F11425" s="5" t="s">
        <v>215</v>
      </c>
      <c r="G11425" s="5" t="s">
        <v>1988</v>
      </c>
      <c r="H11425" s="5" t="s">
        <v>1989</v>
      </c>
      <c r="I11425" s="5" t="s">
        <v>31</v>
      </c>
      <c r="J11425" s="5">
        <v>17.381568859769001</v>
      </c>
      <c r="K11425" s="5">
        <v>-98.188353499336003</v>
      </c>
      <c r="L11425" s="5" t="str">
        <f>HYPERLINK("https://maps.google.com/?q=17.3815688597687,-98.188353499336301", "🔗 Ver Mapa")</f>
        <v>🔗 Ver Mapa</v>
      </c>
    </row>
    <row r="11426" spans="1:12" ht="43.5" x14ac:dyDescent="0.35">
      <c r="A11426" s="6" t="s">
        <v>98</v>
      </c>
      <c r="B11426" s="6" t="s">
        <v>99</v>
      </c>
      <c r="C11426" s="6" t="s">
        <v>1987</v>
      </c>
      <c r="D11426" s="6" t="s">
        <v>14</v>
      </c>
      <c r="E11426" s="6" t="s">
        <v>16</v>
      </c>
      <c r="F11426" s="6" t="s">
        <v>215</v>
      </c>
      <c r="G11426" s="6" t="s">
        <v>1988</v>
      </c>
      <c r="H11426" s="6" t="s">
        <v>1989</v>
      </c>
      <c r="I11426" s="6" t="s">
        <v>31</v>
      </c>
      <c r="J11426" s="6">
        <v>17.381707019490001</v>
      </c>
      <c r="K11426" s="6">
        <v>-98.187925796642006</v>
      </c>
      <c r="L11426" s="6" t="str">
        <f>HYPERLINK("https://maps.google.com/?q=17.3817070194895,-98.187925796641593", "🔗 Ver Mapa")</f>
        <v>🔗 Ver Mapa</v>
      </c>
    </row>
    <row r="11427" spans="1:12" ht="43.5" x14ac:dyDescent="0.35">
      <c r="A11427" s="5" t="s">
        <v>98</v>
      </c>
      <c r="B11427" s="5" t="s">
        <v>99</v>
      </c>
      <c r="C11427" s="5" t="s">
        <v>1987</v>
      </c>
      <c r="D11427" s="5" t="s">
        <v>14</v>
      </c>
      <c r="E11427" s="5" t="s">
        <v>16</v>
      </c>
      <c r="F11427" s="5" t="s">
        <v>215</v>
      </c>
      <c r="G11427" s="5" t="s">
        <v>1988</v>
      </c>
      <c r="H11427" s="5" t="s">
        <v>1989</v>
      </c>
      <c r="I11427" s="5" t="s">
        <v>31</v>
      </c>
      <c r="J11427" s="5">
        <v>17.381875961456998</v>
      </c>
      <c r="K11427" s="5">
        <v>-98.187697808875001</v>
      </c>
      <c r="L11427" s="5" t="str">
        <f>HYPERLINK("https://maps.google.com/?q=17.3818759614573,-98.187697808875399", "🔗 Ver Mapa")</f>
        <v>🔗 Ver Mapa</v>
      </c>
    </row>
    <row r="11428" spans="1:12" ht="43.5" x14ac:dyDescent="0.35">
      <c r="A11428" s="6" t="s">
        <v>98</v>
      </c>
      <c r="B11428" s="6" t="s">
        <v>99</v>
      </c>
      <c r="C11428" s="6" t="s">
        <v>1987</v>
      </c>
      <c r="D11428" s="6" t="s">
        <v>14</v>
      </c>
      <c r="E11428" s="6" t="s">
        <v>16</v>
      </c>
      <c r="F11428" s="6" t="s">
        <v>215</v>
      </c>
      <c r="G11428" s="6" t="s">
        <v>1988</v>
      </c>
      <c r="H11428" s="6" t="s">
        <v>1989</v>
      </c>
      <c r="I11428" s="6" t="s">
        <v>31</v>
      </c>
      <c r="J11428" s="6">
        <v>17.381929715687001</v>
      </c>
      <c r="K11428" s="6">
        <v>-98.187743406428993</v>
      </c>
      <c r="L11428" s="6" t="str">
        <f>HYPERLINK("https://maps.google.com/?q=17.381929715687,-98.187743406428694", "🔗 Ver Mapa")</f>
        <v>🔗 Ver Mapa</v>
      </c>
    </row>
    <row r="11429" spans="1:12" ht="43.5" x14ac:dyDescent="0.35">
      <c r="A11429" s="5" t="s">
        <v>98</v>
      </c>
      <c r="B11429" s="5" t="s">
        <v>99</v>
      </c>
      <c r="C11429" s="5" t="s">
        <v>1987</v>
      </c>
      <c r="D11429" s="5" t="s">
        <v>14</v>
      </c>
      <c r="E11429" s="5" t="s">
        <v>16</v>
      </c>
      <c r="F11429" s="5" t="s">
        <v>215</v>
      </c>
      <c r="G11429" s="5" t="s">
        <v>1988</v>
      </c>
      <c r="H11429" s="5" t="s">
        <v>1989</v>
      </c>
      <c r="I11429" s="5" t="s">
        <v>31</v>
      </c>
      <c r="J11429" s="5">
        <v>17.386661264329</v>
      </c>
      <c r="K11429" s="5">
        <v>-98.186936426347998</v>
      </c>
      <c r="L11429" s="5" t="str">
        <f>HYPERLINK("https://maps.google.com/?q=17.3866612643293,-98.186936426348097", "🔗 Ver Mapa")</f>
        <v>🔗 Ver Mapa</v>
      </c>
    </row>
    <row r="11430" spans="1:12" ht="43.5" x14ac:dyDescent="0.35">
      <c r="A11430" s="6" t="s">
        <v>98</v>
      </c>
      <c r="B11430" s="6" t="s">
        <v>99</v>
      </c>
      <c r="C11430" s="6" t="s">
        <v>1987</v>
      </c>
      <c r="D11430" s="6" t="s">
        <v>14</v>
      </c>
      <c r="E11430" s="6" t="s">
        <v>16</v>
      </c>
      <c r="F11430" s="6" t="s">
        <v>215</v>
      </c>
      <c r="G11430" s="6" t="s">
        <v>1988</v>
      </c>
      <c r="H11430" s="6" t="s">
        <v>1989</v>
      </c>
      <c r="I11430" s="6" t="s">
        <v>31</v>
      </c>
      <c r="J11430" s="6">
        <v>17.387167121865001</v>
      </c>
      <c r="K11430" s="6">
        <v>-98.186999676265998</v>
      </c>
      <c r="L11430" s="6" t="str">
        <f>HYPERLINK("https://maps.google.com/?q=17.3871671218645,-98.1869996762656", "🔗 Ver Mapa")</f>
        <v>🔗 Ver Mapa</v>
      </c>
    </row>
    <row r="11431" spans="1:12" ht="43.5" x14ac:dyDescent="0.35">
      <c r="A11431" s="5" t="s">
        <v>98</v>
      </c>
      <c r="B11431" s="5" t="s">
        <v>99</v>
      </c>
      <c r="C11431" s="5" t="s">
        <v>1990</v>
      </c>
      <c r="D11431" s="5" t="s">
        <v>14</v>
      </c>
      <c r="E11431" s="5" t="s">
        <v>39</v>
      </c>
      <c r="F11431" s="5" t="s">
        <v>353</v>
      </c>
      <c r="G11431" s="5" t="s">
        <v>717</v>
      </c>
      <c r="H11431" s="5" t="s">
        <v>1991</v>
      </c>
      <c r="I11431" s="5" t="s">
        <v>31</v>
      </c>
      <c r="J11431" s="5">
        <v>16.197707000000001</v>
      </c>
      <c r="K11431" s="5">
        <v>-96.607982000000007</v>
      </c>
      <c r="L11431" s="5" t="str">
        <f>HYPERLINK("https://maps.google.com/?q=16.197707,-96.607982000000007", "🔗 Ver Mapa")</f>
        <v>🔗 Ver Mapa</v>
      </c>
    </row>
    <row r="11432" spans="1:12" ht="43.5" x14ac:dyDescent="0.35">
      <c r="A11432" s="6" t="s">
        <v>98</v>
      </c>
      <c r="B11432" s="6" t="s">
        <v>99</v>
      </c>
      <c r="C11432" s="6" t="s">
        <v>1990</v>
      </c>
      <c r="D11432" s="6" t="s">
        <v>14</v>
      </c>
      <c r="E11432" s="6" t="s">
        <v>39</v>
      </c>
      <c r="F11432" s="6" t="s">
        <v>353</v>
      </c>
      <c r="G11432" s="6" t="s">
        <v>717</v>
      </c>
      <c r="H11432" s="6" t="s">
        <v>1991</v>
      </c>
      <c r="I11432" s="6" t="s">
        <v>31</v>
      </c>
      <c r="J11432" s="6">
        <v>16.199092</v>
      </c>
      <c r="K11432" s="6">
        <v>-96.605046000000002</v>
      </c>
      <c r="L11432" s="6" t="str">
        <f>HYPERLINK("https://maps.google.com/?q=16.199092,-96.605046000000002", "🔗 Ver Mapa")</f>
        <v>🔗 Ver Mapa</v>
      </c>
    </row>
    <row r="11433" spans="1:12" ht="43.5" x14ac:dyDescent="0.35">
      <c r="A11433" s="5" t="s">
        <v>98</v>
      </c>
      <c r="B11433" s="5" t="s">
        <v>99</v>
      </c>
      <c r="C11433" s="5" t="s">
        <v>1990</v>
      </c>
      <c r="D11433" s="5" t="s">
        <v>14</v>
      </c>
      <c r="E11433" s="5" t="s">
        <v>39</v>
      </c>
      <c r="F11433" s="5" t="s">
        <v>353</v>
      </c>
      <c r="G11433" s="5" t="s">
        <v>717</v>
      </c>
      <c r="H11433" s="5" t="s">
        <v>1991</v>
      </c>
      <c r="I11433" s="5" t="s">
        <v>31</v>
      </c>
      <c r="J11433" s="5">
        <v>16.199361</v>
      </c>
      <c r="K11433" s="5">
        <v>-96.608740999999995</v>
      </c>
      <c r="L11433" s="5" t="str">
        <f>HYPERLINK("https://maps.google.com/?q=16.199361,-96.608740999999995", "🔗 Ver Mapa")</f>
        <v>🔗 Ver Mapa</v>
      </c>
    </row>
    <row r="11434" spans="1:12" ht="43.5" x14ac:dyDescent="0.35">
      <c r="A11434" s="6" t="s">
        <v>98</v>
      </c>
      <c r="B11434" s="6" t="s">
        <v>99</v>
      </c>
      <c r="C11434" s="6" t="s">
        <v>1990</v>
      </c>
      <c r="D11434" s="6" t="s">
        <v>14</v>
      </c>
      <c r="E11434" s="6" t="s">
        <v>39</v>
      </c>
      <c r="F11434" s="6" t="s">
        <v>353</v>
      </c>
      <c r="G11434" s="6" t="s">
        <v>717</v>
      </c>
      <c r="H11434" s="6" t="s">
        <v>1991</v>
      </c>
      <c r="I11434" s="6" t="s">
        <v>31</v>
      </c>
      <c r="J11434" s="6">
        <v>16.199421999999998</v>
      </c>
      <c r="K11434" s="6">
        <v>-96.607681999999997</v>
      </c>
      <c r="L11434" s="6" t="str">
        <f>HYPERLINK("https://maps.google.com/?q=16.199422,-96.607681999999997", "🔗 Ver Mapa")</f>
        <v>🔗 Ver Mapa</v>
      </c>
    </row>
    <row r="11435" spans="1:12" ht="43.5" x14ac:dyDescent="0.35">
      <c r="A11435" s="5" t="s">
        <v>98</v>
      </c>
      <c r="B11435" s="5" t="s">
        <v>99</v>
      </c>
      <c r="C11435" s="5" t="s">
        <v>1990</v>
      </c>
      <c r="D11435" s="5" t="s">
        <v>14</v>
      </c>
      <c r="E11435" s="5" t="s">
        <v>39</v>
      </c>
      <c r="F11435" s="5" t="s">
        <v>353</v>
      </c>
      <c r="G11435" s="5" t="s">
        <v>717</v>
      </c>
      <c r="H11435" s="5" t="s">
        <v>1991</v>
      </c>
      <c r="I11435" s="5" t="s">
        <v>31</v>
      </c>
      <c r="J11435" s="5">
        <v>16.199622999999999</v>
      </c>
      <c r="K11435" s="5">
        <v>-96.606952000000007</v>
      </c>
      <c r="L11435" s="5" t="str">
        <f>HYPERLINK("https://maps.google.com/?q=16.199623,-96.606952000000007", "🔗 Ver Mapa")</f>
        <v>🔗 Ver Mapa</v>
      </c>
    </row>
    <row r="11436" spans="1:12" ht="43.5" x14ac:dyDescent="0.35">
      <c r="A11436" s="6" t="s">
        <v>98</v>
      </c>
      <c r="B11436" s="6" t="s">
        <v>99</v>
      </c>
      <c r="C11436" s="6" t="s">
        <v>1990</v>
      </c>
      <c r="D11436" s="6" t="s">
        <v>14</v>
      </c>
      <c r="E11436" s="6" t="s">
        <v>39</v>
      </c>
      <c r="F11436" s="6" t="s">
        <v>353</v>
      </c>
      <c r="G11436" s="6" t="s">
        <v>717</v>
      </c>
      <c r="H11436" s="6" t="s">
        <v>1991</v>
      </c>
      <c r="I11436" s="6" t="s">
        <v>31</v>
      </c>
      <c r="J11436" s="6">
        <v>16.203413999999999</v>
      </c>
      <c r="K11436" s="6">
        <v>-96.609937000000002</v>
      </c>
      <c r="L11436" s="6" t="str">
        <f>HYPERLINK("https://maps.google.com/?q=16.203414,-96.609937000000002", "🔗 Ver Mapa")</f>
        <v>🔗 Ver Mapa</v>
      </c>
    </row>
    <row r="11437" spans="1:12" ht="43.5" x14ac:dyDescent="0.35">
      <c r="A11437" s="5" t="s">
        <v>98</v>
      </c>
      <c r="B11437" s="5" t="s">
        <v>99</v>
      </c>
      <c r="C11437" s="5" t="s">
        <v>1990</v>
      </c>
      <c r="D11437" s="5" t="s">
        <v>14</v>
      </c>
      <c r="E11437" s="5" t="s">
        <v>39</v>
      </c>
      <c r="F11437" s="5" t="s">
        <v>353</v>
      </c>
      <c r="G11437" s="5" t="s">
        <v>717</v>
      </c>
      <c r="H11437" s="5" t="s">
        <v>1991</v>
      </c>
      <c r="I11437" s="5" t="s">
        <v>31</v>
      </c>
      <c r="J11437" s="5">
        <v>16.203626</v>
      </c>
      <c r="K11437" s="5">
        <v>-96.609851000000006</v>
      </c>
      <c r="L11437" s="5" t="str">
        <f>HYPERLINK("https://maps.google.com/?q=16.203626,-96.609851000000006", "🔗 Ver Mapa")</f>
        <v>🔗 Ver Mapa</v>
      </c>
    </row>
    <row r="11438" spans="1:12" ht="43.5" x14ac:dyDescent="0.35">
      <c r="A11438" s="6" t="s">
        <v>98</v>
      </c>
      <c r="B11438" s="6" t="s">
        <v>99</v>
      </c>
      <c r="C11438" s="6" t="s">
        <v>1990</v>
      </c>
      <c r="D11438" s="6" t="s">
        <v>14</v>
      </c>
      <c r="E11438" s="6" t="s">
        <v>39</v>
      </c>
      <c r="F11438" s="6" t="s">
        <v>353</v>
      </c>
      <c r="G11438" s="6" t="s">
        <v>717</v>
      </c>
      <c r="H11438" s="6" t="s">
        <v>1991</v>
      </c>
      <c r="I11438" s="6" t="s">
        <v>31</v>
      </c>
      <c r="J11438" s="6">
        <v>16.203699</v>
      </c>
      <c r="K11438" s="6">
        <v>-96.609819999999999</v>
      </c>
      <c r="L11438" s="6" t="str">
        <f>HYPERLINK("https://maps.google.com/?q=16.203699,-96.609819999999999", "🔗 Ver Mapa")</f>
        <v>🔗 Ver Mapa</v>
      </c>
    </row>
    <row r="11439" spans="1:12" ht="43.5" x14ac:dyDescent="0.35">
      <c r="A11439" s="5" t="s">
        <v>98</v>
      </c>
      <c r="B11439" s="5" t="s">
        <v>99</v>
      </c>
      <c r="C11439" s="5" t="s">
        <v>1992</v>
      </c>
      <c r="D11439" s="5" t="s">
        <v>14</v>
      </c>
      <c r="E11439" s="5" t="s">
        <v>17</v>
      </c>
      <c r="F11439" s="5" t="s">
        <v>46</v>
      </c>
      <c r="G11439" s="5" t="s">
        <v>47</v>
      </c>
      <c r="H11439" s="5" t="s">
        <v>1993</v>
      </c>
      <c r="I11439" s="5" t="s">
        <v>31</v>
      </c>
      <c r="J11439" s="5">
        <v>16.070630000000001</v>
      </c>
      <c r="K11439" s="5">
        <v>-97.304839999999999</v>
      </c>
      <c r="L11439" s="5" t="str">
        <f>HYPERLINK("https://maps.google.com/?q=16.07063,-97.304839999999999", "🔗 Ver Mapa")</f>
        <v>🔗 Ver Mapa</v>
      </c>
    </row>
    <row r="11440" spans="1:12" ht="43.5" x14ac:dyDescent="0.35">
      <c r="A11440" s="6" t="s">
        <v>98</v>
      </c>
      <c r="B11440" s="6" t="s">
        <v>99</v>
      </c>
      <c r="C11440" s="6" t="s">
        <v>1992</v>
      </c>
      <c r="D11440" s="6" t="s">
        <v>14</v>
      </c>
      <c r="E11440" s="6" t="s">
        <v>17</v>
      </c>
      <c r="F11440" s="6" t="s">
        <v>46</v>
      </c>
      <c r="G11440" s="6" t="s">
        <v>47</v>
      </c>
      <c r="H11440" s="6" t="s">
        <v>1993</v>
      </c>
      <c r="I11440" s="6" t="s">
        <v>31</v>
      </c>
      <c r="J11440" s="6">
        <v>16.070900000000002</v>
      </c>
      <c r="K11440" s="6">
        <v>-97.305350000000004</v>
      </c>
      <c r="L11440" s="6" t="str">
        <f>HYPERLINK("https://maps.google.com/?q=16.0709,-97.305350000000004", "🔗 Ver Mapa")</f>
        <v>🔗 Ver Mapa</v>
      </c>
    </row>
    <row r="11441" spans="1:12" ht="43.5" x14ac:dyDescent="0.35">
      <c r="A11441" s="5" t="s">
        <v>98</v>
      </c>
      <c r="B11441" s="5" t="s">
        <v>99</v>
      </c>
      <c r="C11441" s="5" t="s">
        <v>1992</v>
      </c>
      <c r="D11441" s="5" t="s">
        <v>14</v>
      </c>
      <c r="E11441" s="5" t="s">
        <v>17</v>
      </c>
      <c r="F11441" s="5" t="s">
        <v>46</v>
      </c>
      <c r="G11441" s="5" t="s">
        <v>47</v>
      </c>
      <c r="H11441" s="5" t="s">
        <v>1993</v>
      </c>
      <c r="I11441" s="5" t="s">
        <v>31</v>
      </c>
      <c r="J11441" s="5">
        <v>16.071619999999999</v>
      </c>
      <c r="K11441" s="5">
        <v>-97.30574</v>
      </c>
      <c r="L11441" s="5" t="str">
        <f>HYPERLINK("https://maps.google.com/?q=16.07162,-97.30574", "🔗 Ver Mapa")</f>
        <v>🔗 Ver Mapa</v>
      </c>
    </row>
    <row r="11442" spans="1:12" ht="43.5" x14ac:dyDescent="0.35">
      <c r="A11442" s="6" t="s">
        <v>98</v>
      </c>
      <c r="B11442" s="6" t="s">
        <v>99</v>
      </c>
      <c r="C11442" s="6" t="s">
        <v>1992</v>
      </c>
      <c r="D11442" s="6" t="s">
        <v>14</v>
      </c>
      <c r="E11442" s="6" t="s">
        <v>17</v>
      </c>
      <c r="F11442" s="6" t="s">
        <v>46</v>
      </c>
      <c r="G11442" s="6" t="s">
        <v>47</v>
      </c>
      <c r="H11442" s="6" t="s">
        <v>1993</v>
      </c>
      <c r="I11442" s="6" t="s">
        <v>31</v>
      </c>
      <c r="J11442" s="6">
        <v>16.072330000000001</v>
      </c>
      <c r="K11442" s="6">
        <v>-97.302329999999998</v>
      </c>
      <c r="L11442" s="6" t="str">
        <f>HYPERLINK("https://maps.google.com/?q=16.07233,-97.302329999999998", "🔗 Ver Mapa")</f>
        <v>🔗 Ver Mapa</v>
      </c>
    </row>
    <row r="11443" spans="1:12" ht="43.5" x14ac:dyDescent="0.35">
      <c r="A11443" s="5" t="s">
        <v>98</v>
      </c>
      <c r="B11443" s="5" t="s">
        <v>99</v>
      </c>
      <c r="C11443" s="5" t="s">
        <v>1992</v>
      </c>
      <c r="D11443" s="5" t="s">
        <v>14</v>
      </c>
      <c r="E11443" s="5" t="s">
        <v>17</v>
      </c>
      <c r="F11443" s="5" t="s">
        <v>46</v>
      </c>
      <c r="G11443" s="5" t="s">
        <v>47</v>
      </c>
      <c r="H11443" s="5" t="s">
        <v>1993</v>
      </c>
      <c r="I11443" s="5" t="s">
        <v>31</v>
      </c>
      <c r="J11443" s="5">
        <v>16.072859999999999</v>
      </c>
      <c r="K11443" s="5">
        <v>-97.300049999999999</v>
      </c>
      <c r="L11443" s="5" t="str">
        <f>HYPERLINK("https://maps.google.com/?q=16.07286,-97.300049999999999", "🔗 Ver Mapa")</f>
        <v>🔗 Ver Mapa</v>
      </c>
    </row>
    <row r="11444" spans="1:12" ht="43.5" x14ac:dyDescent="0.35">
      <c r="A11444" s="6" t="s">
        <v>98</v>
      </c>
      <c r="B11444" s="6" t="s">
        <v>99</v>
      </c>
      <c r="C11444" s="6" t="s">
        <v>1992</v>
      </c>
      <c r="D11444" s="6" t="s">
        <v>14</v>
      </c>
      <c r="E11444" s="6" t="s">
        <v>17</v>
      </c>
      <c r="F11444" s="6" t="s">
        <v>46</v>
      </c>
      <c r="G11444" s="6" t="s">
        <v>47</v>
      </c>
      <c r="H11444" s="6" t="s">
        <v>1993</v>
      </c>
      <c r="I11444" s="6" t="s">
        <v>31</v>
      </c>
      <c r="J11444" s="6">
        <v>16.075659999999999</v>
      </c>
      <c r="K11444" s="6">
        <v>-97.301839999999999</v>
      </c>
      <c r="L11444" s="6" t="str">
        <f>HYPERLINK("https://maps.google.com/?q=16.07566,-97.301839999999999", "🔗 Ver Mapa")</f>
        <v>🔗 Ver Mapa</v>
      </c>
    </row>
    <row r="11445" spans="1:12" ht="43.5" x14ac:dyDescent="0.35">
      <c r="A11445" s="5" t="s">
        <v>98</v>
      </c>
      <c r="B11445" s="5" t="s">
        <v>99</v>
      </c>
      <c r="C11445" s="5" t="s">
        <v>1992</v>
      </c>
      <c r="D11445" s="5" t="s">
        <v>14</v>
      </c>
      <c r="E11445" s="5" t="s">
        <v>17</v>
      </c>
      <c r="F11445" s="5" t="s">
        <v>46</v>
      </c>
      <c r="G11445" s="5" t="s">
        <v>47</v>
      </c>
      <c r="H11445" s="5" t="s">
        <v>1993</v>
      </c>
      <c r="I11445" s="5" t="s">
        <v>31</v>
      </c>
      <c r="J11445" s="5">
        <v>16.07574</v>
      </c>
      <c r="K11445" s="5">
        <v>-97.302859999999995</v>
      </c>
      <c r="L11445" s="5" t="str">
        <f>HYPERLINK("https://maps.google.com/?q=16.07574,-97.302859999999995", "🔗 Ver Mapa")</f>
        <v>🔗 Ver Mapa</v>
      </c>
    </row>
    <row r="11446" spans="1:12" ht="43.5" x14ac:dyDescent="0.35">
      <c r="A11446" s="6" t="s">
        <v>98</v>
      </c>
      <c r="B11446" s="6" t="s">
        <v>99</v>
      </c>
      <c r="C11446" s="6" t="s">
        <v>1992</v>
      </c>
      <c r="D11446" s="6" t="s">
        <v>14</v>
      </c>
      <c r="E11446" s="6" t="s">
        <v>17</v>
      </c>
      <c r="F11446" s="6" t="s">
        <v>46</v>
      </c>
      <c r="G11446" s="6" t="s">
        <v>47</v>
      </c>
      <c r="H11446" s="6" t="s">
        <v>1993</v>
      </c>
      <c r="I11446" s="6" t="s">
        <v>31</v>
      </c>
      <c r="J11446" s="6">
        <v>16.0761</v>
      </c>
      <c r="K11446" s="6">
        <v>-97.304370000000006</v>
      </c>
      <c r="L11446" s="6" t="str">
        <f>HYPERLINK("https://maps.google.com/?q=16.0761,-97.304370000000006", "🔗 Ver Mapa")</f>
        <v>🔗 Ver Mapa</v>
      </c>
    </row>
    <row r="11447" spans="1:12" ht="43.5" x14ac:dyDescent="0.35">
      <c r="A11447" s="5" t="s">
        <v>98</v>
      </c>
      <c r="B11447" s="5" t="s">
        <v>99</v>
      </c>
      <c r="C11447" s="5" t="s">
        <v>1992</v>
      </c>
      <c r="D11447" s="5" t="s">
        <v>14</v>
      </c>
      <c r="E11447" s="5" t="s">
        <v>17</v>
      </c>
      <c r="F11447" s="5" t="s">
        <v>46</v>
      </c>
      <c r="G11447" s="5" t="s">
        <v>47</v>
      </c>
      <c r="H11447" s="5" t="s">
        <v>1993</v>
      </c>
      <c r="I11447" s="5" t="s">
        <v>31</v>
      </c>
      <c r="J11447" s="5">
        <v>16.076160000000002</v>
      </c>
      <c r="K11447" s="5">
        <v>-97.302350000000004</v>
      </c>
      <c r="L11447" s="5" t="str">
        <f>HYPERLINK("https://maps.google.com/?q=16.07616,-97.302350000000004", "🔗 Ver Mapa")</f>
        <v>🔗 Ver Mapa</v>
      </c>
    </row>
    <row r="11448" spans="1:12" ht="43.5" x14ac:dyDescent="0.35">
      <c r="A11448" s="6" t="s">
        <v>98</v>
      </c>
      <c r="B11448" s="6" t="s">
        <v>99</v>
      </c>
      <c r="C11448" s="6" t="s">
        <v>1992</v>
      </c>
      <c r="D11448" s="6" t="s">
        <v>14</v>
      </c>
      <c r="E11448" s="6" t="s">
        <v>17</v>
      </c>
      <c r="F11448" s="6" t="s">
        <v>46</v>
      </c>
      <c r="G11448" s="6" t="s">
        <v>47</v>
      </c>
      <c r="H11448" s="6" t="s">
        <v>1993</v>
      </c>
      <c r="I11448" s="6" t="s">
        <v>31</v>
      </c>
      <c r="J11448" s="6">
        <v>16.07619</v>
      </c>
      <c r="K11448" s="6">
        <v>-97.303799999999995</v>
      </c>
      <c r="L11448" s="6" t="str">
        <f>HYPERLINK("https://maps.google.com/?q=16.07619,-97.303799999999995", "🔗 Ver Mapa")</f>
        <v>🔗 Ver Mapa</v>
      </c>
    </row>
    <row r="11449" spans="1:12" ht="43.5" x14ac:dyDescent="0.35">
      <c r="A11449" s="5" t="s">
        <v>98</v>
      </c>
      <c r="B11449" s="5" t="s">
        <v>99</v>
      </c>
      <c r="C11449" s="5" t="s">
        <v>1994</v>
      </c>
      <c r="D11449" s="5" t="s">
        <v>14</v>
      </c>
      <c r="E11449" s="5" t="s">
        <v>17</v>
      </c>
      <c r="F11449" s="5" t="s">
        <v>46</v>
      </c>
      <c r="G11449" s="5" t="s">
        <v>212</v>
      </c>
      <c r="H11449" s="5" t="s">
        <v>1995</v>
      </c>
      <c r="I11449" s="5" t="s">
        <v>31</v>
      </c>
      <c r="J11449" s="5">
        <v>15.982652</v>
      </c>
      <c r="K11449" s="5">
        <v>-97.548374999999993</v>
      </c>
      <c r="L11449" s="5" t="str">
        <f>HYPERLINK("https://maps.google.com/?q=15.982652,-97.548374999999993", "🔗 Ver Mapa")</f>
        <v>🔗 Ver Mapa</v>
      </c>
    </row>
    <row r="11450" spans="1:12" ht="43.5" x14ac:dyDescent="0.35">
      <c r="A11450" s="6" t="s">
        <v>98</v>
      </c>
      <c r="B11450" s="6" t="s">
        <v>99</v>
      </c>
      <c r="C11450" s="6" t="s">
        <v>1994</v>
      </c>
      <c r="D11450" s="6" t="s">
        <v>14</v>
      </c>
      <c r="E11450" s="6" t="s">
        <v>17</v>
      </c>
      <c r="F11450" s="6" t="s">
        <v>46</v>
      </c>
      <c r="G11450" s="6" t="s">
        <v>212</v>
      </c>
      <c r="H11450" s="6" t="s">
        <v>1995</v>
      </c>
      <c r="I11450" s="6" t="s">
        <v>31</v>
      </c>
      <c r="J11450" s="6">
        <v>15.9832395</v>
      </c>
      <c r="K11450" s="6">
        <v>-97.548156599999999</v>
      </c>
      <c r="L11450" s="6" t="str">
        <f>HYPERLINK("https://maps.google.com/?q=15.9832395,-97.548156599999999", "🔗 Ver Mapa")</f>
        <v>🔗 Ver Mapa</v>
      </c>
    </row>
    <row r="11451" spans="1:12" ht="43.5" x14ac:dyDescent="0.35">
      <c r="A11451" s="5" t="s">
        <v>98</v>
      </c>
      <c r="B11451" s="5" t="s">
        <v>99</v>
      </c>
      <c r="C11451" s="5" t="s">
        <v>1994</v>
      </c>
      <c r="D11451" s="5" t="s">
        <v>14</v>
      </c>
      <c r="E11451" s="5" t="s">
        <v>17</v>
      </c>
      <c r="F11451" s="5" t="s">
        <v>46</v>
      </c>
      <c r="G11451" s="5" t="s">
        <v>212</v>
      </c>
      <c r="H11451" s="5" t="s">
        <v>1995</v>
      </c>
      <c r="I11451" s="5" t="s">
        <v>31</v>
      </c>
      <c r="J11451" s="5">
        <v>15.983869</v>
      </c>
      <c r="K11451" s="5">
        <v>-97.549715000000006</v>
      </c>
      <c r="L11451" s="5" t="str">
        <f>HYPERLINK("https://maps.google.com/?q=15.983869,-97.549715000000006", "🔗 Ver Mapa")</f>
        <v>🔗 Ver Mapa</v>
      </c>
    </row>
    <row r="11452" spans="1:12" ht="43.5" x14ac:dyDescent="0.35">
      <c r="A11452" s="6" t="s">
        <v>98</v>
      </c>
      <c r="B11452" s="6" t="s">
        <v>99</v>
      </c>
      <c r="C11452" s="6" t="s">
        <v>1994</v>
      </c>
      <c r="D11452" s="6" t="s">
        <v>14</v>
      </c>
      <c r="E11452" s="6" t="s">
        <v>17</v>
      </c>
      <c r="F11452" s="6" t="s">
        <v>46</v>
      </c>
      <c r="G11452" s="6" t="s">
        <v>212</v>
      </c>
      <c r="H11452" s="6" t="s">
        <v>1995</v>
      </c>
      <c r="I11452" s="6" t="s">
        <v>31</v>
      </c>
      <c r="J11452" s="6">
        <v>15.984560999999999</v>
      </c>
      <c r="K11452" s="6">
        <v>-97.548762999999994</v>
      </c>
      <c r="L11452" s="6" t="str">
        <f>HYPERLINK("https://maps.google.com/?q=15.984561,-97.548762999999994", "🔗 Ver Mapa")</f>
        <v>🔗 Ver Mapa</v>
      </c>
    </row>
    <row r="11453" spans="1:12" ht="43.5" x14ac:dyDescent="0.35">
      <c r="A11453" s="5" t="s">
        <v>98</v>
      </c>
      <c r="B11453" s="5" t="s">
        <v>99</v>
      </c>
      <c r="C11453" s="5" t="s">
        <v>1994</v>
      </c>
      <c r="D11453" s="5" t="s">
        <v>14</v>
      </c>
      <c r="E11453" s="5" t="s">
        <v>17</v>
      </c>
      <c r="F11453" s="5" t="s">
        <v>46</v>
      </c>
      <c r="G11453" s="5" t="s">
        <v>212</v>
      </c>
      <c r="H11453" s="5" t="s">
        <v>1995</v>
      </c>
      <c r="I11453" s="5" t="s">
        <v>31</v>
      </c>
      <c r="J11453" s="5">
        <v>15.984756900000001</v>
      </c>
      <c r="K11453" s="5">
        <v>-97.548537999999994</v>
      </c>
      <c r="L11453" s="5" t="str">
        <f>HYPERLINK("https://maps.google.com/?q=15.9847569,-97.548537999999994", "🔗 Ver Mapa")</f>
        <v>🔗 Ver Mapa</v>
      </c>
    </row>
    <row r="11454" spans="1:12" ht="43.5" x14ac:dyDescent="0.35">
      <c r="A11454" s="6" t="s">
        <v>98</v>
      </c>
      <c r="B11454" s="6" t="s">
        <v>99</v>
      </c>
      <c r="C11454" s="6" t="s">
        <v>1994</v>
      </c>
      <c r="D11454" s="6" t="s">
        <v>14</v>
      </c>
      <c r="E11454" s="6" t="s">
        <v>17</v>
      </c>
      <c r="F11454" s="6" t="s">
        <v>46</v>
      </c>
      <c r="G11454" s="6" t="s">
        <v>212</v>
      </c>
      <c r="H11454" s="6" t="s">
        <v>1995</v>
      </c>
      <c r="I11454" s="6" t="s">
        <v>31</v>
      </c>
      <c r="J11454" s="6">
        <v>15.985124799999999</v>
      </c>
      <c r="K11454" s="6">
        <v>-97.548102499999999</v>
      </c>
      <c r="L11454" s="6" t="str">
        <f>HYPERLINK("https://maps.google.com/?q=15.9851248,-97.548102499999999", "🔗 Ver Mapa")</f>
        <v>🔗 Ver Mapa</v>
      </c>
    </row>
    <row r="11455" spans="1:12" ht="43.5" x14ac:dyDescent="0.35">
      <c r="A11455" s="5" t="s">
        <v>98</v>
      </c>
      <c r="B11455" s="5" t="s">
        <v>99</v>
      </c>
      <c r="C11455" s="5" t="s">
        <v>1994</v>
      </c>
      <c r="D11455" s="5" t="s">
        <v>14</v>
      </c>
      <c r="E11455" s="5" t="s">
        <v>17</v>
      </c>
      <c r="F11455" s="5" t="s">
        <v>46</v>
      </c>
      <c r="G11455" s="5" t="s">
        <v>212</v>
      </c>
      <c r="H11455" s="5" t="s">
        <v>1995</v>
      </c>
      <c r="I11455" s="5" t="s">
        <v>31</v>
      </c>
      <c r="J11455" s="5">
        <v>15.985436200000001</v>
      </c>
      <c r="K11455" s="5">
        <v>-97.548850000000002</v>
      </c>
      <c r="L11455" s="5" t="str">
        <f>HYPERLINK("https://maps.google.com/?q=15.9854362,-97.548850000000002", "🔗 Ver Mapa")</f>
        <v>🔗 Ver Mapa</v>
      </c>
    </row>
    <row r="11456" spans="1:12" ht="43.5" x14ac:dyDescent="0.35">
      <c r="A11456" s="6" t="s">
        <v>98</v>
      </c>
      <c r="B11456" s="6" t="s">
        <v>99</v>
      </c>
      <c r="C11456" s="6" t="s">
        <v>1994</v>
      </c>
      <c r="D11456" s="6" t="s">
        <v>14</v>
      </c>
      <c r="E11456" s="6" t="s">
        <v>17</v>
      </c>
      <c r="F11456" s="6" t="s">
        <v>46</v>
      </c>
      <c r="G11456" s="6" t="s">
        <v>212</v>
      </c>
      <c r="H11456" s="6" t="s">
        <v>1995</v>
      </c>
      <c r="I11456" s="6" t="s">
        <v>31</v>
      </c>
      <c r="J11456" s="6">
        <v>15.985955000000001</v>
      </c>
      <c r="K11456" s="6">
        <v>-97.548027899999994</v>
      </c>
      <c r="L11456" s="6" t="str">
        <f>HYPERLINK("https://maps.google.com/?q=15.985955,-97.548027899999994", "🔗 Ver Mapa")</f>
        <v>🔗 Ver Mapa</v>
      </c>
    </row>
    <row r="11457" spans="1:12" ht="43.5" x14ac:dyDescent="0.35">
      <c r="A11457" s="5" t="s">
        <v>98</v>
      </c>
      <c r="B11457" s="5" t="s">
        <v>99</v>
      </c>
      <c r="C11457" s="5" t="s">
        <v>1994</v>
      </c>
      <c r="D11457" s="5" t="s">
        <v>14</v>
      </c>
      <c r="E11457" s="5" t="s">
        <v>17</v>
      </c>
      <c r="F11457" s="5" t="s">
        <v>46</v>
      </c>
      <c r="G11457" s="5" t="s">
        <v>212</v>
      </c>
      <c r="H11457" s="5" t="s">
        <v>1995</v>
      </c>
      <c r="I11457" s="5" t="s">
        <v>31</v>
      </c>
      <c r="J11457" s="5">
        <v>15.986157199999999</v>
      </c>
      <c r="K11457" s="5">
        <v>-97.550836000000004</v>
      </c>
      <c r="L11457" s="5" t="str">
        <f>HYPERLINK("https://maps.google.com/?q=15.9861572,-97.550836000000004", "🔗 Ver Mapa")</f>
        <v>🔗 Ver Mapa</v>
      </c>
    </row>
    <row r="11458" spans="1:12" ht="43.5" x14ac:dyDescent="0.35">
      <c r="A11458" s="6" t="s">
        <v>98</v>
      </c>
      <c r="B11458" s="6" t="s">
        <v>99</v>
      </c>
      <c r="C11458" s="6" t="s">
        <v>1994</v>
      </c>
      <c r="D11458" s="6" t="s">
        <v>14</v>
      </c>
      <c r="E11458" s="6" t="s">
        <v>17</v>
      </c>
      <c r="F11458" s="6" t="s">
        <v>46</v>
      </c>
      <c r="G11458" s="6" t="s">
        <v>212</v>
      </c>
      <c r="H11458" s="6" t="s">
        <v>1995</v>
      </c>
      <c r="I11458" s="6" t="s">
        <v>31</v>
      </c>
      <c r="J11458" s="6">
        <v>15.98669539</v>
      </c>
      <c r="K11458" s="6">
        <v>-97.549132200000003</v>
      </c>
      <c r="L11458" s="6" t="str">
        <f>HYPERLINK("https://maps.google.com/?q=15.98669539,-97.549132200000003", "🔗 Ver Mapa")</f>
        <v>🔗 Ver Mapa</v>
      </c>
    </row>
    <row r="11459" spans="1:12" ht="43.5" x14ac:dyDescent="0.35">
      <c r="A11459" s="5" t="s">
        <v>98</v>
      </c>
      <c r="B11459" s="5" t="s">
        <v>99</v>
      </c>
      <c r="C11459" s="5" t="s">
        <v>1139</v>
      </c>
      <c r="D11459" s="5" t="s">
        <v>14</v>
      </c>
      <c r="E11459" s="5" t="s">
        <v>17</v>
      </c>
      <c r="F11459" s="5" t="s">
        <v>46</v>
      </c>
      <c r="G11459" s="5" t="s">
        <v>212</v>
      </c>
      <c r="H11459" s="5" t="s">
        <v>213</v>
      </c>
      <c r="I11459" s="5" t="s">
        <v>31</v>
      </c>
      <c r="J11459" s="5">
        <v>16.00032113</v>
      </c>
      <c r="K11459" s="5">
        <v>-97.425375840000001</v>
      </c>
      <c r="L11459" s="5" t="str">
        <f>HYPERLINK("https://maps.google.com/?q=16.00032113,-97.425375840000001", "🔗 Ver Mapa")</f>
        <v>🔗 Ver Mapa</v>
      </c>
    </row>
    <row r="11460" spans="1:12" ht="43.5" x14ac:dyDescent="0.35">
      <c r="A11460" s="6" t="s">
        <v>98</v>
      </c>
      <c r="B11460" s="6" t="s">
        <v>99</v>
      </c>
      <c r="C11460" s="6" t="s">
        <v>1139</v>
      </c>
      <c r="D11460" s="6" t="s">
        <v>14</v>
      </c>
      <c r="E11460" s="6" t="s">
        <v>17</v>
      </c>
      <c r="F11460" s="6" t="s">
        <v>46</v>
      </c>
      <c r="G11460" s="6" t="s">
        <v>212</v>
      </c>
      <c r="H11460" s="6" t="s">
        <v>213</v>
      </c>
      <c r="I11460" s="6" t="s">
        <v>31</v>
      </c>
      <c r="J11460" s="6">
        <v>16.001899832279999</v>
      </c>
      <c r="K11460" s="6">
        <v>-97.424542383710005</v>
      </c>
      <c r="L11460" s="6" t="str">
        <f>HYPERLINK("https://maps.google.com/?q=16.0018998322796,-97.424542383709607", "🔗 Ver Mapa")</f>
        <v>🔗 Ver Mapa</v>
      </c>
    </row>
    <row r="11461" spans="1:12" ht="43.5" x14ac:dyDescent="0.35">
      <c r="A11461" s="5" t="s">
        <v>98</v>
      </c>
      <c r="B11461" s="5" t="s">
        <v>99</v>
      </c>
      <c r="C11461" s="5" t="s">
        <v>1139</v>
      </c>
      <c r="D11461" s="5" t="s">
        <v>14</v>
      </c>
      <c r="E11461" s="5" t="s">
        <v>17</v>
      </c>
      <c r="F11461" s="5" t="s">
        <v>46</v>
      </c>
      <c r="G11461" s="5" t="s">
        <v>212</v>
      </c>
      <c r="H11461" s="5" t="s">
        <v>213</v>
      </c>
      <c r="I11461" s="5" t="s">
        <v>31</v>
      </c>
      <c r="J11461" s="5">
        <v>16.002289152221</v>
      </c>
      <c r="K11461" s="5">
        <v>-97.423128859559</v>
      </c>
      <c r="L11461" s="5" t="str">
        <f>HYPERLINK("https://maps.google.com/?q=16.002289152221,-97.423128859559199", "🔗 Ver Mapa")</f>
        <v>🔗 Ver Mapa</v>
      </c>
    </row>
    <row r="11462" spans="1:12" ht="43.5" x14ac:dyDescent="0.35">
      <c r="A11462" s="6" t="s">
        <v>98</v>
      </c>
      <c r="B11462" s="6" t="s">
        <v>99</v>
      </c>
      <c r="C11462" s="6" t="s">
        <v>1139</v>
      </c>
      <c r="D11462" s="6" t="s">
        <v>14</v>
      </c>
      <c r="E11462" s="6" t="s">
        <v>17</v>
      </c>
      <c r="F11462" s="6" t="s">
        <v>46</v>
      </c>
      <c r="G11462" s="6" t="s">
        <v>212</v>
      </c>
      <c r="H11462" s="6" t="s">
        <v>213</v>
      </c>
      <c r="I11462" s="6" t="s">
        <v>31</v>
      </c>
      <c r="J11462" s="6">
        <v>16.003117243489999</v>
      </c>
      <c r="K11462" s="6">
        <v>-97.423708948962002</v>
      </c>
      <c r="L11462" s="6" t="str">
        <f>HYPERLINK("https://maps.google.com/?q=16.0031172434898,-97.423708948962101", "🔗 Ver Mapa")</f>
        <v>🔗 Ver Mapa</v>
      </c>
    </row>
    <row r="11463" spans="1:12" ht="43.5" x14ac:dyDescent="0.35">
      <c r="A11463" s="5" t="s">
        <v>98</v>
      </c>
      <c r="B11463" s="5" t="s">
        <v>99</v>
      </c>
      <c r="C11463" s="5" t="s">
        <v>1139</v>
      </c>
      <c r="D11463" s="5" t="s">
        <v>14</v>
      </c>
      <c r="E11463" s="5" t="s">
        <v>17</v>
      </c>
      <c r="F11463" s="5" t="s">
        <v>46</v>
      </c>
      <c r="G11463" s="5" t="s">
        <v>212</v>
      </c>
      <c r="H11463" s="5" t="s">
        <v>213</v>
      </c>
      <c r="I11463" s="5" t="s">
        <v>31</v>
      </c>
      <c r="J11463" s="5">
        <v>16.003449839340998</v>
      </c>
      <c r="K11463" s="5">
        <v>-97.425143930784998</v>
      </c>
      <c r="L11463" s="5" t="str">
        <f>HYPERLINK("https://maps.google.com/?q=16.0034498393412,-97.425143930785097", "🔗 Ver Mapa")</f>
        <v>🔗 Ver Mapa</v>
      </c>
    </row>
    <row r="11464" spans="1:12" ht="43.5" x14ac:dyDescent="0.35">
      <c r="A11464" s="6" t="s">
        <v>98</v>
      </c>
      <c r="B11464" s="6" t="s">
        <v>99</v>
      </c>
      <c r="C11464" s="6" t="s">
        <v>1139</v>
      </c>
      <c r="D11464" s="6" t="s">
        <v>14</v>
      </c>
      <c r="E11464" s="6" t="s">
        <v>17</v>
      </c>
      <c r="F11464" s="6" t="s">
        <v>46</v>
      </c>
      <c r="G11464" s="6" t="s">
        <v>212</v>
      </c>
      <c r="H11464" s="6" t="s">
        <v>213</v>
      </c>
      <c r="I11464" s="6" t="s">
        <v>31</v>
      </c>
      <c r="J11464" s="6">
        <v>16.004589427129002</v>
      </c>
      <c r="K11464" s="6">
        <v>-97.425599906317998</v>
      </c>
      <c r="L11464" s="6" t="str">
        <f>HYPERLINK("https://maps.google.com/?q=16.0045894271285,-97.425599906318396", "🔗 Ver Mapa")</f>
        <v>🔗 Ver Mapa</v>
      </c>
    </row>
    <row r="11465" spans="1:12" ht="43.5" x14ac:dyDescent="0.35">
      <c r="A11465" s="5" t="s">
        <v>98</v>
      </c>
      <c r="B11465" s="5" t="s">
        <v>99</v>
      </c>
      <c r="C11465" s="5" t="s">
        <v>1139</v>
      </c>
      <c r="D11465" s="5" t="s">
        <v>14</v>
      </c>
      <c r="E11465" s="5" t="s">
        <v>17</v>
      </c>
      <c r="F11465" s="5" t="s">
        <v>46</v>
      </c>
      <c r="G11465" s="5" t="s">
        <v>212</v>
      </c>
      <c r="H11465" s="5" t="s">
        <v>213</v>
      </c>
      <c r="I11465" s="5" t="s">
        <v>31</v>
      </c>
      <c r="J11465" s="5">
        <v>16.005718695491002</v>
      </c>
      <c r="K11465" s="5" t="s">
        <v>1996</v>
      </c>
      <c r="L11465" s="5" t="str">
        <f>HYPERLINK("https://maps.google.com/?q=16.0057186954911, -97.425492675", "🔗 Ver Mapa")</f>
        <v>🔗 Ver Mapa</v>
      </c>
    </row>
    <row r="11466" spans="1:12" ht="43.5" x14ac:dyDescent="0.35">
      <c r="A11466" s="6" t="s">
        <v>98</v>
      </c>
      <c r="B11466" s="6" t="s">
        <v>99</v>
      </c>
      <c r="C11466" s="6" t="s">
        <v>1139</v>
      </c>
      <c r="D11466" s="6" t="s">
        <v>14</v>
      </c>
      <c r="E11466" s="6" t="s">
        <v>17</v>
      </c>
      <c r="F11466" s="6" t="s">
        <v>46</v>
      </c>
      <c r="G11466" s="6" t="s">
        <v>212</v>
      </c>
      <c r="H11466" s="6" t="s">
        <v>213</v>
      </c>
      <c r="I11466" s="6" t="s">
        <v>31</v>
      </c>
      <c r="J11466" s="6">
        <v>16.006018999999998</v>
      </c>
      <c r="K11466" s="6">
        <v>-97.435671999999997</v>
      </c>
      <c r="L11466" s="6" t="str">
        <f>HYPERLINK("https://maps.google.com/?q=16.006019,-97.435671999999997", "🔗 Ver Mapa")</f>
        <v>🔗 Ver Mapa</v>
      </c>
    </row>
    <row r="11467" spans="1:12" ht="43.5" x14ac:dyDescent="0.35">
      <c r="A11467" s="5" t="s">
        <v>98</v>
      </c>
      <c r="B11467" s="5" t="s">
        <v>99</v>
      </c>
      <c r="C11467" s="5" t="s">
        <v>1139</v>
      </c>
      <c r="D11467" s="5" t="s">
        <v>14</v>
      </c>
      <c r="E11467" s="5" t="s">
        <v>17</v>
      </c>
      <c r="F11467" s="5" t="s">
        <v>46</v>
      </c>
      <c r="G11467" s="5" t="s">
        <v>212</v>
      </c>
      <c r="H11467" s="5" t="s">
        <v>213</v>
      </c>
      <c r="I11467" s="5" t="s">
        <v>31</v>
      </c>
      <c r="J11467" s="5">
        <v>16.006248401756999</v>
      </c>
      <c r="K11467" s="5">
        <v>-97.425261101607006</v>
      </c>
      <c r="L11467" s="5" t="str">
        <f>HYPERLINK("https://maps.google.com/?q=16.0062484017572,-97.425261101607006", "🔗 Ver Mapa")</f>
        <v>🔗 Ver Mapa</v>
      </c>
    </row>
    <row r="11468" spans="1:12" ht="43.5" x14ac:dyDescent="0.35">
      <c r="A11468" s="6" t="s">
        <v>98</v>
      </c>
      <c r="B11468" s="6" t="s">
        <v>99</v>
      </c>
      <c r="C11468" s="6" t="s">
        <v>1139</v>
      </c>
      <c r="D11468" s="6" t="s">
        <v>14</v>
      </c>
      <c r="E11468" s="6" t="s">
        <v>17</v>
      </c>
      <c r="F11468" s="6" t="s">
        <v>46</v>
      </c>
      <c r="G11468" s="6" t="s">
        <v>212</v>
      </c>
      <c r="H11468" s="6" t="s">
        <v>213</v>
      </c>
      <c r="I11468" s="6" t="s">
        <v>31</v>
      </c>
      <c r="J11468" s="6">
        <v>16.007584999999999</v>
      </c>
      <c r="K11468" s="6">
        <v>-97.449239000000006</v>
      </c>
      <c r="L11468" s="6" t="str">
        <f>HYPERLINK("https://maps.google.com/?q=16.007585,-97.449239000000006", "🔗 Ver Mapa")</f>
        <v>🔗 Ver Mapa</v>
      </c>
    </row>
    <row r="11469" spans="1:12" ht="43.5" x14ac:dyDescent="0.35">
      <c r="A11469" s="5" t="s">
        <v>98</v>
      </c>
      <c r="B11469" s="5" t="s">
        <v>99</v>
      </c>
      <c r="C11469" s="5" t="s">
        <v>1139</v>
      </c>
      <c r="D11469" s="5" t="s">
        <v>14</v>
      </c>
      <c r="E11469" s="5" t="s">
        <v>17</v>
      </c>
      <c r="F11469" s="5" t="s">
        <v>46</v>
      </c>
      <c r="G11469" s="5" t="s">
        <v>212</v>
      </c>
      <c r="H11469" s="5" t="s">
        <v>213</v>
      </c>
      <c r="I11469" s="5" t="s">
        <v>31</v>
      </c>
      <c r="J11469" s="5">
        <v>16.010650900000002</v>
      </c>
      <c r="K11469" s="5">
        <v>-97.430218400000001</v>
      </c>
      <c r="L11469" s="5" t="str">
        <f>HYPERLINK("https://maps.google.com/?q=16.0106509,-97.430218400000001", "🔗 Ver Mapa")</f>
        <v>🔗 Ver Mapa</v>
      </c>
    </row>
    <row r="11470" spans="1:12" ht="43.5" x14ac:dyDescent="0.35">
      <c r="A11470" s="6" t="s">
        <v>98</v>
      </c>
      <c r="B11470" s="6" t="s">
        <v>99</v>
      </c>
      <c r="C11470" s="6" t="s">
        <v>1139</v>
      </c>
      <c r="D11470" s="6" t="s">
        <v>14</v>
      </c>
      <c r="E11470" s="6" t="s">
        <v>17</v>
      </c>
      <c r="F11470" s="6" t="s">
        <v>46</v>
      </c>
      <c r="G11470" s="6" t="s">
        <v>212</v>
      </c>
      <c r="H11470" s="6" t="s">
        <v>213</v>
      </c>
      <c r="I11470" s="6" t="s">
        <v>31</v>
      </c>
      <c r="J11470" s="6">
        <v>16.011057000000001</v>
      </c>
      <c r="K11470" s="6">
        <v>-97.426958999999997</v>
      </c>
      <c r="L11470" s="6" t="str">
        <f>HYPERLINK("https://maps.google.com/?q=16.011057,-97.426958999999997", "🔗 Ver Mapa")</f>
        <v>🔗 Ver Mapa</v>
      </c>
    </row>
    <row r="11471" spans="1:12" ht="43.5" x14ac:dyDescent="0.35">
      <c r="A11471" s="5" t="s">
        <v>98</v>
      </c>
      <c r="B11471" s="5" t="s">
        <v>99</v>
      </c>
      <c r="C11471" s="5" t="s">
        <v>1139</v>
      </c>
      <c r="D11471" s="5" t="s">
        <v>14</v>
      </c>
      <c r="E11471" s="5" t="s">
        <v>17</v>
      </c>
      <c r="F11471" s="5" t="s">
        <v>46</v>
      </c>
      <c r="G11471" s="5" t="s">
        <v>212</v>
      </c>
      <c r="H11471" s="5" t="s">
        <v>213</v>
      </c>
      <c r="I11471" s="5" t="s">
        <v>31</v>
      </c>
      <c r="J11471" s="5">
        <v>16.011075999999999</v>
      </c>
      <c r="K11471" s="5">
        <v>-97.431156999999999</v>
      </c>
      <c r="L11471" s="5" t="str">
        <f>HYPERLINK("https://maps.google.com/?q=16.011076,-97.431156999999999", "🔗 Ver Mapa")</f>
        <v>🔗 Ver Mapa</v>
      </c>
    </row>
    <row r="11472" spans="1:12" ht="43.5" x14ac:dyDescent="0.35">
      <c r="A11472" s="6" t="s">
        <v>98</v>
      </c>
      <c r="B11472" s="6" t="s">
        <v>99</v>
      </c>
      <c r="C11472" s="6" t="s">
        <v>1139</v>
      </c>
      <c r="D11472" s="6" t="s">
        <v>14</v>
      </c>
      <c r="E11472" s="6" t="s">
        <v>17</v>
      </c>
      <c r="F11472" s="6" t="s">
        <v>46</v>
      </c>
      <c r="G11472" s="6" t="s">
        <v>212</v>
      </c>
      <c r="H11472" s="6" t="s">
        <v>213</v>
      </c>
      <c r="I11472" s="6" t="s">
        <v>31</v>
      </c>
      <c r="J11472" s="6">
        <v>16.011330000000001</v>
      </c>
      <c r="K11472" s="6">
        <v>-97.431441000000007</v>
      </c>
      <c r="L11472" s="6" t="str">
        <f>HYPERLINK("https://maps.google.com/?q=16.01133,-97.431441000000007", "🔗 Ver Mapa")</f>
        <v>🔗 Ver Mapa</v>
      </c>
    </row>
    <row r="11473" spans="1:12" ht="43.5" x14ac:dyDescent="0.35">
      <c r="A11473" s="5" t="s">
        <v>98</v>
      </c>
      <c r="B11473" s="5" t="s">
        <v>99</v>
      </c>
      <c r="C11473" s="5" t="s">
        <v>1139</v>
      </c>
      <c r="D11473" s="5" t="s">
        <v>14</v>
      </c>
      <c r="E11473" s="5" t="s">
        <v>17</v>
      </c>
      <c r="F11473" s="5" t="s">
        <v>46</v>
      </c>
      <c r="G11473" s="5" t="s">
        <v>212</v>
      </c>
      <c r="H11473" s="5" t="s">
        <v>213</v>
      </c>
      <c r="I11473" s="5" t="s">
        <v>31</v>
      </c>
      <c r="J11473" s="5">
        <v>16.012091980785002</v>
      </c>
      <c r="K11473" s="5">
        <v>-97.440078470580005</v>
      </c>
      <c r="L11473" s="5" t="str">
        <f>HYPERLINK("https://maps.google.com/?q=16.0120919807847,-97.440078470580104", "🔗 Ver Mapa")</f>
        <v>🔗 Ver Mapa</v>
      </c>
    </row>
    <row r="11474" spans="1:12" ht="43.5" x14ac:dyDescent="0.35">
      <c r="A11474" s="6" t="s">
        <v>98</v>
      </c>
      <c r="B11474" s="6" t="s">
        <v>99</v>
      </c>
      <c r="C11474" s="6" t="s">
        <v>1997</v>
      </c>
      <c r="D11474" s="6" t="s">
        <v>14</v>
      </c>
      <c r="E11474" s="6" t="s">
        <v>39</v>
      </c>
      <c r="F11474" s="6" t="s">
        <v>353</v>
      </c>
      <c r="G11474" s="6" t="s">
        <v>1998</v>
      </c>
      <c r="H11474" s="6" t="s">
        <v>1999</v>
      </c>
      <c r="I11474" s="6" t="s">
        <v>31</v>
      </c>
      <c r="J11474" s="6">
        <v>16.296679675926999</v>
      </c>
      <c r="K11474" s="6">
        <v>-96.637228999271002</v>
      </c>
      <c r="L11474" s="6" t="str">
        <f>HYPERLINK("https://maps.google.com/?q=16.296679675927,-96.6372289992715", "🔗 Ver Mapa")</f>
        <v>🔗 Ver Mapa</v>
      </c>
    </row>
    <row r="11475" spans="1:12" ht="43.5" x14ac:dyDescent="0.35">
      <c r="A11475" s="5" t="s">
        <v>98</v>
      </c>
      <c r="B11475" s="5" t="s">
        <v>99</v>
      </c>
      <c r="C11475" s="5" t="s">
        <v>1997</v>
      </c>
      <c r="D11475" s="5" t="s">
        <v>14</v>
      </c>
      <c r="E11475" s="5" t="s">
        <v>39</v>
      </c>
      <c r="F11475" s="5" t="s">
        <v>353</v>
      </c>
      <c r="G11475" s="5" t="s">
        <v>1998</v>
      </c>
      <c r="H11475" s="5" t="s">
        <v>1999</v>
      </c>
      <c r="I11475" s="5" t="s">
        <v>31</v>
      </c>
      <c r="J11475" s="5">
        <v>16.299579133637</v>
      </c>
      <c r="K11475" s="5">
        <v>-96.637852074343996</v>
      </c>
      <c r="L11475" s="5" t="str">
        <f>HYPERLINK("https://maps.google.com/?q=16.2995791336374,-96.637852074344494", "🔗 Ver Mapa")</f>
        <v>🔗 Ver Mapa</v>
      </c>
    </row>
    <row r="11476" spans="1:12" ht="43.5" x14ac:dyDescent="0.35">
      <c r="A11476" s="6" t="s">
        <v>98</v>
      </c>
      <c r="B11476" s="6" t="s">
        <v>99</v>
      </c>
      <c r="C11476" s="6" t="s">
        <v>1997</v>
      </c>
      <c r="D11476" s="6" t="s">
        <v>14</v>
      </c>
      <c r="E11476" s="6" t="s">
        <v>39</v>
      </c>
      <c r="F11476" s="6" t="s">
        <v>353</v>
      </c>
      <c r="G11476" s="6" t="s">
        <v>1998</v>
      </c>
      <c r="H11476" s="6" t="s">
        <v>1999</v>
      </c>
      <c r="I11476" s="6" t="s">
        <v>31</v>
      </c>
      <c r="J11476" s="6">
        <v>16.299615050073999</v>
      </c>
      <c r="K11476" s="6">
        <v>-96.641489000351996</v>
      </c>
      <c r="L11476" s="6" t="str">
        <f>HYPERLINK("https://maps.google.com/?q=16.2996150500743,-96.641489000351996", "🔗 Ver Mapa")</f>
        <v>🔗 Ver Mapa</v>
      </c>
    </row>
    <row r="11477" spans="1:12" ht="43.5" x14ac:dyDescent="0.35">
      <c r="A11477" s="5" t="s">
        <v>98</v>
      </c>
      <c r="B11477" s="5" t="s">
        <v>99</v>
      </c>
      <c r="C11477" s="5" t="s">
        <v>1997</v>
      </c>
      <c r="D11477" s="5" t="s">
        <v>14</v>
      </c>
      <c r="E11477" s="5" t="s">
        <v>39</v>
      </c>
      <c r="F11477" s="5" t="s">
        <v>353</v>
      </c>
      <c r="G11477" s="5" t="s">
        <v>1998</v>
      </c>
      <c r="H11477" s="5" t="s">
        <v>1999</v>
      </c>
      <c r="I11477" s="5" t="s">
        <v>31</v>
      </c>
      <c r="J11477" s="5">
        <v>16.299690994961999</v>
      </c>
      <c r="K11477" s="5">
        <v>-96.641593606504003</v>
      </c>
      <c r="L11477" s="5" t="str">
        <f>HYPERLINK("https://maps.google.com/?q=16.2996909949617,-96.641593606503605", "🔗 Ver Mapa")</f>
        <v>🔗 Ver Mapa</v>
      </c>
    </row>
    <row r="11478" spans="1:12" ht="43.5" x14ac:dyDescent="0.35">
      <c r="A11478" s="6" t="s">
        <v>98</v>
      </c>
      <c r="B11478" s="6" t="s">
        <v>99</v>
      </c>
      <c r="C11478" s="6" t="s">
        <v>1997</v>
      </c>
      <c r="D11478" s="6" t="s">
        <v>14</v>
      </c>
      <c r="E11478" s="6" t="s">
        <v>39</v>
      </c>
      <c r="F11478" s="6" t="s">
        <v>353</v>
      </c>
      <c r="G11478" s="6" t="s">
        <v>1998</v>
      </c>
      <c r="H11478" s="6" t="s">
        <v>1999</v>
      </c>
      <c r="I11478" s="6" t="s">
        <v>31</v>
      </c>
      <c r="J11478" s="6">
        <v>16.300580235336</v>
      </c>
      <c r="K11478" s="6">
        <v>-96.638291788559002</v>
      </c>
      <c r="L11478" s="6" t="str">
        <f>HYPERLINK("https://maps.google.com/?q=16.3005802353362,-96.638291788559201", "🔗 Ver Mapa")</f>
        <v>🔗 Ver Mapa</v>
      </c>
    </row>
    <row r="11479" spans="1:12" ht="43.5" x14ac:dyDescent="0.35">
      <c r="A11479" s="5" t="s">
        <v>98</v>
      </c>
      <c r="B11479" s="5" t="s">
        <v>99</v>
      </c>
      <c r="C11479" s="5" t="s">
        <v>1997</v>
      </c>
      <c r="D11479" s="5" t="s">
        <v>14</v>
      </c>
      <c r="E11479" s="5" t="s">
        <v>39</v>
      </c>
      <c r="F11479" s="5" t="s">
        <v>353</v>
      </c>
      <c r="G11479" s="5" t="s">
        <v>1998</v>
      </c>
      <c r="H11479" s="5" t="s">
        <v>1999</v>
      </c>
      <c r="I11479" s="5" t="s">
        <v>31</v>
      </c>
      <c r="J11479" s="5">
        <v>16.301360740204998</v>
      </c>
      <c r="K11479" s="5">
        <v>-96.636941373127996</v>
      </c>
      <c r="L11479" s="5" t="str">
        <f>HYPERLINK("https://maps.google.com/?q=16.3013607402047,-96.636941373128295", "🔗 Ver Mapa")</f>
        <v>🔗 Ver Mapa</v>
      </c>
    </row>
    <row r="11480" spans="1:12" ht="43.5" x14ac:dyDescent="0.35">
      <c r="A11480" s="6" t="s">
        <v>98</v>
      </c>
      <c r="B11480" s="6" t="s">
        <v>99</v>
      </c>
      <c r="C11480" s="6" t="s">
        <v>1997</v>
      </c>
      <c r="D11480" s="6" t="s">
        <v>14</v>
      </c>
      <c r="E11480" s="6" t="s">
        <v>39</v>
      </c>
      <c r="F11480" s="6" t="s">
        <v>353</v>
      </c>
      <c r="G11480" s="6" t="s">
        <v>1998</v>
      </c>
      <c r="H11480" s="6" t="s">
        <v>1999</v>
      </c>
      <c r="I11480" s="6" t="s">
        <v>31</v>
      </c>
      <c r="J11480" s="6">
        <v>16.301684494890999</v>
      </c>
      <c r="K11480" s="6">
        <v>-96.642708444906006</v>
      </c>
      <c r="L11480" s="6" t="str">
        <f>HYPERLINK("https://maps.google.com/?q=16.3016844948911,-96.642708444905693", "🔗 Ver Mapa")</f>
        <v>🔗 Ver Mapa</v>
      </c>
    </row>
    <row r="11481" spans="1:12" ht="43.5" x14ac:dyDescent="0.35">
      <c r="A11481" s="5" t="s">
        <v>98</v>
      </c>
      <c r="B11481" s="5" t="s">
        <v>99</v>
      </c>
      <c r="C11481" s="5" t="s">
        <v>1997</v>
      </c>
      <c r="D11481" s="5" t="s">
        <v>14</v>
      </c>
      <c r="E11481" s="5" t="s">
        <v>39</v>
      </c>
      <c r="F11481" s="5" t="s">
        <v>353</v>
      </c>
      <c r="G11481" s="5" t="s">
        <v>1998</v>
      </c>
      <c r="H11481" s="5" t="s">
        <v>1999</v>
      </c>
      <c r="I11481" s="5" t="s">
        <v>31</v>
      </c>
      <c r="J11481" s="5">
        <v>16.302019389889001</v>
      </c>
      <c r="K11481" s="5">
        <v>-96.641484149166999</v>
      </c>
      <c r="L11481" s="5" t="str">
        <f>HYPERLINK("https://maps.google.com/?q=16.3020193898886,-96.641484149167397", "🔗 Ver Mapa")</f>
        <v>🔗 Ver Mapa</v>
      </c>
    </row>
    <row r="11482" spans="1:12" ht="43.5" x14ac:dyDescent="0.35">
      <c r="A11482" s="6" t="s">
        <v>98</v>
      </c>
      <c r="B11482" s="6" t="s">
        <v>99</v>
      </c>
      <c r="C11482" s="6" t="s">
        <v>1997</v>
      </c>
      <c r="D11482" s="6" t="s">
        <v>14</v>
      </c>
      <c r="E11482" s="6" t="s">
        <v>39</v>
      </c>
      <c r="F11482" s="6" t="s">
        <v>353</v>
      </c>
      <c r="G11482" s="6" t="s">
        <v>1998</v>
      </c>
      <c r="H11482" s="6" t="s">
        <v>1999</v>
      </c>
      <c r="I11482" s="6" t="s">
        <v>31</v>
      </c>
      <c r="J11482" s="6">
        <v>16.302072691802</v>
      </c>
      <c r="K11482" s="6">
        <v>-96.643836319345994</v>
      </c>
      <c r="L11482" s="6" t="str">
        <f>HYPERLINK("https://maps.google.com/?q=16.3020726918024,-96.643836319345695", "🔗 Ver Mapa")</f>
        <v>🔗 Ver Mapa</v>
      </c>
    </row>
    <row r="11483" spans="1:12" ht="43.5" x14ac:dyDescent="0.35">
      <c r="A11483" s="5" t="s">
        <v>98</v>
      </c>
      <c r="B11483" s="5" t="s">
        <v>99</v>
      </c>
      <c r="C11483" s="5" t="s">
        <v>1997</v>
      </c>
      <c r="D11483" s="5" t="s">
        <v>14</v>
      </c>
      <c r="E11483" s="5" t="s">
        <v>39</v>
      </c>
      <c r="F11483" s="5" t="s">
        <v>353</v>
      </c>
      <c r="G11483" s="5" t="s">
        <v>1998</v>
      </c>
      <c r="H11483" s="5" t="s">
        <v>1999</v>
      </c>
      <c r="I11483" s="5" t="s">
        <v>31</v>
      </c>
      <c r="J11483" s="5">
        <v>16.302234908995999</v>
      </c>
      <c r="K11483" s="5">
        <v>-96.640828367832995</v>
      </c>
      <c r="L11483" s="5" t="str">
        <f>HYPERLINK("https://maps.google.com/?q=16.3022349089955,-96.640828367833294", "🔗 Ver Mapa")</f>
        <v>🔗 Ver Mapa</v>
      </c>
    </row>
    <row r="11484" spans="1:12" ht="43.5" x14ac:dyDescent="0.35">
      <c r="A11484" s="6" t="s">
        <v>98</v>
      </c>
      <c r="B11484" s="6" t="s">
        <v>99</v>
      </c>
      <c r="C11484" s="6" t="s">
        <v>1997</v>
      </c>
      <c r="D11484" s="6" t="s">
        <v>14</v>
      </c>
      <c r="E11484" s="6" t="s">
        <v>39</v>
      </c>
      <c r="F11484" s="6" t="s">
        <v>353</v>
      </c>
      <c r="G11484" s="6" t="s">
        <v>1998</v>
      </c>
      <c r="H11484" s="6" t="s">
        <v>1999</v>
      </c>
      <c r="I11484" s="6" t="s">
        <v>31</v>
      </c>
      <c r="J11484" s="6">
        <v>16.302771074268001</v>
      </c>
      <c r="K11484" s="6">
        <v>-96.642440146251005</v>
      </c>
      <c r="L11484" s="6" t="str">
        <f>HYPERLINK("https://maps.google.com/?q=16.3027710742685,-96.642440146251204", "🔗 Ver Mapa")</f>
        <v>🔗 Ver Mapa</v>
      </c>
    </row>
    <row r="11485" spans="1:12" ht="43.5" x14ac:dyDescent="0.35">
      <c r="A11485" s="5" t="s">
        <v>98</v>
      </c>
      <c r="B11485" s="5" t="s">
        <v>99</v>
      </c>
      <c r="C11485" s="5" t="s">
        <v>1997</v>
      </c>
      <c r="D11485" s="5" t="s">
        <v>14</v>
      </c>
      <c r="E11485" s="5" t="s">
        <v>39</v>
      </c>
      <c r="F11485" s="5" t="s">
        <v>353</v>
      </c>
      <c r="G11485" s="5" t="s">
        <v>1998</v>
      </c>
      <c r="H11485" s="5" t="s">
        <v>1999</v>
      </c>
      <c r="I11485" s="5" t="s">
        <v>31</v>
      </c>
      <c r="J11485" s="5">
        <v>16.303485399056999</v>
      </c>
      <c r="K11485" s="5">
        <v>-96.649217782169003</v>
      </c>
      <c r="L11485" s="5" t="str">
        <f>HYPERLINK("https://maps.google.com/?q=16.3034853990573,-96.649217782168705", "🔗 Ver Mapa")</f>
        <v>🔗 Ver Mapa</v>
      </c>
    </row>
    <row r="11486" spans="1:12" ht="43.5" x14ac:dyDescent="0.35">
      <c r="A11486" s="6" t="s">
        <v>98</v>
      </c>
      <c r="B11486" s="6" t="s">
        <v>99</v>
      </c>
      <c r="C11486" s="6" t="s">
        <v>1997</v>
      </c>
      <c r="D11486" s="6" t="s">
        <v>14</v>
      </c>
      <c r="E11486" s="6" t="s">
        <v>39</v>
      </c>
      <c r="F11486" s="6" t="s">
        <v>353</v>
      </c>
      <c r="G11486" s="6" t="s">
        <v>1998</v>
      </c>
      <c r="H11486" s="6" t="s">
        <v>1999</v>
      </c>
      <c r="I11486" s="6" t="s">
        <v>31</v>
      </c>
      <c r="J11486" s="6">
        <v>16.304381619861999</v>
      </c>
      <c r="K11486" s="6">
        <v>-96.651347622336999</v>
      </c>
      <c r="L11486" s="6" t="str">
        <f>HYPERLINK("https://maps.google.com/?q=16.3043816198622,-96.651347622337298", "🔗 Ver Mapa")</f>
        <v>🔗 Ver Mapa</v>
      </c>
    </row>
    <row r="11487" spans="1:12" ht="43.5" x14ac:dyDescent="0.35">
      <c r="A11487" s="5" t="s">
        <v>98</v>
      </c>
      <c r="B11487" s="5" t="s">
        <v>99</v>
      </c>
      <c r="C11487" s="5" t="s">
        <v>1997</v>
      </c>
      <c r="D11487" s="5" t="s">
        <v>14</v>
      </c>
      <c r="E11487" s="5" t="s">
        <v>39</v>
      </c>
      <c r="F11487" s="5" t="s">
        <v>353</v>
      </c>
      <c r="G11487" s="5" t="s">
        <v>1998</v>
      </c>
      <c r="H11487" s="5" t="s">
        <v>1999</v>
      </c>
      <c r="I11487" s="5" t="s">
        <v>31</v>
      </c>
      <c r="J11487" s="5">
        <v>16.304914507688999</v>
      </c>
      <c r="K11487" s="5">
        <v>-96.651704356135994</v>
      </c>
      <c r="L11487" s="5" t="str">
        <f>HYPERLINK("https://maps.google.com/?q=16.3049145076888,-96.651704356136193", "🔗 Ver Mapa")</f>
        <v>🔗 Ver Mapa</v>
      </c>
    </row>
    <row r="11488" spans="1:12" ht="43.5" x14ac:dyDescent="0.35">
      <c r="A11488" s="6" t="s">
        <v>98</v>
      </c>
      <c r="B11488" s="6" t="s">
        <v>99</v>
      </c>
      <c r="C11488" s="6" t="s">
        <v>1997</v>
      </c>
      <c r="D11488" s="6" t="s">
        <v>14</v>
      </c>
      <c r="E11488" s="6" t="s">
        <v>39</v>
      </c>
      <c r="F11488" s="6" t="s">
        <v>353</v>
      </c>
      <c r="G11488" s="6" t="s">
        <v>1998</v>
      </c>
      <c r="H11488" s="6" t="s">
        <v>1999</v>
      </c>
      <c r="I11488" s="6" t="s">
        <v>31</v>
      </c>
      <c r="J11488" s="6">
        <v>16.305621239676</v>
      </c>
      <c r="K11488" s="6">
        <v>-96.649483132333998</v>
      </c>
      <c r="L11488" s="6" t="str">
        <f>HYPERLINK("https://maps.google.com/?q=16.3056212396761,-96.649483132333501", "🔗 Ver Mapa")</f>
        <v>🔗 Ver Mapa</v>
      </c>
    </row>
    <row r="11489" spans="1:12" ht="43.5" x14ac:dyDescent="0.35">
      <c r="A11489" s="5" t="s">
        <v>98</v>
      </c>
      <c r="B11489" s="5" t="s">
        <v>99</v>
      </c>
      <c r="C11489" s="5" t="s">
        <v>1997</v>
      </c>
      <c r="D11489" s="5" t="s">
        <v>14</v>
      </c>
      <c r="E11489" s="5" t="s">
        <v>39</v>
      </c>
      <c r="F11489" s="5" t="s">
        <v>353</v>
      </c>
      <c r="G11489" s="5" t="s">
        <v>1998</v>
      </c>
      <c r="H11489" s="5" t="s">
        <v>1999</v>
      </c>
      <c r="I11489" s="5" t="s">
        <v>31</v>
      </c>
      <c r="J11489" s="5">
        <v>16.306287266102</v>
      </c>
      <c r="K11489" s="5">
        <v>-96.638872873682999</v>
      </c>
      <c r="L11489" s="5" t="str">
        <f>HYPERLINK("https://maps.google.com/?q=16.3062872661018,-96.638872873683397", "🔗 Ver Mapa")</f>
        <v>🔗 Ver Mapa</v>
      </c>
    </row>
    <row r="11490" spans="1:12" ht="43.5" x14ac:dyDescent="0.35">
      <c r="A11490" s="6" t="s">
        <v>98</v>
      </c>
      <c r="B11490" s="6" t="s">
        <v>99</v>
      </c>
      <c r="C11490" s="6" t="s">
        <v>1997</v>
      </c>
      <c r="D11490" s="6" t="s">
        <v>14</v>
      </c>
      <c r="E11490" s="6" t="s">
        <v>39</v>
      </c>
      <c r="F11490" s="6" t="s">
        <v>353</v>
      </c>
      <c r="G11490" s="6" t="s">
        <v>1998</v>
      </c>
      <c r="H11490" s="6" t="s">
        <v>1999</v>
      </c>
      <c r="I11490" s="6" t="s">
        <v>31</v>
      </c>
      <c r="J11490" s="6">
        <v>16.306801247873999</v>
      </c>
      <c r="K11490" s="6">
        <v>-96.635651389661007</v>
      </c>
      <c r="L11490" s="6" t="str">
        <f>HYPERLINK("https://maps.google.com/?q=16.3068012478742,-96.635651389661405", "🔗 Ver Mapa")</f>
        <v>🔗 Ver Mapa</v>
      </c>
    </row>
    <row r="11491" spans="1:12" ht="43.5" x14ac:dyDescent="0.35">
      <c r="A11491" s="5" t="s">
        <v>98</v>
      </c>
      <c r="B11491" s="5" t="s">
        <v>99</v>
      </c>
      <c r="C11491" s="5" t="s">
        <v>1997</v>
      </c>
      <c r="D11491" s="5" t="s">
        <v>14</v>
      </c>
      <c r="E11491" s="5" t="s">
        <v>39</v>
      </c>
      <c r="F11491" s="5" t="s">
        <v>353</v>
      </c>
      <c r="G11491" s="5" t="s">
        <v>1998</v>
      </c>
      <c r="H11491" s="5" t="s">
        <v>1999</v>
      </c>
      <c r="I11491" s="5" t="s">
        <v>31</v>
      </c>
      <c r="J11491" s="5">
        <v>16.307505736307998</v>
      </c>
      <c r="K11491" s="5">
        <v>-96.634916995271993</v>
      </c>
      <c r="L11491" s="5" t="str">
        <f>HYPERLINK("https://maps.google.com/?q=16.3075057363081,-96.634916995272306", "🔗 Ver Mapa")</f>
        <v>🔗 Ver Mapa</v>
      </c>
    </row>
    <row r="11492" spans="1:12" ht="43.5" x14ac:dyDescent="0.35">
      <c r="A11492" s="6" t="s">
        <v>98</v>
      </c>
      <c r="B11492" s="6" t="s">
        <v>99</v>
      </c>
      <c r="C11492" s="6" t="s">
        <v>1997</v>
      </c>
      <c r="D11492" s="6" t="s">
        <v>14</v>
      </c>
      <c r="E11492" s="6" t="s">
        <v>39</v>
      </c>
      <c r="F11492" s="6" t="s">
        <v>353</v>
      </c>
      <c r="G11492" s="6" t="s">
        <v>1998</v>
      </c>
      <c r="H11492" s="6" t="s">
        <v>1999</v>
      </c>
      <c r="I11492" s="6" t="s">
        <v>31</v>
      </c>
      <c r="J11492" s="6">
        <v>16.307797279489002</v>
      </c>
      <c r="K11492" s="6">
        <v>-96.638453699463994</v>
      </c>
      <c r="L11492" s="6" t="str">
        <f>HYPERLINK("https://maps.google.com/?q=16.3077972794894,-96.638453699464094", "🔗 Ver Mapa")</f>
        <v>🔗 Ver Mapa</v>
      </c>
    </row>
    <row r="11493" spans="1:12" ht="43.5" x14ac:dyDescent="0.35">
      <c r="A11493" s="5" t="s">
        <v>98</v>
      </c>
      <c r="B11493" s="5" t="s">
        <v>99</v>
      </c>
      <c r="C11493" s="5" t="s">
        <v>1997</v>
      </c>
      <c r="D11493" s="5" t="s">
        <v>14</v>
      </c>
      <c r="E11493" s="5" t="s">
        <v>39</v>
      </c>
      <c r="F11493" s="5" t="s">
        <v>353</v>
      </c>
      <c r="G11493" s="5" t="s">
        <v>1998</v>
      </c>
      <c r="H11493" s="5" t="s">
        <v>1999</v>
      </c>
      <c r="I11493" s="5" t="s">
        <v>31</v>
      </c>
      <c r="J11493" s="5">
        <v>16.308346242923999</v>
      </c>
      <c r="K11493" s="5">
        <v>-96.643956158788001</v>
      </c>
      <c r="L11493" s="5" t="str">
        <f>HYPERLINK("https://maps.google.com/?q=16.3083462429237,-96.643956158787901", "🔗 Ver Mapa")</f>
        <v>🔗 Ver Mapa</v>
      </c>
    </row>
    <row r="11494" spans="1:12" ht="43.5" x14ac:dyDescent="0.35">
      <c r="A11494" s="6" t="s">
        <v>98</v>
      </c>
      <c r="B11494" s="6" t="s">
        <v>99</v>
      </c>
      <c r="C11494" s="6" t="s">
        <v>1997</v>
      </c>
      <c r="D11494" s="6" t="s">
        <v>14</v>
      </c>
      <c r="E11494" s="6" t="s">
        <v>39</v>
      </c>
      <c r="F11494" s="6" t="s">
        <v>353</v>
      </c>
      <c r="G11494" s="6" t="s">
        <v>1998</v>
      </c>
      <c r="H11494" s="6" t="s">
        <v>1999</v>
      </c>
      <c r="I11494" s="6" t="s">
        <v>31</v>
      </c>
      <c r="J11494" s="6">
        <v>16.308506026134999</v>
      </c>
      <c r="K11494" s="6">
        <v>-96.649207205286004</v>
      </c>
      <c r="L11494" s="6" t="str">
        <f>HYPERLINK("https://maps.google.com/?q=16.3085060261353,-96.649207205285904", "🔗 Ver Mapa")</f>
        <v>🔗 Ver Mapa</v>
      </c>
    </row>
    <row r="11495" spans="1:12" ht="43.5" x14ac:dyDescent="0.35">
      <c r="A11495" s="5" t="s">
        <v>98</v>
      </c>
      <c r="B11495" s="5" t="s">
        <v>99</v>
      </c>
      <c r="C11495" s="5" t="s">
        <v>1997</v>
      </c>
      <c r="D11495" s="5" t="s">
        <v>14</v>
      </c>
      <c r="E11495" s="5" t="s">
        <v>39</v>
      </c>
      <c r="F11495" s="5" t="s">
        <v>353</v>
      </c>
      <c r="G11495" s="5" t="s">
        <v>1998</v>
      </c>
      <c r="H11495" s="5" t="s">
        <v>1999</v>
      </c>
      <c r="I11495" s="5" t="s">
        <v>31</v>
      </c>
      <c r="J11495" s="5">
        <v>16.308665979741999</v>
      </c>
      <c r="K11495" s="5">
        <v>-96.651458790161996</v>
      </c>
      <c r="L11495" s="5" t="str">
        <f>HYPERLINK("https://maps.google.com/?q=16.3086659797418,-96.651458790161797", "🔗 Ver Mapa")</f>
        <v>🔗 Ver Mapa</v>
      </c>
    </row>
    <row r="11496" spans="1:12" ht="43.5" x14ac:dyDescent="0.35">
      <c r="A11496" s="6" t="s">
        <v>98</v>
      </c>
      <c r="B11496" s="6" t="s">
        <v>99</v>
      </c>
      <c r="C11496" s="6" t="s">
        <v>1997</v>
      </c>
      <c r="D11496" s="6" t="s">
        <v>14</v>
      </c>
      <c r="E11496" s="6" t="s">
        <v>39</v>
      </c>
      <c r="F11496" s="6" t="s">
        <v>353</v>
      </c>
      <c r="G11496" s="6" t="s">
        <v>1998</v>
      </c>
      <c r="H11496" s="6" t="s">
        <v>1999</v>
      </c>
      <c r="I11496" s="6" t="s">
        <v>31</v>
      </c>
      <c r="J11496" s="6">
        <v>16.308961188038001</v>
      </c>
      <c r="K11496" s="6">
        <v>-96.649003809925006</v>
      </c>
      <c r="L11496" s="6" t="str">
        <f>HYPERLINK("https://maps.google.com/?q=16.3089611880378,-96.649003809924807", "🔗 Ver Mapa")</f>
        <v>🔗 Ver Mapa</v>
      </c>
    </row>
    <row r="11497" spans="1:12" ht="43.5" x14ac:dyDescent="0.35">
      <c r="A11497" s="5" t="s">
        <v>98</v>
      </c>
      <c r="B11497" s="5" t="s">
        <v>99</v>
      </c>
      <c r="C11497" s="5" t="s">
        <v>1997</v>
      </c>
      <c r="D11497" s="5" t="s">
        <v>14</v>
      </c>
      <c r="E11497" s="5" t="s">
        <v>39</v>
      </c>
      <c r="F11497" s="5" t="s">
        <v>353</v>
      </c>
      <c r="G11497" s="5" t="s">
        <v>1998</v>
      </c>
      <c r="H11497" s="5" t="s">
        <v>1999</v>
      </c>
      <c r="I11497" s="5" t="s">
        <v>31</v>
      </c>
      <c r="J11497" s="5">
        <v>16.309833592246999</v>
      </c>
      <c r="K11497" s="5">
        <v>-96.634498618405999</v>
      </c>
      <c r="L11497" s="5" t="str">
        <f>HYPERLINK("https://maps.google.com/?q=16.3098335922466,-96.634498618406496", "🔗 Ver Mapa")</f>
        <v>🔗 Ver Mapa</v>
      </c>
    </row>
    <row r="11498" spans="1:12" ht="43.5" x14ac:dyDescent="0.35">
      <c r="A11498" s="6" t="s">
        <v>98</v>
      </c>
      <c r="B11498" s="6" t="s">
        <v>99</v>
      </c>
      <c r="C11498" s="6" t="s">
        <v>1997</v>
      </c>
      <c r="D11498" s="6" t="s">
        <v>14</v>
      </c>
      <c r="E11498" s="6" t="s">
        <v>39</v>
      </c>
      <c r="F11498" s="6" t="s">
        <v>353</v>
      </c>
      <c r="G11498" s="6" t="s">
        <v>1998</v>
      </c>
      <c r="H11498" s="6" t="s">
        <v>1999</v>
      </c>
      <c r="I11498" s="6" t="s">
        <v>31</v>
      </c>
      <c r="J11498" s="6">
        <v>16.309909331147001</v>
      </c>
      <c r="K11498" s="6">
        <v>-96.653539779278006</v>
      </c>
      <c r="L11498" s="6" t="str">
        <f>HYPERLINK("https://maps.google.com/?q=16.3099093311473,-96.653539779278105", "🔗 Ver Mapa")</f>
        <v>🔗 Ver Mapa</v>
      </c>
    </row>
    <row r="11499" spans="1:12" ht="43.5" x14ac:dyDescent="0.35">
      <c r="A11499" s="5" t="s">
        <v>98</v>
      </c>
      <c r="B11499" s="5" t="s">
        <v>99</v>
      </c>
      <c r="C11499" s="5" t="s">
        <v>2000</v>
      </c>
      <c r="D11499" s="5" t="s">
        <v>14</v>
      </c>
      <c r="E11499" s="5" t="s">
        <v>52</v>
      </c>
      <c r="F11499" s="5" t="s">
        <v>421</v>
      </c>
      <c r="G11499" s="5" t="s">
        <v>2001</v>
      </c>
      <c r="H11499" s="5" t="s">
        <v>2002</v>
      </c>
      <c r="I11499" s="5" t="s">
        <v>31</v>
      </c>
      <c r="J11499" s="5">
        <v>16.608387251720998</v>
      </c>
      <c r="K11499" s="5">
        <v>-96.847235592933004</v>
      </c>
      <c r="L11499" s="5" t="str">
        <f>HYPERLINK("https://maps.google.com/?q=16.6083872517212,-96.847235592932506", "🔗 Ver Mapa")</f>
        <v>🔗 Ver Mapa</v>
      </c>
    </row>
    <row r="11500" spans="1:12" ht="43.5" x14ac:dyDescent="0.35">
      <c r="A11500" s="6" t="s">
        <v>98</v>
      </c>
      <c r="B11500" s="6" t="s">
        <v>99</v>
      </c>
      <c r="C11500" s="6" t="s">
        <v>2000</v>
      </c>
      <c r="D11500" s="6" t="s">
        <v>14</v>
      </c>
      <c r="E11500" s="6" t="s">
        <v>52</v>
      </c>
      <c r="F11500" s="6" t="s">
        <v>421</v>
      </c>
      <c r="G11500" s="6" t="s">
        <v>2001</v>
      </c>
      <c r="H11500" s="6" t="s">
        <v>2002</v>
      </c>
      <c r="I11500" s="6" t="s">
        <v>31</v>
      </c>
      <c r="J11500" s="6">
        <v>16.608721054463999</v>
      </c>
      <c r="K11500" s="6">
        <v>-96.850601010138007</v>
      </c>
      <c r="L11500" s="6" t="str">
        <f>HYPERLINK("https://maps.google.com/?q=16.6087210544645,-96.850601010138007", "🔗 Ver Mapa")</f>
        <v>🔗 Ver Mapa</v>
      </c>
    </row>
    <row r="11501" spans="1:12" ht="43.5" x14ac:dyDescent="0.35">
      <c r="A11501" s="5" t="s">
        <v>98</v>
      </c>
      <c r="B11501" s="5" t="s">
        <v>99</v>
      </c>
      <c r="C11501" s="5" t="s">
        <v>2000</v>
      </c>
      <c r="D11501" s="5" t="s">
        <v>14</v>
      </c>
      <c r="E11501" s="5" t="s">
        <v>52</v>
      </c>
      <c r="F11501" s="5" t="s">
        <v>421</v>
      </c>
      <c r="G11501" s="5" t="s">
        <v>2001</v>
      </c>
      <c r="H11501" s="5" t="s">
        <v>2002</v>
      </c>
      <c r="I11501" s="5" t="s">
        <v>31</v>
      </c>
      <c r="J11501" s="5">
        <v>16.608836010221999</v>
      </c>
      <c r="K11501" s="5">
        <v>-96.848798760736003</v>
      </c>
      <c r="L11501" s="5" t="str">
        <f>HYPERLINK("https://maps.google.com/?q=16.6088360102221,-96.848798760735605", "🔗 Ver Mapa")</f>
        <v>🔗 Ver Mapa</v>
      </c>
    </row>
    <row r="11502" spans="1:12" ht="43.5" x14ac:dyDescent="0.35">
      <c r="A11502" s="6" t="s">
        <v>98</v>
      </c>
      <c r="B11502" s="6" t="s">
        <v>99</v>
      </c>
      <c r="C11502" s="6" t="s">
        <v>2000</v>
      </c>
      <c r="D11502" s="6" t="s">
        <v>14</v>
      </c>
      <c r="E11502" s="6" t="s">
        <v>52</v>
      </c>
      <c r="F11502" s="6" t="s">
        <v>421</v>
      </c>
      <c r="G11502" s="6" t="s">
        <v>2001</v>
      </c>
      <c r="H11502" s="6" t="s">
        <v>2002</v>
      </c>
      <c r="I11502" s="6" t="s">
        <v>31</v>
      </c>
      <c r="J11502" s="6">
        <v>16.608994153173999</v>
      </c>
      <c r="K11502" s="6">
        <v>-96.849156619975005</v>
      </c>
      <c r="L11502" s="6" t="str">
        <f>HYPERLINK("https://maps.google.com/?q=16.6089941531735,-96.849156619975204", "🔗 Ver Mapa")</f>
        <v>🔗 Ver Mapa</v>
      </c>
    </row>
    <row r="11503" spans="1:12" ht="43.5" x14ac:dyDescent="0.35">
      <c r="A11503" s="5" t="s">
        <v>98</v>
      </c>
      <c r="B11503" s="5" t="s">
        <v>99</v>
      </c>
      <c r="C11503" s="5" t="s">
        <v>2000</v>
      </c>
      <c r="D11503" s="5" t="s">
        <v>14</v>
      </c>
      <c r="E11503" s="5" t="s">
        <v>52</v>
      </c>
      <c r="F11503" s="5" t="s">
        <v>421</v>
      </c>
      <c r="G11503" s="5" t="s">
        <v>2001</v>
      </c>
      <c r="H11503" s="5" t="s">
        <v>2002</v>
      </c>
      <c r="I11503" s="5" t="s">
        <v>31</v>
      </c>
      <c r="J11503" s="5">
        <v>16.609637289870001</v>
      </c>
      <c r="K11503" s="5">
        <v>-96.850348068008998</v>
      </c>
      <c r="L11503" s="5" t="str">
        <f>HYPERLINK("https://maps.google.com/?q=16.6096372898697,-96.850348068009495", "🔗 Ver Mapa")</f>
        <v>🔗 Ver Mapa</v>
      </c>
    </row>
    <row r="11504" spans="1:12" ht="43.5" x14ac:dyDescent="0.35">
      <c r="A11504" s="6" t="s">
        <v>98</v>
      </c>
      <c r="B11504" s="6" t="s">
        <v>99</v>
      </c>
      <c r="C11504" s="6" t="s">
        <v>2000</v>
      </c>
      <c r="D11504" s="6" t="s">
        <v>14</v>
      </c>
      <c r="E11504" s="6" t="s">
        <v>52</v>
      </c>
      <c r="F11504" s="6" t="s">
        <v>421</v>
      </c>
      <c r="G11504" s="6" t="s">
        <v>2001</v>
      </c>
      <c r="H11504" s="6" t="s">
        <v>2002</v>
      </c>
      <c r="I11504" s="6" t="s">
        <v>31</v>
      </c>
      <c r="J11504" s="6">
        <v>16.609892791532999</v>
      </c>
      <c r="K11504" s="6">
        <v>-96.850759580268004</v>
      </c>
      <c r="L11504" s="6" t="str">
        <f>HYPERLINK("https://maps.google.com/?q=16.6098927915326,-96.850759580268203", "🔗 Ver Mapa")</f>
        <v>🔗 Ver Mapa</v>
      </c>
    </row>
    <row r="11505" spans="1:12" ht="43.5" x14ac:dyDescent="0.35">
      <c r="A11505" s="5" t="s">
        <v>98</v>
      </c>
      <c r="B11505" s="5" t="s">
        <v>99</v>
      </c>
      <c r="C11505" s="5" t="s">
        <v>2000</v>
      </c>
      <c r="D11505" s="5" t="s">
        <v>14</v>
      </c>
      <c r="E11505" s="5" t="s">
        <v>52</v>
      </c>
      <c r="F11505" s="5" t="s">
        <v>421</v>
      </c>
      <c r="G11505" s="5" t="s">
        <v>2001</v>
      </c>
      <c r="H11505" s="5" t="s">
        <v>2002</v>
      </c>
      <c r="I11505" s="5" t="s">
        <v>31</v>
      </c>
      <c r="J11505" s="5">
        <v>16.610236928309</v>
      </c>
      <c r="K11505" s="5">
        <v>-96.850494209901001</v>
      </c>
      <c r="L11505" s="5" t="str">
        <f>HYPERLINK("https://maps.google.com/?q=16.6102369283086,-96.850494209900802", "🔗 Ver Mapa")</f>
        <v>🔗 Ver Mapa</v>
      </c>
    </row>
    <row r="11506" spans="1:12" ht="43.5" x14ac:dyDescent="0.35">
      <c r="A11506" s="6" t="s">
        <v>98</v>
      </c>
      <c r="B11506" s="6" t="s">
        <v>99</v>
      </c>
      <c r="C11506" s="6" t="s">
        <v>2000</v>
      </c>
      <c r="D11506" s="6" t="s">
        <v>14</v>
      </c>
      <c r="E11506" s="6" t="s">
        <v>52</v>
      </c>
      <c r="F11506" s="6" t="s">
        <v>421</v>
      </c>
      <c r="G11506" s="6" t="s">
        <v>2001</v>
      </c>
      <c r="H11506" s="6" t="s">
        <v>2002</v>
      </c>
      <c r="I11506" s="6" t="s">
        <v>31</v>
      </c>
      <c r="J11506" s="6">
        <v>16.610389677196</v>
      </c>
      <c r="K11506" s="6">
        <v>-96.848546733583007</v>
      </c>
      <c r="L11506" s="6" t="str">
        <f>HYPERLINK("https://maps.google.com/?q=16.6103896771957,-96.848546733583007", "🔗 Ver Mapa")</f>
        <v>🔗 Ver Mapa</v>
      </c>
    </row>
    <row r="11507" spans="1:12" ht="43.5" x14ac:dyDescent="0.35">
      <c r="A11507" s="5" t="s">
        <v>98</v>
      </c>
      <c r="B11507" s="5" t="s">
        <v>99</v>
      </c>
      <c r="C11507" s="5" t="s">
        <v>2000</v>
      </c>
      <c r="D11507" s="5" t="s">
        <v>14</v>
      </c>
      <c r="E11507" s="5" t="s">
        <v>52</v>
      </c>
      <c r="F11507" s="5" t="s">
        <v>421</v>
      </c>
      <c r="G11507" s="5" t="s">
        <v>2001</v>
      </c>
      <c r="H11507" s="5" t="s">
        <v>2002</v>
      </c>
      <c r="I11507" s="5" t="s">
        <v>31</v>
      </c>
      <c r="J11507" s="5">
        <v>16.610518168561001</v>
      </c>
      <c r="K11507" s="5">
        <v>-96.848783913136998</v>
      </c>
      <c r="L11507" s="5" t="str">
        <f>HYPERLINK("https://maps.google.com/?q=16.6105181685607,-96.848783913136998", "🔗 Ver Mapa")</f>
        <v>🔗 Ver Mapa</v>
      </c>
    </row>
    <row r="11508" spans="1:12" ht="43.5" x14ac:dyDescent="0.35">
      <c r="A11508" s="6" t="s">
        <v>98</v>
      </c>
      <c r="B11508" s="6" t="s">
        <v>99</v>
      </c>
      <c r="C11508" s="6" t="s">
        <v>2000</v>
      </c>
      <c r="D11508" s="6" t="s">
        <v>14</v>
      </c>
      <c r="E11508" s="6" t="s">
        <v>52</v>
      </c>
      <c r="F11508" s="6" t="s">
        <v>421</v>
      </c>
      <c r="G11508" s="6" t="s">
        <v>2001</v>
      </c>
      <c r="H11508" s="6" t="s">
        <v>2002</v>
      </c>
      <c r="I11508" s="6" t="s">
        <v>31</v>
      </c>
      <c r="J11508" s="6">
        <v>16.610713928024001</v>
      </c>
      <c r="K11508" s="6">
        <v>-96.850663431238999</v>
      </c>
      <c r="L11508" s="6" t="str">
        <f>HYPERLINK("https://maps.google.com/?q=16.610713928024,-96.850663431239397", "🔗 Ver Mapa")</f>
        <v>🔗 Ver Mapa</v>
      </c>
    </row>
    <row r="11509" spans="1:12" ht="43.5" x14ac:dyDescent="0.35">
      <c r="A11509" s="5" t="s">
        <v>98</v>
      </c>
      <c r="B11509" s="5" t="s">
        <v>99</v>
      </c>
      <c r="C11509" s="5" t="s">
        <v>2000</v>
      </c>
      <c r="D11509" s="5" t="s">
        <v>14</v>
      </c>
      <c r="E11509" s="5" t="s">
        <v>52</v>
      </c>
      <c r="F11509" s="5" t="s">
        <v>421</v>
      </c>
      <c r="G11509" s="5" t="s">
        <v>2001</v>
      </c>
      <c r="H11509" s="5" t="s">
        <v>2002</v>
      </c>
      <c r="I11509" s="5" t="s">
        <v>31</v>
      </c>
      <c r="J11509" s="5">
        <v>16.610836905822001</v>
      </c>
      <c r="K11509" s="5">
        <v>-96.848235597338004</v>
      </c>
      <c r="L11509" s="5" t="str">
        <f>HYPERLINK("https://maps.google.com/?q=16.6108369058217,-96.848235597337705", "🔗 Ver Mapa")</f>
        <v>🔗 Ver Mapa</v>
      </c>
    </row>
    <row r="11510" spans="1:12" ht="43.5" x14ac:dyDescent="0.35">
      <c r="A11510" s="6" t="s">
        <v>98</v>
      </c>
      <c r="B11510" s="6" t="s">
        <v>99</v>
      </c>
      <c r="C11510" s="6" t="s">
        <v>2000</v>
      </c>
      <c r="D11510" s="6" t="s">
        <v>14</v>
      </c>
      <c r="E11510" s="6" t="s">
        <v>52</v>
      </c>
      <c r="F11510" s="6" t="s">
        <v>421</v>
      </c>
      <c r="G11510" s="6" t="s">
        <v>2001</v>
      </c>
      <c r="H11510" s="6" t="s">
        <v>2002</v>
      </c>
      <c r="I11510" s="6" t="s">
        <v>31</v>
      </c>
      <c r="J11510" s="6">
        <v>16.610960105813</v>
      </c>
      <c r="K11510" s="6">
        <v>-96.848866489301003</v>
      </c>
      <c r="L11510" s="6" t="str">
        <f>HYPERLINK("https://maps.google.com/?q=16.6109601058126,-96.848866489300704", "🔗 Ver Mapa")</f>
        <v>🔗 Ver Mapa</v>
      </c>
    </row>
    <row r="11511" spans="1:12" ht="43.5" x14ac:dyDescent="0.35">
      <c r="A11511" s="5" t="s">
        <v>98</v>
      </c>
      <c r="B11511" s="5" t="s">
        <v>99</v>
      </c>
      <c r="C11511" s="5" t="s">
        <v>2000</v>
      </c>
      <c r="D11511" s="5" t="s">
        <v>14</v>
      </c>
      <c r="E11511" s="5" t="s">
        <v>52</v>
      </c>
      <c r="F11511" s="5" t="s">
        <v>421</v>
      </c>
      <c r="G11511" s="5" t="s">
        <v>2001</v>
      </c>
      <c r="H11511" s="5" t="s">
        <v>2002</v>
      </c>
      <c r="I11511" s="5" t="s">
        <v>31</v>
      </c>
      <c r="J11511" s="5">
        <v>16.611275750775999</v>
      </c>
      <c r="K11511" s="5">
        <v>-96.847639952430995</v>
      </c>
      <c r="L11511" s="5" t="str">
        <f>HYPERLINK("https://maps.google.com/?q=16.6112757507757,-96.847639952431393", "🔗 Ver Mapa")</f>
        <v>🔗 Ver Mapa</v>
      </c>
    </row>
    <row r="11512" spans="1:12" ht="43.5" x14ac:dyDescent="0.35">
      <c r="A11512" s="6" t="s">
        <v>98</v>
      </c>
      <c r="B11512" s="6" t="s">
        <v>99</v>
      </c>
      <c r="C11512" s="6" t="s">
        <v>2000</v>
      </c>
      <c r="D11512" s="6" t="s">
        <v>14</v>
      </c>
      <c r="E11512" s="6" t="s">
        <v>52</v>
      </c>
      <c r="F11512" s="6" t="s">
        <v>421</v>
      </c>
      <c r="G11512" s="6" t="s">
        <v>2001</v>
      </c>
      <c r="H11512" s="6" t="s">
        <v>2002</v>
      </c>
      <c r="I11512" s="6" t="s">
        <v>31</v>
      </c>
      <c r="J11512" s="6">
        <v>16.611339871397</v>
      </c>
      <c r="K11512" s="6">
        <v>-96.850049730075</v>
      </c>
      <c r="L11512" s="6" t="str">
        <f>HYPERLINK("https://maps.google.com/?q=16.6113398713968,-96.850049730074602", "🔗 Ver Mapa")</f>
        <v>🔗 Ver Mapa</v>
      </c>
    </row>
    <row r="11513" spans="1:12" ht="43.5" x14ac:dyDescent="0.35">
      <c r="A11513" s="5" t="s">
        <v>98</v>
      </c>
      <c r="B11513" s="5" t="s">
        <v>99</v>
      </c>
      <c r="C11513" s="5" t="s">
        <v>2000</v>
      </c>
      <c r="D11513" s="5" t="s">
        <v>14</v>
      </c>
      <c r="E11513" s="5" t="s">
        <v>52</v>
      </c>
      <c r="F11513" s="5" t="s">
        <v>421</v>
      </c>
      <c r="G11513" s="5" t="s">
        <v>2001</v>
      </c>
      <c r="H11513" s="5" t="s">
        <v>2002</v>
      </c>
      <c r="I11513" s="5" t="s">
        <v>31</v>
      </c>
      <c r="J11513" s="5">
        <v>16.611410425608</v>
      </c>
      <c r="K11513" s="5">
        <v>-96.845498891299002</v>
      </c>
      <c r="L11513" s="5" t="str">
        <f>HYPERLINK("https://maps.google.com/?q=16.6114104256081,-96.845498891299002", "🔗 Ver Mapa")</f>
        <v>🔗 Ver Mapa</v>
      </c>
    </row>
    <row r="11514" spans="1:12" ht="43.5" x14ac:dyDescent="0.35">
      <c r="A11514" s="6" t="s">
        <v>98</v>
      </c>
      <c r="B11514" s="6" t="s">
        <v>99</v>
      </c>
      <c r="C11514" s="6" t="s">
        <v>2000</v>
      </c>
      <c r="D11514" s="6" t="s">
        <v>14</v>
      </c>
      <c r="E11514" s="6" t="s">
        <v>52</v>
      </c>
      <c r="F11514" s="6" t="s">
        <v>421</v>
      </c>
      <c r="G11514" s="6" t="s">
        <v>2001</v>
      </c>
      <c r="H11514" s="6" t="s">
        <v>2002</v>
      </c>
      <c r="I11514" s="6" t="s">
        <v>31</v>
      </c>
      <c r="J11514" s="6">
        <v>16.611445343618001</v>
      </c>
      <c r="K11514" s="6">
        <v>-96.850438148579002</v>
      </c>
      <c r="L11514" s="6" t="str">
        <f>HYPERLINK("https://maps.google.com/?q=16.6114453436184,-96.850438148578505", "🔗 Ver Mapa")</f>
        <v>🔗 Ver Mapa</v>
      </c>
    </row>
    <row r="11515" spans="1:12" ht="43.5" x14ac:dyDescent="0.35">
      <c r="A11515" s="5" t="s">
        <v>98</v>
      </c>
      <c r="B11515" s="5" t="s">
        <v>99</v>
      </c>
      <c r="C11515" s="5" t="s">
        <v>2000</v>
      </c>
      <c r="D11515" s="5" t="s">
        <v>14</v>
      </c>
      <c r="E11515" s="5" t="s">
        <v>52</v>
      </c>
      <c r="F11515" s="5" t="s">
        <v>421</v>
      </c>
      <c r="G11515" s="5" t="s">
        <v>2001</v>
      </c>
      <c r="H11515" s="5" t="s">
        <v>2002</v>
      </c>
      <c r="I11515" s="5" t="s">
        <v>31</v>
      </c>
      <c r="J11515" s="5">
        <v>16.611458815702999</v>
      </c>
      <c r="K11515" s="5">
        <v>-96.850271071853001</v>
      </c>
      <c r="L11515" s="5" t="str">
        <f>HYPERLINK("https://maps.google.com/?q=16.6114588157028,-96.8502710718533", "🔗 Ver Mapa")</f>
        <v>🔗 Ver Mapa</v>
      </c>
    </row>
    <row r="11516" spans="1:12" ht="43.5" x14ac:dyDescent="0.35">
      <c r="A11516" s="6" t="s">
        <v>98</v>
      </c>
      <c r="B11516" s="6" t="s">
        <v>99</v>
      </c>
      <c r="C11516" s="6" t="s">
        <v>2000</v>
      </c>
      <c r="D11516" s="6" t="s">
        <v>14</v>
      </c>
      <c r="E11516" s="6" t="s">
        <v>52</v>
      </c>
      <c r="F11516" s="6" t="s">
        <v>421</v>
      </c>
      <c r="G11516" s="6" t="s">
        <v>2001</v>
      </c>
      <c r="H11516" s="6" t="s">
        <v>2002</v>
      </c>
      <c r="I11516" s="6" t="s">
        <v>31</v>
      </c>
      <c r="J11516" s="6">
        <v>16.611603999589001</v>
      </c>
      <c r="K11516" s="6">
        <v>-96.847053723556996</v>
      </c>
      <c r="L11516" s="6" t="str">
        <f>HYPERLINK("https://maps.google.com/?q=16.611603999589,-96.847053723556698", "🔗 Ver Mapa")</f>
        <v>🔗 Ver Mapa</v>
      </c>
    </row>
    <row r="11517" spans="1:12" ht="43.5" x14ac:dyDescent="0.35">
      <c r="A11517" s="5" t="s">
        <v>98</v>
      </c>
      <c r="B11517" s="5" t="s">
        <v>99</v>
      </c>
      <c r="C11517" s="5" t="s">
        <v>2000</v>
      </c>
      <c r="D11517" s="5" t="s">
        <v>14</v>
      </c>
      <c r="E11517" s="5" t="s">
        <v>52</v>
      </c>
      <c r="F11517" s="5" t="s">
        <v>421</v>
      </c>
      <c r="G11517" s="5" t="s">
        <v>2001</v>
      </c>
      <c r="H11517" s="5" t="s">
        <v>2002</v>
      </c>
      <c r="I11517" s="5" t="s">
        <v>31</v>
      </c>
      <c r="J11517" s="5">
        <v>16.611645824442999</v>
      </c>
      <c r="K11517" s="5">
        <v>-96.850258440575004</v>
      </c>
      <c r="L11517" s="5" t="str">
        <f>HYPERLINK("https://maps.google.com/?q=16.6116458244431,-96.850258440574507", "🔗 Ver Mapa")</f>
        <v>🔗 Ver Mapa</v>
      </c>
    </row>
    <row r="11518" spans="1:12" ht="43.5" x14ac:dyDescent="0.35">
      <c r="A11518" s="6" t="s">
        <v>98</v>
      </c>
      <c r="B11518" s="6" t="s">
        <v>99</v>
      </c>
      <c r="C11518" s="6" t="s">
        <v>2000</v>
      </c>
      <c r="D11518" s="6" t="s">
        <v>14</v>
      </c>
      <c r="E11518" s="6" t="s">
        <v>52</v>
      </c>
      <c r="F11518" s="6" t="s">
        <v>421</v>
      </c>
      <c r="G11518" s="6" t="s">
        <v>2001</v>
      </c>
      <c r="H11518" s="6" t="s">
        <v>2002</v>
      </c>
      <c r="I11518" s="6" t="s">
        <v>31</v>
      </c>
      <c r="J11518" s="6">
        <v>16.612248984303999</v>
      </c>
      <c r="K11518" s="6">
        <v>-96.857937246770007</v>
      </c>
      <c r="L11518" s="6" t="str">
        <f>HYPERLINK("https://maps.google.com/?q=16.6122489843038,-96.857937246770405", "🔗 Ver Mapa")</f>
        <v>🔗 Ver Mapa</v>
      </c>
    </row>
    <row r="11519" spans="1:12" ht="43.5" x14ac:dyDescent="0.35">
      <c r="A11519" s="5" t="s">
        <v>98</v>
      </c>
      <c r="B11519" s="5" t="s">
        <v>99</v>
      </c>
      <c r="C11519" s="5" t="s">
        <v>2000</v>
      </c>
      <c r="D11519" s="5" t="s">
        <v>14</v>
      </c>
      <c r="E11519" s="5" t="s">
        <v>52</v>
      </c>
      <c r="F11519" s="5" t="s">
        <v>421</v>
      </c>
      <c r="G11519" s="5" t="s">
        <v>2001</v>
      </c>
      <c r="H11519" s="5" t="s">
        <v>2002</v>
      </c>
      <c r="I11519" s="5" t="s">
        <v>31</v>
      </c>
      <c r="J11519" s="5">
        <v>16.612508678565</v>
      </c>
      <c r="K11519" s="5">
        <v>-96.847552840038006</v>
      </c>
      <c r="L11519" s="5" t="str">
        <f>HYPERLINK("https://maps.google.com/?q=16.6125086785654,-96.847552840038205", "🔗 Ver Mapa")</f>
        <v>🔗 Ver Mapa</v>
      </c>
    </row>
    <row r="11520" spans="1:12" ht="43.5" x14ac:dyDescent="0.35">
      <c r="A11520" s="6" t="s">
        <v>98</v>
      </c>
      <c r="B11520" s="6" t="s">
        <v>99</v>
      </c>
      <c r="C11520" s="6" t="s">
        <v>2000</v>
      </c>
      <c r="D11520" s="6" t="s">
        <v>14</v>
      </c>
      <c r="E11520" s="6" t="s">
        <v>52</v>
      </c>
      <c r="F11520" s="6" t="s">
        <v>421</v>
      </c>
      <c r="G11520" s="6" t="s">
        <v>2001</v>
      </c>
      <c r="H11520" s="6" t="s">
        <v>2002</v>
      </c>
      <c r="I11520" s="6" t="s">
        <v>31</v>
      </c>
      <c r="J11520" s="6">
        <v>16.613008614915</v>
      </c>
      <c r="K11520" s="6">
        <v>-96.849365432648</v>
      </c>
      <c r="L11520" s="6" t="str">
        <f>HYPERLINK("https://maps.google.com/?q=16.613008614915,-96.849365432648", "🔗 Ver Mapa")</f>
        <v>🔗 Ver Mapa</v>
      </c>
    </row>
    <row r="11521" spans="1:12" ht="43.5" x14ac:dyDescent="0.35">
      <c r="A11521" s="5" t="s">
        <v>98</v>
      </c>
      <c r="B11521" s="5" t="s">
        <v>99</v>
      </c>
      <c r="C11521" s="5" t="s">
        <v>2000</v>
      </c>
      <c r="D11521" s="5" t="s">
        <v>14</v>
      </c>
      <c r="E11521" s="5" t="s">
        <v>52</v>
      </c>
      <c r="F11521" s="5" t="s">
        <v>421</v>
      </c>
      <c r="G11521" s="5" t="s">
        <v>2001</v>
      </c>
      <c r="H11521" s="5" t="s">
        <v>2002</v>
      </c>
      <c r="I11521" s="5" t="s">
        <v>31</v>
      </c>
      <c r="J11521" s="5">
        <v>16.613396328444001</v>
      </c>
      <c r="K11521" s="5">
        <v>-96.848361053765998</v>
      </c>
      <c r="L11521" s="5" t="str">
        <f>HYPERLINK("https://maps.google.com/?q=16.6133963284438,-96.848361053765601", "🔗 Ver Mapa")</f>
        <v>🔗 Ver Mapa</v>
      </c>
    </row>
    <row r="11522" spans="1:12" ht="43.5" x14ac:dyDescent="0.35">
      <c r="A11522" s="6" t="s">
        <v>98</v>
      </c>
      <c r="B11522" s="6" t="s">
        <v>99</v>
      </c>
      <c r="C11522" s="6" t="s">
        <v>2000</v>
      </c>
      <c r="D11522" s="6" t="s">
        <v>14</v>
      </c>
      <c r="E11522" s="6" t="s">
        <v>52</v>
      </c>
      <c r="F11522" s="6" t="s">
        <v>421</v>
      </c>
      <c r="G11522" s="6" t="s">
        <v>2001</v>
      </c>
      <c r="H11522" s="6" t="s">
        <v>2002</v>
      </c>
      <c r="I11522" s="6" t="s">
        <v>31</v>
      </c>
      <c r="J11522" s="6">
        <v>16.613423892480998</v>
      </c>
      <c r="K11522" s="6">
        <v>-96.856298890364002</v>
      </c>
      <c r="L11522" s="6" t="str">
        <f>HYPERLINK("https://maps.google.com/?q=16.6134238924811,-96.8562988903644", "🔗 Ver Mapa")</f>
        <v>🔗 Ver Mapa</v>
      </c>
    </row>
    <row r="11523" spans="1:12" ht="43.5" x14ac:dyDescent="0.35">
      <c r="A11523" s="5" t="s">
        <v>98</v>
      </c>
      <c r="B11523" s="5" t="s">
        <v>99</v>
      </c>
      <c r="C11523" s="5" t="s">
        <v>2000</v>
      </c>
      <c r="D11523" s="5" t="s">
        <v>14</v>
      </c>
      <c r="E11523" s="5" t="s">
        <v>52</v>
      </c>
      <c r="F11523" s="5" t="s">
        <v>421</v>
      </c>
      <c r="G11523" s="5" t="s">
        <v>2001</v>
      </c>
      <c r="H11523" s="5" t="s">
        <v>2002</v>
      </c>
      <c r="I11523" s="5" t="s">
        <v>31</v>
      </c>
      <c r="J11523" s="5">
        <v>16.613723409780999</v>
      </c>
      <c r="K11523" s="5">
        <v>-96.857890306010006</v>
      </c>
      <c r="L11523" s="5" t="str">
        <f>HYPERLINK("https://maps.google.com/?q=16.6137234097805,-96.857890306009594", "🔗 Ver Mapa")</f>
        <v>🔗 Ver Mapa</v>
      </c>
    </row>
    <row r="11524" spans="1:12" ht="43.5" x14ac:dyDescent="0.35">
      <c r="A11524" s="6" t="s">
        <v>98</v>
      </c>
      <c r="B11524" s="6" t="s">
        <v>99</v>
      </c>
      <c r="C11524" s="6" t="s">
        <v>2000</v>
      </c>
      <c r="D11524" s="6" t="s">
        <v>14</v>
      </c>
      <c r="E11524" s="6" t="s">
        <v>52</v>
      </c>
      <c r="F11524" s="6" t="s">
        <v>421</v>
      </c>
      <c r="G11524" s="6" t="s">
        <v>2001</v>
      </c>
      <c r="H11524" s="6" t="s">
        <v>2002</v>
      </c>
      <c r="I11524" s="6" t="s">
        <v>31</v>
      </c>
      <c r="J11524" s="6">
        <v>16.613820940644001</v>
      </c>
      <c r="K11524" s="6">
        <v>-96.854335468521001</v>
      </c>
      <c r="L11524" s="6" t="str">
        <f>HYPERLINK("https://maps.google.com/?q=16.6138209406442,-96.854335468521498", "🔗 Ver Mapa")</f>
        <v>🔗 Ver Mapa</v>
      </c>
    </row>
    <row r="11525" spans="1:12" ht="43.5" x14ac:dyDescent="0.35">
      <c r="A11525" s="5" t="s">
        <v>98</v>
      </c>
      <c r="B11525" s="5" t="s">
        <v>99</v>
      </c>
      <c r="C11525" s="5" t="s">
        <v>2000</v>
      </c>
      <c r="D11525" s="5" t="s">
        <v>14</v>
      </c>
      <c r="E11525" s="5" t="s">
        <v>52</v>
      </c>
      <c r="F11525" s="5" t="s">
        <v>421</v>
      </c>
      <c r="G11525" s="5" t="s">
        <v>2001</v>
      </c>
      <c r="H11525" s="5" t="s">
        <v>2002</v>
      </c>
      <c r="I11525" s="5" t="s">
        <v>31</v>
      </c>
      <c r="J11525" s="5">
        <v>16.614453197465998</v>
      </c>
      <c r="K11525" s="5">
        <v>-96.848169919729997</v>
      </c>
      <c r="L11525" s="5" t="str">
        <f>HYPERLINK("https://maps.google.com/?q=16.6144531974656,-96.8481699197296", "🔗 Ver Mapa")</f>
        <v>🔗 Ver Mapa</v>
      </c>
    </row>
    <row r="11526" spans="1:12" ht="43.5" x14ac:dyDescent="0.35">
      <c r="A11526" s="6" t="s">
        <v>98</v>
      </c>
      <c r="B11526" s="6" t="s">
        <v>99</v>
      </c>
      <c r="C11526" s="6" t="s">
        <v>2000</v>
      </c>
      <c r="D11526" s="6" t="s">
        <v>14</v>
      </c>
      <c r="E11526" s="6" t="s">
        <v>52</v>
      </c>
      <c r="F11526" s="6" t="s">
        <v>421</v>
      </c>
      <c r="G11526" s="6" t="s">
        <v>2001</v>
      </c>
      <c r="H11526" s="6" t="s">
        <v>2002</v>
      </c>
      <c r="I11526" s="6" t="s">
        <v>31</v>
      </c>
      <c r="J11526" s="6">
        <v>16.614853502521001</v>
      </c>
      <c r="K11526" s="6">
        <v>-96.858001921205002</v>
      </c>
      <c r="L11526" s="6" t="str">
        <f>HYPERLINK("https://maps.google.com/?q=16.6148535025209,-96.858001921204604", "🔗 Ver Mapa")</f>
        <v>🔗 Ver Mapa</v>
      </c>
    </row>
    <row r="11527" spans="1:12" ht="43.5" x14ac:dyDescent="0.35">
      <c r="A11527" s="5" t="s">
        <v>98</v>
      </c>
      <c r="B11527" s="5" t="s">
        <v>99</v>
      </c>
      <c r="C11527" s="5" t="s">
        <v>2000</v>
      </c>
      <c r="D11527" s="5" t="s">
        <v>14</v>
      </c>
      <c r="E11527" s="5" t="s">
        <v>52</v>
      </c>
      <c r="F11527" s="5" t="s">
        <v>421</v>
      </c>
      <c r="G11527" s="5" t="s">
        <v>2001</v>
      </c>
      <c r="H11527" s="5" t="s">
        <v>2002</v>
      </c>
      <c r="I11527" s="5" t="s">
        <v>31</v>
      </c>
      <c r="J11527" s="5">
        <v>16.614854051904</v>
      </c>
      <c r="K11527" s="5">
        <v>-96.855117554133997</v>
      </c>
      <c r="L11527" s="5" t="str">
        <f>HYPERLINK("https://maps.google.com/?q=16.614854051904,-96.855117554133599", "🔗 Ver Mapa")</f>
        <v>🔗 Ver Mapa</v>
      </c>
    </row>
    <row r="11528" spans="1:12" ht="43.5" x14ac:dyDescent="0.35">
      <c r="A11528" s="6" t="s">
        <v>98</v>
      </c>
      <c r="B11528" s="6" t="s">
        <v>99</v>
      </c>
      <c r="C11528" s="6" t="s">
        <v>2000</v>
      </c>
      <c r="D11528" s="6" t="s">
        <v>14</v>
      </c>
      <c r="E11528" s="6" t="s">
        <v>52</v>
      </c>
      <c r="F11528" s="6" t="s">
        <v>421</v>
      </c>
      <c r="G11528" s="6" t="s">
        <v>2001</v>
      </c>
      <c r="H11528" s="6" t="s">
        <v>2002</v>
      </c>
      <c r="I11528" s="6" t="s">
        <v>31</v>
      </c>
      <c r="J11528" s="6">
        <v>16.614921224271999</v>
      </c>
      <c r="K11528" s="6">
        <v>-96.848835678144994</v>
      </c>
      <c r="L11528" s="6" t="str">
        <f>HYPERLINK("https://maps.google.com/?q=16.6149212242715,-96.848835678145093", "🔗 Ver Mapa")</f>
        <v>🔗 Ver Mapa</v>
      </c>
    </row>
    <row r="11529" spans="1:12" ht="43.5" x14ac:dyDescent="0.35">
      <c r="A11529" s="5" t="s">
        <v>98</v>
      </c>
      <c r="B11529" s="5" t="s">
        <v>99</v>
      </c>
      <c r="C11529" s="5" t="s">
        <v>2000</v>
      </c>
      <c r="D11529" s="5" t="s">
        <v>14</v>
      </c>
      <c r="E11529" s="5" t="s">
        <v>52</v>
      </c>
      <c r="F11529" s="5" t="s">
        <v>421</v>
      </c>
      <c r="G11529" s="5" t="s">
        <v>2001</v>
      </c>
      <c r="H11529" s="5" t="s">
        <v>2002</v>
      </c>
      <c r="I11529" s="5" t="s">
        <v>31</v>
      </c>
      <c r="J11529" s="5">
        <v>16.615381531297999</v>
      </c>
      <c r="K11529" s="5">
        <v>-96.848870425018006</v>
      </c>
      <c r="L11529" s="5" t="str">
        <f>HYPERLINK("https://maps.google.com/?q=16.6153815312979,-96.848870425017793", "🔗 Ver Mapa")</f>
        <v>🔗 Ver Mapa</v>
      </c>
    </row>
    <row r="11530" spans="1:12" ht="43.5" x14ac:dyDescent="0.35">
      <c r="A11530" s="6" t="s">
        <v>98</v>
      </c>
      <c r="B11530" s="6" t="s">
        <v>99</v>
      </c>
      <c r="C11530" s="6" t="s">
        <v>2000</v>
      </c>
      <c r="D11530" s="6" t="s">
        <v>14</v>
      </c>
      <c r="E11530" s="6" t="s">
        <v>52</v>
      </c>
      <c r="F11530" s="6" t="s">
        <v>421</v>
      </c>
      <c r="G11530" s="6" t="s">
        <v>2001</v>
      </c>
      <c r="H11530" s="6" t="s">
        <v>2002</v>
      </c>
      <c r="I11530" s="6" t="s">
        <v>31</v>
      </c>
      <c r="J11530" s="6">
        <v>16.615460003929002</v>
      </c>
      <c r="K11530" s="6">
        <v>-96.855104767645003</v>
      </c>
      <c r="L11530" s="6" t="str">
        <f>HYPERLINK("https://maps.google.com/?q=16.6154600039285,-96.855104767645301", "🔗 Ver Mapa")</f>
        <v>🔗 Ver Mapa</v>
      </c>
    </row>
    <row r="11531" spans="1:12" ht="43.5" x14ac:dyDescent="0.35">
      <c r="A11531" s="5" t="s">
        <v>98</v>
      </c>
      <c r="B11531" s="5" t="s">
        <v>99</v>
      </c>
      <c r="C11531" s="5" t="s">
        <v>2000</v>
      </c>
      <c r="D11531" s="5" t="s">
        <v>14</v>
      </c>
      <c r="E11531" s="5" t="s">
        <v>52</v>
      </c>
      <c r="F11531" s="5" t="s">
        <v>421</v>
      </c>
      <c r="G11531" s="5" t="s">
        <v>2001</v>
      </c>
      <c r="H11531" s="5" t="s">
        <v>2002</v>
      </c>
      <c r="I11531" s="5" t="s">
        <v>31</v>
      </c>
      <c r="J11531" s="5">
        <v>16.615480184809002</v>
      </c>
      <c r="K11531" s="5">
        <v>-96.849076656706998</v>
      </c>
      <c r="L11531" s="5" t="str">
        <f>HYPERLINK("https://maps.google.com/?q=16.6154801848094,-96.8490766567066", "🔗 Ver Mapa")</f>
        <v>🔗 Ver Mapa</v>
      </c>
    </row>
    <row r="11532" spans="1:12" ht="43.5" x14ac:dyDescent="0.35">
      <c r="A11532" s="6" t="s">
        <v>98</v>
      </c>
      <c r="B11532" s="6" t="s">
        <v>99</v>
      </c>
      <c r="C11532" s="6" t="s">
        <v>2000</v>
      </c>
      <c r="D11532" s="6" t="s">
        <v>14</v>
      </c>
      <c r="E11532" s="6" t="s">
        <v>52</v>
      </c>
      <c r="F11532" s="6" t="s">
        <v>421</v>
      </c>
      <c r="G11532" s="6" t="s">
        <v>2001</v>
      </c>
      <c r="H11532" s="6" t="s">
        <v>2002</v>
      </c>
      <c r="I11532" s="6" t="s">
        <v>31</v>
      </c>
      <c r="J11532" s="6">
        <v>16.615553734279001</v>
      </c>
      <c r="K11532" s="6">
        <v>-96.854620456318997</v>
      </c>
      <c r="L11532" s="6" t="str">
        <f>HYPERLINK("https://maps.google.com/?q=16.6155537342792,-96.854620456319097", "🔗 Ver Mapa")</f>
        <v>🔗 Ver Mapa</v>
      </c>
    </row>
    <row r="11533" spans="1:12" ht="43.5" x14ac:dyDescent="0.35">
      <c r="A11533" s="5" t="s">
        <v>98</v>
      </c>
      <c r="B11533" s="5" t="s">
        <v>99</v>
      </c>
      <c r="C11533" s="5" t="s">
        <v>2000</v>
      </c>
      <c r="D11533" s="5" t="s">
        <v>14</v>
      </c>
      <c r="E11533" s="5" t="s">
        <v>52</v>
      </c>
      <c r="F11533" s="5" t="s">
        <v>421</v>
      </c>
      <c r="G11533" s="5" t="s">
        <v>2001</v>
      </c>
      <c r="H11533" s="5" t="s">
        <v>2002</v>
      </c>
      <c r="I11533" s="5" t="s">
        <v>31</v>
      </c>
      <c r="J11533" s="5">
        <v>16.615646327699</v>
      </c>
      <c r="K11533" s="5">
        <v>-96.855230167331001</v>
      </c>
      <c r="L11533" s="5" t="str">
        <f>HYPERLINK("https://maps.google.com/?q=16.6156463276994,-96.855230167331101", "🔗 Ver Mapa")</f>
        <v>🔗 Ver Mapa</v>
      </c>
    </row>
    <row r="11534" spans="1:12" ht="43.5" x14ac:dyDescent="0.35">
      <c r="A11534" s="6" t="s">
        <v>98</v>
      </c>
      <c r="B11534" s="6" t="s">
        <v>99</v>
      </c>
      <c r="C11534" s="6" t="s">
        <v>2000</v>
      </c>
      <c r="D11534" s="6" t="s">
        <v>14</v>
      </c>
      <c r="E11534" s="6" t="s">
        <v>52</v>
      </c>
      <c r="F11534" s="6" t="s">
        <v>421</v>
      </c>
      <c r="G11534" s="6" t="s">
        <v>2001</v>
      </c>
      <c r="H11534" s="6" t="s">
        <v>2002</v>
      </c>
      <c r="I11534" s="6" t="s">
        <v>31</v>
      </c>
      <c r="J11534" s="6">
        <v>16.615665538527001</v>
      </c>
      <c r="K11534" s="6">
        <v>-96.854502439122001</v>
      </c>
      <c r="L11534" s="6" t="str">
        <f>HYPERLINK("https://maps.google.com/?q=16.6156655385268,-96.854502439122498", "🔗 Ver Mapa")</f>
        <v>🔗 Ver Mapa</v>
      </c>
    </row>
    <row r="11535" spans="1:12" ht="43.5" x14ac:dyDescent="0.35">
      <c r="A11535" s="5" t="s">
        <v>98</v>
      </c>
      <c r="B11535" s="5" t="s">
        <v>99</v>
      </c>
      <c r="C11535" s="5" t="s">
        <v>2000</v>
      </c>
      <c r="D11535" s="5" t="s">
        <v>14</v>
      </c>
      <c r="E11535" s="5" t="s">
        <v>52</v>
      </c>
      <c r="F11535" s="5" t="s">
        <v>421</v>
      </c>
      <c r="G11535" s="5" t="s">
        <v>2001</v>
      </c>
      <c r="H11535" s="5" t="s">
        <v>2002</v>
      </c>
      <c r="I11535" s="5" t="s">
        <v>31</v>
      </c>
      <c r="J11535" s="5">
        <v>16.615789290965999</v>
      </c>
      <c r="K11535" s="5">
        <v>-96.853982574059003</v>
      </c>
      <c r="L11535" s="5" t="str">
        <f>HYPERLINK("https://maps.google.com/?q=16.6157892909661,-96.853982574059003", "🔗 Ver Mapa")</f>
        <v>🔗 Ver Mapa</v>
      </c>
    </row>
    <row r="11536" spans="1:12" ht="43.5" x14ac:dyDescent="0.35">
      <c r="A11536" s="6" t="s">
        <v>98</v>
      </c>
      <c r="B11536" s="6" t="s">
        <v>99</v>
      </c>
      <c r="C11536" s="6" t="s">
        <v>2000</v>
      </c>
      <c r="D11536" s="6" t="s">
        <v>14</v>
      </c>
      <c r="E11536" s="6" t="s">
        <v>52</v>
      </c>
      <c r="F11536" s="6" t="s">
        <v>421</v>
      </c>
      <c r="G11536" s="6" t="s">
        <v>2001</v>
      </c>
      <c r="H11536" s="6" t="s">
        <v>2002</v>
      </c>
      <c r="I11536" s="6" t="s">
        <v>31</v>
      </c>
      <c r="J11536" s="6">
        <v>16.616649346551998</v>
      </c>
      <c r="K11536" s="6">
        <v>-96.856699613961993</v>
      </c>
      <c r="L11536" s="6" t="str">
        <f>HYPERLINK("https://maps.google.com/?q=16.6166493465516,-96.856699613961595", "🔗 Ver Mapa")</f>
        <v>🔗 Ver Mapa</v>
      </c>
    </row>
    <row r="11537" spans="1:12" ht="43.5" x14ac:dyDescent="0.35">
      <c r="A11537" s="5" t="s">
        <v>98</v>
      </c>
      <c r="B11537" s="5" t="s">
        <v>99</v>
      </c>
      <c r="C11537" s="5" t="s">
        <v>2000</v>
      </c>
      <c r="D11537" s="5" t="s">
        <v>14</v>
      </c>
      <c r="E11537" s="5" t="s">
        <v>52</v>
      </c>
      <c r="F11537" s="5" t="s">
        <v>421</v>
      </c>
      <c r="G11537" s="5" t="s">
        <v>2001</v>
      </c>
      <c r="H11537" s="5" t="s">
        <v>2002</v>
      </c>
      <c r="I11537" s="5" t="s">
        <v>31</v>
      </c>
      <c r="J11537" s="5">
        <v>16.616892893216999</v>
      </c>
      <c r="K11537" s="5">
        <v>-96.854707130158999</v>
      </c>
      <c r="L11537" s="5" t="str">
        <f>HYPERLINK("https://maps.google.com/?q=16.6168928932167,-96.854707130158801", "🔗 Ver Mapa")</f>
        <v>🔗 Ver Mapa</v>
      </c>
    </row>
    <row r="11538" spans="1:12" ht="43.5" x14ac:dyDescent="0.35">
      <c r="A11538" s="6" t="s">
        <v>98</v>
      </c>
      <c r="B11538" s="6" t="s">
        <v>99</v>
      </c>
      <c r="C11538" s="6" t="s">
        <v>2000</v>
      </c>
      <c r="D11538" s="6" t="s">
        <v>14</v>
      </c>
      <c r="E11538" s="6" t="s">
        <v>52</v>
      </c>
      <c r="F11538" s="6" t="s">
        <v>421</v>
      </c>
      <c r="G11538" s="6" t="s">
        <v>2001</v>
      </c>
      <c r="H11538" s="6" t="s">
        <v>2002</v>
      </c>
      <c r="I11538" s="6" t="s">
        <v>31</v>
      </c>
      <c r="J11538" s="6">
        <v>16.616923814475001</v>
      </c>
      <c r="K11538" s="6">
        <v>-96.855400145019999</v>
      </c>
      <c r="L11538" s="6" t="str">
        <f>HYPERLINK("https://maps.google.com/?q=16.6169238144752,-96.855400145020496", "🔗 Ver Mapa")</f>
        <v>🔗 Ver Mapa</v>
      </c>
    </row>
    <row r="11539" spans="1:12" ht="43.5" x14ac:dyDescent="0.35">
      <c r="A11539" s="5" t="s">
        <v>98</v>
      </c>
      <c r="B11539" s="5" t="s">
        <v>99</v>
      </c>
      <c r="C11539" s="5" t="s">
        <v>2000</v>
      </c>
      <c r="D11539" s="5" t="s">
        <v>14</v>
      </c>
      <c r="E11539" s="5" t="s">
        <v>52</v>
      </c>
      <c r="F11539" s="5" t="s">
        <v>421</v>
      </c>
      <c r="G11539" s="5" t="s">
        <v>2001</v>
      </c>
      <c r="H11539" s="5" t="s">
        <v>2002</v>
      </c>
      <c r="I11539" s="5" t="s">
        <v>31</v>
      </c>
      <c r="J11539" s="5">
        <v>16.617435816425001</v>
      </c>
      <c r="K11539" s="5">
        <v>-96.856133051499</v>
      </c>
      <c r="L11539" s="5" t="str">
        <f>HYPERLINK("https://maps.google.com/?q=16.6174358164248,-96.856133051499199", "🔗 Ver Mapa")</f>
        <v>🔗 Ver Mapa</v>
      </c>
    </row>
    <row r="11540" spans="1:12" ht="43.5" x14ac:dyDescent="0.35">
      <c r="A11540" s="6" t="s">
        <v>98</v>
      </c>
      <c r="B11540" s="6" t="s">
        <v>99</v>
      </c>
      <c r="C11540" s="6" t="s">
        <v>2003</v>
      </c>
      <c r="D11540" s="6" t="s">
        <v>14</v>
      </c>
      <c r="E11540" s="6" t="s">
        <v>52</v>
      </c>
      <c r="F11540" s="6" t="s">
        <v>228</v>
      </c>
      <c r="G11540" s="6" t="s">
        <v>2004</v>
      </c>
      <c r="H11540" s="6" t="s">
        <v>2005</v>
      </c>
      <c r="I11540" s="6" t="s">
        <v>31</v>
      </c>
      <c r="J11540" s="6">
        <v>16.826471230290998</v>
      </c>
      <c r="K11540" s="6">
        <v>-96.706839023314004</v>
      </c>
      <c r="L11540" s="6" t="str">
        <f>HYPERLINK("https://maps.google.com/?q=16.8264712302911,-96.706839023313506", "🔗 Ver Mapa")</f>
        <v>🔗 Ver Mapa</v>
      </c>
    </row>
    <row r="11541" spans="1:12" ht="43.5" x14ac:dyDescent="0.35">
      <c r="A11541" s="5" t="s">
        <v>98</v>
      </c>
      <c r="B11541" s="5" t="s">
        <v>99</v>
      </c>
      <c r="C11541" s="5" t="s">
        <v>2003</v>
      </c>
      <c r="D11541" s="5" t="s">
        <v>14</v>
      </c>
      <c r="E11541" s="5" t="s">
        <v>52</v>
      </c>
      <c r="F11541" s="5" t="s">
        <v>228</v>
      </c>
      <c r="G11541" s="5" t="s">
        <v>2004</v>
      </c>
      <c r="H11541" s="5" t="s">
        <v>2005</v>
      </c>
      <c r="I11541" s="5" t="s">
        <v>31</v>
      </c>
      <c r="J11541" s="5">
        <v>16.826622257078999</v>
      </c>
      <c r="K11541" s="5">
        <v>-96.706735071172005</v>
      </c>
      <c r="L11541" s="5" t="str">
        <f>HYPERLINK("https://maps.google.com/?q=16.8266222570791,-96.706735071172403", "🔗 Ver Mapa")</f>
        <v>🔗 Ver Mapa</v>
      </c>
    </row>
    <row r="11542" spans="1:12" ht="43.5" x14ac:dyDescent="0.35">
      <c r="A11542" s="6" t="s">
        <v>98</v>
      </c>
      <c r="B11542" s="6" t="s">
        <v>99</v>
      </c>
      <c r="C11542" s="6" t="s">
        <v>2003</v>
      </c>
      <c r="D11542" s="6" t="s">
        <v>14</v>
      </c>
      <c r="E11542" s="6" t="s">
        <v>52</v>
      </c>
      <c r="F11542" s="6" t="s">
        <v>228</v>
      </c>
      <c r="G11542" s="6" t="s">
        <v>2004</v>
      </c>
      <c r="H11542" s="6" t="s">
        <v>2005</v>
      </c>
      <c r="I11542" s="6" t="s">
        <v>31</v>
      </c>
      <c r="J11542" s="6">
        <v>16.828066655628</v>
      </c>
      <c r="K11542" s="6">
        <v>-96.708176673611007</v>
      </c>
      <c r="L11542" s="6" t="str">
        <f>HYPERLINK("https://maps.google.com/?q=16.828066655628,-96.708176673610694", "🔗 Ver Mapa")</f>
        <v>🔗 Ver Mapa</v>
      </c>
    </row>
    <row r="11543" spans="1:12" ht="43.5" x14ac:dyDescent="0.35">
      <c r="A11543" s="5" t="s">
        <v>98</v>
      </c>
      <c r="B11543" s="5" t="s">
        <v>99</v>
      </c>
      <c r="C11543" s="5" t="s">
        <v>2003</v>
      </c>
      <c r="D11543" s="5" t="s">
        <v>14</v>
      </c>
      <c r="E11543" s="5" t="s">
        <v>52</v>
      </c>
      <c r="F11543" s="5" t="s">
        <v>228</v>
      </c>
      <c r="G11543" s="5" t="s">
        <v>2004</v>
      </c>
      <c r="H11543" s="5" t="s">
        <v>2005</v>
      </c>
      <c r="I11543" s="5" t="s">
        <v>31</v>
      </c>
      <c r="J11543" s="5">
        <v>16.828194669942999</v>
      </c>
      <c r="K11543" s="5">
        <v>-96.707771396330003</v>
      </c>
      <c r="L11543" s="5" t="str">
        <f>HYPERLINK("https://maps.google.com/?q=16.8281946699431,-96.707771396329804", "🔗 Ver Mapa")</f>
        <v>🔗 Ver Mapa</v>
      </c>
    </row>
    <row r="11544" spans="1:12" ht="43.5" x14ac:dyDescent="0.35">
      <c r="A11544" s="6" t="s">
        <v>98</v>
      </c>
      <c r="B11544" s="6" t="s">
        <v>99</v>
      </c>
      <c r="C11544" s="6" t="s">
        <v>2003</v>
      </c>
      <c r="D11544" s="6" t="s">
        <v>14</v>
      </c>
      <c r="E11544" s="6" t="s">
        <v>52</v>
      </c>
      <c r="F11544" s="6" t="s">
        <v>228</v>
      </c>
      <c r="G11544" s="6" t="s">
        <v>2004</v>
      </c>
      <c r="H11544" s="6" t="s">
        <v>2005</v>
      </c>
      <c r="I11544" s="6" t="s">
        <v>31</v>
      </c>
      <c r="J11544" s="6">
        <v>16.828201387947001</v>
      </c>
      <c r="K11544" s="6">
        <v>-96.706584934096</v>
      </c>
      <c r="L11544" s="6" t="str">
        <f>HYPERLINK("https://maps.google.com/?q=16.8282013879472,-96.706584934096199", "🔗 Ver Mapa")</f>
        <v>🔗 Ver Mapa</v>
      </c>
    </row>
    <row r="11545" spans="1:12" ht="43.5" x14ac:dyDescent="0.35">
      <c r="A11545" s="5" t="s">
        <v>98</v>
      </c>
      <c r="B11545" s="5" t="s">
        <v>99</v>
      </c>
      <c r="C11545" s="5" t="s">
        <v>2003</v>
      </c>
      <c r="D11545" s="5" t="s">
        <v>14</v>
      </c>
      <c r="E11545" s="5" t="s">
        <v>52</v>
      </c>
      <c r="F11545" s="5" t="s">
        <v>228</v>
      </c>
      <c r="G11545" s="5" t="s">
        <v>2004</v>
      </c>
      <c r="H11545" s="5" t="s">
        <v>2005</v>
      </c>
      <c r="I11545" s="5" t="s">
        <v>31</v>
      </c>
      <c r="J11545" s="5">
        <v>16.828275999999999</v>
      </c>
      <c r="K11545" s="5">
        <v>-96.708011999999997</v>
      </c>
      <c r="L11545" s="5" t="str">
        <f>HYPERLINK("https://maps.google.com/?q=16.828276,-96.708011999999997", "🔗 Ver Mapa")</f>
        <v>🔗 Ver Mapa</v>
      </c>
    </row>
    <row r="11546" spans="1:12" ht="43.5" x14ac:dyDescent="0.35">
      <c r="A11546" s="6" t="s">
        <v>98</v>
      </c>
      <c r="B11546" s="6" t="s">
        <v>99</v>
      </c>
      <c r="C11546" s="6" t="s">
        <v>2003</v>
      </c>
      <c r="D11546" s="6" t="s">
        <v>14</v>
      </c>
      <c r="E11546" s="6" t="s">
        <v>52</v>
      </c>
      <c r="F11546" s="6" t="s">
        <v>228</v>
      </c>
      <c r="G11546" s="6" t="s">
        <v>2004</v>
      </c>
      <c r="H11546" s="6" t="s">
        <v>2005</v>
      </c>
      <c r="I11546" s="6" t="s">
        <v>31</v>
      </c>
      <c r="J11546" s="6">
        <v>16.828354999999998</v>
      </c>
      <c r="K11546" s="6">
        <v>-96.707699000000005</v>
      </c>
      <c r="L11546" s="6" t="str">
        <f>HYPERLINK("https://maps.google.com/?q=16.828355,-96.707699000000005", "🔗 Ver Mapa")</f>
        <v>🔗 Ver Mapa</v>
      </c>
    </row>
    <row r="11547" spans="1:12" ht="43.5" x14ac:dyDescent="0.35">
      <c r="A11547" s="5" t="s">
        <v>98</v>
      </c>
      <c r="B11547" s="5" t="s">
        <v>99</v>
      </c>
      <c r="C11547" s="5" t="s">
        <v>2003</v>
      </c>
      <c r="D11547" s="5" t="s">
        <v>14</v>
      </c>
      <c r="E11547" s="5" t="s">
        <v>52</v>
      </c>
      <c r="F11547" s="5" t="s">
        <v>228</v>
      </c>
      <c r="G11547" s="5" t="s">
        <v>2004</v>
      </c>
      <c r="H11547" s="5" t="s">
        <v>2005</v>
      </c>
      <c r="I11547" s="5" t="s">
        <v>31</v>
      </c>
      <c r="J11547" s="5">
        <v>16.828506928147998</v>
      </c>
      <c r="K11547" s="5">
        <v>-96.707820999999996</v>
      </c>
      <c r="L11547" s="5" t="str">
        <f>HYPERLINK("https://maps.google.com/?q=16.8285069281481,-96.707820999999996", "🔗 Ver Mapa")</f>
        <v>🔗 Ver Mapa</v>
      </c>
    </row>
    <row r="11548" spans="1:12" ht="43.5" x14ac:dyDescent="0.35">
      <c r="A11548" s="6" t="s">
        <v>98</v>
      </c>
      <c r="B11548" s="6" t="s">
        <v>99</v>
      </c>
      <c r="C11548" s="6" t="s">
        <v>2003</v>
      </c>
      <c r="D11548" s="6" t="s">
        <v>14</v>
      </c>
      <c r="E11548" s="6" t="s">
        <v>52</v>
      </c>
      <c r="F11548" s="6" t="s">
        <v>228</v>
      </c>
      <c r="G11548" s="6" t="s">
        <v>2004</v>
      </c>
      <c r="H11548" s="6" t="s">
        <v>2005</v>
      </c>
      <c r="I11548" s="6" t="s">
        <v>31</v>
      </c>
      <c r="J11548" s="6">
        <v>16.82868973327</v>
      </c>
      <c r="K11548" s="6">
        <v>-96.707696580356995</v>
      </c>
      <c r="L11548" s="6" t="str">
        <f>HYPERLINK("https://maps.google.com/?q=16.8286897332698,-96.707696580356597", "🔗 Ver Mapa")</f>
        <v>🔗 Ver Mapa</v>
      </c>
    </row>
    <row r="11549" spans="1:12" ht="43.5" x14ac:dyDescent="0.35">
      <c r="A11549" s="5" t="s">
        <v>98</v>
      </c>
      <c r="B11549" s="5" t="s">
        <v>99</v>
      </c>
      <c r="C11549" s="5" t="s">
        <v>2003</v>
      </c>
      <c r="D11549" s="5" t="s">
        <v>14</v>
      </c>
      <c r="E11549" s="5" t="s">
        <v>52</v>
      </c>
      <c r="F11549" s="5" t="s">
        <v>228</v>
      </c>
      <c r="G11549" s="5" t="s">
        <v>2004</v>
      </c>
      <c r="H11549" s="5" t="s">
        <v>2005</v>
      </c>
      <c r="I11549" s="5" t="s">
        <v>31</v>
      </c>
      <c r="J11549" s="5">
        <v>16.828725988336998</v>
      </c>
      <c r="K11549" s="5">
        <v>-96.706630550925993</v>
      </c>
      <c r="L11549" s="5" t="str">
        <f>HYPERLINK("https://maps.google.com/?q=16.8287259883366,-96.706630550926207", "🔗 Ver Mapa")</f>
        <v>🔗 Ver Mapa</v>
      </c>
    </row>
    <row r="11550" spans="1:12" ht="43.5" x14ac:dyDescent="0.35">
      <c r="A11550" s="6" t="s">
        <v>98</v>
      </c>
      <c r="B11550" s="6" t="s">
        <v>99</v>
      </c>
      <c r="C11550" s="6" t="s">
        <v>2003</v>
      </c>
      <c r="D11550" s="6" t="s">
        <v>14</v>
      </c>
      <c r="E11550" s="6" t="s">
        <v>52</v>
      </c>
      <c r="F11550" s="6" t="s">
        <v>228</v>
      </c>
      <c r="G11550" s="6" t="s">
        <v>2004</v>
      </c>
      <c r="H11550" s="6" t="s">
        <v>2005</v>
      </c>
      <c r="I11550" s="6" t="s">
        <v>31</v>
      </c>
      <c r="J11550" s="6">
        <v>16.829220201024</v>
      </c>
      <c r="K11550" s="6">
        <v>-96.707270257776003</v>
      </c>
      <c r="L11550" s="6" t="str">
        <f>HYPERLINK("https://maps.google.com/?q=16.8292202010239,-96.707270257776003", "🔗 Ver Mapa")</f>
        <v>🔗 Ver Mapa</v>
      </c>
    </row>
    <row r="11551" spans="1:12" ht="43.5" x14ac:dyDescent="0.35">
      <c r="A11551" s="5" t="s">
        <v>98</v>
      </c>
      <c r="B11551" s="5" t="s">
        <v>99</v>
      </c>
      <c r="C11551" s="5" t="s">
        <v>2003</v>
      </c>
      <c r="D11551" s="5" t="s">
        <v>14</v>
      </c>
      <c r="E11551" s="5" t="s">
        <v>52</v>
      </c>
      <c r="F11551" s="5" t="s">
        <v>228</v>
      </c>
      <c r="G11551" s="5" t="s">
        <v>2004</v>
      </c>
      <c r="H11551" s="5" t="s">
        <v>2005</v>
      </c>
      <c r="I11551" s="5" t="s">
        <v>31</v>
      </c>
      <c r="J11551" s="5">
        <v>16.829339675978002</v>
      </c>
      <c r="K11551" s="5">
        <v>-96.707289696923993</v>
      </c>
      <c r="L11551" s="5" t="str">
        <f>HYPERLINK("https://maps.google.com/?q=16.8293396759779,-96.707289696924207", "🔗 Ver Mapa")</f>
        <v>🔗 Ver Mapa</v>
      </c>
    </row>
    <row r="11552" spans="1:12" ht="43.5" x14ac:dyDescent="0.35">
      <c r="A11552" s="6" t="s">
        <v>98</v>
      </c>
      <c r="B11552" s="6" t="s">
        <v>99</v>
      </c>
      <c r="C11552" s="6" t="s">
        <v>2003</v>
      </c>
      <c r="D11552" s="6" t="s">
        <v>14</v>
      </c>
      <c r="E11552" s="6" t="s">
        <v>52</v>
      </c>
      <c r="F11552" s="6" t="s">
        <v>228</v>
      </c>
      <c r="G11552" s="6" t="s">
        <v>2004</v>
      </c>
      <c r="H11552" s="6" t="s">
        <v>2005</v>
      </c>
      <c r="I11552" s="6" t="s">
        <v>31</v>
      </c>
      <c r="J11552" s="6">
        <v>16.830200000000001</v>
      </c>
      <c r="K11552" s="6">
        <v>-96.707599000000002</v>
      </c>
      <c r="L11552" s="6" t="str">
        <f>HYPERLINK("https://maps.google.com/?q=16.8302,-96.707599000000002", "🔗 Ver Mapa")</f>
        <v>🔗 Ver Mapa</v>
      </c>
    </row>
    <row r="11553" spans="1:12" ht="43.5" x14ac:dyDescent="0.35">
      <c r="A11553" s="5" t="s">
        <v>98</v>
      </c>
      <c r="B11553" s="5" t="s">
        <v>99</v>
      </c>
      <c r="C11553" s="5" t="s">
        <v>2003</v>
      </c>
      <c r="D11553" s="5" t="s">
        <v>14</v>
      </c>
      <c r="E11553" s="5" t="s">
        <v>52</v>
      </c>
      <c r="F11553" s="5" t="s">
        <v>228</v>
      </c>
      <c r="G11553" s="5" t="s">
        <v>2004</v>
      </c>
      <c r="H11553" s="5" t="s">
        <v>2005</v>
      </c>
      <c r="I11553" s="5" t="s">
        <v>31</v>
      </c>
      <c r="J11553" s="5">
        <v>16.830326968664</v>
      </c>
      <c r="K11553" s="5">
        <v>-96.708992076057001</v>
      </c>
      <c r="L11553" s="5" t="str">
        <f>HYPERLINK("https://maps.google.com/?q=16.8303269686644,-96.708992076057399", "🔗 Ver Mapa")</f>
        <v>🔗 Ver Mapa</v>
      </c>
    </row>
    <row r="11554" spans="1:12" ht="43.5" x14ac:dyDescent="0.35">
      <c r="A11554" s="6" t="s">
        <v>98</v>
      </c>
      <c r="B11554" s="6" t="s">
        <v>99</v>
      </c>
      <c r="C11554" s="6" t="s">
        <v>2003</v>
      </c>
      <c r="D11554" s="6" t="s">
        <v>14</v>
      </c>
      <c r="E11554" s="6" t="s">
        <v>52</v>
      </c>
      <c r="F11554" s="6" t="s">
        <v>228</v>
      </c>
      <c r="G11554" s="6" t="s">
        <v>2004</v>
      </c>
      <c r="H11554" s="6" t="s">
        <v>2005</v>
      </c>
      <c r="I11554" s="6" t="s">
        <v>31</v>
      </c>
      <c r="J11554" s="6">
        <v>16.830692851698</v>
      </c>
      <c r="K11554" s="6">
        <v>-96.709072442207997</v>
      </c>
      <c r="L11554" s="6" t="str">
        <f>HYPERLINK("https://maps.google.com/?q=16.8306928516981,-96.709072442207699", "🔗 Ver Mapa")</f>
        <v>🔗 Ver Mapa</v>
      </c>
    </row>
    <row r="11555" spans="1:12" ht="43.5" x14ac:dyDescent="0.35">
      <c r="A11555" s="5" t="s">
        <v>98</v>
      </c>
      <c r="B11555" s="5" t="s">
        <v>99</v>
      </c>
      <c r="C11555" s="5" t="s">
        <v>2003</v>
      </c>
      <c r="D11555" s="5" t="s">
        <v>14</v>
      </c>
      <c r="E11555" s="5" t="s">
        <v>52</v>
      </c>
      <c r="F11555" s="5" t="s">
        <v>228</v>
      </c>
      <c r="G11555" s="5" t="s">
        <v>2004</v>
      </c>
      <c r="H11555" s="5" t="s">
        <v>2005</v>
      </c>
      <c r="I11555" s="5" t="s">
        <v>31</v>
      </c>
      <c r="J11555" s="5">
        <v>16.830842464134001</v>
      </c>
      <c r="K11555" s="5">
        <v>-96.706607279761997</v>
      </c>
      <c r="L11555" s="5" t="str">
        <f>HYPERLINK("https://maps.google.com/?q=16.8308424641345,-96.706607279762196", "🔗 Ver Mapa")</f>
        <v>🔗 Ver Mapa</v>
      </c>
    </row>
    <row r="11556" spans="1:12" ht="43.5" x14ac:dyDescent="0.35">
      <c r="A11556" s="6" t="s">
        <v>98</v>
      </c>
      <c r="B11556" s="6" t="s">
        <v>99</v>
      </c>
      <c r="C11556" s="6" t="s">
        <v>2003</v>
      </c>
      <c r="D11556" s="6" t="s">
        <v>14</v>
      </c>
      <c r="E11556" s="6" t="s">
        <v>52</v>
      </c>
      <c r="F11556" s="6" t="s">
        <v>228</v>
      </c>
      <c r="G11556" s="6" t="s">
        <v>2004</v>
      </c>
      <c r="H11556" s="6" t="s">
        <v>2005</v>
      </c>
      <c r="I11556" s="6" t="s">
        <v>31</v>
      </c>
      <c r="J11556" s="6">
        <v>16.83128</v>
      </c>
      <c r="K11556" s="6">
        <v>-96.707209000000006</v>
      </c>
      <c r="L11556" s="6" t="str">
        <f>HYPERLINK("https://maps.google.com/?q=16.83128,-96.707209000000006", "🔗 Ver Mapa")</f>
        <v>🔗 Ver Mapa</v>
      </c>
    </row>
    <row r="11557" spans="1:12" ht="43.5" x14ac:dyDescent="0.35">
      <c r="A11557" s="5" t="s">
        <v>98</v>
      </c>
      <c r="B11557" s="5" t="s">
        <v>99</v>
      </c>
      <c r="C11557" s="5" t="s">
        <v>2003</v>
      </c>
      <c r="D11557" s="5" t="s">
        <v>14</v>
      </c>
      <c r="E11557" s="5" t="s">
        <v>52</v>
      </c>
      <c r="F11557" s="5" t="s">
        <v>228</v>
      </c>
      <c r="G11557" s="5" t="s">
        <v>2004</v>
      </c>
      <c r="H11557" s="5" t="s">
        <v>2005</v>
      </c>
      <c r="I11557" s="5" t="s">
        <v>31</v>
      </c>
      <c r="J11557" s="5">
        <v>16.831386925629001</v>
      </c>
      <c r="K11557" s="5">
        <v>-96.706839881131998</v>
      </c>
      <c r="L11557" s="5" t="str">
        <f>HYPERLINK("https://maps.google.com/?q=16.8313869256287,-96.706839881132098", "🔗 Ver Mapa")</f>
        <v>🔗 Ver Mapa</v>
      </c>
    </row>
    <row r="11558" spans="1:12" ht="43.5" x14ac:dyDescent="0.35">
      <c r="A11558" s="6" t="s">
        <v>98</v>
      </c>
      <c r="B11558" s="6" t="s">
        <v>99</v>
      </c>
      <c r="C11558" s="6" t="s">
        <v>2003</v>
      </c>
      <c r="D11558" s="6" t="s">
        <v>14</v>
      </c>
      <c r="E11558" s="6" t="s">
        <v>52</v>
      </c>
      <c r="F11558" s="6" t="s">
        <v>228</v>
      </c>
      <c r="G11558" s="6" t="s">
        <v>2004</v>
      </c>
      <c r="H11558" s="6" t="s">
        <v>2005</v>
      </c>
      <c r="I11558" s="6" t="s">
        <v>31</v>
      </c>
      <c r="J11558" s="6">
        <v>16.831447476055001</v>
      </c>
      <c r="K11558" s="6">
        <v>-96.706235575403994</v>
      </c>
      <c r="L11558" s="6" t="str">
        <f>HYPERLINK("https://maps.google.com/?q=16.8314474760546,-96.706235575403596", "🔗 Ver Mapa")</f>
        <v>🔗 Ver Mapa</v>
      </c>
    </row>
    <row r="11559" spans="1:12" ht="43.5" x14ac:dyDescent="0.35">
      <c r="A11559" s="5" t="s">
        <v>98</v>
      </c>
      <c r="B11559" s="5" t="s">
        <v>99</v>
      </c>
      <c r="C11559" s="5" t="s">
        <v>2003</v>
      </c>
      <c r="D11559" s="5" t="s">
        <v>14</v>
      </c>
      <c r="E11559" s="5" t="s">
        <v>52</v>
      </c>
      <c r="F11559" s="5" t="s">
        <v>228</v>
      </c>
      <c r="G11559" s="5" t="s">
        <v>2004</v>
      </c>
      <c r="H11559" s="5" t="s">
        <v>2005</v>
      </c>
      <c r="I11559" s="5" t="s">
        <v>31</v>
      </c>
      <c r="J11559" s="5">
        <v>16.831718300736</v>
      </c>
      <c r="K11559" s="5">
        <v>-96.706288553985004</v>
      </c>
      <c r="L11559" s="5" t="str">
        <f>HYPERLINK("https://maps.google.com/?q=16.8317183007358,-96.706288553984606", "🔗 Ver Mapa")</f>
        <v>🔗 Ver Mapa</v>
      </c>
    </row>
    <row r="11560" spans="1:12" ht="43.5" x14ac:dyDescent="0.35">
      <c r="A11560" s="6" t="s">
        <v>98</v>
      </c>
      <c r="B11560" s="6" t="s">
        <v>99</v>
      </c>
      <c r="C11560" s="6" t="s">
        <v>2003</v>
      </c>
      <c r="D11560" s="6" t="s">
        <v>14</v>
      </c>
      <c r="E11560" s="6" t="s">
        <v>52</v>
      </c>
      <c r="F11560" s="6" t="s">
        <v>228</v>
      </c>
      <c r="G11560" s="6" t="s">
        <v>2004</v>
      </c>
      <c r="H11560" s="6" t="s">
        <v>2005</v>
      </c>
      <c r="I11560" s="6" t="s">
        <v>31</v>
      </c>
      <c r="J11560" s="6">
        <v>16.834466362503999</v>
      </c>
      <c r="K11560" s="6">
        <v>-96.707903122684002</v>
      </c>
      <c r="L11560" s="6" t="str">
        <f>HYPERLINK("https://maps.google.com/?q=16.834466362504,-96.707903122684499", "🔗 Ver Mapa")</f>
        <v>🔗 Ver Mapa</v>
      </c>
    </row>
    <row r="11561" spans="1:12" ht="43.5" x14ac:dyDescent="0.35">
      <c r="A11561" s="5" t="s">
        <v>98</v>
      </c>
      <c r="B11561" s="5" t="s">
        <v>99</v>
      </c>
      <c r="C11561" s="5" t="s">
        <v>2003</v>
      </c>
      <c r="D11561" s="5" t="s">
        <v>14</v>
      </c>
      <c r="E11561" s="5" t="s">
        <v>52</v>
      </c>
      <c r="F11561" s="5" t="s">
        <v>228</v>
      </c>
      <c r="G11561" s="5" t="s">
        <v>2004</v>
      </c>
      <c r="H11561" s="5" t="s">
        <v>2005</v>
      </c>
      <c r="I11561" s="5" t="s">
        <v>31</v>
      </c>
      <c r="J11561" s="5">
        <v>16.834583644456</v>
      </c>
      <c r="K11561" s="5">
        <v>-96.707853670551998</v>
      </c>
      <c r="L11561" s="5" t="str">
        <f>HYPERLINK("https://maps.google.com/?q=16.834583644456,-96.707853670552197", "🔗 Ver Mapa")</f>
        <v>🔗 Ver Mapa</v>
      </c>
    </row>
    <row r="11562" spans="1:12" ht="43.5" x14ac:dyDescent="0.35">
      <c r="A11562" s="6" t="s">
        <v>98</v>
      </c>
      <c r="B11562" s="6" t="s">
        <v>99</v>
      </c>
      <c r="C11562" s="6" t="s">
        <v>2006</v>
      </c>
      <c r="D11562" s="6" t="s">
        <v>14</v>
      </c>
      <c r="E11562" s="6" t="s">
        <v>52</v>
      </c>
      <c r="F11562" s="6" t="s">
        <v>228</v>
      </c>
      <c r="G11562" s="6" t="s">
        <v>2004</v>
      </c>
      <c r="H11562" s="6" t="s">
        <v>2007</v>
      </c>
      <c r="I11562" s="6" t="s">
        <v>31</v>
      </c>
      <c r="J11562" s="6">
        <v>16.845954257835999</v>
      </c>
      <c r="K11562" s="6">
        <v>-96.748537442957002</v>
      </c>
      <c r="L11562" s="6" t="str">
        <f>HYPERLINK("https://maps.google.com/?q=16.8459542578364,-96.748537442956902", "🔗 Ver Mapa")</f>
        <v>🔗 Ver Mapa</v>
      </c>
    </row>
    <row r="11563" spans="1:12" ht="43.5" x14ac:dyDescent="0.35">
      <c r="A11563" s="5" t="s">
        <v>98</v>
      </c>
      <c r="B11563" s="5" t="s">
        <v>99</v>
      </c>
      <c r="C11563" s="5" t="s">
        <v>2006</v>
      </c>
      <c r="D11563" s="5" t="s">
        <v>14</v>
      </c>
      <c r="E11563" s="5" t="s">
        <v>52</v>
      </c>
      <c r="F11563" s="5" t="s">
        <v>228</v>
      </c>
      <c r="G11563" s="5" t="s">
        <v>2004</v>
      </c>
      <c r="H11563" s="5" t="s">
        <v>2007</v>
      </c>
      <c r="I11563" s="5" t="s">
        <v>31</v>
      </c>
      <c r="J11563" s="5">
        <v>16.846301184319</v>
      </c>
      <c r="K11563" s="5">
        <v>-96.748257349702996</v>
      </c>
      <c r="L11563" s="5" t="str">
        <f>HYPERLINK("https://maps.google.com/?q=16.8463011843191,-96.748257349702797", "🔗 Ver Mapa")</f>
        <v>🔗 Ver Mapa</v>
      </c>
    </row>
    <row r="11564" spans="1:12" ht="43.5" x14ac:dyDescent="0.35">
      <c r="A11564" s="6" t="s">
        <v>98</v>
      </c>
      <c r="B11564" s="6" t="s">
        <v>99</v>
      </c>
      <c r="C11564" s="6" t="s">
        <v>2006</v>
      </c>
      <c r="D11564" s="6" t="s">
        <v>14</v>
      </c>
      <c r="E11564" s="6" t="s">
        <v>52</v>
      </c>
      <c r="F11564" s="6" t="s">
        <v>228</v>
      </c>
      <c r="G11564" s="6" t="s">
        <v>2004</v>
      </c>
      <c r="H11564" s="6" t="s">
        <v>2007</v>
      </c>
      <c r="I11564" s="6" t="s">
        <v>31</v>
      </c>
      <c r="J11564" s="6">
        <v>16.846508151990999</v>
      </c>
      <c r="K11564" s="6">
        <v>-96.747759775462995</v>
      </c>
      <c r="L11564" s="6" t="str">
        <f>HYPERLINK("https://maps.google.com/?q=16.8465081519912,-96.747759775463095", "🔗 Ver Mapa")</f>
        <v>🔗 Ver Mapa</v>
      </c>
    </row>
    <row r="11565" spans="1:12" ht="43.5" x14ac:dyDescent="0.35">
      <c r="A11565" s="5" t="s">
        <v>98</v>
      </c>
      <c r="B11565" s="5" t="s">
        <v>99</v>
      </c>
      <c r="C11565" s="5" t="s">
        <v>2006</v>
      </c>
      <c r="D11565" s="5" t="s">
        <v>14</v>
      </c>
      <c r="E11565" s="5" t="s">
        <v>52</v>
      </c>
      <c r="F11565" s="5" t="s">
        <v>228</v>
      </c>
      <c r="G11565" s="5" t="s">
        <v>2004</v>
      </c>
      <c r="H11565" s="5" t="s">
        <v>2007</v>
      </c>
      <c r="I11565" s="5" t="s">
        <v>31</v>
      </c>
      <c r="J11565" s="5">
        <v>16.846602825163998</v>
      </c>
      <c r="K11565" s="5">
        <v>-96.748406000000003</v>
      </c>
      <c r="L11565" s="5" t="str">
        <f>HYPERLINK("https://maps.google.com/?q=16.846602825164,-96.748406000000003", "🔗 Ver Mapa")</f>
        <v>🔗 Ver Mapa</v>
      </c>
    </row>
    <row r="11566" spans="1:12" ht="43.5" x14ac:dyDescent="0.35">
      <c r="A11566" s="6" t="s">
        <v>98</v>
      </c>
      <c r="B11566" s="6" t="s">
        <v>99</v>
      </c>
      <c r="C11566" s="6" t="s">
        <v>2006</v>
      </c>
      <c r="D11566" s="6" t="s">
        <v>14</v>
      </c>
      <c r="E11566" s="6" t="s">
        <v>52</v>
      </c>
      <c r="F11566" s="6" t="s">
        <v>228</v>
      </c>
      <c r="G11566" s="6" t="s">
        <v>2004</v>
      </c>
      <c r="H11566" s="6" t="s">
        <v>2007</v>
      </c>
      <c r="I11566" s="6" t="s">
        <v>31</v>
      </c>
      <c r="J11566" s="6">
        <v>16.84662055459</v>
      </c>
      <c r="K11566" s="6">
        <v>-96.747789023313999</v>
      </c>
      <c r="L11566" s="6" t="str">
        <f>HYPERLINK("https://maps.google.com/?q=16.8466205545898,-96.747789023313501", "🔗 Ver Mapa")</f>
        <v>🔗 Ver Mapa</v>
      </c>
    </row>
    <row r="11567" spans="1:12" ht="43.5" x14ac:dyDescent="0.35">
      <c r="A11567" s="5" t="s">
        <v>98</v>
      </c>
      <c r="B11567" s="5" t="s">
        <v>99</v>
      </c>
      <c r="C11567" s="5" t="s">
        <v>2006</v>
      </c>
      <c r="D11567" s="5" t="s">
        <v>14</v>
      </c>
      <c r="E11567" s="5" t="s">
        <v>52</v>
      </c>
      <c r="F11567" s="5" t="s">
        <v>228</v>
      </c>
      <c r="G11567" s="5" t="s">
        <v>2004</v>
      </c>
      <c r="H11567" s="5" t="s">
        <v>2007</v>
      </c>
      <c r="I11567" s="5" t="s">
        <v>31</v>
      </c>
      <c r="J11567" s="5">
        <v>16.846705405232001</v>
      </c>
      <c r="K11567" s="5">
        <v>-96.748981131283003</v>
      </c>
      <c r="L11567" s="5" t="str">
        <f>HYPERLINK("https://maps.google.com/?q=16.8467054052322,-96.748981131282804", "🔗 Ver Mapa")</f>
        <v>🔗 Ver Mapa</v>
      </c>
    </row>
    <row r="11568" spans="1:12" ht="43.5" x14ac:dyDescent="0.35">
      <c r="A11568" s="6" t="s">
        <v>98</v>
      </c>
      <c r="B11568" s="6" t="s">
        <v>99</v>
      </c>
      <c r="C11568" s="6" t="s">
        <v>2006</v>
      </c>
      <c r="D11568" s="6" t="s">
        <v>14</v>
      </c>
      <c r="E11568" s="6" t="s">
        <v>52</v>
      </c>
      <c r="F11568" s="6" t="s">
        <v>228</v>
      </c>
      <c r="G11568" s="6" t="s">
        <v>2004</v>
      </c>
      <c r="H11568" s="6" t="s">
        <v>2007</v>
      </c>
      <c r="I11568" s="6" t="s">
        <v>31</v>
      </c>
      <c r="J11568" s="6">
        <v>16.846831883612001</v>
      </c>
      <c r="K11568" s="6">
        <v>-96.748437603669998</v>
      </c>
      <c r="L11568" s="6" t="str">
        <f>HYPERLINK("https://maps.google.com/?q=16.8468318836124,-96.748437603670098", "🔗 Ver Mapa")</f>
        <v>🔗 Ver Mapa</v>
      </c>
    </row>
    <row r="11569" spans="1:12" ht="43.5" x14ac:dyDescent="0.35">
      <c r="A11569" s="5" t="s">
        <v>98</v>
      </c>
      <c r="B11569" s="5" t="s">
        <v>99</v>
      </c>
      <c r="C11569" s="5" t="s">
        <v>2006</v>
      </c>
      <c r="D11569" s="5" t="s">
        <v>14</v>
      </c>
      <c r="E11569" s="5" t="s">
        <v>52</v>
      </c>
      <c r="F11569" s="5" t="s">
        <v>228</v>
      </c>
      <c r="G11569" s="5" t="s">
        <v>2004</v>
      </c>
      <c r="H11569" s="5" t="s">
        <v>2007</v>
      </c>
      <c r="I11569" s="5" t="s">
        <v>31</v>
      </c>
      <c r="J11569" s="5">
        <v>16.846902889915</v>
      </c>
      <c r="K11569" s="5">
        <v>-96.748326370246005</v>
      </c>
      <c r="L11569" s="5" t="str">
        <f>HYPERLINK("https://maps.google.com/?q=16.8469028899154,-96.748326370246403", "🔗 Ver Mapa")</f>
        <v>🔗 Ver Mapa</v>
      </c>
    </row>
    <row r="11570" spans="1:12" ht="43.5" x14ac:dyDescent="0.35">
      <c r="A11570" s="6" t="s">
        <v>98</v>
      </c>
      <c r="B11570" s="6" t="s">
        <v>99</v>
      </c>
      <c r="C11570" s="6" t="s">
        <v>2006</v>
      </c>
      <c r="D11570" s="6" t="s">
        <v>14</v>
      </c>
      <c r="E11570" s="6" t="s">
        <v>52</v>
      </c>
      <c r="F11570" s="6" t="s">
        <v>228</v>
      </c>
      <c r="G11570" s="6" t="s">
        <v>2004</v>
      </c>
      <c r="H11570" s="6" t="s">
        <v>2007</v>
      </c>
      <c r="I11570" s="6" t="s">
        <v>31</v>
      </c>
      <c r="J11570" s="6">
        <v>16.846980989824999</v>
      </c>
      <c r="K11570" s="6">
        <v>-96.748328682209007</v>
      </c>
      <c r="L11570" s="6" t="str">
        <f>HYPERLINK("https://maps.google.com/?q=16.8469809898249,-96.748328682209007", "🔗 Ver Mapa")</f>
        <v>🔗 Ver Mapa</v>
      </c>
    </row>
    <row r="11571" spans="1:12" ht="43.5" x14ac:dyDescent="0.35">
      <c r="A11571" s="5" t="s">
        <v>98</v>
      </c>
      <c r="B11571" s="5" t="s">
        <v>99</v>
      </c>
      <c r="C11571" s="5" t="s">
        <v>2006</v>
      </c>
      <c r="D11571" s="5" t="s">
        <v>14</v>
      </c>
      <c r="E11571" s="5" t="s">
        <v>52</v>
      </c>
      <c r="F11571" s="5" t="s">
        <v>228</v>
      </c>
      <c r="G11571" s="5" t="s">
        <v>2004</v>
      </c>
      <c r="H11571" s="5" t="s">
        <v>2007</v>
      </c>
      <c r="I11571" s="5" t="s">
        <v>31</v>
      </c>
      <c r="J11571" s="5">
        <v>16.847112450726001</v>
      </c>
      <c r="K11571" s="5">
        <v>-96.748889565640994</v>
      </c>
      <c r="L11571" s="5" t="str">
        <f>HYPERLINK("https://maps.google.com/?q=16.8471124507259,-96.748889565641406", "🔗 Ver Mapa")</f>
        <v>🔗 Ver Mapa</v>
      </c>
    </row>
    <row r="11572" spans="1:12" ht="43.5" x14ac:dyDescent="0.35">
      <c r="A11572" s="6" t="s">
        <v>98</v>
      </c>
      <c r="B11572" s="6" t="s">
        <v>99</v>
      </c>
      <c r="C11572" s="6" t="s">
        <v>2006</v>
      </c>
      <c r="D11572" s="6" t="s">
        <v>14</v>
      </c>
      <c r="E11572" s="6" t="s">
        <v>52</v>
      </c>
      <c r="F11572" s="6" t="s">
        <v>228</v>
      </c>
      <c r="G11572" s="6" t="s">
        <v>2004</v>
      </c>
      <c r="H11572" s="6" t="s">
        <v>2007</v>
      </c>
      <c r="I11572" s="6" t="s">
        <v>31</v>
      </c>
      <c r="J11572" s="6">
        <v>16.848184976547</v>
      </c>
      <c r="K11572" s="6">
        <v>-96.749479655837007</v>
      </c>
      <c r="L11572" s="6" t="str">
        <f>HYPERLINK("https://maps.google.com/?q=16.8481849765471,-96.749479655837007", "🔗 Ver Mapa")</f>
        <v>🔗 Ver Mapa</v>
      </c>
    </row>
    <row r="11573" spans="1:12" ht="43.5" x14ac:dyDescent="0.35">
      <c r="A11573" s="5" t="s">
        <v>98</v>
      </c>
      <c r="B11573" s="5" t="s">
        <v>99</v>
      </c>
      <c r="C11573" s="5" t="s">
        <v>2006</v>
      </c>
      <c r="D11573" s="5" t="s">
        <v>14</v>
      </c>
      <c r="E11573" s="5" t="s">
        <v>52</v>
      </c>
      <c r="F11573" s="5" t="s">
        <v>228</v>
      </c>
      <c r="G11573" s="5" t="s">
        <v>2004</v>
      </c>
      <c r="H11573" s="5" t="s">
        <v>2007</v>
      </c>
      <c r="I11573" s="5" t="s">
        <v>31</v>
      </c>
      <c r="J11573" s="5">
        <v>16.848423264537001</v>
      </c>
      <c r="K11573" s="5">
        <v>-96.746677867423998</v>
      </c>
      <c r="L11573" s="5" t="str">
        <f>HYPERLINK("https://maps.google.com/?q=16.848423264537,-96.746677867423699", "🔗 Ver Mapa")</f>
        <v>🔗 Ver Mapa</v>
      </c>
    </row>
    <row r="11574" spans="1:12" ht="43.5" x14ac:dyDescent="0.35">
      <c r="A11574" s="6" t="s">
        <v>98</v>
      </c>
      <c r="B11574" s="6" t="s">
        <v>99</v>
      </c>
      <c r="C11574" s="6" t="s">
        <v>2006</v>
      </c>
      <c r="D11574" s="6" t="s">
        <v>14</v>
      </c>
      <c r="E11574" s="6" t="s">
        <v>52</v>
      </c>
      <c r="F11574" s="6" t="s">
        <v>228</v>
      </c>
      <c r="G11574" s="6" t="s">
        <v>2004</v>
      </c>
      <c r="H11574" s="6" t="s">
        <v>2007</v>
      </c>
      <c r="I11574" s="6" t="s">
        <v>31</v>
      </c>
      <c r="J11574" s="6">
        <v>16.848585627639999</v>
      </c>
      <c r="K11574" s="6">
        <v>-96.748627201223002</v>
      </c>
      <c r="L11574" s="6" t="str">
        <f>HYPERLINK("https://maps.google.com/?q=16.8485856276398,-96.7486272012233", "🔗 Ver Mapa")</f>
        <v>🔗 Ver Mapa</v>
      </c>
    </row>
    <row r="11575" spans="1:12" ht="43.5" x14ac:dyDescent="0.35">
      <c r="A11575" s="5" t="s">
        <v>98</v>
      </c>
      <c r="B11575" s="5" t="s">
        <v>99</v>
      </c>
      <c r="C11575" s="5" t="s">
        <v>2006</v>
      </c>
      <c r="D11575" s="5" t="s">
        <v>14</v>
      </c>
      <c r="E11575" s="5" t="s">
        <v>52</v>
      </c>
      <c r="F11575" s="5" t="s">
        <v>228</v>
      </c>
      <c r="G11575" s="5" t="s">
        <v>2004</v>
      </c>
      <c r="H11575" s="5" t="s">
        <v>2007</v>
      </c>
      <c r="I11575" s="5" t="s">
        <v>31</v>
      </c>
      <c r="J11575" s="5">
        <v>16.848896546357999</v>
      </c>
      <c r="K11575" s="5">
        <v>-96.74681317209</v>
      </c>
      <c r="L11575" s="5" t="str">
        <f>HYPERLINK("https://maps.google.com/?q=16.8488965463576,-96.746813172090199", "🔗 Ver Mapa")</f>
        <v>🔗 Ver Mapa</v>
      </c>
    </row>
    <row r="11576" spans="1:12" ht="43.5" x14ac:dyDescent="0.35">
      <c r="A11576" s="6" t="s">
        <v>98</v>
      </c>
      <c r="B11576" s="6" t="s">
        <v>99</v>
      </c>
      <c r="C11576" s="6" t="s">
        <v>2006</v>
      </c>
      <c r="D11576" s="6" t="s">
        <v>14</v>
      </c>
      <c r="E11576" s="6" t="s">
        <v>52</v>
      </c>
      <c r="F11576" s="6" t="s">
        <v>228</v>
      </c>
      <c r="G11576" s="6" t="s">
        <v>2004</v>
      </c>
      <c r="H11576" s="6" t="s">
        <v>2007</v>
      </c>
      <c r="I11576" s="6" t="s">
        <v>31</v>
      </c>
      <c r="J11576" s="6">
        <v>16.849443417675001</v>
      </c>
      <c r="K11576" s="6">
        <v>-96.747575091555007</v>
      </c>
      <c r="L11576" s="6" t="str">
        <f>HYPERLINK("https://maps.google.com/?q=16.8494434176747,-96.747575091555305", "🔗 Ver Mapa")</f>
        <v>🔗 Ver Mapa</v>
      </c>
    </row>
    <row r="11577" spans="1:12" ht="43.5" x14ac:dyDescent="0.35">
      <c r="A11577" s="5" t="s">
        <v>98</v>
      </c>
      <c r="B11577" s="5" t="s">
        <v>99</v>
      </c>
      <c r="C11577" s="5" t="s">
        <v>2006</v>
      </c>
      <c r="D11577" s="5" t="s">
        <v>14</v>
      </c>
      <c r="E11577" s="5" t="s">
        <v>52</v>
      </c>
      <c r="F11577" s="5" t="s">
        <v>228</v>
      </c>
      <c r="G11577" s="5" t="s">
        <v>2004</v>
      </c>
      <c r="H11577" s="5" t="s">
        <v>2007</v>
      </c>
      <c r="I11577" s="5" t="s">
        <v>31</v>
      </c>
      <c r="J11577" s="5">
        <v>16.849772755107001</v>
      </c>
      <c r="K11577" s="5">
        <v>-96.747407343453006</v>
      </c>
      <c r="L11577" s="5" t="str">
        <f>HYPERLINK("https://maps.google.com/?q=16.8497727551066,-96.747407343452906", "🔗 Ver Mapa")</f>
        <v>🔗 Ver Mapa</v>
      </c>
    </row>
    <row r="11578" spans="1:12" ht="43.5" x14ac:dyDescent="0.35">
      <c r="A11578" s="6" t="s">
        <v>98</v>
      </c>
      <c r="B11578" s="6" t="s">
        <v>99</v>
      </c>
      <c r="C11578" s="6" t="s">
        <v>2006</v>
      </c>
      <c r="D11578" s="6" t="s">
        <v>14</v>
      </c>
      <c r="E11578" s="6" t="s">
        <v>52</v>
      </c>
      <c r="F11578" s="6" t="s">
        <v>228</v>
      </c>
      <c r="G11578" s="6" t="s">
        <v>2004</v>
      </c>
      <c r="H11578" s="6" t="s">
        <v>2007</v>
      </c>
      <c r="I11578" s="6" t="s">
        <v>31</v>
      </c>
      <c r="J11578" s="6">
        <v>16.849776780327002</v>
      </c>
      <c r="K11578" s="6">
        <v>-96.749757414103001</v>
      </c>
      <c r="L11578" s="6" t="str">
        <f>HYPERLINK("https://maps.google.com/?q=16.8497767803272,-96.749757414103499", "🔗 Ver Mapa")</f>
        <v>🔗 Ver Mapa</v>
      </c>
    </row>
    <row r="11579" spans="1:12" ht="43.5" x14ac:dyDescent="0.35">
      <c r="A11579" s="5" t="s">
        <v>98</v>
      </c>
      <c r="B11579" s="5" t="s">
        <v>99</v>
      </c>
      <c r="C11579" s="5" t="s">
        <v>2006</v>
      </c>
      <c r="D11579" s="5" t="s">
        <v>14</v>
      </c>
      <c r="E11579" s="5" t="s">
        <v>52</v>
      </c>
      <c r="F11579" s="5" t="s">
        <v>228</v>
      </c>
      <c r="G11579" s="5" t="s">
        <v>2004</v>
      </c>
      <c r="H11579" s="5" t="s">
        <v>2007</v>
      </c>
      <c r="I11579" s="5" t="s">
        <v>31</v>
      </c>
      <c r="J11579" s="5">
        <v>16.850579749802002</v>
      </c>
      <c r="K11579" s="5">
        <v>-96.751401658895006</v>
      </c>
      <c r="L11579" s="5" t="str">
        <f>HYPERLINK("https://maps.google.com/?q=16.850579749802,-96.751401658895404", "🔗 Ver Mapa")</f>
        <v>🔗 Ver Mapa</v>
      </c>
    </row>
    <row r="11580" spans="1:12" ht="43.5" x14ac:dyDescent="0.35">
      <c r="A11580" s="6" t="s">
        <v>98</v>
      </c>
      <c r="B11580" s="6" t="s">
        <v>99</v>
      </c>
      <c r="C11580" s="6" t="s">
        <v>2006</v>
      </c>
      <c r="D11580" s="6" t="s">
        <v>14</v>
      </c>
      <c r="E11580" s="6" t="s">
        <v>52</v>
      </c>
      <c r="F11580" s="6" t="s">
        <v>228</v>
      </c>
      <c r="G11580" s="6" t="s">
        <v>2004</v>
      </c>
      <c r="H11580" s="6" t="s">
        <v>2007</v>
      </c>
      <c r="I11580" s="6" t="s">
        <v>31</v>
      </c>
      <c r="J11580" s="6">
        <v>16.850752332212</v>
      </c>
      <c r="K11580" s="6">
        <v>-96.752937798776998</v>
      </c>
      <c r="L11580" s="6" t="str">
        <f>HYPERLINK("https://maps.google.com/?q=16.8507523322122,-96.7529377987766", "🔗 Ver Mapa")</f>
        <v>🔗 Ver Mapa</v>
      </c>
    </row>
    <row r="11581" spans="1:12" ht="43.5" x14ac:dyDescent="0.35">
      <c r="A11581" s="5" t="s">
        <v>98</v>
      </c>
      <c r="B11581" s="5" t="s">
        <v>99</v>
      </c>
      <c r="C11581" s="5" t="s">
        <v>2006</v>
      </c>
      <c r="D11581" s="5" t="s">
        <v>14</v>
      </c>
      <c r="E11581" s="5" t="s">
        <v>52</v>
      </c>
      <c r="F11581" s="5" t="s">
        <v>228</v>
      </c>
      <c r="G11581" s="5" t="s">
        <v>2004</v>
      </c>
      <c r="H11581" s="5" t="s">
        <v>2007</v>
      </c>
      <c r="I11581" s="5" t="s">
        <v>31</v>
      </c>
      <c r="J11581" s="5">
        <v>16.850910692546002</v>
      </c>
      <c r="K11581" s="5">
        <v>-96.747935294477003</v>
      </c>
      <c r="L11581" s="5" t="str">
        <f>HYPERLINK("https://maps.google.com/?q=16.8509106925456,-96.747935294477401", "🔗 Ver Mapa")</f>
        <v>🔗 Ver Mapa</v>
      </c>
    </row>
    <row r="11582" spans="1:12" ht="43.5" x14ac:dyDescent="0.35">
      <c r="A11582" s="6" t="s">
        <v>98</v>
      </c>
      <c r="B11582" s="6" t="s">
        <v>99</v>
      </c>
      <c r="C11582" s="6" t="s">
        <v>2006</v>
      </c>
      <c r="D11582" s="6" t="s">
        <v>14</v>
      </c>
      <c r="E11582" s="6" t="s">
        <v>52</v>
      </c>
      <c r="F11582" s="6" t="s">
        <v>228</v>
      </c>
      <c r="G11582" s="6" t="s">
        <v>2004</v>
      </c>
      <c r="H11582" s="6" t="s">
        <v>2007</v>
      </c>
      <c r="I11582" s="6" t="s">
        <v>31</v>
      </c>
      <c r="J11582" s="6">
        <v>16.850961358814999</v>
      </c>
      <c r="K11582" s="6">
        <v>-96.751300422702002</v>
      </c>
      <c r="L11582" s="6" t="str">
        <f>HYPERLINK("https://maps.google.com/?q=16.850961358815,-96.751300422701803", "🔗 Ver Mapa")</f>
        <v>🔗 Ver Mapa</v>
      </c>
    </row>
    <row r="11583" spans="1:12" ht="43.5" x14ac:dyDescent="0.35">
      <c r="A11583" s="5" t="s">
        <v>98</v>
      </c>
      <c r="B11583" s="5" t="s">
        <v>99</v>
      </c>
      <c r="C11583" s="5" t="s">
        <v>2006</v>
      </c>
      <c r="D11583" s="5" t="s">
        <v>14</v>
      </c>
      <c r="E11583" s="5" t="s">
        <v>52</v>
      </c>
      <c r="F11583" s="5" t="s">
        <v>228</v>
      </c>
      <c r="G11583" s="5" t="s">
        <v>2004</v>
      </c>
      <c r="H11583" s="5" t="s">
        <v>2007</v>
      </c>
      <c r="I11583" s="5" t="s">
        <v>31</v>
      </c>
      <c r="J11583" s="5">
        <v>16.850965400322</v>
      </c>
      <c r="K11583" s="5">
        <v>-96.750592142938999</v>
      </c>
      <c r="L11583" s="5" t="str">
        <f>HYPERLINK("https://maps.google.com/?q=16.8509654003218,-96.750592142939496", "🔗 Ver Mapa")</f>
        <v>🔗 Ver Mapa</v>
      </c>
    </row>
    <row r="11584" spans="1:12" ht="43.5" x14ac:dyDescent="0.35">
      <c r="A11584" s="6" t="s">
        <v>98</v>
      </c>
      <c r="B11584" s="6" t="s">
        <v>99</v>
      </c>
      <c r="C11584" s="6" t="s">
        <v>2006</v>
      </c>
      <c r="D11584" s="6" t="s">
        <v>14</v>
      </c>
      <c r="E11584" s="6" t="s">
        <v>52</v>
      </c>
      <c r="F11584" s="6" t="s">
        <v>228</v>
      </c>
      <c r="G11584" s="6" t="s">
        <v>2004</v>
      </c>
      <c r="H11584" s="6" t="s">
        <v>2007</v>
      </c>
      <c r="I11584" s="6" t="s">
        <v>31</v>
      </c>
      <c r="J11584" s="6">
        <v>16.851259481726999</v>
      </c>
      <c r="K11584" s="6">
        <v>-96.751340212879995</v>
      </c>
      <c r="L11584" s="6" t="str">
        <f>HYPERLINK("https://maps.google.com/?q=16.851259481727,-96.751340212880095", "🔗 Ver Mapa")</f>
        <v>🔗 Ver Mapa</v>
      </c>
    </row>
    <row r="11585" spans="1:12" ht="43.5" x14ac:dyDescent="0.35">
      <c r="A11585" s="5" t="s">
        <v>98</v>
      </c>
      <c r="B11585" s="5" t="s">
        <v>99</v>
      </c>
      <c r="C11585" s="5" t="s">
        <v>2006</v>
      </c>
      <c r="D11585" s="5" t="s">
        <v>14</v>
      </c>
      <c r="E11585" s="5" t="s">
        <v>52</v>
      </c>
      <c r="F11585" s="5" t="s">
        <v>228</v>
      </c>
      <c r="G11585" s="5" t="s">
        <v>2004</v>
      </c>
      <c r="H11585" s="5" t="s">
        <v>2007</v>
      </c>
      <c r="I11585" s="5" t="s">
        <v>31</v>
      </c>
      <c r="J11585" s="5">
        <v>16.851284841559</v>
      </c>
      <c r="K11585" s="5">
        <v>-96.751992717313001</v>
      </c>
      <c r="L11585" s="5" t="str">
        <f>HYPERLINK("https://maps.google.com/?q=16.8512848415592,-96.751992717312802", "🔗 Ver Mapa")</f>
        <v>🔗 Ver Mapa</v>
      </c>
    </row>
    <row r="11586" spans="1:12" ht="43.5" x14ac:dyDescent="0.35">
      <c r="A11586" s="6" t="s">
        <v>98</v>
      </c>
      <c r="B11586" s="6" t="s">
        <v>99</v>
      </c>
      <c r="C11586" s="6" t="s">
        <v>2006</v>
      </c>
      <c r="D11586" s="6" t="s">
        <v>14</v>
      </c>
      <c r="E11586" s="6" t="s">
        <v>52</v>
      </c>
      <c r="F11586" s="6" t="s">
        <v>228</v>
      </c>
      <c r="G11586" s="6" t="s">
        <v>2004</v>
      </c>
      <c r="H11586" s="6" t="s">
        <v>2007</v>
      </c>
      <c r="I11586" s="6" t="s">
        <v>31</v>
      </c>
      <c r="J11586" s="6">
        <v>16.851570204845999</v>
      </c>
      <c r="K11586" s="6">
        <v>-96.752395204858999</v>
      </c>
      <c r="L11586" s="6" t="str">
        <f>HYPERLINK("https://maps.google.com/?q=16.8515702048463,-96.7523952048588", "🔗 Ver Mapa")</f>
        <v>🔗 Ver Mapa</v>
      </c>
    </row>
    <row r="11587" spans="1:12" ht="43.5" x14ac:dyDescent="0.35">
      <c r="A11587" s="5" t="s">
        <v>98</v>
      </c>
      <c r="B11587" s="5" t="s">
        <v>99</v>
      </c>
      <c r="C11587" s="5" t="s">
        <v>2006</v>
      </c>
      <c r="D11587" s="5" t="s">
        <v>14</v>
      </c>
      <c r="E11587" s="5" t="s">
        <v>52</v>
      </c>
      <c r="F11587" s="5" t="s">
        <v>228</v>
      </c>
      <c r="G11587" s="5" t="s">
        <v>2004</v>
      </c>
      <c r="H11587" s="5" t="s">
        <v>2007</v>
      </c>
      <c r="I11587" s="5" t="s">
        <v>31</v>
      </c>
      <c r="J11587" s="5">
        <v>16.852249791502999</v>
      </c>
      <c r="K11587" s="5">
        <v>-96.752212577297996</v>
      </c>
      <c r="L11587" s="5" t="str">
        <f>HYPERLINK("https://maps.google.com/?q=16.8522497915033,-96.752212577298096", "🔗 Ver Mapa")</f>
        <v>🔗 Ver Mapa</v>
      </c>
    </row>
    <row r="11588" spans="1:12" ht="43.5" x14ac:dyDescent="0.35">
      <c r="A11588" s="6" t="s">
        <v>98</v>
      </c>
      <c r="B11588" s="6" t="s">
        <v>99</v>
      </c>
      <c r="C11588" s="6" t="s">
        <v>2008</v>
      </c>
      <c r="D11588" s="6" t="s">
        <v>14</v>
      </c>
      <c r="E11588" s="6" t="s">
        <v>52</v>
      </c>
      <c r="F11588" s="6" t="s">
        <v>228</v>
      </c>
      <c r="G11588" s="6" t="s">
        <v>2004</v>
      </c>
      <c r="H11588" s="6" t="s">
        <v>2009</v>
      </c>
      <c r="I11588" s="6" t="s">
        <v>31</v>
      </c>
      <c r="J11588" s="6">
        <v>16.833284031680002</v>
      </c>
      <c r="K11588" s="6">
        <v>-96.735554033705</v>
      </c>
      <c r="L11588" s="6" t="str">
        <f>HYPERLINK("https://maps.google.com/?q=16.8332840316795,-96.735554033704702", "🔗 Ver Mapa")</f>
        <v>🔗 Ver Mapa</v>
      </c>
    </row>
    <row r="11589" spans="1:12" ht="43.5" x14ac:dyDescent="0.35">
      <c r="A11589" s="5" t="s">
        <v>98</v>
      </c>
      <c r="B11589" s="5" t="s">
        <v>99</v>
      </c>
      <c r="C11589" s="5" t="s">
        <v>2008</v>
      </c>
      <c r="D11589" s="5" t="s">
        <v>14</v>
      </c>
      <c r="E11589" s="5" t="s">
        <v>52</v>
      </c>
      <c r="F11589" s="5" t="s">
        <v>228</v>
      </c>
      <c r="G11589" s="5" t="s">
        <v>2004</v>
      </c>
      <c r="H11589" s="5" t="s">
        <v>2009</v>
      </c>
      <c r="I11589" s="5" t="s">
        <v>31</v>
      </c>
      <c r="J11589" s="5">
        <v>16.833834406276999</v>
      </c>
      <c r="K11589" s="5">
        <v>-96.723621650297005</v>
      </c>
      <c r="L11589" s="5" t="str">
        <f>HYPERLINK("https://maps.google.com/?q=16.8338344062774,-96.723621650297105", "🔗 Ver Mapa")</f>
        <v>🔗 Ver Mapa</v>
      </c>
    </row>
    <row r="11590" spans="1:12" ht="43.5" x14ac:dyDescent="0.35">
      <c r="A11590" s="6" t="s">
        <v>98</v>
      </c>
      <c r="B11590" s="6" t="s">
        <v>99</v>
      </c>
      <c r="C11590" s="6" t="s">
        <v>2008</v>
      </c>
      <c r="D11590" s="6" t="s">
        <v>14</v>
      </c>
      <c r="E11590" s="6" t="s">
        <v>52</v>
      </c>
      <c r="F11590" s="6" t="s">
        <v>228</v>
      </c>
      <c r="G11590" s="6" t="s">
        <v>2004</v>
      </c>
      <c r="H11590" s="6" t="s">
        <v>2009</v>
      </c>
      <c r="I11590" s="6" t="s">
        <v>31</v>
      </c>
      <c r="J11590" s="6">
        <v>16.833894628107998</v>
      </c>
      <c r="K11590" s="6">
        <v>-96.719323752150004</v>
      </c>
      <c r="L11590" s="6" t="str">
        <f>HYPERLINK("https://maps.google.com/?q=16.8338946281083,-96.719323752149506", "🔗 Ver Mapa")</f>
        <v>🔗 Ver Mapa</v>
      </c>
    </row>
    <row r="11591" spans="1:12" ht="43.5" x14ac:dyDescent="0.35">
      <c r="A11591" s="5" t="s">
        <v>98</v>
      </c>
      <c r="B11591" s="5" t="s">
        <v>99</v>
      </c>
      <c r="C11591" s="5" t="s">
        <v>2008</v>
      </c>
      <c r="D11591" s="5" t="s">
        <v>14</v>
      </c>
      <c r="E11591" s="5" t="s">
        <v>52</v>
      </c>
      <c r="F11591" s="5" t="s">
        <v>228</v>
      </c>
      <c r="G11591" s="5" t="s">
        <v>2004</v>
      </c>
      <c r="H11591" s="5" t="s">
        <v>2009</v>
      </c>
      <c r="I11591" s="5" t="s">
        <v>31</v>
      </c>
      <c r="J11591" s="5">
        <v>16.833900831933999</v>
      </c>
      <c r="K11591" s="5">
        <v>-96.723175606834999</v>
      </c>
      <c r="L11591" s="5" t="str">
        <f>HYPERLINK("https://maps.google.com/?q=16.8339008319338,-96.723175606835497", "🔗 Ver Mapa")</f>
        <v>🔗 Ver Mapa</v>
      </c>
    </row>
    <row r="11592" spans="1:12" ht="43.5" x14ac:dyDescent="0.35">
      <c r="A11592" s="6" t="s">
        <v>98</v>
      </c>
      <c r="B11592" s="6" t="s">
        <v>99</v>
      </c>
      <c r="C11592" s="6" t="s">
        <v>2008</v>
      </c>
      <c r="D11592" s="6" t="s">
        <v>14</v>
      </c>
      <c r="E11592" s="6" t="s">
        <v>52</v>
      </c>
      <c r="F11592" s="6" t="s">
        <v>228</v>
      </c>
      <c r="G11592" s="6" t="s">
        <v>2004</v>
      </c>
      <c r="H11592" s="6" t="s">
        <v>2009</v>
      </c>
      <c r="I11592" s="6" t="s">
        <v>31</v>
      </c>
      <c r="J11592" s="6">
        <v>16.833923900803001</v>
      </c>
      <c r="K11592" s="6">
        <v>-96.723812883432004</v>
      </c>
      <c r="L11592" s="6" t="str">
        <f>HYPERLINK("https://maps.google.com/?q=16.8339239008031,-96.723812883432402", "🔗 Ver Mapa")</f>
        <v>🔗 Ver Mapa</v>
      </c>
    </row>
    <row r="11593" spans="1:12" ht="43.5" x14ac:dyDescent="0.35">
      <c r="A11593" s="5" t="s">
        <v>98</v>
      </c>
      <c r="B11593" s="5" t="s">
        <v>99</v>
      </c>
      <c r="C11593" s="5" t="s">
        <v>2008</v>
      </c>
      <c r="D11593" s="5" t="s">
        <v>14</v>
      </c>
      <c r="E11593" s="5" t="s">
        <v>52</v>
      </c>
      <c r="F11593" s="5" t="s">
        <v>228</v>
      </c>
      <c r="G11593" s="5" t="s">
        <v>2004</v>
      </c>
      <c r="H11593" s="5" t="s">
        <v>2009</v>
      </c>
      <c r="I11593" s="5" t="s">
        <v>31</v>
      </c>
      <c r="J11593" s="5">
        <v>16.834487453308</v>
      </c>
      <c r="K11593" s="5">
        <v>-96.727271341104</v>
      </c>
      <c r="L11593" s="5" t="str">
        <f>HYPERLINK("https://maps.google.com/?q=16.8344874533077,-96.727271341104398", "🔗 Ver Mapa")</f>
        <v>🔗 Ver Mapa</v>
      </c>
    </row>
    <row r="11594" spans="1:12" ht="43.5" x14ac:dyDescent="0.35">
      <c r="A11594" s="6" t="s">
        <v>98</v>
      </c>
      <c r="B11594" s="6" t="s">
        <v>99</v>
      </c>
      <c r="C11594" s="6" t="s">
        <v>2008</v>
      </c>
      <c r="D11594" s="6" t="s">
        <v>14</v>
      </c>
      <c r="E11594" s="6" t="s">
        <v>52</v>
      </c>
      <c r="F11594" s="6" t="s">
        <v>228</v>
      </c>
      <c r="G11594" s="6" t="s">
        <v>2004</v>
      </c>
      <c r="H11594" s="6" t="s">
        <v>2009</v>
      </c>
      <c r="I11594" s="6" t="s">
        <v>31</v>
      </c>
      <c r="J11594" s="6">
        <v>16.834659852790999</v>
      </c>
      <c r="K11594" s="6">
        <v>-96.729980739528997</v>
      </c>
      <c r="L11594" s="6" t="str">
        <f>HYPERLINK("https://maps.google.com/?q=16.8346598527908,-96.729980739529196", "🔗 Ver Mapa")</f>
        <v>🔗 Ver Mapa</v>
      </c>
    </row>
    <row r="11595" spans="1:12" ht="43.5" x14ac:dyDescent="0.35">
      <c r="A11595" s="5" t="s">
        <v>98</v>
      </c>
      <c r="B11595" s="5" t="s">
        <v>99</v>
      </c>
      <c r="C11595" s="5" t="s">
        <v>2008</v>
      </c>
      <c r="D11595" s="5" t="s">
        <v>14</v>
      </c>
      <c r="E11595" s="5" t="s">
        <v>52</v>
      </c>
      <c r="F11595" s="5" t="s">
        <v>228</v>
      </c>
      <c r="G11595" s="5" t="s">
        <v>2004</v>
      </c>
      <c r="H11595" s="5" t="s">
        <v>2009</v>
      </c>
      <c r="I11595" s="5" t="s">
        <v>31</v>
      </c>
      <c r="J11595" s="5">
        <v>16.83507156684</v>
      </c>
      <c r="K11595" s="5">
        <v>-96.723689953372997</v>
      </c>
      <c r="L11595" s="5" t="str">
        <f>HYPERLINK("https://maps.google.com/?q=16.83507156684,-96.723689953372897", "🔗 Ver Mapa")</f>
        <v>🔗 Ver Mapa</v>
      </c>
    </row>
    <row r="11596" spans="1:12" ht="43.5" x14ac:dyDescent="0.35">
      <c r="A11596" s="6" t="s">
        <v>98</v>
      </c>
      <c r="B11596" s="6" t="s">
        <v>99</v>
      </c>
      <c r="C11596" s="6" t="s">
        <v>2008</v>
      </c>
      <c r="D11596" s="6" t="s">
        <v>14</v>
      </c>
      <c r="E11596" s="6" t="s">
        <v>52</v>
      </c>
      <c r="F11596" s="6" t="s">
        <v>228</v>
      </c>
      <c r="G11596" s="6" t="s">
        <v>2004</v>
      </c>
      <c r="H11596" s="6" t="s">
        <v>2009</v>
      </c>
      <c r="I11596" s="6" t="s">
        <v>31</v>
      </c>
      <c r="J11596" s="6">
        <v>16.835165599113001</v>
      </c>
      <c r="K11596" s="6">
        <v>-96.728305696923996</v>
      </c>
      <c r="L11596" s="6" t="str">
        <f>HYPERLINK("https://maps.google.com/?q=16.835165599113,-96.728305696924195", "🔗 Ver Mapa")</f>
        <v>🔗 Ver Mapa</v>
      </c>
    </row>
    <row r="11597" spans="1:12" ht="43.5" x14ac:dyDescent="0.35">
      <c r="A11597" s="5" t="s">
        <v>98</v>
      </c>
      <c r="B11597" s="5" t="s">
        <v>99</v>
      </c>
      <c r="C11597" s="5" t="s">
        <v>2008</v>
      </c>
      <c r="D11597" s="5" t="s">
        <v>14</v>
      </c>
      <c r="E11597" s="5" t="s">
        <v>52</v>
      </c>
      <c r="F11597" s="5" t="s">
        <v>228</v>
      </c>
      <c r="G11597" s="5" t="s">
        <v>2004</v>
      </c>
      <c r="H11597" s="5" t="s">
        <v>2009</v>
      </c>
      <c r="I11597" s="5" t="s">
        <v>31</v>
      </c>
      <c r="J11597" s="5">
        <v>16.835207914984998</v>
      </c>
      <c r="K11597" s="5">
        <v>-96.727756084655994</v>
      </c>
      <c r="L11597" s="5" t="str">
        <f>HYPERLINK("https://maps.google.com/?q=16.8352079149847,-96.727756084655695", "🔗 Ver Mapa")</f>
        <v>🔗 Ver Mapa</v>
      </c>
    </row>
    <row r="11598" spans="1:12" ht="43.5" x14ac:dyDescent="0.35">
      <c r="A11598" s="6" t="s">
        <v>98</v>
      </c>
      <c r="B11598" s="6" t="s">
        <v>99</v>
      </c>
      <c r="C11598" s="6" t="s">
        <v>2008</v>
      </c>
      <c r="D11598" s="6" t="s">
        <v>14</v>
      </c>
      <c r="E11598" s="6" t="s">
        <v>52</v>
      </c>
      <c r="F11598" s="6" t="s">
        <v>228</v>
      </c>
      <c r="G11598" s="6" t="s">
        <v>2004</v>
      </c>
      <c r="H11598" s="6" t="s">
        <v>2009</v>
      </c>
      <c r="I11598" s="6" t="s">
        <v>31</v>
      </c>
      <c r="J11598" s="6">
        <v>16.835249286267</v>
      </c>
      <c r="K11598" s="6">
        <v>-96.727526906745993</v>
      </c>
      <c r="L11598" s="6" t="str">
        <f>HYPERLINK("https://maps.google.com/?q=16.8352492862673,-96.727526906745894", "🔗 Ver Mapa")</f>
        <v>🔗 Ver Mapa</v>
      </c>
    </row>
    <row r="11599" spans="1:12" ht="43.5" x14ac:dyDescent="0.35">
      <c r="A11599" s="5" t="s">
        <v>98</v>
      </c>
      <c r="B11599" s="5" t="s">
        <v>99</v>
      </c>
      <c r="C11599" s="5" t="s">
        <v>2008</v>
      </c>
      <c r="D11599" s="5" t="s">
        <v>14</v>
      </c>
      <c r="E11599" s="5" t="s">
        <v>52</v>
      </c>
      <c r="F11599" s="5" t="s">
        <v>228</v>
      </c>
      <c r="G11599" s="5" t="s">
        <v>2004</v>
      </c>
      <c r="H11599" s="5" t="s">
        <v>2009</v>
      </c>
      <c r="I11599" s="5" t="s">
        <v>31</v>
      </c>
      <c r="J11599" s="5">
        <v>16.835543399266999</v>
      </c>
      <c r="K11599" s="5">
        <v>-96.727339967361004</v>
      </c>
      <c r="L11599" s="5" t="str">
        <f>HYPERLINK("https://maps.google.com/?q=16.8355433992674,-96.727339967360905", "🔗 Ver Mapa")</f>
        <v>🔗 Ver Mapa</v>
      </c>
    </row>
    <row r="11600" spans="1:12" ht="43.5" x14ac:dyDescent="0.35">
      <c r="A11600" s="6" t="s">
        <v>98</v>
      </c>
      <c r="B11600" s="6" t="s">
        <v>99</v>
      </c>
      <c r="C11600" s="6" t="s">
        <v>2008</v>
      </c>
      <c r="D11600" s="6" t="s">
        <v>14</v>
      </c>
      <c r="E11600" s="6" t="s">
        <v>52</v>
      </c>
      <c r="F11600" s="6" t="s">
        <v>228</v>
      </c>
      <c r="G11600" s="6" t="s">
        <v>2004</v>
      </c>
      <c r="H11600" s="6" t="s">
        <v>2009</v>
      </c>
      <c r="I11600" s="6" t="s">
        <v>31</v>
      </c>
      <c r="J11600" s="6">
        <v>16.835717704381999</v>
      </c>
      <c r="K11600" s="6">
        <v>-96.726353968088006</v>
      </c>
      <c r="L11600" s="6" t="str">
        <f>HYPERLINK("https://maps.google.com/?q=16.8357177043824,-96.726353968088105", "🔗 Ver Mapa")</f>
        <v>🔗 Ver Mapa</v>
      </c>
    </row>
    <row r="11601" spans="1:12" ht="43.5" x14ac:dyDescent="0.35">
      <c r="A11601" s="5" t="s">
        <v>98</v>
      </c>
      <c r="B11601" s="5" t="s">
        <v>99</v>
      </c>
      <c r="C11601" s="5" t="s">
        <v>2008</v>
      </c>
      <c r="D11601" s="5" t="s">
        <v>14</v>
      </c>
      <c r="E11601" s="5" t="s">
        <v>52</v>
      </c>
      <c r="F11601" s="5" t="s">
        <v>228</v>
      </c>
      <c r="G11601" s="5" t="s">
        <v>2004</v>
      </c>
      <c r="H11601" s="5" t="s">
        <v>2009</v>
      </c>
      <c r="I11601" s="5" t="s">
        <v>31</v>
      </c>
      <c r="J11601" s="5">
        <v>16.835730256994001</v>
      </c>
      <c r="K11601" s="5">
        <v>-96.728176000000005</v>
      </c>
      <c r="L11601" s="5" t="str">
        <f>HYPERLINK("https://maps.google.com/?q=16.8357302569944,-96.728176000000005", "🔗 Ver Mapa")</f>
        <v>🔗 Ver Mapa</v>
      </c>
    </row>
    <row r="11602" spans="1:12" ht="43.5" x14ac:dyDescent="0.35">
      <c r="A11602" s="6" t="s">
        <v>98</v>
      </c>
      <c r="B11602" s="6" t="s">
        <v>99</v>
      </c>
      <c r="C11602" s="6" t="s">
        <v>2008</v>
      </c>
      <c r="D11602" s="6" t="s">
        <v>14</v>
      </c>
      <c r="E11602" s="6" t="s">
        <v>52</v>
      </c>
      <c r="F11602" s="6" t="s">
        <v>228</v>
      </c>
      <c r="G11602" s="6" t="s">
        <v>2004</v>
      </c>
      <c r="H11602" s="6" t="s">
        <v>2009</v>
      </c>
      <c r="I11602" s="6" t="s">
        <v>31</v>
      </c>
      <c r="J11602" s="6">
        <v>16.835811078580001</v>
      </c>
      <c r="K11602" s="6">
        <v>-96.729944201223006</v>
      </c>
      <c r="L11602" s="6" t="str">
        <f>HYPERLINK("https://maps.google.com/?q=16.8358110785802,-96.729944201223006", "🔗 Ver Mapa")</f>
        <v>🔗 Ver Mapa</v>
      </c>
    </row>
    <row r="11603" spans="1:12" ht="43.5" x14ac:dyDescent="0.35">
      <c r="A11603" s="5" t="s">
        <v>98</v>
      </c>
      <c r="B11603" s="5" t="s">
        <v>99</v>
      </c>
      <c r="C11603" s="5" t="s">
        <v>2008</v>
      </c>
      <c r="D11603" s="5" t="s">
        <v>14</v>
      </c>
      <c r="E11603" s="5" t="s">
        <v>52</v>
      </c>
      <c r="F11603" s="5" t="s">
        <v>228</v>
      </c>
      <c r="G11603" s="5" t="s">
        <v>2004</v>
      </c>
      <c r="H11603" s="5" t="s">
        <v>2009</v>
      </c>
      <c r="I11603" s="5" t="s">
        <v>31</v>
      </c>
      <c r="J11603" s="5">
        <v>16.835962090527001</v>
      </c>
      <c r="K11603" s="5">
        <v>-96.727856093254005</v>
      </c>
      <c r="L11603" s="5" t="str">
        <f>HYPERLINK("https://maps.google.com/?q=16.8359620905266,-96.727856093254104", "🔗 Ver Mapa")</f>
        <v>🔗 Ver Mapa</v>
      </c>
    </row>
    <row r="11604" spans="1:12" ht="43.5" x14ac:dyDescent="0.35">
      <c r="A11604" s="6" t="s">
        <v>98</v>
      </c>
      <c r="B11604" s="6" t="s">
        <v>99</v>
      </c>
      <c r="C11604" s="6" t="s">
        <v>2008</v>
      </c>
      <c r="D11604" s="6" t="s">
        <v>14</v>
      </c>
      <c r="E11604" s="6" t="s">
        <v>52</v>
      </c>
      <c r="F11604" s="6" t="s">
        <v>228</v>
      </c>
      <c r="G11604" s="6" t="s">
        <v>2004</v>
      </c>
      <c r="H11604" s="6" t="s">
        <v>2009</v>
      </c>
      <c r="I11604" s="6" t="s">
        <v>31</v>
      </c>
      <c r="J11604" s="6">
        <v>16.836052942613001</v>
      </c>
      <c r="K11604" s="6">
        <v>-96.725855135634006</v>
      </c>
      <c r="L11604" s="6" t="str">
        <f>HYPERLINK("https://maps.google.com/?q=16.8360529426127,-96.725855135633907", "🔗 Ver Mapa")</f>
        <v>🔗 Ver Mapa</v>
      </c>
    </row>
    <row r="11605" spans="1:12" ht="43.5" x14ac:dyDescent="0.35">
      <c r="A11605" s="5" t="s">
        <v>98</v>
      </c>
      <c r="B11605" s="5" t="s">
        <v>99</v>
      </c>
      <c r="C11605" s="5" t="s">
        <v>2008</v>
      </c>
      <c r="D11605" s="5" t="s">
        <v>14</v>
      </c>
      <c r="E11605" s="5" t="s">
        <v>52</v>
      </c>
      <c r="F11605" s="5" t="s">
        <v>228</v>
      </c>
      <c r="G11605" s="5" t="s">
        <v>2004</v>
      </c>
      <c r="H11605" s="5" t="s">
        <v>2009</v>
      </c>
      <c r="I11605" s="5" t="s">
        <v>31</v>
      </c>
      <c r="J11605" s="5">
        <v>16.836103122472</v>
      </c>
      <c r="K11605" s="5">
        <v>-96.727922550925996</v>
      </c>
      <c r="L11605" s="5" t="str">
        <f>HYPERLINK("https://maps.google.com/?q=16.8361031224721,-96.727922550926195", "🔗 Ver Mapa")</f>
        <v>🔗 Ver Mapa</v>
      </c>
    </row>
    <row r="11606" spans="1:12" ht="43.5" x14ac:dyDescent="0.35">
      <c r="A11606" s="6" t="s">
        <v>98</v>
      </c>
      <c r="B11606" s="6" t="s">
        <v>99</v>
      </c>
      <c r="C11606" s="6" t="s">
        <v>2008</v>
      </c>
      <c r="D11606" s="6" t="s">
        <v>14</v>
      </c>
      <c r="E11606" s="6" t="s">
        <v>52</v>
      </c>
      <c r="F11606" s="6" t="s">
        <v>228</v>
      </c>
      <c r="G11606" s="6" t="s">
        <v>2004</v>
      </c>
      <c r="H11606" s="6" t="s">
        <v>2009</v>
      </c>
      <c r="I11606" s="6" t="s">
        <v>31</v>
      </c>
      <c r="J11606" s="6">
        <v>16.83610722505</v>
      </c>
      <c r="K11606" s="6">
        <v>-96.726031023312999</v>
      </c>
      <c r="L11606" s="6" t="str">
        <f>HYPERLINK("https://maps.google.com/?q=16.8361072250504,-96.726031023313496", "🔗 Ver Mapa")</f>
        <v>🔗 Ver Mapa</v>
      </c>
    </row>
    <row r="11607" spans="1:12" ht="43.5" x14ac:dyDescent="0.35">
      <c r="A11607" s="5" t="s">
        <v>98</v>
      </c>
      <c r="B11607" s="5" t="s">
        <v>99</v>
      </c>
      <c r="C11607" s="5" t="s">
        <v>2008</v>
      </c>
      <c r="D11607" s="5" t="s">
        <v>14</v>
      </c>
      <c r="E11607" s="5" t="s">
        <v>52</v>
      </c>
      <c r="F11607" s="5" t="s">
        <v>228</v>
      </c>
      <c r="G11607" s="5" t="s">
        <v>2004</v>
      </c>
      <c r="H11607" s="5" t="s">
        <v>2009</v>
      </c>
      <c r="I11607" s="5" t="s">
        <v>31</v>
      </c>
      <c r="J11607" s="5">
        <v>16.836140166433999</v>
      </c>
      <c r="K11607" s="5">
        <v>-96.736022084656</v>
      </c>
      <c r="L11607" s="5" t="str">
        <f>HYPERLINK("https://maps.google.com/?q=16.8361401664337,-96.736022084655701", "🔗 Ver Mapa")</f>
        <v>🔗 Ver Mapa</v>
      </c>
    </row>
    <row r="11608" spans="1:12" ht="43.5" x14ac:dyDescent="0.35">
      <c r="A11608" s="6" t="s">
        <v>98</v>
      </c>
      <c r="B11608" s="6" t="s">
        <v>99</v>
      </c>
      <c r="C11608" s="6" t="s">
        <v>2008</v>
      </c>
      <c r="D11608" s="6" t="s">
        <v>14</v>
      </c>
      <c r="E11608" s="6" t="s">
        <v>52</v>
      </c>
      <c r="F11608" s="6" t="s">
        <v>228</v>
      </c>
      <c r="G11608" s="6" t="s">
        <v>2004</v>
      </c>
      <c r="H11608" s="6" t="s">
        <v>2009</v>
      </c>
      <c r="I11608" s="6" t="s">
        <v>31</v>
      </c>
      <c r="J11608" s="6">
        <v>16.836253391422002</v>
      </c>
      <c r="K11608" s="6">
        <v>-96.734266186507995</v>
      </c>
      <c r="L11608" s="6" t="str">
        <f>HYPERLINK("https://maps.google.com/?q=16.8362533914217,-96.734266186508094", "🔗 Ver Mapa")</f>
        <v>🔗 Ver Mapa</v>
      </c>
    </row>
    <row r="11609" spans="1:12" ht="43.5" x14ac:dyDescent="0.35">
      <c r="A11609" s="5" t="s">
        <v>98</v>
      </c>
      <c r="B11609" s="5" t="s">
        <v>99</v>
      </c>
      <c r="C11609" s="5" t="s">
        <v>2008</v>
      </c>
      <c r="D11609" s="5" t="s">
        <v>14</v>
      </c>
      <c r="E11609" s="5" t="s">
        <v>52</v>
      </c>
      <c r="F11609" s="5" t="s">
        <v>228</v>
      </c>
      <c r="G11609" s="5" t="s">
        <v>2004</v>
      </c>
      <c r="H11609" s="5" t="s">
        <v>2009</v>
      </c>
      <c r="I11609" s="5" t="s">
        <v>31</v>
      </c>
      <c r="J11609" s="5">
        <v>16.83628813712</v>
      </c>
      <c r="K11609" s="5">
        <v>-96.730391379132996</v>
      </c>
      <c r="L11609" s="5" t="str">
        <f>HYPERLINK("https://maps.google.com/?q=16.8362881371197,-96.730391379133195", "🔗 Ver Mapa")</f>
        <v>🔗 Ver Mapa</v>
      </c>
    </row>
    <row r="11610" spans="1:12" ht="43.5" x14ac:dyDescent="0.35">
      <c r="A11610" s="6" t="s">
        <v>98</v>
      </c>
      <c r="B11610" s="6" t="s">
        <v>99</v>
      </c>
      <c r="C11610" s="6" t="s">
        <v>2008</v>
      </c>
      <c r="D11610" s="6" t="s">
        <v>14</v>
      </c>
      <c r="E11610" s="6" t="s">
        <v>52</v>
      </c>
      <c r="F11610" s="6" t="s">
        <v>228</v>
      </c>
      <c r="G11610" s="6" t="s">
        <v>2004</v>
      </c>
      <c r="H11610" s="6" t="s">
        <v>2009</v>
      </c>
      <c r="I11610" s="6" t="s">
        <v>31</v>
      </c>
      <c r="J11610" s="6">
        <v>16.836431923707998</v>
      </c>
      <c r="K11610" s="6">
        <v>-96.734642656808006</v>
      </c>
      <c r="L11610" s="6" t="str">
        <f>HYPERLINK("https://maps.google.com/?q=16.8364319237076,-96.734642656808106", "🔗 Ver Mapa")</f>
        <v>🔗 Ver Mapa</v>
      </c>
    </row>
    <row r="11611" spans="1:12" ht="43.5" x14ac:dyDescent="0.35">
      <c r="A11611" s="5" t="s">
        <v>98</v>
      </c>
      <c r="B11611" s="5" t="s">
        <v>99</v>
      </c>
      <c r="C11611" s="5" t="s">
        <v>2008</v>
      </c>
      <c r="D11611" s="5" t="s">
        <v>14</v>
      </c>
      <c r="E11611" s="5" t="s">
        <v>52</v>
      </c>
      <c r="F11611" s="5" t="s">
        <v>228</v>
      </c>
      <c r="G11611" s="5" t="s">
        <v>2004</v>
      </c>
      <c r="H11611" s="5" t="s">
        <v>2009</v>
      </c>
      <c r="I11611" s="5" t="s">
        <v>31</v>
      </c>
      <c r="J11611" s="5">
        <v>16.836646018684</v>
      </c>
      <c r="K11611" s="5">
        <v>-96.728755474056001</v>
      </c>
      <c r="L11611" s="5" t="str">
        <f>HYPERLINK("https://maps.google.com/?q=16.8366460186837,-96.7287554740563", "🔗 Ver Mapa")</f>
        <v>🔗 Ver Mapa</v>
      </c>
    </row>
    <row r="11612" spans="1:12" ht="43.5" x14ac:dyDescent="0.35">
      <c r="A11612" s="6" t="s">
        <v>98</v>
      </c>
      <c r="B11612" s="6" t="s">
        <v>99</v>
      </c>
      <c r="C11612" s="6" t="s">
        <v>2008</v>
      </c>
      <c r="D11612" s="6" t="s">
        <v>14</v>
      </c>
      <c r="E11612" s="6" t="s">
        <v>52</v>
      </c>
      <c r="F11612" s="6" t="s">
        <v>228</v>
      </c>
      <c r="G11612" s="6" t="s">
        <v>2004</v>
      </c>
      <c r="H11612" s="6" t="s">
        <v>2009</v>
      </c>
      <c r="I11612" s="6" t="s">
        <v>31</v>
      </c>
      <c r="J11612" s="6">
        <v>16.83667349648</v>
      </c>
      <c r="K11612" s="6">
        <v>-96.735478457672002</v>
      </c>
      <c r="L11612" s="6" t="str">
        <f>HYPERLINK("https://maps.google.com/?q=16.8366734964803,-96.735478457672102", "🔗 Ver Mapa")</f>
        <v>🔗 Ver Mapa</v>
      </c>
    </row>
    <row r="11613" spans="1:12" ht="43.5" x14ac:dyDescent="0.35">
      <c r="A11613" s="5" t="s">
        <v>98</v>
      </c>
      <c r="B11613" s="5" t="s">
        <v>99</v>
      </c>
      <c r="C11613" s="5" t="s">
        <v>2008</v>
      </c>
      <c r="D11613" s="5" t="s">
        <v>14</v>
      </c>
      <c r="E11613" s="5" t="s">
        <v>52</v>
      </c>
      <c r="F11613" s="5" t="s">
        <v>228</v>
      </c>
      <c r="G11613" s="5" t="s">
        <v>2004</v>
      </c>
      <c r="H11613" s="5" t="s">
        <v>2009</v>
      </c>
      <c r="I11613" s="5" t="s">
        <v>31</v>
      </c>
      <c r="J11613" s="5">
        <v>16.836807212829999</v>
      </c>
      <c r="K11613" s="5">
        <v>-96.727573682208998</v>
      </c>
      <c r="L11613" s="5" t="str">
        <f>HYPERLINK("https://maps.google.com/?q=16.8368072128302,-96.727573682208899", "🔗 Ver Mapa")</f>
        <v>🔗 Ver Mapa</v>
      </c>
    </row>
    <row r="11614" spans="1:12" ht="43.5" x14ac:dyDescent="0.35">
      <c r="A11614" s="6" t="s">
        <v>98</v>
      </c>
      <c r="B11614" s="6" t="s">
        <v>99</v>
      </c>
      <c r="C11614" s="6" t="s">
        <v>2008</v>
      </c>
      <c r="D11614" s="6" t="s">
        <v>14</v>
      </c>
      <c r="E11614" s="6" t="s">
        <v>52</v>
      </c>
      <c r="F11614" s="6" t="s">
        <v>228</v>
      </c>
      <c r="G11614" s="6" t="s">
        <v>2004</v>
      </c>
      <c r="H11614" s="6" t="s">
        <v>2009</v>
      </c>
      <c r="I11614" s="6" t="s">
        <v>31</v>
      </c>
      <c r="J11614" s="6">
        <v>16.836869512939</v>
      </c>
      <c r="K11614" s="6">
        <v>-96.734625860807</v>
      </c>
      <c r="L11614" s="6" t="str">
        <f>HYPERLINK("https://maps.google.com/?q=16.8368695129394,-96.734625860807299", "🔗 Ver Mapa")</f>
        <v>🔗 Ver Mapa</v>
      </c>
    </row>
    <row r="11615" spans="1:12" ht="43.5" x14ac:dyDescent="0.35">
      <c r="A11615" s="5" t="s">
        <v>98</v>
      </c>
      <c r="B11615" s="5" t="s">
        <v>99</v>
      </c>
      <c r="C11615" s="5" t="s">
        <v>2008</v>
      </c>
      <c r="D11615" s="5" t="s">
        <v>14</v>
      </c>
      <c r="E11615" s="5" t="s">
        <v>52</v>
      </c>
      <c r="F11615" s="5" t="s">
        <v>228</v>
      </c>
      <c r="G11615" s="5" t="s">
        <v>2004</v>
      </c>
      <c r="H11615" s="5" t="s">
        <v>2009</v>
      </c>
      <c r="I11615" s="5" t="s">
        <v>31</v>
      </c>
      <c r="J11615" s="5">
        <v>16.836959581891001</v>
      </c>
      <c r="K11615" s="5">
        <v>-96.719337224689994</v>
      </c>
      <c r="L11615" s="5" t="str">
        <f>HYPERLINK("https://maps.google.com/?q=16.8369595818909,-96.719337224690406", "🔗 Ver Mapa")</f>
        <v>🔗 Ver Mapa</v>
      </c>
    </row>
    <row r="11616" spans="1:12" ht="43.5" x14ac:dyDescent="0.35">
      <c r="A11616" s="6" t="s">
        <v>98</v>
      </c>
      <c r="B11616" s="6" t="s">
        <v>99</v>
      </c>
      <c r="C11616" s="6" t="s">
        <v>2008</v>
      </c>
      <c r="D11616" s="6" t="s">
        <v>14</v>
      </c>
      <c r="E11616" s="6" t="s">
        <v>52</v>
      </c>
      <c r="F11616" s="6" t="s">
        <v>228</v>
      </c>
      <c r="G11616" s="6" t="s">
        <v>2004</v>
      </c>
      <c r="H11616" s="6" t="s">
        <v>2009</v>
      </c>
      <c r="I11616" s="6" t="s">
        <v>31</v>
      </c>
      <c r="J11616" s="6">
        <v>16.837027249607001</v>
      </c>
      <c r="K11616" s="6">
        <v>-96.727548480438003</v>
      </c>
      <c r="L11616" s="6" t="str">
        <f>HYPERLINK("https://maps.google.com/?q=16.837027249607,-96.727548480438003", "🔗 Ver Mapa")</f>
        <v>🔗 Ver Mapa</v>
      </c>
    </row>
    <row r="11617" spans="1:12" ht="43.5" x14ac:dyDescent="0.35">
      <c r="A11617" s="5" t="s">
        <v>98</v>
      </c>
      <c r="B11617" s="5" t="s">
        <v>99</v>
      </c>
      <c r="C11617" s="5" t="s">
        <v>2008</v>
      </c>
      <c r="D11617" s="5" t="s">
        <v>14</v>
      </c>
      <c r="E11617" s="5" t="s">
        <v>52</v>
      </c>
      <c r="F11617" s="5" t="s">
        <v>228</v>
      </c>
      <c r="G11617" s="5" t="s">
        <v>2004</v>
      </c>
      <c r="H11617" s="5" t="s">
        <v>2009</v>
      </c>
      <c r="I11617" s="5" t="s">
        <v>31</v>
      </c>
      <c r="J11617" s="5">
        <v>16.837040242164999</v>
      </c>
      <c r="K11617" s="5">
        <v>-96.729887163195002</v>
      </c>
      <c r="L11617" s="5" t="str">
        <f>HYPERLINK("https://maps.google.com/?q=16.8370402421649,-96.729887163194604", "🔗 Ver Mapa")</f>
        <v>🔗 Ver Mapa</v>
      </c>
    </row>
    <row r="11618" spans="1:12" ht="43.5" x14ac:dyDescent="0.35">
      <c r="A11618" s="6" t="s">
        <v>98</v>
      </c>
      <c r="B11618" s="6" t="s">
        <v>99</v>
      </c>
      <c r="C11618" s="6" t="s">
        <v>2008</v>
      </c>
      <c r="D11618" s="6" t="s">
        <v>14</v>
      </c>
      <c r="E11618" s="6" t="s">
        <v>52</v>
      </c>
      <c r="F11618" s="6" t="s">
        <v>228</v>
      </c>
      <c r="G11618" s="6" t="s">
        <v>2004</v>
      </c>
      <c r="H11618" s="6" t="s">
        <v>2009</v>
      </c>
      <c r="I11618" s="6" t="s">
        <v>31</v>
      </c>
      <c r="J11618" s="6">
        <v>16.837117226377</v>
      </c>
      <c r="K11618" s="6">
        <v>-96.730242314731996</v>
      </c>
      <c r="L11618" s="6" t="str">
        <f>HYPERLINK("https://maps.google.com/?q=16.8371172263774,-96.730242314732493", "🔗 Ver Mapa")</f>
        <v>🔗 Ver Mapa</v>
      </c>
    </row>
    <row r="11619" spans="1:12" ht="43.5" x14ac:dyDescent="0.35">
      <c r="A11619" s="5" t="s">
        <v>98</v>
      </c>
      <c r="B11619" s="5" t="s">
        <v>99</v>
      </c>
      <c r="C11619" s="5" t="s">
        <v>2008</v>
      </c>
      <c r="D11619" s="5" t="s">
        <v>14</v>
      </c>
      <c r="E11619" s="5" t="s">
        <v>52</v>
      </c>
      <c r="F11619" s="5" t="s">
        <v>228</v>
      </c>
      <c r="G11619" s="5" t="s">
        <v>2004</v>
      </c>
      <c r="H11619" s="5" t="s">
        <v>2009</v>
      </c>
      <c r="I11619" s="5" t="s">
        <v>31</v>
      </c>
      <c r="J11619" s="5">
        <v>16.837343929086</v>
      </c>
      <c r="K11619" s="5">
        <v>-96.735800034969998</v>
      </c>
      <c r="L11619" s="5" t="str">
        <f>HYPERLINK("https://maps.google.com/?q=16.8373439290864,-96.735800034970197", "🔗 Ver Mapa")</f>
        <v>🔗 Ver Mapa</v>
      </c>
    </row>
    <row r="11620" spans="1:12" ht="43.5" x14ac:dyDescent="0.35">
      <c r="A11620" s="6" t="s">
        <v>98</v>
      </c>
      <c r="B11620" s="6" t="s">
        <v>99</v>
      </c>
      <c r="C11620" s="6" t="s">
        <v>2008</v>
      </c>
      <c r="D11620" s="6" t="s">
        <v>14</v>
      </c>
      <c r="E11620" s="6" t="s">
        <v>52</v>
      </c>
      <c r="F11620" s="6" t="s">
        <v>228</v>
      </c>
      <c r="G11620" s="6" t="s">
        <v>2004</v>
      </c>
      <c r="H11620" s="6" t="s">
        <v>2009</v>
      </c>
      <c r="I11620" s="6" t="s">
        <v>31</v>
      </c>
      <c r="J11620" s="6">
        <v>16.837441538444999</v>
      </c>
      <c r="K11620" s="6">
        <v>-96.722995131283</v>
      </c>
      <c r="L11620" s="6" t="str">
        <f>HYPERLINK("https://maps.google.com/?q=16.8374415384445,-96.722995131282801", "🔗 Ver Mapa")</f>
        <v>🔗 Ver Mapa</v>
      </c>
    </row>
    <row r="11621" spans="1:12" ht="43.5" x14ac:dyDescent="0.35">
      <c r="A11621" s="5" t="s">
        <v>98</v>
      </c>
      <c r="B11621" s="5" t="s">
        <v>99</v>
      </c>
      <c r="C11621" s="5" t="s">
        <v>2008</v>
      </c>
      <c r="D11621" s="5" t="s">
        <v>14</v>
      </c>
      <c r="E11621" s="5" t="s">
        <v>52</v>
      </c>
      <c r="F11621" s="5" t="s">
        <v>228</v>
      </c>
      <c r="G11621" s="5" t="s">
        <v>2004</v>
      </c>
      <c r="H11621" s="5" t="s">
        <v>2009</v>
      </c>
      <c r="I11621" s="5" t="s">
        <v>31</v>
      </c>
      <c r="J11621" s="5">
        <v>16.837620286252001</v>
      </c>
      <c r="K11621" s="5">
        <v>-96.723289682209</v>
      </c>
      <c r="L11621" s="5" t="str">
        <f>HYPERLINK("https://maps.google.com/?q=16.8376202862517,-96.723289682209", "🔗 Ver Mapa")</f>
        <v>🔗 Ver Mapa</v>
      </c>
    </row>
    <row r="11622" spans="1:12" ht="43.5" x14ac:dyDescent="0.35">
      <c r="A11622" s="6" t="s">
        <v>98</v>
      </c>
      <c r="B11622" s="6" t="s">
        <v>99</v>
      </c>
      <c r="C11622" s="6" t="s">
        <v>2008</v>
      </c>
      <c r="D11622" s="6" t="s">
        <v>14</v>
      </c>
      <c r="E11622" s="6" t="s">
        <v>52</v>
      </c>
      <c r="F11622" s="6" t="s">
        <v>228</v>
      </c>
      <c r="G11622" s="6" t="s">
        <v>2004</v>
      </c>
      <c r="H11622" s="6" t="s">
        <v>2009</v>
      </c>
      <c r="I11622" s="6" t="s">
        <v>31</v>
      </c>
      <c r="J11622" s="6">
        <v>16.837694231924999</v>
      </c>
      <c r="K11622" s="6">
        <v>-96.722066918615994</v>
      </c>
      <c r="L11622" s="6" t="str">
        <f>HYPERLINK("https://maps.google.com/?q=16.8376942319248,-96.722066918615596", "🔗 Ver Mapa")</f>
        <v>🔗 Ver Mapa</v>
      </c>
    </row>
    <row r="11623" spans="1:12" ht="43.5" x14ac:dyDescent="0.35">
      <c r="A11623" s="5" t="s">
        <v>98</v>
      </c>
      <c r="B11623" s="5" t="s">
        <v>99</v>
      </c>
      <c r="C11623" s="5" t="s">
        <v>2008</v>
      </c>
      <c r="D11623" s="5" t="s">
        <v>14</v>
      </c>
      <c r="E11623" s="5" t="s">
        <v>52</v>
      </c>
      <c r="F11623" s="5" t="s">
        <v>228</v>
      </c>
      <c r="G11623" s="5" t="s">
        <v>2004</v>
      </c>
      <c r="H11623" s="5" t="s">
        <v>2009</v>
      </c>
      <c r="I11623" s="5" t="s">
        <v>31</v>
      </c>
      <c r="J11623" s="5">
        <v>16.837748464884999</v>
      </c>
      <c r="K11623" s="5">
        <v>-96.722574271164007</v>
      </c>
      <c r="L11623" s="5" t="str">
        <f>HYPERLINK("https://maps.google.com/?q=16.8377484648847,-96.722574271163893", "🔗 Ver Mapa")</f>
        <v>🔗 Ver Mapa</v>
      </c>
    </row>
    <row r="11624" spans="1:12" ht="43.5" x14ac:dyDescent="0.35">
      <c r="A11624" s="6" t="s">
        <v>98</v>
      </c>
      <c r="B11624" s="6" t="s">
        <v>99</v>
      </c>
      <c r="C11624" s="6" t="s">
        <v>2008</v>
      </c>
      <c r="D11624" s="6" t="s">
        <v>14</v>
      </c>
      <c r="E11624" s="6" t="s">
        <v>52</v>
      </c>
      <c r="F11624" s="6" t="s">
        <v>228</v>
      </c>
      <c r="G11624" s="6" t="s">
        <v>2004</v>
      </c>
      <c r="H11624" s="6" t="s">
        <v>2009</v>
      </c>
      <c r="I11624" s="6" t="s">
        <v>31</v>
      </c>
      <c r="J11624" s="6">
        <v>16.838072764128999</v>
      </c>
      <c r="K11624" s="6">
        <v>-96.722068247850004</v>
      </c>
      <c r="L11624" s="6" t="str">
        <f>HYPERLINK("https://maps.google.com/?q=16.8380727641294,-96.722068247850402", "🔗 Ver Mapa")</f>
        <v>🔗 Ver Mapa</v>
      </c>
    </row>
    <row r="11625" spans="1:12" ht="43.5" x14ac:dyDescent="0.35">
      <c r="A11625" s="5" t="s">
        <v>98</v>
      </c>
      <c r="B11625" s="5" t="s">
        <v>99</v>
      </c>
      <c r="C11625" s="5" t="s">
        <v>2008</v>
      </c>
      <c r="D11625" s="5" t="s">
        <v>14</v>
      </c>
      <c r="E11625" s="5" t="s">
        <v>52</v>
      </c>
      <c r="F11625" s="5" t="s">
        <v>228</v>
      </c>
      <c r="G11625" s="5" t="s">
        <v>2004</v>
      </c>
      <c r="H11625" s="5" t="s">
        <v>2009</v>
      </c>
      <c r="I11625" s="5" t="s">
        <v>31</v>
      </c>
      <c r="J11625" s="5">
        <v>16.838257838705001</v>
      </c>
      <c r="K11625" s="5">
        <v>-96.726049480986006</v>
      </c>
      <c r="L11625" s="5" t="str">
        <f>HYPERLINK("https://maps.google.com/?q=16.8382578387053,-96.726049480985594", "🔗 Ver Mapa")</f>
        <v>🔗 Ver Mapa</v>
      </c>
    </row>
    <row r="11626" spans="1:12" ht="43.5" x14ac:dyDescent="0.35">
      <c r="A11626" s="6" t="s">
        <v>98</v>
      </c>
      <c r="B11626" s="6" t="s">
        <v>99</v>
      </c>
      <c r="C11626" s="6" t="s">
        <v>2008</v>
      </c>
      <c r="D11626" s="6" t="s">
        <v>14</v>
      </c>
      <c r="E11626" s="6" t="s">
        <v>52</v>
      </c>
      <c r="F11626" s="6" t="s">
        <v>228</v>
      </c>
      <c r="G11626" s="6" t="s">
        <v>2004</v>
      </c>
      <c r="H11626" s="6" t="s">
        <v>2009</v>
      </c>
      <c r="I11626" s="6" t="s">
        <v>31</v>
      </c>
      <c r="J11626" s="6">
        <v>16.838424823932002</v>
      </c>
      <c r="K11626" s="6">
        <v>-96.730467303075997</v>
      </c>
      <c r="L11626" s="6" t="str">
        <f>HYPERLINK("https://maps.google.com/?q=16.8384248239316,-96.730467303075699", "🔗 Ver Mapa")</f>
        <v>🔗 Ver Mapa</v>
      </c>
    </row>
    <row r="11627" spans="1:12" ht="43.5" x14ac:dyDescent="0.35">
      <c r="A11627" s="5" t="s">
        <v>98</v>
      </c>
      <c r="B11627" s="5" t="s">
        <v>99</v>
      </c>
      <c r="C11627" s="5" t="s">
        <v>2008</v>
      </c>
      <c r="D11627" s="5" t="s">
        <v>14</v>
      </c>
      <c r="E11627" s="5" t="s">
        <v>52</v>
      </c>
      <c r="F11627" s="5" t="s">
        <v>228</v>
      </c>
      <c r="G11627" s="5" t="s">
        <v>2004</v>
      </c>
      <c r="H11627" s="5" t="s">
        <v>2009</v>
      </c>
      <c r="I11627" s="5" t="s">
        <v>31</v>
      </c>
      <c r="J11627" s="5">
        <v>16.838610181374001</v>
      </c>
      <c r="K11627" s="5">
        <v>-96.719217023314002</v>
      </c>
      <c r="L11627" s="5" t="str">
        <f>HYPERLINK("https://maps.google.com/?q=16.8386101813745,-96.719217023313504", "🔗 Ver Mapa")</f>
        <v>🔗 Ver Mapa</v>
      </c>
    </row>
    <row r="11628" spans="1:12" ht="43.5" x14ac:dyDescent="0.35">
      <c r="A11628" s="6" t="s">
        <v>98</v>
      </c>
      <c r="B11628" s="6" t="s">
        <v>99</v>
      </c>
      <c r="C11628" s="6" t="s">
        <v>2008</v>
      </c>
      <c r="D11628" s="6" t="s">
        <v>14</v>
      </c>
      <c r="E11628" s="6" t="s">
        <v>52</v>
      </c>
      <c r="F11628" s="6" t="s">
        <v>228</v>
      </c>
      <c r="G11628" s="6" t="s">
        <v>2004</v>
      </c>
      <c r="H11628" s="6" t="s">
        <v>2009</v>
      </c>
      <c r="I11628" s="6" t="s">
        <v>31</v>
      </c>
      <c r="J11628" s="6">
        <v>16.838637240478999</v>
      </c>
      <c r="K11628" s="6">
        <v>-96.721929682208994</v>
      </c>
      <c r="L11628" s="6" t="str">
        <f>HYPERLINK("https://maps.google.com/?q=16.8386372404785,-96.721929682208994", "🔗 Ver Mapa")</f>
        <v>🔗 Ver Mapa</v>
      </c>
    </row>
    <row r="11629" spans="1:12" ht="43.5" x14ac:dyDescent="0.35">
      <c r="A11629" s="5" t="s">
        <v>98</v>
      </c>
      <c r="B11629" s="5" t="s">
        <v>99</v>
      </c>
      <c r="C11629" s="5" t="s">
        <v>2008</v>
      </c>
      <c r="D11629" s="5" t="s">
        <v>14</v>
      </c>
      <c r="E11629" s="5" t="s">
        <v>52</v>
      </c>
      <c r="F11629" s="5" t="s">
        <v>228</v>
      </c>
      <c r="G11629" s="5" t="s">
        <v>2004</v>
      </c>
      <c r="H11629" s="5" t="s">
        <v>2009</v>
      </c>
      <c r="I11629" s="5" t="s">
        <v>31</v>
      </c>
      <c r="J11629" s="5">
        <v>16.838798987859999</v>
      </c>
      <c r="K11629" s="5">
        <v>-96.728218550926002</v>
      </c>
      <c r="L11629" s="5" t="str">
        <f>HYPERLINK("https://maps.google.com/?q=16.8387989878603,-96.728218550926201", "🔗 Ver Mapa")</f>
        <v>🔗 Ver Mapa</v>
      </c>
    </row>
    <row r="11630" spans="1:12" ht="43.5" x14ac:dyDescent="0.35">
      <c r="A11630" s="6" t="s">
        <v>98</v>
      </c>
      <c r="B11630" s="6" t="s">
        <v>99</v>
      </c>
      <c r="C11630" s="6" t="s">
        <v>2008</v>
      </c>
      <c r="D11630" s="6" t="s">
        <v>14</v>
      </c>
      <c r="E11630" s="6" t="s">
        <v>52</v>
      </c>
      <c r="F11630" s="6" t="s">
        <v>228</v>
      </c>
      <c r="G11630" s="6" t="s">
        <v>2004</v>
      </c>
      <c r="H11630" s="6" t="s">
        <v>2009</v>
      </c>
      <c r="I11630" s="6" t="s">
        <v>31</v>
      </c>
      <c r="J11630" s="6">
        <v>16.838893661432</v>
      </c>
      <c r="K11630" s="6">
        <v>-96.728384094454</v>
      </c>
      <c r="L11630" s="6" t="str">
        <f>HYPERLINK("https://maps.google.com/?q=16.8388936614316,-96.728384094453602", "🔗 Ver Mapa")</f>
        <v>🔗 Ver Mapa</v>
      </c>
    </row>
    <row r="11631" spans="1:12" ht="43.5" x14ac:dyDescent="0.35">
      <c r="A11631" s="5" t="s">
        <v>98</v>
      </c>
      <c r="B11631" s="5" t="s">
        <v>99</v>
      </c>
      <c r="C11631" s="5" t="s">
        <v>2008</v>
      </c>
      <c r="D11631" s="5" t="s">
        <v>14</v>
      </c>
      <c r="E11631" s="5" t="s">
        <v>52</v>
      </c>
      <c r="F11631" s="5" t="s">
        <v>228</v>
      </c>
      <c r="G11631" s="5" t="s">
        <v>2004</v>
      </c>
      <c r="H11631" s="5" t="s">
        <v>2009</v>
      </c>
      <c r="I11631" s="5" t="s">
        <v>31</v>
      </c>
      <c r="J11631" s="5">
        <v>16.839624748685999</v>
      </c>
      <c r="K11631" s="5">
        <v>-96.724366658894994</v>
      </c>
      <c r="L11631" s="5" t="str">
        <f>HYPERLINK("https://maps.google.com/?q=16.8396247486855,-96.724366658895406", "🔗 Ver Mapa")</f>
        <v>🔗 Ver Mapa</v>
      </c>
    </row>
    <row r="11632" spans="1:12" ht="43.5" x14ac:dyDescent="0.35">
      <c r="A11632" s="6" t="s">
        <v>98</v>
      </c>
      <c r="B11632" s="6" t="s">
        <v>99</v>
      </c>
      <c r="C11632" s="6" t="s">
        <v>2008</v>
      </c>
      <c r="D11632" s="6" t="s">
        <v>14</v>
      </c>
      <c r="E11632" s="6" t="s">
        <v>52</v>
      </c>
      <c r="F11632" s="6" t="s">
        <v>228</v>
      </c>
      <c r="G11632" s="6" t="s">
        <v>2004</v>
      </c>
      <c r="H11632" s="6" t="s">
        <v>2009</v>
      </c>
      <c r="I11632" s="6" t="s">
        <v>31</v>
      </c>
      <c r="J11632" s="6">
        <v>16.840521002641001</v>
      </c>
      <c r="K11632" s="6">
        <v>-96.726029224537001</v>
      </c>
      <c r="L11632" s="6" t="str">
        <f>HYPERLINK("https://maps.google.com/?q=16.8405210026414,-96.726029224536902", "🔗 Ver Mapa")</f>
        <v>🔗 Ver Mapa</v>
      </c>
    </row>
    <row r="11633" spans="1:12" ht="43.5" x14ac:dyDescent="0.35">
      <c r="A11633" s="5" t="s">
        <v>98</v>
      </c>
      <c r="B11633" s="5" t="s">
        <v>99</v>
      </c>
      <c r="C11633" s="5" t="s">
        <v>2008</v>
      </c>
      <c r="D11633" s="5" t="s">
        <v>14</v>
      </c>
      <c r="E11633" s="5" t="s">
        <v>52</v>
      </c>
      <c r="F11633" s="5" t="s">
        <v>228</v>
      </c>
      <c r="G11633" s="5" t="s">
        <v>2004</v>
      </c>
      <c r="H11633" s="5" t="s">
        <v>2009</v>
      </c>
      <c r="I11633" s="5" t="s">
        <v>31</v>
      </c>
      <c r="J11633" s="5">
        <v>16.841309480172999</v>
      </c>
      <c r="K11633" s="5">
        <v>-96.723168822090003</v>
      </c>
      <c r="L11633" s="5" t="str">
        <f>HYPERLINK("https://maps.google.com/?q=16.841309480173,-96.723168822090102", "🔗 Ver Mapa")</f>
        <v>🔗 Ver Mapa</v>
      </c>
    </row>
    <row r="11634" spans="1:12" ht="43.5" x14ac:dyDescent="0.35">
      <c r="A11634" s="6" t="s">
        <v>98</v>
      </c>
      <c r="B11634" s="6" t="s">
        <v>99</v>
      </c>
      <c r="C11634" s="6" t="s">
        <v>2008</v>
      </c>
      <c r="D11634" s="6" t="s">
        <v>14</v>
      </c>
      <c r="E11634" s="6" t="s">
        <v>52</v>
      </c>
      <c r="F11634" s="6" t="s">
        <v>228</v>
      </c>
      <c r="G11634" s="6" t="s">
        <v>2004</v>
      </c>
      <c r="H11634" s="6" t="s">
        <v>2009</v>
      </c>
      <c r="I11634" s="6" t="s">
        <v>31</v>
      </c>
      <c r="J11634" s="6">
        <v>16.841617107055999</v>
      </c>
      <c r="K11634" s="6">
        <v>-96.728927915344002</v>
      </c>
      <c r="L11634" s="6" t="str">
        <f>HYPERLINK("https://maps.google.com/?q=16.8416171070555,-96.728927915344201", "🔗 Ver Mapa")</f>
        <v>🔗 Ver Mapa</v>
      </c>
    </row>
    <row r="11635" spans="1:12" ht="43.5" x14ac:dyDescent="0.35">
      <c r="A11635" s="5" t="s">
        <v>98</v>
      </c>
      <c r="B11635" s="5" t="s">
        <v>99</v>
      </c>
      <c r="C11635" s="5" t="s">
        <v>2008</v>
      </c>
      <c r="D11635" s="5" t="s">
        <v>14</v>
      </c>
      <c r="E11635" s="5" t="s">
        <v>52</v>
      </c>
      <c r="F11635" s="5" t="s">
        <v>228</v>
      </c>
      <c r="G11635" s="5" t="s">
        <v>2004</v>
      </c>
      <c r="H11635" s="5" t="s">
        <v>2009</v>
      </c>
      <c r="I11635" s="5" t="s">
        <v>31</v>
      </c>
      <c r="J11635" s="5">
        <v>16.841663554997002</v>
      </c>
      <c r="K11635" s="5">
        <v>-96.728455442956999</v>
      </c>
      <c r="L11635" s="5" t="str">
        <f>HYPERLINK("https://maps.google.com/?q=16.8416635549966,-96.7284554429569", "🔗 Ver Mapa")</f>
        <v>🔗 Ver Mapa</v>
      </c>
    </row>
    <row r="11636" spans="1:12" ht="43.5" x14ac:dyDescent="0.35">
      <c r="A11636" s="6" t="s">
        <v>98</v>
      </c>
      <c r="B11636" s="6" t="s">
        <v>99</v>
      </c>
      <c r="C11636" s="6" t="s">
        <v>2008</v>
      </c>
      <c r="D11636" s="6" t="s">
        <v>14</v>
      </c>
      <c r="E11636" s="6" t="s">
        <v>52</v>
      </c>
      <c r="F11636" s="6" t="s">
        <v>228</v>
      </c>
      <c r="G11636" s="6" t="s">
        <v>2004</v>
      </c>
      <c r="H11636" s="6" t="s">
        <v>2009</v>
      </c>
      <c r="I11636" s="6" t="s">
        <v>31</v>
      </c>
      <c r="J11636" s="6">
        <v>16.841817465327001</v>
      </c>
      <c r="K11636" s="6">
        <v>-96.728440177910002</v>
      </c>
      <c r="L11636" s="6" t="str">
        <f>HYPERLINK("https://maps.google.com/?q=16.8418174653268,-96.728440177909803", "🔗 Ver Mapa")</f>
        <v>🔗 Ver Mapa</v>
      </c>
    </row>
    <row r="11637" spans="1:12" ht="43.5" x14ac:dyDescent="0.35">
      <c r="A11637" s="5" t="s">
        <v>98</v>
      </c>
      <c r="B11637" s="5" t="s">
        <v>99</v>
      </c>
      <c r="C11637" s="5" t="s">
        <v>2008</v>
      </c>
      <c r="D11637" s="5" t="s">
        <v>14</v>
      </c>
      <c r="E11637" s="5" t="s">
        <v>52</v>
      </c>
      <c r="F11637" s="5" t="s">
        <v>228</v>
      </c>
      <c r="G11637" s="5" t="s">
        <v>2004</v>
      </c>
      <c r="H11637" s="5" t="s">
        <v>2009</v>
      </c>
      <c r="I11637" s="5" t="s">
        <v>31</v>
      </c>
      <c r="J11637" s="5">
        <v>16.842000420546999</v>
      </c>
      <c r="K11637" s="5">
        <v>-96.730662189566999</v>
      </c>
      <c r="L11637" s="5" t="str">
        <f>HYPERLINK("https://maps.google.com/?q=16.8420004205468,-96.730662189566502", "🔗 Ver Mapa")</f>
        <v>🔗 Ver Mapa</v>
      </c>
    </row>
    <row r="11638" spans="1:12" ht="43.5" x14ac:dyDescent="0.35">
      <c r="A11638" s="6" t="s">
        <v>98</v>
      </c>
      <c r="B11638" s="6" t="s">
        <v>99</v>
      </c>
      <c r="C11638" s="6" t="s">
        <v>2008</v>
      </c>
      <c r="D11638" s="6" t="s">
        <v>14</v>
      </c>
      <c r="E11638" s="6" t="s">
        <v>52</v>
      </c>
      <c r="F11638" s="6" t="s">
        <v>228</v>
      </c>
      <c r="G11638" s="6" t="s">
        <v>2004</v>
      </c>
      <c r="H11638" s="6" t="s">
        <v>2009</v>
      </c>
      <c r="I11638" s="6" t="s">
        <v>31</v>
      </c>
      <c r="J11638" s="6">
        <v>16.842040883176001</v>
      </c>
      <c r="K11638" s="6">
        <v>-96.722847813491995</v>
      </c>
      <c r="L11638" s="6" t="str">
        <f>HYPERLINK("https://maps.google.com/?q=16.8420408831762,-96.722847813491896", "🔗 Ver Mapa")</f>
        <v>🔗 Ver Mapa</v>
      </c>
    </row>
    <row r="11639" spans="1:12" ht="43.5" x14ac:dyDescent="0.35">
      <c r="A11639" s="5" t="s">
        <v>98</v>
      </c>
      <c r="B11639" s="5" t="s">
        <v>99</v>
      </c>
      <c r="C11639" s="5" t="s">
        <v>2008</v>
      </c>
      <c r="D11639" s="5" t="s">
        <v>14</v>
      </c>
      <c r="E11639" s="5" t="s">
        <v>52</v>
      </c>
      <c r="F11639" s="5" t="s">
        <v>228</v>
      </c>
      <c r="G11639" s="5" t="s">
        <v>2004</v>
      </c>
      <c r="H11639" s="5" t="s">
        <v>2009</v>
      </c>
      <c r="I11639" s="5" t="s">
        <v>31</v>
      </c>
      <c r="J11639" s="5">
        <v>16.842382540153999</v>
      </c>
      <c r="K11639" s="5">
        <v>-96.723522224537007</v>
      </c>
      <c r="L11639" s="5" t="str">
        <f>HYPERLINK("https://maps.google.com/?q=16.8423825401541,-96.723522224536893", "🔗 Ver Mapa")</f>
        <v>🔗 Ver Mapa</v>
      </c>
    </row>
    <row r="11640" spans="1:12" ht="43.5" x14ac:dyDescent="0.35">
      <c r="A11640" s="6" t="s">
        <v>98</v>
      </c>
      <c r="B11640" s="6" t="s">
        <v>99</v>
      </c>
      <c r="C11640" s="6" t="s">
        <v>2010</v>
      </c>
      <c r="D11640" s="6" t="s">
        <v>14</v>
      </c>
      <c r="E11640" s="6" t="s">
        <v>158</v>
      </c>
      <c r="F11640" s="6" t="s">
        <v>166</v>
      </c>
      <c r="G11640" s="6" t="s">
        <v>2011</v>
      </c>
      <c r="H11640" s="6" t="s">
        <v>2012</v>
      </c>
      <c r="I11640" s="6" t="s">
        <v>31</v>
      </c>
      <c r="J11640" s="6">
        <v>16.216798772720001</v>
      </c>
      <c r="K11640" s="6">
        <v>-95.125214601899003</v>
      </c>
      <c r="L11640" s="6" t="str">
        <f>HYPERLINK("https://maps.google.com/?q=16.2167987727199,-95.125214601899003", "🔗 Ver Mapa")</f>
        <v>🔗 Ver Mapa</v>
      </c>
    </row>
    <row r="11641" spans="1:12" ht="43.5" x14ac:dyDescent="0.35">
      <c r="A11641" s="5" t="s">
        <v>98</v>
      </c>
      <c r="B11641" s="5" t="s">
        <v>99</v>
      </c>
      <c r="C11641" s="5" t="s">
        <v>2010</v>
      </c>
      <c r="D11641" s="5" t="s">
        <v>14</v>
      </c>
      <c r="E11641" s="5" t="s">
        <v>158</v>
      </c>
      <c r="F11641" s="5" t="s">
        <v>166</v>
      </c>
      <c r="G11641" s="5" t="s">
        <v>2011</v>
      </c>
      <c r="H11641" s="5" t="s">
        <v>2012</v>
      </c>
      <c r="I11641" s="5" t="s">
        <v>31</v>
      </c>
      <c r="J11641" s="5">
        <v>16.217334473676999</v>
      </c>
      <c r="K11641" s="5">
        <v>-95.125249470617007</v>
      </c>
      <c r="L11641" s="5" t="str">
        <f>HYPERLINK("https://maps.google.com/?q=16.2173344736765,-95.125249470616595", "🔗 Ver Mapa")</f>
        <v>🔗 Ver Mapa</v>
      </c>
    </row>
    <row r="11642" spans="1:12" ht="43.5" x14ac:dyDescent="0.35">
      <c r="A11642" s="6" t="s">
        <v>98</v>
      </c>
      <c r="B11642" s="6" t="s">
        <v>99</v>
      </c>
      <c r="C11642" s="6" t="s">
        <v>2010</v>
      </c>
      <c r="D11642" s="6" t="s">
        <v>14</v>
      </c>
      <c r="E11642" s="6" t="s">
        <v>158</v>
      </c>
      <c r="F11642" s="6" t="s">
        <v>166</v>
      </c>
      <c r="G11642" s="6" t="s">
        <v>2011</v>
      </c>
      <c r="H11642" s="6" t="s">
        <v>2012</v>
      </c>
      <c r="I11642" s="6" t="s">
        <v>31</v>
      </c>
      <c r="J11642" s="6">
        <v>16.217956045013999</v>
      </c>
      <c r="K11642" s="6">
        <v>-95.125385588954998</v>
      </c>
      <c r="L11642" s="6" t="str">
        <f>HYPERLINK("https://maps.google.com/?q=16.2179560450145,-95.125385588955197", "🔗 Ver Mapa")</f>
        <v>🔗 Ver Mapa</v>
      </c>
    </row>
    <row r="11643" spans="1:12" ht="43.5" x14ac:dyDescent="0.35">
      <c r="A11643" s="5" t="s">
        <v>98</v>
      </c>
      <c r="B11643" s="5" t="s">
        <v>99</v>
      </c>
      <c r="C11643" s="5" t="s">
        <v>2010</v>
      </c>
      <c r="D11643" s="5" t="s">
        <v>14</v>
      </c>
      <c r="E11643" s="5" t="s">
        <v>158</v>
      </c>
      <c r="F11643" s="5" t="s">
        <v>166</v>
      </c>
      <c r="G11643" s="5" t="s">
        <v>2011</v>
      </c>
      <c r="H11643" s="5" t="s">
        <v>2012</v>
      </c>
      <c r="I11643" s="5" t="s">
        <v>31</v>
      </c>
      <c r="J11643" s="5">
        <v>16.218140597851001</v>
      </c>
      <c r="K11643" s="5">
        <v>-95.129361297035999</v>
      </c>
      <c r="L11643" s="5" t="str">
        <f>HYPERLINK("https://maps.google.com/?q=16.218140597851,-95.129361297036198", "🔗 Ver Mapa")</f>
        <v>🔗 Ver Mapa</v>
      </c>
    </row>
    <row r="11644" spans="1:12" ht="43.5" x14ac:dyDescent="0.35">
      <c r="A11644" s="6" t="s">
        <v>98</v>
      </c>
      <c r="B11644" s="6" t="s">
        <v>99</v>
      </c>
      <c r="C11644" s="6" t="s">
        <v>2010</v>
      </c>
      <c r="D11644" s="6" t="s">
        <v>14</v>
      </c>
      <c r="E11644" s="6" t="s">
        <v>158</v>
      </c>
      <c r="F11644" s="6" t="s">
        <v>166</v>
      </c>
      <c r="G11644" s="6" t="s">
        <v>2011</v>
      </c>
      <c r="H11644" s="6" t="s">
        <v>2012</v>
      </c>
      <c r="I11644" s="6" t="s">
        <v>31</v>
      </c>
      <c r="J11644" s="6">
        <v>16.219266988440999</v>
      </c>
      <c r="K11644" s="6">
        <v>-95.127713</v>
      </c>
      <c r="L11644" s="6" t="str">
        <f>HYPERLINK("https://maps.google.com/?q=16.2192669884407,-95.127713000000298", "🔗 Ver Mapa")</f>
        <v>🔗 Ver Mapa</v>
      </c>
    </row>
    <row r="11645" spans="1:12" ht="43.5" x14ac:dyDescent="0.35">
      <c r="A11645" s="5" t="s">
        <v>98</v>
      </c>
      <c r="B11645" s="5" t="s">
        <v>99</v>
      </c>
      <c r="C11645" s="5" t="s">
        <v>2013</v>
      </c>
      <c r="D11645" s="5" t="s">
        <v>14</v>
      </c>
      <c r="E11645" s="5" t="s">
        <v>158</v>
      </c>
      <c r="F11645" s="5" t="s">
        <v>166</v>
      </c>
      <c r="G11645" s="5" t="s">
        <v>2011</v>
      </c>
      <c r="H11645" s="5" t="s">
        <v>2014</v>
      </c>
      <c r="I11645" s="5" t="s">
        <v>31</v>
      </c>
      <c r="J11645" s="5">
        <v>16.213068140000001</v>
      </c>
      <c r="K11645" s="5">
        <v>-94.975183790000003</v>
      </c>
      <c r="L11645" s="5" t="str">
        <f>HYPERLINK("https://maps.google.com/?q=16.21306814,-94.975183790000003", "🔗 Ver Mapa")</f>
        <v>🔗 Ver Mapa</v>
      </c>
    </row>
    <row r="11646" spans="1:12" ht="43.5" x14ac:dyDescent="0.35">
      <c r="A11646" s="6" t="s">
        <v>516</v>
      </c>
      <c r="B11646" s="6" t="s">
        <v>517</v>
      </c>
      <c r="C11646" s="6" t="s">
        <v>2015</v>
      </c>
      <c r="D11646" s="6" t="s">
        <v>13</v>
      </c>
      <c r="E11646" s="6" t="s">
        <v>16</v>
      </c>
      <c r="F11646" s="6" t="s">
        <v>21</v>
      </c>
      <c r="G11646" s="6" t="s">
        <v>1235</v>
      </c>
      <c r="H11646" s="6" t="s">
        <v>1236</v>
      </c>
      <c r="I11646" s="6" t="s">
        <v>32</v>
      </c>
      <c r="J11646" s="6">
        <v>17.1733732</v>
      </c>
      <c r="K11646" s="6">
        <v>-97.712153240000006</v>
      </c>
      <c r="L11646" s="6" t="str">
        <f>HYPERLINK("https://maps.google.com/?q=17.1733732,-97.712153240000006", "🔗 Ver Mapa")</f>
        <v>🔗 Ver Mapa</v>
      </c>
    </row>
    <row r="11647" spans="1:12" ht="43.5" x14ac:dyDescent="0.35">
      <c r="A11647" s="5" t="s">
        <v>516</v>
      </c>
      <c r="B11647" s="5" t="s">
        <v>517</v>
      </c>
      <c r="C11647" s="5" t="s">
        <v>2015</v>
      </c>
      <c r="D11647" s="5" t="s">
        <v>13</v>
      </c>
      <c r="E11647" s="5" t="s">
        <v>16</v>
      </c>
      <c r="F11647" s="5" t="s">
        <v>21</v>
      </c>
      <c r="G11647" s="5" t="s">
        <v>1235</v>
      </c>
      <c r="H11647" s="5" t="s">
        <v>1236</v>
      </c>
      <c r="I11647" s="5" t="s">
        <v>32</v>
      </c>
      <c r="J11647" s="5">
        <v>17.173373980000001</v>
      </c>
      <c r="K11647" s="5">
        <v>-97.711881149999996</v>
      </c>
      <c r="L11647" s="5" t="str">
        <f>HYPERLINK("https://maps.google.com/?q=17.17337398,-97.711881149999996", "🔗 Ver Mapa")</f>
        <v>🔗 Ver Mapa</v>
      </c>
    </row>
    <row r="11648" spans="1:12" ht="43.5" x14ac:dyDescent="0.35">
      <c r="A11648" s="6" t="s">
        <v>516</v>
      </c>
      <c r="B11648" s="6" t="s">
        <v>517</v>
      </c>
      <c r="C11648" s="6" t="s">
        <v>2015</v>
      </c>
      <c r="D11648" s="6" t="s">
        <v>13</v>
      </c>
      <c r="E11648" s="6" t="s">
        <v>16</v>
      </c>
      <c r="F11648" s="6" t="s">
        <v>21</v>
      </c>
      <c r="G11648" s="6" t="s">
        <v>1235</v>
      </c>
      <c r="H11648" s="6" t="s">
        <v>1236</v>
      </c>
      <c r="I11648" s="6" t="s">
        <v>32</v>
      </c>
      <c r="J11648" s="6">
        <v>17.173419410000001</v>
      </c>
      <c r="K11648" s="6">
        <v>-97.7116872</v>
      </c>
      <c r="L11648" s="6" t="str">
        <f>HYPERLINK("https://maps.google.com/?q=17.17341941,-97.7116872", "🔗 Ver Mapa")</f>
        <v>🔗 Ver Mapa</v>
      </c>
    </row>
    <row r="11649" spans="1:12" ht="43.5" x14ac:dyDescent="0.35">
      <c r="A11649" s="5" t="s">
        <v>516</v>
      </c>
      <c r="B11649" s="5" t="s">
        <v>517</v>
      </c>
      <c r="C11649" s="5" t="s">
        <v>2015</v>
      </c>
      <c r="D11649" s="5" t="s">
        <v>13</v>
      </c>
      <c r="E11649" s="5" t="s">
        <v>16</v>
      </c>
      <c r="F11649" s="5" t="s">
        <v>21</v>
      </c>
      <c r="G11649" s="5" t="s">
        <v>1235</v>
      </c>
      <c r="H11649" s="5" t="s">
        <v>1236</v>
      </c>
      <c r="I11649" s="5" t="s">
        <v>32</v>
      </c>
      <c r="J11649" s="5">
        <v>17.173446250000001</v>
      </c>
      <c r="K11649" s="5">
        <v>-97.711890289999999</v>
      </c>
      <c r="L11649" s="5" t="str">
        <f>HYPERLINK("https://maps.google.com/?q=17.17344625,-97.711890289999999", "🔗 Ver Mapa")</f>
        <v>🔗 Ver Mapa</v>
      </c>
    </row>
    <row r="11650" spans="1:12" ht="43.5" x14ac:dyDescent="0.35">
      <c r="A11650" s="6" t="s">
        <v>516</v>
      </c>
      <c r="B11650" s="6" t="s">
        <v>517</v>
      </c>
      <c r="C11650" s="6" t="s">
        <v>2015</v>
      </c>
      <c r="D11650" s="6" t="s">
        <v>13</v>
      </c>
      <c r="E11650" s="6" t="s">
        <v>16</v>
      </c>
      <c r="F11650" s="6" t="s">
        <v>21</v>
      </c>
      <c r="G11650" s="6" t="s">
        <v>1235</v>
      </c>
      <c r="H11650" s="6" t="s">
        <v>1236</v>
      </c>
      <c r="I11650" s="6" t="s">
        <v>32</v>
      </c>
      <c r="J11650" s="6">
        <v>17.173500400000002</v>
      </c>
      <c r="K11650" s="6">
        <v>-97.711394330000005</v>
      </c>
      <c r="L11650" s="6" t="str">
        <f>HYPERLINK("https://maps.google.com/?q=17.1735004,-97.711394330000005", "🔗 Ver Mapa")</f>
        <v>🔗 Ver Mapa</v>
      </c>
    </row>
    <row r="11651" spans="1:12" ht="43.5" x14ac:dyDescent="0.35">
      <c r="A11651" s="5" t="s">
        <v>516</v>
      </c>
      <c r="B11651" s="5" t="s">
        <v>517</v>
      </c>
      <c r="C11651" s="5" t="s">
        <v>2015</v>
      </c>
      <c r="D11651" s="5" t="s">
        <v>13</v>
      </c>
      <c r="E11651" s="5" t="s">
        <v>16</v>
      </c>
      <c r="F11651" s="5" t="s">
        <v>21</v>
      </c>
      <c r="G11651" s="5" t="s">
        <v>1235</v>
      </c>
      <c r="H11651" s="5" t="s">
        <v>1236</v>
      </c>
      <c r="I11651" s="5" t="s">
        <v>32</v>
      </c>
      <c r="J11651" s="5">
        <v>17.173570300000002</v>
      </c>
      <c r="K11651" s="5">
        <v>-97.711413629999996</v>
      </c>
      <c r="L11651" s="5" t="str">
        <f>HYPERLINK("https://maps.google.com/?q=17.1735703,-97.711413629999996", "🔗 Ver Mapa")</f>
        <v>🔗 Ver Mapa</v>
      </c>
    </row>
    <row r="11652" spans="1:12" ht="43.5" x14ac:dyDescent="0.35">
      <c r="A11652" s="6" t="s">
        <v>516</v>
      </c>
      <c r="B11652" s="6" t="s">
        <v>517</v>
      </c>
      <c r="C11652" s="6" t="s">
        <v>2015</v>
      </c>
      <c r="D11652" s="6" t="s">
        <v>13</v>
      </c>
      <c r="E11652" s="6" t="s">
        <v>16</v>
      </c>
      <c r="F11652" s="6" t="s">
        <v>21</v>
      </c>
      <c r="G11652" s="6" t="s">
        <v>1235</v>
      </c>
      <c r="H11652" s="6" t="s">
        <v>1236</v>
      </c>
      <c r="I11652" s="6" t="s">
        <v>32</v>
      </c>
      <c r="J11652" s="6">
        <v>17.17359518</v>
      </c>
      <c r="K11652" s="6">
        <v>-97.710989490000003</v>
      </c>
      <c r="L11652" s="6" t="str">
        <f>HYPERLINK("https://maps.google.com/?q=17.17359518,-97.710989490000003", "🔗 Ver Mapa")</f>
        <v>🔗 Ver Mapa</v>
      </c>
    </row>
    <row r="11653" spans="1:12" ht="43.5" x14ac:dyDescent="0.35">
      <c r="A11653" s="5" t="s">
        <v>516</v>
      </c>
      <c r="B11653" s="5" t="s">
        <v>517</v>
      </c>
      <c r="C11653" s="5" t="s">
        <v>2015</v>
      </c>
      <c r="D11653" s="5" t="s">
        <v>13</v>
      </c>
      <c r="E11653" s="5" t="s">
        <v>16</v>
      </c>
      <c r="F11653" s="5" t="s">
        <v>21</v>
      </c>
      <c r="G11653" s="5" t="s">
        <v>1235</v>
      </c>
      <c r="H11653" s="5" t="s">
        <v>1236</v>
      </c>
      <c r="I11653" s="5" t="s">
        <v>32</v>
      </c>
      <c r="J11653" s="5">
        <v>17.173647119999998</v>
      </c>
      <c r="K11653" s="5">
        <v>-97.710755500000005</v>
      </c>
      <c r="L11653" s="5" t="str">
        <f>HYPERLINK("https://maps.google.com/?q=17.17364712,-97.710755500000005", "🔗 Ver Mapa")</f>
        <v>🔗 Ver Mapa</v>
      </c>
    </row>
    <row r="11654" spans="1:12" ht="43.5" x14ac:dyDescent="0.35">
      <c r="A11654" s="6" t="s">
        <v>516</v>
      </c>
      <c r="B11654" s="6" t="s">
        <v>517</v>
      </c>
      <c r="C11654" s="6" t="s">
        <v>2015</v>
      </c>
      <c r="D11654" s="6" t="s">
        <v>13</v>
      </c>
      <c r="E11654" s="6" t="s">
        <v>16</v>
      </c>
      <c r="F11654" s="6" t="s">
        <v>21</v>
      </c>
      <c r="G11654" s="6" t="s">
        <v>1235</v>
      </c>
      <c r="H11654" s="6" t="s">
        <v>1236</v>
      </c>
      <c r="I11654" s="6" t="s">
        <v>32</v>
      </c>
      <c r="J11654" s="6">
        <v>17.173710750000001</v>
      </c>
      <c r="K11654" s="6">
        <v>-97.710803130000002</v>
      </c>
      <c r="L11654" s="6" t="str">
        <f>HYPERLINK("https://maps.google.com/?q=17.17371075,-97.710803130000002", "🔗 Ver Mapa")</f>
        <v>🔗 Ver Mapa</v>
      </c>
    </row>
    <row r="11655" spans="1:12" ht="43.5" x14ac:dyDescent="0.35">
      <c r="A11655" s="5" t="s">
        <v>516</v>
      </c>
      <c r="B11655" s="5" t="s">
        <v>517</v>
      </c>
      <c r="C11655" s="5" t="s">
        <v>2015</v>
      </c>
      <c r="D11655" s="5" t="s">
        <v>13</v>
      </c>
      <c r="E11655" s="5" t="s">
        <v>16</v>
      </c>
      <c r="F11655" s="5" t="s">
        <v>21</v>
      </c>
      <c r="G11655" s="5" t="s">
        <v>1235</v>
      </c>
      <c r="H11655" s="5" t="s">
        <v>1236</v>
      </c>
      <c r="I11655" s="5" t="s">
        <v>32</v>
      </c>
      <c r="J11655" s="5">
        <v>17.17374152</v>
      </c>
      <c r="K11655" s="5">
        <v>-97.709049519999994</v>
      </c>
      <c r="L11655" s="5" t="str">
        <f>HYPERLINK("https://maps.google.com/?q=17.17374152,-97.709049519999994", "🔗 Ver Mapa")</f>
        <v>🔗 Ver Mapa</v>
      </c>
    </row>
    <row r="11656" spans="1:12" ht="43.5" x14ac:dyDescent="0.35">
      <c r="A11656" s="6" t="s">
        <v>516</v>
      </c>
      <c r="B11656" s="6" t="s">
        <v>517</v>
      </c>
      <c r="C11656" s="6" t="s">
        <v>2015</v>
      </c>
      <c r="D11656" s="6" t="s">
        <v>13</v>
      </c>
      <c r="E11656" s="6" t="s">
        <v>16</v>
      </c>
      <c r="F11656" s="6" t="s">
        <v>21</v>
      </c>
      <c r="G11656" s="6" t="s">
        <v>1235</v>
      </c>
      <c r="H11656" s="6" t="s">
        <v>1236</v>
      </c>
      <c r="I11656" s="6" t="s">
        <v>32</v>
      </c>
      <c r="J11656" s="6">
        <v>17.17374835</v>
      </c>
      <c r="K11656" s="6">
        <v>-97.708729419999997</v>
      </c>
      <c r="L11656" s="6" t="str">
        <f>HYPERLINK("https://maps.google.com/?q=17.17374835,-97.708729419999997", "🔗 Ver Mapa")</f>
        <v>🔗 Ver Mapa</v>
      </c>
    </row>
    <row r="11657" spans="1:12" ht="43.5" x14ac:dyDescent="0.35">
      <c r="A11657" s="5" t="s">
        <v>516</v>
      </c>
      <c r="B11657" s="5" t="s">
        <v>517</v>
      </c>
      <c r="C11657" s="5" t="s">
        <v>2015</v>
      </c>
      <c r="D11657" s="5" t="s">
        <v>13</v>
      </c>
      <c r="E11657" s="5" t="s">
        <v>16</v>
      </c>
      <c r="F11657" s="5" t="s">
        <v>21</v>
      </c>
      <c r="G11657" s="5" t="s">
        <v>1235</v>
      </c>
      <c r="H11657" s="5" t="s">
        <v>1236</v>
      </c>
      <c r="I11657" s="5" t="s">
        <v>32</v>
      </c>
      <c r="J11657" s="5">
        <v>17.173763269999998</v>
      </c>
      <c r="K11657" s="5">
        <v>-97.708382159999999</v>
      </c>
      <c r="L11657" s="5" t="str">
        <f>HYPERLINK("https://maps.google.com/?q=17.17376327,-97.708382159999999", "🔗 Ver Mapa")</f>
        <v>🔗 Ver Mapa</v>
      </c>
    </row>
    <row r="11658" spans="1:12" ht="43.5" x14ac:dyDescent="0.35">
      <c r="A11658" s="6" t="s">
        <v>516</v>
      </c>
      <c r="B11658" s="6" t="s">
        <v>517</v>
      </c>
      <c r="C11658" s="6" t="s">
        <v>2015</v>
      </c>
      <c r="D11658" s="6" t="s">
        <v>13</v>
      </c>
      <c r="E11658" s="6" t="s">
        <v>16</v>
      </c>
      <c r="F11658" s="6" t="s">
        <v>21</v>
      </c>
      <c r="G11658" s="6" t="s">
        <v>1235</v>
      </c>
      <c r="H11658" s="6" t="s">
        <v>1236</v>
      </c>
      <c r="I11658" s="6" t="s">
        <v>32</v>
      </c>
      <c r="J11658" s="6">
        <v>17.173790270000001</v>
      </c>
      <c r="K11658" s="6">
        <v>-97.710235080000004</v>
      </c>
      <c r="L11658" s="6" t="str">
        <f>HYPERLINK("https://maps.google.com/?q=17.17379027,-97.710235080000004", "🔗 Ver Mapa")</f>
        <v>🔗 Ver Mapa</v>
      </c>
    </row>
    <row r="11659" spans="1:12" ht="43.5" x14ac:dyDescent="0.35">
      <c r="A11659" s="5" t="s">
        <v>516</v>
      </c>
      <c r="B11659" s="5" t="s">
        <v>517</v>
      </c>
      <c r="C11659" s="5" t="s">
        <v>2015</v>
      </c>
      <c r="D11659" s="5" t="s">
        <v>13</v>
      </c>
      <c r="E11659" s="5" t="s">
        <v>16</v>
      </c>
      <c r="F11659" s="5" t="s">
        <v>21</v>
      </c>
      <c r="G11659" s="5" t="s">
        <v>1235</v>
      </c>
      <c r="H11659" s="5" t="s">
        <v>1236</v>
      </c>
      <c r="I11659" s="5" t="s">
        <v>32</v>
      </c>
      <c r="J11659" s="5">
        <v>17.173794740000002</v>
      </c>
      <c r="K11659" s="5">
        <v>-97.708086249999994</v>
      </c>
      <c r="L11659" s="5" t="str">
        <f>HYPERLINK("https://maps.google.com/?q=17.17379474,-97.708086249999994", "🔗 Ver Mapa")</f>
        <v>🔗 Ver Mapa</v>
      </c>
    </row>
    <row r="11660" spans="1:12" ht="43.5" x14ac:dyDescent="0.35">
      <c r="A11660" s="6" t="s">
        <v>516</v>
      </c>
      <c r="B11660" s="6" t="s">
        <v>517</v>
      </c>
      <c r="C11660" s="6" t="s">
        <v>2015</v>
      </c>
      <c r="D11660" s="6" t="s">
        <v>13</v>
      </c>
      <c r="E11660" s="6" t="s">
        <v>16</v>
      </c>
      <c r="F11660" s="6" t="s">
        <v>21</v>
      </c>
      <c r="G11660" s="6" t="s">
        <v>1235</v>
      </c>
      <c r="H11660" s="6" t="s">
        <v>1236</v>
      </c>
      <c r="I11660" s="6" t="s">
        <v>32</v>
      </c>
      <c r="J11660" s="6">
        <v>17.173795599999998</v>
      </c>
      <c r="K11660" s="6">
        <v>-97.709311959999994</v>
      </c>
      <c r="L11660" s="6" t="str">
        <f>HYPERLINK("https://maps.google.com/?q=17.1737956,-97.709311959999994", "🔗 Ver Mapa")</f>
        <v>🔗 Ver Mapa</v>
      </c>
    </row>
    <row r="11661" spans="1:12" ht="43.5" x14ac:dyDescent="0.35">
      <c r="A11661" s="5" t="s">
        <v>516</v>
      </c>
      <c r="B11661" s="5" t="s">
        <v>517</v>
      </c>
      <c r="C11661" s="5" t="s">
        <v>2015</v>
      </c>
      <c r="D11661" s="5" t="s">
        <v>13</v>
      </c>
      <c r="E11661" s="5" t="s">
        <v>16</v>
      </c>
      <c r="F11661" s="5" t="s">
        <v>21</v>
      </c>
      <c r="G11661" s="5" t="s">
        <v>1235</v>
      </c>
      <c r="H11661" s="5" t="s">
        <v>1236</v>
      </c>
      <c r="I11661" s="5" t="s">
        <v>32</v>
      </c>
      <c r="J11661" s="5">
        <v>17.173810069999998</v>
      </c>
      <c r="K11661" s="5">
        <v>-97.707871049999994</v>
      </c>
      <c r="L11661" s="5" t="str">
        <f>HYPERLINK("https://maps.google.com/?q=17.17381007,-97.707871049999994", "🔗 Ver Mapa")</f>
        <v>🔗 Ver Mapa</v>
      </c>
    </row>
    <row r="11662" spans="1:12" ht="43.5" x14ac:dyDescent="0.35">
      <c r="A11662" s="6" t="s">
        <v>516</v>
      </c>
      <c r="B11662" s="6" t="s">
        <v>517</v>
      </c>
      <c r="C11662" s="6" t="s">
        <v>2015</v>
      </c>
      <c r="D11662" s="6" t="s">
        <v>13</v>
      </c>
      <c r="E11662" s="6" t="s">
        <v>16</v>
      </c>
      <c r="F11662" s="6" t="s">
        <v>21</v>
      </c>
      <c r="G11662" s="6" t="s">
        <v>1235</v>
      </c>
      <c r="H11662" s="6" t="s">
        <v>1236</v>
      </c>
      <c r="I11662" s="6" t="s">
        <v>32</v>
      </c>
      <c r="J11662" s="6">
        <v>17.173833760000001</v>
      </c>
      <c r="K11662" s="6">
        <v>-97.709539419999999</v>
      </c>
      <c r="L11662" s="6" t="str">
        <f>HYPERLINK("https://maps.google.com/?q=17.17383376,-97.709539419999999", "🔗 Ver Mapa")</f>
        <v>🔗 Ver Mapa</v>
      </c>
    </row>
    <row r="11663" spans="1:12" ht="43.5" x14ac:dyDescent="0.35">
      <c r="A11663" s="5" t="s">
        <v>516</v>
      </c>
      <c r="B11663" s="5" t="s">
        <v>517</v>
      </c>
      <c r="C11663" s="5" t="s">
        <v>2015</v>
      </c>
      <c r="D11663" s="5" t="s">
        <v>13</v>
      </c>
      <c r="E11663" s="5" t="s">
        <v>16</v>
      </c>
      <c r="F11663" s="5" t="s">
        <v>21</v>
      </c>
      <c r="G11663" s="5" t="s">
        <v>1235</v>
      </c>
      <c r="H11663" s="5" t="s">
        <v>1236</v>
      </c>
      <c r="I11663" s="5" t="s">
        <v>32</v>
      </c>
      <c r="J11663" s="5">
        <v>17.173837339999999</v>
      </c>
      <c r="K11663" s="5">
        <v>-97.707650900000004</v>
      </c>
      <c r="L11663" s="5" t="str">
        <f>HYPERLINK("https://maps.google.com/?q=17.17383734,-97.707650900000004", "🔗 Ver Mapa")</f>
        <v>🔗 Ver Mapa</v>
      </c>
    </row>
    <row r="11664" spans="1:12" ht="43.5" x14ac:dyDescent="0.35">
      <c r="A11664" s="6" t="s">
        <v>516</v>
      </c>
      <c r="B11664" s="6" t="s">
        <v>517</v>
      </c>
      <c r="C11664" s="6" t="s">
        <v>2015</v>
      </c>
      <c r="D11664" s="6" t="s">
        <v>13</v>
      </c>
      <c r="E11664" s="6" t="s">
        <v>16</v>
      </c>
      <c r="F11664" s="6" t="s">
        <v>21</v>
      </c>
      <c r="G11664" s="6" t="s">
        <v>1235</v>
      </c>
      <c r="H11664" s="6" t="s">
        <v>1236</v>
      </c>
      <c r="I11664" s="6" t="s">
        <v>32</v>
      </c>
      <c r="J11664" s="6">
        <v>17.173866189999998</v>
      </c>
      <c r="K11664" s="6">
        <v>-97.707460459999993</v>
      </c>
      <c r="L11664" s="6" t="str">
        <f>HYPERLINK("https://maps.google.com/?q=17.17386619,-97.707460459999993", "🔗 Ver Mapa")</f>
        <v>🔗 Ver Mapa</v>
      </c>
    </row>
    <row r="11665" spans="1:12" ht="43.5" x14ac:dyDescent="0.35">
      <c r="A11665" s="5" t="s">
        <v>516</v>
      </c>
      <c r="B11665" s="5" t="s">
        <v>517</v>
      </c>
      <c r="C11665" s="5" t="s">
        <v>2015</v>
      </c>
      <c r="D11665" s="5" t="s">
        <v>13</v>
      </c>
      <c r="E11665" s="5" t="s">
        <v>16</v>
      </c>
      <c r="F11665" s="5" t="s">
        <v>21</v>
      </c>
      <c r="G11665" s="5" t="s">
        <v>1235</v>
      </c>
      <c r="H11665" s="5" t="s">
        <v>1236</v>
      </c>
      <c r="I11665" s="5" t="s">
        <v>32</v>
      </c>
      <c r="J11665" s="5">
        <v>17.173879280000001</v>
      </c>
      <c r="K11665" s="5">
        <v>-97.70990243</v>
      </c>
      <c r="L11665" s="5" t="str">
        <f>HYPERLINK("https://maps.google.com/?q=17.17387928,-97.70990243", "🔗 Ver Mapa")</f>
        <v>🔗 Ver Mapa</v>
      </c>
    </row>
    <row r="11666" spans="1:12" ht="43.5" x14ac:dyDescent="0.35">
      <c r="A11666" s="6" t="s">
        <v>516</v>
      </c>
      <c r="B11666" s="6" t="s">
        <v>517</v>
      </c>
      <c r="C11666" s="6" t="s">
        <v>2015</v>
      </c>
      <c r="D11666" s="6" t="s">
        <v>13</v>
      </c>
      <c r="E11666" s="6" t="s">
        <v>16</v>
      </c>
      <c r="F11666" s="6" t="s">
        <v>21</v>
      </c>
      <c r="G11666" s="6" t="s">
        <v>1235</v>
      </c>
      <c r="H11666" s="6" t="s">
        <v>1236</v>
      </c>
      <c r="I11666" s="6" t="s">
        <v>32</v>
      </c>
      <c r="J11666" s="6">
        <v>17.174030559999999</v>
      </c>
      <c r="K11666" s="6">
        <v>-97.707111839999996</v>
      </c>
      <c r="L11666" s="6" t="str">
        <f>HYPERLINK("https://maps.google.com/?q=17.17403056,-97.707111839999996", "🔗 Ver Mapa")</f>
        <v>🔗 Ver Mapa</v>
      </c>
    </row>
    <row r="11667" spans="1:12" ht="43.5" x14ac:dyDescent="0.35">
      <c r="A11667" s="5" t="s">
        <v>516</v>
      </c>
      <c r="B11667" s="5" t="s">
        <v>517</v>
      </c>
      <c r="C11667" s="5" t="s">
        <v>2015</v>
      </c>
      <c r="D11667" s="5" t="s">
        <v>13</v>
      </c>
      <c r="E11667" s="5" t="s">
        <v>16</v>
      </c>
      <c r="F11667" s="5" t="s">
        <v>21</v>
      </c>
      <c r="G11667" s="5" t="s">
        <v>1235</v>
      </c>
      <c r="H11667" s="5" t="s">
        <v>1236</v>
      </c>
      <c r="I11667" s="5" t="s">
        <v>32</v>
      </c>
      <c r="J11667" s="5">
        <v>17.174107429999999</v>
      </c>
      <c r="K11667" s="5">
        <v>-97.706917390000001</v>
      </c>
      <c r="L11667" s="5" t="str">
        <f>HYPERLINK("https://maps.google.com/?q=17.17410743,-97.706917390000001", "🔗 Ver Mapa")</f>
        <v>🔗 Ver Mapa</v>
      </c>
    </row>
    <row r="11668" spans="1:12" ht="43.5" x14ac:dyDescent="0.35">
      <c r="A11668" s="6" t="s">
        <v>516</v>
      </c>
      <c r="B11668" s="6" t="s">
        <v>517</v>
      </c>
      <c r="C11668" s="6" t="s">
        <v>2015</v>
      </c>
      <c r="D11668" s="6" t="s">
        <v>13</v>
      </c>
      <c r="E11668" s="6" t="s">
        <v>16</v>
      </c>
      <c r="F11668" s="6" t="s">
        <v>21</v>
      </c>
      <c r="G11668" s="6" t="s">
        <v>1235</v>
      </c>
      <c r="H11668" s="6" t="s">
        <v>1236</v>
      </c>
      <c r="I11668" s="6" t="s">
        <v>32</v>
      </c>
      <c r="J11668" s="6">
        <v>17.17417524</v>
      </c>
      <c r="K11668" s="6">
        <v>-97.706712670000002</v>
      </c>
      <c r="L11668" s="6" t="str">
        <f>HYPERLINK("https://maps.google.com/?q=17.17417524,-97.706712670000002", "🔗 Ver Mapa")</f>
        <v>🔗 Ver Mapa</v>
      </c>
    </row>
    <row r="11669" spans="1:12" ht="43.5" x14ac:dyDescent="0.35">
      <c r="A11669" s="5" t="s">
        <v>516</v>
      </c>
      <c r="B11669" s="5" t="s">
        <v>517</v>
      </c>
      <c r="C11669" s="5" t="s">
        <v>2015</v>
      </c>
      <c r="D11669" s="5" t="s">
        <v>13</v>
      </c>
      <c r="E11669" s="5" t="s">
        <v>16</v>
      </c>
      <c r="F11669" s="5" t="s">
        <v>21</v>
      </c>
      <c r="G11669" s="5" t="s">
        <v>1235</v>
      </c>
      <c r="H11669" s="5" t="s">
        <v>1236</v>
      </c>
      <c r="I11669" s="5" t="s">
        <v>32</v>
      </c>
      <c r="J11669" s="5">
        <v>17.174191499999999</v>
      </c>
      <c r="K11669" s="5">
        <v>-97.710118320000007</v>
      </c>
      <c r="L11669" s="5" t="str">
        <f>HYPERLINK("https://maps.google.com/?q=17.1741915,-97.710118320000007", "🔗 Ver Mapa")</f>
        <v>🔗 Ver Mapa</v>
      </c>
    </row>
    <row r="11670" spans="1:12" ht="43.5" x14ac:dyDescent="0.35">
      <c r="A11670" s="6" t="s">
        <v>516</v>
      </c>
      <c r="B11670" s="6" t="s">
        <v>517</v>
      </c>
      <c r="C11670" s="6" t="s">
        <v>2015</v>
      </c>
      <c r="D11670" s="6" t="s">
        <v>13</v>
      </c>
      <c r="E11670" s="6" t="s">
        <v>16</v>
      </c>
      <c r="F11670" s="6" t="s">
        <v>21</v>
      </c>
      <c r="G11670" s="6" t="s">
        <v>1235</v>
      </c>
      <c r="H11670" s="6" t="s">
        <v>1236</v>
      </c>
      <c r="I11670" s="6" t="s">
        <v>32</v>
      </c>
      <c r="J11670" s="6">
        <v>17.174318719999999</v>
      </c>
      <c r="K11670" s="6">
        <v>-97.706566460000005</v>
      </c>
      <c r="L11670" s="6" t="str">
        <f>HYPERLINK("https://maps.google.com/?q=17.17431872,-97.706566460000005", "🔗 Ver Mapa")</f>
        <v>🔗 Ver Mapa</v>
      </c>
    </row>
    <row r="11671" spans="1:12" ht="43.5" x14ac:dyDescent="0.35">
      <c r="A11671" s="5" t="s">
        <v>516</v>
      </c>
      <c r="B11671" s="5" t="s">
        <v>517</v>
      </c>
      <c r="C11671" s="5" t="s">
        <v>2015</v>
      </c>
      <c r="D11671" s="5" t="s">
        <v>13</v>
      </c>
      <c r="E11671" s="5" t="s">
        <v>16</v>
      </c>
      <c r="F11671" s="5" t="s">
        <v>21</v>
      </c>
      <c r="G11671" s="5" t="s">
        <v>1235</v>
      </c>
      <c r="H11671" s="5" t="s">
        <v>1236</v>
      </c>
      <c r="I11671" s="5" t="s">
        <v>32</v>
      </c>
      <c r="J11671" s="5">
        <v>17.174526029999999</v>
      </c>
      <c r="K11671" s="5">
        <v>-97.710073530000003</v>
      </c>
      <c r="L11671" s="5" t="str">
        <f>HYPERLINK("https://maps.google.com/?q=17.17452603,-97.710073530000003", "🔗 Ver Mapa")</f>
        <v>🔗 Ver Mapa</v>
      </c>
    </row>
    <row r="11672" spans="1:12" ht="43.5" x14ac:dyDescent="0.35">
      <c r="A11672" s="6" t="s">
        <v>516</v>
      </c>
      <c r="B11672" s="6" t="s">
        <v>517</v>
      </c>
      <c r="C11672" s="6" t="s">
        <v>2015</v>
      </c>
      <c r="D11672" s="6" t="s">
        <v>13</v>
      </c>
      <c r="E11672" s="6" t="s">
        <v>16</v>
      </c>
      <c r="F11672" s="6" t="s">
        <v>21</v>
      </c>
      <c r="G11672" s="6" t="s">
        <v>1235</v>
      </c>
      <c r="H11672" s="6" t="s">
        <v>1236</v>
      </c>
      <c r="I11672" s="6" t="s">
        <v>32</v>
      </c>
      <c r="J11672" s="6">
        <v>17.174617609999999</v>
      </c>
      <c r="K11672" s="6">
        <v>-97.706135509999996</v>
      </c>
      <c r="L11672" s="6" t="str">
        <f>HYPERLINK("https://maps.google.com/?q=17.17461761,-97.706135509999996", "🔗 Ver Mapa")</f>
        <v>🔗 Ver Mapa</v>
      </c>
    </row>
    <row r="11673" spans="1:12" ht="43.5" x14ac:dyDescent="0.35">
      <c r="A11673" s="5" t="s">
        <v>516</v>
      </c>
      <c r="B11673" s="5" t="s">
        <v>517</v>
      </c>
      <c r="C11673" s="5" t="s">
        <v>2015</v>
      </c>
      <c r="D11673" s="5" t="s">
        <v>13</v>
      </c>
      <c r="E11673" s="5" t="s">
        <v>16</v>
      </c>
      <c r="F11673" s="5" t="s">
        <v>21</v>
      </c>
      <c r="G11673" s="5" t="s">
        <v>1235</v>
      </c>
      <c r="H11673" s="5" t="s">
        <v>1236</v>
      </c>
      <c r="I11673" s="5" t="s">
        <v>32</v>
      </c>
      <c r="J11673" s="5">
        <v>17.17471759</v>
      </c>
      <c r="K11673" s="5">
        <v>-97.706059519999997</v>
      </c>
      <c r="L11673" s="5" t="str">
        <f>HYPERLINK("https://maps.google.com/?q=17.17471759,-97.706059519999997", "🔗 Ver Mapa")</f>
        <v>🔗 Ver Mapa</v>
      </c>
    </row>
    <row r="11674" spans="1:12" ht="43.5" x14ac:dyDescent="0.35">
      <c r="A11674" s="6" t="s">
        <v>516</v>
      </c>
      <c r="B11674" s="6" t="s">
        <v>517</v>
      </c>
      <c r="C11674" s="6" t="s">
        <v>2015</v>
      </c>
      <c r="D11674" s="6" t="s">
        <v>13</v>
      </c>
      <c r="E11674" s="6" t="s">
        <v>16</v>
      </c>
      <c r="F11674" s="6" t="s">
        <v>21</v>
      </c>
      <c r="G11674" s="6" t="s">
        <v>1235</v>
      </c>
      <c r="H11674" s="6" t="s">
        <v>1236</v>
      </c>
      <c r="I11674" s="6" t="s">
        <v>32</v>
      </c>
      <c r="J11674" s="6">
        <v>17.175017879999999</v>
      </c>
      <c r="K11674" s="6">
        <v>-97.710081349999996</v>
      </c>
      <c r="L11674" s="6" t="str">
        <f>HYPERLINK("https://maps.google.com/?q=17.17501788,-97.710081349999996", "🔗 Ver Mapa")</f>
        <v>🔗 Ver Mapa</v>
      </c>
    </row>
    <row r="11675" spans="1:12" ht="43.5" x14ac:dyDescent="0.35">
      <c r="A11675" s="5" t="s">
        <v>516</v>
      </c>
      <c r="B11675" s="5" t="s">
        <v>517</v>
      </c>
      <c r="C11675" s="5" t="s">
        <v>2015</v>
      </c>
      <c r="D11675" s="5" t="s">
        <v>13</v>
      </c>
      <c r="E11675" s="5" t="s">
        <v>16</v>
      </c>
      <c r="F11675" s="5" t="s">
        <v>21</v>
      </c>
      <c r="G11675" s="5" t="s">
        <v>1235</v>
      </c>
      <c r="H11675" s="5" t="s">
        <v>1236</v>
      </c>
      <c r="I11675" s="5" t="s">
        <v>32</v>
      </c>
      <c r="J11675" s="5">
        <v>17.17547501</v>
      </c>
      <c r="K11675" s="5">
        <v>-97.710218609999998</v>
      </c>
      <c r="L11675" s="5" t="str">
        <f>HYPERLINK("https://maps.google.com/?q=17.17547501,-97.710218609999998", "🔗 Ver Mapa")</f>
        <v>🔗 Ver Mapa</v>
      </c>
    </row>
    <row r="11676" spans="1:12" ht="43.5" x14ac:dyDescent="0.35">
      <c r="A11676" s="6" t="s">
        <v>516</v>
      </c>
      <c r="B11676" s="6" t="s">
        <v>517</v>
      </c>
      <c r="C11676" s="6" t="s">
        <v>2015</v>
      </c>
      <c r="D11676" s="6" t="s">
        <v>13</v>
      </c>
      <c r="E11676" s="6" t="s">
        <v>16</v>
      </c>
      <c r="F11676" s="6" t="s">
        <v>21</v>
      </c>
      <c r="G11676" s="6" t="s">
        <v>1235</v>
      </c>
      <c r="H11676" s="6" t="s">
        <v>1236</v>
      </c>
      <c r="I11676" s="6" t="s">
        <v>32</v>
      </c>
      <c r="J11676" s="6">
        <v>17.176109709999999</v>
      </c>
      <c r="K11676" s="6">
        <v>-97.710159750000003</v>
      </c>
      <c r="L11676" s="6" t="str">
        <f>HYPERLINK("https://maps.google.com/?q=17.17610971,-97.710159750000003", "🔗 Ver Mapa")</f>
        <v>🔗 Ver Mapa</v>
      </c>
    </row>
    <row r="11677" spans="1:12" ht="43.5" x14ac:dyDescent="0.35">
      <c r="A11677" s="5" t="s">
        <v>516</v>
      </c>
      <c r="B11677" s="5" t="s">
        <v>517</v>
      </c>
      <c r="C11677" s="5" t="s">
        <v>2015</v>
      </c>
      <c r="D11677" s="5" t="s">
        <v>13</v>
      </c>
      <c r="E11677" s="5" t="s">
        <v>16</v>
      </c>
      <c r="F11677" s="5" t="s">
        <v>21</v>
      </c>
      <c r="G11677" s="5" t="s">
        <v>1235</v>
      </c>
      <c r="H11677" s="5" t="s">
        <v>1236</v>
      </c>
      <c r="I11677" s="5" t="s">
        <v>32</v>
      </c>
      <c r="J11677" s="5">
        <v>17.176610799999999</v>
      </c>
      <c r="K11677" s="5">
        <v>-97.710066699999999</v>
      </c>
      <c r="L11677" s="5" t="str">
        <f>HYPERLINK("https://maps.google.com/?q=17.1766108,-97.710066699999999", "🔗 Ver Mapa")</f>
        <v>🔗 Ver Mapa</v>
      </c>
    </row>
    <row r="11678" spans="1:12" ht="43.5" x14ac:dyDescent="0.35">
      <c r="A11678" s="6" t="s">
        <v>516</v>
      </c>
      <c r="B11678" s="6" t="s">
        <v>517</v>
      </c>
      <c r="C11678" s="6" t="s">
        <v>2015</v>
      </c>
      <c r="D11678" s="6" t="s">
        <v>13</v>
      </c>
      <c r="E11678" s="6" t="s">
        <v>16</v>
      </c>
      <c r="F11678" s="6" t="s">
        <v>21</v>
      </c>
      <c r="G11678" s="6" t="s">
        <v>1235</v>
      </c>
      <c r="H11678" s="6" t="s">
        <v>1236</v>
      </c>
      <c r="I11678" s="6" t="s">
        <v>32</v>
      </c>
      <c r="J11678" s="6">
        <v>17.177177839999999</v>
      </c>
      <c r="K11678" s="6">
        <v>-97.710006199999995</v>
      </c>
      <c r="L11678" s="6" t="str">
        <f>HYPERLINK("https://maps.google.com/?q=17.17717784,-97.710006199999995", "🔗 Ver Mapa")</f>
        <v>🔗 Ver Mapa</v>
      </c>
    </row>
    <row r="11679" spans="1:12" ht="43.5" x14ac:dyDescent="0.35">
      <c r="A11679" s="5" t="s">
        <v>516</v>
      </c>
      <c r="B11679" s="5" t="s">
        <v>517</v>
      </c>
      <c r="C11679" s="5" t="s">
        <v>2015</v>
      </c>
      <c r="D11679" s="5" t="s">
        <v>13</v>
      </c>
      <c r="E11679" s="5" t="s">
        <v>16</v>
      </c>
      <c r="F11679" s="5" t="s">
        <v>21</v>
      </c>
      <c r="G11679" s="5" t="s">
        <v>1235</v>
      </c>
      <c r="H11679" s="5" t="s">
        <v>1236</v>
      </c>
      <c r="I11679" s="5" t="s">
        <v>32</v>
      </c>
      <c r="J11679" s="5">
        <v>17.177459379999998</v>
      </c>
      <c r="K11679" s="5">
        <v>-97.707332570000005</v>
      </c>
      <c r="L11679" s="5" t="str">
        <f>HYPERLINK("https://maps.google.com/?q=17.17745938,-97.707332570000005", "🔗 Ver Mapa")</f>
        <v>🔗 Ver Mapa</v>
      </c>
    </row>
    <row r="11680" spans="1:12" ht="43.5" x14ac:dyDescent="0.35">
      <c r="A11680" s="6" t="s">
        <v>516</v>
      </c>
      <c r="B11680" s="6" t="s">
        <v>517</v>
      </c>
      <c r="C11680" s="6" t="s">
        <v>2015</v>
      </c>
      <c r="D11680" s="6" t="s">
        <v>13</v>
      </c>
      <c r="E11680" s="6" t="s">
        <v>16</v>
      </c>
      <c r="F11680" s="6" t="s">
        <v>21</v>
      </c>
      <c r="G11680" s="6" t="s">
        <v>1235</v>
      </c>
      <c r="H11680" s="6" t="s">
        <v>1236</v>
      </c>
      <c r="I11680" s="6" t="s">
        <v>32</v>
      </c>
      <c r="J11680" s="6">
        <v>17.177665860000001</v>
      </c>
      <c r="K11680" s="6">
        <v>-97.709663379999995</v>
      </c>
      <c r="L11680" s="6" t="str">
        <f>HYPERLINK("https://maps.google.com/?q=17.17766586,-97.709663379999995", "🔗 Ver Mapa")</f>
        <v>🔗 Ver Mapa</v>
      </c>
    </row>
    <row r="11681" spans="1:12" ht="43.5" x14ac:dyDescent="0.35">
      <c r="A11681" s="5" t="s">
        <v>516</v>
      </c>
      <c r="B11681" s="5" t="s">
        <v>517</v>
      </c>
      <c r="C11681" s="5" t="s">
        <v>2015</v>
      </c>
      <c r="D11681" s="5" t="s">
        <v>13</v>
      </c>
      <c r="E11681" s="5" t="s">
        <v>16</v>
      </c>
      <c r="F11681" s="5" t="s">
        <v>21</v>
      </c>
      <c r="G11681" s="5" t="s">
        <v>1235</v>
      </c>
      <c r="H11681" s="5" t="s">
        <v>1236</v>
      </c>
      <c r="I11681" s="5" t="s">
        <v>32</v>
      </c>
      <c r="J11681" s="5">
        <v>17.17766834</v>
      </c>
      <c r="K11681" s="5">
        <v>-97.709970589999998</v>
      </c>
      <c r="L11681" s="5" t="str">
        <f>HYPERLINK("https://maps.google.com/?q=17.17766834,-97.709970589999998", "🔗 Ver Mapa")</f>
        <v>🔗 Ver Mapa</v>
      </c>
    </row>
    <row r="11682" spans="1:12" ht="43.5" x14ac:dyDescent="0.35">
      <c r="A11682" s="6" t="s">
        <v>516</v>
      </c>
      <c r="B11682" s="6" t="s">
        <v>517</v>
      </c>
      <c r="C11682" s="6" t="s">
        <v>2015</v>
      </c>
      <c r="D11682" s="6" t="s">
        <v>13</v>
      </c>
      <c r="E11682" s="6" t="s">
        <v>16</v>
      </c>
      <c r="F11682" s="6" t="s">
        <v>21</v>
      </c>
      <c r="G11682" s="6" t="s">
        <v>1235</v>
      </c>
      <c r="H11682" s="6" t="s">
        <v>1236</v>
      </c>
      <c r="I11682" s="6" t="s">
        <v>32</v>
      </c>
      <c r="J11682" s="6">
        <v>17.177673989999999</v>
      </c>
      <c r="K11682" s="6">
        <v>-97.709231700000004</v>
      </c>
      <c r="L11682" s="6" t="str">
        <f>HYPERLINK("https://maps.google.com/?q=17.17767399,-97.709231700000004", "🔗 Ver Mapa")</f>
        <v>🔗 Ver Mapa</v>
      </c>
    </row>
    <row r="11683" spans="1:12" ht="43.5" x14ac:dyDescent="0.35">
      <c r="A11683" s="5" t="s">
        <v>516</v>
      </c>
      <c r="B11683" s="5" t="s">
        <v>517</v>
      </c>
      <c r="C11683" s="5" t="s">
        <v>2015</v>
      </c>
      <c r="D11683" s="5" t="s">
        <v>13</v>
      </c>
      <c r="E11683" s="5" t="s">
        <v>16</v>
      </c>
      <c r="F11683" s="5" t="s">
        <v>21</v>
      </c>
      <c r="G11683" s="5" t="s">
        <v>1235</v>
      </c>
      <c r="H11683" s="5" t="s">
        <v>1236</v>
      </c>
      <c r="I11683" s="5" t="s">
        <v>32</v>
      </c>
      <c r="J11683" s="5">
        <v>17.177679829999999</v>
      </c>
      <c r="K11683" s="5">
        <v>-97.708984779999994</v>
      </c>
      <c r="L11683" s="5" t="str">
        <f>HYPERLINK("https://maps.google.com/?q=17.17767983,-97.708984779999994", "🔗 Ver Mapa")</f>
        <v>🔗 Ver Mapa</v>
      </c>
    </row>
    <row r="11684" spans="1:12" ht="43.5" x14ac:dyDescent="0.35">
      <c r="A11684" s="6" t="s">
        <v>516</v>
      </c>
      <c r="B11684" s="6" t="s">
        <v>517</v>
      </c>
      <c r="C11684" s="6" t="s">
        <v>2015</v>
      </c>
      <c r="D11684" s="6" t="s">
        <v>13</v>
      </c>
      <c r="E11684" s="6" t="s">
        <v>16</v>
      </c>
      <c r="F11684" s="6" t="s">
        <v>21</v>
      </c>
      <c r="G11684" s="6" t="s">
        <v>1235</v>
      </c>
      <c r="H11684" s="6" t="s">
        <v>1236</v>
      </c>
      <c r="I11684" s="6" t="s">
        <v>32</v>
      </c>
      <c r="J11684" s="6">
        <v>17.17784941</v>
      </c>
      <c r="K11684" s="6">
        <v>-97.70786665</v>
      </c>
      <c r="L11684" s="6" t="str">
        <f>HYPERLINK("https://maps.google.com/?q=17.17784941,-97.70786665", "🔗 Ver Mapa")</f>
        <v>🔗 Ver Mapa</v>
      </c>
    </row>
    <row r="11685" spans="1:12" ht="43.5" x14ac:dyDescent="0.35">
      <c r="A11685" s="5" t="s">
        <v>516</v>
      </c>
      <c r="B11685" s="5" t="s">
        <v>517</v>
      </c>
      <c r="C11685" s="5" t="s">
        <v>2015</v>
      </c>
      <c r="D11685" s="5" t="s">
        <v>13</v>
      </c>
      <c r="E11685" s="5" t="s">
        <v>16</v>
      </c>
      <c r="F11685" s="5" t="s">
        <v>21</v>
      </c>
      <c r="G11685" s="5" t="s">
        <v>1235</v>
      </c>
      <c r="H11685" s="5" t="s">
        <v>1236</v>
      </c>
      <c r="I11685" s="5" t="s">
        <v>32</v>
      </c>
      <c r="J11685" s="5">
        <v>17.177929290000002</v>
      </c>
      <c r="K11685" s="5">
        <v>-97.708486890000003</v>
      </c>
      <c r="L11685" s="5" t="str">
        <f>HYPERLINK("https://maps.google.com/?q=17.17792929,-97.708486890000003", "🔗 Ver Mapa")</f>
        <v>🔗 Ver Mapa</v>
      </c>
    </row>
    <row r="11686" spans="1:12" ht="43.5" x14ac:dyDescent="0.35">
      <c r="A11686" s="6" t="s">
        <v>516</v>
      </c>
      <c r="B11686" s="6" t="s">
        <v>517</v>
      </c>
      <c r="C11686" s="6" t="s">
        <v>2015</v>
      </c>
      <c r="D11686" s="6" t="s">
        <v>13</v>
      </c>
      <c r="E11686" s="6" t="s">
        <v>16</v>
      </c>
      <c r="F11686" s="6" t="s">
        <v>21</v>
      </c>
      <c r="G11686" s="6" t="s">
        <v>1235</v>
      </c>
      <c r="H11686" s="6" t="s">
        <v>1236</v>
      </c>
      <c r="I11686" s="6" t="s">
        <v>32</v>
      </c>
      <c r="J11686" s="6">
        <v>17.178270749999999</v>
      </c>
      <c r="K11686" s="6">
        <v>-97.707931220000006</v>
      </c>
      <c r="L11686" s="6" t="str">
        <f>HYPERLINK("https://maps.google.com/?q=17.17827075,-97.707931220000006", "🔗 Ver Mapa")</f>
        <v>🔗 Ver Mapa</v>
      </c>
    </row>
    <row r="11687" spans="1:12" ht="43.5" x14ac:dyDescent="0.35">
      <c r="A11687" s="5" t="s">
        <v>516</v>
      </c>
      <c r="B11687" s="5" t="s">
        <v>517</v>
      </c>
      <c r="C11687" s="5" t="s">
        <v>2015</v>
      </c>
      <c r="D11687" s="5" t="s">
        <v>13</v>
      </c>
      <c r="E11687" s="5" t="s">
        <v>16</v>
      </c>
      <c r="F11687" s="5" t="s">
        <v>21</v>
      </c>
      <c r="G11687" s="5" t="s">
        <v>1235</v>
      </c>
      <c r="H11687" s="5" t="s">
        <v>1236</v>
      </c>
      <c r="I11687" s="5" t="s">
        <v>32</v>
      </c>
      <c r="J11687" s="5">
        <v>17.178532000000001</v>
      </c>
      <c r="K11687" s="5">
        <v>-97.708000620000007</v>
      </c>
      <c r="L11687" s="5" t="str">
        <f>HYPERLINK("https://maps.google.com/?q=17.178532,-97.708000620000007", "🔗 Ver Mapa")</f>
        <v>🔗 Ver Mapa</v>
      </c>
    </row>
    <row r="11688" spans="1:12" ht="43.5" x14ac:dyDescent="0.35">
      <c r="A11688" s="6" t="s">
        <v>516</v>
      </c>
      <c r="B11688" s="6" t="s">
        <v>517</v>
      </c>
      <c r="C11688" s="6" t="s">
        <v>2015</v>
      </c>
      <c r="D11688" s="6" t="s">
        <v>13</v>
      </c>
      <c r="E11688" s="6" t="s">
        <v>16</v>
      </c>
      <c r="F11688" s="6" t="s">
        <v>21</v>
      </c>
      <c r="G11688" s="6" t="s">
        <v>1235</v>
      </c>
      <c r="H11688" s="6" t="s">
        <v>1236</v>
      </c>
      <c r="I11688" s="6" t="s">
        <v>32</v>
      </c>
      <c r="J11688" s="6">
        <v>17.1785572</v>
      </c>
      <c r="K11688" s="6">
        <v>-97.709788900000007</v>
      </c>
      <c r="L11688" s="6" t="str">
        <f>HYPERLINK("https://maps.google.com/?q=17.1785572,-97.709788900000007", "🔗 Ver Mapa")</f>
        <v>🔗 Ver Mapa</v>
      </c>
    </row>
    <row r="11689" spans="1:12" ht="43.5" x14ac:dyDescent="0.35">
      <c r="A11689" s="5" t="s">
        <v>516</v>
      </c>
      <c r="B11689" s="5" t="s">
        <v>517</v>
      </c>
      <c r="C11689" s="5" t="s">
        <v>2015</v>
      </c>
      <c r="D11689" s="5" t="s">
        <v>13</v>
      </c>
      <c r="E11689" s="5" t="s">
        <v>16</v>
      </c>
      <c r="F11689" s="5" t="s">
        <v>21</v>
      </c>
      <c r="G11689" s="5" t="s">
        <v>1235</v>
      </c>
      <c r="H11689" s="5" t="s">
        <v>1236</v>
      </c>
      <c r="I11689" s="5" t="s">
        <v>32</v>
      </c>
      <c r="J11689" s="5">
        <v>17.17865445</v>
      </c>
      <c r="K11689" s="5">
        <v>-97.710096140000005</v>
      </c>
      <c r="L11689" s="5" t="str">
        <f>HYPERLINK("https://maps.google.com/?q=17.17865445,-97.710096140000005", "🔗 Ver Mapa")</f>
        <v>🔗 Ver Mapa</v>
      </c>
    </row>
    <row r="11690" spans="1:12" ht="43.5" x14ac:dyDescent="0.35">
      <c r="A11690" s="6" t="s">
        <v>516</v>
      </c>
      <c r="B11690" s="6" t="s">
        <v>517</v>
      </c>
      <c r="C11690" s="6" t="s">
        <v>2015</v>
      </c>
      <c r="D11690" s="6" t="s">
        <v>13</v>
      </c>
      <c r="E11690" s="6" t="s">
        <v>16</v>
      </c>
      <c r="F11690" s="6" t="s">
        <v>21</v>
      </c>
      <c r="G11690" s="6" t="s">
        <v>1235</v>
      </c>
      <c r="H11690" s="6" t="s">
        <v>1236</v>
      </c>
      <c r="I11690" s="6" t="s">
        <v>32</v>
      </c>
      <c r="J11690" s="6">
        <v>17.178960530000001</v>
      </c>
      <c r="K11690" s="6">
        <v>-97.707938069999997</v>
      </c>
      <c r="L11690" s="6" t="str">
        <f>HYPERLINK("https://maps.google.com/?q=17.17896053,-97.707938069999997", "🔗 Ver Mapa")</f>
        <v>🔗 Ver Mapa</v>
      </c>
    </row>
    <row r="11691" spans="1:12" ht="43.5" x14ac:dyDescent="0.35">
      <c r="A11691" s="5" t="s">
        <v>516</v>
      </c>
      <c r="B11691" s="5" t="s">
        <v>517</v>
      </c>
      <c r="C11691" s="5" t="s">
        <v>2015</v>
      </c>
      <c r="D11691" s="5" t="s">
        <v>13</v>
      </c>
      <c r="E11691" s="5" t="s">
        <v>16</v>
      </c>
      <c r="F11691" s="5" t="s">
        <v>21</v>
      </c>
      <c r="G11691" s="5" t="s">
        <v>1235</v>
      </c>
      <c r="H11691" s="5" t="s">
        <v>1236</v>
      </c>
      <c r="I11691" s="5" t="s">
        <v>32</v>
      </c>
      <c r="J11691" s="5">
        <v>17.17896399</v>
      </c>
      <c r="K11691" s="5">
        <v>-97.710777609999994</v>
      </c>
      <c r="L11691" s="5" t="str">
        <f>HYPERLINK("https://maps.google.com/?q=17.17896399,-97.710777609999994", "🔗 Ver Mapa")</f>
        <v>🔗 Ver Mapa</v>
      </c>
    </row>
    <row r="11692" spans="1:12" ht="43.5" x14ac:dyDescent="0.35">
      <c r="A11692" s="6" t="s">
        <v>516</v>
      </c>
      <c r="B11692" s="6" t="s">
        <v>517</v>
      </c>
      <c r="C11692" s="6" t="s">
        <v>2015</v>
      </c>
      <c r="D11692" s="6" t="s">
        <v>13</v>
      </c>
      <c r="E11692" s="6" t="s">
        <v>16</v>
      </c>
      <c r="F11692" s="6" t="s">
        <v>21</v>
      </c>
      <c r="G11692" s="6" t="s">
        <v>1235</v>
      </c>
      <c r="H11692" s="6" t="s">
        <v>1236</v>
      </c>
      <c r="I11692" s="6" t="s">
        <v>32</v>
      </c>
      <c r="J11692" s="6">
        <v>17.17929079</v>
      </c>
      <c r="K11692" s="6">
        <v>-97.709639850000002</v>
      </c>
      <c r="L11692" s="6" t="str">
        <f>HYPERLINK("https://maps.google.com/?q=17.17929079,-97.709639850000002", "🔗 Ver Mapa")</f>
        <v>🔗 Ver Mapa</v>
      </c>
    </row>
    <row r="11693" spans="1:12" ht="43.5" x14ac:dyDescent="0.35">
      <c r="A11693" s="5" t="s">
        <v>516</v>
      </c>
      <c r="B11693" s="5" t="s">
        <v>517</v>
      </c>
      <c r="C11693" s="5" t="s">
        <v>2015</v>
      </c>
      <c r="D11693" s="5" t="s">
        <v>13</v>
      </c>
      <c r="E11693" s="5" t="s">
        <v>16</v>
      </c>
      <c r="F11693" s="5" t="s">
        <v>21</v>
      </c>
      <c r="G11693" s="5" t="s">
        <v>1235</v>
      </c>
      <c r="H11693" s="5" t="s">
        <v>1236</v>
      </c>
      <c r="I11693" s="5" t="s">
        <v>32</v>
      </c>
      <c r="J11693" s="5">
        <v>17.179377339999998</v>
      </c>
      <c r="K11693" s="5">
        <v>-97.708050200000002</v>
      </c>
      <c r="L11693" s="5" t="str">
        <f>HYPERLINK("https://maps.google.com/?q=17.17937734,-97.708050200000002", "🔗 Ver Mapa")</f>
        <v>🔗 Ver Mapa</v>
      </c>
    </row>
    <row r="11694" spans="1:12" ht="43.5" x14ac:dyDescent="0.35">
      <c r="A11694" s="6" t="s">
        <v>516</v>
      </c>
      <c r="B11694" s="6" t="s">
        <v>517</v>
      </c>
      <c r="C11694" s="6" t="s">
        <v>2015</v>
      </c>
      <c r="D11694" s="6" t="s">
        <v>13</v>
      </c>
      <c r="E11694" s="6" t="s">
        <v>16</v>
      </c>
      <c r="F11694" s="6" t="s">
        <v>21</v>
      </c>
      <c r="G11694" s="6" t="s">
        <v>1235</v>
      </c>
      <c r="H11694" s="6" t="s">
        <v>1236</v>
      </c>
      <c r="I11694" s="6" t="s">
        <v>32</v>
      </c>
      <c r="J11694" s="6">
        <v>17.180222270000002</v>
      </c>
      <c r="K11694" s="6">
        <v>-97.70943398</v>
      </c>
      <c r="L11694" s="6" t="str">
        <f>HYPERLINK("https://maps.google.com/?q=17.18022227,-97.70943398", "🔗 Ver Mapa")</f>
        <v>🔗 Ver Mapa</v>
      </c>
    </row>
    <row r="11695" spans="1:12" ht="43.5" x14ac:dyDescent="0.35">
      <c r="A11695" s="5" t="s">
        <v>516</v>
      </c>
      <c r="B11695" s="5" t="s">
        <v>517</v>
      </c>
      <c r="C11695" s="5" t="s">
        <v>2015</v>
      </c>
      <c r="D11695" s="5" t="s">
        <v>13</v>
      </c>
      <c r="E11695" s="5" t="s">
        <v>16</v>
      </c>
      <c r="F11695" s="5" t="s">
        <v>21</v>
      </c>
      <c r="G11695" s="5" t="s">
        <v>1235</v>
      </c>
      <c r="H11695" s="5" t="s">
        <v>1236</v>
      </c>
      <c r="I11695" s="5" t="s">
        <v>32</v>
      </c>
      <c r="J11695" s="5">
        <v>17.18102266</v>
      </c>
      <c r="K11695" s="5">
        <v>-97.709263019999995</v>
      </c>
      <c r="L11695" s="5" t="str">
        <f>HYPERLINK("https://maps.google.com/?q=17.18102266,-97.709263019999995", "🔗 Ver Mapa")</f>
        <v>🔗 Ver Mapa</v>
      </c>
    </row>
    <row r="11696" spans="1:12" ht="43.5" x14ac:dyDescent="0.35">
      <c r="A11696" s="6" t="s">
        <v>516</v>
      </c>
      <c r="B11696" s="6" t="s">
        <v>517</v>
      </c>
      <c r="C11696" s="6" t="s">
        <v>2015</v>
      </c>
      <c r="D11696" s="6" t="s">
        <v>13</v>
      </c>
      <c r="E11696" s="6" t="s">
        <v>16</v>
      </c>
      <c r="F11696" s="6" t="s">
        <v>21</v>
      </c>
      <c r="G11696" s="6" t="s">
        <v>1235</v>
      </c>
      <c r="H11696" s="6" t="s">
        <v>1236</v>
      </c>
      <c r="I11696" s="6" t="s">
        <v>32</v>
      </c>
      <c r="J11696" s="6">
        <v>17.18168494</v>
      </c>
      <c r="K11696" s="6">
        <v>-97.709110749999994</v>
      </c>
      <c r="L11696" s="6" t="str">
        <f>HYPERLINK("https://maps.google.com/?q=17.18168494,-97.709110749999994", "🔗 Ver Mapa")</f>
        <v>🔗 Ver Mapa</v>
      </c>
    </row>
    <row r="11697" spans="1:12" ht="43.5" x14ac:dyDescent="0.35">
      <c r="A11697" s="5" t="s">
        <v>516</v>
      </c>
      <c r="B11697" s="5" t="s">
        <v>517</v>
      </c>
      <c r="C11697" s="5" t="s">
        <v>2015</v>
      </c>
      <c r="D11697" s="5" t="s">
        <v>13</v>
      </c>
      <c r="E11697" s="5" t="s">
        <v>16</v>
      </c>
      <c r="F11697" s="5" t="s">
        <v>21</v>
      </c>
      <c r="G11697" s="5" t="s">
        <v>1235</v>
      </c>
      <c r="H11697" s="5" t="s">
        <v>1236</v>
      </c>
      <c r="I11697" s="5" t="s">
        <v>32</v>
      </c>
      <c r="J11697" s="5">
        <v>17.181695210000001</v>
      </c>
      <c r="K11697" s="5">
        <v>-97.709705330000006</v>
      </c>
      <c r="L11697" s="5" t="str">
        <f>HYPERLINK("https://maps.google.com/?q=17.18169521,-97.709705330000006", "🔗 Ver Mapa")</f>
        <v>🔗 Ver Mapa</v>
      </c>
    </row>
    <row r="11698" spans="1:12" ht="43.5" x14ac:dyDescent="0.35">
      <c r="A11698" s="6" t="s">
        <v>516</v>
      </c>
      <c r="B11698" s="6" t="s">
        <v>517</v>
      </c>
      <c r="C11698" s="6" t="s">
        <v>2015</v>
      </c>
      <c r="D11698" s="6" t="s">
        <v>13</v>
      </c>
      <c r="E11698" s="6" t="s">
        <v>16</v>
      </c>
      <c r="F11698" s="6" t="s">
        <v>21</v>
      </c>
      <c r="G11698" s="6" t="s">
        <v>1235</v>
      </c>
      <c r="H11698" s="6" t="s">
        <v>1236</v>
      </c>
      <c r="I11698" s="6" t="s">
        <v>32</v>
      </c>
      <c r="J11698" s="6">
        <v>17.181697029999999</v>
      </c>
      <c r="K11698" s="6">
        <v>-97.70940392</v>
      </c>
      <c r="L11698" s="6" t="str">
        <f>HYPERLINK("https://maps.google.com/?q=17.18169703,-97.70940392", "🔗 Ver Mapa")</f>
        <v>🔗 Ver Mapa</v>
      </c>
    </row>
    <row r="11699" spans="1:12" ht="43.5" x14ac:dyDescent="0.35">
      <c r="A11699" s="5" t="s">
        <v>516</v>
      </c>
      <c r="B11699" s="5" t="s">
        <v>517</v>
      </c>
      <c r="C11699" s="5" t="s">
        <v>2015</v>
      </c>
      <c r="D11699" s="5" t="s">
        <v>13</v>
      </c>
      <c r="E11699" s="5" t="s">
        <v>16</v>
      </c>
      <c r="F11699" s="5" t="s">
        <v>21</v>
      </c>
      <c r="G11699" s="5" t="s">
        <v>1235</v>
      </c>
      <c r="H11699" s="5" t="s">
        <v>1236</v>
      </c>
      <c r="I11699" s="5" t="s">
        <v>32</v>
      </c>
      <c r="J11699" s="5">
        <v>17.18170469</v>
      </c>
      <c r="K11699" s="5">
        <v>-97.70997199</v>
      </c>
      <c r="L11699" s="5" t="str">
        <f>HYPERLINK("https://maps.google.com/?q=17.18170469,-97.70997199", "🔗 Ver Mapa")</f>
        <v>🔗 Ver Mapa</v>
      </c>
    </row>
    <row r="11700" spans="1:12" ht="43.5" x14ac:dyDescent="0.35">
      <c r="A11700" s="6" t="s">
        <v>516</v>
      </c>
      <c r="B11700" s="6" t="s">
        <v>517</v>
      </c>
      <c r="C11700" s="6" t="s">
        <v>2015</v>
      </c>
      <c r="D11700" s="6" t="s">
        <v>13</v>
      </c>
      <c r="E11700" s="6" t="s">
        <v>16</v>
      </c>
      <c r="F11700" s="6" t="s">
        <v>21</v>
      </c>
      <c r="G11700" s="6" t="s">
        <v>1235</v>
      </c>
      <c r="H11700" s="6" t="s">
        <v>1236</v>
      </c>
      <c r="I11700" s="6" t="s">
        <v>32</v>
      </c>
      <c r="J11700" s="6">
        <v>17.181718060000001</v>
      </c>
      <c r="K11700" s="6">
        <v>-97.710258769999996</v>
      </c>
      <c r="L11700" s="6" t="str">
        <f>HYPERLINK("https://maps.google.com/?q=17.18171806,-97.710258769999996", "🔗 Ver Mapa")</f>
        <v>🔗 Ver Mapa</v>
      </c>
    </row>
    <row r="11701" spans="1:12" ht="43.5" x14ac:dyDescent="0.35">
      <c r="A11701" s="5" t="s">
        <v>516</v>
      </c>
      <c r="B11701" s="5" t="s">
        <v>517</v>
      </c>
      <c r="C11701" s="5" t="s">
        <v>2015</v>
      </c>
      <c r="D11701" s="5" t="s">
        <v>13</v>
      </c>
      <c r="E11701" s="5" t="s">
        <v>16</v>
      </c>
      <c r="F11701" s="5" t="s">
        <v>21</v>
      </c>
      <c r="G11701" s="5" t="s">
        <v>1235</v>
      </c>
      <c r="H11701" s="5" t="s">
        <v>1236</v>
      </c>
      <c r="I11701" s="5" t="s">
        <v>32</v>
      </c>
      <c r="J11701" s="5">
        <v>17.181728719999999</v>
      </c>
      <c r="K11701" s="5">
        <v>-97.710522109999999</v>
      </c>
      <c r="L11701" s="5" t="str">
        <f>HYPERLINK("https://maps.google.com/?q=17.18172872,-97.710522109999999", "🔗 Ver Mapa")</f>
        <v>🔗 Ver Mapa</v>
      </c>
    </row>
    <row r="11702" spans="1:12" ht="43.5" x14ac:dyDescent="0.35">
      <c r="A11702" s="6" t="s">
        <v>516</v>
      </c>
      <c r="B11702" s="6" t="s">
        <v>517</v>
      </c>
      <c r="C11702" s="6" t="s">
        <v>2015</v>
      </c>
      <c r="D11702" s="6" t="s">
        <v>13</v>
      </c>
      <c r="E11702" s="6" t="s">
        <v>16</v>
      </c>
      <c r="F11702" s="6" t="s">
        <v>21</v>
      </c>
      <c r="G11702" s="6" t="s">
        <v>1235</v>
      </c>
      <c r="H11702" s="6" t="s">
        <v>1236</v>
      </c>
      <c r="I11702" s="6" t="s">
        <v>32</v>
      </c>
      <c r="J11702" s="6">
        <v>17.18197773</v>
      </c>
      <c r="K11702" s="6">
        <v>-97.710234479999997</v>
      </c>
      <c r="L11702" s="6" t="str">
        <f>HYPERLINK("https://maps.google.com/?q=17.18197773,-97.710234479999997", "🔗 Ver Mapa")</f>
        <v>🔗 Ver Mapa</v>
      </c>
    </row>
    <row r="11703" spans="1:12" ht="43.5" x14ac:dyDescent="0.35">
      <c r="A11703" s="5" t="s">
        <v>516</v>
      </c>
      <c r="B11703" s="5" t="s">
        <v>517</v>
      </c>
      <c r="C11703" s="5" t="s">
        <v>2015</v>
      </c>
      <c r="D11703" s="5" t="s">
        <v>13</v>
      </c>
      <c r="E11703" s="5" t="s">
        <v>16</v>
      </c>
      <c r="F11703" s="5" t="s">
        <v>21</v>
      </c>
      <c r="G11703" s="5" t="s">
        <v>1235</v>
      </c>
      <c r="H11703" s="5" t="s">
        <v>1236</v>
      </c>
      <c r="I11703" s="5" t="s">
        <v>32</v>
      </c>
      <c r="J11703" s="5">
        <v>17.182019199999999</v>
      </c>
      <c r="K11703" s="5">
        <v>-97.709947779999993</v>
      </c>
      <c r="L11703" s="5" t="str">
        <f>HYPERLINK("https://maps.google.com/?q=17.1820192,-97.709947779999993", "🔗 Ver Mapa")</f>
        <v>🔗 Ver Mapa</v>
      </c>
    </row>
    <row r="11704" spans="1:12" ht="43.5" x14ac:dyDescent="0.35">
      <c r="A11704" s="6" t="s">
        <v>516</v>
      </c>
      <c r="B11704" s="6" t="s">
        <v>517</v>
      </c>
      <c r="C11704" s="6" t="s">
        <v>2015</v>
      </c>
      <c r="D11704" s="6" t="s">
        <v>13</v>
      </c>
      <c r="E11704" s="6" t="s">
        <v>16</v>
      </c>
      <c r="F11704" s="6" t="s">
        <v>21</v>
      </c>
      <c r="G11704" s="6" t="s">
        <v>1235</v>
      </c>
      <c r="H11704" s="6" t="s">
        <v>1236</v>
      </c>
      <c r="I11704" s="6" t="s">
        <v>32</v>
      </c>
      <c r="J11704" s="6">
        <v>17.182036629999999</v>
      </c>
      <c r="K11704" s="6">
        <v>-97.709440299999997</v>
      </c>
      <c r="L11704" s="6" t="str">
        <f>HYPERLINK("https://maps.google.com/?q=17.18203663,-97.709440299999997", "🔗 Ver Mapa")</f>
        <v>🔗 Ver Mapa</v>
      </c>
    </row>
    <row r="11705" spans="1:12" ht="43.5" x14ac:dyDescent="0.35">
      <c r="A11705" s="5" t="s">
        <v>516</v>
      </c>
      <c r="B11705" s="5" t="s">
        <v>517</v>
      </c>
      <c r="C11705" s="5" t="s">
        <v>2015</v>
      </c>
      <c r="D11705" s="5" t="s">
        <v>13</v>
      </c>
      <c r="E11705" s="5" t="s">
        <v>16</v>
      </c>
      <c r="F11705" s="5" t="s">
        <v>21</v>
      </c>
      <c r="G11705" s="5" t="s">
        <v>1235</v>
      </c>
      <c r="H11705" s="5" t="s">
        <v>1236</v>
      </c>
      <c r="I11705" s="5" t="s">
        <v>32</v>
      </c>
      <c r="J11705" s="5">
        <v>17.18219259</v>
      </c>
      <c r="K11705" s="5">
        <v>-97.709006380000005</v>
      </c>
      <c r="L11705" s="5" t="str">
        <f>HYPERLINK("https://maps.google.com/?q=17.18219259,-97.709006380000005", "🔗 Ver Mapa")</f>
        <v>🔗 Ver Mapa</v>
      </c>
    </row>
    <row r="11706" spans="1:12" ht="43.5" x14ac:dyDescent="0.35">
      <c r="A11706" s="6" t="s">
        <v>516</v>
      </c>
      <c r="B11706" s="6" t="s">
        <v>517</v>
      </c>
      <c r="C11706" s="6" t="s">
        <v>2015</v>
      </c>
      <c r="D11706" s="6" t="s">
        <v>13</v>
      </c>
      <c r="E11706" s="6" t="s">
        <v>16</v>
      </c>
      <c r="F11706" s="6" t="s">
        <v>21</v>
      </c>
      <c r="G11706" s="6" t="s">
        <v>1235</v>
      </c>
      <c r="H11706" s="6" t="s">
        <v>1236</v>
      </c>
      <c r="I11706" s="6" t="s">
        <v>32</v>
      </c>
      <c r="J11706" s="6">
        <v>17.182278950000001</v>
      </c>
      <c r="K11706" s="6">
        <v>-97.710196960000005</v>
      </c>
      <c r="L11706" s="6" t="str">
        <f>HYPERLINK("https://maps.google.com/?q=17.18227895,-97.710196960000005", "🔗 Ver Mapa")</f>
        <v>🔗 Ver Mapa</v>
      </c>
    </row>
    <row r="11707" spans="1:12" ht="43.5" x14ac:dyDescent="0.35">
      <c r="A11707" s="5" t="s">
        <v>516</v>
      </c>
      <c r="B11707" s="5" t="s">
        <v>517</v>
      </c>
      <c r="C11707" s="5" t="s">
        <v>2015</v>
      </c>
      <c r="D11707" s="5" t="s">
        <v>13</v>
      </c>
      <c r="E11707" s="5" t="s">
        <v>16</v>
      </c>
      <c r="F11707" s="5" t="s">
        <v>21</v>
      </c>
      <c r="G11707" s="5" t="s">
        <v>1235</v>
      </c>
      <c r="H11707" s="5" t="s">
        <v>1236</v>
      </c>
      <c r="I11707" s="5" t="s">
        <v>32</v>
      </c>
      <c r="J11707" s="5">
        <v>17.18231012</v>
      </c>
      <c r="K11707" s="5">
        <v>-97.70989908</v>
      </c>
      <c r="L11707" s="5" t="str">
        <f>HYPERLINK("https://maps.google.com/?q=17.18231012,-97.70989908", "🔗 Ver Mapa")</f>
        <v>🔗 Ver Mapa</v>
      </c>
    </row>
    <row r="11708" spans="1:12" ht="43.5" x14ac:dyDescent="0.35">
      <c r="A11708" s="6" t="s">
        <v>516</v>
      </c>
      <c r="B11708" s="6" t="s">
        <v>517</v>
      </c>
      <c r="C11708" s="6" t="s">
        <v>2015</v>
      </c>
      <c r="D11708" s="6" t="s">
        <v>13</v>
      </c>
      <c r="E11708" s="6" t="s">
        <v>16</v>
      </c>
      <c r="F11708" s="6" t="s">
        <v>21</v>
      </c>
      <c r="G11708" s="6" t="s">
        <v>1235</v>
      </c>
      <c r="H11708" s="6" t="s">
        <v>1236</v>
      </c>
      <c r="I11708" s="6" t="s">
        <v>32</v>
      </c>
      <c r="J11708" s="6">
        <v>17.18245336</v>
      </c>
      <c r="K11708" s="6">
        <v>-97.709505730000004</v>
      </c>
      <c r="L11708" s="6" t="str">
        <f>HYPERLINK("https://maps.google.com/?q=17.18245336,-97.709505730000004", "🔗 Ver Mapa")</f>
        <v>🔗 Ver Mapa</v>
      </c>
    </row>
    <row r="11709" spans="1:12" ht="43.5" x14ac:dyDescent="0.35">
      <c r="A11709" s="5" t="s">
        <v>516</v>
      </c>
      <c r="B11709" s="5" t="s">
        <v>517</v>
      </c>
      <c r="C11709" s="5" t="s">
        <v>2015</v>
      </c>
      <c r="D11709" s="5" t="s">
        <v>13</v>
      </c>
      <c r="E11709" s="5" t="s">
        <v>16</v>
      </c>
      <c r="F11709" s="5" t="s">
        <v>21</v>
      </c>
      <c r="G11709" s="5" t="s">
        <v>1235</v>
      </c>
      <c r="H11709" s="5" t="s">
        <v>1236</v>
      </c>
      <c r="I11709" s="5" t="s">
        <v>32</v>
      </c>
      <c r="J11709" s="5">
        <v>17.182835310000002</v>
      </c>
      <c r="K11709" s="5">
        <v>-97.708856040000001</v>
      </c>
      <c r="L11709" s="5" t="str">
        <f>HYPERLINK("https://maps.google.com/?q=17.18283531,-97.708856040000001", "🔗 Ver Mapa")</f>
        <v>🔗 Ver Mapa</v>
      </c>
    </row>
    <row r="11710" spans="1:12" ht="43.5" x14ac:dyDescent="0.35">
      <c r="A11710" s="6" t="s">
        <v>516</v>
      </c>
      <c r="B11710" s="6" t="s">
        <v>517</v>
      </c>
      <c r="C11710" s="6" t="s">
        <v>2015</v>
      </c>
      <c r="D11710" s="6" t="s">
        <v>13</v>
      </c>
      <c r="E11710" s="6" t="s">
        <v>16</v>
      </c>
      <c r="F11710" s="6" t="s">
        <v>21</v>
      </c>
      <c r="G11710" s="6" t="s">
        <v>1235</v>
      </c>
      <c r="H11710" s="6" t="s">
        <v>1236</v>
      </c>
      <c r="I11710" s="6" t="s">
        <v>32</v>
      </c>
      <c r="J11710" s="6">
        <v>17.182918350000001</v>
      </c>
      <c r="K11710" s="6">
        <v>-97.708006729999994</v>
      </c>
      <c r="L11710" s="6" t="str">
        <f>HYPERLINK("https://maps.google.com/?q=17.18291835,-97.708006729999994", "🔗 Ver Mapa")</f>
        <v>🔗 Ver Mapa</v>
      </c>
    </row>
    <row r="11711" spans="1:12" ht="43.5" x14ac:dyDescent="0.35">
      <c r="A11711" s="5" t="s">
        <v>516</v>
      </c>
      <c r="B11711" s="5" t="s">
        <v>517</v>
      </c>
      <c r="C11711" s="5" t="s">
        <v>2015</v>
      </c>
      <c r="D11711" s="5" t="s">
        <v>13</v>
      </c>
      <c r="E11711" s="5" t="s">
        <v>16</v>
      </c>
      <c r="F11711" s="5" t="s">
        <v>21</v>
      </c>
      <c r="G11711" s="5" t="s">
        <v>1235</v>
      </c>
      <c r="H11711" s="5" t="s">
        <v>1236</v>
      </c>
      <c r="I11711" s="5" t="s">
        <v>32</v>
      </c>
      <c r="J11711" s="5">
        <v>17.18300816</v>
      </c>
      <c r="K11711" s="5">
        <v>-97.707083949999998</v>
      </c>
      <c r="L11711" s="5" t="str">
        <f>HYPERLINK("https://maps.google.com/?q=17.18300816,-97.707083949999998", "🔗 Ver Mapa")</f>
        <v>🔗 Ver Mapa</v>
      </c>
    </row>
    <row r="11712" spans="1:12" ht="43.5" x14ac:dyDescent="0.35">
      <c r="A11712" s="6" t="s">
        <v>516</v>
      </c>
      <c r="B11712" s="6" t="s">
        <v>517</v>
      </c>
      <c r="C11712" s="6" t="s">
        <v>2015</v>
      </c>
      <c r="D11712" s="6" t="s">
        <v>13</v>
      </c>
      <c r="E11712" s="6" t="s">
        <v>16</v>
      </c>
      <c r="F11712" s="6" t="s">
        <v>21</v>
      </c>
      <c r="G11712" s="6" t="s">
        <v>1235</v>
      </c>
      <c r="H11712" s="6" t="s">
        <v>1236</v>
      </c>
      <c r="I11712" s="6" t="s">
        <v>32</v>
      </c>
      <c r="J11712" s="6">
        <v>17.183063730000001</v>
      </c>
      <c r="K11712" s="6">
        <v>-97.708434789999998</v>
      </c>
      <c r="L11712" s="6" t="str">
        <f>HYPERLINK("https://maps.google.com/?q=17.18306373,-97.708434789999998", "🔗 Ver Mapa")</f>
        <v>🔗 Ver Mapa</v>
      </c>
    </row>
    <row r="11713" spans="1:12" ht="43.5" x14ac:dyDescent="0.35">
      <c r="A11713" s="5" t="s">
        <v>516</v>
      </c>
      <c r="B11713" s="5" t="s">
        <v>517</v>
      </c>
      <c r="C11713" s="5" t="s">
        <v>2015</v>
      </c>
      <c r="D11713" s="5" t="s">
        <v>13</v>
      </c>
      <c r="E11713" s="5" t="s">
        <v>16</v>
      </c>
      <c r="F11713" s="5" t="s">
        <v>21</v>
      </c>
      <c r="G11713" s="5" t="s">
        <v>1235</v>
      </c>
      <c r="H11713" s="5" t="s">
        <v>1236</v>
      </c>
      <c r="I11713" s="5" t="s">
        <v>32</v>
      </c>
      <c r="J11713" s="5">
        <v>17.183066700000001</v>
      </c>
      <c r="K11713" s="5">
        <v>-97.707220629999995</v>
      </c>
      <c r="L11713" s="5" t="str">
        <f>HYPERLINK("https://maps.google.com/?q=17.1830667,-97.707220629999995", "🔗 Ver Mapa")</f>
        <v>🔗 Ver Mapa</v>
      </c>
    </row>
    <row r="11714" spans="1:12" ht="43.5" x14ac:dyDescent="0.35">
      <c r="A11714" s="6" t="s">
        <v>516</v>
      </c>
      <c r="B11714" s="6" t="s">
        <v>517</v>
      </c>
      <c r="C11714" s="6" t="s">
        <v>2015</v>
      </c>
      <c r="D11714" s="6" t="s">
        <v>13</v>
      </c>
      <c r="E11714" s="6" t="s">
        <v>16</v>
      </c>
      <c r="F11714" s="6" t="s">
        <v>21</v>
      </c>
      <c r="G11714" s="6" t="s">
        <v>1235</v>
      </c>
      <c r="H11714" s="6" t="s">
        <v>1236</v>
      </c>
      <c r="I11714" s="6" t="s">
        <v>32</v>
      </c>
      <c r="J11714" s="6">
        <v>17.183070879999999</v>
      </c>
      <c r="K11714" s="6">
        <v>-97.709696089999994</v>
      </c>
      <c r="L11714" s="6" t="str">
        <f>HYPERLINK("https://maps.google.com/?q=17.18307088,-97.709696089999994", "🔗 Ver Mapa")</f>
        <v>🔗 Ver Mapa</v>
      </c>
    </row>
    <row r="11715" spans="1:12" ht="43.5" x14ac:dyDescent="0.35">
      <c r="A11715" s="5" t="s">
        <v>516</v>
      </c>
      <c r="B11715" s="5" t="s">
        <v>517</v>
      </c>
      <c r="C11715" s="5" t="s">
        <v>2015</v>
      </c>
      <c r="D11715" s="5" t="s">
        <v>13</v>
      </c>
      <c r="E11715" s="5" t="s">
        <v>16</v>
      </c>
      <c r="F11715" s="5" t="s">
        <v>21</v>
      </c>
      <c r="G11715" s="5" t="s">
        <v>1235</v>
      </c>
      <c r="H11715" s="5" t="s">
        <v>1236</v>
      </c>
      <c r="I11715" s="5" t="s">
        <v>32</v>
      </c>
      <c r="J11715" s="5">
        <v>17.18309567</v>
      </c>
      <c r="K11715" s="5">
        <v>-97.708811220000001</v>
      </c>
      <c r="L11715" s="5" t="str">
        <f>HYPERLINK("https://maps.google.com/?q=17.18309567,-97.708811220000001", "🔗 Ver Mapa")</f>
        <v>🔗 Ver Mapa</v>
      </c>
    </row>
    <row r="11716" spans="1:12" ht="43.5" x14ac:dyDescent="0.35">
      <c r="A11716" s="6" t="s">
        <v>516</v>
      </c>
      <c r="B11716" s="6" t="s">
        <v>517</v>
      </c>
      <c r="C11716" s="6" t="s">
        <v>2015</v>
      </c>
      <c r="D11716" s="6" t="s">
        <v>13</v>
      </c>
      <c r="E11716" s="6" t="s">
        <v>16</v>
      </c>
      <c r="F11716" s="6" t="s">
        <v>21</v>
      </c>
      <c r="G11716" s="6" t="s">
        <v>1235</v>
      </c>
      <c r="H11716" s="6" t="s">
        <v>1236</v>
      </c>
      <c r="I11716" s="6" t="s">
        <v>32</v>
      </c>
      <c r="J11716" s="6">
        <v>17.18321847</v>
      </c>
      <c r="K11716" s="6">
        <v>-97.707864180000001</v>
      </c>
      <c r="L11716" s="6" t="str">
        <f>HYPERLINK("https://maps.google.com/?q=17.18321847,-97.707864180000001", "🔗 Ver Mapa")</f>
        <v>🔗 Ver Mapa</v>
      </c>
    </row>
    <row r="11717" spans="1:12" ht="43.5" x14ac:dyDescent="0.35">
      <c r="A11717" s="5" t="s">
        <v>516</v>
      </c>
      <c r="B11717" s="5" t="s">
        <v>517</v>
      </c>
      <c r="C11717" s="5" t="s">
        <v>2015</v>
      </c>
      <c r="D11717" s="5" t="s">
        <v>13</v>
      </c>
      <c r="E11717" s="5" t="s">
        <v>16</v>
      </c>
      <c r="F11717" s="5" t="s">
        <v>21</v>
      </c>
      <c r="G11717" s="5" t="s">
        <v>1235</v>
      </c>
      <c r="H11717" s="5" t="s">
        <v>1236</v>
      </c>
      <c r="I11717" s="5" t="s">
        <v>32</v>
      </c>
      <c r="J11717" s="5">
        <v>17.18331688</v>
      </c>
      <c r="K11717" s="5">
        <v>-97.708820660000001</v>
      </c>
      <c r="L11717" s="5" t="str">
        <f>HYPERLINK("https://maps.google.com/?q=17.18331688,-97.708820660000001", "🔗 Ver Mapa")</f>
        <v>🔗 Ver Mapa</v>
      </c>
    </row>
    <row r="11718" spans="1:12" ht="43.5" x14ac:dyDescent="0.35">
      <c r="A11718" s="6" t="s">
        <v>516</v>
      </c>
      <c r="B11718" s="6" t="s">
        <v>517</v>
      </c>
      <c r="C11718" s="6" t="s">
        <v>2015</v>
      </c>
      <c r="D11718" s="6" t="s">
        <v>13</v>
      </c>
      <c r="E11718" s="6" t="s">
        <v>16</v>
      </c>
      <c r="F11718" s="6" t="s">
        <v>21</v>
      </c>
      <c r="G11718" s="6" t="s">
        <v>1235</v>
      </c>
      <c r="H11718" s="6" t="s">
        <v>1236</v>
      </c>
      <c r="I11718" s="6" t="s">
        <v>32</v>
      </c>
      <c r="J11718" s="6">
        <v>17.183553889999999</v>
      </c>
      <c r="K11718" s="6">
        <v>-97.709959260000005</v>
      </c>
      <c r="L11718" s="6" t="str">
        <f>HYPERLINK("https://maps.google.com/?q=17.18355389,-97.709959260000005", "🔗 Ver Mapa")</f>
        <v>🔗 Ver Mapa</v>
      </c>
    </row>
    <row r="11719" spans="1:12" ht="43.5" x14ac:dyDescent="0.35">
      <c r="A11719" s="5" t="s">
        <v>516</v>
      </c>
      <c r="B11719" s="5" t="s">
        <v>517</v>
      </c>
      <c r="C11719" s="5" t="s">
        <v>2015</v>
      </c>
      <c r="D11719" s="5" t="s">
        <v>13</v>
      </c>
      <c r="E11719" s="5" t="s">
        <v>16</v>
      </c>
      <c r="F11719" s="5" t="s">
        <v>21</v>
      </c>
      <c r="G11719" s="5" t="s">
        <v>1235</v>
      </c>
      <c r="H11719" s="5" t="s">
        <v>1236</v>
      </c>
      <c r="I11719" s="5" t="s">
        <v>32</v>
      </c>
      <c r="J11719" s="5">
        <v>17.183693229999999</v>
      </c>
      <c r="K11719" s="5">
        <v>-97.708894020000002</v>
      </c>
      <c r="L11719" s="5" t="str">
        <f>HYPERLINK("https://maps.google.com/?q=17.18369323,-97.708894020000002", "🔗 Ver Mapa")</f>
        <v>🔗 Ver Mapa</v>
      </c>
    </row>
    <row r="11720" spans="1:12" ht="43.5" x14ac:dyDescent="0.35">
      <c r="A11720" s="6" t="s">
        <v>516</v>
      </c>
      <c r="B11720" s="6" t="s">
        <v>517</v>
      </c>
      <c r="C11720" s="6" t="s">
        <v>2015</v>
      </c>
      <c r="D11720" s="6" t="s">
        <v>13</v>
      </c>
      <c r="E11720" s="6" t="s">
        <v>16</v>
      </c>
      <c r="F11720" s="6" t="s">
        <v>21</v>
      </c>
      <c r="G11720" s="6" t="s">
        <v>1235</v>
      </c>
      <c r="H11720" s="6" t="s">
        <v>1236</v>
      </c>
      <c r="I11720" s="6" t="s">
        <v>32</v>
      </c>
      <c r="J11720" s="6">
        <v>17.18389711</v>
      </c>
      <c r="K11720" s="6">
        <v>-97.710097210000001</v>
      </c>
      <c r="L11720" s="6" t="str">
        <f>HYPERLINK("https://maps.google.com/?q=17.18389711,-97.710097210000001", "🔗 Ver Mapa")</f>
        <v>🔗 Ver Mapa</v>
      </c>
    </row>
    <row r="11721" spans="1:12" ht="43.5" x14ac:dyDescent="0.35">
      <c r="A11721" s="5" t="s">
        <v>516</v>
      </c>
      <c r="B11721" s="5" t="s">
        <v>517</v>
      </c>
      <c r="C11721" s="5" t="s">
        <v>2015</v>
      </c>
      <c r="D11721" s="5" t="s">
        <v>13</v>
      </c>
      <c r="E11721" s="5" t="s">
        <v>16</v>
      </c>
      <c r="F11721" s="5" t="s">
        <v>21</v>
      </c>
      <c r="G11721" s="5" t="s">
        <v>1235</v>
      </c>
      <c r="H11721" s="5" t="s">
        <v>1236</v>
      </c>
      <c r="I11721" s="5" t="s">
        <v>32</v>
      </c>
      <c r="J11721" s="5">
        <v>17.18403185</v>
      </c>
      <c r="K11721" s="5">
        <v>-97.708979650000003</v>
      </c>
      <c r="L11721" s="5" t="str">
        <f>HYPERLINK("https://maps.google.com/?q=17.18403185,-97.708979650000003", "🔗 Ver Mapa")</f>
        <v>🔗 Ver Mapa</v>
      </c>
    </row>
    <row r="11722" spans="1:12" ht="43.5" x14ac:dyDescent="0.35">
      <c r="A11722" s="6" t="s">
        <v>516</v>
      </c>
      <c r="B11722" s="6" t="s">
        <v>517</v>
      </c>
      <c r="C11722" s="6" t="s">
        <v>2015</v>
      </c>
      <c r="D11722" s="6" t="s">
        <v>13</v>
      </c>
      <c r="E11722" s="6" t="s">
        <v>16</v>
      </c>
      <c r="F11722" s="6" t="s">
        <v>21</v>
      </c>
      <c r="G11722" s="6" t="s">
        <v>1235</v>
      </c>
      <c r="H11722" s="6" t="s">
        <v>1236</v>
      </c>
      <c r="I11722" s="6" t="s">
        <v>32</v>
      </c>
      <c r="J11722" s="6">
        <v>17.18439158</v>
      </c>
      <c r="K11722" s="6">
        <v>-97.709033379999994</v>
      </c>
      <c r="L11722" s="6" t="str">
        <f>HYPERLINK("https://maps.google.com/?q=17.18439158,-97.709033379999994", "🔗 Ver Mapa")</f>
        <v>🔗 Ver Mapa</v>
      </c>
    </row>
    <row r="11723" spans="1:12" ht="43.5" x14ac:dyDescent="0.35">
      <c r="A11723" s="5" t="s">
        <v>516</v>
      </c>
      <c r="B11723" s="5" t="s">
        <v>517</v>
      </c>
      <c r="C11723" s="5" t="s">
        <v>2015</v>
      </c>
      <c r="D11723" s="5" t="s">
        <v>13</v>
      </c>
      <c r="E11723" s="5" t="s">
        <v>16</v>
      </c>
      <c r="F11723" s="5" t="s">
        <v>21</v>
      </c>
      <c r="G11723" s="5" t="s">
        <v>1235</v>
      </c>
      <c r="H11723" s="5" t="s">
        <v>1236</v>
      </c>
      <c r="I11723" s="5" t="s">
        <v>32</v>
      </c>
      <c r="J11723" s="5">
        <v>17.184792399999999</v>
      </c>
      <c r="K11723" s="5">
        <v>-97.710441189999997</v>
      </c>
      <c r="L11723" s="5" t="str">
        <f>HYPERLINK("https://maps.google.com/?q=17.1847924,-97.710441189999997", "🔗 Ver Mapa")</f>
        <v>🔗 Ver Mapa</v>
      </c>
    </row>
    <row r="11724" spans="1:12" ht="43.5" x14ac:dyDescent="0.35">
      <c r="A11724" s="6" t="s">
        <v>516</v>
      </c>
      <c r="B11724" s="6" t="s">
        <v>517</v>
      </c>
      <c r="C11724" s="6" t="s">
        <v>2015</v>
      </c>
      <c r="D11724" s="6" t="s">
        <v>13</v>
      </c>
      <c r="E11724" s="6" t="s">
        <v>16</v>
      </c>
      <c r="F11724" s="6" t="s">
        <v>21</v>
      </c>
      <c r="G11724" s="6" t="s">
        <v>1235</v>
      </c>
      <c r="H11724" s="6" t="s">
        <v>1236</v>
      </c>
      <c r="I11724" s="6" t="s">
        <v>32</v>
      </c>
      <c r="J11724" s="6">
        <v>17.185530329999999</v>
      </c>
      <c r="K11724" s="6">
        <v>-97.710734709999997</v>
      </c>
      <c r="L11724" s="6" t="str">
        <f>HYPERLINK("https://maps.google.com/?q=17.18553033,-97.710734709999997", "🔗 Ver Mapa")</f>
        <v>🔗 Ver Mapa</v>
      </c>
    </row>
    <row r="11725" spans="1:12" ht="43.5" x14ac:dyDescent="0.35">
      <c r="A11725" s="5" t="s">
        <v>516</v>
      </c>
      <c r="B11725" s="5" t="s">
        <v>517</v>
      </c>
      <c r="C11725" s="5" t="s">
        <v>2015</v>
      </c>
      <c r="D11725" s="5" t="s">
        <v>13</v>
      </c>
      <c r="E11725" s="5" t="s">
        <v>16</v>
      </c>
      <c r="F11725" s="5" t="s">
        <v>21</v>
      </c>
      <c r="G11725" s="5" t="s">
        <v>1235</v>
      </c>
      <c r="H11725" s="5" t="s">
        <v>1236</v>
      </c>
      <c r="I11725" s="5" t="s">
        <v>32</v>
      </c>
      <c r="J11725" s="5">
        <v>17.185688020000001</v>
      </c>
      <c r="K11725" s="5">
        <v>-97.712591790000005</v>
      </c>
      <c r="L11725" s="5" t="str">
        <f>HYPERLINK("https://maps.google.com/?q=17.18568802,-97.712591790000005", "🔗 Ver Mapa")</f>
        <v>🔗 Ver Mapa</v>
      </c>
    </row>
    <row r="11726" spans="1:12" ht="43.5" x14ac:dyDescent="0.35">
      <c r="A11726" s="6" t="s">
        <v>516</v>
      </c>
      <c r="B11726" s="6" t="s">
        <v>517</v>
      </c>
      <c r="C11726" s="6" t="s">
        <v>2015</v>
      </c>
      <c r="D11726" s="6" t="s">
        <v>13</v>
      </c>
      <c r="E11726" s="6" t="s">
        <v>16</v>
      </c>
      <c r="F11726" s="6" t="s">
        <v>21</v>
      </c>
      <c r="G11726" s="6" t="s">
        <v>1235</v>
      </c>
      <c r="H11726" s="6" t="s">
        <v>1236</v>
      </c>
      <c r="I11726" s="6" t="s">
        <v>32</v>
      </c>
      <c r="J11726" s="6">
        <v>17.185712800000001</v>
      </c>
      <c r="K11726" s="6">
        <v>-97.712891679999998</v>
      </c>
      <c r="L11726" s="6" t="str">
        <f>HYPERLINK("https://maps.google.com/?q=17.1857128,-97.712891679999998", "🔗 Ver Mapa")</f>
        <v>🔗 Ver Mapa</v>
      </c>
    </row>
    <row r="11727" spans="1:12" ht="43.5" x14ac:dyDescent="0.35">
      <c r="A11727" s="5" t="s">
        <v>516</v>
      </c>
      <c r="B11727" s="5" t="s">
        <v>517</v>
      </c>
      <c r="C11727" s="5" t="s">
        <v>2015</v>
      </c>
      <c r="D11727" s="5" t="s">
        <v>13</v>
      </c>
      <c r="E11727" s="5" t="s">
        <v>16</v>
      </c>
      <c r="F11727" s="5" t="s">
        <v>21</v>
      </c>
      <c r="G11727" s="5" t="s">
        <v>1235</v>
      </c>
      <c r="H11727" s="5" t="s">
        <v>1236</v>
      </c>
      <c r="I11727" s="5" t="s">
        <v>32</v>
      </c>
      <c r="J11727" s="5">
        <v>17.185757970000001</v>
      </c>
      <c r="K11727" s="5">
        <v>-97.712354739999995</v>
      </c>
      <c r="L11727" s="5" t="str">
        <f>HYPERLINK("https://maps.google.com/?q=17.18575797,-97.712354739999995", "🔗 Ver Mapa")</f>
        <v>🔗 Ver Mapa</v>
      </c>
    </row>
    <row r="11728" spans="1:12" ht="43.5" x14ac:dyDescent="0.35">
      <c r="A11728" s="6" t="s">
        <v>516</v>
      </c>
      <c r="B11728" s="6" t="s">
        <v>517</v>
      </c>
      <c r="C11728" s="6" t="s">
        <v>2015</v>
      </c>
      <c r="D11728" s="6" t="s">
        <v>13</v>
      </c>
      <c r="E11728" s="6" t="s">
        <v>16</v>
      </c>
      <c r="F11728" s="6" t="s">
        <v>21</v>
      </c>
      <c r="G11728" s="6" t="s">
        <v>1235</v>
      </c>
      <c r="H11728" s="6" t="s">
        <v>1236</v>
      </c>
      <c r="I11728" s="6" t="s">
        <v>32</v>
      </c>
      <c r="J11728" s="6">
        <v>17.18583108</v>
      </c>
      <c r="K11728" s="6">
        <v>-97.713375569999997</v>
      </c>
      <c r="L11728" s="6" t="str">
        <f>HYPERLINK("https://maps.google.com/?q=17.18583108,-97.713375569999997", "🔗 Ver Mapa")</f>
        <v>🔗 Ver Mapa</v>
      </c>
    </row>
    <row r="11729" spans="1:12" ht="43.5" x14ac:dyDescent="0.35">
      <c r="A11729" s="5" t="s">
        <v>516</v>
      </c>
      <c r="B11729" s="5" t="s">
        <v>517</v>
      </c>
      <c r="C11729" s="5" t="s">
        <v>2015</v>
      </c>
      <c r="D11729" s="5" t="s">
        <v>13</v>
      </c>
      <c r="E11729" s="5" t="s">
        <v>16</v>
      </c>
      <c r="F11729" s="5" t="s">
        <v>21</v>
      </c>
      <c r="G11729" s="5" t="s">
        <v>1235</v>
      </c>
      <c r="H11729" s="5" t="s">
        <v>1236</v>
      </c>
      <c r="I11729" s="5" t="s">
        <v>32</v>
      </c>
      <c r="J11729" s="5">
        <v>17.185924310000001</v>
      </c>
      <c r="K11729" s="5">
        <v>-97.711541850000003</v>
      </c>
      <c r="L11729" s="5" t="str">
        <f>HYPERLINK("https://maps.google.com/?q=17.18592431,-97.711541850000003", "🔗 Ver Mapa")</f>
        <v>🔗 Ver Mapa</v>
      </c>
    </row>
    <row r="11730" spans="1:12" ht="43.5" x14ac:dyDescent="0.35">
      <c r="A11730" s="6" t="s">
        <v>516</v>
      </c>
      <c r="B11730" s="6" t="s">
        <v>517</v>
      </c>
      <c r="C11730" s="6" t="s">
        <v>2015</v>
      </c>
      <c r="D11730" s="6" t="s">
        <v>13</v>
      </c>
      <c r="E11730" s="6" t="s">
        <v>16</v>
      </c>
      <c r="F11730" s="6" t="s">
        <v>21</v>
      </c>
      <c r="G11730" s="6" t="s">
        <v>1235</v>
      </c>
      <c r="H11730" s="6" t="s">
        <v>1236</v>
      </c>
      <c r="I11730" s="6" t="s">
        <v>32</v>
      </c>
      <c r="J11730" s="6">
        <v>17.186101669999999</v>
      </c>
      <c r="K11730" s="6">
        <v>-97.710956060000001</v>
      </c>
      <c r="L11730" s="6" t="str">
        <f>HYPERLINK("https://maps.google.com/?q=17.18610167,-97.710956060000001", "🔗 Ver Mapa")</f>
        <v>🔗 Ver Mapa</v>
      </c>
    </row>
    <row r="11731" spans="1:12" ht="43.5" x14ac:dyDescent="0.35">
      <c r="A11731" s="5" t="s">
        <v>516</v>
      </c>
      <c r="B11731" s="5" t="s">
        <v>517</v>
      </c>
      <c r="C11731" s="5" t="s">
        <v>2015</v>
      </c>
      <c r="D11731" s="5" t="s">
        <v>13</v>
      </c>
      <c r="E11731" s="5" t="s">
        <v>16</v>
      </c>
      <c r="F11731" s="5" t="s">
        <v>21</v>
      </c>
      <c r="G11731" s="5" t="s">
        <v>1235</v>
      </c>
      <c r="H11731" s="5" t="s">
        <v>1236</v>
      </c>
      <c r="I11731" s="5" t="s">
        <v>32</v>
      </c>
      <c r="J11731" s="5">
        <v>17.18664476</v>
      </c>
      <c r="K11731" s="5">
        <v>-97.711099390000001</v>
      </c>
      <c r="L11731" s="5" t="str">
        <f>HYPERLINK("https://maps.google.com/?q=17.18664476,-97.711099390000001", "🔗 Ver Mapa")</f>
        <v>🔗 Ver Mapa</v>
      </c>
    </row>
    <row r="11732" spans="1:12" ht="43.5" x14ac:dyDescent="0.35">
      <c r="A11732" s="6" t="s">
        <v>516</v>
      </c>
      <c r="B11732" s="6" t="s">
        <v>517</v>
      </c>
      <c r="C11732" s="6" t="s">
        <v>2015</v>
      </c>
      <c r="D11732" s="6" t="s">
        <v>13</v>
      </c>
      <c r="E11732" s="6" t="s">
        <v>16</v>
      </c>
      <c r="F11732" s="6" t="s">
        <v>21</v>
      </c>
      <c r="G11732" s="6" t="s">
        <v>1235</v>
      </c>
      <c r="H11732" s="6" t="s">
        <v>1236</v>
      </c>
      <c r="I11732" s="6" t="s">
        <v>32</v>
      </c>
      <c r="J11732" s="6">
        <v>17.187026370000002</v>
      </c>
      <c r="K11732" s="6">
        <v>-97.71118937</v>
      </c>
      <c r="L11732" s="6" t="str">
        <f>HYPERLINK("https://maps.google.com/?q=17.18702637,-97.71118937", "🔗 Ver Mapa")</f>
        <v>🔗 Ver Mapa</v>
      </c>
    </row>
    <row r="11733" spans="1:12" ht="43.5" x14ac:dyDescent="0.35">
      <c r="A11733" s="5" t="s">
        <v>516</v>
      </c>
      <c r="B11733" s="5" t="s">
        <v>517</v>
      </c>
      <c r="C11733" s="5" t="s">
        <v>2015</v>
      </c>
      <c r="D11733" s="5" t="s">
        <v>13</v>
      </c>
      <c r="E11733" s="5" t="s">
        <v>16</v>
      </c>
      <c r="F11733" s="5" t="s">
        <v>21</v>
      </c>
      <c r="G11733" s="5" t="s">
        <v>1235</v>
      </c>
      <c r="H11733" s="5" t="s">
        <v>1236</v>
      </c>
      <c r="I11733" s="5" t="s">
        <v>32</v>
      </c>
      <c r="J11733" s="5">
        <v>17.187948259999999</v>
      </c>
      <c r="K11733" s="5">
        <v>-97.711440120000006</v>
      </c>
      <c r="L11733" s="5" t="str">
        <f>HYPERLINK("https://maps.google.com/?q=17.18794826,-97.711440120000006", "🔗 Ver Mapa")</f>
        <v>🔗 Ver Mapa</v>
      </c>
    </row>
    <row r="11734" spans="1:12" ht="43.5" x14ac:dyDescent="0.35">
      <c r="A11734" s="6" t="s">
        <v>516</v>
      </c>
      <c r="B11734" s="6" t="s">
        <v>517</v>
      </c>
      <c r="C11734" s="6" t="s">
        <v>2015</v>
      </c>
      <c r="D11734" s="6" t="s">
        <v>13</v>
      </c>
      <c r="E11734" s="6" t="s">
        <v>16</v>
      </c>
      <c r="F11734" s="6" t="s">
        <v>21</v>
      </c>
      <c r="G11734" s="6" t="s">
        <v>1235</v>
      </c>
      <c r="H11734" s="6" t="s">
        <v>1236</v>
      </c>
      <c r="I11734" s="6" t="s">
        <v>32</v>
      </c>
      <c r="J11734" s="6">
        <v>17.188349039999999</v>
      </c>
      <c r="K11734" s="6">
        <v>-97.715448359999996</v>
      </c>
      <c r="L11734" s="6" t="str">
        <f>HYPERLINK("https://maps.google.com/?q=17.18834904,-97.715448359999996", "🔗 Ver Mapa")</f>
        <v>🔗 Ver Mapa</v>
      </c>
    </row>
    <row r="11735" spans="1:12" ht="43.5" x14ac:dyDescent="0.35">
      <c r="A11735" s="5" t="s">
        <v>516</v>
      </c>
      <c r="B11735" s="5" t="s">
        <v>517</v>
      </c>
      <c r="C11735" s="5" t="s">
        <v>2015</v>
      </c>
      <c r="D11735" s="5" t="s">
        <v>13</v>
      </c>
      <c r="E11735" s="5" t="s">
        <v>16</v>
      </c>
      <c r="F11735" s="5" t="s">
        <v>21</v>
      </c>
      <c r="G11735" s="5" t="s">
        <v>1235</v>
      </c>
      <c r="H11735" s="5" t="s">
        <v>1236</v>
      </c>
      <c r="I11735" s="5" t="s">
        <v>32</v>
      </c>
      <c r="J11735" s="5">
        <v>17.188656999999999</v>
      </c>
      <c r="K11735" s="5">
        <v>-97.711696869999997</v>
      </c>
      <c r="L11735" s="5" t="str">
        <f>HYPERLINK("https://maps.google.com/?q=17.188657,-97.711696869999997", "🔗 Ver Mapa")</f>
        <v>🔗 Ver Mapa</v>
      </c>
    </row>
    <row r="11736" spans="1:12" ht="43.5" x14ac:dyDescent="0.35">
      <c r="A11736" s="6" t="s">
        <v>516</v>
      </c>
      <c r="B11736" s="6" t="s">
        <v>517</v>
      </c>
      <c r="C11736" s="6" t="s">
        <v>2015</v>
      </c>
      <c r="D11736" s="6" t="s">
        <v>13</v>
      </c>
      <c r="E11736" s="6" t="s">
        <v>16</v>
      </c>
      <c r="F11736" s="6" t="s">
        <v>21</v>
      </c>
      <c r="G11736" s="6" t="s">
        <v>1235</v>
      </c>
      <c r="H11736" s="6" t="s">
        <v>1236</v>
      </c>
      <c r="I11736" s="6" t="s">
        <v>32</v>
      </c>
      <c r="J11736" s="6">
        <v>17.188827710000002</v>
      </c>
      <c r="K11736" s="6">
        <v>-97.715295819999994</v>
      </c>
      <c r="L11736" s="6" t="str">
        <f>HYPERLINK("https://maps.google.com/?q=17.18882771,-97.715295819999994", "🔗 Ver Mapa")</f>
        <v>🔗 Ver Mapa</v>
      </c>
    </row>
    <row r="11737" spans="1:12" ht="43.5" x14ac:dyDescent="0.35">
      <c r="A11737" s="5" t="s">
        <v>516</v>
      </c>
      <c r="B11737" s="5" t="s">
        <v>517</v>
      </c>
      <c r="C11737" s="5" t="s">
        <v>2015</v>
      </c>
      <c r="D11737" s="5" t="s">
        <v>13</v>
      </c>
      <c r="E11737" s="5" t="s">
        <v>16</v>
      </c>
      <c r="F11737" s="5" t="s">
        <v>21</v>
      </c>
      <c r="G11737" s="5" t="s">
        <v>1235</v>
      </c>
      <c r="H11737" s="5" t="s">
        <v>1236</v>
      </c>
      <c r="I11737" s="5" t="s">
        <v>32</v>
      </c>
      <c r="J11737" s="5">
        <v>17.189049959999998</v>
      </c>
      <c r="K11737" s="5">
        <v>-97.715097299999996</v>
      </c>
      <c r="L11737" s="5" t="str">
        <f>HYPERLINK("https://maps.google.com/?q=17.18904996,-97.715097299999996", "🔗 Ver Mapa")</f>
        <v>🔗 Ver Mapa</v>
      </c>
    </row>
    <row r="11738" spans="1:12" ht="43.5" x14ac:dyDescent="0.35">
      <c r="A11738" s="6" t="s">
        <v>516</v>
      </c>
      <c r="B11738" s="6" t="s">
        <v>517</v>
      </c>
      <c r="C11738" s="6" t="s">
        <v>2015</v>
      </c>
      <c r="D11738" s="6" t="s">
        <v>13</v>
      </c>
      <c r="E11738" s="6" t="s">
        <v>16</v>
      </c>
      <c r="F11738" s="6" t="s">
        <v>21</v>
      </c>
      <c r="G11738" s="6" t="s">
        <v>1235</v>
      </c>
      <c r="H11738" s="6" t="s">
        <v>1236</v>
      </c>
      <c r="I11738" s="6" t="s">
        <v>32</v>
      </c>
      <c r="J11738" s="6">
        <v>17.18908742</v>
      </c>
      <c r="K11738" s="6">
        <v>-97.711906479999996</v>
      </c>
      <c r="L11738" s="6" t="str">
        <f>HYPERLINK("https://maps.google.com/?q=17.18908742,-97.711906479999996", "🔗 Ver Mapa")</f>
        <v>🔗 Ver Mapa</v>
      </c>
    </row>
    <row r="11739" spans="1:12" ht="43.5" x14ac:dyDescent="0.35">
      <c r="A11739" s="5" t="s">
        <v>516</v>
      </c>
      <c r="B11739" s="5" t="s">
        <v>517</v>
      </c>
      <c r="C11739" s="5" t="s">
        <v>2015</v>
      </c>
      <c r="D11739" s="5" t="s">
        <v>13</v>
      </c>
      <c r="E11739" s="5" t="s">
        <v>16</v>
      </c>
      <c r="F11739" s="5" t="s">
        <v>21</v>
      </c>
      <c r="G11739" s="5" t="s">
        <v>1235</v>
      </c>
      <c r="H11739" s="5" t="s">
        <v>1236</v>
      </c>
      <c r="I11739" s="5" t="s">
        <v>32</v>
      </c>
      <c r="J11739" s="5">
        <v>17.189094000000001</v>
      </c>
      <c r="K11739" s="5">
        <v>-97.712663739999996</v>
      </c>
      <c r="L11739" s="5" t="str">
        <f>HYPERLINK("https://maps.google.com/?q=17.189094,-97.712663739999996", "🔗 Ver Mapa")</f>
        <v>🔗 Ver Mapa</v>
      </c>
    </row>
    <row r="11740" spans="1:12" ht="43.5" x14ac:dyDescent="0.35">
      <c r="A11740" s="6" t="s">
        <v>516</v>
      </c>
      <c r="B11740" s="6" t="s">
        <v>517</v>
      </c>
      <c r="C11740" s="6" t="s">
        <v>2015</v>
      </c>
      <c r="D11740" s="6" t="s">
        <v>13</v>
      </c>
      <c r="E11740" s="6" t="s">
        <v>16</v>
      </c>
      <c r="F11740" s="6" t="s">
        <v>21</v>
      </c>
      <c r="G11740" s="6" t="s">
        <v>1235</v>
      </c>
      <c r="H11740" s="6" t="s">
        <v>1236</v>
      </c>
      <c r="I11740" s="6" t="s">
        <v>32</v>
      </c>
      <c r="J11740" s="6">
        <v>17.18910185</v>
      </c>
      <c r="K11740" s="6">
        <v>-97.712107590000002</v>
      </c>
      <c r="L11740" s="6" t="str">
        <f>HYPERLINK("https://maps.google.com/?q=17.18910185,-97.712107590000002", "🔗 Ver Mapa")</f>
        <v>🔗 Ver Mapa</v>
      </c>
    </row>
    <row r="11741" spans="1:12" ht="43.5" x14ac:dyDescent="0.35">
      <c r="A11741" s="5" t="s">
        <v>516</v>
      </c>
      <c r="B11741" s="5" t="s">
        <v>517</v>
      </c>
      <c r="C11741" s="5" t="s">
        <v>2015</v>
      </c>
      <c r="D11741" s="5" t="s">
        <v>13</v>
      </c>
      <c r="E11741" s="5" t="s">
        <v>16</v>
      </c>
      <c r="F11741" s="5" t="s">
        <v>21</v>
      </c>
      <c r="G11741" s="5" t="s">
        <v>1235</v>
      </c>
      <c r="H11741" s="5" t="s">
        <v>1236</v>
      </c>
      <c r="I11741" s="5" t="s">
        <v>32</v>
      </c>
      <c r="J11741" s="5">
        <v>17.189131750000001</v>
      </c>
      <c r="K11741" s="5">
        <v>-97.713133350000007</v>
      </c>
      <c r="L11741" s="5" t="str">
        <f>HYPERLINK("https://maps.google.com/?q=17.18913175,-97.713133350000007", "🔗 Ver Mapa")</f>
        <v>🔗 Ver Mapa</v>
      </c>
    </row>
    <row r="11742" spans="1:12" ht="43.5" x14ac:dyDescent="0.35">
      <c r="A11742" s="6" t="s">
        <v>516</v>
      </c>
      <c r="B11742" s="6" t="s">
        <v>517</v>
      </c>
      <c r="C11742" s="6" t="s">
        <v>2015</v>
      </c>
      <c r="D11742" s="6" t="s">
        <v>13</v>
      </c>
      <c r="E11742" s="6" t="s">
        <v>16</v>
      </c>
      <c r="F11742" s="6" t="s">
        <v>21</v>
      </c>
      <c r="G11742" s="6" t="s">
        <v>1235</v>
      </c>
      <c r="H11742" s="6" t="s">
        <v>1236</v>
      </c>
      <c r="I11742" s="6" t="s">
        <v>32</v>
      </c>
      <c r="J11742" s="6">
        <v>17.18917824</v>
      </c>
      <c r="K11742" s="6">
        <v>-97.713862800000001</v>
      </c>
      <c r="L11742" s="6" t="str">
        <f>HYPERLINK("https://maps.google.com/?q=17.18917824,-97.713862800000001", "🔗 Ver Mapa")</f>
        <v>🔗 Ver Mapa</v>
      </c>
    </row>
    <row r="11743" spans="1:12" ht="43.5" x14ac:dyDescent="0.35">
      <c r="A11743" s="5" t="s">
        <v>516</v>
      </c>
      <c r="B11743" s="5" t="s">
        <v>517</v>
      </c>
      <c r="C11743" s="5" t="s">
        <v>2015</v>
      </c>
      <c r="D11743" s="5" t="s">
        <v>13</v>
      </c>
      <c r="E11743" s="5" t="s">
        <v>16</v>
      </c>
      <c r="F11743" s="5" t="s">
        <v>21</v>
      </c>
      <c r="G11743" s="5" t="s">
        <v>1235</v>
      </c>
      <c r="H11743" s="5" t="s">
        <v>1236</v>
      </c>
      <c r="I11743" s="5" t="s">
        <v>32</v>
      </c>
      <c r="J11743" s="5">
        <v>17.18919752</v>
      </c>
      <c r="K11743" s="5">
        <v>-97.712393520000006</v>
      </c>
      <c r="L11743" s="5" t="str">
        <f>HYPERLINK("https://maps.google.com/?q=17.18919752,-97.712393520000006", "🔗 Ver Mapa")</f>
        <v>🔗 Ver Mapa</v>
      </c>
    </row>
    <row r="11744" spans="1:12" ht="43.5" x14ac:dyDescent="0.35">
      <c r="A11744" s="6" t="s">
        <v>516</v>
      </c>
      <c r="B11744" s="6" t="s">
        <v>517</v>
      </c>
      <c r="C11744" s="6" t="s">
        <v>2015</v>
      </c>
      <c r="D11744" s="6" t="s">
        <v>13</v>
      </c>
      <c r="E11744" s="6" t="s">
        <v>16</v>
      </c>
      <c r="F11744" s="6" t="s">
        <v>21</v>
      </c>
      <c r="G11744" s="6" t="s">
        <v>1235</v>
      </c>
      <c r="H11744" s="6" t="s">
        <v>1236</v>
      </c>
      <c r="I11744" s="6" t="s">
        <v>32</v>
      </c>
      <c r="J11744" s="6">
        <v>17.189244500000001</v>
      </c>
      <c r="K11744" s="6">
        <v>-97.71442424</v>
      </c>
      <c r="L11744" s="6" t="str">
        <f>HYPERLINK("https://maps.google.com/?q=17.1892445,-97.71442424", "🔗 Ver Mapa")</f>
        <v>🔗 Ver Mapa</v>
      </c>
    </row>
    <row r="11745" spans="1:12" ht="43.5" x14ac:dyDescent="0.35">
      <c r="A11745" s="5" t="s">
        <v>516</v>
      </c>
      <c r="B11745" s="5" t="s">
        <v>517</v>
      </c>
      <c r="C11745" s="5" t="s">
        <v>2015</v>
      </c>
      <c r="D11745" s="5" t="s">
        <v>13</v>
      </c>
      <c r="E11745" s="5" t="s">
        <v>16</v>
      </c>
      <c r="F11745" s="5" t="s">
        <v>21</v>
      </c>
      <c r="G11745" s="5" t="s">
        <v>1235</v>
      </c>
      <c r="H11745" s="5" t="s">
        <v>1236</v>
      </c>
      <c r="I11745" s="5" t="s">
        <v>32</v>
      </c>
      <c r="J11745" s="5">
        <v>17.189288380000001</v>
      </c>
      <c r="K11745" s="5">
        <v>-97.712572620000003</v>
      </c>
      <c r="L11745" s="5" t="str">
        <f>HYPERLINK("https://maps.google.com/?q=17.18928838,-97.712572620000003", "🔗 Ver Mapa")</f>
        <v>🔗 Ver Mapa</v>
      </c>
    </row>
    <row r="11746" spans="1:12" ht="43.5" x14ac:dyDescent="0.35">
      <c r="A11746" s="6" t="s">
        <v>516</v>
      </c>
      <c r="B11746" s="6" t="s">
        <v>517</v>
      </c>
      <c r="C11746" s="6" t="s">
        <v>2015</v>
      </c>
      <c r="D11746" s="6" t="s">
        <v>13</v>
      </c>
      <c r="E11746" s="6" t="s">
        <v>16</v>
      </c>
      <c r="F11746" s="6" t="s">
        <v>21</v>
      </c>
      <c r="G11746" s="6" t="s">
        <v>1235</v>
      </c>
      <c r="H11746" s="6" t="s">
        <v>1236</v>
      </c>
      <c r="I11746" s="6" t="s">
        <v>32</v>
      </c>
      <c r="J11746" s="6">
        <v>17.189298059999999</v>
      </c>
      <c r="K11746" s="6">
        <v>-97.714860639999998</v>
      </c>
      <c r="L11746" s="6" t="str">
        <f>HYPERLINK("https://maps.google.com/?q=17.18929806,-97.714860639999998", "🔗 Ver Mapa")</f>
        <v>🔗 Ver Mapa</v>
      </c>
    </row>
    <row r="11747" spans="1:12" ht="43.5" x14ac:dyDescent="0.35">
      <c r="A11747" s="5" t="s">
        <v>516</v>
      </c>
      <c r="B11747" s="5" t="s">
        <v>517</v>
      </c>
      <c r="C11747" s="5" t="s">
        <v>2015</v>
      </c>
      <c r="D11747" s="5" t="s">
        <v>13</v>
      </c>
      <c r="E11747" s="5" t="s">
        <v>16</v>
      </c>
      <c r="F11747" s="5" t="s">
        <v>21</v>
      </c>
      <c r="G11747" s="5" t="s">
        <v>1235</v>
      </c>
      <c r="H11747" s="5" t="s">
        <v>1236</v>
      </c>
      <c r="I11747" s="5" t="s">
        <v>32</v>
      </c>
      <c r="J11747" s="5">
        <v>17.189624800000001</v>
      </c>
      <c r="K11747" s="5">
        <v>-97.712107090000003</v>
      </c>
      <c r="L11747" s="5" t="str">
        <f>HYPERLINK("https://maps.google.com/?q=17.1896248,-97.712107090000003", "🔗 Ver Mapa")</f>
        <v>🔗 Ver Mapa</v>
      </c>
    </row>
    <row r="11748" spans="1:12" ht="43.5" x14ac:dyDescent="0.35">
      <c r="A11748" s="6" t="s">
        <v>516</v>
      </c>
      <c r="B11748" s="6" t="s">
        <v>517</v>
      </c>
      <c r="C11748" s="6" t="s">
        <v>2015</v>
      </c>
      <c r="D11748" s="6" t="s">
        <v>13</v>
      </c>
      <c r="E11748" s="6" t="s">
        <v>16</v>
      </c>
      <c r="F11748" s="6" t="s">
        <v>21</v>
      </c>
      <c r="G11748" s="6" t="s">
        <v>1235</v>
      </c>
      <c r="H11748" s="6" t="s">
        <v>1236</v>
      </c>
      <c r="I11748" s="6" t="s">
        <v>32</v>
      </c>
      <c r="J11748" s="6">
        <v>17.19013434</v>
      </c>
      <c r="K11748" s="6">
        <v>-97.712294619999994</v>
      </c>
      <c r="L11748" s="6" t="str">
        <f>HYPERLINK("https://maps.google.com/?q=17.19013434,-97.712294619999994", "🔗 Ver Mapa")</f>
        <v>🔗 Ver Mapa</v>
      </c>
    </row>
    <row r="11749" spans="1:12" ht="43.5" x14ac:dyDescent="0.35">
      <c r="A11749" s="5" t="s">
        <v>516</v>
      </c>
      <c r="B11749" s="5" t="s">
        <v>517</v>
      </c>
      <c r="C11749" s="5" t="s">
        <v>2015</v>
      </c>
      <c r="D11749" s="5" t="s">
        <v>13</v>
      </c>
      <c r="E11749" s="5" t="s">
        <v>16</v>
      </c>
      <c r="F11749" s="5" t="s">
        <v>21</v>
      </c>
      <c r="G11749" s="5" t="s">
        <v>1235</v>
      </c>
      <c r="H11749" s="5" t="s">
        <v>1236</v>
      </c>
      <c r="I11749" s="5" t="s">
        <v>32</v>
      </c>
      <c r="J11749" s="5">
        <v>17.191065770000002</v>
      </c>
      <c r="K11749" s="5">
        <v>-97.712663620000001</v>
      </c>
      <c r="L11749" s="5" t="str">
        <f>HYPERLINK("https://maps.google.com/?q=17.19106577,-97.712663620000001", "🔗 Ver Mapa")</f>
        <v>🔗 Ver Mapa</v>
      </c>
    </row>
    <row r="11750" spans="1:12" ht="43.5" x14ac:dyDescent="0.35">
      <c r="A11750" s="6" t="s">
        <v>516</v>
      </c>
      <c r="B11750" s="6" t="s">
        <v>517</v>
      </c>
      <c r="C11750" s="6" t="s">
        <v>2015</v>
      </c>
      <c r="D11750" s="6" t="s">
        <v>13</v>
      </c>
      <c r="E11750" s="6" t="s">
        <v>16</v>
      </c>
      <c r="F11750" s="6" t="s">
        <v>21</v>
      </c>
      <c r="G11750" s="6" t="s">
        <v>1235</v>
      </c>
      <c r="H11750" s="6" t="s">
        <v>1236</v>
      </c>
      <c r="I11750" s="6" t="s">
        <v>32</v>
      </c>
      <c r="J11750" s="6">
        <v>17.19198707</v>
      </c>
      <c r="K11750" s="6">
        <v>-97.713008790000004</v>
      </c>
      <c r="L11750" s="6" t="str">
        <f>HYPERLINK("https://maps.google.com/?q=17.19198707,-97.713008790000004", "🔗 Ver Mapa")</f>
        <v>🔗 Ver Mapa</v>
      </c>
    </row>
    <row r="11751" spans="1:12" ht="43.5" x14ac:dyDescent="0.35">
      <c r="A11751" s="5" t="s">
        <v>516</v>
      </c>
      <c r="B11751" s="5" t="s">
        <v>517</v>
      </c>
      <c r="C11751" s="5" t="s">
        <v>2015</v>
      </c>
      <c r="D11751" s="5" t="s">
        <v>13</v>
      </c>
      <c r="E11751" s="5" t="s">
        <v>16</v>
      </c>
      <c r="F11751" s="5" t="s">
        <v>21</v>
      </c>
      <c r="G11751" s="5" t="s">
        <v>1235</v>
      </c>
      <c r="H11751" s="5" t="s">
        <v>1236</v>
      </c>
      <c r="I11751" s="5" t="s">
        <v>32</v>
      </c>
      <c r="J11751" s="5">
        <v>17.192839920000001</v>
      </c>
      <c r="K11751" s="5">
        <v>-97.713362360000005</v>
      </c>
      <c r="L11751" s="5" t="str">
        <f>HYPERLINK("https://maps.google.com/?q=17.19283992,-97.713362360000005", "🔗 Ver Mapa")</f>
        <v>🔗 Ver Mapa</v>
      </c>
    </row>
    <row r="11752" spans="1:12" ht="43.5" x14ac:dyDescent="0.35">
      <c r="A11752" s="6" t="s">
        <v>516</v>
      </c>
      <c r="B11752" s="6" t="s">
        <v>517</v>
      </c>
      <c r="C11752" s="6" t="s">
        <v>2015</v>
      </c>
      <c r="D11752" s="6" t="s">
        <v>13</v>
      </c>
      <c r="E11752" s="6" t="s">
        <v>16</v>
      </c>
      <c r="F11752" s="6" t="s">
        <v>21</v>
      </c>
      <c r="G11752" s="6" t="s">
        <v>1235</v>
      </c>
      <c r="H11752" s="6" t="s">
        <v>1236</v>
      </c>
      <c r="I11752" s="6" t="s">
        <v>32</v>
      </c>
      <c r="J11752" s="6">
        <v>17.193079560000001</v>
      </c>
      <c r="K11752" s="6">
        <v>-97.713481650000006</v>
      </c>
      <c r="L11752" s="6" t="str">
        <f>HYPERLINK("https://maps.google.com/?q=17.19307956,-97.713481650000006", "🔗 Ver Mapa")</f>
        <v>🔗 Ver Mapa</v>
      </c>
    </row>
    <row r="11753" spans="1:12" ht="43.5" x14ac:dyDescent="0.35">
      <c r="A11753" s="5" t="s">
        <v>516</v>
      </c>
      <c r="B11753" s="5" t="s">
        <v>517</v>
      </c>
      <c r="C11753" s="5" t="s">
        <v>2015</v>
      </c>
      <c r="D11753" s="5" t="s">
        <v>13</v>
      </c>
      <c r="E11753" s="5" t="s">
        <v>16</v>
      </c>
      <c r="F11753" s="5" t="s">
        <v>21</v>
      </c>
      <c r="G11753" s="5" t="s">
        <v>1235</v>
      </c>
      <c r="H11753" s="5" t="s">
        <v>1236</v>
      </c>
      <c r="I11753" s="5" t="s">
        <v>32</v>
      </c>
      <c r="J11753" s="5">
        <v>17.193383260000001</v>
      </c>
      <c r="K11753" s="5">
        <v>-97.713713200000001</v>
      </c>
      <c r="L11753" s="5" t="str">
        <f>HYPERLINK("https://maps.google.com/?q=17.19338326,-97.713713200000001", "🔗 Ver Mapa")</f>
        <v>🔗 Ver Mapa</v>
      </c>
    </row>
    <row r="11754" spans="1:12" ht="58" x14ac:dyDescent="0.35">
      <c r="A11754" s="6" t="s">
        <v>73</v>
      </c>
      <c r="B11754" s="6" t="s">
        <v>74</v>
      </c>
      <c r="C11754" s="6" t="s">
        <v>2016</v>
      </c>
      <c r="D11754" s="6" t="s">
        <v>76</v>
      </c>
      <c r="E11754" s="6" t="s">
        <v>110</v>
      </c>
      <c r="F11754" s="6" t="s">
        <v>126</v>
      </c>
      <c r="G11754" s="6" t="s">
        <v>1453</v>
      </c>
      <c r="H11754" s="6" t="s">
        <v>2017</v>
      </c>
      <c r="I11754" s="6" t="s">
        <v>31</v>
      </c>
      <c r="J11754" s="6">
        <v>17.788388872291002</v>
      </c>
      <c r="K11754" s="6">
        <v>-96.801728009517007</v>
      </c>
      <c r="L11754" s="6" t="str">
        <f>HYPERLINK("https://maps.google.com/?q=17.788388872290607,-96.8017280095172", "🔗 Ver Mapa")</f>
        <v>🔗 Ver Mapa</v>
      </c>
    </row>
    <row r="11755" spans="1:12" ht="43.5" x14ac:dyDescent="0.35">
      <c r="A11755" s="5" t="s">
        <v>73</v>
      </c>
      <c r="B11755" s="5" t="s">
        <v>74</v>
      </c>
      <c r="C11755" s="5" t="s">
        <v>2018</v>
      </c>
      <c r="D11755" s="5" t="s">
        <v>76</v>
      </c>
      <c r="E11755" s="5" t="s">
        <v>39</v>
      </c>
      <c r="F11755" s="5" t="s">
        <v>494</v>
      </c>
      <c r="G11755" s="5" t="s">
        <v>571</v>
      </c>
      <c r="H11755" s="5" t="s">
        <v>572</v>
      </c>
      <c r="I11755" s="5" t="s">
        <v>31</v>
      </c>
      <c r="J11755" s="5">
        <v>16.561560157525001</v>
      </c>
      <c r="K11755" s="5">
        <v>-97.008002076984994</v>
      </c>
      <c r="L11755" s="5" t="str">
        <f>HYPERLINK("https://maps.google.com/?q=16.5615601575252,-97.0080020769847", "🔗 Ver Mapa")</f>
        <v>🔗 Ver Mapa</v>
      </c>
    </row>
    <row r="11756" spans="1:12" ht="29" x14ac:dyDescent="0.35">
      <c r="A11756" s="6" t="s">
        <v>2019</v>
      </c>
      <c r="B11756" s="6" t="s">
        <v>2020</v>
      </c>
      <c r="C11756" s="6" t="s">
        <v>2021</v>
      </c>
      <c r="D11756" s="6" t="s">
        <v>76</v>
      </c>
      <c r="E11756" s="6" t="s">
        <v>52</v>
      </c>
      <c r="F11756" s="6" t="s">
        <v>421</v>
      </c>
      <c r="G11756" s="6" t="s">
        <v>427</v>
      </c>
      <c r="H11756" s="6" t="s">
        <v>2022</v>
      </c>
      <c r="I11756" s="6" t="s">
        <v>31</v>
      </c>
      <c r="J11756" s="6">
        <v>16.53707914604</v>
      </c>
      <c r="K11756" s="6">
        <v>-96.665432623347996</v>
      </c>
      <c r="L11756" s="6" t="str">
        <f>HYPERLINK("https://maps.google.com/?q=16.53707914603951,-96.66543262334824", "🔗 Ver Mapa")</f>
        <v>🔗 Ver Mapa</v>
      </c>
    </row>
    <row r="11757" spans="1:12" ht="43.5" x14ac:dyDescent="0.35">
      <c r="A11757" s="5" t="s">
        <v>2019</v>
      </c>
      <c r="B11757" s="5" t="s">
        <v>2020</v>
      </c>
      <c r="C11757" s="5" t="s">
        <v>2023</v>
      </c>
      <c r="D11757" s="5" t="s">
        <v>76</v>
      </c>
      <c r="E11757" s="5" t="s">
        <v>52</v>
      </c>
      <c r="F11757" s="5" t="s">
        <v>70</v>
      </c>
      <c r="G11757" s="5" t="s">
        <v>225</v>
      </c>
      <c r="H11757" s="5" t="s">
        <v>2024</v>
      </c>
      <c r="I11757" s="5" t="s">
        <v>31</v>
      </c>
      <c r="J11757" s="5">
        <v>16.995774344198001</v>
      </c>
      <c r="K11757" s="5">
        <v>-96.780934314329002</v>
      </c>
      <c r="L11757" s="5" t="str">
        <f>HYPERLINK("https://maps.google.com/?q=16.99577434419765,-96.78093431432916", "🔗 Ver Mapa")</f>
        <v>🔗 Ver Mapa</v>
      </c>
    </row>
    <row r="11758" spans="1:12" ht="43.5" x14ac:dyDescent="0.35">
      <c r="A11758" s="6" t="s">
        <v>2019</v>
      </c>
      <c r="B11758" s="6" t="s">
        <v>2020</v>
      </c>
      <c r="C11758" s="6" t="s">
        <v>2025</v>
      </c>
      <c r="D11758" s="6" t="s">
        <v>76</v>
      </c>
      <c r="E11758" s="6" t="s">
        <v>52</v>
      </c>
      <c r="F11758" s="6" t="s">
        <v>421</v>
      </c>
      <c r="G11758" s="6" t="s">
        <v>422</v>
      </c>
      <c r="H11758" s="6" t="s">
        <v>2026</v>
      </c>
      <c r="I11758" s="6" t="s">
        <v>31</v>
      </c>
      <c r="J11758" s="6">
        <v>16.528209559423999</v>
      </c>
      <c r="K11758" s="6">
        <v>-96.691003200069005</v>
      </c>
      <c r="L11758" s="6" t="str">
        <f>HYPERLINK("https://maps.google.com/?q=16.528209559423637,-96.69100320006943", "🔗 Ver Mapa")</f>
        <v>🔗 Ver Mapa</v>
      </c>
    </row>
    <row r="11759" spans="1:12" ht="43.5" x14ac:dyDescent="0.35">
      <c r="A11759" s="5" t="s">
        <v>2019</v>
      </c>
      <c r="B11759" s="5" t="s">
        <v>2020</v>
      </c>
      <c r="C11759" s="5" t="s">
        <v>2027</v>
      </c>
      <c r="D11759" s="5" t="s">
        <v>76</v>
      </c>
      <c r="E11759" s="5" t="s">
        <v>16</v>
      </c>
      <c r="F11759" s="5" t="s">
        <v>195</v>
      </c>
      <c r="G11759" s="5" t="s">
        <v>2028</v>
      </c>
      <c r="H11759" s="5" t="s">
        <v>2029</v>
      </c>
      <c r="I11759" s="5" t="s">
        <v>31</v>
      </c>
      <c r="J11759" s="5">
        <v>17.508315632224001</v>
      </c>
      <c r="K11759" s="5">
        <v>-98.043985168158002</v>
      </c>
      <c r="L11759" s="5" t="str">
        <f>HYPERLINK("https://maps.google.com/?q=17.5083156322239,-98.04398516815758", "🔗 Ver Mapa")</f>
        <v>🔗 Ver Mapa</v>
      </c>
    </row>
    <row r="11760" spans="1:12" ht="43.5" x14ac:dyDescent="0.35">
      <c r="A11760" s="6" t="s">
        <v>2019</v>
      </c>
      <c r="B11760" s="6" t="s">
        <v>2020</v>
      </c>
      <c r="C11760" s="6" t="s">
        <v>2030</v>
      </c>
      <c r="D11760" s="6" t="s">
        <v>76</v>
      </c>
      <c r="E11760" s="6" t="s">
        <v>52</v>
      </c>
      <c r="F11760" s="6" t="s">
        <v>70</v>
      </c>
      <c r="G11760" s="6" t="s">
        <v>630</v>
      </c>
      <c r="H11760" s="6" t="s">
        <v>2031</v>
      </c>
      <c r="I11760" s="6" t="s">
        <v>31</v>
      </c>
      <c r="J11760" s="6">
        <v>17.081200866216001</v>
      </c>
      <c r="K11760" s="6">
        <v>-96.669001171792999</v>
      </c>
      <c r="L11760" s="6" t="str">
        <f>HYPERLINK("https://maps.google.com/?q=17.08120086621622,-96.66900117179298", "🔗 Ver Mapa")</f>
        <v>🔗 Ver Mapa</v>
      </c>
    </row>
    <row r="11761" spans="1:12" ht="43.5" x14ac:dyDescent="0.35">
      <c r="A11761" s="5" t="s">
        <v>2019</v>
      </c>
      <c r="B11761" s="5" t="s">
        <v>2020</v>
      </c>
      <c r="C11761" s="5" t="s">
        <v>2032</v>
      </c>
      <c r="D11761" s="5" t="s">
        <v>76</v>
      </c>
      <c r="E11761" s="5" t="s">
        <v>17</v>
      </c>
      <c r="F11761" s="5" t="s">
        <v>46</v>
      </c>
      <c r="G11761" s="5" t="s">
        <v>1171</v>
      </c>
      <c r="H11761" s="5" t="s">
        <v>2033</v>
      </c>
      <c r="I11761" s="5" t="s">
        <v>31</v>
      </c>
      <c r="J11761" s="5">
        <v>17.195260088367998</v>
      </c>
      <c r="K11761" s="5">
        <v>-98.200146956027993</v>
      </c>
      <c r="L11761" s="5" t="str">
        <f>HYPERLINK("https://maps.google.com/?q=17.19526008836849,-98.20014695602798", "🔗 Ver Mapa")</f>
        <v>🔗 Ver Mapa</v>
      </c>
    </row>
    <row r="11762" spans="1:12" ht="43.5" x14ac:dyDescent="0.35">
      <c r="A11762" s="6" t="s">
        <v>2019</v>
      </c>
      <c r="B11762" s="6" t="s">
        <v>2020</v>
      </c>
      <c r="C11762" s="6" t="s">
        <v>2034</v>
      </c>
      <c r="D11762" s="6" t="s">
        <v>76</v>
      </c>
      <c r="E11762" s="6" t="s">
        <v>52</v>
      </c>
      <c r="F11762" s="6" t="s">
        <v>228</v>
      </c>
      <c r="G11762" s="6" t="s">
        <v>2035</v>
      </c>
      <c r="H11762" s="6" t="s">
        <v>2036</v>
      </c>
      <c r="I11762" s="6" t="s">
        <v>31</v>
      </c>
      <c r="J11762" s="6">
        <v>16.684986386714002</v>
      </c>
      <c r="K11762" s="6">
        <v>-96.686099147326004</v>
      </c>
      <c r="L11762" s="6" t="str">
        <f>HYPERLINK("https://maps.google.com/?q=16.684986386714293,-96.68609914732552", "🔗 Ver Mapa")</f>
        <v>🔗 Ver Mapa</v>
      </c>
    </row>
    <row r="11763" spans="1:12" ht="43.5" x14ac:dyDescent="0.35">
      <c r="A11763" s="5" t="s">
        <v>2019</v>
      </c>
      <c r="B11763" s="5" t="s">
        <v>2020</v>
      </c>
      <c r="C11763" s="5" t="s">
        <v>2037</v>
      </c>
      <c r="D11763" s="5" t="s">
        <v>76</v>
      </c>
      <c r="E11763" s="5" t="s">
        <v>17</v>
      </c>
      <c r="F11763" s="5" t="s">
        <v>59</v>
      </c>
      <c r="G11763" s="5" t="s">
        <v>2038</v>
      </c>
      <c r="H11763" s="5" t="s">
        <v>2039</v>
      </c>
      <c r="I11763" s="5" t="s">
        <v>31</v>
      </c>
      <c r="J11763" s="5">
        <v>16.362332717508</v>
      </c>
      <c r="K11763" s="5">
        <v>-98.250139474869002</v>
      </c>
      <c r="L11763" s="5" t="str">
        <f>HYPERLINK("https://maps.google.com/?q=16.36233271750844,-98.25013947486877", "🔗 Ver Mapa")</f>
        <v>🔗 Ver Mapa</v>
      </c>
    </row>
    <row r="11764" spans="1:12" ht="29" x14ac:dyDescent="0.35">
      <c r="A11764" s="6" t="s">
        <v>2019</v>
      </c>
      <c r="B11764" s="6" t="s">
        <v>2020</v>
      </c>
      <c r="C11764" s="6" t="s">
        <v>2040</v>
      </c>
      <c r="D11764" s="6" t="s">
        <v>76</v>
      </c>
      <c r="E11764" s="6" t="s">
        <v>17</v>
      </c>
      <c r="F11764" s="6" t="s">
        <v>59</v>
      </c>
      <c r="G11764" s="6" t="s">
        <v>2041</v>
      </c>
      <c r="H11764" s="6" t="s">
        <v>2042</v>
      </c>
      <c r="I11764" s="6" t="s">
        <v>31</v>
      </c>
      <c r="J11764" s="6">
        <v>16.607188585774001</v>
      </c>
      <c r="K11764" s="6">
        <v>-98.158431291995996</v>
      </c>
      <c r="L11764" s="6" t="str">
        <f>HYPERLINK("https://maps.google.com/?q=16.607188585774164,-98.158431291996", "🔗 Ver Mapa")</f>
        <v>🔗 Ver Mapa</v>
      </c>
    </row>
    <row r="11765" spans="1:12" ht="43.5" x14ac:dyDescent="0.35">
      <c r="A11765" s="5" t="s">
        <v>2019</v>
      </c>
      <c r="B11765" s="5" t="s">
        <v>2020</v>
      </c>
      <c r="C11765" s="5" t="s">
        <v>2043</v>
      </c>
      <c r="D11765" s="5" t="s">
        <v>76</v>
      </c>
      <c r="E11765" s="5" t="s">
        <v>16</v>
      </c>
      <c r="F11765" s="5" t="s">
        <v>145</v>
      </c>
      <c r="G11765" s="5" t="s">
        <v>519</v>
      </c>
      <c r="H11765" s="5" t="s">
        <v>2044</v>
      </c>
      <c r="I11765" s="5" t="s">
        <v>31</v>
      </c>
      <c r="J11765" s="5">
        <v>17.720653279175998</v>
      </c>
      <c r="K11765" s="5">
        <v>-97.861275397483993</v>
      </c>
      <c r="L11765" s="5" t="str">
        <f>HYPERLINK("https://maps.google.com/?q=17.720653279175952,-97.86127539748381", "🔗 Ver Mapa")</f>
        <v>🔗 Ver Mapa</v>
      </c>
    </row>
    <row r="11766" spans="1:12" ht="43.5" x14ac:dyDescent="0.35">
      <c r="A11766" s="6" t="s">
        <v>2019</v>
      </c>
      <c r="B11766" s="6" t="s">
        <v>2020</v>
      </c>
      <c r="C11766" s="6" t="s">
        <v>2045</v>
      </c>
      <c r="D11766" s="6" t="s">
        <v>76</v>
      </c>
      <c r="E11766" s="6" t="s">
        <v>52</v>
      </c>
      <c r="F11766" s="6" t="s">
        <v>421</v>
      </c>
      <c r="G11766" s="6" t="s">
        <v>1052</v>
      </c>
      <c r="H11766" s="6" t="s">
        <v>2046</v>
      </c>
      <c r="I11766" s="6" t="s">
        <v>31</v>
      </c>
      <c r="J11766" s="6">
        <v>16.655970864501999</v>
      </c>
      <c r="K11766" s="6">
        <v>-96.729256462635007</v>
      </c>
      <c r="L11766" s="6" t="str">
        <f>HYPERLINK("https://maps.google.com/?q=16.655970864501622,-96.72925646263505", "🔗 Ver Mapa")</f>
        <v>🔗 Ver Mapa</v>
      </c>
    </row>
    <row r="11767" spans="1:12" ht="43.5" x14ac:dyDescent="0.35">
      <c r="A11767" s="5" t="s">
        <v>2019</v>
      </c>
      <c r="B11767" s="5" t="s">
        <v>2020</v>
      </c>
      <c r="C11767" s="5" t="s">
        <v>2047</v>
      </c>
      <c r="D11767" s="5" t="s">
        <v>76</v>
      </c>
      <c r="E11767" s="5" t="s">
        <v>39</v>
      </c>
      <c r="F11767" s="5" t="s">
        <v>40</v>
      </c>
      <c r="G11767" s="5" t="s">
        <v>2048</v>
      </c>
      <c r="H11767" s="5" t="s">
        <v>2049</v>
      </c>
      <c r="I11767" s="5" t="s">
        <v>31</v>
      </c>
      <c r="J11767" s="5">
        <v>16.656533240878002</v>
      </c>
      <c r="K11767" s="5">
        <v>-98.096697127647005</v>
      </c>
      <c r="L11767" s="5" t="str">
        <f>HYPERLINK("https://maps.google.com/?q=16.656533240877593,-98.0966971276474", "🔗 Ver Mapa")</f>
        <v>🔗 Ver Mapa</v>
      </c>
    </row>
    <row r="11768" spans="1:12" ht="43.5" x14ac:dyDescent="0.35">
      <c r="A11768" s="6" t="s">
        <v>2019</v>
      </c>
      <c r="B11768" s="6" t="s">
        <v>2020</v>
      </c>
      <c r="C11768" s="6" t="s">
        <v>2050</v>
      </c>
      <c r="D11768" s="6" t="s">
        <v>76</v>
      </c>
      <c r="E11768" s="6" t="s">
        <v>17</v>
      </c>
      <c r="F11768" s="6" t="s">
        <v>46</v>
      </c>
      <c r="G11768" s="6" t="s">
        <v>2051</v>
      </c>
      <c r="H11768" s="6" t="s">
        <v>2052</v>
      </c>
      <c r="I11768" s="6" t="s">
        <v>31</v>
      </c>
      <c r="J11768" s="6">
        <v>16.346546001008999</v>
      </c>
      <c r="K11768" s="6">
        <v>-97.091368492065001</v>
      </c>
      <c r="L11768" s="6" t="str">
        <f>HYPERLINK("https://maps.google.com/?q=16.346546001008562,-97.09136849206543", "🔗 Ver Mapa")</f>
        <v>🔗 Ver Mapa</v>
      </c>
    </row>
    <row r="11769" spans="1:12" ht="43.5" x14ac:dyDescent="0.35">
      <c r="A11769" s="5" t="s">
        <v>2019</v>
      </c>
      <c r="B11769" s="5" t="s">
        <v>2020</v>
      </c>
      <c r="C11769" s="5" t="s">
        <v>2053</v>
      </c>
      <c r="D11769" s="5" t="s">
        <v>76</v>
      </c>
      <c r="E11769" s="5" t="s">
        <v>39</v>
      </c>
      <c r="F11769" s="5" t="s">
        <v>353</v>
      </c>
      <c r="G11769" s="5" t="s">
        <v>354</v>
      </c>
      <c r="H11769" s="5" t="s">
        <v>2054</v>
      </c>
      <c r="I11769" s="5" t="s">
        <v>31</v>
      </c>
      <c r="J11769" s="5">
        <v>16.027163440353998</v>
      </c>
      <c r="K11769" s="5">
        <v>-96.907032444283999</v>
      </c>
      <c r="L11769" s="5" t="str">
        <f>HYPERLINK("https://maps.google.com/?q=16.02716344035445,-96.90703244428444", "🔗 Ver Mapa")</f>
        <v>🔗 Ver Mapa</v>
      </c>
    </row>
    <row r="11770" spans="1:12" ht="43.5" x14ac:dyDescent="0.35">
      <c r="A11770" s="6" t="s">
        <v>2019</v>
      </c>
      <c r="B11770" s="6" t="s">
        <v>2020</v>
      </c>
      <c r="C11770" s="6" t="s">
        <v>2055</v>
      </c>
      <c r="D11770" s="6" t="s">
        <v>76</v>
      </c>
      <c r="E11770" s="6" t="s">
        <v>17</v>
      </c>
      <c r="F11770" s="6" t="s">
        <v>59</v>
      </c>
      <c r="G11770" s="6" t="s">
        <v>1961</v>
      </c>
      <c r="H11770" s="6" t="s">
        <v>2056</v>
      </c>
      <c r="I11770" s="6" t="s">
        <v>31</v>
      </c>
      <c r="J11770" s="6">
        <v>16.558652093355001</v>
      </c>
      <c r="K11770" s="6">
        <v>-98.122462238905001</v>
      </c>
      <c r="L11770" s="6" t="str">
        <f>HYPERLINK("https://maps.google.com/?q=16.558652093355427,-98.12246223890496", "🔗 Ver Mapa")</f>
        <v>🔗 Ver Mapa</v>
      </c>
    </row>
    <row r="11771" spans="1:12" ht="43.5" x14ac:dyDescent="0.35">
      <c r="A11771" s="5" t="s">
        <v>2019</v>
      </c>
      <c r="B11771" s="5" t="s">
        <v>2020</v>
      </c>
      <c r="C11771" s="5" t="s">
        <v>2057</v>
      </c>
      <c r="D11771" s="5" t="s">
        <v>76</v>
      </c>
      <c r="E11771" s="5" t="s">
        <v>52</v>
      </c>
      <c r="F11771" s="5" t="s">
        <v>228</v>
      </c>
      <c r="G11771" s="5" t="s">
        <v>2058</v>
      </c>
      <c r="H11771" s="5" t="s">
        <v>2059</v>
      </c>
      <c r="I11771" s="5" t="s">
        <v>31</v>
      </c>
      <c r="J11771" s="5">
        <v>16.779152635283999</v>
      </c>
      <c r="K11771" s="5">
        <v>-96.614494364592005</v>
      </c>
      <c r="L11771" s="5" t="str">
        <f>HYPERLINK("https://maps.google.com/?q=16.779152635283502,-96.61449436459158", "🔗 Ver Mapa")</f>
        <v>🔗 Ver Mapa</v>
      </c>
    </row>
    <row r="11772" spans="1:12" ht="43.5" x14ac:dyDescent="0.35">
      <c r="A11772" s="6" t="s">
        <v>2019</v>
      </c>
      <c r="B11772" s="6" t="s">
        <v>2020</v>
      </c>
      <c r="C11772" s="6" t="s">
        <v>2060</v>
      </c>
      <c r="D11772" s="6" t="s">
        <v>76</v>
      </c>
      <c r="E11772" s="6" t="s">
        <v>52</v>
      </c>
      <c r="F11772" s="6" t="s">
        <v>70</v>
      </c>
      <c r="G11772" s="6" t="s">
        <v>178</v>
      </c>
      <c r="H11772" s="6" t="s">
        <v>2061</v>
      </c>
      <c r="I11772" s="6" t="s">
        <v>31</v>
      </c>
      <c r="J11772" s="6">
        <v>17.046689661043001</v>
      </c>
      <c r="K11772" s="6">
        <v>-96.629029424606003</v>
      </c>
      <c r="L11772" s="6" t="str">
        <f>HYPERLINK("https://maps.google.com/?q=17.046689661042855,-96.62902942460633", "🔗 Ver Mapa")</f>
        <v>🔗 Ver Mapa</v>
      </c>
    </row>
    <row r="11773" spans="1:12" ht="29" x14ac:dyDescent="0.35">
      <c r="A11773" s="5" t="s">
        <v>2019</v>
      </c>
      <c r="B11773" s="5" t="s">
        <v>2020</v>
      </c>
      <c r="C11773" s="5" t="s">
        <v>2062</v>
      </c>
      <c r="D11773" s="5" t="s">
        <v>76</v>
      </c>
      <c r="E11773" s="5" t="s">
        <v>140</v>
      </c>
      <c r="F11773" s="5" t="s">
        <v>624</v>
      </c>
      <c r="G11773" s="5" t="s">
        <v>2063</v>
      </c>
      <c r="H11773" s="5" t="s">
        <v>2064</v>
      </c>
      <c r="I11773" s="5" t="s">
        <v>31</v>
      </c>
      <c r="J11773" s="5">
        <v>17.330640967017999</v>
      </c>
      <c r="K11773" s="5">
        <v>-95.855170313174995</v>
      </c>
      <c r="L11773" s="5" t="str">
        <f>HYPERLINK("https://maps.google.com/?q=17.33064096701787,-95.85517031317521", "🔗 Ver Mapa")</f>
        <v>🔗 Ver Mapa</v>
      </c>
    </row>
    <row r="11774" spans="1:12" ht="43.5" x14ac:dyDescent="0.35">
      <c r="A11774" s="6" t="s">
        <v>2019</v>
      </c>
      <c r="B11774" s="6" t="s">
        <v>2020</v>
      </c>
      <c r="C11774" s="6" t="s">
        <v>2065</v>
      </c>
      <c r="D11774" s="6" t="s">
        <v>76</v>
      </c>
      <c r="E11774" s="6" t="s">
        <v>16</v>
      </c>
      <c r="F11774" s="6" t="s">
        <v>145</v>
      </c>
      <c r="G11774" s="6" t="s">
        <v>2066</v>
      </c>
      <c r="H11774" s="6" t="s">
        <v>2067</v>
      </c>
      <c r="I11774" s="6" t="s">
        <v>31</v>
      </c>
      <c r="J11774" s="6">
        <v>17.672021111608998</v>
      </c>
      <c r="K11774" s="6">
        <v>-97.964229437472994</v>
      </c>
      <c r="L11774" s="6" t="str">
        <f>HYPERLINK("https://maps.google.com/?q=17.672021111608714,-97.96422943747328", "🔗 Ver Mapa")</f>
        <v>🔗 Ver Mapa</v>
      </c>
    </row>
    <row r="11775" spans="1:12" ht="29" x14ac:dyDescent="0.35">
      <c r="A11775" s="5" t="s">
        <v>2019</v>
      </c>
      <c r="B11775" s="5" t="s">
        <v>2020</v>
      </c>
      <c r="C11775" s="5" t="s">
        <v>2068</v>
      </c>
      <c r="D11775" s="5" t="s">
        <v>76</v>
      </c>
      <c r="E11775" s="5" t="s">
        <v>52</v>
      </c>
      <c r="F11775" s="5" t="s">
        <v>53</v>
      </c>
      <c r="G11775" s="5" t="s">
        <v>839</v>
      </c>
      <c r="H11775" s="5" t="s">
        <v>840</v>
      </c>
      <c r="I11775" s="5" t="s">
        <v>31</v>
      </c>
      <c r="J11775" s="5">
        <v>17.024260358717001</v>
      </c>
      <c r="K11775" s="5">
        <v>-96.524877002655003</v>
      </c>
      <c r="L11775" s="5" t="str">
        <f>HYPERLINK("https://maps.google.com/?q=17.024260358716973,-96.52487700265503", "🔗 Ver Mapa")</f>
        <v>🔗 Ver Mapa</v>
      </c>
    </row>
    <row r="11776" spans="1:12" ht="43.5" x14ac:dyDescent="0.35">
      <c r="A11776" s="6" t="s">
        <v>2019</v>
      </c>
      <c r="B11776" s="6" t="s">
        <v>2020</v>
      </c>
      <c r="C11776" s="6" t="s">
        <v>2069</v>
      </c>
      <c r="D11776" s="6" t="s">
        <v>76</v>
      </c>
      <c r="E11776" s="6" t="s">
        <v>16</v>
      </c>
      <c r="F11776" s="6" t="s">
        <v>95</v>
      </c>
      <c r="G11776" s="6" t="s">
        <v>96</v>
      </c>
      <c r="H11776" s="6" t="s">
        <v>2070</v>
      </c>
      <c r="I11776" s="6" t="s">
        <v>31</v>
      </c>
      <c r="J11776" s="6">
        <v>17.666627092020001</v>
      </c>
      <c r="K11776" s="6">
        <v>-97.473052926424003</v>
      </c>
      <c r="L11776" s="6" t="str">
        <f>HYPERLINK("https://maps.google.com/?q=17.66662709201966,-97.47305292642403", "🔗 Ver Mapa")</f>
        <v>🔗 Ver Mapa</v>
      </c>
    </row>
    <row r="11777" spans="1:12" ht="43.5" x14ac:dyDescent="0.35">
      <c r="A11777" s="5" t="s">
        <v>2019</v>
      </c>
      <c r="B11777" s="5" t="s">
        <v>2020</v>
      </c>
      <c r="C11777" s="5" t="s">
        <v>2071</v>
      </c>
      <c r="D11777" s="5" t="s">
        <v>76</v>
      </c>
      <c r="E11777" s="5" t="s">
        <v>16</v>
      </c>
      <c r="F11777" s="5" t="s">
        <v>195</v>
      </c>
      <c r="G11777" s="5" t="s">
        <v>842</v>
      </c>
      <c r="H11777" s="5" t="s">
        <v>2072</v>
      </c>
      <c r="I11777" s="5" t="s">
        <v>31</v>
      </c>
      <c r="J11777" s="5">
        <v>17.666290363906999</v>
      </c>
      <c r="K11777" s="5">
        <v>-98.220963177909994</v>
      </c>
      <c r="L11777" s="5" t="str">
        <f>HYPERLINK("https://maps.google.com/?q=17.666290363907063,-98.22096317790987", "🔗 Ver Mapa")</f>
        <v>🔗 Ver Mapa</v>
      </c>
    </row>
    <row r="11778" spans="1:12" ht="43.5" x14ac:dyDescent="0.35">
      <c r="A11778" s="6" t="s">
        <v>2019</v>
      </c>
      <c r="B11778" s="6" t="s">
        <v>2020</v>
      </c>
      <c r="C11778" s="6" t="s">
        <v>2073</v>
      </c>
      <c r="D11778" s="6" t="s">
        <v>76</v>
      </c>
      <c r="E11778" s="6" t="s">
        <v>52</v>
      </c>
      <c r="F11778" s="6" t="s">
        <v>53</v>
      </c>
      <c r="G11778" s="6" t="s">
        <v>1558</v>
      </c>
      <c r="H11778" s="6" t="s">
        <v>2074</v>
      </c>
      <c r="I11778" s="6" t="s">
        <v>31</v>
      </c>
      <c r="J11778" s="6">
        <v>16.959875996773999</v>
      </c>
      <c r="K11778" s="6">
        <v>-96.584995976686002</v>
      </c>
      <c r="L11778" s="6" t="str">
        <f>HYPERLINK("https://maps.google.com/?q=16.95987599677426,-96.58499597668644", "🔗 Ver Mapa")</f>
        <v>🔗 Ver Mapa</v>
      </c>
    </row>
    <row r="11779" spans="1:12" ht="43.5" x14ac:dyDescent="0.35">
      <c r="A11779" s="5" t="s">
        <v>2019</v>
      </c>
      <c r="B11779" s="5" t="s">
        <v>2020</v>
      </c>
      <c r="C11779" s="5" t="s">
        <v>2075</v>
      </c>
      <c r="D11779" s="5" t="s">
        <v>76</v>
      </c>
      <c r="E11779" s="5" t="s">
        <v>52</v>
      </c>
      <c r="F11779" s="5" t="s">
        <v>53</v>
      </c>
      <c r="G11779" s="5" t="s">
        <v>1853</v>
      </c>
      <c r="H11779" s="5" t="s">
        <v>2076</v>
      </c>
      <c r="I11779" s="5" t="s">
        <v>31</v>
      </c>
      <c r="J11779" s="5">
        <v>17.001640067640999</v>
      </c>
      <c r="K11779" s="5">
        <v>-96.603125346067003</v>
      </c>
      <c r="L11779" s="5" t="str">
        <f>HYPERLINK("https://maps.google.com/?q=17.001640067640658,-96.60312534606743", "🔗 Ver Mapa")</f>
        <v>🔗 Ver Mapa</v>
      </c>
    </row>
    <row r="11780" spans="1:12" ht="43.5" x14ac:dyDescent="0.35">
      <c r="A11780" s="6" t="s">
        <v>2019</v>
      </c>
      <c r="B11780" s="6" t="s">
        <v>2020</v>
      </c>
      <c r="C11780" s="6" t="s">
        <v>2077</v>
      </c>
      <c r="D11780" s="6" t="s">
        <v>76</v>
      </c>
      <c r="E11780" s="6" t="s">
        <v>16</v>
      </c>
      <c r="F11780" s="6" t="s">
        <v>409</v>
      </c>
      <c r="G11780" s="6" t="s">
        <v>1860</v>
      </c>
      <c r="H11780" s="6" t="s">
        <v>2078</v>
      </c>
      <c r="I11780" s="6" t="s">
        <v>31</v>
      </c>
      <c r="J11780" s="6">
        <v>17.870534301212</v>
      </c>
      <c r="K11780" s="6">
        <v>-97.364548997518995</v>
      </c>
      <c r="L11780" s="6" t="str">
        <f>HYPERLINK("https://maps.google.com/?q=17.87053430121225,-97.36454899751854", "🔗 Ver Mapa")</f>
        <v>🔗 Ver Mapa</v>
      </c>
    </row>
    <row r="11781" spans="1:12" ht="43.5" x14ac:dyDescent="0.35">
      <c r="A11781" s="5" t="s">
        <v>2019</v>
      </c>
      <c r="B11781" s="5" t="s">
        <v>2020</v>
      </c>
      <c r="C11781" s="5" t="s">
        <v>2079</v>
      </c>
      <c r="D11781" s="5" t="s">
        <v>76</v>
      </c>
      <c r="E11781" s="5" t="s">
        <v>52</v>
      </c>
      <c r="F11781" s="5" t="s">
        <v>83</v>
      </c>
      <c r="G11781" s="5" t="s">
        <v>2080</v>
      </c>
      <c r="H11781" s="5" t="s">
        <v>2081</v>
      </c>
      <c r="I11781" s="5" t="s">
        <v>31</v>
      </c>
      <c r="J11781" s="5">
        <v>17.234068233521</v>
      </c>
      <c r="K11781" s="5">
        <v>-97.003464645508004</v>
      </c>
      <c r="L11781" s="5" t="str">
        <f>HYPERLINK("https://maps.google.com/?q=17.234068233521008,-97.00346464550782", "🔗 Ver Mapa")</f>
        <v>🔗 Ver Mapa</v>
      </c>
    </row>
    <row r="11782" spans="1:12" ht="43.5" x14ac:dyDescent="0.35">
      <c r="A11782" s="6" t="s">
        <v>2019</v>
      </c>
      <c r="B11782" s="6" t="s">
        <v>2020</v>
      </c>
      <c r="C11782" s="6" t="s">
        <v>2082</v>
      </c>
      <c r="D11782" s="6" t="s">
        <v>76</v>
      </c>
      <c r="E11782" s="6" t="s">
        <v>17</v>
      </c>
      <c r="F11782" s="6" t="s">
        <v>46</v>
      </c>
      <c r="G11782" s="6" t="s">
        <v>1277</v>
      </c>
      <c r="H11782" s="6" t="s">
        <v>2083</v>
      </c>
      <c r="I11782" s="6" t="s">
        <v>31</v>
      </c>
      <c r="J11782" s="6">
        <v>16.230112295310999</v>
      </c>
      <c r="K11782" s="6">
        <v>-97.274767032084995</v>
      </c>
      <c r="L11782" s="6" t="str">
        <f>HYPERLINK("https://maps.google.com/?q=16.230112295310857,-97.27476703208542", "🔗 Ver Mapa")</f>
        <v>🔗 Ver Mapa</v>
      </c>
    </row>
    <row r="11783" spans="1:12" ht="29" x14ac:dyDescent="0.35">
      <c r="A11783" s="5" t="s">
        <v>2019</v>
      </c>
      <c r="B11783" s="5" t="s">
        <v>2020</v>
      </c>
      <c r="C11783" s="5" t="s">
        <v>2084</v>
      </c>
      <c r="D11783" s="5" t="s">
        <v>76</v>
      </c>
      <c r="E11783" s="5" t="s">
        <v>90</v>
      </c>
      <c r="F11783" s="5" t="s">
        <v>119</v>
      </c>
      <c r="G11783" s="5" t="s">
        <v>2085</v>
      </c>
      <c r="H11783" s="5" t="s">
        <v>2086</v>
      </c>
      <c r="I11783" s="5" t="s">
        <v>31</v>
      </c>
      <c r="J11783" s="5">
        <v>17.365367598494998</v>
      </c>
      <c r="K11783" s="5">
        <v>-96.528761203705002</v>
      </c>
      <c r="L11783" s="5" t="str">
        <f>HYPERLINK("https://maps.google.com/?q=17.36536759849476,-96.52876120370483", "🔗 Ver Mapa")</f>
        <v>🔗 Ver Mapa</v>
      </c>
    </row>
    <row r="11784" spans="1:12" ht="43.5" x14ac:dyDescent="0.35">
      <c r="A11784" s="6" t="s">
        <v>2019</v>
      </c>
      <c r="B11784" s="6" t="s">
        <v>2020</v>
      </c>
      <c r="C11784" s="6" t="s">
        <v>2087</v>
      </c>
      <c r="D11784" s="6" t="s">
        <v>76</v>
      </c>
      <c r="E11784" s="6" t="s">
        <v>52</v>
      </c>
      <c r="F11784" s="6" t="s">
        <v>228</v>
      </c>
      <c r="G11784" s="6" t="s">
        <v>1287</v>
      </c>
      <c r="H11784" s="6" t="s">
        <v>2088</v>
      </c>
      <c r="I11784" s="6" t="s">
        <v>31</v>
      </c>
      <c r="J11784" s="6">
        <v>16.867901566693</v>
      </c>
      <c r="K11784" s="6">
        <v>-96.628783226845002</v>
      </c>
      <c r="L11784" s="6" t="str">
        <f>HYPERLINK("https://maps.google.com/?q=16.86790156669308,-96.62878322684479", "🔗 Ver Mapa")</f>
        <v>🔗 Ver Mapa</v>
      </c>
    </row>
    <row r="11785" spans="1:12" ht="43.5" x14ac:dyDescent="0.35">
      <c r="A11785" s="5" t="s">
        <v>2019</v>
      </c>
      <c r="B11785" s="5" t="s">
        <v>2020</v>
      </c>
      <c r="C11785" s="5" t="s">
        <v>2089</v>
      </c>
      <c r="D11785" s="5" t="s">
        <v>76</v>
      </c>
      <c r="E11785" s="5" t="s">
        <v>16</v>
      </c>
      <c r="F11785" s="5" t="s">
        <v>21</v>
      </c>
      <c r="G11785" s="5" t="s">
        <v>25</v>
      </c>
      <c r="H11785" s="5" t="s">
        <v>2090</v>
      </c>
      <c r="I11785" s="5" t="s">
        <v>31</v>
      </c>
      <c r="J11785" s="5">
        <v>17.09492308882</v>
      </c>
      <c r="K11785" s="5">
        <v>-97.496956069941007</v>
      </c>
      <c r="L11785" s="5" t="str">
        <f>HYPERLINK("https://maps.google.com/?q=17.094923088820433,-97.49695606994057", "🔗 Ver Mapa")</f>
        <v>🔗 Ver Mapa</v>
      </c>
    </row>
    <row r="11786" spans="1:12" ht="43.5" x14ac:dyDescent="0.35">
      <c r="A11786" s="6" t="s">
        <v>2019</v>
      </c>
      <c r="B11786" s="6" t="s">
        <v>2020</v>
      </c>
      <c r="C11786" s="6" t="s">
        <v>2091</v>
      </c>
      <c r="D11786" s="6" t="s">
        <v>76</v>
      </c>
      <c r="E11786" s="6" t="s">
        <v>16</v>
      </c>
      <c r="F11786" s="6" t="s">
        <v>21</v>
      </c>
      <c r="G11786" s="6" t="s">
        <v>1290</v>
      </c>
      <c r="H11786" s="6" t="s">
        <v>2092</v>
      </c>
      <c r="I11786" s="6" t="s">
        <v>31</v>
      </c>
      <c r="J11786" s="6">
        <v>17.097885673992</v>
      </c>
      <c r="K11786" s="6">
        <v>-97.772591753477002</v>
      </c>
      <c r="L11786" s="6" t="str">
        <f>HYPERLINK("https://maps.google.com/?q=17.09788567399231,-97.77259175347709", "🔗 Ver Mapa")</f>
        <v>🔗 Ver Mapa</v>
      </c>
    </row>
    <row r="11787" spans="1:12" ht="43.5" x14ac:dyDescent="0.35">
      <c r="A11787" s="5" t="s">
        <v>2019</v>
      </c>
      <c r="B11787" s="5" t="s">
        <v>2020</v>
      </c>
      <c r="C11787" s="5" t="s">
        <v>2093</v>
      </c>
      <c r="D11787" s="5" t="s">
        <v>76</v>
      </c>
      <c r="E11787" s="5" t="s">
        <v>16</v>
      </c>
      <c r="F11787" s="5" t="s">
        <v>21</v>
      </c>
      <c r="G11787" s="5" t="s">
        <v>1238</v>
      </c>
      <c r="H11787" s="5" t="s">
        <v>2094</v>
      </c>
      <c r="I11787" s="5" t="s">
        <v>31</v>
      </c>
      <c r="J11787" s="5">
        <v>17.347514081132001</v>
      </c>
      <c r="K11787" s="5">
        <v>-97.559256071267995</v>
      </c>
      <c r="L11787" s="5" t="str">
        <f>HYPERLINK("https://maps.google.com/?q=17.347514081131862,-97.55925607126808", "🔗 Ver Mapa")</f>
        <v>🔗 Ver Mapa</v>
      </c>
    </row>
    <row r="11788" spans="1:12" ht="43.5" x14ac:dyDescent="0.35">
      <c r="A11788" s="6" t="s">
        <v>2019</v>
      </c>
      <c r="B11788" s="6" t="s">
        <v>2020</v>
      </c>
      <c r="C11788" s="6" t="s">
        <v>2095</v>
      </c>
      <c r="D11788" s="6" t="s">
        <v>76</v>
      </c>
      <c r="E11788" s="6" t="s">
        <v>90</v>
      </c>
      <c r="F11788" s="6" t="s">
        <v>119</v>
      </c>
      <c r="G11788" s="6" t="s">
        <v>2096</v>
      </c>
      <c r="H11788" s="6" t="s">
        <v>2097</v>
      </c>
      <c r="I11788" s="6" t="s">
        <v>31</v>
      </c>
      <c r="J11788" s="6">
        <v>17.350575201222998</v>
      </c>
      <c r="K11788" s="6">
        <v>-96.616292998846006</v>
      </c>
      <c r="L11788" s="6" t="str">
        <f>HYPERLINK("https://maps.google.com/?q=17.350575201223236,-96.61629299884603", "🔗 Ver Mapa")</f>
        <v>🔗 Ver Mapa</v>
      </c>
    </row>
    <row r="11789" spans="1:12" ht="43.5" x14ac:dyDescent="0.35">
      <c r="A11789" s="5" t="s">
        <v>2019</v>
      </c>
      <c r="B11789" s="5" t="s">
        <v>2020</v>
      </c>
      <c r="C11789" s="5" t="s">
        <v>2098</v>
      </c>
      <c r="D11789" s="5" t="s">
        <v>76</v>
      </c>
      <c r="E11789" s="5" t="s">
        <v>16</v>
      </c>
      <c r="F11789" s="5" t="s">
        <v>19</v>
      </c>
      <c r="G11789" s="5" t="s">
        <v>1348</v>
      </c>
      <c r="H11789" s="5" t="s">
        <v>2099</v>
      </c>
      <c r="I11789" s="5" t="s">
        <v>31</v>
      </c>
      <c r="J11789" s="5">
        <v>17.035386741465</v>
      </c>
      <c r="K11789" s="5">
        <v>-97.295639148478998</v>
      </c>
      <c r="L11789" s="5" t="str">
        <f>HYPERLINK("https://maps.google.com/?q=17.03538674146533,-97.29563914847947", "🔗 Ver Mapa")</f>
        <v>🔗 Ver Mapa</v>
      </c>
    </row>
    <row r="11790" spans="1:12" ht="43.5" x14ac:dyDescent="0.35">
      <c r="A11790" s="6" t="s">
        <v>2019</v>
      </c>
      <c r="B11790" s="6" t="s">
        <v>2020</v>
      </c>
      <c r="C11790" s="6" t="s">
        <v>2100</v>
      </c>
      <c r="D11790" s="6" t="s">
        <v>76</v>
      </c>
      <c r="E11790" s="6" t="s">
        <v>16</v>
      </c>
      <c r="F11790" s="6" t="s">
        <v>19</v>
      </c>
      <c r="G11790" s="6" t="s">
        <v>1299</v>
      </c>
      <c r="H11790" s="6" t="s">
        <v>2101</v>
      </c>
      <c r="I11790" s="6" t="s">
        <v>31</v>
      </c>
      <c r="J11790" s="6">
        <v>17.273185741262001</v>
      </c>
      <c r="K11790" s="6">
        <v>-97.337050338623001</v>
      </c>
      <c r="L11790" s="6" t="str">
        <f>HYPERLINK("https://maps.google.com/?q=17.273185741261987,-97.33705033862304", "🔗 Ver Mapa")</f>
        <v>🔗 Ver Mapa</v>
      </c>
    </row>
    <row r="11791" spans="1:12" ht="43.5" x14ac:dyDescent="0.35">
      <c r="A11791" s="5" t="s">
        <v>2019</v>
      </c>
      <c r="B11791" s="5" t="s">
        <v>2020</v>
      </c>
      <c r="C11791" s="5" t="s">
        <v>2102</v>
      </c>
      <c r="D11791" s="5" t="s">
        <v>76</v>
      </c>
      <c r="E11791" s="5" t="s">
        <v>110</v>
      </c>
      <c r="F11791" s="5" t="s">
        <v>126</v>
      </c>
      <c r="G11791" s="5" t="s">
        <v>127</v>
      </c>
      <c r="H11791" s="5" t="s">
        <v>2103</v>
      </c>
      <c r="I11791" s="5" t="s">
        <v>31</v>
      </c>
      <c r="J11791" s="5">
        <v>17.885753999999999</v>
      </c>
      <c r="K11791" s="5">
        <v>-96.750578000000004</v>
      </c>
      <c r="L11791" s="5" t="str">
        <f>HYPERLINK("https://maps.google.com/?q=17.885754,-96.750578", "🔗 Ver Mapa")</f>
        <v>🔗 Ver Mapa</v>
      </c>
    </row>
    <row r="11792" spans="1:12" ht="43.5" x14ac:dyDescent="0.35">
      <c r="A11792" s="6" t="s">
        <v>2019</v>
      </c>
      <c r="B11792" s="6" t="s">
        <v>2020</v>
      </c>
      <c r="C11792" s="6" t="s">
        <v>2104</v>
      </c>
      <c r="D11792" s="6" t="s">
        <v>76</v>
      </c>
      <c r="E11792" s="6" t="s">
        <v>39</v>
      </c>
      <c r="F11792" s="6" t="s">
        <v>353</v>
      </c>
      <c r="G11792" s="6" t="s">
        <v>1182</v>
      </c>
      <c r="H11792" s="6" t="s">
        <v>2105</v>
      </c>
      <c r="I11792" s="6" t="s">
        <v>31</v>
      </c>
      <c r="J11792" s="6">
        <v>16.182808710606999</v>
      </c>
      <c r="K11792" s="6">
        <v>-96.463304278435004</v>
      </c>
      <c r="L11792" s="6" t="str">
        <f>HYPERLINK("https://maps.google.com/?q=16.182808710606874,-96.46330427843473", "🔗 Ver Mapa")</f>
        <v>🔗 Ver Mapa</v>
      </c>
    </row>
    <row r="11793" spans="1:12" ht="29" x14ac:dyDescent="0.35">
      <c r="A11793" s="5" t="s">
        <v>2019</v>
      </c>
      <c r="B11793" s="5" t="s">
        <v>2020</v>
      </c>
      <c r="C11793" s="5" t="s">
        <v>2106</v>
      </c>
      <c r="D11793" s="5" t="s">
        <v>76</v>
      </c>
      <c r="E11793" s="5" t="s">
        <v>52</v>
      </c>
      <c r="F11793" s="5" t="s">
        <v>228</v>
      </c>
      <c r="G11793" s="5" t="s">
        <v>1293</v>
      </c>
      <c r="H11793" s="5" t="s">
        <v>1294</v>
      </c>
      <c r="I11793" s="5" t="s">
        <v>31</v>
      </c>
      <c r="J11793" s="5">
        <v>16.738707320981</v>
      </c>
      <c r="K11793" s="5">
        <v>-96.683508684689997</v>
      </c>
      <c r="L11793" s="5" t="str">
        <f>HYPERLINK("https://maps.google.com/?q=16.73870732098092,-96.68350868469048", "🔗 Ver Mapa")</f>
        <v>🔗 Ver Mapa</v>
      </c>
    </row>
    <row r="11794" spans="1:12" ht="43.5" x14ac:dyDescent="0.35">
      <c r="A11794" s="6" t="s">
        <v>2019</v>
      </c>
      <c r="B11794" s="6" t="s">
        <v>2020</v>
      </c>
      <c r="C11794" s="6" t="s">
        <v>2107</v>
      </c>
      <c r="D11794" s="6" t="s">
        <v>76</v>
      </c>
      <c r="E11794" s="6" t="s">
        <v>39</v>
      </c>
      <c r="F11794" s="6" t="s">
        <v>133</v>
      </c>
      <c r="G11794" s="6" t="s">
        <v>1561</v>
      </c>
      <c r="H11794" s="6" t="s">
        <v>2108</v>
      </c>
      <c r="I11794" s="6" t="s">
        <v>31</v>
      </c>
      <c r="J11794" s="6">
        <v>16.655210240178</v>
      </c>
      <c r="K11794" s="6">
        <v>-95.913024763229004</v>
      </c>
      <c r="L11794" s="6" t="str">
        <f>HYPERLINK("https://maps.google.com/?q=16.655210240177865,-95.91302476322937", "🔗 Ver Mapa")</f>
        <v>🔗 Ver Mapa</v>
      </c>
    </row>
    <row r="11795" spans="1:12" ht="29" x14ac:dyDescent="0.35">
      <c r="A11795" s="5" t="s">
        <v>2019</v>
      </c>
      <c r="B11795" s="5" t="s">
        <v>2020</v>
      </c>
      <c r="C11795" s="5" t="s">
        <v>2109</v>
      </c>
      <c r="D11795" s="5" t="s">
        <v>76</v>
      </c>
      <c r="E11795" s="5" t="s">
        <v>39</v>
      </c>
      <c r="F11795" s="5" t="s">
        <v>494</v>
      </c>
      <c r="G11795" s="5" t="s">
        <v>2110</v>
      </c>
      <c r="H11795" s="5" t="s">
        <v>2111</v>
      </c>
      <c r="I11795" s="5" t="s">
        <v>31</v>
      </c>
      <c r="J11795" s="5">
        <v>16.425454376643</v>
      </c>
      <c r="K11795" s="5">
        <v>-97.228441629464996</v>
      </c>
      <c r="L11795" s="5" t="str">
        <f>HYPERLINK("https://maps.google.com/?q=16.425454376642644,-97.22844162946511", "🔗 Ver Mapa")</f>
        <v>🔗 Ver Mapa</v>
      </c>
    </row>
    <row r="11796" spans="1:12" ht="43.5" x14ac:dyDescent="0.35">
      <c r="A11796" s="6" t="s">
        <v>2019</v>
      </c>
      <c r="B11796" s="6" t="s">
        <v>2020</v>
      </c>
      <c r="C11796" s="6" t="s">
        <v>2112</v>
      </c>
      <c r="D11796" s="6" t="s">
        <v>76</v>
      </c>
      <c r="E11796" s="6" t="s">
        <v>39</v>
      </c>
      <c r="F11796" s="6" t="s">
        <v>494</v>
      </c>
      <c r="G11796" s="6" t="s">
        <v>571</v>
      </c>
      <c r="H11796" s="6" t="s">
        <v>2113</v>
      </c>
      <c r="I11796" s="6" t="s">
        <v>31</v>
      </c>
      <c r="J11796" s="6">
        <v>16.569836170483999</v>
      </c>
      <c r="K11796" s="6">
        <v>-97.016289758265998</v>
      </c>
      <c r="L11796" s="6" t="str">
        <f>HYPERLINK("https://maps.google.com/?q=16.569836170484322,-97.01628975826645", "🔗 Ver Mapa")</f>
        <v>🔗 Ver Mapa</v>
      </c>
    </row>
    <row r="11797" spans="1:12" ht="43.5" x14ac:dyDescent="0.35">
      <c r="A11797" s="5" t="s">
        <v>2019</v>
      </c>
      <c r="B11797" s="5" t="s">
        <v>2020</v>
      </c>
      <c r="C11797" s="5" t="s">
        <v>2114</v>
      </c>
      <c r="D11797" s="5" t="s">
        <v>76</v>
      </c>
      <c r="E11797" s="5" t="s">
        <v>17</v>
      </c>
      <c r="F11797" s="5" t="s">
        <v>59</v>
      </c>
      <c r="G11797" s="5" t="s">
        <v>982</v>
      </c>
      <c r="H11797" s="5" t="s">
        <v>2115</v>
      </c>
      <c r="I11797" s="5" t="s">
        <v>31</v>
      </c>
      <c r="J11797" s="5">
        <v>16.340307026695001</v>
      </c>
      <c r="K11797" s="5">
        <v>-98.447648123031996</v>
      </c>
      <c r="L11797" s="5" t="str">
        <f>HYPERLINK("https://maps.google.com/?q=16.340307026695445,-98.44764812303163", "🔗 Ver Mapa")</f>
        <v>🔗 Ver Mapa</v>
      </c>
    </row>
    <row r="11798" spans="1:12" ht="43.5" x14ac:dyDescent="0.35">
      <c r="A11798" s="6" t="s">
        <v>2019</v>
      </c>
      <c r="B11798" s="6" t="s">
        <v>2020</v>
      </c>
      <c r="C11798" s="6" t="s">
        <v>2116</v>
      </c>
      <c r="D11798" s="6" t="s">
        <v>76</v>
      </c>
      <c r="E11798" s="6" t="s">
        <v>17</v>
      </c>
      <c r="F11798" s="6" t="s">
        <v>59</v>
      </c>
      <c r="G11798" s="6" t="s">
        <v>2117</v>
      </c>
      <c r="H11798" s="6" t="s">
        <v>2118</v>
      </c>
      <c r="I11798" s="6" t="s">
        <v>31</v>
      </c>
      <c r="J11798" s="6">
        <v>16.274360105222001</v>
      </c>
      <c r="K11798" s="6">
        <v>-98.350177417162001</v>
      </c>
      <c r="L11798" s="6" t="str">
        <f>HYPERLINK("https://maps.google.com/?q=16.274360105222257,-98.35017741716194", "🔗 Ver Mapa")</f>
        <v>🔗 Ver Mapa</v>
      </c>
    </row>
    <row r="11799" spans="1:12" ht="43.5" x14ac:dyDescent="0.35">
      <c r="A11799" s="5" t="s">
        <v>2019</v>
      </c>
      <c r="B11799" s="5" t="s">
        <v>2020</v>
      </c>
      <c r="C11799" s="5" t="s">
        <v>2119</v>
      </c>
      <c r="D11799" s="5" t="s">
        <v>76</v>
      </c>
      <c r="E11799" s="5" t="s">
        <v>110</v>
      </c>
      <c r="F11799" s="5" t="s">
        <v>126</v>
      </c>
      <c r="G11799" s="5" t="s">
        <v>609</v>
      </c>
      <c r="H11799" s="5" t="s">
        <v>2120</v>
      </c>
      <c r="I11799" s="5" t="s">
        <v>31</v>
      </c>
      <c r="J11799" s="5">
        <v>18.036776667226</v>
      </c>
      <c r="K11799" s="5">
        <v>-96.548420780426</v>
      </c>
      <c r="L11799" s="5" t="str">
        <f>HYPERLINK("https://maps.google.com/?q=18.03677666722645,-96.54842078042603", "🔗 Ver Mapa")</f>
        <v>🔗 Ver Mapa</v>
      </c>
    </row>
    <row r="11800" spans="1:12" ht="43.5" x14ac:dyDescent="0.35">
      <c r="A11800" s="6" t="s">
        <v>2019</v>
      </c>
      <c r="B11800" s="6" t="s">
        <v>2020</v>
      </c>
      <c r="C11800" s="6" t="s">
        <v>2121</v>
      </c>
      <c r="D11800" s="6" t="s">
        <v>76</v>
      </c>
      <c r="E11800" s="6" t="s">
        <v>52</v>
      </c>
      <c r="F11800" s="6" t="s">
        <v>53</v>
      </c>
      <c r="G11800" s="6" t="s">
        <v>2122</v>
      </c>
      <c r="H11800" s="6" t="s">
        <v>2123</v>
      </c>
      <c r="I11800" s="6" t="s">
        <v>31</v>
      </c>
      <c r="J11800" s="6">
        <v>16.997273300938001</v>
      </c>
      <c r="K11800" s="6">
        <v>-96.586822350857005</v>
      </c>
      <c r="L11800" s="6" t="str">
        <f>HYPERLINK("https://maps.google.com/?q=16.997273300938122,-96.58682235085679", "🔗 Ver Mapa")</f>
        <v>🔗 Ver Mapa</v>
      </c>
    </row>
    <row r="11801" spans="1:12" ht="43.5" x14ac:dyDescent="0.35">
      <c r="A11801" s="5" t="s">
        <v>2019</v>
      </c>
      <c r="B11801" s="5" t="s">
        <v>2020</v>
      </c>
      <c r="C11801" s="5" t="s">
        <v>2124</v>
      </c>
      <c r="D11801" s="5" t="s">
        <v>76</v>
      </c>
      <c r="E11801" s="5" t="s">
        <v>52</v>
      </c>
      <c r="F11801" s="5" t="s">
        <v>53</v>
      </c>
      <c r="G11801" s="5" t="s">
        <v>1161</v>
      </c>
      <c r="H11801" s="5" t="s">
        <v>2125</v>
      </c>
      <c r="I11801" s="5" t="s">
        <v>31</v>
      </c>
      <c r="J11801" s="5">
        <v>16.957857000000001</v>
      </c>
      <c r="K11801" s="5">
        <v>-96.613046999999995</v>
      </c>
      <c r="L11801" s="5" t="str">
        <f>HYPERLINK("https://maps.google.com/?q=16.957857,-96.613047", "🔗 Ver Mapa")</f>
        <v>🔗 Ver Mapa</v>
      </c>
    </row>
    <row r="11802" spans="1:12" ht="43.5" x14ac:dyDescent="0.35">
      <c r="A11802" s="6" t="s">
        <v>2019</v>
      </c>
      <c r="B11802" s="6" t="s">
        <v>2020</v>
      </c>
      <c r="C11802" s="6" t="s">
        <v>2126</v>
      </c>
      <c r="D11802" s="6" t="s">
        <v>76</v>
      </c>
      <c r="E11802" s="6" t="s">
        <v>158</v>
      </c>
      <c r="F11802" s="6" t="s">
        <v>166</v>
      </c>
      <c r="G11802" s="6" t="s">
        <v>2127</v>
      </c>
      <c r="H11802" s="6" t="s">
        <v>2128</v>
      </c>
      <c r="I11802" s="6" t="s">
        <v>31</v>
      </c>
      <c r="J11802" s="6">
        <v>16.740075036017998</v>
      </c>
      <c r="K11802" s="6">
        <v>-95.352167402446995</v>
      </c>
      <c r="L11802" s="6" t="str">
        <f>HYPERLINK("https://maps.google.com/?q=16.74007503601849,-95.35216740244675", "🔗 Ver Mapa")</f>
        <v>🔗 Ver Mapa</v>
      </c>
    </row>
    <row r="11803" spans="1:12" ht="43.5" x14ac:dyDescent="0.35">
      <c r="A11803" s="5" t="s">
        <v>2019</v>
      </c>
      <c r="B11803" s="5" t="s">
        <v>2020</v>
      </c>
      <c r="C11803" s="5" t="s">
        <v>2129</v>
      </c>
      <c r="D11803" s="5" t="s">
        <v>76</v>
      </c>
      <c r="E11803" s="5" t="s">
        <v>158</v>
      </c>
      <c r="F11803" s="5" t="s">
        <v>159</v>
      </c>
      <c r="G11803" s="5" t="s">
        <v>739</v>
      </c>
      <c r="H11803" s="5" t="s">
        <v>2130</v>
      </c>
      <c r="I11803" s="5" t="s">
        <v>31</v>
      </c>
      <c r="J11803" s="5">
        <v>16.694456092673999</v>
      </c>
      <c r="K11803" s="5">
        <v>-94.957930885913996</v>
      </c>
      <c r="L11803" s="5" t="str">
        <f>HYPERLINK("https://maps.google.com/?q=16.694456092673963,-94.95793088591385", "🔗 Ver Mapa")</f>
        <v>🔗 Ver Mapa</v>
      </c>
    </row>
    <row r="11804" spans="1:12" ht="43.5" x14ac:dyDescent="0.35">
      <c r="A11804" s="6" t="s">
        <v>2019</v>
      </c>
      <c r="B11804" s="6" t="s">
        <v>2020</v>
      </c>
      <c r="C11804" s="6" t="s">
        <v>2131</v>
      </c>
      <c r="D11804" s="6" t="s">
        <v>76</v>
      </c>
      <c r="E11804" s="6" t="s">
        <v>16</v>
      </c>
      <c r="F11804" s="6" t="s">
        <v>19</v>
      </c>
      <c r="G11804" s="6" t="s">
        <v>199</v>
      </c>
      <c r="H11804" s="6" t="s">
        <v>2132</v>
      </c>
      <c r="I11804" s="6" t="s">
        <v>31</v>
      </c>
      <c r="J11804" s="6">
        <v>17.189739936788001</v>
      </c>
      <c r="K11804" s="6">
        <v>-97.276796478503996</v>
      </c>
      <c r="L11804" s="6" t="str">
        <f>HYPERLINK("https://maps.google.com/?q=17.18973993678845,-97.27679647850417", "🔗 Ver Mapa")</f>
        <v>🔗 Ver Mapa</v>
      </c>
    </row>
    <row r="11805" spans="1:12" ht="29" x14ac:dyDescent="0.35">
      <c r="A11805" s="5" t="s">
        <v>2019</v>
      </c>
      <c r="B11805" s="5" t="s">
        <v>2020</v>
      </c>
      <c r="C11805" s="5" t="s">
        <v>2133</v>
      </c>
      <c r="D11805" s="5" t="s">
        <v>76</v>
      </c>
      <c r="E11805" s="5" t="s">
        <v>140</v>
      </c>
      <c r="F11805" s="5" t="s">
        <v>141</v>
      </c>
      <c r="G11805" s="5" t="s">
        <v>430</v>
      </c>
      <c r="H11805" s="5" t="s">
        <v>2134</v>
      </c>
      <c r="I11805" s="5" t="s">
        <v>31</v>
      </c>
      <c r="J11805" s="5">
        <v>17.763573107258001</v>
      </c>
      <c r="K11805" s="5">
        <v>-96.138729799930999</v>
      </c>
      <c r="L11805" s="5" t="str">
        <f>HYPERLINK("https://maps.google.com/?q=17.763573107257905,-96.13872979993057", "🔗 Ver Mapa")</f>
        <v>🔗 Ver Mapa</v>
      </c>
    </row>
    <row r="11806" spans="1:12" ht="43.5" x14ac:dyDescent="0.35">
      <c r="A11806" s="6" t="s">
        <v>2019</v>
      </c>
      <c r="B11806" s="6" t="s">
        <v>2020</v>
      </c>
      <c r="C11806" s="6" t="s">
        <v>2135</v>
      </c>
      <c r="D11806" s="6" t="s">
        <v>76</v>
      </c>
      <c r="E11806" s="6" t="s">
        <v>17</v>
      </c>
      <c r="F11806" s="6" t="s">
        <v>20</v>
      </c>
      <c r="G11806" s="6" t="s">
        <v>2136</v>
      </c>
      <c r="H11806" s="6" t="s">
        <v>2137</v>
      </c>
      <c r="I11806" s="6" t="s">
        <v>31</v>
      </c>
      <c r="J11806" s="6">
        <v>15.926288968590001</v>
      </c>
      <c r="K11806" s="6">
        <v>-96.498972322580002</v>
      </c>
      <c r="L11806" s="6" t="str">
        <f>HYPERLINK("https://maps.google.com/?q=15.926288968589972,-96.49897232258036", "🔗 Ver Mapa")</f>
        <v>🔗 Ver Mapa</v>
      </c>
    </row>
    <row r="11807" spans="1:12" ht="43.5" x14ac:dyDescent="0.35">
      <c r="A11807" s="5" t="s">
        <v>2019</v>
      </c>
      <c r="B11807" s="5" t="s">
        <v>2020</v>
      </c>
      <c r="C11807" s="5" t="s">
        <v>2138</v>
      </c>
      <c r="D11807" s="5" t="s">
        <v>76</v>
      </c>
      <c r="E11807" s="5" t="s">
        <v>110</v>
      </c>
      <c r="F11807" s="5" t="s">
        <v>126</v>
      </c>
      <c r="G11807" s="5" t="s">
        <v>1882</v>
      </c>
      <c r="H11807" s="5" t="s">
        <v>2139</v>
      </c>
      <c r="I11807" s="5" t="s">
        <v>31</v>
      </c>
      <c r="J11807" s="5">
        <v>17.884687730208</v>
      </c>
      <c r="K11807" s="5">
        <v>-96.878855081020006</v>
      </c>
      <c r="L11807" s="5" t="str">
        <f>HYPERLINK("https://maps.google.com/?q=17.884687730208196,-96.87885508102036", "🔗 Ver Mapa")</f>
        <v>🔗 Ver Mapa</v>
      </c>
    </row>
    <row r="11808" spans="1:12" ht="29" x14ac:dyDescent="0.35">
      <c r="A11808" s="6" t="s">
        <v>2019</v>
      </c>
      <c r="B11808" s="6" t="s">
        <v>2020</v>
      </c>
      <c r="C11808" s="6" t="s">
        <v>2140</v>
      </c>
      <c r="D11808" s="6" t="s">
        <v>76</v>
      </c>
      <c r="E11808" s="6" t="s">
        <v>52</v>
      </c>
      <c r="F11808" s="6" t="s">
        <v>421</v>
      </c>
      <c r="G11808" s="6" t="s">
        <v>932</v>
      </c>
      <c r="H11808" s="6" t="s">
        <v>2141</v>
      </c>
      <c r="I11808" s="6" t="s">
        <v>31</v>
      </c>
      <c r="J11808" s="6">
        <v>16.557500000000001</v>
      </c>
      <c r="K11808" s="6">
        <v>-96.817778000000004</v>
      </c>
      <c r="L11808" s="6" t="str">
        <f>HYPERLINK("https://maps.google.com/?q=16.5575,-96.817778", "🔗 Ver Mapa")</f>
        <v>🔗 Ver Mapa</v>
      </c>
    </row>
    <row r="11809" spans="1:12" ht="43.5" x14ac:dyDescent="0.35">
      <c r="A11809" s="5" t="s">
        <v>2019</v>
      </c>
      <c r="B11809" s="5" t="s">
        <v>2020</v>
      </c>
      <c r="C11809" s="5" t="s">
        <v>2142</v>
      </c>
      <c r="D11809" s="5" t="s">
        <v>76</v>
      </c>
      <c r="E11809" s="5" t="s">
        <v>16</v>
      </c>
      <c r="F11809" s="5" t="s">
        <v>19</v>
      </c>
      <c r="G11809" s="5" t="s">
        <v>929</v>
      </c>
      <c r="H11809" s="5" t="s">
        <v>2143</v>
      </c>
      <c r="I11809" s="5" t="s">
        <v>31</v>
      </c>
      <c r="J11809" s="5">
        <v>17.185690528896998</v>
      </c>
      <c r="K11809" s="5">
        <v>-97.279403585666998</v>
      </c>
      <c r="L11809" s="5" t="str">
        <f>HYPERLINK("https://maps.google.com/?q=17.185690528897407,-97.27940358566664", "🔗 Ver Mapa")</f>
        <v>🔗 Ver Mapa</v>
      </c>
    </row>
    <row r="11810" spans="1:12" ht="43.5" x14ac:dyDescent="0.35">
      <c r="A11810" s="6" t="s">
        <v>2019</v>
      </c>
      <c r="B11810" s="6" t="s">
        <v>2020</v>
      </c>
      <c r="C11810" s="6" t="s">
        <v>2144</v>
      </c>
      <c r="D11810" s="6" t="s">
        <v>76</v>
      </c>
      <c r="E11810" s="6" t="s">
        <v>16</v>
      </c>
      <c r="F11810" s="6" t="s">
        <v>19</v>
      </c>
      <c r="G11810" s="6" t="s">
        <v>2145</v>
      </c>
      <c r="H11810" s="6" t="s">
        <v>2146</v>
      </c>
      <c r="I11810" s="6" t="s">
        <v>31</v>
      </c>
      <c r="J11810" s="6">
        <v>17.463758118287</v>
      </c>
      <c r="K11810" s="6">
        <v>-97.279994635582</v>
      </c>
      <c r="L11810" s="6" t="str">
        <f>HYPERLINK("https://maps.google.com/?q=17.46375811828696,-97.27999463558197", "🔗 Ver Mapa")</f>
        <v>🔗 Ver Mapa</v>
      </c>
    </row>
    <row r="11811" spans="1:12" ht="43.5" x14ac:dyDescent="0.35">
      <c r="A11811" s="5" t="s">
        <v>2019</v>
      </c>
      <c r="B11811" s="5" t="s">
        <v>2020</v>
      </c>
      <c r="C11811" s="5" t="s">
        <v>2147</v>
      </c>
      <c r="D11811" s="5" t="s">
        <v>76</v>
      </c>
      <c r="E11811" s="5" t="s">
        <v>39</v>
      </c>
      <c r="F11811" s="5" t="s">
        <v>353</v>
      </c>
      <c r="G11811" s="5" t="s">
        <v>2148</v>
      </c>
      <c r="H11811" s="5" t="s">
        <v>2149</v>
      </c>
      <c r="I11811" s="5" t="s">
        <v>31</v>
      </c>
      <c r="J11811" s="5">
        <v>16.316107126761999</v>
      </c>
      <c r="K11811" s="5">
        <v>-96.501783284724993</v>
      </c>
      <c r="L11811" s="5" t="str">
        <f>HYPERLINK("https://maps.google.com/?q=16.31610712676214,-96.5017832847252", "🔗 Ver Mapa")</f>
        <v>🔗 Ver Mapa</v>
      </c>
    </row>
    <row r="11812" spans="1:12" ht="43.5" x14ac:dyDescent="0.35">
      <c r="A11812" s="6" t="s">
        <v>2019</v>
      </c>
      <c r="B11812" s="6" t="s">
        <v>2020</v>
      </c>
      <c r="C11812" s="6" t="s">
        <v>2040</v>
      </c>
      <c r="D11812" s="6" t="s">
        <v>76</v>
      </c>
      <c r="E11812" s="6" t="s">
        <v>17</v>
      </c>
      <c r="F11812" s="6" t="s">
        <v>59</v>
      </c>
      <c r="G11812" s="6" t="s">
        <v>2041</v>
      </c>
      <c r="H11812" s="6" t="s">
        <v>2150</v>
      </c>
      <c r="I11812" s="6" t="s">
        <v>31</v>
      </c>
      <c r="J11812" s="6">
        <v>16.615920387106001</v>
      </c>
      <c r="K11812" s="6">
        <v>-98.152784314155994</v>
      </c>
      <c r="L11812" s="6" t="str">
        <f>HYPERLINK("https://maps.google.com/?q=16.615920387106478,-98.15278431415558", "🔗 Ver Mapa")</f>
        <v>🔗 Ver Mapa</v>
      </c>
    </row>
    <row r="11813" spans="1:12" ht="43.5" x14ac:dyDescent="0.35">
      <c r="A11813" s="5" t="s">
        <v>2019</v>
      </c>
      <c r="B11813" s="5" t="s">
        <v>2020</v>
      </c>
      <c r="C11813" s="5" t="s">
        <v>2151</v>
      </c>
      <c r="D11813" s="5" t="s">
        <v>76</v>
      </c>
      <c r="E11813" s="5" t="s">
        <v>16</v>
      </c>
      <c r="F11813" s="5" t="s">
        <v>95</v>
      </c>
      <c r="G11813" s="5" t="s">
        <v>2152</v>
      </c>
      <c r="H11813" s="5" t="s">
        <v>2153</v>
      </c>
      <c r="I11813" s="5" t="s">
        <v>31</v>
      </c>
      <c r="J11813" s="5">
        <v>17.518654004870999</v>
      </c>
      <c r="K11813" s="5">
        <v>-97.684058928905003</v>
      </c>
      <c r="L11813" s="5" t="str">
        <f>HYPERLINK("https://maps.google.com/?q=17.518654004870843,-97.68405892890549", "🔗 Ver Mapa")</f>
        <v>🔗 Ver Mapa</v>
      </c>
    </row>
    <row r="11814" spans="1:12" ht="29" x14ac:dyDescent="0.35">
      <c r="A11814" s="6" t="s">
        <v>2019</v>
      </c>
      <c r="B11814" s="6" t="s">
        <v>2020</v>
      </c>
      <c r="C11814" s="6" t="s">
        <v>2154</v>
      </c>
      <c r="D11814" s="6" t="s">
        <v>76</v>
      </c>
      <c r="E11814" s="6" t="s">
        <v>39</v>
      </c>
      <c r="F11814" s="6" t="s">
        <v>353</v>
      </c>
      <c r="G11814" s="6" t="s">
        <v>1417</v>
      </c>
      <c r="H11814" s="6" t="s">
        <v>2155</v>
      </c>
      <c r="I11814" s="6" t="s">
        <v>31</v>
      </c>
      <c r="J11814" s="6">
        <v>16.323637744665</v>
      </c>
      <c r="K11814" s="6">
        <v>-96.671429015868995</v>
      </c>
      <c r="L11814" s="6" t="str">
        <f>HYPERLINK("https://maps.google.com/?q=16.323637744665337,-96.67142901586915", "🔗 Ver Mapa")</f>
        <v>🔗 Ver Mapa</v>
      </c>
    </row>
    <row r="11815" spans="1:12" ht="43.5" x14ac:dyDescent="0.35">
      <c r="A11815" s="5" t="s">
        <v>2019</v>
      </c>
      <c r="B11815" s="5" t="s">
        <v>2020</v>
      </c>
      <c r="C11815" s="5" t="s">
        <v>2156</v>
      </c>
      <c r="D11815" s="5" t="s">
        <v>76</v>
      </c>
      <c r="E11815" s="5" t="s">
        <v>16</v>
      </c>
      <c r="F11815" s="5" t="s">
        <v>19</v>
      </c>
      <c r="G11815" s="5" t="s">
        <v>2157</v>
      </c>
      <c r="H11815" s="5" t="s">
        <v>2158</v>
      </c>
      <c r="I11815" s="5" t="s">
        <v>31</v>
      </c>
      <c r="J11815" s="5">
        <v>17.524916386611999</v>
      </c>
      <c r="K11815" s="5">
        <v>-97.283797413526997</v>
      </c>
      <c r="L11815" s="5" t="str">
        <f>HYPERLINK("https://maps.google.com/?q=17.524916386612226,-97.28379741352654", "🔗 Ver Mapa")</f>
        <v>🔗 Ver Mapa</v>
      </c>
    </row>
    <row r="11816" spans="1:12" ht="43.5" x14ac:dyDescent="0.35">
      <c r="A11816" s="6" t="s">
        <v>2019</v>
      </c>
      <c r="B11816" s="6" t="s">
        <v>2020</v>
      </c>
      <c r="C11816" s="6" t="s">
        <v>2159</v>
      </c>
      <c r="D11816" s="6" t="s">
        <v>76</v>
      </c>
      <c r="E11816" s="6" t="s">
        <v>39</v>
      </c>
      <c r="F11816" s="6" t="s">
        <v>494</v>
      </c>
      <c r="G11816" s="6" t="s">
        <v>2160</v>
      </c>
      <c r="H11816" s="6" t="s">
        <v>2161</v>
      </c>
      <c r="I11816" s="6" t="s">
        <v>31</v>
      </c>
      <c r="J11816" s="6">
        <v>16.600029954528999</v>
      </c>
      <c r="K11816" s="6">
        <v>-96.960113993882999</v>
      </c>
      <c r="L11816" s="6" t="str">
        <f>HYPERLINK("https://maps.google.com/?q=16.600029954528974,-96.96011399388313", "🔗 Ver Mapa")</f>
        <v>🔗 Ver Mapa</v>
      </c>
    </row>
    <row r="11817" spans="1:12" ht="43.5" x14ac:dyDescent="0.35">
      <c r="A11817" s="5" t="s">
        <v>2019</v>
      </c>
      <c r="B11817" s="5" t="s">
        <v>2020</v>
      </c>
      <c r="C11817" s="5" t="s">
        <v>2162</v>
      </c>
      <c r="D11817" s="5" t="s">
        <v>76</v>
      </c>
      <c r="E11817" s="5" t="s">
        <v>110</v>
      </c>
      <c r="F11817" s="5" t="s">
        <v>126</v>
      </c>
      <c r="G11817" s="5" t="s">
        <v>986</v>
      </c>
      <c r="H11817" s="5" t="s">
        <v>2163</v>
      </c>
      <c r="I11817" s="5" t="s">
        <v>31</v>
      </c>
      <c r="J11817" s="5">
        <v>17.987001256679001</v>
      </c>
      <c r="K11817" s="5">
        <v>-96.519618169485</v>
      </c>
      <c r="L11817" s="5" t="str">
        <f>HYPERLINK("https://maps.google.com/?q=17.987001256678855,-96.5196181694851", "🔗 Ver Mapa")</f>
        <v>🔗 Ver Mapa</v>
      </c>
    </row>
    <row r="11818" spans="1:12" ht="43.5" x14ac:dyDescent="0.35">
      <c r="A11818" s="6" t="s">
        <v>2019</v>
      </c>
      <c r="B11818" s="6" t="s">
        <v>2020</v>
      </c>
      <c r="C11818" s="6" t="s">
        <v>2164</v>
      </c>
      <c r="D11818" s="6" t="s">
        <v>76</v>
      </c>
      <c r="E11818" s="6" t="s">
        <v>110</v>
      </c>
      <c r="F11818" s="6" t="s">
        <v>126</v>
      </c>
      <c r="G11818" s="6" t="s">
        <v>1453</v>
      </c>
      <c r="H11818" s="6" t="s">
        <v>2165</v>
      </c>
      <c r="I11818" s="6" t="s">
        <v>31</v>
      </c>
      <c r="J11818" s="6">
        <v>17.783508838191999</v>
      </c>
      <c r="K11818" s="6">
        <v>-96.797162600034994</v>
      </c>
      <c r="L11818" s="6" t="str">
        <f>HYPERLINK("https://maps.google.com/?q=17.78350883819186,-96.79716260003471", "🔗 Ver Mapa")</f>
        <v>🔗 Ver Mapa</v>
      </c>
    </row>
    <row r="11819" spans="1:12" ht="43.5" x14ac:dyDescent="0.35">
      <c r="A11819" s="5" t="s">
        <v>2019</v>
      </c>
      <c r="B11819" s="5" t="s">
        <v>2020</v>
      </c>
      <c r="C11819" s="5" t="s">
        <v>2166</v>
      </c>
      <c r="D11819" s="5" t="s">
        <v>76</v>
      </c>
      <c r="E11819" s="5" t="s">
        <v>52</v>
      </c>
      <c r="F11819" s="5" t="s">
        <v>53</v>
      </c>
      <c r="G11819" s="5" t="s">
        <v>845</v>
      </c>
      <c r="H11819" s="5" t="s">
        <v>2167</v>
      </c>
      <c r="I11819" s="5" t="s">
        <v>31</v>
      </c>
      <c r="J11819" s="5">
        <v>16.775812235252999</v>
      </c>
      <c r="K11819" s="5">
        <v>-96.026302567776</v>
      </c>
      <c r="L11819" s="5" t="str">
        <f>HYPERLINK("https://maps.google.com/?q=16.77581223525323,-96.02630256777574", "🔗 Ver Mapa")</f>
        <v>🔗 Ver Mapa</v>
      </c>
    </row>
    <row r="11820" spans="1:12" ht="43.5" x14ac:dyDescent="0.35">
      <c r="A11820" s="6" t="s">
        <v>2019</v>
      </c>
      <c r="B11820" s="6" t="s">
        <v>2020</v>
      </c>
      <c r="C11820" s="6" t="s">
        <v>2168</v>
      </c>
      <c r="D11820" s="6" t="s">
        <v>76</v>
      </c>
      <c r="E11820" s="6" t="s">
        <v>16</v>
      </c>
      <c r="F11820" s="6" t="s">
        <v>21</v>
      </c>
      <c r="G11820" s="6" t="s">
        <v>2169</v>
      </c>
      <c r="H11820" s="6" t="s">
        <v>2170</v>
      </c>
      <c r="I11820" s="6" t="s">
        <v>31</v>
      </c>
      <c r="J11820" s="6">
        <v>17.397192272765999</v>
      </c>
      <c r="K11820" s="6">
        <v>-97.601825982803007</v>
      </c>
      <c r="L11820" s="6" t="str">
        <f>HYPERLINK("https://maps.google.com/?q=17.397192272766013,-97.60182598280335", "🔗 Ver Mapa")</f>
        <v>🔗 Ver Mapa</v>
      </c>
    </row>
    <row r="11821" spans="1:12" ht="43.5" x14ac:dyDescent="0.35">
      <c r="A11821" s="5" t="s">
        <v>2019</v>
      </c>
      <c r="B11821" s="5" t="s">
        <v>2020</v>
      </c>
      <c r="C11821" s="5" t="s">
        <v>2171</v>
      </c>
      <c r="D11821" s="5" t="s">
        <v>76</v>
      </c>
      <c r="E11821" s="5" t="s">
        <v>90</v>
      </c>
      <c r="F11821" s="5" t="s">
        <v>119</v>
      </c>
      <c r="G11821" s="5" t="s">
        <v>2172</v>
      </c>
      <c r="H11821" s="5" t="s">
        <v>2173</v>
      </c>
      <c r="I11821" s="5" t="s">
        <v>31</v>
      </c>
      <c r="J11821" s="5">
        <v>17.401334952302999</v>
      </c>
      <c r="K11821" s="5">
        <v>-96.377882954352998</v>
      </c>
      <c r="L11821" s="5" t="str">
        <f>HYPERLINK("https://maps.google.com/?q=17.40133495230291,-96.37788295435334", "🔗 Ver Mapa")</f>
        <v>🔗 Ver Mapa</v>
      </c>
    </row>
    <row r="11822" spans="1:12" ht="43.5" x14ac:dyDescent="0.35">
      <c r="A11822" s="6" t="s">
        <v>2019</v>
      </c>
      <c r="B11822" s="6" t="s">
        <v>2020</v>
      </c>
      <c r="C11822" s="6" t="s">
        <v>2174</v>
      </c>
      <c r="D11822" s="6" t="s">
        <v>76</v>
      </c>
      <c r="E11822" s="6" t="s">
        <v>16</v>
      </c>
      <c r="F11822" s="6" t="s">
        <v>21</v>
      </c>
      <c r="G11822" s="6" t="s">
        <v>2175</v>
      </c>
      <c r="H11822" s="6" t="s">
        <v>2176</v>
      </c>
      <c r="I11822" s="6" t="s">
        <v>31</v>
      </c>
      <c r="J11822" s="6">
        <v>17.019458106085999</v>
      </c>
      <c r="K11822" s="6">
        <v>-97.661111949738</v>
      </c>
      <c r="L11822" s="6" t="str">
        <f>HYPERLINK("https://maps.google.com/?q=17.019458106085764,-97.66111194973755", "🔗 Ver Mapa")</f>
        <v>🔗 Ver Mapa</v>
      </c>
    </row>
    <row r="11823" spans="1:12" ht="29" x14ac:dyDescent="0.35">
      <c r="A11823" s="5" t="s">
        <v>2019</v>
      </c>
      <c r="B11823" s="5" t="s">
        <v>2020</v>
      </c>
      <c r="C11823" s="5" t="s">
        <v>2177</v>
      </c>
      <c r="D11823" s="5" t="s">
        <v>76</v>
      </c>
      <c r="E11823" s="5" t="s">
        <v>90</v>
      </c>
      <c r="F11823" s="5" t="s">
        <v>119</v>
      </c>
      <c r="G11823" s="5" t="s">
        <v>2178</v>
      </c>
      <c r="H11823" s="5" t="s">
        <v>2179</v>
      </c>
      <c r="I11823" s="5" t="s">
        <v>31</v>
      </c>
      <c r="J11823" s="5">
        <v>17.435832999999999</v>
      </c>
      <c r="K11823" s="5">
        <v>-96.607777999999996</v>
      </c>
      <c r="L11823" s="5" t="str">
        <f>HYPERLINK("https://maps.google.com/?q=17.435833,-96.607778", "🔗 Ver Mapa")</f>
        <v>🔗 Ver Mapa</v>
      </c>
    </row>
    <row r="11824" spans="1:12" ht="29" x14ac:dyDescent="0.35">
      <c r="A11824" s="6" t="s">
        <v>2019</v>
      </c>
      <c r="B11824" s="6" t="s">
        <v>2020</v>
      </c>
      <c r="C11824" s="6" t="s">
        <v>2180</v>
      </c>
      <c r="D11824" s="6" t="s">
        <v>76</v>
      </c>
      <c r="E11824" s="6" t="s">
        <v>140</v>
      </c>
      <c r="F11824" s="6" t="s">
        <v>141</v>
      </c>
      <c r="G11824" s="6" t="s">
        <v>1622</v>
      </c>
      <c r="H11824" s="6" t="s">
        <v>2181</v>
      </c>
      <c r="I11824" s="6" t="s">
        <v>31</v>
      </c>
      <c r="J11824" s="6">
        <v>17.888832618136</v>
      </c>
      <c r="K11824" s="6">
        <v>-96.519989662531003</v>
      </c>
      <c r="L11824" s="6" t="str">
        <f>HYPERLINK("https://maps.google.com/?q=17.88883261813554,-96.5199896625309", "🔗 Ver Mapa")</f>
        <v>🔗 Ver Mapa</v>
      </c>
    </row>
    <row r="11825" spans="1:12" ht="43.5" x14ac:dyDescent="0.35">
      <c r="A11825" s="5" t="s">
        <v>2019</v>
      </c>
      <c r="B11825" s="5" t="s">
        <v>2020</v>
      </c>
      <c r="C11825" s="5" t="s">
        <v>2182</v>
      </c>
      <c r="D11825" s="5" t="s">
        <v>76</v>
      </c>
      <c r="E11825" s="5" t="s">
        <v>39</v>
      </c>
      <c r="F11825" s="5" t="s">
        <v>353</v>
      </c>
      <c r="G11825" s="5" t="s">
        <v>2183</v>
      </c>
      <c r="H11825" s="5" t="s">
        <v>2184</v>
      </c>
      <c r="I11825" s="5" t="s">
        <v>31</v>
      </c>
      <c r="J11825" s="5">
        <v>16.253439501948002</v>
      </c>
      <c r="K11825" s="5">
        <v>-96.595899656179</v>
      </c>
      <c r="L11825" s="5" t="str">
        <f>HYPERLINK("https://maps.google.com/?q=16.253439501947945,-96.59589965617943", "🔗 Ver Mapa")</f>
        <v>🔗 Ver Mapa</v>
      </c>
    </row>
    <row r="11826" spans="1:12" ht="43.5" x14ac:dyDescent="0.35">
      <c r="A11826" s="6" t="s">
        <v>2019</v>
      </c>
      <c r="B11826" s="6" t="s">
        <v>2020</v>
      </c>
      <c r="C11826" s="6" t="s">
        <v>2185</v>
      </c>
      <c r="D11826" s="6" t="s">
        <v>76</v>
      </c>
      <c r="E11826" s="6" t="s">
        <v>39</v>
      </c>
      <c r="F11826" s="6" t="s">
        <v>353</v>
      </c>
      <c r="G11826" s="6" t="s">
        <v>534</v>
      </c>
      <c r="H11826" s="6" t="s">
        <v>2186</v>
      </c>
      <c r="I11826" s="6" t="s">
        <v>31</v>
      </c>
      <c r="J11826" s="6">
        <v>16.186386228614001</v>
      </c>
      <c r="K11826" s="6">
        <v>-96.772071230826995</v>
      </c>
      <c r="L11826" s="6" t="str">
        <f>HYPERLINK("https://maps.google.com/?q=16.18638622861361,-96.77207123082734", "🔗 Ver Mapa")</f>
        <v>🔗 Ver Mapa</v>
      </c>
    </row>
    <row r="11827" spans="1:12" ht="43.5" x14ac:dyDescent="0.35">
      <c r="A11827" s="5" t="s">
        <v>2019</v>
      </c>
      <c r="B11827" s="5" t="s">
        <v>2020</v>
      </c>
      <c r="C11827" s="5" t="s">
        <v>2187</v>
      </c>
      <c r="D11827" s="5" t="s">
        <v>76</v>
      </c>
      <c r="E11827" s="5" t="s">
        <v>110</v>
      </c>
      <c r="F11827" s="5" t="s">
        <v>111</v>
      </c>
      <c r="G11827" s="5" t="s">
        <v>2188</v>
      </c>
      <c r="H11827" s="5" t="s">
        <v>2189</v>
      </c>
      <c r="I11827" s="5" t="s">
        <v>31</v>
      </c>
      <c r="J11827" s="5">
        <v>18.146365880855001</v>
      </c>
      <c r="K11827" s="5">
        <v>-96.863637822089999</v>
      </c>
      <c r="L11827" s="5" t="str">
        <f>HYPERLINK("https://maps.google.com/?q=18.146365880855086,-96.86363782209015", "🔗 Ver Mapa")</f>
        <v>🔗 Ver Mapa</v>
      </c>
    </row>
    <row r="11828" spans="1:12" ht="43.5" x14ac:dyDescent="0.35">
      <c r="A11828" s="6" t="s">
        <v>2019</v>
      </c>
      <c r="B11828" s="6" t="s">
        <v>2020</v>
      </c>
      <c r="C11828" s="6" t="s">
        <v>2190</v>
      </c>
      <c r="D11828" s="6" t="s">
        <v>76</v>
      </c>
      <c r="E11828" s="6" t="s">
        <v>17</v>
      </c>
      <c r="F11828" s="6" t="s">
        <v>59</v>
      </c>
      <c r="G11828" s="6" t="s">
        <v>2191</v>
      </c>
      <c r="H11828" s="6" t="s">
        <v>2192</v>
      </c>
      <c r="I11828" s="6" t="s">
        <v>31</v>
      </c>
      <c r="J11828" s="6">
        <v>16.450311620766001</v>
      </c>
      <c r="K11828" s="6">
        <v>-98.019236737433999</v>
      </c>
      <c r="L11828" s="6" t="str">
        <f>HYPERLINK("https://maps.google.com/?q=16.450311620765742,-98.01923673743438", "🔗 Ver Mapa")</f>
        <v>🔗 Ver Mapa</v>
      </c>
    </row>
    <row r="11829" spans="1:12" ht="43.5" x14ac:dyDescent="0.35">
      <c r="A11829" s="5" t="s">
        <v>2019</v>
      </c>
      <c r="B11829" s="5" t="s">
        <v>2020</v>
      </c>
      <c r="C11829" s="5" t="s">
        <v>2193</v>
      </c>
      <c r="D11829" s="5" t="s">
        <v>76</v>
      </c>
      <c r="E11829" s="5" t="s">
        <v>110</v>
      </c>
      <c r="F11829" s="5" t="s">
        <v>126</v>
      </c>
      <c r="G11829" s="5" t="s">
        <v>1519</v>
      </c>
      <c r="H11829" s="5" t="s">
        <v>2194</v>
      </c>
      <c r="I11829" s="5" t="s">
        <v>31</v>
      </c>
      <c r="J11829" s="5">
        <v>17.898922603206</v>
      </c>
      <c r="K11829" s="5">
        <v>-96.712430088464998</v>
      </c>
      <c r="L11829" s="5" t="str">
        <f>HYPERLINK("https://maps.google.com/?q=17.898922603206245,-96.71243008846474", "🔗 Ver Mapa")</f>
        <v>🔗 Ver Mapa</v>
      </c>
    </row>
    <row r="11830" spans="1:12" ht="43.5" x14ac:dyDescent="0.35">
      <c r="A11830" s="6" t="s">
        <v>2019</v>
      </c>
      <c r="B11830" s="6" t="s">
        <v>2020</v>
      </c>
      <c r="C11830" s="6" t="s">
        <v>2195</v>
      </c>
      <c r="D11830" s="6" t="s">
        <v>76</v>
      </c>
      <c r="E11830" s="6" t="s">
        <v>39</v>
      </c>
      <c r="F11830" s="6" t="s">
        <v>494</v>
      </c>
      <c r="G11830" s="6" t="s">
        <v>495</v>
      </c>
      <c r="H11830" s="6" t="s">
        <v>2196</v>
      </c>
      <c r="I11830" s="6" t="s">
        <v>31</v>
      </c>
      <c r="J11830" s="6">
        <v>16.515277999999999</v>
      </c>
      <c r="K11830" s="6">
        <v>-96.975832999999994</v>
      </c>
      <c r="L11830" s="6" t="str">
        <f>HYPERLINK("https://maps.google.com/?q=16.515278,-96.975833", "🔗 Ver Mapa")</f>
        <v>🔗 Ver Mapa</v>
      </c>
    </row>
    <row r="11831" spans="1:12" ht="43.5" x14ac:dyDescent="0.35">
      <c r="A11831" s="5" t="s">
        <v>2019</v>
      </c>
      <c r="B11831" s="5" t="s">
        <v>2020</v>
      </c>
      <c r="C11831" s="5" t="s">
        <v>2197</v>
      </c>
      <c r="D11831" s="5" t="s">
        <v>76</v>
      </c>
      <c r="E11831" s="5" t="s">
        <v>110</v>
      </c>
      <c r="F11831" s="5" t="s">
        <v>126</v>
      </c>
      <c r="G11831" s="5" t="s">
        <v>137</v>
      </c>
      <c r="H11831" s="5" t="s">
        <v>2198</v>
      </c>
      <c r="I11831" s="5" t="s">
        <v>31</v>
      </c>
      <c r="J11831" s="5">
        <v>17.841611129747001</v>
      </c>
      <c r="K11831" s="5">
        <v>-97.014289772981996</v>
      </c>
      <c r="L11831" s="5" t="str">
        <f>HYPERLINK("https://maps.google.com/?q=17.84161112974664,-97.01428977298163", "🔗 Ver Mapa")</f>
        <v>🔗 Ver Mapa</v>
      </c>
    </row>
    <row r="11832" spans="1:12" ht="43.5" x14ac:dyDescent="0.35">
      <c r="A11832" s="6" t="s">
        <v>2019</v>
      </c>
      <c r="B11832" s="6" t="s">
        <v>2020</v>
      </c>
      <c r="C11832" s="6" t="s">
        <v>2199</v>
      </c>
      <c r="D11832" s="6" t="s">
        <v>76</v>
      </c>
      <c r="E11832" s="6" t="s">
        <v>17</v>
      </c>
      <c r="F11832" s="6" t="s">
        <v>59</v>
      </c>
      <c r="G11832" s="6" t="s">
        <v>1934</v>
      </c>
      <c r="H11832" s="6" t="s">
        <v>2200</v>
      </c>
      <c r="I11832" s="6" t="s">
        <v>31</v>
      </c>
      <c r="J11832" s="6">
        <v>16.462612982619</v>
      </c>
      <c r="K11832" s="6">
        <v>-97.954604932541002</v>
      </c>
      <c r="L11832" s="6" t="str">
        <f>HYPERLINK("https://maps.google.com/?q=16.462612982618595,-97.95460493254089", "🔗 Ver Mapa")</f>
        <v>🔗 Ver Mapa</v>
      </c>
    </row>
    <row r="11833" spans="1:12" ht="29" x14ac:dyDescent="0.35">
      <c r="A11833" s="5" t="s">
        <v>2019</v>
      </c>
      <c r="B11833" s="5" t="s">
        <v>2020</v>
      </c>
      <c r="C11833" s="5" t="s">
        <v>2201</v>
      </c>
      <c r="D11833" s="5" t="s">
        <v>76</v>
      </c>
      <c r="E11833" s="5" t="s">
        <v>52</v>
      </c>
      <c r="F11833" s="5" t="s">
        <v>53</v>
      </c>
      <c r="G11833" s="5" t="s">
        <v>374</v>
      </c>
      <c r="H11833" s="5" t="s">
        <v>2202</v>
      </c>
      <c r="I11833" s="5" t="s">
        <v>31</v>
      </c>
      <c r="J11833" s="5">
        <v>16.933367639916</v>
      </c>
      <c r="K11833" s="5">
        <v>-96.607909036875</v>
      </c>
      <c r="L11833" s="5" t="str">
        <f>HYPERLINK("https://maps.google.com/?q=16.93336763991635,-96.60790903687477", "🔗 Ver Mapa")</f>
        <v>🔗 Ver Mapa</v>
      </c>
    </row>
    <row r="11834" spans="1:12" ht="43.5" x14ac:dyDescent="0.35">
      <c r="A11834" s="6" t="s">
        <v>2019</v>
      </c>
      <c r="B11834" s="6" t="s">
        <v>2020</v>
      </c>
      <c r="C11834" s="6" t="s">
        <v>2203</v>
      </c>
      <c r="D11834" s="6" t="s">
        <v>76</v>
      </c>
      <c r="E11834" s="6" t="s">
        <v>16</v>
      </c>
      <c r="F11834" s="6" t="s">
        <v>19</v>
      </c>
      <c r="G11834" s="6" t="s">
        <v>479</v>
      </c>
      <c r="H11834" s="6" t="s">
        <v>2204</v>
      </c>
      <c r="I11834" s="6" t="s">
        <v>31</v>
      </c>
      <c r="J11834" s="6">
        <v>16.999084919322001</v>
      </c>
      <c r="K11834" s="6">
        <v>-97.232876850367006</v>
      </c>
      <c r="L11834" s="6" t="str">
        <f>HYPERLINK("https://maps.google.com/?q=16.99908491932161,-97.2328768503666", "🔗 Ver Mapa")</f>
        <v>🔗 Ver Mapa</v>
      </c>
    </row>
    <row r="11835" spans="1:12" ht="43.5" x14ac:dyDescent="0.35">
      <c r="A11835" s="5" t="s">
        <v>2019</v>
      </c>
      <c r="B11835" s="5" t="s">
        <v>2020</v>
      </c>
      <c r="C11835" s="5" t="s">
        <v>2205</v>
      </c>
      <c r="D11835" s="5" t="s">
        <v>76</v>
      </c>
      <c r="E11835" s="5" t="s">
        <v>90</v>
      </c>
      <c r="F11835" s="5" t="s">
        <v>119</v>
      </c>
      <c r="G11835" s="5" t="s">
        <v>1037</v>
      </c>
      <c r="H11835" s="5" t="s">
        <v>2206</v>
      </c>
      <c r="I11835" s="5" t="s">
        <v>31</v>
      </c>
      <c r="J11835" s="5">
        <v>17.370081664967</v>
      </c>
      <c r="K11835" s="5">
        <v>-96.337354210976002</v>
      </c>
      <c r="L11835" s="5" t="str">
        <f>HYPERLINK("https://maps.google.com/?q=17.370081664967334,-96.33735421097566", "🔗 Ver Mapa")</f>
        <v>🔗 Ver Mapa</v>
      </c>
    </row>
    <row r="11836" spans="1:12" ht="43.5" x14ac:dyDescent="0.35">
      <c r="A11836" s="6" t="s">
        <v>2019</v>
      </c>
      <c r="B11836" s="6" t="s">
        <v>2020</v>
      </c>
      <c r="C11836" s="6" t="s">
        <v>2207</v>
      </c>
      <c r="D11836" s="6" t="s">
        <v>76</v>
      </c>
      <c r="E11836" s="6" t="s">
        <v>16</v>
      </c>
      <c r="F11836" s="6" t="s">
        <v>195</v>
      </c>
      <c r="G11836" s="6" t="s">
        <v>978</v>
      </c>
      <c r="H11836" s="6" t="s">
        <v>2208</v>
      </c>
      <c r="I11836" s="6" t="s">
        <v>31</v>
      </c>
      <c r="J11836" s="6">
        <v>17.784261888111001</v>
      </c>
      <c r="K11836" s="6">
        <v>-98.146906246002004</v>
      </c>
      <c r="L11836" s="6" t="str">
        <f>HYPERLINK("https://maps.google.com/?q=17.784261888110816,-98.1469062460022", "🔗 Ver Mapa")</f>
        <v>🔗 Ver Mapa</v>
      </c>
    </row>
    <row r="11837" spans="1:12" ht="43.5" x14ac:dyDescent="0.35">
      <c r="A11837" s="5" t="s">
        <v>2019</v>
      </c>
      <c r="B11837" s="5" t="s">
        <v>2020</v>
      </c>
      <c r="C11837" s="5" t="s">
        <v>2209</v>
      </c>
      <c r="D11837" s="5" t="s">
        <v>76</v>
      </c>
      <c r="E11837" s="5" t="s">
        <v>16</v>
      </c>
      <c r="F11837" s="5" t="s">
        <v>19</v>
      </c>
      <c r="G11837" s="5" t="s">
        <v>1174</v>
      </c>
      <c r="H11837" s="5" t="s">
        <v>2210</v>
      </c>
      <c r="I11837" s="5" t="s">
        <v>31</v>
      </c>
      <c r="J11837" s="5">
        <v>17.015061836706</v>
      </c>
      <c r="K11837" s="5">
        <v>-97.282892385249994</v>
      </c>
      <c r="L11837" s="5" t="str">
        <f>HYPERLINK("https://maps.google.com/?q=17.015061836705996,-97.2828923852501", "🔗 Ver Mapa")</f>
        <v>🔗 Ver Mapa</v>
      </c>
    </row>
    <row r="11838" spans="1:12" ht="72.5" x14ac:dyDescent="0.35">
      <c r="A11838" s="6" t="s">
        <v>2019</v>
      </c>
      <c r="B11838" s="6" t="s">
        <v>2020</v>
      </c>
      <c r="C11838" s="6" t="s">
        <v>2211</v>
      </c>
      <c r="D11838" s="6" t="s">
        <v>76</v>
      </c>
      <c r="E11838" s="6" t="s">
        <v>16</v>
      </c>
      <c r="F11838" s="6" t="s">
        <v>145</v>
      </c>
      <c r="G11838" s="6" t="s">
        <v>1863</v>
      </c>
      <c r="H11838" s="6" t="s">
        <v>2212</v>
      </c>
      <c r="I11838" s="6" t="s">
        <v>31</v>
      </c>
      <c r="J11838" s="6">
        <v>17.580302997082001</v>
      </c>
      <c r="K11838" s="6">
        <v>-97.790325888395003</v>
      </c>
      <c r="L11838" s="6" t="str">
        <f>HYPERLINK("https://maps.google.com/?q=17.580302997082313,-97.79032588839532", "🔗 Ver Mapa")</f>
        <v>🔗 Ver Mapa</v>
      </c>
    </row>
    <row r="11839" spans="1:12" ht="43.5" x14ac:dyDescent="0.35">
      <c r="A11839" s="5" t="s">
        <v>2019</v>
      </c>
      <c r="B11839" s="5" t="s">
        <v>2020</v>
      </c>
      <c r="C11839" s="5" t="s">
        <v>2213</v>
      </c>
      <c r="D11839" s="5" t="s">
        <v>76</v>
      </c>
      <c r="E11839" s="5" t="s">
        <v>52</v>
      </c>
      <c r="F11839" s="5" t="s">
        <v>228</v>
      </c>
      <c r="G11839" s="5" t="s">
        <v>1508</v>
      </c>
      <c r="H11839" s="5" t="s">
        <v>2214</v>
      </c>
      <c r="I11839" s="5" t="s">
        <v>31</v>
      </c>
      <c r="J11839" s="5">
        <v>16.792777999999998</v>
      </c>
      <c r="K11839" s="5">
        <v>-96.672777999999994</v>
      </c>
      <c r="L11839" s="5" t="str">
        <f>HYPERLINK("https://maps.google.com/?q=16.792778,-96.672778", "🔗 Ver Mapa")</f>
        <v>🔗 Ver Mapa</v>
      </c>
    </row>
    <row r="11840" spans="1:12" ht="29" x14ac:dyDescent="0.35">
      <c r="A11840" s="6" t="s">
        <v>2019</v>
      </c>
      <c r="B11840" s="6" t="s">
        <v>2020</v>
      </c>
      <c r="C11840" s="6" t="s">
        <v>2215</v>
      </c>
      <c r="D11840" s="6" t="s">
        <v>76</v>
      </c>
      <c r="E11840" s="6" t="s">
        <v>52</v>
      </c>
      <c r="F11840" s="6" t="s">
        <v>421</v>
      </c>
      <c r="G11840" s="6" t="s">
        <v>1437</v>
      </c>
      <c r="H11840" s="6" t="s">
        <v>2216</v>
      </c>
      <c r="I11840" s="6" t="s">
        <v>31</v>
      </c>
      <c r="J11840" s="6">
        <v>16.606094292790999</v>
      </c>
      <c r="K11840" s="6">
        <v>-96.779722949738002</v>
      </c>
      <c r="L11840" s="6" t="str">
        <f>HYPERLINK("https://maps.google.com/?q=16.606094292791187,-96.77972294973753", "🔗 Ver Mapa")</f>
        <v>🔗 Ver Mapa</v>
      </c>
    </row>
    <row r="11841" spans="1:12" ht="43.5" x14ac:dyDescent="0.35">
      <c r="A11841" s="5" t="s">
        <v>2019</v>
      </c>
      <c r="B11841" s="5" t="s">
        <v>2020</v>
      </c>
      <c r="C11841" s="5" t="s">
        <v>2217</v>
      </c>
      <c r="D11841" s="5" t="s">
        <v>76</v>
      </c>
      <c r="E11841" s="5" t="s">
        <v>52</v>
      </c>
      <c r="F11841" s="5" t="s">
        <v>421</v>
      </c>
      <c r="G11841" s="5" t="s">
        <v>1922</v>
      </c>
      <c r="H11841" s="5" t="s">
        <v>2218</v>
      </c>
      <c r="I11841" s="5" t="s">
        <v>31</v>
      </c>
      <c r="J11841" s="5">
        <v>16.593327858978999</v>
      </c>
      <c r="K11841" s="5">
        <v>-96.542577784060995</v>
      </c>
      <c r="L11841" s="5" t="str">
        <f>HYPERLINK("https://maps.google.com/?q=16.593327858978764,-96.54257778406145", "🔗 Ver Mapa")</f>
        <v>🔗 Ver Mapa</v>
      </c>
    </row>
    <row r="11842" spans="1:12" ht="43.5" x14ac:dyDescent="0.35">
      <c r="A11842" s="6" t="s">
        <v>2019</v>
      </c>
      <c r="B11842" s="6" t="s">
        <v>2020</v>
      </c>
      <c r="C11842" s="6" t="s">
        <v>2219</v>
      </c>
      <c r="D11842" s="6" t="s">
        <v>76</v>
      </c>
      <c r="E11842" s="6" t="s">
        <v>52</v>
      </c>
      <c r="F11842" s="6" t="s">
        <v>421</v>
      </c>
      <c r="G11842" s="6" t="s">
        <v>1046</v>
      </c>
      <c r="H11842" s="6" t="s">
        <v>2220</v>
      </c>
      <c r="I11842" s="6" t="s">
        <v>31</v>
      </c>
      <c r="J11842" s="6">
        <v>16.580940968431001</v>
      </c>
      <c r="K11842" s="6">
        <v>-96.738436873680001</v>
      </c>
      <c r="L11842" s="6" t="str">
        <f>HYPERLINK("https://maps.google.com/?q=16.5809409684308,-96.7384368736801", "🔗 Ver Mapa")</f>
        <v>🔗 Ver Mapa</v>
      </c>
    </row>
    <row r="11843" spans="1:12" ht="43.5" x14ac:dyDescent="0.35">
      <c r="A11843" s="5" t="s">
        <v>2019</v>
      </c>
      <c r="B11843" s="5" t="s">
        <v>2020</v>
      </c>
      <c r="C11843" s="5" t="s">
        <v>2221</v>
      </c>
      <c r="D11843" s="5" t="s">
        <v>76</v>
      </c>
      <c r="E11843" s="5" t="s">
        <v>52</v>
      </c>
      <c r="F11843" s="5" t="s">
        <v>228</v>
      </c>
      <c r="G11843" s="5" t="s">
        <v>2222</v>
      </c>
      <c r="H11843" s="5" t="s">
        <v>2223</v>
      </c>
      <c r="I11843" s="5" t="s">
        <v>31</v>
      </c>
      <c r="J11843" s="5">
        <v>16.731429658641002</v>
      </c>
      <c r="K11843" s="5">
        <v>-96.722667500490004</v>
      </c>
      <c r="L11843" s="5" t="str">
        <f>HYPERLINK("https://maps.google.com/?q=16.731429658640796,-96.72266750049019", "🔗 Ver Mapa")</f>
        <v>🔗 Ver Mapa</v>
      </c>
    </row>
    <row r="11844" spans="1:12" ht="43.5" x14ac:dyDescent="0.35">
      <c r="A11844" s="6" t="s">
        <v>2019</v>
      </c>
      <c r="B11844" s="6" t="s">
        <v>2020</v>
      </c>
      <c r="C11844" s="6" t="s">
        <v>2224</v>
      </c>
      <c r="D11844" s="6" t="s">
        <v>76</v>
      </c>
      <c r="E11844" s="6" t="s">
        <v>16</v>
      </c>
      <c r="F11844" s="6" t="s">
        <v>145</v>
      </c>
      <c r="G11844" s="6" t="s">
        <v>2225</v>
      </c>
      <c r="H11844" s="6" t="s">
        <v>2226</v>
      </c>
      <c r="I11844" s="6" t="s">
        <v>31</v>
      </c>
      <c r="J11844" s="6">
        <v>17.863196409781001</v>
      </c>
      <c r="K11844" s="6">
        <v>-98.137210879796996</v>
      </c>
      <c r="L11844" s="6" t="str">
        <f>HYPERLINK("https://maps.google.com/?q=17.86319640978134,-98.137210879797", "🔗 Ver Mapa")</f>
        <v>🔗 Ver Mapa</v>
      </c>
    </row>
    <row r="11845" spans="1:12" ht="43.5" x14ac:dyDescent="0.35">
      <c r="A11845" s="5" t="s">
        <v>2019</v>
      </c>
      <c r="B11845" s="5" t="s">
        <v>2020</v>
      </c>
      <c r="C11845" s="5" t="s">
        <v>2227</v>
      </c>
      <c r="D11845" s="5" t="s">
        <v>76</v>
      </c>
      <c r="E11845" s="5" t="s">
        <v>16</v>
      </c>
      <c r="F11845" s="5" t="s">
        <v>195</v>
      </c>
      <c r="G11845" s="5" t="s">
        <v>2228</v>
      </c>
      <c r="H11845" s="5" t="s">
        <v>2229</v>
      </c>
      <c r="I11845" s="5" t="s">
        <v>31</v>
      </c>
      <c r="J11845" s="5">
        <v>17.448416160802001</v>
      </c>
      <c r="K11845" s="5">
        <v>-98.278877488429998</v>
      </c>
      <c r="L11845" s="5" t="str">
        <f>HYPERLINK("https://maps.google.com/?q=17.448416160801703,-98.27887748843003", "🔗 Ver Mapa")</f>
        <v>🔗 Ver Mapa</v>
      </c>
    </row>
    <row r="11846" spans="1:12" ht="43.5" x14ac:dyDescent="0.35">
      <c r="A11846" s="6" t="s">
        <v>2019</v>
      </c>
      <c r="B11846" s="6" t="s">
        <v>2020</v>
      </c>
      <c r="C11846" s="6" t="s">
        <v>2230</v>
      </c>
      <c r="D11846" s="6" t="s">
        <v>76</v>
      </c>
      <c r="E11846" s="6" t="s">
        <v>52</v>
      </c>
      <c r="F11846" s="6" t="s">
        <v>421</v>
      </c>
      <c r="G11846" s="6" t="s">
        <v>1608</v>
      </c>
      <c r="H11846" s="6" t="s">
        <v>2231</v>
      </c>
      <c r="I11846" s="6" t="s">
        <v>31</v>
      </c>
      <c r="J11846" s="6">
        <v>16.511389000000001</v>
      </c>
      <c r="K11846" s="6">
        <v>-96.789167000000006</v>
      </c>
      <c r="L11846" s="6" t="str">
        <f>HYPERLINK("https://maps.google.com/?q=16.511389,-96.789167", "🔗 Ver Mapa")</f>
        <v>🔗 Ver Mapa</v>
      </c>
    </row>
    <row r="11847" spans="1:12" ht="43.5" x14ac:dyDescent="0.35">
      <c r="A11847" s="5" t="s">
        <v>2019</v>
      </c>
      <c r="B11847" s="5" t="s">
        <v>2020</v>
      </c>
      <c r="C11847" s="5" t="s">
        <v>2232</v>
      </c>
      <c r="D11847" s="5" t="s">
        <v>76</v>
      </c>
      <c r="E11847" s="5" t="s">
        <v>52</v>
      </c>
      <c r="F11847" s="5" t="s">
        <v>53</v>
      </c>
      <c r="G11847" s="5" t="s">
        <v>1856</v>
      </c>
      <c r="H11847" s="5" t="s">
        <v>2233</v>
      </c>
      <c r="I11847" s="5" t="s">
        <v>31</v>
      </c>
      <c r="J11847" s="5">
        <v>17.013611000000001</v>
      </c>
      <c r="K11847" s="5">
        <v>-96.541111000000001</v>
      </c>
      <c r="L11847" s="5" t="str">
        <f>HYPERLINK("https://maps.google.com/?q=17.013611,-96.541111", "🔗 Ver Mapa")</f>
        <v>🔗 Ver Mapa</v>
      </c>
    </row>
    <row r="11848" spans="1:12" ht="43.5" x14ac:dyDescent="0.35">
      <c r="A11848" s="6" t="s">
        <v>2019</v>
      </c>
      <c r="B11848" s="6" t="s">
        <v>2020</v>
      </c>
      <c r="C11848" s="6" t="s">
        <v>2234</v>
      </c>
      <c r="D11848" s="6" t="s">
        <v>76</v>
      </c>
      <c r="E11848" s="6" t="s">
        <v>52</v>
      </c>
      <c r="F11848" s="6" t="s">
        <v>83</v>
      </c>
      <c r="G11848" s="6" t="s">
        <v>488</v>
      </c>
      <c r="H11848" s="6" t="s">
        <v>2235</v>
      </c>
      <c r="I11848" s="6" t="s">
        <v>31</v>
      </c>
      <c r="J11848" s="6">
        <v>17.366303488412999</v>
      </c>
      <c r="K11848" s="6">
        <v>-97.032570302902002</v>
      </c>
      <c r="L11848" s="6" t="str">
        <f>HYPERLINK("https://maps.google.com/?q=17.366303488413458,-97.03257030290223", "🔗 Ver Mapa")</f>
        <v>🔗 Ver Mapa</v>
      </c>
    </row>
    <row r="11849" spans="1:12" ht="43.5" x14ac:dyDescent="0.35">
      <c r="A11849" s="5" t="s">
        <v>2019</v>
      </c>
      <c r="B11849" s="5" t="s">
        <v>2020</v>
      </c>
      <c r="C11849" s="5" t="s">
        <v>2236</v>
      </c>
      <c r="D11849" s="5" t="s">
        <v>76</v>
      </c>
      <c r="E11849" s="5" t="s">
        <v>16</v>
      </c>
      <c r="F11849" s="5" t="s">
        <v>409</v>
      </c>
      <c r="G11849" s="5" t="s">
        <v>410</v>
      </c>
      <c r="H11849" s="5" t="s">
        <v>2237</v>
      </c>
      <c r="I11849" s="5" t="s">
        <v>31</v>
      </c>
      <c r="J11849" s="5">
        <v>17.723004901816001</v>
      </c>
      <c r="K11849" s="5">
        <v>-97.324341343585999</v>
      </c>
      <c r="L11849" s="5" t="str">
        <f>HYPERLINK("https://maps.google.com/?q=17.72300490181563,-97.32434134358597", "🔗 Ver Mapa")</f>
        <v>🔗 Ver Mapa</v>
      </c>
    </row>
    <row r="11850" spans="1:12" ht="43.5" x14ac:dyDescent="0.35">
      <c r="A11850" s="6" t="s">
        <v>2019</v>
      </c>
      <c r="B11850" s="6" t="s">
        <v>2020</v>
      </c>
      <c r="C11850" s="6" t="s">
        <v>2238</v>
      </c>
      <c r="D11850" s="6" t="s">
        <v>76</v>
      </c>
      <c r="E11850" s="6" t="s">
        <v>16</v>
      </c>
      <c r="F11850" s="6" t="s">
        <v>409</v>
      </c>
      <c r="G11850" s="6" t="s">
        <v>2239</v>
      </c>
      <c r="H11850" s="6" t="s">
        <v>2240</v>
      </c>
      <c r="I11850" s="6" t="s">
        <v>31</v>
      </c>
      <c r="J11850" s="6">
        <v>17.660731072078001</v>
      </c>
      <c r="K11850" s="6">
        <v>-97.336079763228994</v>
      </c>
      <c r="L11850" s="6" t="str">
        <f>HYPERLINK("https://maps.google.com/?q=17.6607310720783,-97.33607976322935", "🔗 Ver Mapa")</f>
        <v>🔗 Ver Mapa</v>
      </c>
    </row>
    <row r="11851" spans="1:12" ht="43.5" x14ac:dyDescent="0.35">
      <c r="A11851" s="5" t="s">
        <v>2019</v>
      </c>
      <c r="B11851" s="5" t="s">
        <v>2020</v>
      </c>
      <c r="C11851" s="5" t="s">
        <v>2241</v>
      </c>
      <c r="D11851" s="5" t="s">
        <v>76</v>
      </c>
      <c r="E11851" s="5" t="s">
        <v>90</v>
      </c>
      <c r="F11851" s="5" t="s">
        <v>678</v>
      </c>
      <c r="G11851" s="5" t="s">
        <v>1896</v>
      </c>
      <c r="H11851" s="5" t="s">
        <v>2242</v>
      </c>
      <c r="I11851" s="5" t="s">
        <v>31</v>
      </c>
      <c r="J11851" s="5">
        <v>17.243949000000001</v>
      </c>
      <c r="K11851" s="5">
        <v>-96.226721999999995</v>
      </c>
      <c r="L11851" s="5" t="str">
        <f>HYPERLINK("https://maps.google.com/?q=17.243949,-96.226722", "🔗 Ver Mapa")</f>
        <v>🔗 Ver Mapa</v>
      </c>
    </row>
    <row r="11852" spans="1:12" ht="43.5" x14ac:dyDescent="0.35">
      <c r="A11852" s="6" t="s">
        <v>2019</v>
      </c>
      <c r="B11852" s="6" t="s">
        <v>2020</v>
      </c>
      <c r="C11852" s="6" t="s">
        <v>2243</v>
      </c>
      <c r="D11852" s="6" t="s">
        <v>76</v>
      </c>
      <c r="E11852" s="6" t="s">
        <v>90</v>
      </c>
      <c r="F11852" s="6" t="s">
        <v>678</v>
      </c>
      <c r="G11852" s="6" t="s">
        <v>679</v>
      </c>
      <c r="H11852" s="6" t="s">
        <v>2244</v>
      </c>
      <c r="I11852" s="6" t="s">
        <v>31</v>
      </c>
      <c r="J11852" s="6">
        <v>17.225669038431999</v>
      </c>
      <c r="K11852" s="6">
        <v>-96.248273817300998</v>
      </c>
      <c r="L11852" s="6" t="str">
        <f>HYPERLINK("https://maps.google.com/?q=17.22566903843186,-96.2482738173008", "🔗 Ver Mapa")</f>
        <v>🔗 Ver Mapa</v>
      </c>
    </row>
    <row r="11853" spans="1:12" ht="43.5" x14ac:dyDescent="0.35">
      <c r="A11853" s="5" t="s">
        <v>2019</v>
      </c>
      <c r="B11853" s="5" t="s">
        <v>2020</v>
      </c>
      <c r="C11853" s="5" t="s">
        <v>2245</v>
      </c>
      <c r="D11853" s="5" t="s">
        <v>76</v>
      </c>
      <c r="E11853" s="5" t="s">
        <v>90</v>
      </c>
      <c r="F11853" s="5" t="s">
        <v>678</v>
      </c>
      <c r="G11853" s="5" t="s">
        <v>1916</v>
      </c>
      <c r="H11853" s="5" t="s">
        <v>2246</v>
      </c>
      <c r="I11853" s="5" t="s">
        <v>31</v>
      </c>
      <c r="J11853" s="5">
        <v>17.238466262698001</v>
      </c>
      <c r="K11853" s="5">
        <v>-96.240995665011994</v>
      </c>
      <c r="L11853" s="5" t="str">
        <f>HYPERLINK("https://maps.google.com/?q=17.238466262697887,-96.24099566501236", "🔗 Ver Mapa")</f>
        <v>🔗 Ver Mapa</v>
      </c>
    </row>
    <row r="11854" spans="1:12" ht="43.5" x14ac:dyDescent="0.35">
      <c r="A11854" s="6" t="s">
        <v>2019</v>
      </c>
      <c r="B11854" s="6" t="s">
        <v>2020</v>
      </c>
      <c r="C11854" s="6" t="s">
        <v>2247</v>
      </c>
      <c r="D11854" s="6" t="s">
        <v>76</v>
      </c>
      <c r="E11854" s="6" t="s">
        <v>90</v>
      </c>
      <c r="F11854" s="6" t="s">
        <v>678</v>
      </c>
      <c r="G11854" s="6" t="s">
        <v>992</v>
      </c>
      <c r="H11854" s="6" t="s">
        <v>2248</v>
      </c>
      <c r="I11854" s="6" t="s">
        <v>31</v>
      </c>
      <c r="J11854" s="6">
        <v>17.342904103774</v>
      </c>
      <c r="K11854" s="6">
        <v>-96.170875915343998</v>
      </c>
      <c r="L11854" s="6" t="str">
        <f>HYPERLINK("https://maps.google.com/?q=17.342904103774167,-96.17087591534424", "🔗 Ver Mapa")</f>
        <v>🔗 Ver Mapa</v>
      </c>
    </row>
    <row r="11855" spans="1:12" ht="29" x14ac:dyDescent="0.35">
      <c r="A11855" s="5" t="s">
        <v>2019</v>
      </c>
      <c r="B11855" s="5" t="s">
        <v>2020</v>
      </c>
      <c r="C11855" s="5" t="s">
        <v>2249</v>
      </c>
      <c r="D11855" s="5" t="s">
        <v>76</v>
      </c>
      <c r="E11855" s="5" t="s">
        <v>90</v>
      </c>
      <c r="F11855" s="5" t="s">
        <v>678</v>
      </c>
      <c r="G11855" s="5" t="s">
        <v>2250</v>
      </c>
      <c r="H11855" s="5" t="s">
        <v>2251</v>
      </c>
      <c r="I11855" s="5" t="s">
        <v>31</v>
      </c>
      <c r="J11855" s="5">
        <v>17.306368513765999</v>
      </c>
      <c r="K11855" s="5">
        <v>-96.205813100697995</v>
      </c>
      <c r="L11855" s="5" t="str">
        <f>HYPERLINK("https://maps.google.com/?q=17.306368513766326,-96.20581310069846", "🔗 Ver Mapa")</f>
        <v>🔗 Ver Mapa</v>
      </c>
    </row>
    <row r="11856" spans="1:12" ht="43.5" x14ac:dyDescent="0.35">
      <c r="A11856" s="6" t="s">
        <v>2019</v>
      </c>
      <c r="B11856" s="6" t="s">
        <v>2020</v>
      </c>
      <c r="C11856" s="6" t="s">
        <v>2252</v>
      </c>
      <c r="D11856" s="6" t="s">
        <v>76</v>
      </c>
      <c r="E11856" s="6" t="s">
        <v>90</v>
      </c>
      <c r="F11856" s="6" t="s">
        <v>91</v>
      </c>
      <c r="G11856" s="6" t="s">
        <v>1722</v>
      </c>
      <c r="H11856" s="6" t="s">
        <v>2253</v>
      </c>
      <c r="I11856" s="6" t="s">
        <v>31</v>
      </c>
      <c r="J11856" s="6">
        <v>17.022777999999999</v>
      </c>
      <c r="K11856" s="6">
        <v>-96.078333000000001</v>
      </c>
      <c r="L11856" s="6" t="str">
        <f>HYPERLINK("https://maps.google.com/?q=17.022778,-96.078333", "🔗 Ver Mapa")</f>
        <v>🔗 Ver Mapa</v>
      </c>
    </row>
    <row r="11857" spans="1:12" ht="43.5" x14ac:dyDescent="0.35">
      <c r="A11857" s="5" t="s">
        <v>2019</v>
      </c>
      <c r="B11857" s="5" t="s">
        <v>2020</v>
      </c>
      <c r="C11857" s="5" t="s">
        <v>2254</v>
      </c>
      <c r="D11857" s="5" t="s">
        <v>76</v>
      </c>
      <c r="E11857" s="5" t="s">
        <v>90</v>
      </c>
      <c r="F11857" s="5" t="s">
        <v>91</v>
      </c>
      <c r="G11857" s="5" t="s">
        <v>778</v>
      </c>
      <c r="H11857" s="5" t="s">
        <v>2255</v>
      </c>
      <c r="I11857" s="5" t="s">
        <v>31</v>
      </c>
      <c r="J11857" s="5">
        <v>17.140277999999999</v>
      </c>
      <c r="K11857" s="5">
        <v>-96.050278000000006</v>
      </c>
      <c r="L11857" s="5" t="str">
        <f>HYPERLINK("https://maps.google.com/?q=17.140278,-96.050278", "🔗 Ver Mapa")</f>
        <v>🔗 Ver Mapa</v>
      </c>
    </row>
    <row r="11858" spans="1:12" ht="29" x14ac:dyDescent="0.35">
      <c r="A11858" s="6" t="s">
        <v>2019</v>
      </c>
      <c r="B11858" s="6" t="s">
        <v>2020</v>
      </c>
      <c r="C11858" s="6" t="s">
        <v>2256</v>
      </c>
      <c r="D11858" s="6" t="s">
        <v>76</v>
      </c>
      <c r="E11858" s="6" t="s">
        <v>90</v>
      </c>
      <c r="F11858" s="6" t="s">
        <v>678</v>
      </c>
      <c r="G11858" s="6" t="s">
        <v>2257</v>
      </c>
      <c r="H11858" s="6" t="s">
        <v>2258</v>
      </c>
      <c r="I11858" s="6" t="s">
        <v>31</v>
      </c>
      <c r="J11858" s="6">
        <v>17.418413010718002</v>
      </c>
      <c r="K11858" s="6">
        <v>-96.248962760748</v>
      </c>
      <c r="L11858" s="6" t="str">
        <f>HYPERLINK("https://maps.google.com/?q=17.41841301071779,-96.2489627607479", "🔗 Ver Mapa")</f>
        <v>🔗 Ver Mapa</v>
      </c>
    </row>
    <row r="11859" spans="1:12" ht="43.5" x14ac:dyDescent="0.35">
      <c r="A11859" s="5" t="s">
        <v>2019</v>
      </c>
      <c r="B11859" s="5" t="s">
        <v>2020</v>
      </c>
      <c r="C11859" s="5" t="s">
        <v>2259</v>
      </c>
      <c r="D11859" s="5" t="s">
        <v>76</v>
      </c>
      <c r="E11859" s="5" t="s">
        <v>17</v>
      </c>
      <c r="F11859" s="5" t="s">
        <v>59</v>
      </c>
      <c r="G11859" s="5" t="s">
        <v>1961</v>
      </c>
      <c r="H11859" s="5" t="s">
        <v>2056</v>
      </c>
      <c r="I11859" s="5" t="s">
        <v>31</v>
      </c>
      <c r="J11859" s="5">
        <v>16.535163276789</v>
      </c>
      <c r="K11859" s="5">
        <v>-98.176516187662003</v>
      </c>
      <c r="L11859" s="5" t="str">
        <f>HYPERLINK("https://maps.google.com/?q=16.535163276789206,-98.17651618766213", "🔗 Ver Mapa")</f>
        <v>🔗 Ver Mapa</v>
      </c>
    </row>
    <row r="11860" spans="1:12" ht="29" x14ac:dyDescent="0.35">
      <c r="A11860" s="6" t="s">
        <v>2019</v>
      </c>
      <c r="B11860" s="6" t="s">
        <v>2020</v>
      </c>
      <c r="C11860" s="6" t="s">
        <v>2260</v>
      </c>
      <c r="D11860" s="6" t="s">
        <v>76</v>
      </c>
      <c r="E11860" s="6" t="s">
        <v>16</v>
      </c>
      <c r="F11860" s="6" t="s">
        <v>409</v>
      </c>
      <c r="G11860" s="6" t="s">
        <v>2261</v>
      </c>
      <c r="H11860" s="6" t="s">
        <v>2262</v>
      </c>
      <c r="I11860" s="6" t="s">
        <v>31</v>
      </c>
      <c r="J11860" s="6">
        <v>17.833414431832001</v>
      </c>
      <c r="K11860" s="6">
        <v>-97.438794986439007</v>
      </c>
      <c r="L11860" s="6" t="str">
        <f>HYPERLINK("https://maps.google.com/?q=17.833414431832114,-97.43879498643874", "🔗 Ver Mapa")</f>
        <v>🔗 Ver Mapa</v>
      </c>
    </row>
    <row r="11861" spans="1:12" ht="43.5" x14ac:dyDescent="0.35">
      <c r="A11861" s="5" t="s">
        <v>2019</v>
      </c>
      <c r="B11861" s="5" t="s">
        <v>2020</v>
      </c>
      <c r="C11861" s="5" t="s">
        <v>2263</v>
      </c>
      <c r="D11861" s="5" t="s">
        <v>76</v>
      </c>
      <c r="E11861" s="5" t="s">
        <v>110</v>
      </c>
      <c r="F11861" s="5" t="s">
        <v>111</v>
      </c>
      <c r="G11861" s="5" t="s">
        <v>1001</v>
      </c>
      <c r="H11861" s="5" t="s">
        <v>2264</v>
      </c>
      <c r="I11861" s="5" t="s">
        <v>31</v>
      </c>
      <c r="J11861" s="5">
        <v>18.030076519428999</v>
      </c>
      <c r="K11861" s="5">
        <v>-96.670233526285003</v>
      </c>
      <c r="L11861" s="5" t="str">
        <f>HYPERLINK("https://maps.google.com/?q=18.030076519428896,-96.67023352628517", "🔗 Ver Mapa")</f>
        <v>🔗 Ver Mapa</v>
      </c>
    </row>
    <row r="11862" spans="1:12" ht="43.5" x14ac:dyDescent="0.35">
      <c r="A11862" s="6" t="s">
        <v>2019</v>
      </c>
      <c r="B11862" s="6" t="s">
        <v>2020</v>
      </c>
      <c r="C11862" s="6" t="s">
        <v>2265</v>
      </c>
      <c r="D11862" s="6" t="s">
        <v>76</v>
      </c>
      <c r="E11862" s="6" t="s">
        <v>52</v>
      </c>
      <c r="F11862" s="6" t="s">
        <v>443</v>
      </c>
      <c r="G11862" s="6" t="s">
        <v>2266</v>
      </c>
      <c r="H11862" s="6" t="s">
        <v>2267</v>
      </c>
      <c r="I11862" s="6" t="s">
        <v>31</v>
      </c>
      <c r="J11862" s="6">
        <v>16.880579099744999</v>
      </c>
      <c r="K11862" s="6">
        <v>-96.740571484621</v>
      </c>
      <c r="L11862" s="6" t="str">
        <f>HYPERLINK("https://maps.google.com/?q=16.880579099744924,-96.74057148462106", "🔗 Ver Mapa")</f>
        <v>🔗 Ver Mapa</v>
      </c>
    </row>
    <row r="11863" spans="1:12" ht="43.5" x14ac:dyDescent="0.35">
      <c r="A11863" s="5" t="s">
        <v>2019</v>
      </c>
      <c r="B11863" s="5" t="s">
        <v>2020</v>
      </c>
      <c r="C11863" s="5" t="s">
        <v>2268</v>
      </c>
      <c r="D11863" s="5" t="s">
        <v>76</v>
      </c>
      <c r="E11863" s="5" t="s">
        <v>158</v>
      </c>
      <c r="F11863" s="5" t="s">
        <v>166</v>
      </c>
      <c r="G11863" s="5" t="s">
        <v>1847</v>
      </c>
      <c r="H11863" s="5" t="s">
        <v>2269</v>
      </c>
      <c r="I11863" s="5" t="s">
        <v>31</v>
      </c>
      <c r="J11863" s="5">
        <v>16.489669512129002</v>
      </c>
      <c r="K11863" s="5">
        <v>-95.159643266201002</v>
      </c>
      <c r="L11863" s="5" t="str">
        <f>HYPERLINK("https://maps.google.com/?q=16.489669512128547,-95.159643266201", "🔗 Ver Mapa")</f>
        <v>🔗 Ver Mapa</v>
      </c>
    </row>
    <row r="11864" spans="1:12" ht="43.5" x14ac:dyDescent="0.35">
      <c r="A11864" s="6" t="s">
        <v>2019</v>
      </c>
      <c r="B11864" s="6" t="s">
        <v>2020</v>
      </c>
      <c r="C11864" s="6" t="s">
        <v>2270</v>
      </c>
      <c r="D11864" s="6" t="s">
        <v>76</v>
      </c>
      <c r="E11864" s="6" t="s">
        <v>52</v>
      </c>
      <c r="F11864" s="6" t="s">
        <v>83</v>
      </c>
      <c r="G11864" s="6" t="s">
        <v>1668</v>
      </c>
      <c r="H11864" s="6" t="s">
        <v>2271</v>
      </c>
      <c r="I11864" s="6" t="s">
        <v>31</v>
      </c>
      <c r="J11864" s="6">
        <v>17.273032843869998</v>
      </c>
      <c r="K11864" s="6">
        <v>-96.799375603670001</v>
      </c>
      <c r="L11864" s="6" t="str">
        <f>HYPERLINK("https://maps.google.com/?q=17.273032843869945,-96.79937560367011", "🔗 Ver Mapa")</f>
        <v>🔗 Ver Mapa</v>
      </c>
    </row>
    <row r="11865" spans="1:12" ht="43.5" x14ac:dyDescent="0.35">
      <c r="A11865" s="5" t="s">
        <v>2019</v>
      </c>
      <c r="B11865" s="5" t="s">
        <v>2020</v>
      </c>
      <c r="C11865" s="5" t="s">
        <v>2272</v>
      </c>
      <c r="D11865" s="5" t="s">
        <v>76</v>
      </c>
      <c r="E11865" s="5" t="s">
        <v>17</v>
      </c>
      <c r="F11865" s="5" t="s">
        <v>59</v>
      </c>
      <c r="G11865" s="5" t="s">
        <v>266</v>
      </c>
      <c r="H11865" s="5" t="s">
        <v>2273</v>
      </c>
      <c r="I11865" s="5" t="s">
        <v>31</v>
      </c>
      <c r="J11865" s="5">
        <v>16.511872799967001</v>
      </c>
      <c r="K11865" s="5">
        <v>-98.343533215939004</v>
      </c>
      <c r="L11865" s="5" t="str">
        <f>HYPERLINK("https://maps.google.com/?q=16.5118727999673,-98.34353321593858", "🔗 Ver Mapa")</f>
        <v>🔗 Ver Mapa</v>
      </c>
    </row>
    <row r="11866" spans="1:12" ht="29" x14ac:dyDescent="0.35">
      <c r="A11866" s="6" t="s">
        <v>2019</v>
      </c>
      <c r="B11866" s="6" t="s">
        <v>2020</v>
      </c>
      <c r="C11866" s="6" t="s">
        <v>2274</v>
      </c>
      <c r="D11866" s="6" t="s">
        <v>76</v>
      </c>
      <c r="E11866" s="6" t="s">
        <v>52</v>
      </c>
      <c r="F11866" s="6" t="s">
        <v>443</v>
      </c>
      <c r="G11866" s="6" t="s">
        <v>2275</v>
      </c>
      <c r="H11866" s="6" t="s">
        <v>2276</v>
      </c>
      <c r="I11866" s="6" t="s">
        <v>31</v>
      </c>
      <c r="J11866" s="6">
        <v>16.683696999999999</v>
      </c>
      <c r="K11866" s="6">
        <v>-96.840029000000001</v>
      </c>
      <c r="L11866" s="6" t="str">
        <f>HYPERLINK("https://maps.google.com/?q=16.683697,-96.840029", "🔗 Ver Mapa")</f>
        <v>🔗 Ver Mapa</v>
      </c>
    </row>
    <row r="11867" spans="1:12" ht="43.5" x14ac:dyDescent="0.35">
      <c r="A11867" s="5" t="s">
        <v>2019</v>
      </c>
      <c r="B11867" s="5" t="s">
        <v>2020</v>
      </c>
      <c r="C11867" s="5" t="s">
        <v>2277</v>
      </c>
      <c r="D11867" s="5" t="s">
        <v>76</v>
      </c>
      <c r="E11867" s="5" t="s">
        <v>52</v>
      </c>
      <c r="F11867" s="5" t="s">
        <v>53</v>
      </c>
      <c r="G11867" s="5" t="s">
        <v>2278</v>
      </c>
      <c r="H11867" s="5" t="s">
        <v>2279</v>
      </c>
      <c r="I11867" s="5" t="s">
        <v>31</v>
      </c>
      <c r="J11867" s="5">
        <v>16.985386279553001</v>
      </c>
      <c r="K11867" s="5">
        <v>-96.472049947255996</v>
      </c>
      <c r="L11867" s="5" t="str">
        <f>HYPERLINK("https://maps.google.com/?q=16.985386279553477,-96.47204994725608", "🔗 Ver Mapa")</f>
        <v>🔗 Ver Mapa</v>
      </c>
    </row>
    <row r="11868" spans="1:12" ht="43.5" x14ac:dyDescent="0.35">
      <c r="A11868" s="6" t="s">
        <v>2019</v>
      </c>
      <c r="B11868" s="6" t="s">
        <v>2020</v>
      </c>
      <c r="C11868" s="6" t="s">
        <v>2280</v>
      </c>
      <c r="D11868" s="6" t="s">
        <v>76</v>
      </c>
      <c r="E11868" s="6" t="s">
        <v>39</v>
      </c>
      <c r="F11868" s="6" t="s">
        <v>494</v>
      </c>
      <c r="G11868" s="6" t="s">
        <v>1478</v>
      </c>
      <c r="H11868" s="6" t="s">
        <v>2281</v>
      </c>
      <c r="I11868" s="6" t="s">
        <v>31</v>
      </c>
      <c r="J11868" s="6">
        <v>16.520125723911001</v>
      </c>
      <c r="K11868" s="6">
        <v>-97.385651218419994</v>
      </c>
      <c r="L11868" s="6" t="str">
        <f>HYPERLINK("https://maps.google.com/?q=16.52012572391113,-97.38565121842002", "🔗 Ver Mapa")</f>
        <v>🔗 Ver Mapa</v>
      </c>
    </row>
    <row r="11869" spans="1:12" ht="43.5" x14ac:dyDescent="0.35">
      <c r="A11869" s="5" t="s">
        <v>2019</v>
      </c>
      <c r="B11869" s="5" t="s">
        <v>2020</v>
      </c>
      <c r="C11869" s="5" t="s">
        <v>2282</v>
      </c>
      <c r="D11869" s="5" t="s">
        <v>76</v>
      </c>
      <c r="E11869" s="5" t="s">
        <v>158</v>
      </c>
      <c r="F11869" s="5" t="s">
        <v>159</v>
      </c>
      <c r="G11869" s="5" t="s">
        <v>1012</v>
      </c>
      <c r="H11869" s="5" t="s">
        <v>2283</v>
      </c>
      <c r="I11869" s="5" t="s">
        <v>31</v>
      </c>
      <c r="J11869" s="5">
        <v>16.338022845506</v>
      </c>
      <c r="K11869" s="5">
        <v>-94.513029177909999</v>
      </c>
      <c r="L11869" s="5" t="str">
        <f>HYPERLINK("https://maps.google.com/?q=16.338022845505837,-94.51302917790986", "🔗 Ver Mapa")</f>
        <v>🔗 Ver Mapa</v>
      </c>
    </row>
    <row r="11870" spans="1:12" ht="43.5" x14ac:dyDescent="0.35">
      <c r="A11870" s="6" t="s">
        <v>2019</v>
      </c>
      <c r="B11870" s="6" t="s">
        <v>2020</v>
      </c>
      <c r="C11870" s="6" t="s">
        <v>2284</v>
      </c>
      <c r="D11870" s="6" t="s">
        <v>76</v>
      </c>
      <c r="E11870" s="6" t="s">
        <v>39</v>
      </c>
      <c r="F11870" s="6" t="s">
        <v>353</v>
      </c>
      <c r="G11870" s="6" t="s">
        <v>943</v>
      </c>
      <c r="H11870" s="6" t="s">
        <v>2285</v>
      </c>
      <c r="I11870" s="6" t="s">
        <v>31</v>
      </c>
      <c r="J11870" s="6">
        <v>16.216703210045001</v>
      </c>
      <c r="K11870" s="6">
        <v>-96.506255839286993</v>
      </c>
      <c r="L11870" s="6" t="str">
        <f>HYPERLINK("https://maps.google.com/?q=16.21670321004508,-96.50625583928681", "🔗 Ver Mapa")</f>
        <v>🔗 Ver Mapa</v>
      </c>
    </row>
    <row r="11871" spans="1:12" ht="43.5" x14ac:dyDescent="0.35">
      <c r="A11871" s="5" t="s">
        <v>2019</v>
      </c>
      <c r="B11871" s="5" t="s">
        <v>2020</v>
      </c>
      <c r="C11871" s="5" t="s">
        <v>2286</v>
      </c>
      <c r="D11871" s="5" t="s">
        <v>76</v>
      </c>
      <c r="E11871" s="5" t="s">
        <v>39</v>
      </c>
      <c r="F11871" s="5" t="s">
        <v>133</v>
      </c>
      <c r="G11871" s="5" t="s">
        <v>357</v>
      </c>
      <c r="H11871" s="5" t="s">
        <v>2287</v>
      </c>
      <c r="I11871" s="5" t="s">
        <v>31</v>
      </c>
      <c r="J11871" s="5">
        <v>16.610096794895998</v>
      </c>
      <c r="K11871" s="5">
        <v>-95.981976795140994</v>
      </c>
      <c r="L11871" s="5" t="str">
        <f>HYPERLINK("https://maps.google.com/?q=16.61009679489614,-95.98197679514122", "🔗 Ver Mapa")</f>
        <v>🔗 Ver Mapa</v>
      </c>
    </row>
    <row r="11872" spans="1:12" ht="43.5" x14ac:dyDescent="0.35">
      <c r="A11872" s="6" t="s">
        <v>2019</v>
      </c>
      <c r="B11872" s="6" t="s">
        <v>2020</v>
      </c>
      <c r="C11872" s="6" t="s">
        <v>2288</v>
      </c>
      <c r="D11872" s="6" t="s">
        <v>76</v>
      </c>
      <c r="E11872" s="6" t="s">
        <v>110</v>
      </c>
      <c r="F11872" s="6" t="s">
        <v>111</v>
      </c>
      <c r="G11872" s="6" t="s">
        <v>1885</v>
      </c>
      <c r="H11872" s="6" t="s">
        <v>2289</v>
      </c>
      <c r="I11872" s="6" t="s">
        <v>31</v>
      </c>
      <c r="J11872" s="6">
        <v>18.177778</v>
      </c>
      <c r="K11872" s="6">
        <v>-96.881111000000004</v>
      </c>
      <c r="L11872" s="6" t="str">
        <f>HYPERLINK("https://maps.google.com/?q=18.177778,-96.881111", "🔗 Ver Mapa")</f>
        <v>🔗 Ver Mapa</v>
      </c>
    </row>
    <row r="11873" spans="1:12" ht="43.5" x14ac:dyDescent="0.35">
      <c r="A11873" s="5" t="s">
        <v>2019</v>
      </c>
      <c r="B11873" s="5" t="s">
        <v>2020</v>
      </c>
      <c r="C11873" s="5" t="s">
        <v>2290</v>
      </c>
      <c r="D11873" s="5" t="s">
        <v>76</v>
      </c>
      <c r="E11873" s="5" t="s">
        <v>110</v>
      </c>
      <c r="F11873" s="5" t="s">
        <v>111</v>
      </c>
      <c r="G11873" s="5" t="s">
        <v>1133</v>
      </c>
      <c r="H11873" s="5" t="s">
        <v>2291</v>
      </c>
      <c r="I11873" s="5" t="s">
        <v>31</v>
      </c>
      <c r="J11873" s="5">
        <v>18.042749946556999</v>
      </c>
      <c r="K11873" s="5">
        <v>-96.769671987766003</v>
      </c>
      <c r="L11873" s="5" t="str">
        <f>HYPERLINK("https://maps.google.com/?q=18.042749946556754,-96.76967198776624", "🔗 Ver Mapa")</f>
        <v>🔗 Ver Mapa</v>
      </c>
    </row>
    <row r="11874" spans="1:12" ht="43.5" x14ac:dyDescent="0.35">
      <c r="A11874" s="6" t="s">
        <v>2019</v>
      </c>
      <c r="B11874" s="6" t="s">
        <v>2020</v>
      </c>
      <c r="C11874" s="6" t="s">
        <v>2292</v>
      </c>
      <c r="D11874" s="6" t="s">
        <v>76</v>
      </c>
      <c r="E11874" s="6" t="s">
        <v>110</v>
      </c>
      <c r="F11874" s="6" t="s">
        <v>126</v>
      </c>
      <c r="G11874" s="6" t="s">
        <v>894</v>
      </c>
      <c r="H11874" s="6" t="s">
        <v>2293</v>
      </c>
      <c r="I11874" s="6" t="s">
        <v>31</v>
      </c>
      <c r="J11874" s="6">
        <v>17.999811282751001</v>
      </c>
      <c r="K11874" s="6">
        <v>-96.755951024294006</v>
      </c>
      <c r="L11874" s="6" t="str">
        <f>HYPERLINK("https://maps.google.com/?q=17.999811282750855,-96.7559510242939", "🔗 Ver Mapa")</f>
        <v>🔗 Ver Mapa</v>
      </c>
    </row>
    <row r="11875" spans="1:12" ht="43.5" x14ac:dyDescent="0.35">
      <c r="A11875" s="5" t="s">
        <v>2019</v>
      </c>
      <c r="B11875" s="5" t="s">
        <v>2020</v>
      </c>
      <c r="C11875" s="5" t="s">
        <v>2294</v>
      </c>
      <c r="D11875" s="5" t="s">
        <v>76</v>
      </c>
      <c r="E11875" s="5" t="s">
        <v>90</v>
      </c>
      <c r="F11875" s="5" t="s">
        <v>678</v>
      </c>
      <c r="G11875" s="5" t="s">
        <v>1481</v>
      </c>
      <c r="H11875" s="5" t="s">
        <v>2295</v>
      </c>
      <c r="I11875" s="5" t="s">
        <v>31</v>
      </c>
      <c r="J11875" s="5">
        <v>17.358964521367</v>
      </c>
      <c r="K11875" s="5">
        <v>-96.294371797623</v>
      </c>
      <c r="L11875" s="5" t="str">
        <f>HYPERLINK("https://maps.google.com/?q=17.3589645213671,-96.29437179762267", "🔗 Ver Mapa")</f>
        <v>🔗 Ver Mapa</v>
      </c>
    </row>
    <row r="11876" spans="1:12" ht="29" x14ac:dyDescent="0.35">
      <c r="A11876" s="6" t="s">
        <v>2019</v>
      </c>
      <c r="B11876" s="6" t="s">
        <v>2020</v>
      </c>
      <c r="C11876" s="6" t="s">
        <v>2296</v>
      </c>
      <c r="D11876" s="6" t="s">
        <v>76</v>
      </c>
      <c r="E11876" s="6" t="s">
        <v>90</v>
      </c>
      <c r="F11876" s="6" t="s">
        <v>678</v>
      </c>
      <c r="G11876" s="6" t="s">
        <v>1123</v>
      </c>
      <c r="H11876" s="6" t="s">
        <v>2297</v>
      </c>
      <c r="I11876" s="6" t="s">
        <v>31</v>
      </c>
      <c r="J11876" s="6">
        <v>17.433716267611</v>
      </c>
      <c r="K11876" s="6">
        <v>-96.280897938484003</v>
      </c>
      <c r="L11876" s="6" t="str">
        <f>HYPERLINK("https://maps.google.com/?q=17.433716267610734,-96.28089793848417", "🔗 Ver Mapa")</f>
        <v>🔗 Ver Mapa</v>
      </c>
    </row>
    <row r="11877" spans="1:12" ht="43.5" x14ac:dyDescent="0.35">
      <c r="A11877" s="5" t="s">
        <v>2019</v>
      </c>
      <c r="B11877" s="5" t="s">
        <v>2020</v>
      </c>
      <c r="C11877" s="5" t="s">
        <v>2298</v>
      </c>
      <c r="D11877" s="5" t="s">
        <v>76</v>
      </c>
      <c r="E11877" s="5" t="s">
        <v>17</v>
      </c>
      <c r="F11877" s="5" t="s">
        <v>59</v>
      </c>
      <c r="G11877" s="5" t="s">
        <v>1306</v>
      </c>
      <c r="H11877" s="5" t="s">
        <v>2299</v>
      </c>
      <c r="I11877" s="5" t="s">
        <v>31</v>
      </c>
      <c r="J11877" s="5">
        <v>16.541667</v>
      </c>
      <c r="K11877" s="5">
        <v>-98.069721999999999</v>
      </c>
      <c r="L11877" s="5" t="str">
        <f>HYPERLINK("https://maps.google.com/?q=16.541667,-98.069722", "🔗 Ver Mapa")</f>
        <v>🔗 Ver Mapa</v>
      </c>
    </row>
    <row r="11878" spans="1:12" ht="43.5" x14ac:dyDescent="0.35">
      <c r="A11878" s="6" t="s">
        <v>2019</v>
      </c>
      <c r="B11878" s="6" t="s">
        <v>2020</v>
      </c>
      <c r="C11878" s="6" t="s">
        <v>2300</v>
      </c>
      <c r="D11878" s="6" t="s">
        <v>76</v>
      </c>
      <c r="E11878" s="6" t="s">
        <v>110</v>
      </c>
      <c r="F11878" s="6" t="s">
        <v>126</v>
      </c>
      <c r="G11878" s="6" t="s">
        <v>2301</v>
      </c>
      <c r="H11878" s="6" t="s">
        <v>2302</v>
      </c>
      <c r="I11878" s="6" t="s">
        <v>31</v>
      </c>
      <c r="J11878" s="6">
        <v>17.712798440440999</v>
      </c>
      <c r="K11878" s="6">
        <v>-97.066300095735997</v>
      </c>
      <c r="L11878" s="6" t="str">
        <f>HYPERLINK("https://maps.google.com/?q=17.7127984404411,-97.06630009573557", "🔗 Ver Mapa")</f>
        <v>🔗 Ver Mapa</v>
      </c>
    </row>
    <row r="11879" spans="1:12" ht="43.5" x14ac:dyDescent="0.35">
      <c r="A11879" s="5" t="s">
        <v>2019</v>
      </c>
      <c r="B11879" s="5" t="s">
        <v>2020</v>
      </c>
      <c r="C11879" s="5" t="s">
        <v>2303</v>
      </c>
      <c r="D11879" s="5" t="s">
        <v>76</v>
      </c>
      <c r="E11879" s="5" t="s">
        <v>17</v>
      </c>
      <c r="F11879" s="5" t="s">
        <v>20</v>
      </c>
      <c r="G11879" s="5" t="s">
        <v>2304</v>
      </c>
      <c r="H11879" s="5" t="s">
        <v>2305</v>
      </c>
      <c r="I11879" s="5" t="s">
        <v>31</v>
      </c>
      <c r="J11879" s="5">
        <v>15.790802484406001</v>
      </c>
      <c r="K11879" s="5">
        <v>-96.592681049109004</v>
      </c>
      <c r="L11879" s="5" t="str">
        <f>HYPERLINK("https://maps.google.com/?q=15.790802484406353,-96.5926810491085", "🔗 Ver Mapa")</f>
        <v>🔗 Ver Mapa</v>
      </c>
    </row>
    <row r="11880" spans="1:12" ht="43.5" x14ac:dyDescent="0.35">
      <c r="A11880" s="6" t="s">
        <v>2019</v>
      </c>
      <c r="B11880" s="6" t="s">
        <v>2020</v>
      </c>
      <c r="C11880" s="6" t="s">
        <v>2306</v>
      </c>
      <c r="D11880" s="6" t="s">
        <v>76</v>
      </c>
      <c r="E11880" s="6" t="s">
        <v>158</v>
      </c>
      <c r="F11880" s="6" t="s">
        <v>166</v>
      </c>
      <c r="G11880" s="6" t="s">
        <v>2307</v>
      </c>
      <c r="H11880" s="6" t="s">
        <v>2308</v>
      </c>
      <c r="I11880" s="6" t="s">
        <v>31</v>
      </c>
      <c r="J11880" s="6">
        <v>16.602840974405002</v>
      </c>
      <c r="K11880" s="6">
        <v>-95.624770671128999</v>
      </c>
      <c r="L11880" s="6" t="str">
        <f>HYPERLINK("https://maps.google.com/?q=16.60284097440484,-95.62477067112923", "🔗 Ver Mapa")</f>
        <v>🔗 Ver Mapa</v>
      </c>
    </row>
    <row r="11881" spans="1:12" ht="43.5" x14ac:dyDescent="0.35">
      <c r="A11881" s="5" t="s">
        <v>2019</v>
      </c>
      <c r="B11881" s="5" t="s">
        <v>2020</v>
      </c>
      <c r="C11881" s="5" t="s">
        <v>2309</v>
      </c>
      <c r="D11881" s="5" t="s">
        <v>76</v>
      </c>
      <c r="E11881" s="5" t="s">
        <v>16</v>
      </c>
      <c r="F11881" s="5" t="s">
        <v>19</v>
      </c>
      <c r="G11881" s="5" t="s">
        <v>2310</v>
      </c>
      <c r="H11881" s="5" t="s">
        <v>2311</v>
      </c>
      <c r="I11881" s="5" t="s">
        <v>31</v>
      </c>
      <c r="J11881" s="5">
        <v>17.421499665224999</v>
      </c>
      <c r="K11881" s="5">
        <v>-97.297729887241005</v>
      </c>
      <c r="L11881" s="5" t="str">
        <f>HYPERLINK("https://maps.google.com/?q=17.421499665224914,-97.29772988724136", "🔗 Ver Mapa")</f>
        <v>🔗 Ver Mapa</v>
      </c>
    </row>
    <row r="11882" spans="1:12" ht="29" x14ac:dyDescent="0.35">
      <c r="A11882" s="6" t="s">
        <v>2019</v>
      </c>
      <c r="B11882" s="6" t="s">
        <v>2020</v>
      </c>
      <c r="C11882" s="6" t="s">
        <v>2312</v>
      </c>
      <c r="D11882" s="6" t="s">
        <v>76</v>
      </c>
      <c r="E11882" s="6" t="s">
        <v>16</v>
      </c>
      <c r="F11882" s="6" t="s">
        <v>19</v>
      </c>
      <c r="G11882" s="6" t="s">
        <v>1049</v>
      </c>
      <c r="H11882" s="6" t="s">
        <v>2313</v>
      </c>
      <c r="I11882" s="6" t="s">
        <v>31</v>
      </c>
      <c r="J11882" s="6">
        <v>17.281426136337</v>
      </c>
      <c r="K11882" s="6">
        <v>-97.374878909226993</v>
      </c>
      <c r="L11882" s="6" t="str">
        <f>HYPERLINK("https://maps.google.com/?q=17.281426136337387,-97.37487890922738", "🔗 Ver Mapa")</f>
        <v>🔗 Ver Mapa</v>
      </c>
    </row>
    <row r="11883" spans="1:12" ht="43.5" x14ac:dyDescent="0.35">
      <c r="A11883" s="5" t="s">
        <v>2019</v>
      </c>
      <c r="B11883" s="5" t="s">
        <v>2020</v>
      </c>
      <c r="C11883" s="5" t="s">
        <v>2314</v>
      </c>
      <c r="D11883" s="5" t="s">
        <v>76</v>
      </c>
      <c r="E11883" s="5" t="s">
        <v>16</v>
      </c>
      <c r="F11883" s="5" t="s">
        <v>19</v>
      </c>
      <c r="G11883" s="5" t="s">
        <v>2315</v>
      </c>
      <c r="H11883" s="5" t="s">
        <v>2316</v>
      </c>
      <c r="I11883" s="5" t="s">
        <v>31</v>
      </c>
      <c r="J11883" s="5">
        <v>17.453443025111</v>
      </c>
      <c r="K11883" s="5">
        <v>-97.285382214785002</v>
      </c>
      <c r="L11883" s="5" t="str">
        <f>HYPERLINK("https://maps.google.com/?q=17.453443025111177,-97.28538221478462", "🔗 Ver Mapa")</f>
        <v>🔗 Ver Mapa</v>
      </c>
    </row>
    <row r="11884" spans="1:12" ht="29" x14ac:dyDescent="0.35">
      <c r="A11884" s="6" t="s">
        <v>2019</v>
      </c>
      <c r="B11884" s="6" t="s">
        <v>2020</v>
      </c>
      <c r="C11884" s="6" t="s">
        <v>2317</v>
      </c>
      <c r="D11884" s="6" t="s">
        <v>76</v>
      </c>
      <c r="E11884" s="6" t="s">
        <v>16</v>
      </c>
      <c r="F11884" s="6" t="s">
        <v>19</v>
      </c>
      <c r="G11884" s="6" t="s">
        <v>2318</v>
      </c>
      <c r="H11884" s="6" t="s">
        <v>2319</v>
      </c>
      <c r="I11884" s="6" t="s">
        <v>31</v>
      </c>
      <c r="J11884" s="6">
        <v>17.505351298705001</v>
      </c>
      <c r="K11884" s="6">
        <v>-97.269790787697005</v>
      </c>
      <c r="L11884" s="6" t="str">
        <f>HYPERLINK("https://maps.google.com/?q=17.505351298704763,-97.26979078769682", "🔗 Ver Mapa")</f>
        <v>🔗 Ver Mapa</v>
      </c>
    </row>
    <row r="11885" spans="1:12" ht="43.5" x14ac:dyDescent="0.35">
      <c r="A11885" s="5" t="s">
        <v>2019</v>
      </c>
      <c r="B11885" s="5" t="s">
        <v>2020</v>
      </c>
      <c r="C11885" s="5" t="s">
        <v>2320</v>
      </c>
      <c r="D11885" s="5" t="s">
        <v>76</v>
      </c>
      <c r="E11885" s="5" t="s">
        <v>16</v>
      </c>
      <c r="F11885" s="5" t="s">
        <v>145</v>
      </c>
      <c r="G11885" s="5" t="s">
        <v>2321</v>
      </c>
      <c r="H11885" s="5" t="s">
        <v>2322</v>
      </c>
      <c r="I11885" s="5" t="s">
        <v>31</v>
      </c>
      <c r="J11885" s="5">
        <v>18.068576188224998</v>
      </c>
      <c r="K11885" s="5">
        <v>-97.602135219573995</v>
      </c>
      <c r="L11885" s="5" t="str">
        <f>HYPERLINK("https://maps.google.com/?q=18.06857618822496,-97.60213521957398", "🔗 Ver Mapa")</f>
        <v>🔗 Ver Mapa</v>
      </c>
    </row>
    <row r="11886" spans="1:12" ht="43.5" x14ac:dyDescent="0.35">
      <c r="A11886" s="6" t="s">
        <v>2019</v>
      </c>
      <c r="B11886" s="6" t="s">
        <v>2020</v>
      </c>
      <c r="C11886" s="6" t="s">
        <v>2323</v>
      </c>
      <c r="D11886" s="6" t="s">
        <v>76</v>
      </c>
      <c r="E11886" s="6" t="s">
        <v>16</v>
      </c>
      <c r="F11886" s="6" t="s">
        <v>145</v>
      </c>
      <c r="G11886" s="6" t="s">
        <v>2324</v>
      </c>
      <c r="H11886" s="6" t="s">
        <v>2325</v>
      </c>
      <c r="I11886" s="6" t="s">
        <v>31</v>
      </c>
      <c r="J11886" s="6">
        <v>18.282715685608</v>
      </c>
      <c r="K11886" s="6">
        <v>-97.796918344912996</v>
      </c>
      <c r="L11886" s="6" t="str">
        <f>HYPERLINK("https://maps.google.com/?q=18.282715685608096,-97.79691834491348", "🔗 Ver Mapa")</f>
        <v>🔗 Ver Mapa</v>
      </c>
    </row>
    <row r="11887" spans="1:12" ht="43.5" x14ac:dyDescent="0.35">
      <c r="A11887" s="5" t="s">
        <v>2019</v>
      </c>
      <c r="B11887" s="5" t="s">
        <v>2020</v>
      </c>
      <c r="C11887" s="5" t="s">
        <v>2326</v>
      </c>
      <c r="D11887" s="5" t="s">
        <v>76</v>
      </c>
      <c r="E11887" s="5" t="s">
        <v>16</v>
      </c>
      <c r="F11887" s="5" t="s">
        <v>409</v>
      </c>
      <c r="G11887" s="5" t="s">
        <v>2327</v>
      </c>
      <c r="H11887" s="5" t="s">
        <v>2328</v>
      </c>
      <c r="I11887" s="5" t="s">
        <v>31</v>
      </c>
      <c r="J11887" s="5">
        <v>17.842335318450999</v>
      </c>
      <c r="K11887" s="5">
        <v>-97.426575804893005</v>
      </c>
      <c r="L11887" s="5" t="str">
        <f>HYPERLINK("https://maps.google.com/?q=17.842335318450537,-97.42657580489349", "🔗 Ver Mapa")</f>
        <v>🔗 Ver Mapa</v>
      </c>
    </row>
    <row r="11888" spans="1:12" ht="43.5" x14ac:dyDescent="0.35">
      <c r="A11888" s="6" t="s">
        <v>2019</v>
      </c>
      <c r="B11888" s="6" t="s">
        <v>2020</v>
      </c>
      <c r="C11888" s="6" t="s">
        <v>2329</v>
      </c>
      <c r="D11888" s="6" t="s">
        <v>76</v>
      </c>
      <c r="E11888" s="6" t="s">
        <v>140</v>
      </c>
      <c r="F11888" s="6" t="s">
        <v>141</v>
      </c>
      <c r="G11888" s="6" t="s">
        <v>1152</v>
      </c>
      <c r="H11888" s="6" t="s">
        <v>2330</v>
      </c>
      <c r="I11888" s="6" t="s">
        <v>31</v>
      </c>
      <c r="J11888" s="6">
        <v>18.127281754060999</v>
      </c>
      <c r="K11888" s="6">
        <v>-96.486140112932006</v>
      </c>
      <c r="L11888" s="6" t="str">
        <f>HYPERLINK("https://maps.google.com/?q=18.127281754061173,-96.4861401129322", "🔗 Ver Mapa")</f>
        <v>🔗 Ver Mapa</v>
      </c>
    </row>
    <row r="11889" spans="1:12" ht="43.5" x14ac:dyDescent="0.35">
      <c r="A11889" s="5" t="s">
        <v>2019</v>
      </c>
      <c r="B11889" s="5" t="s">
        <v>2020</v>
      </c>
      <c r="C11889" s="5" t="s">
        <v>2331</v>
      </c>
      <c r="D11889" s="5" t="s">
        <v>76</v>
      </c>
      <c r="E11889" s="5" t="s">
        <v>39</v>
      </c>
      <c r="F11889" s="5" t="s">
        <v>353</v>
      </c>
      <c r="G11889" s="5" t="s">
        <v>1998</v>
      </c>
      <c r="H11889" s="5" t="s">
        <v>2332</v>
      </c>
      <c r="I11889" s="5" t="s">
        <v>31</v>
      </c>
      <c r="J11889" s="5">
        <v>16.304718138495002</v>
      </c>
      <c r="K11889" s="5">
        <v>-96.641870847885002</v>
      </c>
      <c r="L11889" s="5" t="str">
        <f>HYPERLINK("https://maps.google.com/?q=16.304718138495417,-96.64187084788512", "🔗 Ver Mapa")</f>
        <v>🔗 Ver Mapa</v>
      </c>
    </row>
    <row r="11890" spans="1:12" ht="43.5" x14ac:dyDescent="0.35">
      <c r="A11890" s="6" t="s">
        <v>2019</v>
      </c>
      <c r="B11890" s="6" t="s">
        <v>2020</v>
      </c>
      <c r="C11890" s="6" t="s">
        <v>2333</v>
      </c>
      <c r="D11890" s="6" t="s">
        <v>76</v>
      </c>
      <c r="E11890" s="6" t="s">
        <v>52</v>
      </c>
      <c r="F11890" s="6" t="s">
        <v>228</v>
      </c>
      <c r="G11890" s="6" t="s">
        <v>1702</v>
      </c>
      <c r="H11890" s="6" t="s">
        <v>2334</v>
      </c>
      <c r="I11890" s="6" t="s">
        <v>31</v>
      </c>
      <c r="J11890" s="6">
        <v>16.709680343534</v>
      </c>
      <c r="K11890" s="6">
        <v>-96.713452358300998</v>
      </c>
      <c r="L11890" s="6" t="str">
        <f>HYPERLINK("https://maps.google.com/?q=16.709680343534444,-96.71345235830117", "🔗 Ver Mapa")</f>
        <v>🔗 Ver Mapa</v>
      </c>
    </row>
    <row r="11891" spans="1:12" ht="43.5" x14ac:dyDescent="0.35">
      <c r="A11891" s="5" t="s">
        <v>2019</v>
      </c>
      <c r="B11891" s="5" t="s">
        <v>2020</v>
      </c>
      <c r="C11891" s="5" t="s">
        <v>2335</v>
      </c>
      <c r="D11891" s="5" t="s">
        <v>76</v>
      </c>
      <c r="E11891" s="5" t="s">
        <v>52</v>
      </c>
      <c r="F11891" s="5" t="s">
        <v>421</v>
      </c>
      <c r="G11891" s="5" t="s">
        <v>2001</v>
      </c>
      <c r="H11891" s="5" t="s">
        <v>2336</v>
      </c>
      <c r="I11891" s="5" t="s">
        <v>31</v>
      </c>
      <c r="J11891" s="5">
        <v>16.614877462488</v>
      </c>
      <c r="K11891" s="5">
        <v>-96.855375509262004</v>
      </c>
      <c r="L11891" s="5" t="str">
        <f>HYPERLINK("https://maps.google.com/?q=16.614877462487975,-96.85537550926209", "🔗 Ver Mapa")</f>
        <v>🔗 Ver Mapa</v>
      </c>
    </row>
    <row r="11892" spans="1:12" ht="43.5" x14ac:dyDescent="0.35">
      <c r="A11892" s="6" t="s">
        <v>2019</v>
      </c>
      <c r="B11892" s="6" t="s">
        <v>2020</v>
      </c>
      <c r="C11892" s="6" t="s">
        <v>2337</v>
      </c>
      <c r="D11892" s="6" t="s">
        <v>76</v>
      </c>
      <c r="E11892" s="6" t="s">
        <v>52</v>
      </c>
      <c r="F11892" s="6" t="s">
        <v>228</v>
      </c>
      <c r="G11892" s="6" t="s">
        <v>2338</v>
      </c>
      <c r="H11892" s="6" t="s">
        <v>2339</v>
      </c>
      <c r="I11892" s="6" t="s">
        <v>31</v>
      </c>
      <c r="J11892" s="6">
        <v>16.741642599068999</v>
      </c>
      <c r="K11892" s="6">
        <v>-96.714190748514</v>
      </c>
      <c r="L11892" s="6" t="str">
        <f>HYPERLINK("https://maps.google.com/?q=16.741642599068573,-96.71419074851416", "🔗 Ver Mapa")</f>
        <v>🔗 Ver Mapa</v>
      </c>
    </row>
    <row r="11893" spans="1:12" ht="43.5" x14ac:dyDescent="0.35">
      <c r="A11893" s="5" t="s">
        <v>2019</v>
      </c>
      <c r="B11893" s="5" t="s">
        <v>2020</v>
      </c>
      <c r="C11893" s="5" t="s">
        <v>2340</v>
      </c>
      <c r="D11893" s="5" t="s">
        <v>76</v>
      </c>
      <c r="E11893" s="5" t="s">
        <v>52</v>
      </c>
      <c r="F11893" s="5" t="s">
        <v>228</v>
      </c>
      <c r="G11893" s="5" t="s">
        <v>2004</v>
      </c>
      <c r="H11893" s="5" t="s">
        <v>2341</v>
      </c>
      <c r="I11893" s="5" t="s">
        <v>31</v>
      </c>
      <c r="J11893" s="5">
        <v>16.837469983312001</v>
      </c>
      <c r="K11893" s="5">
        <v>-96.726845214085998</v>
      </c>
      <c r="L11893" s="5" t="str">
        <f>HYPERLINK("https://maps.google.com/?q=16.837469983312232,-96.72684521408615", "🔗 Ver Mapa")</f>
        <v>🔗 Ver Mapa</v>
      </c>
    </row>
    <row r="11894" spans="1:12" ht="43.5" x14ac:dyDescent="0.35">
      <c r="A11894" s="6" t="s">
        <v>2019</v>
      </c>
      <c r="B11894" s="6" t="s">
        <v>2020</v>
      </c>
      <c r="C11894" s="6" t="s">
        <v>2342</v>
      </c>
      <c r="D11894" s="6" t="s">
        <v>76</v>
      </c>
      <c r="E11894" s="6" t="s">
        <v>52</v>
      </c>
      <c r="F11894" s="6" t="s">
        <v>228</v>
      </c>
      <c r="G11894" s="6" t="s">
        <v>2343</v>
      </c>
      <c r="H11894" s="6" t="s">
        <v>2344</v>
      </c>
      <c r="I11894" s="6" t="s">
        <v>31</v>
      </c>
      <c r="J11894" s="6">
        <v>16.806627096604</v>
      </c>
      <c r="K11894" s="6">
        <v>-96.707185790178002</v>
      </c>
      <c r="L11894" s="6" t="str">
        <f>HYPERLINK("https://maps.google.com/?q=16.806627096603552,-96.70718579017829", "🔗 Ver Mapa")</f>
        <v>🔗 Ver Mapa</v>
      </c>
    </row>
    <row r="11895" spans="1:12" ht="43.5" x14ac:dyDescent="0.35">
      <c r="A11895" s="5" t="s">
        <v>2019</v>
      </c>
      <c r="B11895" s="5" t="s">
        <v>2020</v>
      </c>
      <c r="C11895" s="5" t="s">
        <v>2345</v>
      </c>
      <c r="D11895" s="5" t="s">
        <v>76</v>
      </c>
      <c r="E11895" s="5" t="s">
        <v>17</v>
      </c>
      <c r="F11895" s="5" t="s">
        <v>59</v>
      </c>
      <c r="G11895" s="5" t="s">
        <v>2346</v>
      </c>
      <c r="H11895" s="5" t="s">
        <v>2347</v>
      </c>
      <c r="I11895" s="5" t="s">
        <v>31</v>
      </c>
      <c r="J11895" s="5">
        <v>16.400060467384002</v>
      </c>
      <c r="K11895" s="5">
        <v>-97.810390652779006</v>
      </c>
      <c r="L11895" s="5" t="str">
        <f>HYPERLINK("https://maps.google.com/?q=16.40006046738449,-97.81039065277862", "🔗 Ver Mapa")</f>
        <v>🔗 Ver Mapa</v>
      </c>
    </row>
    <row r="11896" spans="1:12" ht="43.5" x14ac:dyDescent="0.35">
      <c r="A11896" s="6" t="s">
        <v>2019</v>
      </c>
      <c r="B11896" s="6" t="s">
        <v>2020</v>
      </c>
      <c r="C11896" s="6" t="s">
        <v>2348</v>
      </c>
      <c r="D11896" s="6" t="s">
        <v>76</v>
      </c>
      <c r="E11896" s="6" t="s">
        <v>158</v>
      </c>
      <c r="F11896" s="6" t="s">
        <v>166</v>
      </c>
      <c r="G11896" s="6" t="s">
        <v>2349</v>
      </c>
      <c r="H11896" s="6" t="s">
        <v>2350</v>
      </c>
      <c r="I11896" s="6" t="s">
        <v>31</v>
      </c>
      <c r="J11896" s="6">
        <v>16.782753604341</v>
      </c>
      <c r="K11896" s="6">
        <v>-95.534203209821996</v>
      </c>
      <c r="L11896" s="6" t="str">
        <f>HYPERLINK("https://maps.google.com/?q=16.78275360434145,-95.53420320982168", "🔗 Ver Mapa")</f>
        <v>🔗 Ver Mapa</v>
      </c>
    </row>
    <row r="11897" spans="1:12" ht="43.5" x14ac:dyDescent="0.35">
      <c r="A11897" s="5" t="s">
        <v>2019</v>
      </c>
      <c r="B11897" s="5" t="s">
        <v>2020</v>
      </c>
      <c r="C11897" s="5" t="s">
        <v>2351</v>
      </c>
      <c r="D11897" s="5" t="s">
        <v>76</v>
      </c>
      <c r="E11897" s="5" t="s">
        <v>16</v>
      </c>
      <c r="F11897" s="5" t="s">
        <v>19</v>
      </c>
      <c r="G11897" s="5" t="s">
        <v>1919</v>
      </c>
      <c r="H11897" s="5" t="s">
        <v>2352</v>
      </c>
      <c r="I11897" s="5" t="s">
        <v>31</v>
      </c>
      <c r="J11897" s="5">
        <v>17.162580602260999</v>
      </c>
      <c r="K11897" s="5">
        <v>-97.226385150786996</v>
      </c>
      <c r="L11897" s="5" t="str">
        <f>HYPERLINK("https://maps.google.com/?q=17.162580602260967,-97.22638515078735", "🔗 Ver Mapa")</f>
        <v>🔗 Ver Mapa</v>
      </c>
    </row>
    <row r="11898" spans="1:12" ht="43.5" x14ac:dyDescent="0.35">
      <c r="A11898" s="6" t="s">
        <v>2019</v>
      </c>
      <c r="B11898" s="6" t="s">
        <v>2020</v>
      </c>
      <c r="C11898" s="6" t="s">
        <v>2353</v>
      </c>
      <c r="D11898" s="6" t="s">
        <v>76</v>
      </c>
      <c r="E11898" s="6" t="s">
        <v>16</v>
      </c>
      <c r="F11898" s="6" t="s">
        <v>21</v>
      </c>
      <c r="G11898" s="6" t="s">
        <v>2354</v>
      </c>
      <c r="H11898" s="6" t="s">
        <v>2355</v>
      </c>
      <c r="I11898" s="6" t="s">
        <v>31</v>
      </c>
      <c r="J11898" s="6">
        <v>17.142822853319</v>
      </c>
      <c r="K11898" s="6">
        <v>-97.394535586472998</v>
      </c>
      <c r="L11898" s="6" t="str">
        <f>HYPERLINK("https://maps.google.com/?q=17.142822853318588,-97.39453558647347", "🔗 Ver Mapa")</f>
        <v>🔗 Ver Mapa</v>
      </c>
    </row>
    <row r="11899" spans="1:12" ht="29" x14ac:dyDescent="0.35">
      <c r="A11899" s="5" t="s">
        <v>2019</v>
      </c>
      <c r="B11899" s="5" t="s">
        <v>2020</v>
      </c>
      <c r="C11899" s="5" t="s">
        <v>2356</v>
      </c>
      <c r="D11899" s="5" t="s">
        <v>76</v>
      </c>
      <c r="E11899" s="5" t="s">
        <v>16</v>
      </c>
      <c r="F11899" s="5" t="s">
        <v>145</v>
      </c>
      <c r="G11899" s="5" t="s">
        <v>2357</v>
      </c>
      <c r="H11899" s="5" t="s">
        <v>2358</v>
      </c>
      <c r="I11899" s="5" t="s">
        <v>31</v>
      </c>
      <c r="J11899" s="5">
        <v>18.15558254331</v>
      </c>
      <c r="K11899" s="5">
        <v>-97.742502080673006</v>
      </c>
      <c r="L11899" s="5" t="str">
        <f>HYPERLINK("https://maps.google.com/?q=18.155582543309553,-97.74250208067322", "🔗 Ver Mapa")</f>
        <v>🔗 Ver Mapa</v>
      </c>
    </row>
    <row r="11900" spans="1:12" ht="43.5" x14ac:dyDescent="0.35">
      <c r="A11900" s="6" t="s">
        <v>2019</v>
      </c>
      <c r="B11900" s="6" t="s">
        <v>2020</v>
      </c>
      <c r="C11900" s="6" t="s">
        <v>2359</v>
      </c>
      <c r="D11900" s="6" t="s">
        <v>76</v>
      </c>
      <c r="E11900" s="6" t="s">
        <v>16</v>
      </c>
      <c r="F11900" s="6" t="s">
        <v>145</v>
      </c>
      <c r="G11900" s="6" t="s">
        <v>2360</v>
      </c>
      <c r="H11900" s="6" t="s">
        <v>2361</v>
      </c>
      <c r="I11900" s="6" t="s">
        <v>31</v>
      </c>
      <c r="J11900" s="6">
        <v>18.050374853089998</v>
      </c>
      <c r="K11900" s="6">
        <v>-97.827973583992005</v>
      </c>
      <c r="L11900" s="6" t="str">
        <f>HYPERLINK("https://maps.google.com/?q=18.050374853089675,-97.827973583992", "🔗 Ver Mapa")</f>
        <v>🔗 Ver Mapa</v>
      </c>
    </row>
    <row r="11901" spans="1:12" ht="43.5" x14ac:dyDescent="0.35">
      <c r="A11901" s="5" t="s">
        <v>2019</v>
      </c>
      <c r="B11901" s="5" t="s">
        <v>2020</v>
      </c>
      <c r="C11901" s="5" t="s">
        <v>2362</v>
      </c>
      <c r="D11901" s="5" t="s">
        <v>76</v>
      </c>
      <c r="E11901" s="5" t="s">
        <v>16</v>
      </c>
      <c r="F11901" s="5" t="s">
        <v>19</v>
      </c>
      <c r="G11901" s="5" t="s">
        <v>2363</v>
      </c>
      <c r="H11901" s="5" t="s">
        <v>2364</v>
      </c>
      <c r="I11901" s="5" t="s">
        <v>31</v>
      </c>
      <c r="J11901" s="5">
        <v>17.380486886897</v>
      </c>
      <c r="K11901" s="5">
        <v>-97.344289040510006</v>
      </c>
      <c r="L11901" s="5" t="str">
        <f>HYPERLINK("https://maps.google.com/?q=17.38048688689724,-97.34428904051018", "🔗 Ver Mapa")</f>
        <v>🔗 Ver Mapa</v>
      </c>
    </row>
    <row r="11902" spans="1:12" ht="43.5" x14ac:dyDescent="0.35">
      <c r="A11902" s="6" t="s">
        <v>2019</v>
      </c>
      <c r="B11902" s="6" t="s">
        <v>2020</v>
      </c>
      <c r="C11902" s="6" t="s">
        <v>2365</v>
      </c>
      <c r="D11902" s="6" t="s">
        <v>76</v>
      </c>
      <c r="E11902" s="6" t="s">
        <v>16</v>
      </c>
      <c r="F11902" s="6" t="s">
        <v>19</v>
      </c>
      <c r="G11902" s="6" t="s">
        <v>2366</v>
      </c>
      <c r="H11902" s="6" t="s">
        <v>2367</v>
      </c>
      <c r="I11902" s="6" t="s">
        <v>31</v>
      </c>
      <c r="J11902" s="6">
        <v>17.383421582002999</v>
      </c>
      <c r="K11902" s="6">
        <v>-97.360769235616999</v>
      </c>
      <c r="L11902" s="6" t="str">
        <f>HYPERLINK("https://maps.google.com/?q=17.38342158200295,-97.3607692356167", "🔗 Ver Mapa")</f>
        <v>🔗 Ver Mapa</v>
      </c>
    </row>
    <row r="11903" spans="1:12" ht="43.5" x14ac:dyDescent="0.35">
      <c r="A11903" s="5" t="s">
        <v>2019</v>
      </c>
      <c r="B11903" s="5" t="s">
        <v>2020</v>
      </c>
      <c r="C11903" s="5" t="s">
        <v>2368</v>
      </c>
      <c r="D11903" s="5" t="s">
        <v>76</v>
      </c>
      <c r="E11903" s="5" t="s">
        <v>16</v>
      </c>
      <c r="F11903" s="5" t="s">
        <v>21</v>
      </c>
      <c r="G11903" s="5" t="s">
        <v>2369</v>
      </c>
      <c r="H11903" s="5" t="s">
        <v>2370</v>
      </c>
      <c r="I11903" s="5" t="s">
        <v>31</v>
      </c>
      <c r="J11903" s="5">
        <v>16.874790812693998</v>
      </c>
      <c r="K11903" s="5">
        <v>-97.504959375498004</v>
      </c>
      <c r="L11903" s="5" t="str">
        <f>HYPERLINK("https://maps.google.com/?q=16.874790812693554,-97.50495937549782", "🔗 Ver Mapa")</f>
        <v>🔗 Ver Mapa</v>
      </c>
    </row>
    <row r="11904" spans="1:12" ht="43.5" x14ac:dyDescent="0.35">
      <c r="A11904" s="6" t="s">
        <v>2019</v>
      </c>
      <c r="B11904" s="6" t="s">
        <v>2020</v>
      </c>
      <c r="C11904" s="6" t="s">
        <v>2371</v>
      </c>
      <c r="D11904" s="6" t="s">
        <v>76</v>
      </c>
      <c r="E11904" s="6" t="s">
        <v>90</v>
      </c>
      <c r="F11904" s="6" t="s">
        <v>119</v>
      </c>
      <c r="G11904" s="6" t="s">
        <v>2372</v>
      </c>
      <c r="H11904" s="6" t="s">
        <v>2373</v>
      </c>
      <c r="I11904" s="6" t="s">
        <v>31</v>
      </c>
      <c r="J11904" s="6">
        <v>17.287356454857999</v>
      </c>
      <c r="K11904" s="6">
        <v>-96.496276905591998</v>
      </c>
      <c r="L11904" s="6" t="str">
        <f>HYPERLINK("https://maps.google.com/?q=17.287356454857697,-96.49627690559197", "🔗 Ver Mapa")</f>
        <v>🔗 Ver Mapa</v>
      </c>
    </row>
    <row r="11905" spans="1:12" ht="43.5" x14ac:dyDescent="0.35">
      <c r="A11905" s="5" t="s">
        <v>2019</v>
      </c>
      <c r="B11905" s="5" t="s">
        <v>2020</v>
      </c>
      <c r="C11905" s="5" t="s">
        <v>2374</v>
      </c>
      <c r="D11905" s="5" t="s">
        <v>76</v>
      </c>
      <c r="E11905" s="5" t="s">
        <v>39</v>
      </c>
      <c r="F11905" s="5" t="s">
        <v>353</v>
      </c>
      <c r="G11905" s="5" t="s">
        <v>2375</v>
      </c>
      <c r="H11905" s="5" t="s">
        <v>2376</v>
      </c>
      <c r="I11905" s="5" t="s">
        <v>31</v>
      </c>
      <c r="J11905" s="5">
        <v>16.233385765108999</v>
      </c>
      <c r="K11905" s="5">
        <v>-96.868830941138995</v>
      </c>
      <c r="L11905" s="5" t="str">
        <f>HYPERLINK("https://maps.google.com/?q=16.23338576510889,-96.86883094113922", "🔗 Ver Mapa")</f>
        <v>🔗 Ver Mapa</v>
      </c>
    </row>
    <row r="11906" spans="1:12" ht="43.5" x14ac:dyDescent="0.35">
      <c r="A11906" s="6" t="s">
        <v>2019</v>
      </c>
      <c r="B11906" s="6" t="s">
        <v>2020</v>
      </c>
      <c r="C11906" s="6" t="s">
        <v>2377</v>
      </c>
      <c r="D11906" s="6" t="s">
        <v>76</v>
      </c>
      <c r="E11906" s="6" t="s">
        <v>52</v>
      </c>
      <c r="F11906" s="6" t="s">
        <v>53</v>
      </c>
      <c r="G11906" s="6" t="s">
        <v>491</v>
      </c>
      <c r="H11906" s="6" t="s">
        <v>2378</v>
      </c>
      <c r="I11906" s="6" t="s">
        <v>31</v>
      </c>
      <c r="J11906" s="6">
        <v>16.865701000000001</v>
      </c>
      <c r="K11906" s="6">
        <v>-96.383100999999996</v>
      </c>
      <c r="L11906" s="6" t="str">
        <f>HYPERLINK("https://maps.google.com/?q=16.865701,-96.383101", "🔗 Ver Mapa")</f>
        <v>🔗 Ver Mapa</v>
      </c>
    </row>
    <row r="11907" spans="1:12" ht="43.5" x14ac:dyDescent="0.35">
      <c r="A11907" s="5" t="s">
        <v>2379</v>
      </c>
      <c r="B11907" s="5" t="s">
        <v>2380</v>
      </c>
      <c r="C11907" s="5" t="s">
        <v>2381</v>
      </c>
      <c r="D11907" s="5" t="s">
        <v>399</v>
      </c>
      <c r="E11907" s="5" t="s">
        <v>52</v>
      </c>
      <c r="F11907" s="5" t="s">
        <v>70</v>
      </c>
      <c r="G11907" s="5" t="s">
        <v>304</v>
      </c>
      <c r="H11907" s="5" t="s">
        <v>305</v>
      </c>
      <c r="I11907" s="5" t="s">
        <v>31</v>
      </c>
      <c r="J11907" s="5">
        <v>17.076801210334999</v>
      </c>
      <c r="K11907" s="5">
        <v>-96.747245219177998</v>
      </c>
      <c r="L11907" s="5" t="str">
        <f>HYPERLINK("https://maps.google.com/?q=17.07680121033464,-96.74724521917751", "🔗 Ver Mapa")</f>
        <v>🔗 Ver Mapa</v>
      </c>
    </row>
    <row r="11908" spans="1:12" ht="43.5" x14ac:dyDescent="0.35">
      <c r="A11908" s="6" t="s">
        <v>329</v>
      </c>
      <c r="B11908" s="6" t="s">
        <v>330</v>
      </c>
      <c r="C11908" s="6" t="s">
        <v>2382</v>
      </c>
      <c r="D11908" s="6" t="s">
        <v>332</v>
      </c>
      <c r="E11908" s="6" t="s">
        <v>52</v>
      </c>
      <c r="F11908" s="6" t="s">
        <v>70</v>
      </c>
      <c r="G11908" s="6" t="s">
        <v>71</v>
      </c>
      <c r="H11908" s="6" t="s">
        <v>72</v>
      </c>
      <c r="I11908" s="6" t="s">
        <v>31</v>
      </c>
      <c r="J11908" s="6">
        <v>17.077585091987</v>
      </c>
      <c r="K11908" s="6">
        <v>-96.733758274989995</v>
      </c>
      <c r="L11908" s="6" t="str">
        <f>HYPERLINK("https://maps.google.com/?q=17.077585091986553,-96.73375827499031", "🔗 Ver Mapa")</f>
        <v>🔗 Ver Mapa</v>
      </c>
    </row>
    <row r="11909" spans="1:12" ht="43.5" x14ac:dyDescent="0.35">
      <c r="A11909" s="5" t="s">
        <v>329</v>
      </c>
      <c r="B11909" s="5" t="s">
        <v>330</v>
      </c>
      <c r="C11909" s="5" t="s">
        <v>2382</v>
      </c>
      <c r="D11909" s="5" t="s">
        <v>332</v>
      </c>
      <c r="E11909" s="5" t="s">
        <v>52</v>
      </c>
      <c r="F11909" s="5" t="s">
        <v>70</v>
      </c>
      <c r="G11909" s="5" t="s">
        <v>71</v>
      </c>
      <c r="H11909" s="5" t="s">
        <v>72</v>
      </c>
      <c r="I11909" s="5" t="s">
        <v>31</v>
      </c>
      <c r="J11909" s="5">
        <v>17.08765</v>
      </c>
      <c r="K11909" s="5">
        <v>-96.726119999999995</v>
      </c>
      <c r="L11909" s="5" t="str">
        <f>HYPERLINK("https://maps.google.com/?q=17.08765,-96.72612", "🔗 Ver Mapa")</f>
        <v>🔗 Ver Mapa</v>
      </c>
    </row>
    <row r="11910" spans="1:12" ht="43.5" x14ac:dyDescent="0.35">
      <c r="A11910" s="6" t="s">
        <v>329</v>
      </c>
      <c r="B11910" s="6" t="s">
        <v>330</v>
      </c>
      <c r="C11910" s="6" t="s">
        <v>2382</v>
      </c>
      <c r="D11910" s="6" t="s">
        <v>332</v>
      </c>
      <c r="E11910" s="6" t="s">
        <v>52</v>
      </c>
      <c r="F11910" s="6" t="s">
        <v>70</v>
      </c>
      <c r="G11910" s="6" t="s">
        <v>71</v>
      </c>
      <c r="H11910" s="6" t="s">
        <v>72</v>
      </c>
      <c r="I11910" s="6" t="s">
        <v>31</v>
      </c>
      <c r="J11910" s="6">
        <v>17.093166004791001</v>
      </c>
      <c r="K11910" s="6">
        <v>-96.742202247167995</v>
      </c>
      <c r="L11910" s="6" t="str">
        <f>HYPERLINK("https://maps.google.com/?q=17.09316600479141,-96.74220224716845", "🔗 Ver Mapa")</f>
        <v>🔗 Ver Mapa</v>
      </c>
    </row>
    <row r="11911" spans="1:12" ht="43.5" x14ac:dyDescent="0.35">
      <c r="A11911" s="5" t="s">
        <v>73</v>
      </c>
      <c r="B11911" s="5" t="s">
        <v>74</v>
      </c>
      <c r="C11911" s="5" t="s">
        <v>2383</v>
      </c>
      <c r="D11911" s="5" t="s">
        <v>76</v>
      </c>
      <c r="E11911" s="5" t="s">
        <v>90</v>
      </c>
      <c r="F11911" s="5" t="s">
        <v>119</v>
      </c>
      <c r="G11911" s="5" t="s">
        <v>371</v>
      </c>
      <c r="H11911" s="5" t="s">
        <v>372</v>
      </c>
      <c r="I11911" s="5" t="s">
        <v>31</v>
      </c>
      <c r="J11911" s="5">
        <v>17.286190799084999</v>
      </c>
      <c r="K11911" s="5">
        <v>-96.623792455189005</v>
      </c>
      <c r="L11911" s="5" t="str">
        <f>HYPERLINK("https://maps.google.com/?q=17.286190799084597,-96.62379245518932", "🔗 Ver Mapa")</f>
        <v>🔗 Ver Mapa</v>
      </c>
    </row>
    <row r="11912" spans="1:12" ht="43.5" x14ac:dyDescent="0.35">
      <c r="A11912" s="6" t="s">
        <v>73</v>
      </c>
      <c r="B11912" s="6" t="s">
        <v>74</v>
      </c>
      <c r="C11912" s="6" t="s">
        <v>2383</v>
      </c>
      <c r="D11912" s="6" t="s">
        <v>76</v>
      </c>
      <c r="E11912" s="6" t="s">
        <v>90</v>
      </c>
      <c r="F11912" s="6" t="s">
        <v>119</v>
      </c>
      <c r="G11912" s="6" t="s">
        <v>371</v>
      </c>
      <c r="H11912" s="6" t="s">
        <v>372</v>
      </c>
      <c r="I11912" s="6" t="s">
        <v>31</v>
      </c>
      <c r="J11912" s="6">
        <v>17.286190799084999</v>
      </c>
      <c r="K11912" s="6">
        <v>-96.623792455189005</v>
      </c>
      <c r="L11912" s="6" t="str">
        <f>HYPERLINK("https://maps.google.com/?q=17.286190799084597,-96.62379245518932", "🔗 Ver Mapa")</f>
        <v>🔗 Ver Mapa</v>
      </c>
    </row>
    <row r="11913" spans="1:12" ht="43.5" x14ac:dyDescent="0.35">
      <c r="A11913" s="5" t="s">
        <v>73</v>
      </c>
      <c r="B11913" s="5" t="s">
        <v>74</v>
      </c>
      <c r="C11913" s="5" t="s">
        <v>2383</v>
      </c>
      <c r="D11913" s="5" t="s">
        <v>76</v>
      </c>
      <c r="E11913" s="5" t="s">
        <v>90</v>
      </c>
      <c r="F11913" s="5" t="s">
        <v>119</v>
      </c>
      <c r="G11913" s="5" t="s">
        <v>371</v>
      </c>
      <c r="H11913" s="5" t="s">
        <v>372</v>
      </c>
      <c r="I11913" s="5" t="s">
        <v>31</v>
      </c>
      <c r="J11913" s="5">
        <v>17.286190799084999</v>
      </c>
      <c r="K11913" s="5">
        <v>-96.623792455189005</v>
      </c>
      <c r="L11913" s="5" t="str">
        <f>HYPERLINK("https://maps.google.com/?q=17.286190799084597,-96.62379245518932", "🔗 Ver Mapa")</f>
        <v>🔗 Ver Mapa</v>
      </c>
    </row>
    <row r="11914" spans="1:12" ht="43.5" x14ac:dyDescent="0.35">
      <c r="A11914" s="6" t="s">
        <v>73</v>
      </c>
      <c r="B11914" s="6" t="s">
        <v>74</v>
      </c>
      <c r="C11914" s="6" t="s">
        <v>2383</v>
      </c>
      <c r="D11914" s="6" t="s">
        <v>76</v>
      </c>
      <c r="E11914" s="6" t="s">
        <v>90</v>
      </c>
      <c r="F11914" s="6" t="s">
        <v>119</v>
      </c>
      <c r="G11914" s="6" t="s">
        <v>371</v>
      </c>
      <c r="H11914" s="6" t="s">
        <v>372</v>
      </c>
      <c r="I11914" s="6" t="s">
        <v>31</v>
      </c>
      <c r="J11914" s="6">
        <v>17.286190799084999</v>
      </c>
      <c r="K11914" s="6">
        <v>-96.623792455189005</v>
      </c>
      <c r="L11914" s="6" t="str">
        <f>HYPERLINK("https://maps.google.com/?q=17.286190799084597,-96.62379245518932", "🔗 Ver Mapa")</f>
        <v>🔗 Ver Mapa</v>
      </c>
    </row>
    <row r="11915" spans="1:12" ht="43.5" x14ac:dyDescent="0.35">
      <c r="A11915" s="5" t="s">
        <v>73</v>
      </c>
      <c r="B11915" s="5" t="s">
        <v>74</v>
      </c>
      <c r="C11915" s="5" t="s">
        <v>2384</v>
      </c>
      <c r="D11915" s="5" t="s">
        <v>76</v>
      </c>
      <c r="E11915" s="5" t="s">
        <v>39</v>
      </c>
      <c r="F11915" s="5" t="s">
        <v>353</v>
      </c>
      <c r="G11915" s="5" t="s">
        <v>534</v>
      </c>
      <c r="H11915" s="5" t="s">
        <v>2385</v>
      </c>
      <c r="I11915" s="5" t="s">
        <v>31</v>
      </c>
      <c r="J11915" s="5">
        <v>16.224480684587999</v>
      </c>
      <c r="K11915" s="5">
        <v>-96.785130533729998</v>
      </c>
      <c r="L11915" s="5" t="str">
        <f>HYPERLINK("https://maps.google.com/?q=16.22448068458824,-96.78513053373", "🔗 Ver Mapa")</f>
        <v>🔗 Ver Mapa</v>
      </c>
    </row>
    <row r="11916" spans="1:12" ht="43.5" x14ac:dyDescent="0.35">
      <c r="A11916" s="6" t="s">
        <v>73</v>
      </c>
      <c r="B11916" s="6" t="s">
        <v>74</v>
      </c>
      <c r="C11916" s="6" t="s">
        <v>2386</v>
      </c>
      <c r="D11916" s="6" t="s">
        <v>76</v>
      </c>
      <c r="E11916" s="6" t="s">
        <v>110</v>
      </c>
      <c r="F11916" s="6" t="s">
        <v>126</v>
      </c>
      <c r="G11916" s="6" t="s">
        <v>609</v>
      </c>
      <c r="H11916" s="6" t="s">
        <v>1158</v>
      </c>
      <c r="I11916" s="6" t="s">
        <v>31</v>
      </c>
      <c r="J11916" s="6">
        <v>17.984757539042</v>
      </c>
      <c r="K11916" s="6">
        <v>-96.699412705181004</v>
      </c>
      <c r="L11916" s="6" t="str">
        <f>HYPERLINK("https://maps.google.com/?q=17.984757539042132,-96.69941270518085", "🔗 Ver Mapa")</f>
        <v>🔗 Ver Mapa</v>
      </c>
    </row>
    <row r="11917" spans="1:12" ht="43.5" x14ac:dyDescent="0.35">
      <c r="A11917" s="5" t="s">
        <v>73</v>
      </c>
      <c r="B11917" s="5" t="s">
        <v>74</v>
      </c>
      <c r="C11917" s="5" t="s">
        <v>2387</v>
      </c>
      <c r="D11917" s="5" t="s">
        <v>76</v>
      </c>
      <c r="E11917" s="5" t="s">
        <v>16</v>
      </c>
      <c r="F11917" s="5" t="s">
        <v>19</v>
      </c>
      <c r="G11917" s="5" t="s">
        <v>1348</v>
      </c>
      <c r="H11917" s="5" t="s">
        <v>1349</v>
      </c>
      <c r="I11917" s="5" t="s">
        <v>31</v>
      </c>
      <c r="J11917" s="5">
        <v>17.045101570766999</v>
      </c>
      <c r="K11917" s="5">
        <v>-97.302020353943007</v>
      </c>
      <c r="L11917" s="5" t="str">
        <f>HYPERLINK("https://maps.google.com/?q=17.045101570767066,-97.30202035394298", "🔗 Ver Mapa")</f>
        <v>🔗 Ver Mapa</v>
      </c>
    </row>
    <row r="11918" spans="1:12" ht="58" x14ac:dyDescent="0.35">
      <c r="A11918" s="6" t="s">
        <v>288</v>
      </c>
      <c r="B11918" s="6" t="s">
        <v>289</v>
      </c>
      <c r="C11918" s="6" t="s">
        <v>2388</v>
      </c>
      <c r="D11918" s="6" t="s">
        <v>414</v>
      </c>
      <c r="E11918" s="6" t="s">
        <v>16</v>
      </c>
      <c r="F11918" s="6" t="s">
        <v>145</v>
      </c>
      <c r="G11918" s="6" t="s">
        <v>2324</v>
      </c>
      <c r="H11918" s="6" t="s">
        <v>2389</v>
      </c>
      <c r="I11918" s="6" t="s">
        <v>31</v>
      </c>
      <c r="J11918" s="6">
        <v>18.215226999999999</v>
      </c>
      <c r="K11918" s="6">
        <v>-97.839995999999999</v>
      </c>
      <c r="L11918" s="6" t="str">
        <f>HYPERLINK("https://maps.google.com/?q=18.215227,-97.839996", "🔗 Ver Mapa")</f>
        <v>🔗 Ver Mapa</v>
      </c>
    </row>
    <row r="11919" spans="1:12" ht="58" x14ac:dyDescent="0.35">
      <c r="A11919" s="5" t="s">
        <v>288</v>
      </c>
      <c r="B11919" s="5" t="s">
        <v>289</v>
      </c>
      <c r="C11919" s="5" t="s">
        <v>2388</v>
      </c>
      <c r="D11919" s="5" t="s">
        <v>414</v>
      </c>
      <c r="E11919" s="5" t="s">
        <v>16</v>
      </c>
      <c r="F11919" s="5" t="s">
        <v>145</v>
      </c>
      <c r="G11919" s="5" t="s">
        <v>2324</v>
      </c>
      <c r="H11919" s="5" t="s">
        <v>2389</v>
      </c>
      <c r="I11919" s="5" t="s">
        <v>31</v>
      </c>
      <c r="J11919" s="5">
        <v>18.215229000000001</v>
      </c>
      <c r="K11919" s="5">
        <v>-97.839618999999999</v>
      </c>
      <c r="L11919" s="5" t="str">
        <f>HYPERLINK("https://maps.google.com/?q=18.215229,-97.839619", "🔗 Ver Mapa")</f>
        <v>🔗 Ver Mapa</v>
      </c>
    </row>
    <row r="11920" spans="1:12" ht="58" x14ac:dyDescent="0.35">
      <c r="A11920" s="6" t="s">
        <v>288</v>
      </c>
      <c r="B11920" s="6" t="s">
        <v>289</v>
      </c>
      <c r="C11920" s="6" t="s">
        <v>2388</v>
      </c>
      <c r="D11920" s="6" t="s">
        <v>414</v>
      </c>
      <c r="E11920" s="6" t="s">
        <v>16</v>
      </c>
      <c r="F11920" s="6" t="s">
        <v>145</v>
      </c>
      <c r="G11920" s="6" t="s">
        <v>2324</v>
      </c>
      <c r="H11920" s="6" t="s">
        <v>2389</v>
      </c>
      <c r="I11920" s="6" t="s">
        <v>31</v>
      </c>
      <c r="J11920" s="6">
        <v>18.215232</v>
      </c>
      <c r="K11920" s="6">
        <v>-97.840355000000002</v>
      </c>
      <c r="L11920" s="6" t="str">
        <f>HYPERLINK("https://maps.google.com/?q=18.215232,-97.840355", "🔗 Ver Mapa")</f>
        <v>🔗 Ver Mapa</v>
      </c>
    </row>
    <row r="11921" spans="1:12" ht="43.5" x14ac:dyDescent="0.35">
      <c r="A11921" s="5" t="s">
        <v>288</v>
      </c>
      <c r="B11921" s="5" t="s">
        <v>289</v>
      </c>
      <c r="C11921" s="5" t="s">
        <v>2390</v>
      </c>
      <c r="D11921" s="5" t="s">
        <v>745</v>
      </c>
      <c r="E11921" s="5" t="s">
        <v>39</v>
      </c>
      <c r="F11921" s="5" t="s">
        <v>494</v>
      </c>
      <c r="G11921" s="5" t="s">
        <v>2110</v>
      </c>
      <c r="H11921" s="5" t="s">
        <v>2391</v>
      </c>
      <c r="I11921" s="5" t="s">
        <v>31</v>
      </c>
      <c r="J11921" s="5">
        <v>16.405871999999999</v>
      </c>
      <c r="K11921" s="5">
        <v>-97.224968000000004</v>
      </c>
      <c r="L11921" s="5" t="str">
        <f>HYPERLINK("https://maps.google.com/?q=16.405872,-97.224968000000004", "🔗 Ver Mapa")</f>
        <v>🔗 Ver Mapa</v>
      </c>
    </row>
    <row r="11922" spans="1:12" ht="43.5" x14ac:dyDescent="0.35">
      <c r="A11922" s="6" t="s">
        <v>288</v>
      </c>
      <c r="B11922" s="6" t="s">
        <v>289</v>
      </c>
      <c r="C11922" s="6" t="s">
        <v>2390</v>
      </c>
      <c r="D11922" s="6" t="s">
        <v>745</v>
      </c>
      <c r="E11922" s="6" t="s">
        <v>39</v>
      </c>
      <c r="F11922" s="6" t="s">
        <v>494</v>
      </c>
      <c r="G11922" s="6" t="s">
        <v>2110</v>
      </c>
      <c r="H11922" s="6" t="s">
        <v>2391</v>
      </c>
      <c r="I11922" s="6" t="s">
        <v>31</v>
      </c>
      <c r="J11922" s="6">
        <v>16.406199999999998</v>
      </c>
      <c r="K11922" s="6">
        <v>-97.225301999999999</v>
      </c>
      <c r="L11922" s="6" t="str">
        <f>HYPERLINK("https://maps.google.com/?q=16.4062,-97.225301999999999", "🔗 Ver Mapa")</f>
        <v>🔗 Ver Mapa</v>
      </c>
    </row>
    <row r="11923" spans="1:12" ht="43.5" x14ac:dyDescent="0.35">
      <c r="A11923" s="5" t="s">
        <v>288</v>
      </c>
      <c r="B11923" s="5" t="s">
        <v>289</v>
      </c>
      <c r="C11923" s="5" t="s">
        <v>2390</v>
      </c>
      <c r="D11923" s="5" t="s">
        <v>745</v>
      </c>
      <c r="E11923" s="5" t="s">
        <v>39</v>
      </c>
      <c r="F11923" s="5" t="s">
        <v>494</v>
      </c>
      <c r="G11923" s="5" t="s">
        <v>2110</v>
      </c>
      <c r="H11923" s="5" t="s">
        <v>2391</v>
      </c>
      <c r="I11923" s="5" t="s">
        <v>31</v>
      </c>
      <c r="J11923" s="5">
        <v>16.406513</v>
      </c>
      <c r="K11923" s="5">
        <v>-97.226994000000005</v>
      </c>
      <c r="L11923" s="5" t="str">
        <f>HYPERLINK("https://maps.google.com/?q=16.406513,-97.226994000000005", "🔗 Ver Mapa")</f>
        <v>🔗 Ver Mapa</v>
      </c>
    </row>
    <row r="11924" spans="1:12" ht="43.5" x14ac:dyDescent="0.35">
      <c r="A11924" s="6" t="s">
        <v>288</v>
      </c>
      <c r="B11924" s="6" t="s">
        <v>289</v>
      </c>
      <c r="C11924" s="6" t="s">
        <v>2390</v>
      </c>
      <c r="D11924" s="6" t="s">
        <v>745</v>
      </c>
      <c r="E11924" s="6" t="s">
        <v>39</v>
      </c>
      <c r="F11924" s="6" t="s">
        <v>494</v>
      </c>
      <c r="G11924" s="6" t="s">
        <v>2110</v>
      </c>
      <c r="H11924" s="6" t="s">
        <v>2391</v>
      </c>
      <c r="I11924" s="6" t="s">
        <v>31</v>
      </c>
      <c r="J11924" s="6">
        <v>16.406572000000001</v>
      </c>
      <c r="K11924" s="6">
        <v>-97.22542</v>
      </c>
      <c r="L11924" s="6" t="str">
        <f>HYPERLINK("https://maps.google.com/?q=16.406572,-97.22542", "🔗 Ver Mapa")</f>
        <v>🔗 Ver Mapa</v>
      </c>
    </row>
    <row r="11925" spans="1:12" ht="43.5" x14ac:dyDescent="0.35">
      <c r="A11925" s="5" t="s">
        <v>288</v>
      </c>
      <c r="B11925" s="5" t="s">
        <v>289</v>
      </c>
      <c r="C11925" s="5" t="s">
        <v>2390</v>
      </c>
      <c r="D11925" s="5" t="s">
        <v>745</v>
      </c>
      <c r="E11925" s="5" t="s">
        <v>39</v>
      </c>
      <c r="F11925" s="5" t="s">
        <v>494</v>
      </c>
      <c r="G11925" s="5" t="s">
        <v>2110</v>
      </c>
      <c r="H11925" s="5" t="s">
        <v>2391</v>
      </c>
      <c r="I11925" s="5" t="s">
        <v>31</v>
      </c>
      <c r="J11925" s="5">
        <v>16.406625999999999</v>
      </c>
      <c r="K11925" s="5">
        <v>-97.226506000000001</v>
      </c>
      <c r="L11925" s="5" t="str">
        <f>HYPERLINK("https://maps.google.com/?q=16.406626,-97.226506000000001", "🔗 Ver Mapa")</f>
        <v>🔗 Ver Mapa</v>
      </c>
    </row>
    <row r="11926" spans="1:12" ht="43.5" x14ac:dyDescent="0.35">
      <c r="A11926" s="6" t="s">
        <v>288</v>
      </c>
      <c r="B11926" s="6" t="s">
        <v>289</v>
      </c>
      <c r="C11926" s="6" t="s">
        <v>2390</v>
      </c>
      <c r="D11926" s="6" t="s">
        <v>745</v>
      </c>
      <c r="E11926" s="6" t="s">
        <v>39</v>
      </c>
      <c r="F11926" s="6" t="s">
        <v>494</v>
      </c>
      <c r="G11926" s="6" t="s">
        <v>2110</v>
      </c>
      <c r="H11926" s="6" t="s">
        <v>2391</v>
      </c>
      <c r="I11926" s="6" t="s">
        <v>31</v>
      </c>
      <c r="J11926" s="6">
        <v>16.406759000000001</v>
      </c>
      <c r="K11926" s="6">
        <v>-97.227300999999997</v>
      </c>
      <c r="L11926" s="6" t="str">
        <f>HYPERLINK("https://maps.google.com/?q=16.406759,-97.227300999999997", "🔗 Ver Mapa")</f>
        <v>🔗 Ver Mapa</v>
      </c>
    </row>
    <row r="11927" spans="1:12" ht="43.5" x14ac:dyDescent="0.35">
      <c r="A11927" s="5" t="s">
        <v>288</v>
      </c>
      <c r="B11927" s="5" t="s">
        <v>289</v>
      </c>
      <c r="C11927" s="5" t="s">
        <v>2390</v>
      </c>
      <c r="D11927" s="5" t="s">
        <v>745</v>
      </c>
      <c r="E11927" s="5" t="s">
        <v>39</v>
      </c>
      <c r="F11927" s="5" t="s">
        <v>494</v>
      </c>
      <c r="G11927" s="5" t="s">
        <v>2110</v>
      </c>
      <c r="H11927" s="5" t="s">
        <v>2391</v>
      </c>
      <c r="I11927" s="5" t="s">
        <v>31</v>
      </c>
      <c r="J11927" s="5">
        <v>16.406784999999999</v>
      </c>
      <c r="K11927" s="5">
        <v>-97.226027000000002</v>
      </c>
      <c r="L11927" s="5" t="str">
        <f>HYPERLINK("https://maps.google.com/?q=16.406785,-97.226027000000002", "🔗 Ver Mapa")</f>
        <v>🔗 Ver Mapa</v>
      </c>
    </row>
    <row r="11928" spans="1:12" ht="43.5" x14ac:dyDescent="0.35">
      <c r="A11928" s="6" t="s">
        <v>288</v>
      </c>
      <c r="B11928" s="6" t="s">
        <v>289</v>
      </c>
      <c r="C11928" s="6" t="s">
        <v>2390</v>
      </c>
      <c r="D11928" s="6" t="s">
        <v>745</v>
      </c>
      <c r="E11928" s="6" t="s">
        <v>39</v>
      </c>
      <c r="F11928" s="6" t="s">
        <v>494</v>
      </c>
      <c r="G11928" s="6" t="s">
        <v>2110</v>
      </c>
      <c r="H11928" s="6" t="s">
        <v>2391</v>
      </c>
      <c r="I11928" s="6" t="s">
        <v>31</v>
      </c>
      <c r="J11928" s="6">
        <v>16.406942999999998</v>
      </c>
      <c r="K11928" s="6">
        <v>-97.225548000000003</v>
      </c>
      <c r="L11928" s="6" t="str">
        <f>HYPERLINK("https://maps.google.com/?q=16.406943,-97.225548000000003", "🔗 Ver Mapa")</f>
        <v>🔗 Ver Mapa</v>
      </c>
    </row>
    <row r="11929" spans="1:12" ht="58" x14ac:dyDescent="0.35">
      <c r="A11929" s="5" t="s">
        <v>98</v>
      </c>
      <c r="B11929" s="5" t="s">
        <v>99</v>
      </c>
      <c r="C11929" s="5" t="s">
        <v>2392</v>
      </c>
      <c r="D11929" s="5" t="s">
        <v>14</v>
      </c>
      <c r="E11929" s="5" t="s">
        <v>158</v>
      </c>
      <c r="F11929" s="5" t="s">
        <v>166</v>
      </c>
      <c r="G11929" s="5" t="s">
        <v>167</v>
      </c>
      <c r="H11929" s="5" t="s">
        <v>168</v>
      </c>
      <c r="I11929" s="5" t="s">
        <v>31</v>
      </c>
      <c r="J11929" s="5">
        <v>16.331688891353998</v>
      </c>
      <c r="K11929" s="5">
        <v>-95.240192609608997</v>
      </c>
      <c r="L11929" s="5" t="str">
        <f>HYPERLINK("https://maps.google.com/?q=16.3316888913536,-95.240192609608897", "🔗 Ver Mapa")</f>
        <v>🔗 Ver Mapa</v>
      </c>
    </row>
    <row r="11930" spans="1:12" ht="58" x14ac:dyDescent="0.35">
      <c r="A11930" s="6" t="s">
        <v>98</v>
      </c>
      <c r="B11930" s="6" t="s">
        <v>99</v>
      </c>
      <c r="C11930" s="6" t="s">
        <v>2392</v>
      </c>
      <c r="D11930" s="6" t="s">
        <v>14</v>
      </c>
      <c r="E11930" s="6" t="s">
        <v>158</v>
      </c>
      <c r="F11930" s="6" t="s">
        <v>166</v>
      </c>
      <c r="G11930" s="6" t="s">
        <v>167</v>
      </c>
      <c r="H11930" s="6" t="s">
        <v>168</v>
      </c>
      <c r="I11930" s="6" t="s">
        <v>31</v>
      </c>
      <c r="J11930" s="6">
        <v>16.331758388846001</v>
      </c>
      <c r="K11930" s="6">
        <v>-95.239999490559995</v>
      </c>
      <c r="L11930" s="6" t="str">
        <f>HYPERLINK("https://maps.google.com/?q=16.3317583888459,-95.239999490559896", "🔗 Ver Mapa")</f>
        <v>🔗 Ver Mapa</v>
      </c>
    </row>
    <row r="11931" spans="1:12" ht="58" x14ac:dyDescent="0.35">
      <c r="A11931" s="5" t="s">
        <v>98</v>
      </c>
      <c r="B11931" s="5" t="s">
        <v>99</v>
      </c>
      <c r="C11931" s="5" t="s">
        <v>2392</v>
      </c>
      <c r="D11931" s="5" t="s">
        <v>14</v>
      </c>
      <c r="E11931" s="5" t="s">
        <v>158</v>
      </c>
      <c r="F11931" s="5" t="s">
        <v>166</v>
      </c>
      <c r="G11931" s="5" t="s">
        <v>167</v>
      </c>
      <c r="H11931" s="5" t="s">
        <v>168</v>
      </c>
      <c r="I11931" s="5" t="s">
        <v>31</v>
      </c>
      <c r="J11931" s="5">
        <v>16.331781557227998</v>
      </c>
      <c r="K11931" s="5">
        <v>-95.239795642675006</v>
      </c>
      <c r="L11931" s="5" t="str">
        <f>HYPERLINK("https://maps.google.com/?q=16.3317815572283,-95.239795642674906", "🔗 Ver Mapa")</f>
        <v>🔗 Ver Mapa</v>
      </c>
    </row>
    <row r="11932" spans="1:12" ht="58" x14ac:dyDescent="0.35">
      <c r="A11932" s="6" t="s">
        <v>98</v>
      </c>
      <c r="B11932" s="6" t="s">
        <v>99</v>
      </c>
      <c r="C11932" s="6" t="s">
        <v>2392</v>
      </c>
      <c r="D11932" s="6" t="s">
        <v>14</v>
      </c>
      <c r="E11932" s="6" t="s">
        <v>158</v>
      </c>
      <c r="F11932" s="6" t="s">
        <v>166</v>
      </c>
      <c r="G11932" s="6" t="s">
        <v>167</v>
      </c>
      <c r="H11932" s="6" t="s">
        <v>168</v>
      </c>
      <c r="I11932" s="6" t="s">
        <v>31</v>
      </c>
      <c r="J11932" s="6">
        <v>16.331807297030998</v>
      </c>
      <c r="K11932" s="6">
        <v>-95.240232842744007</v>
      </c>
      <c r="L11932" s="6" t="str">
        <f>HYPERLINK("https://maps.google.com/?q=16.3318072970309,-95.240232842744106", "🔗 Ver Mapa")</f>
        <v>🔗 Ver Mapa</v>
      </c>
    </row>
    <row r="11933" spans="1:12" ht="58" x14ac:dyDescent="0.35">
      <c r="A11933" s="5" t="s">
        <v>98</v>
      </c>
      <c r="B11933" s="5" t="s">
        <v>99</v>
      </c>
      <c r="C11933" s="5" t="s">
        <v>2392</v>
      </c>
      <c r="D11933" s="5" t="s">
        <v>14</v>
      </c>
      <c r="E11933" s="5" t="s">
        <v>158</v>
      </c>
      <c r="F11933" s="5" t="s">
        <v>166</v>
      </c>
      <c r="G11933" s="5" t="s">
        <v>167</v>
      </c>
      <c r="H11933" s="5" t="s">
        <v>168</v>
      </c>
      <c r="I11933" s="5" t="s">
        <v>31</v>
      </c>
      <c r="J11933" s="5">
        <v>16.331977177085999</v>
      </c>
      <c r="K11933" s="5">
        <v>-95.239353078188003</v>
      </c>
      <c r="L11933" s="5" t="str">
        <f>HYPERLINK("https://maps.google.com/?q=16.3319771770862,-95.239353078187506", "🔗 Ver Mapa")</f>
        <v>🔗 Ver Mapa</v>
      </c>
    </row>
    <row r="11934" spans="1:12" ht="58" x14ac:dyDescent="0.35">
      <c r="A11934" s="6" t="s">
        <v>98</v>
      </c>
      <c r="B11934" s="6" t="s">
        <v>99</v>
      </c>
      <c r="C11934" s="6" t="s">
        <v>2393</v>
      </c>
      <c r="D11934" s="6" t="s">
        <v>14</v>
      </c>
      <c r="E11934" s="6" t="s">
        <v>158</v>
      </c>
      <c r="F11934" s="6" t="s">
        <v>166</v>
      </c>
      <c r="G11934" s="6" t="s">
        <v>167</v>
      </c>
      <c r="H11934" s="6" t="s">
        <v>168</v>
      </c>
      <c r="I11934" s="6" t="s">
        <v>31</v>
      </c>
      <c r="J11934" s="6">
        <v>16.331688891353998</v>
      </c>
      <c r="K11934" s="6">
        <v>-95.240192609608997</v>
      </c>
      <c r="L11934" s="6" t="str">
        <f>HYPERLINK("https://maps.google.com/?q=16.3316888913536,-95.240192609608897", "🔗 Ver Mapa")</f>
        <v>🔗 Ver Mapa</v>
      </c>
    </row>
    <row r="11935" spans="1:12" ht="58" x14ac:dyDescent="0.35">
      <c r="A11935" s="5" t="s">
        <v>98</v>
      </c>
      <c r="B11935" s="5" t="s">
        <v>99</v>
      </c>
      <c r="C11935" s="5" t="s">
        <v>2393</v>
      </c>
      <c r="D11935" s="5" t="s">
        <v>14</v>
      </c>
      <c r="E11935" s="5" t="s">
        <v>158</v>
      </c>
      <c r="F11935" s="5" t="s">
        <v>166</v>
      </c>
      <c r="G11935" s="5" t="s">
        <v>167</v>
      </c>
      <c r="H11935" s="5" t="s">
        <v>168</v>
      </c>
      <c r="I11935" s="5" t="s">
        <v>31</v>
      </c>
      <c r="J11935" s="5">
        <v>16.331758388846001</v>
      </c>
      <c r="K11935" s="5">
        <v>-95.239999490559995</v>
      </c>
      <c r="L11935" s="5" t="str">
        <f>HYPERLINK("https://maps.google.com/?q=16.3317583888459,-95.239999490559896", "🔗 Ver Mapa")</f>
        <v>🔗 Ver Mapa</v>
      </c>
    </row>
    <row r="11936" spans="1:12" ht="58" x14ac:dyDescent="0.35">
      <c r="A11936" s="6" t="s">
        <v>98</v>
      </c>
      <c r="B11936" s="6" t="s">
        <v>99</v>
      </c>
      <c r="C11936" s="6" t="s">
        <v>2393</v>
      </c>
      <c r="D11936" s="6" t="s">
        <v>14</v>
      </c>
      <c r="E11936" s="6" t="s">
        <v>158</v>
      </c>
      <c r="F11936" s="6" t="s">
        <v>166</v>
      </c>
      <c r="G11936" s="6" t="s">
        <v>167</v>
      </c>
      <c r="H11936" s="6" t="s">
        <v>168</v>
      </c>
      <c r="I11936" s="6" t="s">
        <v>31</v>
      </c>
      <c r="J11936" s="6">
        <v>16.331781557227998</v>
      </c>
      <c r="K11936" s="6">
        <v>-95.239795642675006</v>
      </c>
      <c r="L11936" s="6" t="str">
        <f>HYPERLINK("https://maps.google.com/?q=16.3317815572283,-95.239795642674906", "🔗 Ver Mapa")</f>
        <v>🔗 Ver Mapa</v>
      </c>
    </row>
    <row r="11937" spans="1:12" ht="58" x14ac:dyDescent="0.35">
      <c r="A11937" s="5" t="s">
        <v>98</v>
      </c>
      <c r="B11937" s="5" t="s">
        <v>99</v>
      </c>
      <c r="C11937" s="5" t="s">
        <v>2393</v>
      </c>
      <c r="D11937" s="5" t="s">
        <v>14</v>
      </c>
      <c r="E11937" s="5" t="s">
        <v>158</v>
      </c>
      <c r="F11937" s="5" t="s">
        <v>166</v>
      </c>
      <c r="G11937" s="5" t="s">
        <v>167</v>
      </c>
      <c r="H11937" s="5" t="s">
        <v>168</v>
      </c>
      <c r="I11937" s="5" t="s">
        <v>31</v>
      </c>
      <c r="J11937" s="5">
        <v>16.331807297030998</v>
      </c>
      <c r="K11937" s="5">
        <v>-95.240232842744007</v>
      </c>
      <c r="L11937" s="5" t="str">
        <f>HYPERLINK("https://maps.google.com/?q=16.3318072970309,-95.240232842744106", "🔗 Ver Mapa")</f>
        <v>🔗 Ver Mapa</v>
      </c>
    </row>
    <row r="11938" spans="1:12" ht="58" x14ac:dyDescent="0.35">
      <c r="A11938" s="6" t="s">
        <v>98</v>
      </c>
      <c r="B11938" s="6" t="s">
        <v>99</v>
      </c>
      <c r="C11938" s="6" t="s">
        <v>2393</v>
      </c>
      <c r="D11938" s="6" t="s">
        <v>14</v>
      </c>
      <c r="E11938" s="6" t="s">
        <v>158</v>
      </c>
      <c r="F11938" s="6" t="s">
        <v>166</v>
      </c>
      <c r="G11938" s="6" t="s">
        <v>167</v>
      </c>
      <c r="H11938" s="6" t="s">
        <v>168</v>
      </c>
      <c r="I11938" s="6" t="s">
        <v>31</v>
      </c>
      <c r="J11938" s="6">
        <v>16.331977177085999</v>
      </c>
      <c r="K11938" s="6">
        <v>-95.239353078188003</v>
      </c>
      <c r="L11938" s="6" t="str">
        <f>HYPERLINK("https://maps.google.com/?q=16.3319771770862,-95.239353078187506", "🔗 Ver Mapa")</f>
        <v>🔗 Ver Mapa</v>
      </c>
    </row>
    <row r="11939" spans="1:12" ht="43.5" x14ac:dyDescent="0.35">
      <c r="A11939" s="5" t="s">
        <v>98</v>
      </c>
      <c r="B11939" s="5" t="s">
        <v>99</v>
      </c>
      <c r="C11939" s="5" t="s">
        <v>2394</v>
      </c>
      <c r="D11939" s="5" t="s">
        <v>14</v>
      </c>
      <c r="E11939" s="5" t="s">
        <v>16</v>
      </c>
      <c r="F11939" s="5" t="s">
        <v>215</v>
      </c>
      <c r="G11939" s="5" t="s">
        <v>216</v>
      </c>
      <c r="H11939" s="5" t="s">
        <v>2395</v>
      </c>
      <c r="I11939" s="5" t="s">
        <v>31</v>
      </c>
      <c r="J11939" s="5">
        <v>17.235055783025</v>
      </c>
      <c r="K11939" s="5">
        <v>-97.914895336377</v>
      </c>
      <c r="L11939" s="5" t="str">
        <f>HYPERLINK("https://maps.google.com/?q=17.235055783025,-97.914895336376802", "🔗 Ver Mapa")</f>
        <v>🔗 Ver Mapa</v>
      </c>
    </row>
    <row r="11940" spans="1:12" ht="43.5" x14ac:dyDescent="0.35">
      <c r="A11940" s="6" t="s">
        <v>98</v>
      </c>
      <c r="B11940" s="6" t="s">
        <v>99</v>
      </c>
      <c r="C11940" s="6" t="s">
        <v>2394</v>
      </c>
      <c r="D11940" s="6" t="s">
        <v>14</v>
      </c>
      <c r="E11940" s="6" t="s">
        <v>16</v>
      </c>
      <c r="F11940" s="6" t="s">
        <v>215</v>
      </c>
      <c r="G11940" s="6" t="s">
        <v>216</v>
      </c>
      <c r="H11940" s="6" t="s">
        <v>2395</v>
      </c>
      <c r="I11940" s="6" t="s">
        <v>31</v>
      </c>
      <c r="J11940" s="6">
        <v>17.235318584087999</v>
      </c>
      <c r="K11940" s="6">
        <v>-97.911695745052995</v>
      </c>
      <c r="L11940" s="6" t="str">
        <f>HYPERLINK("https://maps.google.com/?q=17.2353185840877,-97.911695745052597", "🔗 Ver Mapa")</f>
        <v>🔗 Ver Mapa</v>
      </c>
    </row>
    <row r="11941" spans="1:12" ht="43.5" x14ac:dyDescent="0.35">
      <c r="A11941" s="5" t="s">
        <v>98</v>
      </c>
      <c r="B11941" s="5" t="s">
        <v>99</v>
      </c>
      <c r="C11941" s="5" t="s">
        <v>2394</v>
      </c>
      <c r="D11941" s="5" t="s">
        <v>14</v>
      </c>
      <c r="E11941" s="5" t="s">
        <v>16</v>
      </c>
      <c r="F11941" s="5" t="s">
        <v>215</v>
      </c>
      <c r="G11941" s="5" t="s">
        <v>216</v>
      </c>
      <c r="H11941" s="5" t="s">
        <v>2395</v>
      </c>
      <c r="I11941" s="5" t="s">
        <v>31</v>
      </c>
      <c r="J11941" s="5">
        <v>17.236945966690001</v>
      </c>
      <c r="K11941" s="5">
        <v>-97.917524709158002</v>
      </c>
      <c r="L11941" s="5" t="str">
        <f>HYPERLINK("https://maps.google.com/?q=17.2369459666895,-97.917524709158002", "🔗 Ver Mapa")</f>
        <v>🔗 Ver Mapa</v>
      </c>
    </row>
    <row r="11942" spans="1:12" ht="43.5" x14ac:dyDescent="0.35">
      <c r="A11942" s="6" t="s">
        <v>98</v>
      </c>
      <c r="B11942" s="6" t="s">
        <v>99</v>
      </c>
      <c r="C11942" s="6" t="s">
        <v>2394</v>
      </c>
      <c r="D11942" s="6" t="s">
        <v>14</v>
      </c>
      <c r="E11942" s="6" t="s">
        <v>16</v>
      </c>
      <c r="F11942" s="6" t="s">
        <v>215</v>
      </c>
      <c r="G11942" s="6" t="s">
        <v>216</v>
      </c>
      <c r="H11942" s="6" t="s">
        <v>2395</v>
      </c>
      <c r="I11942" s="6" t="s">
        <v>31</v>
      </c>
      <c r="J11942" s="6">
        <v>17.237972501209001</v>
      </c>
      <c r="K11942" s="6">
        <v>-97.917086431518996</v>
      </c>
      <c r="L11942" s="6" t="str">
        <f>HYPERLINK("https://maps.google.com/?q=17.2379725012092,-97.917086431518797", "🔗 Ver Mapa")</f>
        <v>🔗 Ver Mapa</v>
      </c>
    </row>
    <row r="11943" spans="1:12" ht="43.5" x14ac:dyDescent="0.35">
      <c r="A11943" s="5" t="s">
        <v>98</v>
      </c>
      <c r="B11943" s="5" t="s">
        <v>99</v>
      </c>
      <c r="C11943" s="5" t="s">
        <v>2394</v>
      </c>
      <c r="D11943" s="5" t="s">
        <v>14</v>
      </c>
      <c r="E11943" s="5" t="s">
        <v>16</v>
      </c>
      <c r="F11943" s="5" t="s">
        <v>215</v>
      </c>
      <c r="G11943" s="5" t="s">
        <v>216</v>
      </c>
      <c r="H11943" s="5" t="s">
        <v>2395</v>
      </c>
      <c r="I11943" s="5" t="s">
        <v>31</v>
      </c>
      <c r="J11943" s="5">
        <v>17.238008061332</v>
      </c>
      <c r="K11943" s="5">
        <v>-97.918231326389005</v>
      </c>
      <c r="L11943" s="5" t="str">
        <f>HYPERLINK("https://maps.google.com/?q=17.238008061332,-97.918231326389304", "🔗 Ver Mapa")</f>
        <v>🔗 Ver Mapa</v>
      </c>
    </row>
    <row r="11944" spans="1:12" ht="43.5" x14ac:dyDescent="0.35">
      <c r="A11944" s="6" t="s">
        <v>98</v>
      </c>
      <c r="B11944" s="6" t="s">
        <v>99</v>
      </c>
      <c r="C11944" s="6" t="s">
        <v>2394</v>
      </c>
      <c r="D11944" s="6" t="s">
        <v>14</v>
      </c>
      <c r="E11944" s="6" t="s">
        <v>16</v>
      </c>
      <c r="F11944" s="6" t="s">
        <v>215</v>
      </c>
      <c r="G11944" s="6" t="s">
        <v>216</v>
      </c>
      <c r="H11944" s="6" t="s">
        <v>2395</v>
      </c>
      <c r="I11944" s="6" t="s">
        <v>31</v>
      </c>
      <c r="J11944" s="6">
        <v>17.238043305478001</v>
      </c>
      <c r="K11944" s="6">
        <v>-97.921594631139001</v>
      </c>
      <c r="L11944" s="6" t="str">
        <f>HYPERLINK("https://maps.google.com/?q=17.2380433054783,-97.921594631138902", "🔗 Ver Mapa")</f>
        <v>🔗 Ver Mapa</v>
      </c>
    </row>
    <row r="11945" spans="1:12" ht="43.5" x14ac:dyDescent="0.35">
      <c r="A11945" s="5" t="s">
        <v>98</v>
      </c>
      <c r="B11945" s="5" t="s">
        <v>99</v>
      </c>
      <c r="C11945" s="5" t="s">
        <v>2394</v>
      </c>
      <c r="D11945" s="5" t="s">
        <v>14</v>
      </c>
      <c r="E11945" s="5" t="s">
        <v>16</v>
      </c>
      <c r="F11945" s="5" t="s">
        <v>215</v>
      </c>
      <c r="G11945" s="5" t="s">
        <v>216</v>
      </c>
      <c r="H11945" s="5" t="s">
        <v>2395</v>
      </c>
      <c r="I11945" s="5" t="s">
        <v>31</v>
      </c>
      <c r="J11945" s="5">
        <v>17.238161721844001</v>
      </c>
      <c r="K11945" s="5">
        <v>-97.916973419643</v>
      </c>
      <c r="L11945" s="5" t="str">
        <f>HYPERLINK("https://maps.google.com/?q=17.238161721844,-97.916973419643298", "🔗 Ver Mapa")</f>
        <v>🔗 Ver Mapa</v>
      </c>
    </row>
    <row r="11946" spans="1:12" ht="43.5" x14ac:dyDescent="0.35">
      <c r="A11946" s="6" t="s">
        <v>98</v>
      </c>
      <c r="B11946" s="6" t="s">
        <v>99</v>
      </c>
      <c r="C11946" s="6" t="s">
        <v>2394</v>
      </c>
      <c r="D11946" s="6" t="s">
        <v>14</v>
      </c>
      <c r="E11946" s="6" t="s">
        <v>16</v>
      </c>
      <c r="F11946" s="6" t="s">
        <v>215</v>
      </c>
      <c r="G11946" s="6" t="s">
        <v>216</v>
      </c>
      <c r="H11946" s="6" t="s">
        <v>2395</v>
      </c>
      <c r="I11946" s="6" t="s">
        <v>31</v>
      </c>
      <c r="J11946" s="6">
        <v>17.238418598397999</v>
      </c>
      <c r="K11946" s="6">
        <v>-97.91880379266</v>
      </c>
      <c r="L11946" s="6" t="str">
        <f>HYPERLINK("https://maps.google.com/?q=17.2384185983982,-97.918803792659702", "🔗 Ver Mapa")</f>
        <v>🔗 Ver Mapa</v>
      </c>
    </row>
    <row r="11947" spans="1:12" ht="43.5" x14ac:dyDescent="0.35">
      <c r="A11947" s="5" t="s">
        <v>98</v>
      </c>
      <c r="B11947" s="5" t="s">
        <v>99</v>
      </c>
      <c r="C11947" s="5" t="s">
        <v>2394</v>
      </c>
      <c r="D11947" s="5" t="s">
        <v>14</v>
      </c>
      <c r="E11947" s="5" t="s">
        <v>16</v>
      </c>
      <c r="F11947" s="5" t="s">
        <v>215</v>
      </c>
      <c r="G11947" s="5" t="s">
        <v>216</v>
      </c>
      <c r="H11947" s="5" t="s">
        <v>2395</v>
      </c>
      <c r="I11947" s="5" t="s">
        <v>31</v>
      </c>
      <c r="J11947" s="5">
        <v>17.239024764745999</v>
      </c>
      <c r="K11947" s="5">
        <v>-97.918447763228997</v>
      </c>
      <c r="L11947" s="5" t="str">
        <f>HYPERLINK("https://maps.google.com/?q=17.2390247647462,-97.918447763229295", "🔗 Ver Mapa")</f>
        <v>🔗 Ver Mapa</v>
      </c>
    </row>
    <row r="11948" spans="1:12" ht="43.5" x14ac:dyDescent="0.35">
      <c r="A11948" s="6" t="s">
        <v>98</v>
      </c>
      <c r="B11948" s="6" t="s">
        <v>99</v>
      </c>
      <c r="C11948" s="6" t="s">
        <v>2394</v>
      </c>
      <c r="D11948" s="6" t="s">
        <v>14</v>
      </c>
      <c r="E11948" s="6" t="s">
        <v>16</v>
      </c>
      <c r="F11948" s="6" t="s">
        <v>215</v>
      </c>
      <c r="G11948" s="6" t="s">
        <v>216</v>
      </c>
      <c r="H11948" s="6" t="s">
        <v>2395</v>
      </c>
      <c r="I11948" s="6" t="s">
        <v>31</v>
      </c>
      <c r="J11948" s="6">
        <v>17.240024968663999</v>
      </c>
      <c r="K11948" s="6">
        <v>-97.918954999999997</v>
      </c>
      <c r="L11948" s="6" t="str">
        <f>HYPERLINK("https://maps.google.com/?q=17.2400249686636,-97.918954999999997", "🔗 Ver Mapa")</f>
        <v>🔗 Ver Mapa</v>
      </c>
    </row>
    <row r="11949" spans="1:12" ht="43.5" x14ac:dyDescent="0.35">
      <c r="A11949" s="5" t="s">
        <v>98</v>
      </c>
      <c r="B11949" s="5" t="s">
        <v>99</v>
      </c>
      <c r="C11949" s="5" t="s">
        <v>2394</v>
      </c>
      <c r="D11949" s="5" t="s">
        <v>14</v>
      </c>
      <c r="E11949" s="5" t="s">
        <v>16</v>
      </c>
      <c r="F11949" s="5" t="s">
        <v>215</v>
      </c>
      <c r="G11949" s="5" t="s">
        <v>216</v>
      </c>
      <c r="H11949" s="5" t="s">
        <v>2395</v>
      </c>
      <c r="I11949" s="5" t="s">
        <v>31</v>
      </c>
      <c r="J11949" s="5">
        <v>17.240226709043</v>
      </c>
      <c r="K11949" s="5">
        <v>-97.920401326388998</v>
      </c>
      <c r="L11949" s="5" t="str">
        <f>HYPERLINK("https://maps.google.com/?q=17.2402267090427,-97.920401326389296", "🔗 Ver Mapa")</f>
        <v>🔗 Ver Mapa</v>
      </c>
    </row>
    <row r="11950" spans="1:12" ht="43.5" x14ac:dyDescent="0.35">
      <c r="A11950" s="6" t="s">
        <v>98</v>
      </c>
      <c r="B11950" s="6" t="s">
        <v>99</v>
      </c>
      <c r="C11950" s="6" t="s">
        <v>2394</v>
      </c>
      <c r="D11950" s="6" t="s">
        <v>14</v>
      </c>
      <c r="E11950" s="6" t="s">
        <v>16</v>
      </c>
      <c r="F11950" s="6" t="s">
        <v>215</v>
      </c>
      <c r="G11950" s="6" t="s">
        <v>216</v>
      </c>
      <c r="H11950" s="6" t="s">
        <v>2395</v>
      </c>
      <c r="I11950" s="6" t="s">
        <v>31</v>
      </c>
      <c r="J11950" s="6">
        <v>17.240955372841</v>
      </c>
      <c r="K11950" s="6">
        <v>-97.919546131282999</v>
      </c>
      <c r="L11950" s="6" t="str">
        <f>HYPERLINK("https://maps.google.com/?q=17.2409553728406,-97.919546131282701", "🔗 Ver Mapa")</f>
        <v>🔗 Ver Mapa</v>
      </c>
    </row>
    <row r="11951" spans="1:12" ht="43.5" x14ac:dyDescent="0.35">
      <c r="A11951" s="5" t="s">
        <v>98</v>
      </c>
      <c r="B11951" s="5" t="s">
        <v>99</v>
      </c>
      <c r="C11951" s="5" t="s">
        <v>2396</v>
      </c>
      <c r="D11951" s="5" t="s">
        <v>14</v>
      </c>
      <c r="E11951" s="5" t="s">
        <v>52</v>
      </c>
      <c r="F11951" s="5" t="s">
        <v>228</v>
      </c>
      <c r="G11951" s="5" t="s">
        <v>2343</v>
      </c>
      <c r="H11951" s="5" t="s">
        <v>2397</v>
      </c>
      <c r="I11951" s="5" t="s">
        <v>31</v>
      </c>
      <c r="J11951" s="5">
        <v>16.794294998458</v>
      </c>
      <c r="K11951" s="5">
        <v>-96.716692902267994</v>
      </c>
      <c r="L11951" s="5" t="str">
        <f>HYPERLINK("https://maps.google.com/?q=16.7942949984578,-96.716692902268093", "🔗 Ver Mapa")</f>
        <v>🔗 Ver Mapa</v>
      </c>
    </row>
    <row r="11952" spans="1:12" ht="43.5" x14ac:dyDescent="0.35">
      <c r="A11952" s="6" t="s">
        <v>98</v>
      </c>
      <c r="B11952" s="6" t="s">
        <v>99</v>
      </c>
      <c r="C11952" s="6" t="s">
        <v>2396</v>
      </c>
      <c r="D11952" s="6" t="s">
        <v>14</v>
      </c>
      <c r="E11952" s="6" t="s">
        <v>52</v>
      </c>
      <c r="F11952" s="6" t="s">
        <v>228</v>
      </c>
      <c r="G11952" s="6" t="s">
        <v>2343</v>
      </c>
      <c r="H11952" s="6" t="s">
        <v>2397</v>
      </c>
      <c r="I11952" s="6" t="s">
        <v>31</v>
      </c>
      <c r="J11952" s="6">
        <v>16.795240891811002</v>
      </c>
      <c r="K11952" s="6">
        <v>-96.721923127099998</v>
      </c>
      <c r="L11952" s="6" t="str">
        <f>HYPERLINK("https://maps.google.com/?q=16.7952408918107,-96.721923127099799", "🔗 Ver Mapa")</f>
        <v>🔗 Ver Mapa</v>
      </c>
    </row>
    <row r="11953" spans="1:12" ht="43.5" x14ac:dyDescent="0.35">
      <c r="A11953" s="5" t="s">
        <v>98</v>
      </c>
      <c r="B11953" s="5" t="s">
        <v>99</v>
      </c>
      <c r="C11953" s="5" t="s">
        <v>2396</v>
      </c>
      <c r="D11953" s="5" t="s">
        <v>14</v>
      </c>
      <c r="E11953" s="5" t="s">
        <v>52</v>
      </c>
      <c r="F11953" s="5" t="s">
        <v>228</v>
      </c>
      <c r="G11953" s="5" t="s">
        <v>2343</v>
      </c>
      <c r="H11953" s="5" t="s">
        <v>2397</v>
      </c>
      <c r="I11953" s="5" t="s">
        <v>31</v>
      </c>
      <c r="J11953" s="5">
        <v>16.795868881036998</v>
      </c>
      <c r="K11953" s="5">
        <v>-96.715969517790995</v>
      </c>
      <c r="L11953" s="5" t="str">
        <f>HYPERLINK("https://maps.google.com/?q=16.7958688810365,-96.715969517790597", "🔗 Ver Mapa")</f>
        <v>🔗 Ver Mapa</v>
      </c>
    </row>
    <row r="11954" spans="1:12" ht="43.5" x14ac:dyDescent="0.35">
      <c r="A11954" s="6" t="s">
        <v>98</v>
      </c>
      <c r="B11954" s="6" t="s">
        <v>99</v>
      </c>
      <c r="C11954" s="6" t="s">
        <v>2396</v>
      </c>
      <c r="D11954" s="6" t="s">
        <v>14</v>
      </c>
      <c r="E11954" s="6" t="s">
        <v>52</v>
      </c>
      <c r="F11954" s="6" t="s">
        <v>228</v>
      </c>
      <c r="G11954" s="6" t="s">
        <v>2343</v>
      </c>
      <c r="H11954" s="6" t="s">
        <v>2397</v>
      </c>
      <c r="I11954" s="6" t="s">
        <v>31</v>
      </c>
      <c r="J11954" s="6">
        <v>16.795975386527001</v>
      </c>
      <c r="K11954" s="6">
        <v>-96.716542182208997</v>
      </c>
      <c r="L11954" s="6" t="str">
        <f>HYPERLINK("https://maps.google.com/?q=16.7959753865268,-96.716542182208798", "🔗 Ver Mapa")</f>
        <v>🔗 Ver Mapa</v>
      </c>
    </row>
    <row r="11955" spans="1:12" ht="43.5" x14ac:dyDescent="0.35">
      <c r="A11955" s="5" t="s">
        <v>98</v>
      </c>
      <c r="B11955" s="5" t="s">
        <v>99</v>
      </c>
      <c r="C11955" s="5" t="s">
        <v>2396</v>
      </c>
      <c r="D11955" s="5" t="s">
        <v>14</v>
      </c>
      <c r="E11955" s="5" t="s">
        <v>52</v>
      </c>
      <c r="F11955" s="5" t="s">
        <v>228</v>
      </c>
      <c r="G11955" s="5" t="s">
        <v>2343</v>
      </c>
      <c r="H11955" s="5" t="s">
        <v>2397</v>
      </c>
      <c r="I11955" s="5" t="s">
        <v>31</v>
      </c>
      <c r="J11955" s="5">
        <v>16.797021358176998</v>
      </c>
      <c r="K11955" s="5">
        <v>-96.716345813372996</v>
      </c>
      <c r="L11955" s="5" t="str">
        <f>HYPERLINK("https://maps.google.com/?q=16.7970213581767,-96.716345813372698", "🔗 Ver Mapa")</f>
        <v>🔗 Ver Mapa</v>
      </c>
    </row>
    <row r="11956" spans="1:12" ht="43.5" x14ac:dyDescent="0.35">
      <c r="A11956" s="6" t="s">
        <v>98</v>
      </c>
      <c r="B11956" s="6" t="s">
        <v>99</v>
      </c>
      <c r="C11956" s="6" t="s">
        <v>2396</v>
      </c>
      <c r="D11956" s="6" t="s">
        <v>14</v>
      </c>
      <c r="E11956" s="6" t="s">
        <v>52</v>
      </c>
      <c r="F11956" s="6" t="s">
        <v>228</v>
      </c>
      <c r="G11956" s="6" t="s">
        <v>2343</v>
      </c>
      <c r="H11956" s="6" t="s">
        <v>2397</v>
      </c>
      <c r="I11956" s="6" t="s">
        <v>31</v>
      </c>
      <c r="J11956" s="6">
        <v>16.797040751994</v>
      </c>
      <c r="K11956" s="6">
        <v>-96.712614304577002</v>
      </c>
      <c r="L11956" s="6" t="str">
        <f>HYPERLINK("https://maps.google.com/?q=16.7970407519936,-96.712614304577102", "🔗 Ver Mapa")</f>
        <v>🔗 Ver Mapa</v>
      </c>
    </row>
    <row r="11957" spans="1:12" ht="43.5" x14ac:dyDescent="0.35">
      <c r="A11957" s="5" t="s">
        <v>98</v>
      </c>
      <c r="B11957" s="5" t="s">
        <v>99</v>
      </c>
      <c r="C11957" s="5" t="s">
        <v>2396</v>
      </c>
      <c r="D11957" s="5" t="s">
        <v>14</v>
      </c>
      <c r="E11957" s="5" t="s">
        <v>52</v>
      </c>
      <c r="F11957" s="5" t="s">
        <v>228</v>
      </c>
      <c r="G11957" s="5" t="s">
        <v>2343</v>
      </c>
      <c r="H11957" s="5" t="s">
        <v>2397</v>
      </c>
      <c r="I11957" s="5" t="s">
        <v>31</v>
      </c>
      <c r="J11957" s="5">
        <v>16.797070262634001</v>
      </c>
      <c r="K11957" s="5">
        <v>-96.716728540000005</v>
      </c>
      <c r="L11957" s="5" t="str">
        <f>HYPERLINK("https://maps.google.com/?q=16.7970702626342,-96.716728539999707", "🔗 Ver Mapa")</f>
        <v>🔗 Ver Mapa</v>
      </c>
    </row>
    <row r="11958" spans="1:12" ht="43.5" x14ac:dyDescent="0.35">
      <c r="A11958" s="6" t="s">
        <v>98</v>
      </c>
      <c r="B11958" s="6" t="s">
        <v>99</v>
      </c>
      <c r="C11958" s="6" t="s">
        <v>2396</v>
      </c>
      <c r="D11958" s="6" t="s">
        <v>14</v>
      </c>
      <c r="E11958" s="6" t="s">
        <v>52</v>
      </c>
      <c r="F11958" s="6" t="s">
        <v>228</v>
      </c>
      <c r="G11958" s="6" t="s">
        <v>2343</v>
      </c>
      <c r="H11958" s="6" t="s">
        <v>2397</v>
      </c>
      <c r="I11958" s="6" t="s">
        <v>31</v>
      </c>
      <c r="J11958" s="6">
        <v>16.797253519160002</v>
      </c>
      <c r="K11958" s="6">
        <v>-96.722344487103001</v>
      </c>
      <c r="L11958" s="6" t="str">
        <f>HYPERLINK("https://maps.google.com/?q=16.7972535191603,-96.722344487102603", "🔗 Ver Mapa")</f>
        <v>🔗 Ver Mapa</v>
      </c>
    </row>
    <row r="11959" spans="1:12" ht="43.5" x14ac:dyDescent="0.35">
      <c r="A11959" s="5" t="s">
        <v>98</v>
      </c>
      <c r="B11959" s="5" t="s">
        <v>99</v>
      </c>
      <c r="C11959" s="5" t="s">
        <v>2396</v>
      </c>
      <c r="D11959" s="5" t="s">
        <v>14</v>
      </c>
      <c r="E11959" s="5" t="s">
        <v>52</v>
      </c>
      <c r="F11959" s="5" t="s">
        <v>228</v>
      </c>
      <c r="G11959" s="5" t="s">
        <v>2343</v>
      </c>
      <c r="H11959" s="5" t="s">
        <v>2397</v>
      </c>
      <c r="I11959" s="5" t="s">
        <v>31</v>
      </c>
      <c r="J11959" s="5">
        <v>16.797401438167</v>
      </c>
      <c r="K11959" s="5">
        <v>-96.721768707276993</v>
      </c>
      <c r="L11959" s="5" t="str">
        <f>HYPERLINK("https://maps.google.com/?q=16.7974014381666,-96.721768707277107", "🔗 Ver Mapa")</f>
        <v>🔗 Ver Mapa</v>
      </c>
    </row>
    <row r="11960" spans="1:12" ht="43.5" x14ac:dyDescent="0.35">
      <c r="A11960" s="6" t="s">
        <v>98</v>
      </c>
      <c r="B11960" s="6" t="s">
        <v>99</v>
      </c>
      <c r="C11960" s="6" t="s">
        <v>2396</v>
      </c>
      <c r="D11960" s="6" t="s">
        <v>14</v>
      </c>
      <c r="E11960" s="6" t="s">
        <v>52</v>
      </c>
      <c r="F11960" s="6" t="s">
        <v>228</v>
      </c>
      <c r="G11960" s="6" t="s">
        <v>2343</v>
      </c>
      <c r="H11960" s="6" t="s">
        <v>2397</v>
      </c>
      <c r="I11960" s="6" t="s">
        <v>31</v>
      </c>
      <c r="J11960" s="6">
        <v>16.797463854282</v>
      </c>
      <c r="K11960" s="6">
        <v>-96.721975139880996</v>
      </c>
      <c r="L11960" s="6" t="str">
        <f>HYPERLINK("https://maps.google.com/?q=16.7974638542822,-96.721975139881096", "🔗 Ver Mapa")</f>
        <v>🔗 Ver Mapa</v>
      </c>
    </row>
    <row r="11961" spans="1:12" ht="43.5" x14ac:dyDescent="0.35">
      <c r="A11961" s="5" t="s">
        <v>98</v>
      </c>
      <c r="B11961" s="5" t="s">
        <v>99</v>
      </c>
      <c r="C11961" s="5" t="s">
        <v>2396</v>
      </c>
      <c r="D11961" s="5" t="s">
        <v>14</v>
      </c>
      <c r="E11961" s="5" t="s">
        <v>52</v>
      </c>
      <c r="F11961" s="5" t="s">
        <v>228</v>
      </c>
      <c r="G11961" s="5" t="s">
        <v>2343</v>
      </c>
      <c r="H11961" s="5" t="s">
        <v>2397</v>
      </c>
      <c r="I11961" s="5" t="s">
        <v>31</v>
      </c>
      <c r="J11961" s="5">
        <v>16.798118858755998</v>
      </c>
      <c r="K11961" s="5">
        <v>-96.721849037398997</v>
      </c>
      <c r="L11961" s="5" t="str">
        <f>HYPERLINK("https://maps.google.com/?q=16.7981188587562,-96.721849037399494", "🔗 Ver Mapa")</f>
        <v>🔗 Ver Mapa</v>
      </c>
    </row>
    <row r="11962" spans="1:12" ht="43.5" x14ac:dyDescent="0.35">
      <c r="A11962" s="6" t="s">
        <v>98</v>
      </c>
      <c r="B11962" s="6" t="s">
        <v>99</v>
      </c>
      <c r="C11962" s="6" t="s">
        <v>2396</v>
      </c>
      <c r="D11962" s="6" t="s">
        <v>14</v>
      </c>
      <c r="E11962" s="6" t="s">
        <v>52</v>
      </c>
      <c r="F11962" s="6" t="s">
        <v>228</v>
      </c>
      <c r="G11962" s="6" t="s">
        <v>2343</v>
      </c>
      <c r="H11962" s="6" t="s">
        <v>2397</v>
      </c>
      <c r="I11962" s="6" t="s">
        <v>31</v>
      </c>
      <c r="J11962" s="6">
        <v>16.798490135360002</v>
      </c>
      <c r="K11962" s="6">
        <v>-96.723316047731998</v>
      </c>
      <c r="L11962" s="6" t="str">
        <f>HYPERLINK("https://maps.google.com/?q=16.7984901353598,-96.723316047731601", "🔗 Ver Mapa")</f>
        <v>🔗 Ver Mapa</v>
      </c>
    </row>
    <row r="11963" spans="1:12" ht="43.5" x14ac:dyDescent="0.35">
      <c r="A11963" s="5" t="s">
        <v>98</v>
      </c>
      <c r="B11963" s="5" t="s">
        <v>99</v>
      </c>
      <c r="C11963" s="5" t="s">
        <v>2396</v>
      </c>
      <c r="D11963" s="5" t="s">
        <v>14</v>
      </c>
      <c r="E11963" s="5" t="s">
        <v>52</v>
      </c>
      <c r="F11963" s="5" t="s">
        <v>228</v>
      </c>
      <c r="G11963" s="5" t="s">
        <v>2343</v>
      </c>
      <c r="H11963" s="5" t="s">
        <v>2397</v>
      </c>
      <c r="I11963" s="5" t="s">
        <v>31</v>
      </c>
      <c r="J11963" s="5">
        <v>16.798573176758001</v>
      </c>
      <c r="K11963" s="5">
        <v>-96.720624093254003</v>
      </c>
      <c r="L11963" s="5" t="str">
        <f>HYPERLINK("https://maps.google.com/?q=16.7985731767582,-96.720624093254102", "🔗 Ver Mapa")</f>
        <v>🔗 Ver Mapa</v>
      </c>
    </row>
    <row r="11964" spans="1:12" ht="43.5" x14ac:dyDescent="0.35">
      <c r="A11964" s="6" t="s">
        <v>98</v>
      </c>
      <c r="B11964" s="6" t="s">
        <v>99</v>
      </c>
      <c r="C11964" s="6" t="s">
        <v>2396</v>
      </c>
      <c r="D11964" s="6" t="s">
        <v>14</v>
      </c>
      <c r="E11964" s="6" t="s">
        <v>52</v>
      </c>
      <c r="F11964" s="6" t="s">
        <v>228</v>
      </c>
      <c r="G11964" s="6" t="s">
        <v>2343</v>
      </c>
      <c r="H11964" s="6" t="s">
        <v>2397</v>
      </c>
      <c r="I11964" s="6" t="s">
        <v>31</v>
      </c>
      <c r="J11964" s="6">
        <v>16.798719339430999</v>
      </c>
      <c r="K11964" s="6">
        <v>-96.715703890653003</v>
      </c>
      <c r="L11964" s="6" t="str">
        <f>HYPERLINK("https://maps.google.com/?q=16.798719339431,-96.715703890653103", "🔗 Ver Mapa")</f>
        <v>🔗 Ver Mapa</v>
      </c>
    </row>
    <row r="11965" spans="1:12" ht="43.5" x14ac:dyDescent="0.35">
      <c r="A11965" s="5" t="s">
        <v>98</v>
      </c>
      <c r="B11965" s="5" t="s">
        <v>99</v>
      </c>
      <c r="C11965" s="5" t="s">
        <v>2396</v>
      </c>
      <c r="D11965" s="5" t="s">
        <v>14</v>
      </c>
      <c r="E11965" s="5" t="s">
        <v>52</v>
      </c>
      <c r="F11965" s="5" t="s">
        <v>228</v>
      </c>
      <c r="G11965" s="5" t="s">
        <v>2343</v>
      </c>
      <c r="H11965" s="5" t="s">
        <v>2397</v>
      </c>
      <c r="I11965" s="5" t="s">
        <v>31</v>
      </c>
      <c r="J11965" s="5">
        <v>16.798783854256001</v>
      </c>
      <c r="K11965" s="5">
        <v>-96.721148563135998</v>
      </c>
      <c r="L11965" s="5" t="str">
        <f>HYPERLINK("https://maps.google.com/?q=16.7987838542557,-96.7211485631355", "🔗 Ver Mapa")</f>
        <v>🔗 Ver Mapa</v>
      </c>
    </row>
    <row r="11966" spans="1:12" ht="43.5" x14ac:dyDescent="0.35">
      <c r="A11966" s="6" t="s">
        <v>98</v>
      </c>
      <c r="B11966" s="6" t="s">
        <v>99</v>
      </c>
      <c r="C11966" s="6" t="s">
        <v>2396</v>
      </c>
      <c r="D11966" s="6" t="s">
        <v>14</v>
      </c>
      <c r="E11966" s="6" t="s">
        <v>52</v>
      </c>
      <c r="F11966" s="6" t="s">
        <v>228</v>
      </c>
      <c r="G11966" s="6" t="s">
        <v>2343</v>
      </c>
      <c r="H11966" s="6" t="s">
        <v>2397</v>
      </c>
      <c r="I11966" s="6" t="s">
        <v>31</v>
      </c>
      <c r="J11966" s="6">
        <v>16.798876</v>
      </c>
      <c r="K11966" s="6">
        <v>-96.716493</v>
      </c>
      <c r="L11966" s="6" t="str">
        <f>HYPERLINK("https://maps.google.com/?q=16.798876,-96.716493", "🔗 Ver Mapa")</f>
        <v>🔗 Ver Mapa</v>
      </c>
    </row>
    <row r="11967" spans="1:12" ht="43.5" x14ac:dyDescent="0.35">
      <c r="A11967" s="5" t="s">
        <v>98</v>
      </c>
      <c r="B11967" s="5" t="s">
        <v>99</v>
      </c>
      <c r="C11967" s="5" t="s">
        <v>2396</v>
      </c>
      <c r="D11967" s="5" t="s">
        <v>14</v>
      </c>
      <c r="E11967" s="5" t="s">
        <v>52</v>
      </c>
      <c r="F11967" s="5" t="s">
        <v>228</v>
      </c>
      <c r="G11967" s="5" t="s">
        <v>2343</v>
      </c>
      <c r="H11967" s="5" t="s">
        <v>2397</v>
      </c>
      <c r="I11967" s="5" t="s">
        <v>31</v>
      </c>
      <c r="J11967" s="5">
        <v>16.798878790381</v>
      </c>
      <c r="K11967" s="5">
        <v>-96.713984727791001</v>
      </c>
      <c r="L11967" s="5" t="str">
        <f>HYPERLINK("https://maps.google.com/?q=16.7988787903806,-96.713984727790802", "🔗 Ver Mapa")</f>
        <v>🔗 Ver Mapa</v>
      </c>
    </row>
    <row r="11968" spans="1:12" ht="43.5" x14ac:dyDescent="0.35">
      <c r="A11968" s="6" t="s">
        <v>98</v>
      </c>
      <c r="B11968" s="6" t="s">
        <v>99</v>
      </c>
      <c r="C11968" s="6" t="s">
        <v>2396</v>
      </c>
      <c r="D11968" s="6" t="s">
        <v>14</v>
      </c>
      <c r="E11968" s="6" t="s">
        <v>52</v>
      </c>
      <c r="F11968" s="6" t="s">
        <v>228</v>
      </c>
      <c r="G11968" s="6" t="s">
        <v>2343</v>
      </c>
      <c r="H11968" s="6" t="s">
        <v>2397</v>
      </c>
      <c r="I11968" s="6" t="s">
        <v>31</v>
      </c>
      <c r="J11968" s="6">
        <v>16.799013167146001</v>
      </c>
      <c r="K11968" s="6">
        <v>-96.723373928732002</v>
      </c>
      <c r="L11968" s="6" t="str">
        <f>HYPERLINK("https://maps.google.com/?q=16.7990131671457,-96.723373928731704", "🔗 Ver Mapa")</f>
        <v>🔗 Ver Mapa</v>
      </c>
    </row>
    <row r="11969" spans="1:12" ht="43.5" x14ac:dyDescent="0.35">
      <c r="A11969" s="5" t="s">
        <v>98</v>
      </c>
      <c r="B11969" s="5" t="s">
        <v>99</v>
      </c>
      <c r="C11969" s="5" t="s">
        <v>2396</v>
      </c>
      <c r="D11969" s="5" t="s">
        <v>14</v>
      </c>
      <c r="E11969" s="5" t="s">
        <v>52</v>
      </c>
      <c r="F11969" s="5" t="s">
        <v>228</v>
      </c>
      <c r="G11969" s="5" t="s">
        <v>2343</v>
      </c>
      <c r="H11969" s="5" t="s">
        <v>2397</v>
      </c>
      <c r="I11969" s="5" t="s">
        <v>31</v>
      </c>
      <c r="J11969" s="5">
        <v>16.799376718765</v>
      </c>
      <c r="K11969" s="5">
        <v>-96.713866046627004</v>
      </c>
      <c r="L11969" s="5" t="str">
        <f>HYPERLINK("https://maps.google.com/?q=16.7993767187647,-96.713866046627004", "🔗 Ver Mapa")</f>
        <v>🔗 Ver Mapa</v>
      </c>
    </row>
    <row r="11970" spans="1:12" ht="43.5" x14ac:dyDescent="0.35">
      <c r="A11970" s="6" t="s">
        <v>98</v>
      </c>
      <c r="B11970" s="6" t="s">
        <v>99</v>
      </c>
      <c r="C11970" s="6" t="s">
        <v>2396</v>
      </c>
      <c r="D11970" s="6" t="s">
        <v>14</v>
      </c>
      <c r="E11970" s="6" t="s">
        <v>52</v>
      </c>
      <c r="F11970" s="6" t="s">
        <v>228</v>
      </c>
      <c r="G11970" s="6" t="s">
        <v>2343</v>
      </c>
      <c r="H11970" s="6" t="s">
        <v>2397</v>
      </c>
      <c r="I11970" s="6" t="s">
        <v>31</v>
      </c>
      <c r="J11970" s="6">
        <v>16.799503409062002</v>
      </c>
      <c r="K11970" s="6">
        <v>-96.721876480985998</v>
      </c>
      <c r="L11970" s="6" t="str">
        <f>HYPERLINK("https://maps.google.com/?q=16.7995034090615,-96.7218764809856", "🔗 Ver Mapa")</f>
        <v>🔗 Ver Mapa</v>
      </c>
    </row>
    <row r="11971" spans="1:12" ht="43.5" x14ac:dyDescent="0.35">
      <c r="A11971" s="5" t="s">
        <v>98</v>
      </c>
      <c r="B11971" s="5" t="s">
        <v>99</v>
      </c>
      <c r="C11971" s="5" t="s">
        <v>2396</v>
      </c>
      <c r="D11971" s="5" t="s">
        <v>14</v>
      </c>
      <c r="E11971" s="5" t="s">
        <v>52</v>
      </c>
      <c r="F11971" s="5" t="s">
        <v>228</v>
      </c>
      <c r="G11971" s="5" t="s">
        <v>2343</v>
      </c>
      <c r="H11971" s="5" t="s">
        <v>2397</v>
      </c>
      <c r="I11971" s="5" t="s">
        <v>31</v>
      </c>
      <c r="J11971" s="5">
        <v>16.799538976796001</v>
      </c>
      <c r="K11971" s="5">
        <v>-96.722130466270002</v>
      </c>
      <c r="L11971" s="5" t="str">
        <f>HYPERLINK("https://maps.google.com/?q=16.799538976796,-96.722130466270301", "🔗 Ver Mapa")</f>
        <v>🔗 Ver Mapa</v>
      </c>
    </row>
    <row r="11972" spans="1:12" ht="43.5" x14ac:dyDescent="0.35">
      <c r="A11972" s="6" t="s">
        <v>98</v>
      </c>
      <c r="B11972" s="6" t="s">
        <v>99</v>
      </c>
      <c r="C11972" s="6" t="s">
        <v>2396</v>
      </c>
      <c r="D11972" s="6" t="s">
        <v>14</v>
      </c>
      <c r="E11972" s="6" t="s">
        <v>52</v>
      </c>
      <c r="F11972" s="6" t="s">
        <v>228</v>
      </c>
      <c r="G11972" s="6" t="s">
        <v>2343</v>
      </c>
      <c r="H11972" s="6" t="s">
        <v>2397</v>
      </c>
      <c r="I11972" s="6" t="s">
        <v>31</v>
      </c>
      <c r="J11972" s="6">
        <v>16.799698945180999</v>
      </c>
      <c r="K11972" s="6">
        <v>-96.720857404555005</v>
      </c>
      <c r="L11972" s="6" t="str">
        <f>HYPERLINK("https://maps.google.com/?q=16.7996989451809,-96.720857404554906", "🔗 Ver Mapa")</f>
        <v>🔗 Ver Mapa</v>
      </c>
    </row>
    <row r="11973" spans="1:12" ht="43.5" x14ac:dyDescent="0.35">
      <c r="A11973" s="5" t="s">
        <v>98</v>
      </c>
      <c r="B11973" s="5" t="s">
        <v>99</v>
      </c>
      <c r="C11973" s="5" t="s">
        <v>2396</v>
      </c>
      <c r="D11973" s="5" t="s">
        <v>14</v>
      </c>
      <c r="E11973" s="5" t="s">
        <v>52</v>
      </c>
      <c r="F11973" s="5" t="s">
        <v>228</v>
      </c>
      <c r="G11973" s="5" t="s">
        <v>2343</v>
      </c>
      <c r="H11973" s="5" t="s">
        <v>2397</v>
      </c>
      <c r="I11973" s="5" t="s">
        <v>31</v>
      </c>
      <c r="J11973" s="5">
        <v>16.799737996621001</v>
      </c>
      <c r="K11973" s="5">
        <v>-96.719558345403001</v>
      </c>
      <c r="L11973" s="5" t="str">
        <f>HYPERLINK("https://maps.google.com/?q=16.7997379966209,-96.7195583454033", "🔗 Ver Mapa")</f>
        <v>🔗 Ver Mapa</v>
      </c>
    </row>
    <row r="11974" spans="1:12" ht="43.5" x14ac:dyDescent="0.35">
      <c r="A11974" s="6" t="s">
        <v>98</v>
      </c>
      <c r="B11974" s="6" t="s">
        <v>99</v>
      </c>
      <c r="C11974" s="6" t="s">
        <v>2396</v>
      </c>
      <c r="D11974" s="6" t="s">
        <v>14</v>
      </c>
      <c r="E11974" s="6" t="s">
        <v>52</v>
      </c>
      <c r="F11974" s="6" t="s">
        <v>228</v>
      </c>
      <c r="G11974" s="6" t="s">
        <v>2343</v>
      </c>
      <c r="H11974" s="6" t="s">
        <v>2397</v>
      </c>
      <c r="I11974" s="6" t="s">
        <v>31</v>
      </c>
      <c r="J11974" s="6">
        <v>16.799777200825002</v>
      </c>
      <c r="K11974" s="6">
        <v>-96.722112262059994</v>
      </c>
      <c r="L11974" s="6" t="str">
        <f>HYPERLINK("https://maps.google.com/?q=16.7997772008252,-96.722112262059994", "🔗 Ver Mapa")</f>
        <v>🔗 Ver Mapa</v>
      </c>
    </row>
    <row r="11975" spans="1:12" ht="43.5" x14ac:dyDescent="0.35">
      <c r="A11975" s="5" t="s">
        <v>98</v>
      </c>
      <c r="B11975" s="5" t="s">
        <v>99</v>
      </c>
      <c r="C11975" s="5" t="s">
        <v>2396</v>
      </c>
      <c r="D11975" s="5" t="s">
        <v>14</v>
      </c>
      <c r="E11975" s="5" t="s">
        <v>52</v>
      </c>
      <c r="F11975" s="5" t="s">
        <v>228</v>
      </c>
      <c r="G11975" s="5" t="s">
        <v>2343</v>
      </c>
      <c r="H11975" s="5" t="s">
        <v>2397</v>
      </c>
      <c r="I11975" s="5" t="s">
        <v>31</v>
      </c>
      <c r="J11975" s="5">
        <v>16.799794104901</v>
      </c>
      <c r="K11975" s="5">
        <v>-96.721537849014993</v>
      </c>
      <c r="L11975" s="5" t="str">
        <f>HYPERLINK("https://maps.google.com/?q=16.7997941049007,-96.721537849014794", "🔗 Ver Mapa")</f>
        <v>🔗 Ver Mapa</v>
      </c>
    </row>
    <row r="11976" spans="1:12" ht="43.5" x14ac:dyDescent="0.35">
      <c r="A11976" s="6" t="s">
        <v>98</v>
      </c>
      <c r="B11976" s="6" t="s">
        <v>99</v>
      </c>
      <c r="C11976" s="6" t="s">
        <v>2396</v>
      </c>
      <c r="D11976" s="6" t="s">
        <v>14</v>
      </c>
      <c r="E11976" s="6" t="s">
        <v>52</v>
      </c>
      <c r="F11976" s="6" t="s">
        <v>228</v>
      </c>
      <c r="G11976" s="6" t="s">
        <v>2343</v>
      </c>
      <c r="H11976" s="6" t="s">
        <v>2397</v>
      </c>
      <c r="I11976" s="6" t="s">
        <v>31</v>
      </c>
      <c r="J11976" s="6">
        <v>16.799824054371001</v>
      </c>
      <c r="K11976" s="6">
        <v>-96.725531522625005</v>
      </c>
      <c r="L11976" s="6" t="str">
        <f>HYPERLINK("https://maps.google.com/?q=16.7998240543709,-96.725531522625403", "🔗 Ver Mapa")</f>
        <v>🔗 Ver Mapa</v>
      </c>
    </row>
    <row r="11977" spans="1:12" ht="43.5" x14ac:dyDescent="0.35">
      <c r="A11977" s="5" t="s">
        <v>98</v>
      </c>
      <c r="B11977" s="5" t="s">
        <v>99</v>
      </c>
      <c r="C11977" s="5" t="s">
        <v>2396</v>
      </c>
      <c r="D11977" s="5" t="s">
        <v>14</v>
      </c>
      <c r="E11977" s="5" t="s">
        <v>52</v>
      </c>
      <c r="F11977" s="5" t="s">
        <v>228</v>
      </c>
      <c r="G11977" s="5" t="s">
        <v>2343</v>
      </c>
      <c r="H11977" s="5" t="s">
        <v>2397</v>
      </c>
      <c r="I11977" s="5" t="s">
        <v>31</v>
      </c>
      <c r="J11977" s="5">
        <v>16.799895604315001</v>
      </c>
      <c r="K11977" s="5">
        <v>-96.717369007312001</v>
      </c>
      <c r="L11977" s="5" t="str">
        <f>HYPERLINK("https://maps.google.com/?q=16.7998956043149,-96.717369007311504", "🔗 Ver Mapa")</f>
        <v>🔗 Ver Mapa</v>
      </c>
    </row>
    <row r="11978" spans="1:12" ht="43.5" x14ac:dyDescent="0.35">
      <c r="A11978" s="6" t="s">
        <v>98</v>
      </c>
      <c r="B11978" s="6" t="s">
        <v>99</v>
      </c>
      <c r="C11978" s="6" t="s">
        <v>2396</v>
      </c>
      <c r="D11978" s="6" t="s">
        <v>14</v>
      </c>
      <c r="E11978" s="6" t="s">
        <v>52</v>
      </c>
      <c r="F11978" s="6" t="s">
        <v>228</v>
      </c>
      <c r="G11978" s="6" t="s">
        <v>2343</v>
      </c>
      <c r="H11978" s="6" t="s">
        <v>2397</v>
      </c>
      <c r="I11978" s="6" t="s">
        <v>31</v>
      </c>
      <c r="J11978" s="6">
        <v>16.799904233753999</v>
      </c>
      <c r="K11978" s="6">
        <v>-96.720809780208995</v>
      </c>
      <c r="L11978" s="6" t="str">
        <f>HYPERLINK("https://maps.google.com/?q=16.7999042337542,-96.720809780209194", "🔗 Ver Mapa")</f>
        <v>🔗 Ver Mapa</v>
      </c>
    </row>
    <row r="11979" spans="1:12" ht="43.5" x14ac:dyDescent="0.35">
      <c r="A11979" s="5" t="s">
        <v>98</v>
      </c>
      <c r="B11979" s="5" t="s">
        <v>99</v>
      </c>
      <c r="C11979" s="5" t="s">
        <v>2396</v>
      </c>
      <c r="D11979" s="5" t="s">
        <v>14</v>
      </c>
      <c r="E11979" s="5" t="s">
        <v>52</v>
      </c>
      <c r="F11979" s="5" t="s">
        <v>228</v>
      </c>
      <c r="G11979" s="5" t="s">
        <v>2343</v>
      </c>
      <c r="H11979" s="5" t="s">
        <v>2397</v>
      </c>
      <c r="I11979" s="5" t="s">
        <v>31</v>
      </c>
      <c r="J11979" s="5">
        <v>16.799950004726998</v>
      </c>
      <c r="K11979" s="5">
        <v>-96.718466885332006</v>
      </c>
      <c r="L11979" s="5" t="str">
        <f>HYPERLINK("https://maps.google.com/?q=16.799950004727,-96.718466885331793", "🔗 Ver Mapa")</f>
        <v>🔗 Ver Mapa</v>
      </c>
    </row>
    <row r="11980" spans="1:12" ht="43.5" x14ac:dyDescent="0.35">
      <c r="A11980" s="6" t="s">
        <v>98</v>
      </c>
      <c r="B11980" s="6" t="s">
        <v>99</v>
      </c>
      <c r="C11980" s="6" t="s">
        <v>2396</v>
      </c>
      <c r="D11980" s="6" t="s">
        <v>14</v>
      </c>
      <c r="E11980" s="6" t="s">
        <v>52</v>
      </c>
      <c r="F11980" s="6" t="s">
        <v>228</v>
      </c>
      <c r="G11980" s="6" t="s">
        <v>2343</v>
      </c>
      <c r="H11980" s="6" t="s">
        <v>2397</v>
      </c>
      <c r="I11980" s="6" t="s">
        <v>31</v>
      </c>
      <c r="J11980" s="6">
        <v>16.799964776919001</v>
      </c>
      <c r="K11980" s="6">
        <v>-96.718299706626993</v>
      </c>
      <c r="L11980" s="6" t="str">
        <f>HYPERLINK("https://maps.google.com/?q=16.7999647769186,-96.718299706627107", "🔗 Ver Mapa")</f>
        <v>🔗 Ver Mapa</v>
      </c>
    </row>
    <row r="11981" spans="1:12" ht="43.5" x14ac:dyDescent="0.35">
      <c r="A11981" s="5" t="s">
        <v>98</v>
      </c>
      <c r="B11981" s="5" t="s">
        <v>99</v>
      </c>
      <c r="C11981" s="5" t="s">
        <v>2396</v>
      </c>
      <c r="D11981" s="5" t="s">
        <v>14</v>
      </c>
      <c r="E11981" s="5" t="s">
        <v>52</v>
      </c>
      <c r="F11981" s="5" t="s">
        <v>228</v>
      </c>
      <c r="G11981" s="5" t="s">
        <v>2343</v>
      </c>
      <c r="H11981" s="5" t="s">
        <v>2397</v>
      </c>
      <c r="I11981" s="5" t="s">
        <v>31</v>
      </c>
      <c r="J11981" s="5">
        <v>16.800006247677</v>
      </c>
      <c r="K11981" s="5">
        <v>-96.722212369462</v>
      </c>
      <c r="L11981" s="5" t="str">
        <f>HYPERLINK("https://maps.google.com/?q=16.8000062476767,-96.722212369462497", "🔗 Ver Mapa")</f>
        <v>🔗 Ver Mapa</v>
      </c>
    </row>
    <row r="11982" spans="1:12" ht="43.5" x14ac:dyDescent="0.35">
      <c r="A11982" s="6" t="s">
        <v>98</v>
      </c>
      <c r="B11982" s="6" t="s">
        <v>99</v>
      </c>
      <c r="C11982" s="6" t="s">
        <v>2396</v>
      </c>
      <c r="D11982" s="6" t="s">
        <v>14</v>
      </c>
      <c r="E11982" s="6" t="s">
        <v>52</v>
      </c>
      <c r="F11982" s="6" t="s">
        <v>228</v>
      </c>
      <c r="G11982" s="6" t="s">
        <v>2343</v>
      </c>
      <c r="H11982" s="6" t="s">
        <v>2397</v>
      </c>
      <c r="I11982" s="6" t="s">
        <v>31</v>
      </c>
      <c r="J11982" s="6">
        <v>16.800195694210998</v>
      </c>
      <c r="K11982" s="6">
        <v>-96.725437702446996</v>
      </c>
      <c r="L11982" s="6" t="str">
        <f>HYPERLINK("https://maps.google.com/?q=16.800195694211,-96.725437702447294", "🔗 Ver Mapa")</f>
        <v>🔗 Ver Mapa</v>
      </c>
    </row>
    <row r="11983" spans="1:12" ht="43.5" x14ac:dyDescent="0.35">
      <c r="A11983" s="5" t="s">
        <v>98</v>
      </c>
      <c r="B11983" s="5" t="s">
        <v>99</v>
      </c>
      <c r="C11983" s="5" t="s">
        <v>2396</v>
      </c>
      <c r="D11983" s="5" t="s">
        <v>14</v>
      </c>
      <c r="E11983" s="5" t="s">
        <v>52</v>
      </c>
      <c r="F11983" s="5" t="s">
        <v>228</v>
      </c>
      <c r="G11983" s="5" t="s">
        <v>2343</v>
      </c>
      <c r="H11983" s="5" t="s">
        <v>2397</v>
      </c>
      <c r="I11983" s="5" t="s">
        <v>31</v>
      </c>
      <c r="J11983" s="5">
        <v>16.800357770361</v>
      </c>
      <c r="K11983" s="5">
        <v>-96.721345222208996</v>
      </c>
      <c r="L11983" s="5" t="str">
        <f>HYPERLINK("https://maps.google.com/?q=16.8003577703608,-96.721345222208697", "🔗 Ver Mapa")</f>
        <v>🔗 Ver Mapa</v>
      </c>
    </row>
    <row r="11984" spans="1:12" ht="43.5" x14ac:dyDescent="0.35">
      <c r="A11984" s="6" t="s">
        <v>98</v>
      </c>
      <c r="B11984" s="6" t="s">
        <v>99</v>
      </c>
      <c r="C11984" s="6" t="s">
        <v>2396</v>
      </c>
      <c r="D11984" s="6" t="s">
        <v>14</v>
      </c>
      <c r="E11984" s="6" t="s">
        <v>52</v>
      </c>
      <c r="F11984" s="6" t="s">
        <v>228</v>
      </c>
      <c r="G11984" s="6" t="s">
        <v>2343</v>
      </c>
      <c r="H11984" s="6" t="s">
        <v>2397</v>
      </c>
      <c r="I11984" s="6" t="s">
        <v>31</v>
      </c>
      <c r="J11984" s="6">
        <v>16.800512279877001</v>
      </c>
      <c r="K11984" s="6">
        <v>-96.722082884537002</v>
      </c>
      <c r="L11984" s="6" t="str">
        <f>HYPERLINK("https://maps.google.com/?q=16.800512279877,-96.7220828845374", "🔗 Ver Mapa")</f>
        <v>🔗 Ver Mapa</v>
      </c>
    </row>
    <row r="11985" spans="1:12" ht="43.5" x14ac:dyDescent="0.35">
      <c r="A11985" s="5" t="s">
        <v>98</v>
      </c>
      <c r="B11985" s="5" t="s">
        <v>99</v>
      </c>
      <c r="C11985" s="5" t="s">
        <v>2396</v>
      </c>
      <c r="D11985" s="5" t="s">
        <v>14</v>
      </c>
      <c r="E11985" s="5" t="s">
        <v>52</v>
      </c>
      <c r="F11985" s="5" t="s">
        <v>228</v>
      </c>
      <c r="G11985" s="5" t="s">
        <v>2343</v>
      </c>
      <c r="H11985" s="5" t="s">
        <v>2397</v>
      </c>
      <c r="I11985" s="5" t="s">
        <v>31</v>
      </c>
      <c r="J11985" s="5">
        <v>16.800551904911</v>
      </c>
      <c r="K11985" s="5">
        <v>-96.723219611163998</v>
      </c>
      <c r="L11985" s="5" t="str">
        <f>HYPERLINK("https://maps.google.com/?q=16.8005519049113,-96.723219611163898", "🔗 Ver Mapa")</f>
        <v>🔗 Ver Mapa</v>
      </c>
    </row>
    <row r="11986" spans="1:12" ht="43.5" x14ac:dyDescent="0.35">
      <c r="A11986" s="6" t="s">
        <v>98</v>
      </c>
      <c r="B11986" s="6" t="s">
        <v>99</v>
      </c>
      <c r="C11986" s="6" t="s">
        <v>2396</v>
      </c>
      <c r="D11986" s="6" t="s">
        <v>14</v>
      </c>
      <c r="E11986" s="6" t="s">
        <v>52</v>
      </c>
      <c r="F11986" s="6" t="s">
        <v>228</v>
      </c>
      <c r="G11986" s="6" t="s">
        <v>2343</v>
      </c>
      <c r="H11986" s="6" t="s">
        <v>2397</v>
      </c>
      <c r="I11986" s="6" t="s">
        <v>31</v>
      </c>
      <c r="J11986" s="6">
        <v>16.800560629465</v>
      </c>
      <c r="K11986" s="6">
        <v>-96.706246872327995</v>
      </c>
      <c r="L11986" s="6" t="str">
        <f>HYPERLINK("https://maps.google.com/?q=16.8005606294647,-96.706246872328194", "🔗 Ver Mapa")</f>
        <v>🔗 Ver Mapa</v>
      </c>
    </row>
    <row r="11987" spans="1:12" ht="43.5" x14ac:dyDescent="0.35">
      <c r="A11987" s="5" t="s">
        <v>98</v>
      </c>
      <c r="B11987" s="5" t="s">
        <v>99</v>
      </c>
      <c r="C11987" s="5" t="s">
        <v>2396</v>
      </c>
      <c r="D11987" s="5" t="s">
        <v>14</v>
      </c>
      <c r="E11987" s="5" t="s">
        <v>52</v>
      </c>
      <c r="F11987" s="5" t="s">
        <v>228</v>
      </c>
      <c r="G11987" s="5" t="s">
        <v>2343</v>
      </c>
      <c r="H11987" s="5" t="s">
        <v>2397</v>
      </c>
      <c r="I11987" s="5" t="s">
        <v>31</v>
      </c>
      <c r="J11987" s="5">
        <v>16.800576735126999</v>
      </c>
      <c r="K11987" s="5">
        <v>-96.719137451104999</v>
      </c>
      <c r="L11987" s="5" t="str">
        <f>HYPERLINK("https://maps.google.com/?q=16.8005767351268,-96.719137451104501", "🔗 Ver Mapa")</f>
        <v>🔗 Ver Mapa</v>
      </c>
    </row>
    <row r="11988" spans="1:12" ht="43.5" x14ac:dyDescent="0.35">
      <c r="A11988" s="6" t="s">
        <v>98</v>
      </c>
      <c r="B11988" s="6" t="s">
        <v>99</v>
      </c>
      <c r="C11988" s="6" t="s">
        <v>2396</v>
      </c>
      <c r="D11988" s="6" t="s">
        <v>14</v>
      </c>
      <c r="E11988" s="6" t="s">
        <v>52</v>
      </c>
      <c r="F11988" s="6" t="s">
        <v>228</v>
      </c>
      <c r="G11988" s="6" t="s">
        <v>2343</v>
      </c>
      <c r="H11988" s="6" t="s">
        <v>2397</v>
      </c>
      <c r="I11988" s="6" t="s">
        <v>31</v>
      </c>
      <c r="J11988" s="6">
        <v>16.800618287515999</v>
      </c>
      <c r="K11988" s="6">
        <v>-96.709955067769002</v>
      </c>
      <c r="L11988" s="6" t="str">
        <f>HYPERLINK("https://maps.google.com/?q=16.8006182875155,-96.7099550677694", "🔗 Ver Mapa")</f>
        <v>🔗 Ver Mapa</v>
      </c>
    </row>
    <row r="11989" spans="1:12" ht="43.5" x14ac:dyDescent="0.35">
      <c r="A11989" s="5" t="s">
        <v>98</v>
      </c>
      <c r="B11989" s="5" t="s">
        <v>99</v>
      </c>
      <c r="C11989" s="5" t="s">
        <v>2396</v>
      </c>
      <c r="D11989" s="5" t="s">
        <v>14</v>
      </c>
      <c r="E11989" s="5" t="s">
        <v>52</v>
      </c>
      <c r="F11989" s="5" t="s">
        <v>228</v>
      </c>
      <c r="G11989" s="5" t="s">
        <v>2343</v>
      </c>
      <c r="H11989" s="5" t="s">
        <v>2397</v>
      </c>
      <c r="I11989" s="5" t="s">
        <v>31</v>
      </c>
      <c r="J11989" s="5">
        <v>16.800664286496001</v>
      </c>
      <c r="K11989" s="5">
        <v>-96.717798294477006</v>
      </c>
      <c r="L11989" s="5" t="str">
        <f>HYPERLINK("https://maps.google.com/?q=16.8006642864959,-96.717798294477106", "🔗 Ver Mapa")</f>
        <v>🔗 Ver Mapa</v>
      </c>
    </row>
    <row r="11990" spans="1:12" ht="43.5" x14ac:dyDescent="0.35">
      <c r="A11990" s="6" t="s">
        <v>98</v>
      </c>
      <c r="B11990" s="6" t="s">
        <v>99</v>
      </c>
      <c r="C11990" s="6" t="s">
        <v>2396</v>
      </c>
      <c r="D11990" s="6" t="s">
        <v>14</v>
      </c>
      <c r="E11990" s="6" t="s">
        <v>52</v>
      </c>
      <c r="F11990" s="6" t="s">
        <v>228</v>
      </c>
      <c r="G11990" s="6" t="s">
        <v>2343</v>
      </c>
      <c r="H11990" s="6" t="s">
        <v>2397</v>
      </c>
      <c r="I11990" s="6" t="s">
        <v>31</v>
      </c>
      <c r="J11990" s="6">
        <v>16.800777635252</v>
      </c>
      <c r="K11990" s="6">
        <v>-96.718808468123001</v>
      </c>
      <c r="L11990" s="6" t="str">
        <f>HYPERLINK("https://maps.google.com/?q=16.8007776352519,-96.718808468122702", "🔗 Ver Mapa")</f>
        <v>🔗 Ver Mapa</v>
      </c>
    </row>
    <row r="11991" spans="1:12" ht="43.5" x14ac:dyDescent="0.35">
      <c r="A11991" s="5" t="s">
        <v>98</v>
      </c>
      <c r="B11991" s="5" t="s">
        <v>99</v>
      </c>
      <c r="C11991" s="5" t="s">
        <v>2396</v>
      </c>
      <c r="D11991" s="5" t="s">
        <v>14</v>
      </c>
      <c r="E11991" s="5" t="s">
        <v>52</v>
      </c>
      <c r="F11991" s="5" t="s">
        <v>228</v>
      </c>
      <c r="G11991" s="5" t="s">
        <v>2343</v>
      </c>
      <c r="H11991" s="5" t="s">
        <v>2397</v>
      </c>
      <c r="I11991" s="5" t="s">
        <v>31</v>
      </c>
      <c r="J11991" s="5">
        <v>16.800886135791998</v>
      </c>
      <c r="K11991" s="5">
        <v>-96.709662504418006</v>
      </c>
      <c r="L11991" s="5" t="str">
        <f>HYPERLINK("https://maps.google.com/?q=16.800886135792,-96.709662504417594", "🔗 Ver Mapa")</f>
        <v>🔗 Ver Mapa</v>
      </c>
    </row>
    <row r="11992" spans="1:12" ht="43.5" x14ac:dyDescent="0.35">
      <c r="A11992" s="6" t="s">
        <v>98</v>
      </c>
      <c r="B11992" s="6" t="s">
        <v>99</v>
      </c>
      <c r="C11992" s="6" t="s">
        <v>2396</v>
      </c>
      <c r="D11992" s="6" t="s">
        <v>14</v>
      </c>
      <c r="E11992" s="6" t="s">
        <v>52</v>
      </c>
      <c r="F11992" s="6" t="s">
        <v>228</v>
      </c>
      <c r="G11992" s="6" t="s">
        <v>2343</v>
      </c>
      <c r="H11992" s="6" t="s">
        <v>2397</v>
      </c>
      <c r="I11992" s="6" t="s">
        <v>31</v>
      </c>
      <c r="J11992" s="6">
        <v>16.800959496141001</v>
      </c>
      <c r="K11992" s="6">
        <v>-96.721500317790998</v>
      </c>
      <c r="L11992" s="6" t="str">
        <f>HYPERLINK("https://maps.google.com/?q=16.8009594961414,-96.721500317790799", "🔗 Ver Mapa")</f>
        <v>🔗 Ver Mapa</v>
      </c>
    </row>
    <row r="11993" spans="1:12" ht="43.5" x14ac:dyDescent="0.35">
      <c r="A11993" s="5" t="s">
        <v>98</v>
      </c>
      <c r="B11993" s="5" t="s">
        <v>99</v>
      </c>
      <c r="C11993" s="5" t="s">
        <v>2396</v>
      </c>
      <c r="D11993" s="5" t="s">
        <v>14</v>
      </c>
      <c r="E11993" s="5" t="s">
        <v>52</v>
      </c>
      <c r="F11993" s="5" t="s">
        <v>228</v>
      </c>
      <c r="G11993" s="5" t="s">
        <v>2343</v>
      </c>
      <c r="H11993" s="5" t="s">
        <v>2397</v>
      </c>
      <c r="I11993" s="5" t="s">
        <v>31</v>
      </c>
      <c r="J11993" s="5">
        <v>16.801344997286002</v>
      </c>
      <c r="K11993" s="5">
        <v>-96.709494101852002</v>
      </c>
      <c r="L11993" s="5" t="str">
        <f>HYPERLINK("https://maps.google.com/?q=16.8013449972856,-96.709494101852499", "🔗 Ver Mapa")</f>
        <v>🔗 Ver Mapa</v>
      </c>
    </row>
    <row r="11994" spans="1:12" ht="43.5" x14ac:dyDescent="0.35">
      <c r="A11994" s="6" t="s">
        <v>98</v>
      </c>
      <c r="B11994" s="6" t="s">
        <v>99</v>
      </c>
      <c r="C11994" s="6" t="s">
        <v>2396</v>
      </c>
      <c r="D11994" s="6" t="s">
        <v>14</v>
      </c>
      <c r="E11994" s="6" t="s">
        <v>52</v>
      </c>
      <c r="F11994" s="6" t="s">
        <v>228</v>
      </c>
      <c r="G11994" s="6" t="s">
        <v>2343</v>
      </c>
      <c r="H11994" s="6" t="s">
        <v>2397</v>
      </c>
      <c r="I11994" s="6" t="s">
        <v>31</v>
      </c>
      <c r="J11994" s="6">
        <v>16.801359385245</v>
      </c>
      <c r="K11994" s="6">
        <v>-96.707765926448999</v>
      </c>
      <c r="L11994" s="6" t="str">
        <f>HYPERLINK("https://maps.google.com/?q=16.8013593852451,-96.7077659264489", "🔗 Ver Mapa")</f>
        <v>🔗 Ver Mapa</v>
      </c>
    </row>
    <row r="11995" spans="1:12" ht="43.5" x14ac:dyDescent="0.35">
      <c r="A11995" s="5" t="s">
        <v>98</v>
      </c>
      <c r="B11995" s="5" t="s">
        <v>99</v>
      </c>
      <c r="C11995" s="5" t="s">
        <v>2396</v>
      </c>
      <c r="D11995" s="5" t="s">
        <v>14</v>
      </c>
      <c r="E11995" s="5" t="s">
        <v>52</v>
      </c>
      <c r="F11995" s="5" t="s">
        <v>228</v>
      </c>
      <c r="G11995" s="5" t="s">
        <v>2343</v>
      </c>
      <c r="H11995" s="5" t="s">
        <v>2397</v>
      </c>
      <c r="I11995" s="5" t="s">
        <v>31</v>
      </c>
      <c r="J11995" s="5">
        <v>16.801364280613999</v>
      </c>
      <c r="K11995" s="5">
        <v>-96.707140895641999</v>
      </c>
      <c r="L11995" s="5" t="str">
        <f>HYPERLINK("https://maps.google.com/?q=16.8013642806136,-96.7071408956417", "🔗 Ver Mapa")</f>
        <v>🔗 Ver Mapa</v>
      </c>
    </row>
    <row r="11996" spans="1:12" ht="43.5" x14ac:dyDescent="0.35">
      <c r="A11996" s="6" t="s">
        <v>98</v>
      </c>
      <c r="B11996" s="6" t="s">
        <v>99</v>
      </c>
      <c r="C11996" s="6" t="s">
        <v>2396</v>
      </c>
      <c r="D11996" s="6" t="s">
        <v>14</v>
      </c>
      <c r="E11996" s="6" t="s">
        <v>52</v>
      </c>
      <c r="F11996" s="6" t="s">
        <v>228</v>
      </c>
      <c r="G11996" s="6" t="s">
        <v>2343</v>
      </c>
      <c r="H11996" s="6" t="s">
        <v>2397</v>
      </c>
      <c r="I11996" s="6" t="s">
        <v>31</v>
      </c>
      <c r="J11996" s="6">
        <v>16.801440009381999</v>
      </c>
      <c r="K11996" s="6">
        <v>-96.723357078343</v>
      </c>
      <c r="L11996" s="6" t="str">
        <f>HYPERLINK("https://maps.google.com/?q=16.8014400093824,-96.723357078343", "🔗 Ver Mapa")</f>
        <v>🔗 Ver Mapa</v>
      </c>
    </row>
    <row r="11997" spans="1:12" ht="43.5" x14ac:dyDescent="0.35">
      <c r="A11997" s="5" t="s">
        <v>98</v>
      </c>
      <c r="B11997" s="5" t="s">
        <v>99</v>
      </c>
      <c r="C11997" s="5" t="s">
        <v>2396</v>
      </c>
      <c r="D11997" s="5" t="s">
        <v>14</v>
      </c>
      <c r="E11997" s="5" t="s">
        <v>52</v>
      </c>
      <c r="F11997" s="5" t="s">
        <v>228</v>
      </c>
      <c r="G11997" s="5" t="s">
        <v>2343</v>
      </c>
      <c r="H11997" s="5" t="s">
        <v>2397</v>
      </c>
      <c r="I11997" s="5" t="s">
        <v>31</v>
      </c>
      <c r="J11997" s="5">
        <v>16.80144494296</v>
      </c>
      <c r="K11997" s="5">
        <v>-96.715327368028994</v>
      </c>
      <c r="L11997" s="5" t="str">
        <f>HYPERLINK("https://maps.google.com/?q=16.8014449429596,-96.715327368028895", "🔗 Ver Mapa")</f>
        <v>🔗 Ver Mapa</v>
      </c>
    </row>
    <row r="11998" spans="1:12" ht="43.5" x14ac:dyDescent="0.35">
      <c r="A11998" s="6" t="s">
        <v>98</v>
      </c>
      <c r="B11998" s="6" t="s">
        <v>99</v>
      </c>
      <c r="C11998" s="6" t="s">
        <v>2396</v>
      </c>
      <c r="D11998" s="6" t="s">
        <v>14</v>
      </c>
      <c r="E11998" s="6" t="s">
        <v>52</v>
      </c>
      <c r="F11998" s="6" t="s">
        <v>228</v>
      </c>
      <c r="G11998" s="6" t="s">
        <v>2343</v>
      </c>
      <c r="H11998" s="6" t="s">
        <v>2397</v>
      </c>
      <c r="I11998" s="6" t="s">
        <v>31</v>
      </c>
      <c r="J11998" s="6">
        <v>16.801584467327999</v>
      </c>
      <c r="K11998" s="6">
        <v>-96.724446795540999</v>
      </c>
      <c r="L11998" s="6" t="str">
        <f>HYPERLINK("https://maps.google.com/?q=16.8015844673283,-96.724446795540601", "🔗 Ver Mapa")</f>
        <v>🔗 Ver Mapa</v>
      </c>
    </row>
    <row r="11999" spans="1:12" ht="43.5" x14ac:dyDescent="0.35">
      <c r="A11999" s="5" t="s">
        <v>98</v>
      </c>
      <c r="B11999" s="5" t="s">
        <v>99</v>
      </c>
      <c r="C11999" s="5" t="s">
        <v>2396</v>
      </c>
      <c r="D11999" s="5" t="s">
        <v>14</v>
      </c>
      <c r="E11999" s="5" t="s">
        <v>52</v>
      </c>
      <c r="F11999" s="5" t="s">
        <v>228</v>
      </c>
      <c r="G11999" s="5" t="s">
        <v>2343</v>
      </c>
      <c r="H11999" s="5" t="s">
        <v>2397</v>
      </c>
      <c r="I11999" s="5" t="s">
        <v>31</v>
      </c>
      <c r="J11999" s="5">
        <v>16.801631434926001</v>
      </c>
      <c r="K11999" s="5">
        <v>-96.717991953373001</v>
      </c>
      <c r="L11999" s="5" t="str">
        <f>HYPERLINK("https://maps.google.com/?q=16.8016314349261,-96.717991953372703", "🔗 Ver Mapa")</f>
        <v>🔗 Ver Mapa</v>
      </c>
    </row>
    <row r="12000" spans="1:12" ht="43.5" x14ac:dyDescent="0.35">
      <c r="A12000" s="6" t="s">
        <v>98</v>
      </c>
      <c r="B12000" s="6" t="s">
        <v>99</v>
      </c>
      <c r="C12000" s="6" t="s">
        <v>2396</v>
      </c>
      <c r="D12000" s="6" t="s">
        <v>14</v>
      </c>
      <c r="E12000" s="6" t="s">
        <v>52</v>
      </c>
      <c r="F12000" s="6" t="s">
        <v>228</v>
      </c>
      <c r="G12000" s="6" t="s">
        <v>2343</v>
      </c>
      <c r="H12000" s="6" t="s">
        <v>2397</v>
      </c>
      <c r="I12000" s="6" t="s">
        <v>31</v>
      </c>
      <c r="J12000" s="6">
        <v>16.801806106040999</v>
      </c>
      <c r="K12000" s="6">
        <v>-96.71549515209</v>
      </c>
      <c r="L12000" s="6" t="str">
        <f>HYPERLINK("https://maps.google.com/?q=16.801806106041,-96.715495152090398", "🔗 Ver Mapa")</f>
        <v>🔗 Ver Mapa</v>
      </c>
    </row>
    <row r="12001" spans="1:12" ht="43.5" x14ac:dyDescent="0.35">
      <c r="A12001" s="5" t="s">
        <v>98</v>
      </c>
      <c r="B12001" s="5" t="s">
        <v>99</v>
      </c>
      <c r="C12001" s="5" t="s">
        <v>2396</v>
      </c>
      <c r="D12001" s="5" t="s">
        <v>14</v>
      </c>
      <c r="E12001" s="5" t="s">
        <v>52</v>
      </c>
      <c r="F12001" s="5" t="s">
        <v>228</v>
      </c>
      <c r="G12001" s="5" t="s">
        <v>2343</v>
      </c>
      <c r="H12001" s="5" t="s">
        <v>2397</v>
      </c>
      <c r="I12001" s="5" t="s">
        <v>31</v>
      </c>
      <c r="J12001" s="5">
        <v>16.801825601167</v>
      </c>
      <c r="K12001" s="5">
        <v>-96.705066634418003</v>
      </c>
      <c r="L12001" s="5" t="str">
        <f>HYPERLINK("https://maps.google.com/?q=16.8018256011667,-96.705066634417705", "🔗 Ver Mapa")</f>
        <v>🔗 Ver Mapa</v>
      </c>
    </row>
    <row r="12002" spans="1:12" ht="43.5" x14ac:dyDescent="0.35">
      <c r="A12002" s="6" t="s">
        <v>98</v>
      </c>
      <c r="B12002" s="6" t="s">
        <v>99</v>
      </c>
      <c r="C12002" s="6" t="s">
        <v>2396</v>
      </c>
      <c r="D12002" s="6" t="s">
        <v>14</v>
      </c>
      <c r="E12002" s="6" t="s">
        <v>52</v>
      </c>
      <c r="F12002" s="6" t="s">
        <v>228</v>
      </c>
      <c r="G12002" s="6" t="s">
        <v>2343</v>
      </c>
      <c r="H12002" s="6" t="s">
        <v>2397</v>
      </c>
      <c r="I12002" s="6" t="s">
        <v>31</v>
      </c>
      <c r="J12002" s="6">
        <v>16.801912239494001</v>
      </c>
      <c r="K12002" s="6">
        <v>-96.711759559490005</v>
      </c>
      <c r="L12002" s="6" t="str">
        <f>HYPERLINK("https://maps.google.com/?q=16.8019122394943,-96.711759559489806", "🔗 Ver Mapa")</f>
        <v>🔗 Ver Mapa</v>
      </c>
    </row>
    <row r="12003" spans="1:12" ht="43.5" x14ac:dyDescent="0.35">
      <c r="A12003" s="5" t="s">
        <v>98</v>
      </c>
      <c r="B12003" s="5" t="s">
        <v>99</v>
      </c>
      <c r="C12003" s="5" t="s">
        <v>2396</v>
      </c>
      <c r="D12003" s="5" t="s">
        <v>14</v>
      </c>
      <c r="E12003" s="5" t="s">
        <v>52</v>
      </c>
      <c r="F12003" s="5" t="s">
        <v>228</v>
      </c>
      <c r="G12003" s="5" t="s">
        <v>2343</v>
      </c>
      <c r="H12003" s="5" t="s">
        <v>2397</v>
      </c>
      <c r="I12003" s="5" t="s">
        <v>31</v>
      </c>
      <c r="J12003" s="5">
        <v>16.802167299530002</v>
      </c>
      <c r="K12003" s="5">
        <v>-96.713048132387996</v>
      </c>
      <c r="L12003" s="5" t="str">
        <f>HYPERLINK("https://maps.google.com/?q=16.8021672995302,-96.713048132387598", "🔗 Ver Mapa")</f>
        <v>🔗 Ver Mapa</v>
      </c>
    </row>
    <row r="12004" spans="1:12" ht="43.5" x14ac:dyDescent="0.35">
      <c r="A12004" s="6" t="s">
        <v>98</v>
      </c>
      <c r="B12004" s="6" t="s">
        <v>99</v>
      </c>
      <c r="C12004" s="6" t="s">
        <v>2396</v>
      </c>
      <c r="D12004" s="6" t="s">
        <v>14</v>
      </c>
      <c r="E12004" s="6" t="s">
        <v>52</v>
      </c>
      <c r="F12004" s="6" t="s">
        <v>228</v>
      </c>
      <c r="G12004" s="6" t="s">
        <v>2343</v>
      </c>
      <c r="H12004" s="6" t="s">
        <v>2397</v>
      </c>
      <c r="I12004" s="6" t="s">
        <v>31</v>
      </c>
      <c r="J12004" s="6">
        <v>16.802291151085001</v>
      </c>
      <c r="K12004" s="6">
        <v>-96.711380318896005</v>
      </c>
      <c r="L12004" s="6" t="str">
        <f>HYPERLINK("https://maps.google.com/?q=16.8022911510851,-96.711380318896104", "🔗 Ver Mapa")</f>
        <v>🔗 Ver Mapa</v>
      </c>
    </row>
    <row r="12005" spans="1:12" ht="43.5" x14ac:dyDescent="0.35">
      <c r="A12005" s="5" t="s">
        <v>98</v>
      </c>
      <c r="B12005" s="5" t="s">
        <v>99</v>
      </c>
      <c r="C12005" s="5" t="s">
        <v>2396</v>
      </c>
      <c r="D12005" s="5" t="s">
        <v>14</v>
      </c>
      <c r="E12005" s="5" t="s">
        <v>52</v>
      </c>
      <c r="F12005" s="5" t="s">
        <v>228</v>
      </c>
      <c r="G12005" s="5" t="s">
        <v>2343</v>
      </c>
      <c r="H12005" s="5" t="s">
        <v>2397</v>
      </c>
      <c r="I12005" s="5" t="s">
        <v>31</v>
      </c>
      <c r="J12005" s="5">
        <v>16.802298892770001</v>
      </c>
      <c r="K12005" s="5">
        <v>-96.705047668789007</v>
      </c>
      <c r="L12005" s="5" t="str">
        <f>HYPERLINK("https://maps.google.com/?q=16.8022988927704,-96.705047668788794", "🔗 Ver Mapa")</f>
        <v>🔗 Ver Mapa</v>
      </c>
    </row>
    <row r="12006" spans="1:12" ht="43.5" x14ac:dyDescent="0.35">
      <c r="A12006" s="6" t="s">
        <v>98</v>
      </c>
      <c r="B12006" s="6" t="s">
        <v>99</v>
      </c>
      <c r="C12006" s="6" t="s">
        <v>2396</v>
      </c>
      <c r="D12006" s="6" t="s">
        <v>14</v>
      </c>
      <c r="E12006" s="6" t="s">
        <v>52</v>
      </c>
      <c r="F12006" s="6" t="s">
        <v>228</v>
      </c>
      <c r="G12006" s="6" t="s">
        <v>2343</v>
      </c>
      <c r="H12006" s="6" t="s">
        <v>2397</v>
      </c>
      <c r="I12006" s="6" t="s">
        <v>31</v>
      </c>
      <c r="J12006" s="6">
        <v>16.802408012634999</v>
      </c>
      <c r="K12006" s="6">
        <v>-96.718156887790997</v>
      </c>
      <c r="L12006" s="6" t="str">
        <f>HYPERLINK("https://maps.google.com/?q=16.8024080126352,-96.718156887790798", "🔗 Ver Mapa")</f>
        <v>🔗 Ver Mapa</v>
      </c>
    </row>
    <row r="12007" spans="1:12" ht="43.5" x14ac:dyDescent="0.35">
      <c r="A12007" s="5" t="s">
        <v>98</v>
      </c>
      <c r="B12007" s="5" t="s">
        <v>99</v>
      </c>
      <c r="C12007" s="5" t="s">
        <v>2396</v>
      </c>
      <c r="D12007" s="5" t="s">
        <v>14</v>
      </c>
      <c r="E12007" s="5" t="s">
        <v>52</v>
      </c>
      <c r="F12007" s="5" t="s">
        <v>228</v>
      </c>
      <c r="G12007" s="5" t="s">
        <v>2343</v>
      </c>
      <c r="H12007" s="5" t="s">
        <v>2397</v>
      </c>
      <c r="I12007" s="5" t="s">
        <v>31</v>
      </c>
      <c r="J12007" s="5">
        <v>16.802417575195001</v>
      </c>
      <c r="K12007" s="5">
        <v>-96.722880131283006</v>
      </c>
      <c r="L12007" s="5" t="str">
        <f>HYPERLINK("https://maps.google.com/?q=16.8024175751945,-96.722880131283006", "🔗 Ver Mapa")</f>
        <v>🔗 Ver Mapa</v>
      </c>
    </row>
    <row r="12008" spans="1:12" ht="43.5" x14ac:dyDescent="0.35">
      <c r="A12008" s="6" t="s">
        <v>98</v>
      </c>
      <c r="B12008" s="6" t="s">
        <v>99</v>
      </c>
      <c r="C12008" s="6" t="s">
        <v>2396</v>
      </c>
      <c r="D12008" s="6" t="s">
        <v>14</v>
      </c>
      <c r="E12008" s="6" t="s">
        <v>52</v>
      </c>
      <c r="F12008" s="6" t="s">
        <v>228</v>
      </c>
      <c r="G12008" s="6" t="s">
        <v>2343</v>
      </c>
      <c r="H12008" s="6" t="s">
        <v>2397</v>
      </c>
      <c r="I12008" s="6" t="s">
        <v>31</v>
      </c>
      <c r="J12008" s="6">
        <v>16.802462570332999</v>
      </c>
      <c r="K12008" s="6">
        <v>-96.718803041103996</v>
      </c>
      <c r="L12008" s="6" t="str">
        <f>HYPERLINK("https://maps.google.com/?q=16.8024625703328,-96.718803041104493", "🔗 Ver Mapa")</f>
        <v>🔗 Ver Mapa</v>
      </c>
    </row>
    <row r="12009" spans="1:12" ht="43.5" x14ac:dyDescent="0.35">
      <c r="A12009" s="5" t="s">
        <v>98</v>
      </c>
      <c r="B12009" s="5" t="s">
        <v>99</v>
      </c>
      <c r="C12009" s="5" t="s">
        <v>2396</v>
      </c>
      <c r="D12009" s="5" t="s">
        <v>14</v>
      </c>
      <c r="E12009" s="5" t="s">
        <v>52</v>
      </c>
      <c r="F12009" s="5" t="s">
        <v>228</v>
      </c>
      <c r="G12009" s="5" t="s">
        <v>2343</v>
      </c>
      <c r="H12009" s="5" t="s">
        <v>2397</v>
      </c>
      <c r="I12009" s="5" t="s">
        <v>31</v>
      </c>
      <c r="J12009" s="5">
        <v>16.802578228510999</v>
      </c>
      <c r="K12009" s="5">
        <v>-96.719926544513996</v>
      </c>
      <c r="L12009" s="5" t="str">
        <f>HYPERLINK("https://maps.google.com/?q=16.8025782285106,-96.719926544513996", "🔗 Ver Mapa")</f>
        <v>🔗 Ver Mapa</v>
      </c>
    </row>
    <row r="12010" spans="1:12" ht="43.5" x14ac:dyDescent="0.35">
      <c r="A12010" s="6" t="s">
        <v>98</v>
      </c>
      <c r="B12010" s="6" t="s">
        <v>99</v>
      </c>
      <c r="C12010" s="6" t="s">
        <v>2396</v>
      </c>
      <c r="D12010" s="6" t="s">
        <v>14</v>
      </c>
      <c r="E12010" s="6" t="s">
        <v>52</v>
      </c>
      <c r="F12010" s="6" t="s">
        <v>228</v>
      </c>
      <c r="G12010" s="6" t="s">
        <v>2343</v>
      </c>
      <c r="H12010" s="6" t="s">
        <v>2397</v>
      </c>
      <c r="I12010" s="6" t="s">
        <v>31</v>
      </c>
      <c r="J12010" s="6">
        <v>16.802632602635001</v>
      </c>
      <c r="K12010" s="6">
        <v>-96.722814352208999</v>
      </c>
      <c r="L12010" s="6" t="str">
        <f>HYPERLINK("https://maps.google.com/?q=16.8026326026351,-96.7228143522088", "🔗 Ver Mapa")</f>
        <v>🔗 Ver Mapa</v>
      </c>
    </row>
    <row r="12011" spans="1:12" ht="43.5" x14ac:dyDescent="0.35">
      <c r="A12011" s="5" t="s">
        <v>98</v>
      </c>
      <c r="B12011" s="5" t="s">
        <v>99</v>
      </c>
      <c r="C12011" s="5" t="s">
        <v>2396</v>
      </c>
      <c r="D12011" s="5" t="s">
        <v>14</v>
      </c>
      <c r="E12011" s="5" t="s">
        <v>52</v>
      </c>
      <c r="F12011" s="5" t="s">
        <v>228</v>
      </c>
      <c r="G12011" s="5" t="s">
        <v>2343</v>
      </c>
      <c r="H12011" s="5" t="s">
        <v>2397</v>
      </c>
      <c r="I12011" s="5" t="s">
        <v>31</v>
      </c>
      <c r="J12011" s="5">
        <v>16.802692490344999</v>
      </c>
      <c r="K12011" s="5">
        <v>-96.720637345580997</v>
      </c>
      <c r="L12011" s="5" t="str">
        <f>HYPERLINK("https://maps.google.com/?q=16.8026924903452,-96.720637345581494", "🔗 Ver Mapa")</f>
        <v>🔗 Ver Mapa</v>
      </c>
    </row>
    <row r="12012" spans="1:12" ht="43.5" x14ac:dyDescent="0.35">
      <c r="A12012" s="6" t="s">
        <v>98</v>
      </c>
      <c r="B12012" s="6" t="s">
        <v>99</v>
      </c>
      <c r="C12012" s="6" t="s">
        <v>2396</v>
      </c>
      <c r="D12012" s="6" t="s">
        <v>14</v>
      </c>
      <c r="E12012" s="6" t="s">
        <v>52</v>
      </c>
      <c r="F12012" s="6" t="s">
        <v>228</v>
      </c>
      <c r="G12012" s="6" t="s">
        <v>2343</v>
      </c>
      <c r="H12012" s="6" t="s">
        <v>2397</v>
      </c>
      <c r="I12012" s="6" t="s">
        <v>31</v>
      </c>
      <c r="J12012" s="6">
        <v>16.802904044220998</v>
      </c>
      <c r="K12012" s="6">
        <v>-96.722670743552001</v>
      </c>
      <c r="L12012" s="6" t="str">
        <f>HYPERLINK("https://maps.google.com/?q=16.802904044221,-96.722670743551504", "🔗 Ver Mapa")</f>
        <v>🔗 Ver Mapa</v>
      </c>
    </row>
    <row r="12013" spans="1:12" ht="43.5" x14ac:dyDescent="0.35">
      <c r="A12013" s="5" t="s">
        <v>98</v>
      </c>
      <c r="B12013" s="5" t="s">
        <v>99</v>
      </c>
      <c r="C12013" s="5" t="s">
        <v>2396</v>
      </c>
      <c r="D12013" s="5" t="s">
        <v>14</v>
      </c>
      <c r="E12013" s="5" t="s">
        <v>52</v>
      </c>
      <c r="F12013" s="5" t="s">
        <v>228</v>
      </c>
      <c r="G12013" s="5" t="s">
        <v>2343</v>
      </c>
      <c r="H12013" s="5" t="s">
        <v>2397</v>
      </c>
      <c r="I12013" s="5" t="s">
        <v>31</v>
      </c>
      <c r="J12013" s="5">
        <v>16.803081556715</v>
      </c>
      <c r="K12013" s="5">
        <v>-96.712752574749999</v>
      </c>
      <c r="L12013" s="5" t="str">
        <f>HYPERLINK("https://maps.google.com/?q=16.803081556715,-96.712752574750297", "🔗 Ver Mapa")</f>
        <v>🔗 Ver Mapa</v>
      </c>
    </row>
    <row r="12014" spans="1:12" ht="43.5" x14ac:dyDescent="0.35">
      <c r="A12014" s="6" t="s">
        <v>98</v>
      </c>
      <c r="B12014" s="6" t="s">
        <v>99</v>
      </c>
      <c r="C12014" s="6" t="s">
        <v>2396</v>
      </c>
      <c r="D12014" s="6" t="s">
        <v>14</v>
      </c>
      <c r="E12014" s="6" t="s">
        <v>52</v>
      </c>
      <c r="F12014" s="6" t="s">
        <v>228</v>
      </c>
      <c r="G12014" s="6" t="s">
        <v>2343</v>
      </c>
      <c r="H12014" s="6" t="s">
        <v>2397</v>
      </c>
      <c r="I12014" s="6" t="s">
        <v>31</v>
      </c>
      <c r="J12014" s="6">
        <v>16.803332925692999</v>
      </c>
      <c r="K12014" s="6">
        <v>-96.712532650059003</v>
      </c>
      <c r="L12014" s="6" t="str">
        <f>HYPERLINK("https://maps.google.com/?q=16.8033329256931,-96.712532650059302", "🔗 Ver Mapa")</f>
        <v>🔗 Ver Mapa</v>
      </c>
    </row>
    <row r="12015" spans="1:12" ht="43.5" x14ac:dyDescent="0.35">
      <c r="A12015" s="5" t="s">
        <v>98</v>
      </c>
      <c r="B12015" s="5" t="s">
        <v>99</v>
      </c>
      <c r="C12015" s="5" t="s">
        <v>2396</v>
      </c>
      <c r="D12015" s="5" t="s">
        <v>14</v>
      </c>
      <c r="E12015" s="5" t="s">
        <v>52</v>
      </c>
      <c r="F12015" s="5" t="s">
        <v>228</v>
      </c>
      <c r="G12015" s="5" t="s">
        <v>2343</v>
      </c>
      <c r="H12015" s="5" t="s">
        <v>2397</v>
      </c>
      <c r="I12015" s="5" t="s">
        <v>31</v>
      </c>
      <c r="J12015" s="5">
        <v>16.803361177382001</v>
      </c>
      <c r="K12015" s="5">
        <v>-96.707323482169002</v>
      </c>
      <c r="L12015" s="5" t="str">
        <f>HYPERLINK("https://maps.google.com/?q=16.8033611773825,-96.7073234821694", "🔗 Ver Mapa")</f>
        <v>🔗 Ver Mapa</v>
      </c>
    </row>
    <row r="12016" spans="1:12" ht="43.5" x14ac:dyDescent="0.35">
      <c r="A12016" s="6" t="s">
        <v>98</v>
      </c>
      <c r="B12016" s="6" t="s">
        <v>99</v>
      </c>
      <c r="C12016" s="6" t="s">
        <v>2396</v>
      </c>
      <c r="D12016" s="6" t="s">
        <v>14</v>
      </c>
      <c r="E12016" s="6" t="s">
        <v>52</v>
      </c>
      <c r="F12016" s="6" t="s">
        <v>228</v>
      </c>
      <c r="G12016" s="6" t="s">
        <v>2343</v>
      </c>
      <c r="H12016" s="6" t="s">
        <v>2397</v>
      </c>
      <c r="I12016" s="6" t="s">
        <v>31</v>
      </c>
      <c r="J12016" s="6">
        <v>16.803438653276</v>
      </c>
      <c r="K12016" s="6">
        <v>-96.714677049108005</v>
      </c>
      <c r="L12016" s="6" t="str">
        <f>HYPERLINK("https://maps.google.com/?q=16.8034386532761,-96.714677049108403", "🔗 Ver Mapa")</f>
        <v>🔗 Ver Mapa</v>
      </c>
    </row>
    <row r="12017" spans="1:12" ht="43.5" x14ac:dyDescent="0.35">
      <c r="A12017" s="5" t="s">
        <v>98</v>
      </c>
      <c r="B12017" s="5" t="s">
        <v>99</v>
      </c>
      <c r="C12017" s="5" t="s">
        <v>2396</v>
      </c>
      <c r="D12017" s="5" t="s">
        <v>14</v>
      </c>
      <c r="E12017" s="5" t="s">
        <v>52</v>
      </c>
      <c r="F12017" s="5" t="s">
        <v>228</v>
      </c>
      <c r="G12017" s="5" t="s">
        <v>2343</v>
      </c>
      <c r="H12017" s="5" t="s">
        <v>2397</v>
      </c>
      <c r="I12017" s="5" t="s">
        <v>31</v>
      </c>
      <c r="J12017" s="5">
        <v>16.803550055913</v>
      </c>
      <c r="K12017" s="5">
        <v>-96.720760445275999</v>
      </c>
      <c r="L12017" s="5" t="str">
        <f>HYPERLINK("https://maps.google.com/?q=16.8035500559128,-96.7207604452759", "🔗 Ver Mapa")</f>
        <v>🔗 Ver Mapa</v>
      </c>
    </row>
    <row r="12018" spans="1:12" ht="43.5" x14ac:dyDescent="0.35">
      <c r="A12018" s="6" t="s">
        <v>98</v>
      </c>
      <c r="B12018" s="6" t="s">
        <v>99</v>
      </c>
      <c r="C12018" s="6" t="s">
        <v>2396</v>
      </c>
      <c r="D12018" s="6" t="s">
        <v>14</v>
      </c>
      <c r="E12018" s="6" t="s">
        <v>52</v>
      </c>
      <c r="F12018" s="6" t="s">
        <v>228</v>
      </c>
      <c r="G12018" s="6" t="s">
        <v>2343</v>
      </c>
      <c r="H12018" s="6" t="s">
        <v>2397</v>
      </c>
      <c r="I12018" s="6" t="s">
        <v>31</v>
      </c>
      <c r="J12018" s="6">
        <v>16.803589107541001</v>
      </c>
      <c r="K12018" s="6">
        <v>-96.717917224537004</v>
      </c>
      <c r="L12018" s="6" t="str">
        <f>HYPERLINK("https://maps.google.com/?q=16.8035891075413,-96.717917224536805", "🔗 Ver Mapa")</f>
        <v>🔗 Ver Mapa</v>
      </c>
    </row>
    <row r="12019" spans="1:12" ht="43.5" x14ac:dyDescent="0.35">
      <c r="A12019" s="5" t="s">
        <v>98</v>
      </c>
      <c r="B12019" s="5" t="s">
        <v>99</v>
      </c>
      <c r="C12019" s="5" t="s">
        <v>2396</v>
      </c>
      <c r="D12019" s="5" t="s">
        <v>14</v>
      </c>
      <c r="E12019" s="5" t="s">
        <v>52</v>
      </c>
      <c r="F12019" s="5" t="s">
        <v>228</v>
      </c>
      <c r="G12019" s="5" t="s">
        <v>2343</v>
      </c>
      <c r="H12019" s="5" t="s">
        <v>2397</v>
      </c>
      <c r="I12019" s="5" t="s">
        <v>31</v>
      </c>
      <c r="J12019" s="5">
        <v>16.803735142198999</v>
      </c>
      <c r="K12019" s="5">
        <v>-96.722943189565996</v>
      </c>
      <c r="L12019" s="5" t="str">
        <f>HYPERLINK("https://maps.google.com/?q=16.8037351421991,-96.722943189566394", "🔗 Ver Mapa")</f>
        <v>🔗 Ver Mapa</v>
      </c>
    </row>
    <row r="12020" spans="1:12" ht="43.5" x14ac:dyDescent="0.35">
      <c r="A12020" s="6" t="s">
        <v>98</v>
      </c>
      <c r="B12020" s="6" t="s">
        <v>99</v>
      </c>
      <c r="C12020" s="6" t="s">
        <v>2396</v>
      </c>
      <c r="D12020" s="6" t="s">
        <v>14</v>
      </c>
      <c r="E12020" s="6" t="s">
        <v>52</v>
      </c>
      <c r="F12020" s="6" t="s">
        <v>228</v>
      </c>
      <c r="G12020" s="6" t="s">
        <v>2343</v>
      </c>
      <c r="H12020" s="6" t="s">
        <v>2397</v>
      </c>
      <c r="I12020" s="6" t="s">
        <v>31</v>
      </c>
      <c r="J12020" s="6">
        <v>16.803782031250002</v>
      </c>
      <c r="K12020" s="6">
        <v>-96.708951792026994</v>
      </c>
      <c r="L12020" s="6" t="str">
        <f>HYPERLINK("https://maps.google.com/?q=16.8037820312503,-96.708951792026596", "🔗 Ver Mapa")</f>
        <v>🔗 Ver Mapa</v>
      </c>
    </row>
    <row r="12021" spans="1:12" ht="43.5" x14ac:dyDescent="0.35">
      <c r="A12021" s="5" t="s">
        <v>98</v>
      </c>
      <c r="B12021" s="5" t="s">
        <v>99</v>
      </c>
      <c r="C12021" s="5" t="s">
        <v>2396</v>
      </c>
      <c r="D12021" s="5" t="s">
        <v>14</v>
      </c>
      <c r="E12021" s="5" t="s">
        <v>52</v>
      </c>
      <c r="F12021" s="5" t="s">
        <v>228</v>
      </c>
      <c r="G12021" s="5" t="s">
        <v>2343</v>
      </c>
      <c r="H12021" s="5" t="s">
        <v>2397</v>
      </c>
      <c r="I12021" s="5" t="s">
        <v>31</v>
      </c>
      <c r="J12021" s="5">
        <v>16.803799658713</v>
      </c>
      <c r="K12021" s="5">
        <v>-96.709557962597003</v>
      </c>
      <c r="L12021" s="5" t="str">
        <f>HYPERLINK("https://maps.google.com/?q=16.8037996587133,-96.709557962596506", "🔗 Ver Mapa")</f>
        <v>🔗 Ver Mapa</v>
      </c>
    </row>
    <row r="12022" spans="1:12" ht="43.5" x14ac:dyDescent="0.35">
      <c r="A12022" s="6" t="s">
        <v>98</v>
      </c>
      <c r="B12022" s="6" t="s">
        <v>99</v>
      </c>
      <c r="C12022" s="6" t="s">
        <v>2396</v>
      </c>
      <c r="D12022" s="6" t="s">
        <v>14</v>
      </c>
      <c r="E12022" s="6" t="s">
        <v>52</v>
      </c>
      <c r="F12022" s="6" t="s">
        <v>228</v>
      </c>
      <c r="G12022" s="6" t="s">
        <v>2343</v>
      </c>
      <c r="H12022" s="6" t="s">
        <v>2397</v>
      </c>
      <c r="I12022" s="6" t="s">
        <v>31</v>
      </c>
      <c r="J12022" s="6">
        <v>16.803882531027998</v>
      </c>
      <c r="K12022" s="6">
        <v>-96.716217237791</v>
      </c>
      <c r="L12022" s="6" t="str">
        <f>HYPERLINK("https://maps.google.com/?q=16.803882531028,-96.716217237790701", "🔗 Ver Mapa")</f>
        <v>🔗 Ver Mapa</v>
      </c>
    </row>
    <row r="12023" spans="1:12" ht="43.5" x14ac:dyDescent="0.35">
      <c r="A12023" s="5" t="s">
        <v>98</v>
      </c>
      <c r="B12023" s="5" t="s">
        <v>99</v>
      </c>
      <c r="C12023" s="5" t="s">
        <v>2396</v>
      </c>
      <c r="D12023" s="5" t="s">
        <v>14</v>
      </c>
      <c r="E12023" s="5" t="s">
        <v>52</v>
      </c>
      <c r="F12023" s="5" t="s">
        <v>228</v>
      </c>
      <c r="G12023" s="5" t="s">
        <v>2343</v>
      </c>
      <c r="H12023" s="5" t="s">
        <v>2397</v>
      </c>
      <c r="I12023" s="5" t="s">
        <v>31</v>
      </c>
      <c r="J12023" s="5">
        <v>16.803980745057999</v>
      </c>
      <c r="K12023" s="5">
        <v>-96.716402635582</v>
      </c>
      <c r="L12023" s="5" t="str">
        <f>HYPERLINK("https://maps.google.com/?q=16.8039807450579,-96.716402635581801", "🔗 Ver Mapa")</f>
        <v>🔗 Ver Mapa</v>
      </c>
    </row>
    <row r="12024" spans="1:12" ht="43.5" x14ac:dyDescent="0.35">
      <c r="A12024" s="6" t="s">
        <v>98</v>
      </c>
      <c r="B12024" s="6" t="s">
        <v>99</v>
      </c>
      <c r="C12024" s="6" t="s">
        <v>2396</v>
      </c>
      <c r="D12024" s="6" t="s">
        <v>14</v>
      </c>
      <c r="E12024" s="6" t="s">
        <v>52</v>
      </c>
      <c r="F12024" s="6" t="s">
        <v>228</v>
      </c>
      <c r="G12024" s="6" t="s">
        <v>2343</v>
      </c>
      <c r="H12024" s="6" t="s">
        <v>2397</v>
      </c>
      <c r="I12024" s="6" t="s">
        <v>31</v>
      </c>
      <c r="J12024" s="6">
        <v>16.803985882536999</v>
      </c>
      <c r="K12024" s="6">
        <v>-96.718290571104006</v>
      </c>
      <c r="L12024" s="6" t="str">
        <f>HYPERLINK("https://maps.google.com/?q=16.8039858825368,-96.718290571104205", "🔗 Ver Mapa")</f>
        <v>🔗 Ver Mapa</v>
      </c>
    </row>
    <row r="12025" spans="1:12" ht="43.5" x14ac:dyDescent="0.35">
      <c r="A12025" s="5" t="s">
        <v>98</v>
      </c>
      <c r="B12025" s="5" t="s">
        <v>99</v>
      </c>
      <c r="C12025" s="5" t="s">
        <v>2396</v>
      </c>
      <c r="D12025" s="5" t="s">
        <v>14</v>
      </c>
      <c r="E12025" s="5" t="s">
        <v>52</v>
      </c>
      <c r="F12025" s="5" t="s">
        <v>228</v>
      </c>
      <c r="G12025" s="5" t="s">
        <v>2343</v>
      </c>
      <c r="H12025" s="5" t="s">
        <v>2397</v>
      </c>
      <c r="I12025" s="5" t="s">
        <v>31</v>
      </c>
      <c r="J12025" s="5">
        <v>16.804403222636001</v>
      </c>
      <c r="K12025" s="5">
        <v>-96.711603847790997</v>
      </c>
      <c r="L12025" s="5" t="str">
        <f>HYPERLINK("https://maps.google.com/?q=16.8044032226355,-96.711603847790698", "🔗 Ver Mapa")</f>
        <v>🔗 Ver Mapa</v>
      </c>
    </row>
    <row r="12026" spans="1:12" ht="43.5" x14ac:dyDescent="0.35">
      <c r="A12026" s="6" t="s">
        <v>98</v>
      </c>
      <c r="B12026" s="6" t="s">
        <v>99</v>
      </c>
      <c r="C12026" s="6" t="s">
        <v>2396</v>
      </c>
      <c r="D12026" s="6" t="s">
        <v>14</v>
      </c>
      <c r="E12026" s="6" t="s">
        <v>52</v>
      </c>
      <c r="F12026" s="6" t="s">
        <v>228</v>
      </c>
      <c r="G12026" s="6" t="s">
        <v>2343</v>
      </c>
      <c r="H12026" s="6" t="s">
        <v>2397</v>
      </c>
      <c r="I12026" s="6" t="s">
        <v>31</v>
      </c>
      <c r="J12026" s="6">
        <v>16.804461500504999</v>
      </c>
      <c r="K12026" s="6">
        <v>-96.710241238791994</v>
      </c>
      <c r="L12026" s="6" t="str">
        <f>HYPERLINK("https://maps.google.com/?q=16.8044615005051,-96.710241238792406", "🔗 Ver Mapa")</f>
        <v>🔗 Ver Mapa</v>
      </c>
    </row>
    <row r="12027" spans="1:12" ht="43.5" x14ac:dyDescent="0.35">
      <c r="A12027" s="5" t="s">
        <v>98</v>
      </c>
      <c r="B12027" s="5" t="s">
        <v>99</v>
      </c>
      <c r="C12027" s="5" t="s">
        <v>2396</v>
      </c>
      <c r="D12027" s="5" t="s">
        <v>14</v>
      </c>
      <c r="E12027" s="5" t="s">
        <v>52</v>
      </c>
      <c r="F12027" s="5" t="s">
        <v>228</v>
      </c>
      <c r="G12027" s="5" t="s">
        <v>2343</v>
      </c>
      <c r="H12027" s="5" t="s">
        <v>2397</v>
      </c>
      <c r="I12027" s="5" t="s">
        <v>31</v>
      </c>
      <c r="J12027" s="5">
        <v>16.804481483825001</v>
      </c>
      <c r="K12027" s="5">
        <v>-96.721171457672</v>
      </c>
      <c r="L12027" s="5" t="str">
        <f>HYPERLINK("https://maps.google.com/?q=16.8044814838247,-96.721171457672398", "🔗 Ver Mapa")</f>
        <v>🔗 Ver Mapa</v>
      </c>
    </row>
    <row r="12028" spans="1:12" ht="43.5" x14ac:dyDescent="0.35">
      <c r="A12028" s="6" t="s">
        <v>98</v>
      </c>
      <c r="B12028" s="6" t="s">
        <v>99</v>
      </c>
      <c r="C12028" s="6" t="s">
        <v>2396</v>
      </c>
      <c r="D12028" s="6" t="s">
        <v>14</v>
      </c>
      <c r="E12028" s="6" t="s">
        <v>52</v>
      </c>
      <c r="F12028" s="6" t="s">
        <v>228</v>
      </c>
      <c r="G12028" s="6" t="s">
        <v>2343</v>
      </c>
      <c r="H12028" s="6" t="s">
        <v>2397</v>
      </c>
      <c r="I12028" s="6" t="s">
        <v>31</v>
      </c>
      <c r="J12028" s="6">
        <v>16.805279428215002</v>
      </c>
      <c r="K12028" s="6">
        <v>-96.719673234240005</v>
      </c>
      <c r="L12028" s="6" t="str">
        <f>HYPERLINK("https://maps.google.com/?q=16.8052794282151,-96.719673234240105", "🔗 Ver Mapa")</f>
        <v>🔗 Ver Mapa</v>
      </c>
    </row>
    <row r="12029" spans="1:12" ht="43.5" x14ac:dyDescent="0.35">
      <c r="A12029" s="5" t="s">
        <v>98</v>
      </c>
      <c r="B12029" s="5" t="s">
        <v>99</v>
      </c>
      <c r="C12029" s="5" t="s">
        <v>2396</v>
      </c>
      <c r="D12029" s="5" t="s">
        <v>14</v>
      </c>
      <c r="E12029" s="5" t="s">
        <v>52</v>
      </c>
      <c r="F12029" s="5" t="s">
        <v>228</v>
      </c>
      <c r="G12029" s="5" t="s">
        <v>2343</v>
      </c>
      <c r="H12029" s="5" t="s">
        <v>2397</v>
      </c>
      <c r="I12029" s="5" t="s">
        <v>31</v>
      </c>
      <c r="J12029" s="5">
        <v>16.805315081919002</v>
      </c>
      <c r="K12029" s="5">
        <v>-96.720481289627998</v>
      </c>
      <c r="L12029" s="5" t="str">
        <f>HYPERLINK("https://maps.google.com/?q=16.8053150819187,-96.720481289628196", "🔗 Ver Mapa")</f>
        <v>🔗 Ver Mapa</v>
      </c>
    </row>
    <row r="12030" spans="1:12" ht="43.5" x14ac:dyDescent="0.35">
      <c r="A12030" s="6" t="s">
        <v>98</v>
      </c>
      <c r="B12030" s="6" t="s">
        <v>99</v>
      </c>
      <c r="C12030" s="6" t="s">
        <v>2396</v>
      </c>
      <c r="D12030" s="6" t="s">
        <v>14</v>
      </c>
      <c r="E12030" s="6" t="s">
        <v>52</v>
      </c>
      <c r="F12030" s="6" t="s">
        <v>228</v>
      </c>
      <c r="G12030" s="6" t="s">
        <v>2343</v>
      </c>
      <c r="H12030" s="6" t="s">
        <v>2397</v>
      </c>
      <c r="I12030" s="6" t="s">
        <v>31</v>
      </c>
      <c r="J12030" s="6">
        <v>16.805488786893001</v>
      </c>
      <c r="K12030" s="6">
        <v>-96.714460338894995</v>
      </c>
      <c r="L12030" s="6" t="str">
        <f>HYPERLINK("https://maps.google.com/?q=16.805488786893,-96.714460338895293", "🔗 Ver Mapa")</f>
        <v>🔗 Ver Mapa</v>
      </c>
    </row>
    <row r="12031" spans="1:12" ht="43.5" x14ac:dyDescent="0.35">
      <c r="A12031" s="5" t="s">
        <v>98</v>
      </c>
      <c r="B12031" s="5" t="s">
        <v>99</v>
      </c>
      <c r="C12031" s="5" t="s">
        <v>2396</v>
      </c>
      <c r="D12031" s="5" t="s">
        <v>14</v>
      </c>
      <c r="E12031" s="5" t="s">
        <v>52</v>
      </c>
      <c r="F12031" s="5" t="s">
        <v>228</v>
      </c>
      <c r="G12031" s="5" t="s">
        <v>2343</v>
      </c>
      <c r="H12031" s="5" t="s">
        <v>2397</v>
      </c>
      <c r="I12031" s="5" t="s">
        <v>31</v>
      </c>
      <c r="J12031" s="5">
        <v>16.805503674876</v>
      </c>
      <c r="K12031" s="5">
        <v>-96.718808246362002</v>
      </c>
      <c r="L12031" s="5" t="str">
        <f>HYPERLINK("https://maps.google.com/?q=16.8055036748762,-96.718808246362499", "🔗 Ver Mapa")</f>
        <v>🔗 Ver Mapa</v>
      </c>
    </row>
    <row r="12032" spans="1:12" ht="43.5" x14ac:dyDescent="0.35">
      <c r="A12032" s="6" t="s">
        <v>98</v>
      </c>
      <c r="B12032" s="6" t="s">
        <v>99</v>
      </c>
      <c r="C12032" s="6" t="s">
        <v>2396</v>
      </c>
      <c r="D12032" s="6" t="s">
        <v>14</v>
      </c>
      <c r="E12032" s="6" t="s">
        <v>52</v>
      </c>
      <c r="F12032" s="6" t="s">
        <v>228</v>
      </c>
      <c r="G12032" s="6" t="s">
        <v>2343</v>
      </c>
      <c r="H12032" s="6" t="s">
        <v>2397</v>
      </c>
      <c r="I12032" s="6" t="s">
        <v>31</v>
      </c>
      <c r="J12032" s="6">
        <v>16.805581297446</v>
      </c>
      <c r="K12032" s="6">
        <v>-96.724743096923007</v>
      </c>
      <c r="L12032" s="6" t="str">
        <f>HYPERLINK("https://maps.google.com/?q=16.8055812974457,-96.724743096923206", "🔗 Ver Mapa")</f>
        <v>🔗 Ver Mapa</v>
      </c>
    </row>
    <row r="12033" spans="1:12" ht="43.5" x14ac:dyDescent="0.35">
      <c r="A12033" s="5" t="s">
        <v>98</v>
      </c>
      <c r="B12033" s="5" t="s">
        <v>99</v>
      </c>
      <c r="C12033" s="5" t="s">
        <v>2396</v>
      </c>
      <c r="D12033" s="5" t="s">
        <v>14</v>
      </c>
      <c r="E12033" s="5" t="s">
        <v>52</v>
      </c>
      <c r="F12033" s="5" t="s">
        <v>228</v>
      </c>
      <c r="G12033" s="5" t="s">
        <v>2343</v>
      </c>
      <c r="H12033" s="5" t="s">
        <v>2397</v>
      </c>
      <c r="I12033" s="5" t="s">
        <v>31</v>
      </c>
      <c r="J12033" s="5">
        <v>16.805590546224</v>
      </c>
      <c r="K12033" s="5">
        <v>-96.721978294476997</v>
      </c>
      <c r="L12033" s="5" t="str">
        <f>HYPERLINK("https://maps.google.com/?q=16.8055905462238,-96.721978294477196", "🔗 Ver Mapa")</f>
        <v>🔗 Ver Mapa</v>
      </c>
    </row>
    <row r="12034" spans="1:12" ht="43.5" x14ac:dyDescent="0.35">
      <c r="A12034" s="6" t="s">
        <v>98</v>
      </c>
      <c r="B12034" s="6" t="s">
        <v>99</v>
      </c>
      <c r="C12034" s="6" t="s">
        <v>2396</v>
      </c>
      <c r="D12034" s="6" t="s">
        <v>14</v>
      </c>
      <c r="E12034" s="6" t="s">
        <v>52</v>
      </c>
      <c r="F12034" s="6" t="s">
        <v>228</v>
      </c>
      <c r="G12034" s="6" t="s">
        <v>2343</v>
      </c>
      <c r="H12034" s="6" t="s">
        <v>2397</v>
      </c>
      <c r="I12034" s="6" t="s">
        <v>31</v>
      </c>
      <c r="J12034" s="6">
        <v>16.805685383684001</v>
      </c>
      <c r="K12034" s="6">
        <v>-96.718642575028994</v>
      </c>
      <c r="L12034" s="6" t="str">
        <f>HYPERLINK("https://maps.google.com/?q=16.8056853836843,-96.718642575029406", "🔗 Ver Mapa")</f>
        <v>🔗 Ver Mapa</v>
      </c>
    </row>
    <row r="12035" spans="1:12" ht="43.5" x14ac:dyDescent="0.35">
      <c r="A12035" s="5" t="s">
        <v>98</v>
      </c>
      <c r="B12035" s="5" t="s">
        <v>99</v>
      </c>
      <c r="C12035" s="5" t="s">
        <v>2396</v>
      </c>
      <c r="D12035" s="5" t="s">
        <v>14</v>
      </c>
      <c r="E12035" s="5" t="s">
        <v>52</v>
      </c>
      <c r="F12035" s="5" t="s">
        <v>228</v>
      </c>
      <c r="G12035" s="5" t="s">
        <v>2343</v>
      </c>
      <c r="H12035" s="5" t="s">
        <v>2397</v>
      </c>
      <c r="I12035" s="5" t="s">
        <v>31</v>
      </c>
      <c r="J12035" s="5">
        <v>16.805714309999999</v>
      </c>
      <c r="K12035" s="5">
        <v>-96.721126889999994</v>
      </c>
      <c r="L12035" s="5" t="str">
        <f>HYPERLINK("https://maps.google.com/?q=16.80571431,-96.721126889999994", "🔗 Ver Mapa")</f>
        <v>🔗 Ver Mapa</v>
      </c>
    </row>
    <row r="12036" spans="1:12" ht="43.5" x14ac:dyDescent="0.35">
      <c r="A12036" s="6" t="s">
        <v>98</v>
      </c>
      <c r="B12036" s="6" t="s">
        <v>99</v>
      </c>
      <c r="C12036" s="6" t="s">
        <v>2396</v>
      </c>
      <c r="D12036" s="6" t="s">
        <v>14</v>
      </c>
      <c r="E12036" s="6" t="s">
        <v>52</v>
      </c>
      <c r="F12036" s="6" t="s">
        <v>228</v>
      </c>
      <c r="G12036" s="6" t="s">
        <v>2343</v>
      </c>
      <c r="H12036" s="6" t="s">
        <v>2397</v>
      </c>
      <c r="I12036" s="6" t="s">
        <v>31</v>
      </c>
      <c r="J12036" s="6">
        <v>16.805831779853001</v>
      </c>
      <c r="K12036" s="6">
        <v>-96.721102752150003</v>
      </c>
      <c r="L12036" s="6" t="str">
        <f>HYPERLINK("https://maps.google.com/?q=16.8058317798529,-96.721102752149605", "🔗 Ver Mapa")</f>
        <v>🔗 Ver Mapa</v>
      </c>
    </row>
    <row r="12037" spans="1:12" ht="43.5" x14ac:dyDescent="0.35">
      <c r="A12037" s="5" t="s">
        <v>98</v>
      </c>
      <c r="B12037" s="5" t="s">
        <v>99</v>
      </c>
      <c r="C12037" s="5" t="s">
        <v>2396</v>
      </c>
      <c r="D12037" s="5" t="s">
        <v>14</v>
      </c>
      <c r="E12037" s="5" t="s">
        <v>52</v>
      </c>
      <c r="F12037" s="5" t="s">
        <v>228</v>
      </c>
      <c r="G12037" s="5" t="s">
        <v>2343</v>
      </c>
      <c r="H12037" s="5" t="s">
        <v>2397</v>
      </c>
      <c r="I12037" s="5" t="s">
        <v>31</v>
      </c>
      <c r="J12037" s="5">
        <v>16.805963976188998</v>
      </c>
      <c r="K12037" s="5">
        <v>-96.724795874834001</v>
      </c>
      <c r="L12037" s="5" t="str">
        <f>HYPERLINK("https://maps.google.com/?q=16.8059639761885,-96.724795874834399", "🔗 Ver Mapa")</f>
        <v>🔗 Ver Mapa</v>
      </c>
    </row>
    <row r="12038" spans="1:12" ht="43.5" x14ac:dyDescent="0.35">
      <c r="A12038" s="6" t="s">
        <v>98</v>
      </c>
      <c r="B12038" s="6" t="s">
        <v>99</v>
      </c>
      <c r="C12038" s="6" t="s">
        <v>2396</v>
      </c>
      <c r="D12038" s="6" t="s">
        <v>14</v>
      </c>
      <c r="E12038" s="6" t="s">
        <v>52</v>
      </c>
      <c r="F12038" s="6" t="s">
        <v>228</v>
      </c>
      <c r="G12038" s="6" t="s">
        <v>2343</v>
      </c>
      <c r="H12038" s="6" t="s">
        <v>2397</v>
      </c>
      <c r="I12038" s="6" t="s">
        <v>31</v>
      </c>
      <c r="J12038" s="6">
        <v>16.806156920277001</v>
      </c>
      <c r="K12038" s="6">
        <v>-96.723183889549006</v>
      </c>
      <c r="L12038" s="6" t="str">
        <f>HYPERLINK("https://maps.google.com/?q=16.8061569202775,-96.723183889549205", "🔗 Ver Mapa")</f>
        <v>🔗 Ver Mapa</v>
      </c>
    </row>
    <row r="12039" spans="1:12" ht="43.5" x14ac:dyDescent="0.35">
      <c r="A12039" s="5" t="s">
        <v>98</v>
      </c>
      <c r="B12039" s="5" t="s">
        <v>99</v>
      </c>
      <c r="C12039" s="5" t="s">
        <v>2396</v>
      </c>
      <c r="D12039" s="5" t="s">
        <v>14</v>
      </c>
      <c r="E12039" s="5" t="s">
        <v>52</v>
      </c>
      <c r="F12039" s="5" t="s">
        <v>228</v>
      </c>
      <c r="G12039" s="5" t="s">
        <v>2343</v>
      </c>
      <c r="H12039" s="5" t="s">
        <v>2397</v>
      </c>
      <c r="I12039" s="5" t="s">
        <v>31</v>
      </c>
      <c r="J12039" s="5">
        <v>16.806215474698998</v>
      </c>
      <c r="K12039" s="5">
        <v>-96.718265930059005</v>
      </c>
      <c r="L12039" s="5" t="str">
        <f>HYPERLINK("https://maps.google.com/?q=16.806215474699,-96.718265930059204", "🔗 Ver Mapa")</f>
        <v>🔗 Ver Mapa</v>
      </c>
    </row>
    <row r="12040" spans="1:12" ht="43.5" x14ac:dyDescent="0.35">
      <c r="A12040" s="6" t="s">
        <v>98</v>
      </c>
      <c r="B12040" s="6" t="s">
        <v>99</v>
      </c>
      <c r="C12040" s="6" t="s">
        <v>2396</v>
      </c>
      <c r="D12040" s="6" t="s">
        <v>14</v>
      </c>
      <c r="E12040" s="6" t="s">
        <v>52</v>
      </c>
      <c r="F12040" s="6" t="s">
        <v>228</v>
      </c>
      <c r="G12040" s="6" t="s">
        <v>2343</v>
      </c>
      <c r="H12040" s="6" t="s">
        <v>2397</v>
      </c>
      <c r="I12040" s="6" t="s">
        <v>31</v>
      </c>
      <c r="J12040" s="6">
        <v>16.806439936408001</v>
      </c>
      <c r="K12040" s="6">
        <v>-96.721907565641999</v>
      </c>
      <c r="L12040" s="6" t="str">
        <f>HYPERLINK("https://maps.google.com/?q=16.8064399364082,-96.721907565641501", "🔗 Ver Mapa")</f>
        <v>🔗 Ver Mapa</v>
      </c>
    </row>
    <row r="12041" spans="1:12" ht="43.5" x14ac:dyDescent="0.35">
      <c r="A12041" s="5" t="s">
        <v>98</v>
      </c>
      <c r="B12041" s="5" t="s">
        <v>99</v>
      </c>
      <c r="C12041" s="5" t="s">
        <v>2396</v>
      </c>
      <c r="D12041" s="5" t="s">
        <v>14</v>
      </c>
      <c r="E12041" s="5" t="s">
        <v>52</v>
      </c>
      <c r="F12041" s="5" t="s">
        <v>228</v>
      </c>
      <c r="G12041" s="5" t="s">
        <v>2343</v>
      </c>
      <c r="H12041" s="5" t="s">
        <v>2397</v>
      </c>
      <c r="I12041" s="5" t="s">
        <v>31</v>
      </c>
      <c r="J12041" s="5">
        <v>16.806499749387001</v>
      </c>
      <c r="K12041" s="5">
        <v>-96.724338988894999</v>
      </c>
      <c r="L12041" s="5" t="str">
        <f>HYPERLINK("https://maps.google.com/?q=16.8064997493866,-96.724338988895198", "🔗 Ver Mapa")</f>
        <v>🔗 Ver Mapa</v>
      </c>
    </row>
    <row r="12042" spans="1:12" ht="43.5" x14ac:dyDescent="0.35">
      <c r="A12042" s="6" t="s">
        <v>98</v>
      </c>
      <c r="B12042" s="6" t="s">
        <v>99</v>
      </c>
      <c r="C12042" s="6" t="s">
        <v>2396</v>
      </c>
      <c r="D12042" s="6" t="s">
        <v>14</v>
      </c>
      <c r="E12042" s="6" t="s">
        <v>52</v>
      </c>
      <c r="F12042" s="6" t="s">
        <v>228</v>
      </c>
      <c r="G12042" s="6" t="s">
        <v>2343</v>
      </c>
      <c r="H12042" s="6" t="s">
        <v>2397</v>
      </c>
      <c r="I12042" s="6" t="s">
        <v>31</v>
      </c>
      <c r="J12042" s="6">
        <v>16.806508379216002</v>
      </c>
      <c r="K12042" s="6">
        <v>-96.723754604774996</v>
      </c>
      <c r="L12042" s="6" t="str">
        <f>HYPERLINK("https://maps.google.com/?q=16.8065083792159,-96.723754604774996", "🔗 Ver Mapa")</f>
        <v>🔗 Ver Mapa</v>
      </c>
    </row>
    <row r="12043" spans="1:12" ht="43.5" x14ac:dyDescent="0.35">
      <c r="A12043" s="5" t="s">
        <v>98</v>
      </c>
      <c r="B12043" s="5" t="s">
        <v>99</v>
      </c>
      <c r="C12043" s="5" t="s">
        <v>2396</v>
      </c>
      <c r="D12043" s="5" t="s">
        <v>14</v>
      </c>
      <c r="E12043" s="5" t="s">
        <v>52</v>
      </c>
      <c r="F12043" s="5" t="s">
        <v>228</v>
      </c>
      <c r="G12043" s="5" t="s">
        <v>2343</v>
      </c>
      <c r="H12043" s="5" t="s">
        <v>2397</v>
      </c>
      <c r="I12043" s="5" t="s">
        <v>31</v>
      </c>
      <c r="J12043" s="5">
        <v>16.806708997882001</v>
      </c>
      <c r="K12043" s="5">
        <v>-96.717686653532994</v>
      </c>
      <c r="L12043" s="5" t="str">
        <f>HYPERLINK("https://maps.google.com/?q=16.8067089978821,-96.717686653532596", "🔗 Ver Mapa")</f>
        <v>🔗 Ver Mapa</v>
      </c>
    </row>
    <row r="12044" spans="1:12" ht="43.5" x14ac:dyDescent="0.35">
      <c r="A12044" s="6" t="s">
        <v>98</v>
      </c>
      <c r="B12044" s="6" t="s">
        <v>99</v>
      </c>
      <c r="C12044" s="6" t="s">
        <v>2396</v>
      </c>
      <c r="D12044" s="6" t="s">
        <v>14</v>
      </c>
      <c r="E12044" s="6" t="s">
        <v>52</v>
      </c>
      <c r="F12044" s="6" t="s">
        <v>228</v>
      </c>
      <c r="G12044" s="6" t="s">
        <v>2343</v>
      </c>
      <c r="H12044" s="6" t="s">
        <v>2397</v>
      </c>
      <c r="I12044" s="6" t="s">
        <v>31</v>
      </c>
      <c r="J12044" s="6">
        <v>16.806764747915</v>
      </c>
      <c r="K12044" s="6">
        <v>-96.722488240000004</v>
      </c>
      <c r="L12044" s="6" t="str">
        <f>HYPERLINK("https://maps.google.com/?q=16.8067647479148,-96.722488239999905", "🔗 Ver Mapa")</f>
        <v>🔗 Ver Mapa</v>
      </c>
    </row>
    <row r="12045" spans="1:12" ht="43.5" x14ac:dyDescent="0.35">
      <c r="A12045" s="5" t="s">
        <v>98</v>
      </c>
      <c r="B12045" s="5" t="s">
        <v>99</v>
      </c>
      <c r="C12045" s="5" t="s">
        <v>2396</v>
      </c>
      <c r="D12045" s="5" t="s">
        <v>14</v>
      </c>
      <c r="E12045" s="5" t="s">
        <v>52</v>
      </c>
      <c r="F12045" s="5" t="s">
        <v>228</v>
      </c>
      <c r="G12045" s="5" t="s">
        <v>2343</v>
      </c>
      <c r="H12045" s="5" t="s">
        <v>2397</v>
      </c>
      <c r="I12045" s="5" t="s">
        <v>31</v>
      </c>
      <c r="J12045" s="5">
        <v>16.806979616454001</v>
      </c>
      <c r="K12045" s="5">
        <v>-96.717560318896005</v>
      </c>
      <c r="L12045" s="5" t="str">
        <f>HYPERLINK("https://maps.google.com/?q=16.8069796164539,-96.717560318895707", "🔗 Ver Mapa")</f>
        <v>🔗 Ver Mapa</v>
      </c>
    </row>
    <row r="12046" spans="1:12" ht="43.5" x14ac:dyDescent="0.35">
      <c r="A12046" s="6" t="s">
        <v>98</v>
      </c>
      <c r="B12046" s="6" t="s">
        <v>99</v>
      </c>
      <c r="C12046" s="6" t="s">
        <v>2396</v>
      </c>
      <c r="D12046" s="6" t="s">
        <v>14</v>
      </c>
      <c r="E12046" s="6" t="s">
        <v>52</v>
      </c>
      <c r="F12046" s="6" t="s">
        <v>228</v>
      </c>
      <c r="G12046" s="6" t="s">
        <v>2343</v>
      </c>
      <c r="H12046" s="6" t="s">
        <v>2397</v>
      </c>
      <c r="I12046" s="6" t="s">
        <v>31</v>
      </c>
      <c r="J12046" s="6">
        <v>16.807659264586999</v>
      </c>
      <c r="K12046" s="6">
        <v>-96.719903382447001</v>
      </c>
      <c r="L12046" s="6" t="str">
        <f>HYPERLINK("https://maps.google.com/?q=16.8076592645867,-96.719903382446702", "🔗 Ver Mapa")</f>
        <v>🔗 Ver Mapa</v>
      </c>
    </row>
    <row r="12047" spans="1:12" ht="43.5" x14ac:dyDescent="0.35">
      <c r="A12047" s="5" t="s">
        <v>98</v>
      </c>
      <c r="B12047" s="5" t="s">
        <v>99</v>
      </c>
      <c r="C12047" s="5" t="s">
        <v>2396</v>
      </c>
      <c r="D12047" s="5" t="s">
        <v>14</v>
      </c>
      <c r="E12047" s="5" t="s">
        <v>52</v>
      </c>
      <c r="F12047" s="5" t="s">
        <v>228</v>
      </c>
      <c r="G12047" s="5" t="s">
        <v>2343</v>
      </c>
      <c r="H12047" s="5" t="s">
        <v>2397</v>
      </c>
      <c r="I12047" s="5" t="s">
        <v>31</v>
      </c>
      <c r="J12047" s="5">
        <v>16.807780999999999</v>
      </c>
      <c r="K12047" s="5">
        <v>-96.717696000000004</v>
      </c>
      <c r="L12047" s="5" t="str">
        <f>HYPERLINK("https://maps.google.com/?q=16.807781,-96.717696000000004", "🔗 Ver Mapa")</f>
        <v>🔗 Ver Mapa</v>
      </c>
    </row>
    <row r="12048" spans="1:12" ht="43.5" x14ac:dyDescent="0.35">
      <c r="A12048" s="6" t="s">
        <v>98</v>
      </c>
      <c r="B12048" s="6" t="s">
        <v>99</v>
      </c>
      <c r="C12048" s="6" t="s">
        <v>2396</v>
      </c>
      <c r="D12048" s="6" t="s">
        <v>14</v>
      </c>
      <c r="E12048" s="6" t="s">
        <v>52</v>
      </c>
      <c r="F12048" s="6" t="s">
        <v>228</v>
      </c>
      <c r="G12048" s="6" t="s">
        <v>2343</v>
      </c>
      <c r="H12048" s="6" t="s">
        <v>2397</v>
      </c>
      <c r="I12048" s="6" t="s">
        <v>31</v>
      </c>
      <c r="J12048" s="6">
        <v>16.807792017453998</v>
      </c>
      <c r="K12048" s="6">
        <v>-96.724149209999993</v>
      </c>
      <c r="L12048" s="6" t="str">
        <f>HYPERLINK("https://maps.google.com/?q=16.8077920174542,-96.724149210000107", "🔗 Ver Mapa")</f>
        <v>🔗 Ver Mapa</v>
      </c>
    </row>
    <row r="12049" spans="1:12" ht="43.5" x14ac:dyDescent="0.35">
      <c r="A12049" s="5" t="s">
        <v>98</v>
      </c>
      <c r="B12049" s="5" t="s">
        <v>99</v>
      </c>
      <c r="C12049" s="5" t="s">
        <v>2396</v>
      </c>
      <c r="D12049" s="5" t="s">
        <v>14</v>
      </c>
      <c r="E12049" s="5" t="s">
        <v>52</v>
      </c>
      <c r="F12049" s="5" t="s">
        <v>228</v>
      </c>
      <c r="G12049" s="5" t="s">
        <v>2343</v>
      </c>
      <c r="H12049" s="5" t="s">
        <v>2397</v>
      </c>
      <c r="I12049" s="5" t="s">
        <v>31</v>
      </c>
      <c r="J12049" s="5">
        <v>16.808873944544001</v>
      </c>
      <c r="K12049" s="5">
        <v>-96.723033729817004</v>
      </c>
      <c r="L12049" s="5" t="str">
        <f>HYPERLINK("https://maps.google.com/?q=16.8088739445437,-96.723033729816507", "🔗 Ver Mapa")</f>
        <v>🔗 Ver Mapa</v>
      </c>
    </row>
    <row r="12050" spans="1:12" ht="43.5" x14ac:dyDescent="0.35">
      <c r="A12050" s="6" t="s">
        <v>98</v>
      </c>
      <c r="B12050" s="6" t="s">
        <v>99</v>
      </c>
      <c r="C12050" s="6" t="s">
        <v>2396</v>
      </c>
      <c r="D12050" s="6" t="s">
        <v>14</v>
      </c>
      <c r="E12050" s="6" t="s">
        <v>52</v>
      </c>
      <c r="F12050" s="6" t="s">
        <v>228</v>
      </c>
      <c r="G12050" s="6" t="s">
        <v>2343</v>
      </c>
      <c r="H12050" s="6" t="s">
        <v>2397</v>
      </c>
      <c r="I12050" s="6" t="s">
        <v>31</v>
      </c>
      <c r="J12050" s="6">
        <v>16.810795550845999</v>
      </c>
      <c r="K12050" s="6">
        <v>-96.720829901165999</v>
      </c>
      <c r="L12050" s="6" t="str">
        <f>HYPERLINK("https://maps.google.com/?q=16.8107955508459,-96.7208299011657", "🔗 Ver Mapa")</f>
        <v>🔗 Ver Mapa</v>
      </c>
    </row>
    <row r="12051" spans="1:12" ht="43.5" x14ac:dyDescent="0.35">
      <c r="A12051" s="5" t="s">
        <v>98</v>
      </c>
      <c r="B12051" s="5" t="s">
        <v>99</v>
      </c>
      <c r="C12051" s="5" t="s">
        <v>2398</v>
      </c>
      <c r="D12051" s="5" t="s">
        <v>14</v>
      </c>
      <c r="E12051" s="5" t="s">
        <v>17</v>
      </c>
      <c r="F12051" s="5" t="s">
        <v>46</v>
      </c>
      <c r="G12051" s="5" t="s">
        <v>546</v>
      </c>
      <c r="H12051" s="5" t="s">
        <v>2399</v>
      </c>
      <c r="I12051" s="5" t="s">
        <v>31</v>
      </c>
      <c r="J12051" s="5">
        <v>16.106415899999998</v>
      </c>
      <c r="K12051" s="5">
        <v>-97.208122299999999</v>
      </c>
      <c r="L12051" s="5" t="str">
        <f>HYPERLINK("https://maps.google.com/?q=16.1064159,-97.208122299999999", "🔗 Ver Mapa")</f>
        <v>🔗 Ver Mapa</v>
      </c>
    </row>
    <row r="12052" spans="1:12" ht="43.5" x14ac:dyDescent="0.35">
      <c r="A12052" s="6" t="s">
        <v>98</v>
      </c>
      <c r="B12052" s="6" t="s">
        <v>99</v>
      </c>
      <c r="C12052" s="6" t="s">
        <v>2398</v>
      </c>
      <c r="D12052" s="6" t="s">
        <v>14</v>
      </c>
      <c r="E12052" s="6" t="s">
        <v>17</v>
      </c>
      <c r="F12052" s="6" t="s">
        <v>46</v>
      </c>
      <c r="G12052" s="6" t="s">
        <v>546</v>
      </c>
      <c r="H12052" s="6" t="s">
        <v>2399</v>
      </c>
      <c r="I12052" s="6" t="s">
        <v>31</v>
      </c>
      <c r="J12052" s="6">
        <v>16.106438000000001</v>
      </c>
      <c r="K12052" s="6">
        <v>-97.207714999999993</v>
      </c>
      <c r="L12052" s="6" t="str">
        <f>HYPERLINK("https://maps.google.com/?q=16.106438,-97.207714999999993", "🔗 Ver Mapa")</f>
        <v>🔗 Ver Mapa</v>
      </c>
    </row>
    <row r="12053" spans="1:12" ht="43.5" x14ac:dyDescent="0.35">
      <c r="A12053" s="5" t="s">
        <v>98</v>
      </c>
      <c r="B12053" s="5" t="s">
        <v>99</v>
      </c>
      <c r="C12053" s="5" t="s">
        <v>2398</v>
      </c>
      <c r="D12053" s="5" t="s">
        <v>14</v>
      </c>
      <c r="E12053" s="5" t="s">
        <v>17</v>
      </c>
      <c r="F12053" s="5" t="s">
        <v>46</v>
      </c>
      <c r="G12053" s="5" t="s">
        <v>546</v>
      </c>
      <c r="H12053" s="5" t="s">
        <v>2399</v>
      </c>
      <c r="I12053" s="5" t="s">
        <v>31</v>
      </c>
      <c r="J12053" s="5">
        <v>16.107236</v>
      </c>
      <c r="K12053" s="5">
        <v>-97.204859999999996</v>
      </c>
      <c r="L12053" s="5" t="str">
        <f>HYPERLINK("https://maps.google.com/?q=16.107236,-97.204859999999996", "🔗 Ver Mapa")</f>
        <v>🔗 Ver Mapa</v>
      </c>
    </row>
    <row r="12054" spans="1:12" ht="43.5" x14ac:dyDescent="0.35">
      <c r="A12054" s="6" t="s">
        <v>98</v>
      </c>
      <c r="B12054" s="6" t="s">
        <v>99</v>
      </c>
      <c r="C12054" s="6" t="s">
        <v>2398</v>
      </c>
      <c r="D12054" s="6" t="s">
        <v>14</v>
      </c>
      <c r="E12054" s="6" t="s">
        <v>17</v>
      </c>
      <c r="F12054" s="6" t="s">
        <v>46</v>
      </c>
      <c r="G12054" s="6" t="s">
        <v>546</v>
      </c>
      <c r="H12054" s="6" t="s">
        <v>2399</v>
      </c>
      <c r="I12054" s="6" t="s">
        <v>31</v>
      </c>
      <c r="J12054" s="6">
        <v>16.107749999999999</v>
      </c>
      <c r="K12054" s="6">
        <v>-97.204500999999993</v>
      </c>
      <c r="L12054" s="6" t="str">
        <f>HYPERLINK("https://maps.google.com/?q=16.10775,-97.204500999999993", "🔗 Ver Mapa")</f>
        <v>🔗 Ver Mapa</v>
      </c>
    </row>
    <row r="12055" spans="1:12" ht="43.5" x14ac:dyDescent="0.35">
      <c r="A12055" s="5" t="s">
        <v>98</v>
      </c>
      <c r="B12055" s="5" t="s">
        <v>99</v>
      </c>
      <c r="C12055" s="5" t="s">
        <v>2398</v>
      </c>
      <c r="D12055" s="5" t="s">
        <v>14</v>
      </c>
      <c r="E12055" s="5" t="s">
        <v>17</v>
      </c>
      <c r="F12055" s="5" t="s">
        <v>46</v>
      </c>
      <c r="G12055" s="5" t="s">
        <v>546</v>
      </c>
      <c r="H12055" s="5" t="s">
        <v>2399</v>
      </c>
      <c r="I12055" s="5" t="s">
        <v>31</v>
      </c>
      <c r="J12055" s="5">
        <v>16.109501999999999</v>
      </c>
      <c r="K12055" s="5">
        <v>-97.205516200000005</v>
      </c>
      <c r="L12055" s="5" t="str">
        <f>HYPERLINK("https://maps.google.com/?q=16.109502,-97.205516200000005", "🔗 Ver Mapa")</f>
        <v>🔗 Ver Mapa</v>
      </c>
    </row>
    <row r="12056" spans="1:12" ht="43.5" x14ac:dyDescent="0.35">
      <c r="A12056" s="6" t="s">
        <v>98</v>
      </c>
      <c r="B12056" s="6" t="s">
        <v>99</v>
      </c>
      <c r="C12056" s="6" t="s">
        <v>2398</v>
      </c>
      <c r="D12056" s="6" t="s">
        <v>14</v>
      </c>
      <c r="E12056" s="6" t="s">
        <v>17</v>
      </c>
      <c r="F12056" s="6" t="s">
        <v>46</v>
      </c>
      <c r="G12056" s="6" t="s">
        <v>546</v>
      </c>
      <c r="H12056" s="6" t="s">
        <v>2399</v>
      </c>
      <c r="I12056" s="6" t="s">
        <v>31</v>
      </c>
      <c r="J12056" s="6">
        <v>16.1095814</v>
      </c>
      <c r="K12056" s="6">
        <v>-97.204500800000005</v>
      </c>
      <c r="L12056" s="6" t="str">
        <f>HYPERLINK("https://maps.google.com/?q=16.1095814,-97.204500800000005", "🔗 Ver Mapa")</f>
        <v>🔗 Ver Mapa</v>
      </c>
    </row>
    <row r="12057" spans="1:12" ht="43.5" x14ac:dyDescent="0.35">
      <c r="A12057" s="5" t="s">
        <v>98</v>
      </c>
      <c r="B12057" s="5" t="s">
        <v>99</v>
      </c>
      <c r="C12057" s="5" t="s">
        <v>2398</v>
      </c>
      <c r="D12057" s="5" t="s">
        <v>14</v>
      </c>
      <c r="E12057" s="5" t="s">
        <v>17</v>
      </c>
      <c r="F12057" s="5" t="s">
        <v>46</v>
      </c>
      <c r="G12057" s="5" t="s">
        <v>546</v>
      </c>
      <c r="H12057" s="5" t="s">
        <v>2399</v>
      </c>
      <c r="I12057" s="5" t="s">
        <v>31</v>
      </c>
      <c r="J12057" s="5">
        <v>16.109701000000001</v>
      </c>
      <c r="K12057" s="5">
        <v>-97.203362999999996</v>
      </c>
      <c r="L12057" s="5" t="str">
        <f>HYPERLINK("https://maps.google.com/?q=16.109701,-97.203362999999996", "🔗 Ver Mapa")</f>
        <v>🔗 Ver Mapa</v>
      </c>
    </row>
    <row r="12058" spans="1:12" ht="43.5" x14ac:dyDescent="0.35">
      <c r="A12058" s="6" t="s">
        <v>98</v>
      </c>
      <c r="B12058" s="6" t="s">
        <v>99</v>
      </c>
      <c r="C12058" s="6" t="s">
        <v>2398</v>
      </c>
      <c r="D12058" s="6" t="s">
        <v>14</v>
      </c>
      <c r="E12058" s="6" t="s">
        <v>17</v>
      </c>
      <c r="F12058" s="6" t="s">
        <v>46</v>
      </c>
      <c r="G12058" s="6" t="s">
        <v>546</v>
      </c>
      <c r="H12058" s="6" t="s">
        <v>2399</v>
      </c>
      <c r="I12058" s="6" t="s">
        <v>31</v>
      </c>
      <c r="J12058" s="6">
        <v>16.110074000000001</v>
      </c>
      <c r="K12058" s="6">
        <v>-97.203456000000003</v>
      </c>
      <c r="L12058" s="6" t="str">
        <f>HYPERLINK("https://maps.google.com/?q=16.110074,-97.203456000000003", "🔗 Ver Mapa")</f>
        <v>🔗 Ver Mapa</v>
      </c>
    </row>
    <row r="12059" spans="1:12" ht="43.5" x14ac:dyDescent="0.35">
      <c r="A12059" s="5" t="s">
        <v>98</v>
      </c>
      <c r="B12059" s="5" t="s">
        <v>99</v>
      </c>
      <c r="C12059" s="5" t="s">
        <v>2398</v>
      </c>
      <c r="D12059" s="5" t="s">
        <v>14</v>
      </c>
      <c r="E12059" s="5" t="s">
        <v>17</v>
      </c>
      <c r="F12059" s="5" t="s">
        <v>46</v>
      </c>
      <c r="G12059" s="5" t="s">
        <v>546</v>
      </c>
      <c r="H12059" s="5" t="s">
        <v>2399</v>
      </c>
      <c r="I12059" s="5" t="s">
        <v>31</v>
      </c>
      <c r="J12059" s="5">
        <v>16.110596000000001</v>
      </c>
      <c r="K12059" s="5">
        <v>-97.207892000000001</v>
      </c>
      <c r="L12059" s="5" t="str">
        <f>HYPERLINK("https://maps.google.com/?q=16.110596,-97.207892000000001", "🔗 Ver Mapa")</f>
        <v>🔗 Ver Mapa</v>
      </c>
    </row>
    <row r="12060" spans="1:12" ht="43.5" x14ac:dyDescent="0.35">
      <c r="A12060" s="6" t="s">
        <v>98</v>
      </c>
      <c r="B12060" s="6" t="s">
        <v>99</v>
      </c>
      <c r="C12060" s="6" t="s">
        <v>2398</v>
      </c>
      <c r="D12060" s="6" t="s">
        <v>14</v>
      </c>
      <c r="E12060" s="6" t="s">
        <v>17</v>
      </c>
      <c r="F12060" s="6" t="s">
        <v>46</v>
      </c>
      <c r="G12060" s="6" t="s">
        <v>546</v>
      </c>
      <c r="H12060" s="6" t="s">
        <v>2399</v>
      </c>
      <c r="I12060" s="6" t="s">
        <v>31</v>
      </c>
      <c r="J12060" s="6">
        <v>16.110831000000001</v>
      </c>
      <c r="K12060" s="6">
        <v>-97.204767000000004</v>
      </c>
      <c r="L12060" s="6" t="str">
        <f>HYPERLINK("https://maps.google.com/?q=16.110831,-97.204767000000004", "🔗 Ver Mapa")</f>
        <v>🔗 Ver Mapa</v>
      </c>
    </row>
    <row r="12061" spans="1:12" ht="43.5" x14ac:dyDescent="0.35">
      <c r="A12061" s="5" t="s">
        <v>98</v>
      </c>
      <c r="B12061" s="5" t="s">
        <v>99</v>
      </c>
      <c r="C12061" s="5" t="s">
        <v>2400</v>
      </c>
      <c r="D12061" s="5" t="s">
        <v>14</v>
      </c>
      <c r="E12061" s="5" t="s">
        <v>158</v>
      </c>
      <c r="F12061" s="5" t="s">
        <v>166</v>
      </c>
      <c r="G12061" s="5" t="s">
        <v>167</v>
      </c>
      <c r="H12061" s="5" t="s">
        <v>168</v>
      </c>
      <c r="I12061" s="5" t="s">
        <v>31</v>
      </c>
      <c r="J12061" s="5">
        <v>16.311763209999999</v>
      </c>
      <c r="K12061" s="5">
        <v>-95.233600960000004</v>
      </c>
      <c r="L12061" s="5" t="str">
        <f>HYPERLINK("https://maps.google.com/?q=16.31176321,-95.233600960000004", "🔗 Ver Mapa")</f>
        <v>🔗 Ver Mapa</v>
      </c>
    </row>
    <row r="12062" spans="1:12" ht="43.5" x14ac:dyDescent="0.35">
      <c r="A12062" s="6" t="s">
        <v>98</v>
      </c>
      <c r="B12062" s="6" t="s">
        <v>99</v>
      </c>
      <c r="C12062" s="6" t="s">
        <v>2400</v>
      </c>
      <c r="D12062" s="6" t="s">
        <v>14</v>
      </c>
      <c r="E12062" s="6" t="s">
        <v>158</v>
      </c>
      <c r="F12062" s="6" t="s">
        <v>166</v>
      </c>
      <c r="G12062" s="6" t="s">
        <v>167</v>
      </c>
      <c r="H12062" s="6" t="s">
        <v>168</v>
      </c>
      <c r="I12062" s="6" t="s">
        <v>31</v>
      </c>
      <c r="J12062" s="6">
        <v>16.311784039999999</v>
      </c>
      <c r="K12062" s="6">
        <v>-95.234600220000004</v>
      </c>
      <c r="L12062" s="6" t="str">
        <f>HYPERLINK("https://maps.google.com/?q=16.31178404,-95.234600220000004", "🔗 Ver Mapa")</f>
        <v>🔗 Ver Mapa</v>
      </c>
    </row>
    <row r="12063" spans="1:12" ht="43.5" x14ac:dyDescent="0.35">
      <c r="A12063" s="5" t="s">
        <v>98</v>
      </c>
      <c r="B12063" s="5" t="s">
        <v>99</v>
      </c>
      <c r="C12063" s="5" t="s">
        <v>2400</v>
      </c>
      <c r="D12063" s="5" t="s">
        <v>14</v>
      </c>
      <c r="E12063" s="5" t="s">
        <v>158</v>
      </c>
      <c r="F12063" s="5" t="s">
        <v>166</v>
      </c>
      <c r="G12063" s="5" t="s">
        <v>167</v>
      </c>
      <c r="H12063" s="5" t="s">
        <v>168</v>
      </c>
      <c r="I12063" s="5" t="s">
        <v>31</v>
      </c>
      <c r="J12063" s="5">
        <v>16.312254840000001</v>
      </c>
      <c r="K12063" s="5">
        <v>-95.233505370000003</v>
      </c>
      <c r="L12063" s="5" t="str">
        <f>HYPERLINK("https://maps.google.com/?q=16.31225484,-95.233505370000003", "🔗 Ver Mapa")</f>
        <v>🔗 Ver Mapa</v>
      </c>
    </row>
    <row r="12064" spans="1:12" ht="43.5" x14ac:dyDescent="0.35">
      <c r="A12064" s="6" t="s">
        <v>98</v>
      </c>
      <c r="B12064" s="6" t="s">
        <v>99</v>
      </c>
      <c r="C12064" s="6" t="s">
        <v>2400</v>
      </c>
      <c r="D12064" s="6" t="s">
        <v>14</v>
      </c>
      <c r="E12064" s="6" t="s">
        <v>158</v>
      </c>
      <c r="F12064" s="6" t="s">
        <v>166</v>
      </c>
      <c r="G12064" s="6" t="s">
        <v>167</v>
      </c>
      <c r="H12064" s="6" t="s">
        <v>168</v>
      </c>
      <c r="I12064" s="6" t="s">
        <v>31</v>
      </c>
      <c r="J12064" s="6">
        <v>16.31554508</v>
      </c>
      <c r="K12064" s="6">
        <v>-95.233838399999996</v>
      </c>
      <c r="L12064" s="6" t="str">
        <f>HYPERLINK("https://maps.google.com/?q=16.31554508,-95.233838399999996", "🔗 Ver Mapa")</f>
        <v>🔗 Ver Mapa</v>
      </c>
    </row>
    <row r="12065" spans="1:12" ht="43.5" x14ac:dyDescent="0.35">
      <c r="A12065" s="5" t="s">
        <v>98</v>
      </c>
      <c r="B12065" s="5" t="s">
        <v>99</v>
      </c>
      <c r="C12065" s="5" t="s">
        <v>2400</v>
      </c>
      <c r="D12065" s="5" t="s">
        <v>14</v>
      </c>
      <c r="E12065" s="5" t="s">
        <v>158</v>
      </c>
      <c r="F12065" s="5" t="s">
        <v>166</v>
      </c>
      <c r="G12065" s="5" t="s">
        <v>167</v>
      </c>
      <c r="H12065" s="5" t="s">
        <v>168</v>
      </c>
      <c r="I12065" s="5" t="s">
        <v>31</v>
      </c>
      <c r="J12065" s="5">
        <v>16.31593621</v>
      </c>
      <c r="K12065" s="5">
        <v>-95.232954860000007</v>
      </c>
      <c r="L12065" s="5" t="str">
        <f>HYPERLINK("https://maps.google.com/?q=16.31593621,-95.232954860000007", "🔗 Ver Mapa")</f>
        <v>🔗 Ver Mapa</v>
      </c>
    </row>
    <row r="12066" spans="1:12" ht="43.5" x14ac:dyDescent="0.35">
      <c r="A12066" s="6" t="s">
        <v>98</v>
      </c>
      <c r="B12066" s="6" t="s">
        <v>99</v>
      </c>
      <c r="C12066" s="6" t="s">
        <v>2400</v>
      </c>
      <c r="D12066" s="6" t="s">
        <v>14</v>
      </c>
      <c r="E12066" s="6" t="s">
        <v>158</v>
      </c>
      <c r="F12066" s="6" t="s">
        <v>166</v>
      </c>
      <c r="G12066" s="6" t="s">
        <v>167</v>
      </c>
      <c r="H12066" s="6" t="s">
        <v>168</v>
      </c>
      <c r="I12066" s="6" t="s">
        <v>31</v>
      </c>
      <c r="J12066" s="6">
        <v>16.316263129999999</v>
      </c>
      <c r="K12066" s="6">
        <v>-95.233432289999996</v>
      </c>
      <c r="L12066" s="6" t="str">
        <f>HYPERLINK("https://maps.google.com/?q=16.31626313,-95.233432289999996", "🔗 Ver Mapa")</f>
        <v>🔗 Ver Mapa</v>
      </c>
    </row>
    <row r="12067" spans="1:12" ht="43.5" x14ac:dyDescent="0.35">
      <c r="A12067" s="5" t="s">
        <v>98</v>
      </c>
      <c r="B12067" s="5" t="s">
        <v>99</v>
      </c>
      <c r="C12067" s="5" t="s">
        <v>2400</v>
      </c>
      <c r="D12067" s="5" t="s">
        <v>14</v>
      </c>
      <c r="E12067" s="5" t="s">
        <v>158</v>
      </c>
      <c r="F12067" s="5" t="s">
        <v>166</v>
      </c>
      <c r="G12067" s="5" t="s">
        <v>167</v>
      </c>
      <c r="H12067" s="5" t="s">
        <v>168</v>
      </c>
      <c r="I12067" s="5" t="s">
        <v>31</v>
      </c>
      <c r="J12067" s="5">
        <v>16.316662900000001</v>
      </c>
      <c r="K12067" s="5">
        <v>-95.237011559999999</v>
      </c>
      <c r="L12067" s="5" t="str">
        <f>HYPERLINK("https://maps.google.com/?q=16.3166629,-95.237011559999999", "🔗 Ver Mapa")</f>
        <v>🔗 Ver Mapa</v>
      </c>
    </row>
    <row r="12068" spans="1:12" ht="43.5" x14ac:dyDescent="0.35">
      <c r="A12068" s="6" t="s">
        <v>98</v>
      </c>
      <c r="B12068" s="6" t="s">
        <v>99</v>
      </c>
      <c r="C12068" s="6" t="s">
        <v>2400</v>
      </c>
      <c r="D12068" s="6" t="s">
        <v>14</v>
      </c>
      <c r="E12068" s="6" t="s">
        <v>158</v>
      </c>
      <c r="F12068" s="6" t="s">
        <v>166</v>
      </c>
      <c r="G12068" s="6" t="s">
        <v>167</v>
      </c>
      <c r="H12068" s="6" t="s">
        <v>168</v>
      </c>
      <c r="I12068" s="6" t="s">
        <v>31</v>
      </c>
      <c r="J12068" s="6">
        <v>16.31826173</v>
      </c>
      <c r="K12068" s="6">
        <v>-95.233478700000006</v>
      </c>
      <c r="L12068" s="6" t="str">
        <f>HYPERLINK("https://maps.google.com/?q=16.31826173,-95.233478700000006", "🔗 Ver Mapa")</f>
        <v>🔗 Ver Mapa</v>
      </c>
    </row>
    <row r="12069" spans="1:12" ht="43.5" x14ac:dyDescent="0.35">
      <c r="A12069" s="5" t="s">
        <v>98</v>
      </c>
      <c r="B12069" s="5" t="s">
        <v>99</v>
      </c>
      <c r="C12069" s="5" t="s">
        <v>2400</v>
      </c>
      <c r="D12069" s="5" t="s">
        <v>14</v>
      </c>
      <c r="E12069" s="5" t="s">
        <v>158</v>
      </c>
      <c r="F12069" s="5" t="s">
        <v>166</v>
      </c>
      <c r="G12069" s="5" t="s">
        <v>167</v>
      </c>
      <c r="H12069" s="5" t="s">
        <v>168</v>
      </c>
      <c r="I12069" s="5" t="s">
        <v>31</v>
      </c>
      <c r="J12069" s="5">
        <v>16.318548450000002</v>
      </c>
      <c r="K12069" s="5">
        <v>-95.236077219999999</v>
      </c>
      <c r="L12069" s="5" t="str">
        <f>HYPERLINK("https://maps.google.com/?q=16.31854845,-95.236077219999999", "🔗 Ver Mapa")</f>
        <v>🔗 Ver Mapa</v>
      </c>
    </row>
    <row r="12070" spans="1:12" ht="43.5" x14ac:dyDescent="0.35">
      <c r="A12070" s="6" t="s">
        <v>98</v>
      </c>
      <c r="B12070" s="6" t="s">
        <v>99</v>
      </c>
      <c r="C12070" s="6" t="s">
        <v>2400</v>
      </c>
      <c r="D12070" s="6" t="s">
        <v>14</v>
      </c>
      <c r="E12070" s="6" t="s">
        <v>158</v>
      </c>
      <c r="F12070" s="6" t="s">
        <v>166</v>
      </c>
      <c r="G12070" s="6" t="s">
        <v>167</v>
      </c>
      <c r="H12070" s="6" t="s">
        <v>168</v>
      </c>
      <c r="I12070" s="6" t="s">
        <v>31</v>
      </c>
      <c r="J12070" s="6">
        <v>16.31859223</v>
      </c>
      <c r="K12070" s="6">
        <v>-95.234394269999996</v>
      </c>
      <c r="L12070" s="6" t="str">
        <f>HYPERLINK("https://maps.google.com/?q=16.31859223,-95.234394269999996", "🔗 Ver Mapa")</f>
        <v>🔗 Ver Mapa</v>
      </c>
    </row>
    <row r="12071" spans="1:12" ht="43.5" x14ac:dyDescent="0.35">
      <c r="A12071" s="5" t="s">
        <v>98</v>
      </c>
      <c r="B12071" s="5" t="s">
        <v>99</v>
      </c>
      <c r="C12071" s="5" t="s">
        <v>2400</v>
      </c>
      <c r="D12071" s="5" t="s">
        <v>14</v>
      </c>
      <c r="E12071" s="5" t="s">
        <v>158</v>
      </c>
      <c r="F12071" s="5" t="s">
        <v>166</v>
      </c>
      <c r="G12071" s="5" t="s">
        <v>167</v>
      </c>
      <c r="H12071" s="5" t="s">
        <v>168</v>
      </c>
      <c r="I12071" s="5" t="s">
        <v>31</v>
      </c>
      <c r="J12071" s="5">
        <v>16.319019520000001</v>
      </c>
      <c r="K12071" s="5">
        <v>-95.237137779999998</v>
      </c>
      <c r="L12071" s="5" t="str">
        <f>HYPERLINK("https://maps.google.com/?q=16.31901952,-95.237137779999998", "🔗 Ver Mapa")</f>
        <v>🔗 Ver Mapa</v>
      </c>
    </row>
    <row r="12072" spans="1:12" ht="43.5" x14ac:dyDescent="0.35">
      <c r="A12072" s="6" t="s">
        <v>98</v>
      </c>
      <c r="B12072" s="6" t="s">
        <v>99</v>
      </c>
      <c r="C12072" s="6" t="s">
        <v>2400</v>
      </c>
      <c r="D12072" s="6" t="s">
        <v>14</v>
      </c>
      <c r="E12072" s="6" t="s">
        <v>158</v>
      </c>
      <c r="F12072" s="6" t="s">
        <v>166</v>
      </c>
      <c r="G12072" s="6" t="s">
        <v>167</v>
      </c>
      <c r="H12072" s="6" t="s">
        <v>168</v>
      </c>
      <c r="I12072" s="6" t="s">
        <v>31</v>
      </c>
      <c r="J12072" s="6">
        <v>16.330573999999999</v>
      </c>
      <c r="K12072" s="6">
        <v>-95.232634000000004</v>
      </c>
      <c r="L12072" s="6" t="str">
        <f>HYPERLINK("https://maps.google.com/?q=16.330574,-95.232634000000004", "🔗 Ver Mapa")</f>
        <v>🔗 Ver Mapa</v>
      </c>
    </row>
    <row r="12073" spans="1:12" ht="43.5" x14ac:dyDescent="0.35">
      <c r="A12073" s="5" t="s">
        <v>98</v>
      </c>
      <c r="B12073" s="5" t="s">
        <v>99</v>
      </c>
      <c r="C12073" s="5" t="s">
        <v>2401</v>
      </c>
      <c r="D12073" s="5" t="s">
        <v>14</v>
      </c>
      <c r="E12073" s="5" t="s">
        <v>158</v>
      </c>
      <c r="F12073" s="5" t="s">
        <v>166</v>
      </c>
      <c r="G12073" s="5" t="s">
        <v>167</v>
      </c>
      <c r="H12073" s="5" t="s">
        <v>2402</v>
      </c>
      <c r="I12073" s="5" t="s">
        <v>31</v>
      </c>
      <c r="J12073" s="5">
        <v>16.24379442</v>
      </c>
      <c r="K12073" s="5">
        <v>-95.325017549999998</v>
      </c>
      <c r="L12073" s="5" t="str">
        <f>HYPERLINK("https://maps.google.com/?q=16.24379442,-95.325017549999998", "🔗 Ver Mapa")</f>
        <v>🔗 Ver Mapa</v>
      </c>
    </row>
    <row r="12074" spans="1:12" ht="43.5" x14ac:dyDescent="0.35">
      <c r="A12074" s="6" t="s">
        <v>98</v>
      </c>
      <c r="B12074" s="6" t="s">
        <v>99</v>
      </c>
      <c r="C12074" s="6" t="s">
        <v>2401</v>
      </c>
      <c r="D12074" s="6" t="s">
        <v>14</v>
      </c>
      <c r="E12074" s="6" t="s">
        <v>158</v>
      </c>
      <c r="F12074" s="6" t="s">
        <v>166</v>
      </c>
      <c r="G12074" s="6" t="s">
        <v>167</v>
      </c>
      <c r="H12074" s="6" t="s">
        <v>2402</v>
      </c>
      <c r="I12074" s="6" t="s">
        <v>31</v>
      </c>
      <c r="J12074" s="6">
        <v>16.244110970000001</v>
      </c>
      <c r="K12074" s="6">
        <v>-95.325682459999996</v>
      </c>
      <c r="L12074" s="6" t="str">
        <f>HYPERLINK("https://maps.google.com/?q=16.24411097,-95.325682459999996", "🔗 Ver Mapa")</f>
        <v>🔗 Ver Mapa</v>
      </c>
    </row>
    <row r="12075" spans="1:12" ht="43.5" x14ac:dyDescent="0.35">
      <c r="A12075" s="5" t="s">
        <v>98</v>
      </c>
      <c r="B12075" s="5" t="s">
        <v>99</v>
      </c>
      <c r="C12075" s="5" t="s">
        <v>2401</v>
      </c>
      <c r="D12075" s="5" t="s">
        <v>14</v>
      </c>
      <c r="E12075" s="5" t="s">
        <v>158</v>
      </c>
      <c r="F12075" s="5" t="s">
        <v>166</v>
      </c>
      <c r="G12075" s="5" t="s">
        <v>167</v>
      </c>
      <c r="H12075" s="5" t="s">
        <v>2402</v>
      </c>
      <c r="I12075" s="5" t="s">
        <v>31</v>
      </c>
      <c r="J12075" s="5">
        <v>16.244283790000001</v>
      </c>
      <c r="K12075" s="5">
        <v>-95.326176040000007</v>
      </c>
      <c r="L12075" s="5" t="str">
        <f>HYPERLINK("https://maps.google.com/?q=16.24428379,-95.326176040000007", "🔗 Ver Mapa")</f>
        <v>🔗 Ver Mapa</v>
      </c>
    </row>
    <row r="12076" spans="1:12" ht="43.5" x14ac:dyDescent="0.35">
      <c r="A12076" s="6" t="s">
        <v>98</v>
      </c>
      <c r="B12076" s="6" t="s">
        <v>99</v>
      </c>
      <c r="C12076" s="6" t="s">
        <v>2401</v>
      </c>
      <c r="D12076" s="6" t="s">
        <v>14</v>
      </c>
      <c r="E12076" s="6" t="s">
        <v>158</v>
      </c>
      <c r="F12076" s="6" t="s">
        <v>166</v>
      </c>
      <c r="G12076" s="6" t="s">
        <v>167</v>
      </c>
      <c r="H12076" s="6" t="s">
        <v>2402</v>
      </c>
      <c r="I12076" s="6" t="s">
        <v>31</v>
      </c>
      <c r="J12076" s="6">
        <v>16.24445089</v>
      </c>
      <c r="K12076" s="6">
        <v>-95.324078490000005</v>
      </c>
      <c r="L12076" s="6" t="str">
        <f>HYPERLINK("https://maps.google.com/?q=16.24445089,-95.324078490000005", "🔗 Ver Mapa")</f>
        <v>🔗 Ver Mapa</v>
      </c>
    </row>
    <row r="12077" spans="1:12" ht="43.5" x14ac:dyDescent="0.35">
      <c r="A12077" s="5" t="s">
        <v>98</v>
      </c>
      <c r="B12077" s="5" t="s">
        <v>99</v>
      </c>
      <c r="C12077" s="5" t="s">
        <v>2401</v>
      </c>
      <c r="D12077" s="5" t="s">
        <v>14</v>
      </c>
      <c r="E12077" s="5" t="s">
        <v>158</v>
      </c>
      <c r="F12077" s="5" t="s">
        <v>166</v>
      </c>
      <c r="G12077" s="5" t="s">
        <v>167</v>
      </c>
      <c r="H12077" s="5" t="s">
        <v>2402</v>
      </c>
      <c r="I12077" s="5" t="s">
        <v>31</v>
      </c>
      <c r="J12077" s="5">
        <v>16.244468829999999</v>
      </c>
      <c r="K12077" s="5">
        <v>-95.325024400000004</v>
      </c>
      <c r="L12077" s="5" t="str">
        <f>HYPERLINK("https://maps.google.com/?q=16.24446883,-95.325024400000004", "🔗 Ver Mapa")</f>
        <v>🔗 Ver Mapa</v>
      </c>
    </row>
    <row r="12078" spans="1:12" ht="43.5" x14ac:dyDescent="0.35">
      <c r="A12078" s="6" t="s">
        <v>98</v>
      </c>
      <c r="B12078" s="6" t="s">
        <v>99</v>
      </c>
      <c r="C12078" s="6" t="s">
        <v>2401</v>
      </c>
      <c r="D12078" s="6" t="s">
        <v>14</v>
      </c>
      <c r="E12078" s="6" t="s">
        <v>158</v>
      </c>
      <c r="F12078" s="6" t="s">
        <v>166</v>
      </c>
      <c r="G12078" s="6" t="s">
        <v>167</v>
      </c>
      <c r="H12078" s="6" t="s">
        <v>2402</v>
      </c>
      <c r="I12078" s="6" t="s">
        <v>31</v>
      </c>
      <c r="J12078" s="6">
        <v>16.244516560000001</v>
      </c>
      <c r="K12078" s="6">
        <v>-95.324180420000005</v>
      </c>
      <c r="L12078" s="6" t="str">
        <f>HYPERLINK("https://maps.google.com/?q=16.24451656,-95.324180420000005", "🔗 Ver Mapa")</f>
        <v>🔗 Ver Mapa</v>
      </c>
    </row>
    <row r="12079" spans="1:12" ht="43.5" x14ac:dyDescent="0.35">
      <c r="A12079" s="5" t="s">
        <v>98</v>
      </c>
      <c r="B12079" s="5" t="s">
        <v>99</v>
      </c>
      <c r="C12079" s="5" t="s">
        <v>2401</v>
      </c>
      <c r="D12079" s="5" t="s">
        <v>14</v>
      </c>
      <c r="E12079" s="5" t="s">
        <v>158</v>
      </c>
      <c r="F12079" s="5" t="s">
        <v>166</v>
      </c>
      <c r="G12079" s="5" t="s">
        <v>167</v>
      </c>
      <c r="H12079" s="5" t="s">
        <v>2402</v>
      </c>
      <c r="I12079" s="5" t="s">
        <v>31</v>
      </c>
      <c r="J12079" s="5">
        <v>16.244956869999999</v>
      </c>
      <c r="K12079" s="5">
        <v>-95.324232440000003</v>
      </c>
      <c r="L12079" s="5" t="str">
        <f>HYPERLINK("https://maps.google.com/?q=16.24495687,-95.324232440000003", "🔗 Ver Mapa")</f>
        <v>🔗 Ver Mapa</v>
      </c>
    </row>
    <row r="12080" spans="1:12" ht="43.5" x14ac:dyDescent="0.35">
      <c r="A12080" s="6" t="s">
        <v>98</v>
      </c>
      <c r="B12080" s="6" t="s">
        <v>99</v>
      </c>
      <c r="C12080" s="6" t="s">
        <v>2401</v>
      </c>
      <c r="D12080" s="6" t="s">
        <v>14</v>
      </c>
      <c r="E12080" s="6" t="s">
        <v>158</v>
      </c>
      <c r="F12080" s="6" t="s">
        <v>166</v>
      </c>
      <c r="G12080" s="6" t="s">
        <v>167</v>
      </c>
      <c r="H12080" s="6" t="s">
        <v>2402</v>
      </c>
      <c r="I12080" s="6" t="s">
        <v>31</v>
      </c>
      <c r="J12080" s="6">
        <v>16.244967809999999</v>
      </c>
      <c r="K12080" s="6">
        <v>-95.323908209999999</v>
      </c>
      <c r="L12080" s="6" t="str">
        <f>HYPERLINK("https://maps.google.com/?q=16.24496781,-95.323908209999999", "🔗 Ver Mapa")</f>
        <v>🔗 Ver Mapa</v>
      </c>
    </row>
    <row r="12081" spans="1:12" ht="43.5" x14ac:dyDescent="0.35">
      <c r="A12081" s="5" t="s">
        <v>98</v>
      </c>
      <c r="B12081" s="5" t="s">
        <v>99</v>
      </c>
      <c r="C12081" s="5" t="s">
        <v>2401</v>
      </c>
      <c r="D12081" s="5" t="s">
        <v>14</v>
      </c>
      <c r="E12081" s="5" t="s">
        <v>158</v>
      </c>
      <c r="F12081" s="5" t="s">
        <v>166</v>
      </c>
      <c r="G12081" s="5" t="s">
        <v>167</v>
      </c>
      <c r="H12081" s="5" t="s">
        <v>2402</v>
      </c>
      <c r="I12081" s="5" t="s">
        <v>31</v>
      </c>
      <c r="J12081" s="5">
        <v>16.2449868</v>
      </c>
      <c r="K12081" s="5">
        <v>-95.32573884</v>
      </c>
      <c r="L12081" s="5" t="str">
        <f>HYPERLINK("https://maps.google.com/?q=16.2449868,-95.32573884", "🔗 Ver Mapa")</f>
        <v>🔗 Ver Mapa</v>
      </c>
    </row>
    <row r="12082" spans="1:12" ht="43.5" x14ac:dyDescent="0.35">
      <c r="A12082" s="6" t="s">
        <v>98</v>
      </c>
      <c r="B12082" s="6" t="s">
        <v>99</v>
      </c>
      <c r="C12082" s="6" t="s">
        <v>2401</v>
      </c>
      <c r="D12082" s="6" t="s">
        <v>14</v>
      </c>
      <c r="E12082" s="6" t="s">
        <v>158</v>
      </c>
      <c r="F12082" s="6" t="s">
        <v>166</v>
      </c>
      <c r="G12082" s="6" t="s">
        <v>167</v>
      </c>
      <c r="H12082" s="6" t="s">
        <v>2402</v>
      </c>
      <c r="I12082" s="6" t="s">
        <v>31</v>
      </c>
      <c r="J12082" s="6">
        <v>16.24498938</v>
      </c>
      <c r="K12082" s="6">
        <v>-95.325451839999999</v>
      </c>
      <c r="L12082" s="6" t="str">
        <f>HYPERLINK("https://maps.google.com/?q=16.24498938,-95.325451839999999", "🔗 Ver Mapa")</f>
        <v>🔗 Ver Mapa</v>
      </c>
    </row>
    <row r="12083" spans="1:12" ht="43.5" x14ac:dyDescent="0.35">
      <c r="A12083" s="5" t="s">
        <v>98</v>
      </c>
      <c r="B12083" s="5" t="s">
        <v>99</v>
      </c>
      <c r="C12083" s="5" t="s">
        <v>2401</v>
      </c>
      <c r="D12083" s="5" t="s">
        <v>14</v>
      </c>
      <c r="E12083" s="5" t="s">
        <v>158</v>
      </c>
      <c r="F12083" s="5" t="s">
        <v>166</v>
      </c>
      <c r="G12083" s="5" t="s">
        <v>167</v>
      </c>
      <c r="H12083" s="5" t="s">
        <v>2402</v>
      </c>
      <c r="I12083" s="5" t="s">
        <v>31</v>
      </c>
      <c r="J12083" s="5">
        <v>16.2451294</v>
      </c>
      <c r="K12083" s="5">
        <v>-95.324096999999995</v>
      </c>
      <c r="L12083" s="5" t="str">
        <f>HYPERLINK("https://maps.google.com/?q=16.2451294,-95.324096999999995", "🔗 Ver Mapa")</f>
        <v>🔗 Ver Mapa</v>
      </c>
    </row>
    <row r="12084" spans="1:12" ht="43.5" x14ac:dyDescent="0.35">
      <c r="A12084" s="6" t="s">
        <v>98</v>
      </c>
      <c r="B12084" s="6" t="s">
        <v>99</v>
      </c>
      <c r="C12084" s="6" t="s">
        <v>2401</v>
      </c>
      <c r="D12084" s="6" t="s">
        <v>14</v>
      </c>
      <c r="E12084" s="6" t="s">
        <v>158</v>
      </c>
      <c r="F12084" s="6" t="s">
        <v>166</v>
      </c>
      <c r="G12084" s="6" t="s">
        <v>167</v>
      </c>
      <c r="H12084" s="6" t="s">
        <v>2402</v>
      </c>
      <c r="I12084" s="6" t="s">
        <v>31</v>
      </c>
      <c r="J12084" s="6">
        <v>16.24513868</v>
      </c>
      <c r="K12084" s="6">
        <v>-95.324949529999998</v>
      </c>
      <c r="L12084" s="6" t="str">
        <f>HYPERLINK("https://maps.google.com/?q=16.24513868,-95.324949529999998", "🔗 Ver Mapa")</f>
        <v>🔗 Ver Mapa</v>
      </c>
    </row>
    <row r="12085" spans="1:12" ht="43.5" x14ac:dyDescent="0.35">
      <c r="A12085" s="5" t="s">
        <v>98</v>
      </c>
      <c r="B12085" s="5" t="s">
        <v>99</v>
      </c>
      <c r="C12085" s="5" t="s">
        <v>2401</v>
      </c>
      <c r="D12085" s="5" t="s">
        <v>14</v>
      </c>
      <c r="E12085" s="5" t="s">
        <v>158</v>
      </c>
      <c r="F12085" s="5" t="s">
        <v>166</v>
      </c>
      <c r="G12085" s="5" t="s">
        <v>167</v>
      </c>
      <c r="H12085" s="5" t="s">
        <v>2402</v>
      </c>
      <c r="I12085" s="5" t="s">
        <v>31</v>
      </c>
      <c r="J12085" s="5">
        <v>16.24560992</v>
      </c>
      <c r="K12085" s="5">
        <v>-95.324775189999997</v>
      </c>
      <c r="L12085" s="5" t="str">
        <f>HYPERLINK("https://maps.google.com/?q=16.24560992,-95.324775189999997", "🔗 Ver Mapa")</f>
        <v>🔗 Ver Mapa</v>
      </c>
    </row>
    <row r="12086" spans="1:12" ht="43.5" x14ac:dyDescent="0.35">
      <c r="A12086" s="6" t="s">
        <v>98</v>
      </c>
      <c r="B12086" s="6" t="s">
        <v>99</v>
      </c>
      <c r="C12086" s="6" t="s">
        <v>2401</v>
      </c>
      <c r="D12086" s="6" t="s">
        <v>14</v>
      </c>
      <c r="E12086" s="6" t="s">
        <v>158</v>
      </c>
      <c r="F12086" s="6" t="s">
        <v>166</v>
      </c>
      <c r="G12086" s="6" t="s">
        <v>167</v>
      </c>
      <c r="H12086" s="6" t="s">
        <v>2402</v>
      </c>
      <c r="I12086" s="6" t="s">
        <v>31</v>
      </c>
      <c r="J12086" s="6">
        <v>16.246047749999999</v>
      </c>
      <c r="K12086" s="6">
        <v>-95.326495230000006</v>
      </c>
      <c r="L12086" s="6" t="str">
        <f>HYPERLINK("https://maps.google.com/?q=16.24604775,-95.326495230000006", "🔗 Ver Mapa")</f>
        <v>🔗 Ver Mapa</v>
      </c>
    </row>
    <row r="12087" spans="1:12" ht="43.5" x14ac:dyDescent="0.35">
      <c r="A12087" s="5" t="s">
        <v>98</v>
      </c>
      <c r="B12087" s="5" t="s">
        <v>99</v>
      </c>
      <c r="C12087" s="5" t="s">
        <v>2401</v>
      </c>
      <c r="D12087" s="5" t="s">
        <v>14</v>
      </c>
      <c r="E12087" s="5" t="s">
        <v>158</v>
      </c>
      <c r="F12087" s="5" t="s">
        <v>166</v>
      </c>
      <c r="G12087" s="5" t="s">
        <v>167</v>
      </c>
      <c r="H12087" s="5" t="s">
        <v>2402</v>
      </c>
      <c r="I12087" s="5" t="s">
        <v>31</v>
      </c>
      <c r="J12087" s="5">
        <v>16.246096680000001</v>
      </c>
      <c r="K12087" s="5">
        <v>-95.325210440000006</v>
      </c>
      <c r="L12087" s="5" t="str">
        <f>HYPERLINK("https://maps.google.com/?q=16.24609668,-95.325210440000006", "🔗 Ver Mapa")</f>
        <v>🔗 Ver Mapa</v>
      </c>
    </row>
    <row r="12088" spans="1:12" ht="43.5" x14ac:dyDescent="0.35">
      <c r="A12088" s="6" t="s">
        <v>98</v>
      </c>
      <c r="B12088" s="6" t="s">
        <v>99</v>
      </c>
      <c r="C12088" s="6" t="s">
        <v>2401</v>
      </c>
      <c r="D12088" s="6" t="s">
        <v>14</v>
      </c>
      <c r="E12088" s="6" t="s">
        <v>158</v>
      </c>
      <c r="F12088" s="6" t="s">
        <v>166</v>
      </c>
      <c r="G12088" s="6" t="s">
        <v>167</v>
      </c>
      <c r="H12088" s="6" t="s">
        <v>2402</v>
      </c>
      <c r="I12088" s="6" t="s">
        <v>31</v>
      </c>
      <c r="J12088" s="6">
        <v>16.246157239999999</v>
      </c>
      <c r="K12088" s="6">
        <v>-95.325365450000007</v>
      </c>
      <c r="L12088" s="6" t="str">
        <f>HYPERLINK("https://maps.google.com/?q=16.24615724,-95.325365450000007", "🔗 Ver Mapa")</f>
        <v>🔗 Ver Mapa</v>
      </c>
    </row>
    <row r="12089" spans="1:12" ht="43.5" x14ac:dyDescent="0.35">
      <c r="A12089" s="5" t="s">
        <v>98</v>
      </c>
      <c r="B12089" s="5" t="s">
        <v>99</v>
      </c>
      <c r="C12089" s="5" t="s">
        <v>2401</v>
      </c>
      <c r="D12089" s="5" t="s">
        <v>14</v>
      </c>
      <c r="E12089" s="5" t="s">
        <v>158</v>
      </c>
      <c r="F12089" s="5" t="s">
        <v>166</v>
      </c>
      <c r="G12089" s="5" t="s">
        <v>167</v>
      </c>
      <c r="H12089" s="5" t="s">
        <v>2402</v>
      </c>
      <c r="I12089" s="5" t="s">
        <v>31</v>
      </c>
      <c r="J12089" s="5">
        <v>16.24651643</v>
      </c>
      <c r="K12089" s="5">
        <v>-95.325430389999994</v>
      </c>
      <c r="L12089" s="5" t="str">
        <f>HYPERLINK("https://maps.google.com/?q=16.24651643,-95.325430389999994", "🔗 Ver Mapa")</f>
        <v>🔗 Ver Mapa</v>
      </c>
    </row>
    <row r="12090" spans="1:12" ht="43.5" x14ac:dyDescent="0.35">
      <c r="A12090" s="6" t="s">
        <v>98</v>
      </c>
      <c r="B12090" s="6" t="s">
        <v>99</v>
      </c>
      <c r="C12090" s="6" t="s">
        <v>2401</v>
      </c>
      <c r="D12090" s="6" t="s">
        <v>14</v>
      </c>
      <c r="E12090" s="6" t="s">
        <v>158</v>
      </c>
      <c r="F12090" s="6" t="s">
        <v>166</v>
      </c>
      <c r="G12090" s="6" t="s">
        <v>167</v>
      </c>
      <c r="H12090" s="6" t="s">
        <v>2402</v>
      </c>
      <c r="I12090" s="6" t="s">
        <v>31</v>
      </c>
      <c r="J12090" s="6">
        <v>16.24656925</v>
      </c>
      <c r="K12090" s="6">
        <v>-95.324756590000007</v>
      </c>
      <c r="L12090" s="6" t="str">
        <f>HYPERLINK("https://maps.google.com/?q=16.24656925,-95.324756590000007", "🔗 Ver Mapa")</f>
        <v>🔗 Ver Mapa</v>
      </c>
    </row>
    <row r="12091" spans="1:12" ht="43.5" x14ac:dyDescent="0.35">
      <c r="A12091" s="5" t="s">
        <v>98</v>
      </c>
      <c r="B12091" s="5" t="s">
        <v>99</v>
      </c>
      <c r="C12091" s="5" t="s">
        <v>2401</v>
      </c>
      <c r="D12091" s="5" t="s">
        <v>14</v>
      </c>
      <c r="E12091" s="5" t="s">
        <v>158</v>
      </c>
      <c r="F12091" s="5" t="s">
        <v>166</v>
      </c>
      <c r="G12091" s="5" t="s">
        <v>167</v>
      </c>
      <c r="H12091" s="5" t="s">
        <v>2402</v>
      </c>
      <c r="I12091" s="5" t="s">
        <v>31</v>
      </c>
      <c r="J12091" s="5">
        <v>16.24659114</v>
      </c>
      <c r="K12091" s="5">
        <v>-95.325402999999994</v>
      </c>
      <c r="L12091" s="5" t="str">
        <f>HYPERLINK("https://maps.google.com/?q=16.24659114,-95.325402999999994", "🔗 Ver Mapa")</f>
        <v>🔗 Ver Mapa</v>
      </c>
    </row>
    <row r="12092" spans="1:12" ht="43.5" x14ac:dyDescent="0.35">
      <c r="A12092" s="6" t="s">
        <v>98</v>
      </c>
      <c r="B12092" s="6" t="s">
        <v>99</v>
      </c>
      <c r="C12092" s="6" t="s">
        <v>2401</v>
      </c>
      <c r="D12092" s="6" t="s">
        <v>14</v>
      </c>
      <c r="E12092" s="6" t="s">
        <v>158</v>
      </c>
      <c r="F12092" s="6" t="s">
        <v>166</v>
      </c>
      <c r="G12092" s="6" t="s">
        <v>167</v>
      </c>
      <c r="H12092" s="6" t="s">
        <v>2402</v>
      </c>
      <c r="I12092" s="6" t="s">
        <v>31</v>
      </c>
      <c r="J12092" s="6">
        <v>16.246623329999998</v>
      </c>
      <c r="K12092" s="6">
        <v>-95.325754369999999</v>
      </c>
      <c r="L12092" s="6" t="str">
        <f>HYPERLINK("https://maps.google.com/?q=16.24662333,-95.325754369999999", "🔗 Ver Mapa")</f>
        <v>🔗 Ver Mapa</v>
      </c>
    </row>
    <row r="12093" spans="1:12" ht="43.5" x14ac:dyDescent="0.35">
      <c r="A12093" s="5" t="s">
        <v>98</v>
      </c>
      <c r="B12093" s="5" t="s">
        <v>99</v>
      </c>
      <c r="C12093" s="5" t="s">
        <v>2401</v>
      </c>
      <c r="D12093" s="5" t="s">
        <v>14</v>
      </c>
      <c r="E12093" s="5" t="s">
        <v>158</v>
      </c>
      <c r="F12093" s="5" t="s">
        <v>166</v>
      </c>
      <c r="G12093" s="5" t="s">
        <v>167</v>
      </c>
      <c r="H12093" s="5" t="s">
        <v>2402</v>
      </c>
      <c r="I12093" s="5" t="s">
        <v>31</v>
      </c>
      <c r="J12093" s="5">
        <v>16.246777829999999</v>
      </c>
      <c r="K12093" s="5">
        <v>-95.324879980000006</v>
      </c>
      <c r="L12093" s="5" t="str">
        <f>HYPERLINK("https://maps.google.com/?q=16.24677783,-95.324879980000006", "🔗 Ver Mapa")</f>
        <v>🔗 Ver Mapa</v>
      </c>
    </row>
    <row r="12094" spans="1:12" ht="43.5" x14ac:dyDescent="0.35">
      <c r="A12094" s="6" t="s">
        <v>98</v>
      </c>
      <c r="B12094" s="6" t="s">
        <v>99</v>
      </c>
      <c r="C12094" s="6" t="s">
        <v>2401</v>
      </c>
      <c r="D12094" s="6" t="s">
        <v>14</v>
      </c>
      <c r="E12094" s="6" t="s">
        <v>158</v>
      </c>
      <c r="F12094" s="6" t="s">
        <v>166</v>
      </c>
      <c r="G12094" s="6" t="s">
        <v>167</v>
      </c>
      <c r="H12094" s="6" t="s">
        <v>2402</v>
      </c>
      <c r="I12094" s="6" t="s">
        <v>31</v>
      </c>
      <c r="J12094" s="6">
        <v>16.246867959999999</v>
      </c>
      <c r="K12094" s="6">
        <v>-95.328058389999995</v>
      </c>
      <c r="L12094" s="6" t="str">
        <f>HYPERLINK("https://maps.google.com/?q=16.24686796,-95.328058389999995", "🔗 Ver Mapa")</f>
        <v>🔗 Ver Mapa</v>
      </c>
    </row>
    <row r="12095" spans="1:12" ht="43.5" x14ac:dyDescent="0.35">
      <c r="A12095" s="5" t="s">
        <v>98</v>
      </c>
      <c r="B12095" s="5" t="s">
        <v>99</v>
      </c>
      <c r="C12095" s="5" t="s">
        <v>2401</v>
      </c>
      <c r="D12095" s="5" t="s">
        <v>14</v>
      </c>
      <c r="E12095" s="5" t="s">
        <v>158</v>
      </c>
      <c r="F12095" s="5" t="s">
        <v>166</v>
      </c>
      <c r="G12095" s="5" t="s">
        <v>167</v>
      </c>
      <c r="H12095" s="5" t="s">
        <v>2402</v>
      </c>
      <c r="I12095" s="5" t="s">
        <v>31</v>
      </c>
      <c r="J12095" s="5">
        <v>16.24702619</v>
      </c>
      <c r="K12095" s="5">
        <v>-95.325001330000006</v>
      </c>
      <c r="L12095" s="5" t="str">
        <f>HYPERLINK("https://maps.google.com/?q=16.24702619,-95.325001330000006", "🔗 Ver Mapa")</f>
        <v>🔗 Ver Mapa</v>
      </c>
    </row>
    <row r="12096" spans="1:12" ht="43.5" x14ac:dyDescent="0.35">
      <c r="A12096" s="6" t="s">
        <v>98</v>
      </c>
      <c r="B12096" s="6" t="s">
        <v>99</v>
      </c>
      <c r="C12096" s="6" t="s">
        <v>2401</v>
      </c>
      <c r="D12096" s="6" t="s">
        <v>14</v>
      </c>
      <c r="E12096" s="6" t="s">
        <v>158</v>
      </c>
      <c r="F12096" s="6" t="s">
        <v>166</v>
      </c>
      <c r="G12096" s="6" t="s">
        <v>167</v>
      </c>
      <c r="H12096" s="6" t="s">
        <v>2402</v>
      </c>
      <c r="I12096" s="6" t="s">
        <v>31</v>
      </c>
      <c r="J12096" s="6">
        <v>16.247054510000002</v>
      </c>
      <c r="K12096" s="6">
        <v>-95.328523070000003</v>
      </c>
      <c r="L12096" s="6" t="str">
        <f>HYPERLINK("https://maps.google.com/?q=16.24705451,-95.328523070000003", "🔗 Ver Mapa")</f>
        <v>🔗 Ver Mapa</v>
      </c>
    </row>
    <row r="12097" spans="1:12" ht="43.5" x14ac:dyDescent="0.35">
      <c r="A12097" s="5" t="s">
        <v>98</v>
      </c>
      <c r="B12097" s="5" t="s">
        <v>99</v>
      </c>
      <c r="C12097" s="5" t="s">
        <v>2401</v>
      </c>
      <c r="D12097" s="5" t="s">
        <v>14</v>
      </c>
      <c r="E12097" s="5" t="s">
        <v>158</v>
      </c>
      <c r="F12097" s="5" t="s">
        <v>166</v>
      </c>
      <c r="G12097" s="5" t="s">
        <v>167</v>
      </c>
      <c r="H12097" s="5" t="s">
        <v>2402</v>
      </c>
      <c r="I12097" s="5" t="s">
        <v>31</v>
      </c>
      <c r="J12097" s="5">
        <v>16.2470699</v>
      </c>
      <c r="K12097" s="5">
        <v>-95.328853910000007</v>
      </c>
      <c r="L12097" s="5" t="str">
        <f>HYPERLINK("https://maps.google.com/?q=16.2470699,-95.328853910000007", "🔗 Ver Mapa")</f>
        <v>🔗 Ver Mapa</v>
      </c>
    </row>
    <row r="12098" spans="1:12" ht="43.5" x14ac:dyDescent="0.35">
      <c r="A12098" s="6" t="s">
        <v>98</v>
      </c>
      <c r="B12098" s="6" t="s">
        <v>99</v>
      </c>
      <c r="C12098" s="6" t="s">
        <v>2401</v>
      </c>
      <c r="D12098" s="6" t="s">
        <v>14</v>
      </c>
      <c r="E12098" s="6" t="s">
        <v>158</v>
      </c>
      <c r="F12098" s="6" t="s">
        <v>166</v>
      </c>
      <c r="G12098" s="6" t="s">
        <v>167</v>
      </c>
      <c r="H12098" s="6" t="s">
        <v>2402</v>
      </c>
      <c r="I12098" s="6" t="s">
        <v>31</v>
      </c>
      <c r="J12098" s="6">
        <v>16.247115170000001</v>
      </c>
      <c r="K12098" s="6">
        <v>-95.326596589999994</v>
      </c>
      <c r="L12098" s="6" t="str">
        <f>HYPERLINK("https://maps.google.com/?q=16.24711517,-95.326596589999994", "🔗 Ver Mapa")</f>
        <v>🔗 Ver Mapa</v>
      </c>
    </row>
    <row r="12099" spans="1:12" ht="43.5" x14ac:dyDescent="0.35">
      <c r="A12099" s="5" t="s">
        <v>98</v>
      </c>
      <c r="B12099" s="5" t="s">
        <v>99</v>
      </c>
      <c r="C12099" s="5" t="s">
        <v>2401</v>
      </c>
      <c r="D12099" s="5" t="s">
        <v>14</v>
      </c>
      <c r="E12099" s="5" t="s">
        <v>158</v>
      </c>
      <c r="F12099" s="5" t="s">
        <v>166</v>
      </c>
      <c r="G12099" s="5" t="s">
        <v>167</v>
      </c>
      <c r="H12099" s="5" t="s">
        <v>2402</v>
      </c>
      <c r="I12099" s="5" t="s">
        <v>31</v>
      </c>
      <c r="J12099" s="5">
        <v>16.247525750000001</v>
      </c>
      <c r="K12099" s="5">
        <v>-95.328096599999995</v>
      </c>
      <c r="L12099" s="5" t="str">
        <f>HYPERLINK("https://maps.google.com/?q=16.24752575,-95.328096599999995", "🔗 Ver Mapa")</f>
        <v>🔗 Ver Mapa</v>
      </c>
    </row>
    <row r="12100" spans="1:12" ht="43.5" x14ac:dyDescent="0.35">
      <c r="A12100" s="6" t="s">
        <v>98</v>
      </c>
      <c r="B12100" s="6" t="s">
        <v>99</v>
      </c>
      <c r="C12100" s="6" t="s">
        <v>2401</v>
      </c>
      <c r="D12100" s="6" t="s">
        <v>14</v>
      </c>
      <c r="E12100" s="6" t="s">
        <v>158</v>
      </c>
      <c r="F12100" s="6" t="s">
        <v>166</v>
      </c>
      <c r="G12100" s="6" t="s">
        <v>167</v>
      </c>
      <c r="H12100" s="6" t="s">
        <v>2402</v>
      </c>
      <c r="I12100" s="6" t="s">
        <v>31</v>
      </c>
      <c r="J12100" s="6">
        <v>16.24805907</v>
      </c>
      <c r="K12100" s="6">
        <v>-95.327537849999999</v>
      </c>
      <c r="L12100" s="6" t="str">
        <f>HYPERLINK("https://maps.google.com/?q=16.24805907,-95.327537849999999", "🔗 Ver Mapa")</f>
        <v>🔗 Ver Mapa</v>
      </c>
    </row>
    <row r="12101" spans="1:12" ht="43.5" x14ac:dyDescent="0.35">
      <c r="A12101" s="5" t="s">
        <v>98</v>
      </c>
      <c r="B12101" s="5" t="s">
        <v>99</v>
      </c>
      <c r="C12101" s="5" t="s">
        <v>2403</v>
      </c>
      <c r="D12101" s="5" t="s">
        <v>14</v>
      </c>
      <c r="E12101" s="5" t="s">
        <v>17</v>
      </c>
      <c r="F12101" s="5" t="s">
        <v>59</v>
      </c>
      <c r="G12101" s="5" t="s">
        <v>1296</v>
      </c>
      <c r="H12101" s="5" t="s">
        <v>2404</v>
      </c>
      <c r="I12101" s="5" t="s">
        <v>31</v>
      </c>
      <c r="J12101" s="5">
        <v>16.317150357810998</v>
      </c>
      <c r="K12101" s="5">
        <v>-97.663351104192003</v>
      </c>
      <c r="L12101" s="5" t="str">
        <f>HYPERLINK("https://maps.google.com/?q=16.3171503578107,-97.663351104191804", "🔗 Ver Mapa")</f>
        <v>🔗 Ver Mapa</v>
      </c>
    </row>
    <row r="12102" spans="1:12" ht="43.5" x14ac:dyDescent="0.35">
      <c r="A12102" s="6" t="s">
        <v>98</v>
      </c>
      <c r="B12102" s="6" t="s">
        <v>99</v>
      </c>
      <c r="C12102" s="6" t="s">
        <v>2403</v>
      </c>
      <c r="D12102" s="6" t="s">
        <v>14</v>
      </c>
      <c r="E12102" s="6" t="s">
        <v>17</v>
      </c>
      <c r="F12102" s="6" t="s">
        <v>59</v>
      </c>
      <c r="G12102" s="6" t="s">
        <v>1296</v>
      </c>
      <c r="H12102" s="6" t="s">
        <v>2404</v>
      </c>
      <c r="I12102" s="6" t="s">
        <v>31</v>
      </c>
      <c r="J12102" s="6">
        <v>16.317252794611001</v>
      </c>
      <c r="K12102" s="6">
        <v>-97.662916995233999</v>
      </c>
      <c r="L12102" s="6" t="str">
        <f>HYPERLINK("https://maps.google.com/?q=16.3172527946115,-97.6629169952338", "🔗 Ver Mapa")</f>
        <v>🔗 Ver Mapa</v>
      </c>
    </row>
    <row r="12103" spans="1:12" ht="43.5" x14ac:dyDescent="0.35">
      <c r="A12103" s="5" t="s">
        <v>98</v>
      </c>
      <c r="B12103" s="5" t="s">
        <v>99</v>
      </c>
      <c r="C12103" s="5" t="s">
        <v>2403</v>
      </c>
      <c r="D12103" s="5" t="s">
        <v>14</v>
      </c>
      <c r="E12103" s="5" t="s">
        <v>17</v>
      </c>
      <c r="F12103" s="5" t="s">
        <v>59</v>
      </c>
      <c r="G12103" s="5" t="s">
        <v>1296</v>
      </c>
      <c r="H12103" s="5" t="s">
        <v>2404</v>
      </c>
      <c r="I12103" s="5" t="s">
        <v>31</v>
      </c>
      <c r="J12103" s="5">
        <v>16.317267025675001</v>
      </c>
      <c r="K12103" s="5">
        <v>-97.665206218920005</v>
      </c>
      <c r="L12103" s="5" t="str">
        <f>HYPERLINK("https://maps.google.com/?q=16.3172670256747,-97.665206218920403", "🔗 Ver Mapa")</f>
        <v>🔗 Ver Mapa</v>
      </c>
    </row>
    <row r="12104" spans="1:12" ht="43.5" x14ac:dyDescent="0.35">
      <c r="A12104" s="6" t="s">
        <v>98</v>
      </c>
      <c r="B12104" s="6" t="s">
        <v>99</v>
      </c>
      <c r="C12104" s="6" t="s">
        <v>2403</v>
      </c>
      <c r="D12104" s="6" t="s">
        <v>14</v>
      </c>
      <c r="E12104" s="6" t="s">
        <v>17</v>
      </c>
      <c r="F12104" s="6" t="s">
        <v>59</v>
      </c>
      <c r="G12104" s="6" t="s">
        <v>1296</v>
      </c>
      <c r="H12104" s="6" t="s">
        <v>2404</v>
      </c>
      <c r="I12104" s="6" t="s">
        <v>31</v>
      </c>
      <c r="J12104" s="6">
        <v>16.317301624723001</v>
      </c>
      <c r="K12104" s="6">
        <v>-97.664691626899995</v>
      </c>
      <c r="L12104" s="6" t="str">
        <f>HYPERLINK("https://maps.google.com/?q=16.3173016247232,-97.664691626899895", "🔗 Ver Mapa")</f>
        <v>🔗 Ver Mapa</v>
      </c>
    </row>
    <row r="12105" spans="1:12" ht="43.5" x14ac:dyDescent="0.35">
      <c r="A12105" s="5" t="s">
        <v>98</v>
      </c>
      <c r="B12105" s="5" t="s">
        <v>99</v>
      </c>
      <c r="C12105" s="5" t="s">
        <v>2403</v>
      </c>
      <c r="D12105" s="5" t="s">
        <v>14</v>
      </c>
      <c r="E12105" s="5" t="s">
        <v>17</v>
      </c>
      <c r="F12105" s="5" t="s">
        <v>59</v>
      </c>
      <c r="G12105" s="5" t="s">
        <v>1296</v>
      </c>
      <c r="H12105" s="5" t="s">
        <v>2404</v>
      </c>
      <c r="I12105" s="5" t="s">
        <v>31</v>
      </c>
      <c r="J12105" s="5">
        <v>16.317330356686998</v>
      </c>
      <c r="K12105" s="5">
        <v>-97.664496498182004</v>
      </c>
      <c r="L12105" s="5" t="str">
        <f>HYPERLINK("https://maps.google.com/?q=16.3173303566873,-97.664496498182402", "🔗 Ver Mapa")</f>
        <v>🔗 Ver Mapa</v>
      </c>
    </row>
    <row r="12106" spans="1:12" ht="43.5" x14ac:dyDescent="0.35">
      <c r="A12106" s="6" t="s">
        <v>98</v>
      </c>
      <c r="B12106" s="6" t="s">
        <v>99</v>
      </c>
      <c r="C12106" s="6" t="s">
        <v>2403</v>
      </c>
      <c r="D12106" s="6" t="s">
        <v>14</v>
      </c>
      <c r="E12106" s="6" t="s">
        <v>17</v>
      </c>
      <c r="F12106" s="6" t="s">
        <v>59</v>
      </c>
      <c r="G12106" s="6" t="s">
        <v>1296</v>
      </c>
      <c r="H12106" s="6" t="s">
        <v>2404</v>
      </c>
      <c r="I12106" s="6" t="s">
        <v>31</v>
      </c>
      <c r="J12106" s="6">
        <v>16.317711696145999</v>
      </c>
      <c r="K12106" s="6">
        <v>-97.665629410161003</v>
      </c>
      <c r="L12106" s="6" t="str">
        <f>HYPERLINK("https://maps.google.com/?q=16.3177116961455,-97.665629410161301", "🔗 Ver Mapa")</f>
        <v>🔗 Ver Mapa</v>
      </c>
    </row>
    <row r="12107" spans="1:12" ht="43.5" x14ac:dyDescent="0.35">
      <c r="A12107" s="5" t="s">
        <v>98</v>
      </c>
      <c r="B12107" s="5" t="s">
        <v>99</v>
      </c>
      <c r="C12107" s="5" t="s">
        <v>2403</v>
      </c>
      <c r="D12107" s="5" t="s">
        <v>14</v>
      </c>
      <c r="E12107" s="5" t="s">
        <v>17</v>
      </c>
      <c r="F12107" s="5" t="s">
        <v>59</v>
      </c>
      <c r="G12107" s="5" t="s">
        <v>1296</v>
      </c>
      <c r="H12107" s="5" t="s">
        <v>2404</v>
      </c>
      <c r="I12107" s="5" t="s">
        <v>31</v>
      </c>
      <c r="J12107" s="5">
        <v>16.317863201099001</v>
      </c>
      <c r="K12107" s="5">
        <v>-97.664356506399997</v>
      </c>
      <c r="L12107" s="5" t="str">
        <f>HYPERLINK("https://maps.google.com/?q=16.3178632010992,-97.664356506400395", "🔗 Ver Mapa")</f>
        <v>🔗 Ver Mapa</v>
      </c>
    </row>
    <row r="12108" spans="1:12" ht="43.5" x14ac:dyDescent="0.35">
      <c r="A12108" s="6" t="s">
        <v>98</v>
      </c>
      <c r="B12108" s="6" t="s">
        <v>99</v>
      </c>
      <c r="C12108" s="6" t="s">
        <v>2403</v>
      </c>
      <c r="D12108" s="6" t="s">
        <v>14</v>
      </c>
      <c r="E12108" s="6" t="s">
        <v>17</v>
      </c>
      <c r="F12108" s="6" t="s">
        <v>59</v>
      </c>
      <c r="G12108" s="6" t="s">
        <v>1296</v>
      </c>
      <c r="H12108" s="6" t="s">
        <v>2404</v>
      </c>
      <c r="I12108" s="6" t="s">
        <v>31</v>
      </c>
      <c r="J12108" s="6">
        <v>16.317922950065999</v>
      </c>
      <c r="K12108" s="6">
        <v>-97.663481782744</v>
      </c>
      <c r="L12108" s="6" t="str">
        <f>HYPERLINK("https://maps.google.com/?q=16.3179229500665,-97.663481782744", "🔗 Ver Mapa")</f>
        <v>🔗 Ver Mapa</v>
      </c>
    </row>
    <row r="12109" spans="1:12" ht="43.5" x14ac:dyDescent="0.35">
      <c r="A12109" s="5" t="s">
        <v>98</v>
      </c>
      <c r="B12109" s="5" t="s">
        <v>99</v>
      </c>
      <c r="C12109" s="5" t="s">
        <v>2403</v>
      </c>
      <c r="D12109" s="5" t="s">
        <v>14</v>
      </c>
      <c r="E12109" s="5" t="s">
        <v>17</v>
      </c>
      <c r="F12109" s="5" t="s">
        <v>59</v>
      </c>
      <c r="G12109" s="5" t="s">
        <v>1296</v>
      </c>
      <c r="H12109" s="5" t="s">
        <v>2404</v>
      </c>
      <c r="I12109" s="5" t="s">
        <v>31</v>
      </c>
      <c r="J12109" s="5">
        <v>16.318038180982999</v>
      </c>
      <c r="K12109" s="5">
        <v>-97.665372239388006</v>
      </c>
      <c r="L12109" s="5" t="str">
        <f>HYPERLINK("https://maps.google.com/?q=16.3180381809834,-97.665372239388404", "🔗 Ver Mapa")</f>
        <v>🔗 Ver Mapa</v>
      </c>
    </row>
    <row r="12110" spans="1:12" ht="43.5" x14ac:dyDescent="0.35">
      <c r="A12110" s="6" t="s">
        <v>98</v>
      </c>
      <c r="B12110" s="6" t="s">
        <v>99</v>
      </c>
      <c r="C12110" s="6" t="s">
        <v>2403</v>
      </c>
      <c r="D12110" s="6" t="s">
        <v>14</v>
      </c>
      <c r="E12110" s="6" t="s">
        <v>17</v>
      </c>
      <c r="F12110" s="6" t="s">
        <v>59</v>
      </c>
      <c r="G12110" s="6" t="s">
        <v>1296</v>
      </c>
      <c r="H12110" s="6" t="s">
        <v>2404</v>
      </c>
      <c r="I12110" s="6" t="s">
        <v>31</v>
      </c>
      <c r="J12110" s="6">
        <v>16.318063731304999</v>
      </c>
      <c r="K12110" s="6">
        <v>-97.663635509089005</v>
      </c>
      <c r="L12110" s="6" t="str">
        <f>HYPERLINK("https://maps.google.com/?q=16.3180637313053,-97.663635509088607", "🔗 Ver Mapa")</f>
        <v>🔗 Ver Mapa</v>
      </c>
    </row>
    <row r="12111" spans="1:12" ht="43.5" x14ac:dyDescent="0.35">
      <c r="A12111" s="5" t="s">
        <v>98</v>
      </c>
      <c r="B12111" s="5" t="s">
        <v>99</v>
      </c>
      <c r="C12111" s="5" t="s">
        <v>2403</v>
      </c>
      <c r="D12111" s="5" t="s">
        <v>14</v>
      </c>
      <c r="E12111" s="5" t="s">
        <v>17</v>
      </c>
      <c r="F12111" s="5" t="s">
        <v>59</v>
      </c>
      <c r="G12111" s="5" t="s">
        <v>1296</v>
      </c>
      <c r="H12111" s="5" t="s">
        <v>2404</v>
      </c>
      <c r="I12111" s="5" t="s">
        <v>31</v>
      </c>
      <c r="J12111" s="5">
        <v>16.318199756350001</v>
      </c>
      <c r="K12111" s="5">
        <v>-97.663474779661001</v>
      </c>
      <c r="L12111" s="5" t="str">
        <f>HYPERLINK("https://maps.google.com/?q=16.3181997563505,-97.663474779660604", "🔗 Ver Mapa")</f>
        <v>🔗 Ver Mapa</v>
      </c>
    </row>
    <row r="12112" spans="1:12" ht="43.5" x14ac:dyDescent="0.35">
      <c r="A12112" s="6" t="s">
        <v>98</v>
      </c>
      <c r="B12112" s="6" t="s">
        <v>99</v>
      </c>
      <c r="C12112" s="6" t="s">
        <v>2403</v>
      </c>
      <c r="D12112" s="6" t="s">
        <v>14</v>
      </c>
      <c r="E12112" s="6" t="s">
        <v>17</v>
      </c>
      <c r="F12112" s="6" t="s">
        <v>59</v>
      </c>
      <c r="G12112" s="6" t="s">
        <v>1296</v>
      </c>
      <c r="H12112" s="6" t="s">
        <v>2404</v>
      </c>
      <c r="I12112" s="6" t="s">
        <v>31</v>
      </c>
      <c r="J12112" s="6">
        <v>16.318565496975999</v>
      </c>
      <c r="K12112" s="6">
        <v>-97.664011294133005</v>
      </c>
      <c r="L12112" s="6" t="str">
        <f>HYPERLINK("https://maps.google.com/?q=16.3185654969761,-97.664011294133005", "🔗 Ver Mapa")</f>
        <v>🔗 Ver Mapa</v>
      </c>
    </row>
    <row r="12113" spans="1:12" ht="43.5" x14ac:dyDescent="0.35">
      <c r="A12113" s="5" t="s">
        <v>98</v>
      </c>
      <c r="B12113" s="5" t="s">
        <v>99</v>
      </c>
      <c r="C12113" s="5" t="s">
        <v>2403</v>
      </c>
      <c r="D12113" s="5" t="s">
        <v>14</v>
      </c>
      <c r="E12113" s="5" t="s">
        <v>17</v>
      </c>
      <c r="F12113" s="5" t="s">
        <v>59</v>
      </c>
      <c r="G12113" s="5" t="s">
        <v>1296</v>
      </c>
      <c r="H12113" s="5" t="s">
        <v>2404</v>
      </c>
      <c r="I12113" s="5" t="s">
        <v>31</v>
      </c>
      <c r="J12113" s="5">
        <v>16.318848205201</v>
      </c>
      <c r="K12113" s="5">
        <v>-97.664176810594</v>
      </c>
      <c r="L12113" s="5" t="str">
        <f>HYPERLINK("https://maps.google.com/?q=16.3188482052007,-97.664176810594498", "🔗 Ver Mapa")</f>
        <v>🔗 Ver Mapa</v>
      </c>
    </row>
    <row r="12114" spans="1:12" ht="43.5" x14ac:dyDescent="0.35">
      <c r="A12114" s="6" t="s">
        <v>98</v>
      </c>
      <c r="B12114" s="6" t="s">
        <v>99</v>
      </c>
      <c r="C12114" s="6" t="s">
        <v>2403</v>
      </c>
      <c r="D12114" s="6" t="s">
        <v>14</v>
      </c>
      <c r="E12114" s="6" t="s">
        <v>17</v>
      </c>
      <c r="F12114" s="6" t="s">
        <v>59</v>
      </c>
      <c r="G12114" s="6" t="s">
        <v>1296</v>
      </c>
      <c r="H12114" s="6" t="s">
        <v>2404</v>
      </c>
      <c r="I12114" s="6" t="s">
        <v>31</v>
      </c>
      <c r="J12114" s="6">
        <v>16.318981405603999</v>
      </c>
      <c r="K12114" s="6">
        <v>-97.664301716538006</v>
      </c>
      <c r="L12114" s="6" t="str">
        <f>HYPERLINK("https://maps.google.com/?q=16.3189814056036,-97.664301716537594", "🔗 Ver Mapa")</f>
        <v>🔗 Ver Mapa</v>
      </c>
    </row>
    <row r="12115" spans="1:12" ht="43.5" x14ac:dyDescent="0.35">
      <c r="A12115" s="5" t="s">
        <v>98</v>
      </c>
      <c r="B12115" s="5" t="s">
        <v>99</v>
      </c>
      <c r="C12115" s="5" t="s">
        <v>2403</v>
      </c>
      <c r="D12115" s="5" t="s">
        <v>14</v>
      </c>
      <c r="E12115" s="5" t="s">
        <v>17</v>
      </c>
      <c r="F12115" s="5" t="s">
        <v>59</v>
      </c>
      <c r="G12115" s="5" t="s">
        <v>1296</v>
      </c>
      <c r="H12115" s="5" t="s">
        <v>2404</v>
      </c>
      <c r="I12115" s="5" t="s">
        <v>31</v>
      </c>
      <c r="J12115" s="5">
        <v>16.319062490894002</v>
      </c>
      <c r="K12115" s="5">
        <v>-97.664964451501007</v>
      </c>
      <c r="L12115" s="5" t="str">
        <f>HYPERLINK("https://maps.google.com/?q=16.3190624908941,-97.664964451501305", "🔗 Ver Mapa")</f>
        <v>🔗 Ver Mapa</v>
      </c>
    </row>
    <row r="12116" spans="1:12" ht="43.5" x14ac:dyDescent="0.35">
      <c r="A12116" s="6" t="s">
        <v>98</v>
      </c>
      <c r="B12116" s="6" t="s">
        <v>99</v>
      </c>
      <c r="C12116" s="6" t="s">
        <v>2403</v>
      </c>
      <c r="D12116" s="6" t="s">
        <v>14</v>
      </c>
      <c r="E12116" s="6" t="s">
        <v>17</v>
      </c>
      <c r="F12116" s="6" t="s">
        <v>59</v>
      </c>
      <c r="G12116" s="6" t="s">
        <v>1296</v>
      </c>
      <c r="H12116" s="6" t="s">
        <v>2404</v>
      </c>
      <c r="I12116" s="6" t="s">
        <v>31</v>
      </c>
      <c r="J12116" s="6">
        <v>16.319187884384</v>
      </c>
      <c r="K12116" s="6">
        <v>-97.664786432957001</v>
      </c>
      <c r="L12116" s="6" t="str">
        <f>HYPERLINK("https://maps.google.com/?q=16.319187884384,-97.664786432956902", "🔗 Ver Mapa")</f>
        <v>🔗 Ver Mapa</v>
      </c>
    </row>
    <row r="12117" spans="1:12" ht="43.5" x14ac:dyDescent="0.35">
      <c r="A12117" s="5" t="s">
        <v>98</v>
      </c>
      <c r="B12117" s="5" t="s">
        <v>99</v>
      </c>
      <c r="C12117" s="5" t="s">
        <v>2403</v>
      </c>
      <c r="D12117" s="5" t="s">
        <v>14</v>
      </c>
      <c r="E12117" s="5" t="s">
        <v>17</v>
      </c>
      <c r="F12117" s="5" t="s">
        <v>59</v>
      </c>
      <c r="G12117" s="5" t="s">
        <v>1296</v>
      </c>
      <c r="H12117" s="5" t="s">
        <v>2404</v>
      </c>
      <c r="I12117" s="5" t="s">
        <v>31</v>
      </c>
      <c r="J12117" s="5">
        <v>16.319328716665002</v>
      </c>
      <c r="K12117" s="5">
        <v>-97.661517566270007</v>
      </c>
      <c r="L12117" s="5" t="str">
        <f>HYPERLINK("https://maps.google.com/?q=16.3193287166653,-97.661517566270305", "🔗 Ver Mapa")</f>
        <v>🔗 Ver Mapa</v>
      </c>
    </row>
    <row r="12118" spans="1:12" ht="43.5" x14ac:dyDescent="0.35">
      <c r="A12118" s="6" t="s">
        <v>98</v>
      </c>
      <c r="B12118" s="6" t="s">
        <v>99</v>
      </c>
      <c r="C12118" s="6" t="s">
        <v>2403</v>
      </c>
      <c r="D12118" s="6" t="s">
        <v>14</v>
      </c>
      <c r="E12118" s="6" t="s">
        <v>17</v>
      </c>
      <c r="F12118" s="6" t="s">
        <v>59</v>
      </c>
      <c r="G12118" s="6" t="s">
        <v>1296</v>
      </c>
      <c r="H12118" s="6" t="s">
        <v>2404</v>
      </c>
      <c r="I12118" s="6" t="s">
        <v>31</v>
      </c>
      <c r="J12118" s="6">
        <v>16.319335940297002</v>
      </c>
      <c r="K12118" s="6">
        <v>-97.664731188223996</v>
      </c>
      <c r="L12118" s="6" t="str">
        <f>HYPERLINK("https://maps.google.com/?q=16.3193359402972,-97.664731188224096", "🔗 Ver Mapa")</f>
        <v>🔗 Ver Mapa</v>
      </c>
    </row>
    <row r="12119" spans="1:12" ht="43.5" x14ac:dyDescent="0.35">
      <c r="A12119" s="5" t="s">
        <v>98</v>
      </c>
      <c r="B12119" s="5" t="s">
        <v>99</v>
      </c>
      <c r="C12119" s="5" t="s">
        <v>2403</v>
      </c>
      <c r="D12119" s="5" t="s">
        <v>14</v>
      </c>
      <c r="E12119" s="5" t="s">
        <v>17</v>
      </c>
      <c r="F12119" s="5" t="s">
        <v>59</v>
      </c>
      <c r="G12119" s="5" t="s">
        <v>1296</v>
      </c>
      <c r="H12119" s="5" t="s">
        <v>2404</v>
      </c>
      <c r="I12119" s="5" t="s">
        <v>31</v>
      </c>
      <c r="J12119" s="5">
        <v>16.319557318830999</v>
      </c>
      <c r="K12119" s="5">
        <v>-97.664554164205001</v>
      </c>
      <c r="L12119" s="5" t="str">
        <f>HYPERLINK("https://maps.google.com/?q=16.3195573188314,-97.664554164205", "🔗 Ver Mapa")</f>
        <v>🔗 Ver Mapa</v>
      </c>
    </row>
    <row r="12120" spans="1:12" ht="43.5" x14ac:dyDescent="0.35">
      <c r="A12120" s="6" t="s">
        <v>98</v>
      </c>
      <c r="B12120" s="6" t="s">
        <v>99</v>
      </c>
      <c r="C12120" s="6" t="s">
        <v>2403</v>
      </c>
      <c r="D12120" s="6" t="s">
        <v>14</v>
      </c>
      <c r="E12120" s="6" t="s">
        <v>17</v>
      </c>
      <c r="F12120" s="6" t="s">
        <v>59</v>
      </c>
      <c r="G12120" s="6" t="s">
        <v>1296</v>
      </c>
      <c r="H12120" s="6" t="s">
        <v>2404</v>
      </c>
      <c r="I12120" s="6" t="s">
        <v>31</v>
      </c>
      <c r="J12120" s="6">
        <v>16.319789655215999</v>
      </c>
      <c r="K12120" s="6">
        <v>-97.666035427897</v>
      </c>
      <c r="L12120" s="6" t="str">
        <f>HYPERLINK("https://maps.google.com/?q=16.3197896552155,-97.666035427896503", "🔗 Ver Mapa")</f>
        <v>🔗 Ver Mapa</v>
      </c>
    </row>
    <row r="12121" spans="1:12" ht="43.5" x14ac:dyDescent="0.35">
      <c r="A12121" s="5" t="s">
        <v>98</v>
      </c>
      <c r="B12121" s="5" t="s">
        <v>99</v>
      </c>
      <c r="C12121" s="5" t="s">
        <v>2403</v>
      </c>
      <c r="D12121" s="5" t="s">
        <v>14</v>
      </c>
      <c r="E12121" s="5" t="s">
        <v>17</v>
      </c>
      <c r="F12121" s="5" t="s">
        <v>59</v>
      </c>
      <c r="G12121" s="5" t="s">
        <v>1296</v>
      </c>
      <c r="H12121" s="5" t="s">
        <v>2404</v>
      </c>
      <c r="I12121" s="5" t="s">
        <v>31</v>
      </c>
      <c r="J12121" s="5">
        <v>16.319936487179</v>
      </c>
      <c r="K12121" s="5">
        <v>-97.664178740238</v>
      </c>
      <c r="L12121" s="5" t="str">
        <f>HYPERLINK("https://maps.google.com/?q=16.319936487179,-97.664178740237801", "🔗 Ver Mapa")</f>
        <v>🔗 Ver Mapa</v>
      </c>
    </row>
    <row r="12122" spans="1:12" ht="43.5" x14ac:dyDescent="0.35">
      <c r="A12122" s="6" t="s">
        <v>98</v>
      </c>
      <c r="B12122" s="6" t="s">
        <v>99</v>
      </c>
      <c r="C12122" s="6" t="s">
        <v>2403</v>
      </c>
      <c r="D12122" s="6" t="s">
        <v>14</v>
      </c>
      <c r="E12122" s="6" t="s">
        <v>17</v>
      </c>
      <c r="F12122" s="6" t="s">
        <v>59</v>
      </c>
      <c r="G12122" s="6" t="s">
        <v>1296</v>
      </c>
      <c r="H12122" s="6" t="s">
        <v>2404</v>
      </c>
      <c r="I12122" s="6" t="s">
        <v>31</v>
      </c>
      <c r="J12122" s="6">
        <v>16.319950791076</v>
      </c>
      <c r="K12122" s="6">
        <v>-97.663200069219002</v>
      </c>
      <c r="L12122" s="6" t="str">
        <f>HYPERLINK("https://maps.google.com/?q=16.3199507910758,-97.663200069218803", "🔗 Ver Mapa")</f>
        <v>🔗 Ver Mapa</v>
      </c>
    </row>
    <row r="12123" spans="1:12" ht="43.5" x14ac:dyDescent="0.35">
      <c r="A12123" s="5" t="s">
        <v>98</v>
      </c>
      <c r="B12123" s="5" t="s">
        <v>99</v>
      </c>
      <c r="C12123" s="5" t="s">
        <v>2403</v>
      </c>
      <c r="D12123" s="5" t="s">
        <v>14</v>
      </c>
      <c r="E12123" s="5" t="s">
        <v>17</v>
      </c>
      <c r="F12123" s="5" t="s">
        <v>59</v>
      </c>
      <c r="G12123" s="5" t="s">
        <v>1296</v>
      </c>
      <c r="H12123" s="5" t="s">
        <v>2404</v>
      </c>
      <c r="I12123" s="5" t="s">
        <v>31</v>
      </c>
      <c r="J12123" s="5">
        <v>16.32010327623</v>
      </c>
      <c r="K12123" s="5">
        <v>-97.664349728106004</v>
      </c>
      <c r="L12123" s="5" t="str">
        <f>HYPERLINK("https://maps.google.com/?q=16.3201032762299,-97.664349728105506", "🔗 Ver Mapa")</f>
        <v>🔗 Ver Mapa</v>
      </c>
    </row>
    <row r="12124" spans="1:12" ht="43.5" x14ac:dyDescent="0.35">
      <c r="A12124" s="6" t="s">
        <v>98</v>
      </c>
      <c r="B12124" s="6" t="s">
        <v>99</v>
      </c>
      <c r="C12124" s="6" t="s">
        <v>2403</v>
      </c>
      <c r="D12124" s="6" t="s">
        <v>14</v>
      </c>
      <c r="E12124" s="6" t="s">
        <v>17</v>
      </c>
      <c r="F12124" s="6" t="s">
        <v>59</v>
      </c>
      <c r="G12124" s="6" t="s">
        <v>1296</v>
      </c>
      <c r="H12124" s="6" t="s">
        <v>2404</v>
      </c>
      <c r="I12124" s="6" t="s">
        <v>31</v>
      </c>
      <c r="J12124" s="6">
        <v>16.320209322840999</v>
      </c>
      <c r="K12124" s="6">
        <v>-97.663029999524994</v>
      </c>
      <c r="L12124" s="6" t="str">
        <f>HYPERLINK("https://maps.google.com/?q=16.3202093228415,-97.663029999524596", "🔗 Ver Mapa")</f>
        <v>🔗 Ver Mapa</v>
      </c>
    </row>
    <row r="12125" spans="1:12" ht="43.5" x14ac:dyDescent="0.35">
      <c r="A12125" s="5" t="s">
        <v>98</v>
      </c>
      <c r="B12125" s="5" t="s">
        <v>99</v>
      </c>
      <c r="C12125" s="5" t="s">
        <v>2403</v>
      </c>
      <c r="D12125" s="5" t="s">
        <v>14</v>
      </c>
      <c r="E12125" s="5" t="s">
        <v>17</v>
      </c>
      <c r="F12125" s="5" t="s">
        <v>59</v>
      </c>
      <c r="G12125" s="5" t="s">
        <v>1296</v>
      </c>
      <c r="H12125" s="5" t="s">
        <v>2404</v>
      </c>
      <c r="I12125" s="5" t="s">
        <v>31</v>
      </c>
      <c r="J12125" s="5">
        <v>16.320313889821001</v>
      </c>
      <c r="K12125" s="5">
        <v>-97.664570107038003</v>
      </c>
      <c r="L12125" s="5" t="str">
        <f>HYPERLINK("https://maps.google.com/?q=16.3203138898215,-97.664570107037903", "🔗 Ver Mapa")</f>
        <v>🔗 Ver Mapa</v>
      </c>
    </row>
    <row r="12126" spans="1:12" ht="43.5" x14ac:dyDescent="0.35">
      <c r="A12126" s="6" t="s">
        <v>98</v>
      </c>
      <c r="B12126" s="6" t="s">
        <v>99</v>
      </c>
      <c r="C12126" s="6" t="s">
        <v>2403</v>
      </c>
      <c r="D12126" s="6" t="s">
        <v>14</v>
      </c>
      <c r="E12126" s="6" t="s">
        <v>17</v>
      </c>
      <c r="F12126" s="6" t="s">
        <v>59</v>
      </c>
      <c r="G12126" s="6" t="s">
        <v>1296</v>
      </c>
      <c r="H12126" s="6" t="s">
        <v>2404</v>
      </c>
      <c r="I12126" s="6" t="s">
        <v>31</v>
      </c>
      <c r="J12126" s="6">
        <v>16.320361713878999</v>
      </c>
      <c r="K12126" s="6">
        <v>-97.664334224537001</v>
      </c>
      <c r="L12126" s="6" t="str">
        <f>HYPERLINK("https://maps.google.com/?q=16.3203617138788,-97.664334224537001", "🔗 Ver Mapa")</f>
        <v>🔗 Ver Mapa</v>
      </c>
    </row>
    <row r="12127" spans="1:12" ht="43.5" x14ac:dyDescent="0.35">
      <c r="A12127" s="5" t="s">
        <v>98</v>
      </c>
      <c r="B12127" s="5" t="s">
        <v>99</v>
      </c>
      <c r="C12127" s="5" t="s">
        <v>2405</v>
      </c>
      <c r="D12127" s="5" t="s">
        <v>14</v>
      </c>
      <c r="E12127" s="5" t="s">
        <v>17</v>
      </c>
      <c r="F12127" s="5" t="s">
        <v>59</v>
      </c>
      <c r="G12127" s="5" t="s">
        <v>1296</v>
      </c>
      <c r="H12127" s="5" t="s">
        <v>2406</v>
      </c>
      <c r="I12127" s="5" t="s">
        <v>31</v>
      </c>
      <c r="J12127" s="5">
        <v>16.283247637098999</v>
      </c>
      <c r="K12127" s="5">
        <v>-97.673439309193</v>
      </c>
      <c r="L12127" s="5" t="str">
        <f>HYPERLINK("https://maps.google.com/?q=16.2832476370993,-97.673439309192801", "🔗 Ver Mapa")</f>
        <v>🔗 Ver Mapa</v>
      </c>
    </row>
    <row r="12128" spans="1:12" ht="43.5" x14ac:dyDescent="0.35">
      <c r="A12128" s="6" t="s">
        <v>98</v>
      </c>
      <c r="B12128" s="6" t="s">
        <v>99</v>
      </c>
      <c r="C12128" s="6" t="s">
        <v>2405</v>
      </c>
      <c r="D12128" s="6" t="s">
        <v>14</v>
      </c>
      <c r="E12128" s="6" t="s">
        <v>17</v>
      </c>
      <c r="F12128" s="6" t="s">
        <v>59</v>
      </c>
      <c r="G12128" s="6" t="s">
        <v>1296</v>
      </c>
      <c r="H12128" s="6" t="s">
        <v>2406</v>
      </c>
      <c r="I12128" s="6" t="s">
        <v>31</v>
      </c>
      <c r="J12128" s="6">
        <v>16.283380969075999</v>
      </c>
      <c r="K12128" s="6">
        <v>-97.675564187879999</v>
      </c>
      <c r="L12128" s="6" t="str">
        <f>HYPERLINK("https://maps.google.com/?q=16.283380969076,-97.6755641878798", "🔗 Ver Mapa")</f>
        <v>🔗 Ver Mapa</v>
      </c>
    </row>
    <row r="12129" spans="1:12" ht="43.5" x14ac:dyDescent="0.35">
      <c r="A12129" s="5" t="s">
        <v>98</v>
      </c>
      <c r="B12129" s="5" t="s">
        <v>99</v>
      </c>
      <c r="C12129" s="5" t="s">
        <v>2405</v>
      </c>
      <c r="D12129" s="5" t="s">
        <v>14</v>
      </c>
      <c r="E12129" s="5" t="s">
        <v>17</v>
      </c>
      <c r="F12129" s="5" t="s">
        <v>59</v>
      </c>
      <c r="G12129" s="5" t="s">
        <v>1296</v>
      </c>
      <c r="H12129" s="5" t="s">
        <v>2406</v>
      </c>
      <c r="I12129" s="5" t="s">
        <v>31</v>
      </c>
      <c r="J12129" s="5">
        <v>16.283405554851999</v>
      </c>
      <c r="K12129" s="5">
        <v>-97.673635881969005</v>
      </c>
      <c r="L12129" s="5" t="str">
        <f>HYPERLINK("https://maps.google.com/?q=16.2834055548517,-97.673635881969105", "🔗 Ver Mapa")</f>
        <v>🔗 Ver Mapa</v>
      </c>
    </row>
    <row r="12130" spans="1:12" ht="43.5" x14ac:dyDescent="0.35">
      <c r="A12130" s="6" t="s">
        <v>98</v>
      </c>
      <c r="B12130" s="6" t="s">
        <v>99</v>
      </c>
      <c r="C12130" s="6" t="s">
        <v>2405</v>
      </c>
      <c r="D12130" s="6" t="s">
        <v>14</v>
      </c>
      <c r="E12130" s="6" t="s">
        <v>17</v>
      </c>
      <c r="F12130" s="6" t="s">
        <v>59</v>
      </c>
      <c r="G12130" s="6" t="s">
        <v>1296</v>
      </c>
      <c r="H12130" s="6" t="s">
        <v>2406</v>
      </c>
      <c r="I12130" s="6" t="s">
        <v>31</v>
      </c>
      <c r="J12130" s="6">
        <v>16.283635196367001</v>
      </c>
      <c r="K12130" s="6">
        <v>-97.675276163194994</v>
      </c>
      <c r="L12130" s="6" t="str">
        <f>HYPERLINK("https://maps.google.com/?q=16.2836351963665,-97.675276163194596", "🔗 Ver Mapa")</f>
        <v>🔗 Ver Mapa</v>
      </c>
    </row>
    <row r="12131" spans="1:12" ht="43.5" x14ac:dyDescent="0.35">
      <c r="A12131" s="5" t="s">
        <v>98</v>
      </c>
      <c r="B12131" s="5" t="s">
        <v>99</v>
      </c>
      <c r="C12131" s="5" t="s">
        <v>2405</v>
      </c>
      <c r="D12131" s="5" t="s">
        <v>14</v>
      </c>
      <c r="E12131" s="5" t="s">
        <v>17</v>
      </c>
      <c r="F12131" s="5" t="s">
        <v>59</v>
      </c>
      <c r="G12131" s="5" t="s">
        <v>1296</v>
      </c>
      <c r="H12131" s="5" t="s">
        <v>2406</v>
      </c>
      <c r="I12131" s="5" t="s">
        <v>31</v>
      </c>
      <c r="J12131" s="5">
        <v>16.283679787160001</v>
      </c>
      <c r="K12131" s="5">
        <v>-97.673555922546996</v>
      </c>
      <c r="L12131" s="5" t="str">
        <f>HYPERLINK("https://maps.google.com/?q=16.2836797871603,-97.673555922546797", "🔗 Ver Mapa")</f>
        <v>🔗 Ver Mapa</v>
      </c>
    </row>
    <row r="12132" spans="1:12" ht="43.5" x14ac:dyDescent="0.35">
      <c r="A12132" s="6" t="s">
        <v>98</v>
      </c>
      <c r="B12132" s="6" t="s">
        <v>99</v>
      </c>
      <c r="C12132" s="6" t="s">
        <v>2405</v>
      </c>
      <c r="D12132" s="6" t="s">
        <v>14</v>
      </c>
      <c r="E12132" s="6" t="s">
        <v>17</v>
      </c>
      <c r="F12132" s="6" t="s">
        <v>59</v>
      </c>
      <c r="G12132" s="6" t="s">
        <v>1296</v>
      </c>
      <c r="H12132" s="6" t="s">
        <v>2406</v>
      </c>
      <c r="I12132" s="6" t="s">
        <v>31</v>
      </c>
      <c r="J12132" s="6">
        <v>16.284212859840999</v>
      </c>
      <c r="K12132" s="6">
        <v>-97.674740807375002</v>
      </c>
      <c r="L12132" s="6" t="str">
        <f>HYPERLINK("https://maps.google.com/?q=16.2842128598415,-97.674740807375002", "🔗 Ver Mapa")</f>
        <v>🔗 Ver Mapa</v>
      </c>
    </row>
    <row r="12133" spans="1:12" ht="43.5" x14ac:dyDescent="0.35">
      <c r="A12133" s="5" t="s">
        <v>98</v>
      </c>
      <c r="B12133" s="5" t="s">
        <v>99</v>
      </c>
      <c r="C12133" s="5" t="s">
        <v>2405</v>
      </c>
      <c r="D12133" s="5" t="s">
        <v>14</v>
      </c>
      <c r="E12133" s="5" t="s">
        <v>17</v>
      </c>
      <c r="F12133" s="5" t="s">
        <v>59</v>
      </c>
      <c r="G12133" s="5" t="s">
        <v>1296</v>
      </c>
      <c r="H12133" s="5" t="s">
        <v>2406</v>
      </c>
      <c r="I12133" s="5" t="s">
        <v>31</v>
      </c>
      <c r="J12133" s="5">
        <v>16.284300000000002</v>
      </c>
      <c r="K12133" s="5">
        <v>-97.673356999999996</v>
      </c>
      <c r="L12133" s="5" t="str">
        <f>HYPERLINK("https://maps.google.com/?q=16.2843,-97.673356999999996", "🔗 Ver Mapa")</f>
        <v>🔗 Ver Mapa</v>
      </c>
    </row>
    <row r="12134" spans="1:12" ht="43.5" x14ac:dyDescent="0.35">
      <c r="A12134" s="6" t="s">
        <v>98</v>
      </c>
      <c r="B12134" s="6" t="s">
        <v>99</v>
      </c>
      <c r="C12134" s="6" t="s">
        <v>2405</v>
      </c>
      <c r="D12134" s="6" t="s">
        <v>14</v>
      </c>
      <c r="E12134" s="6" t="s">
        <v>17</v>
      </c>
      <c r="F12134" s="6" t="s">
        <v>59</v>
      </c>
      <c r="G12134" s="6" t="s">
        <v>1296</v>
      </c>
      <c r="H12134" s="6" t="s">
        <v>2406</v>
      </c>
      <c r="I12134" s="6" t="s">
        <v>31</v>
      </c>
      <c r="J12134" s="6">
        <v>16.284553002549</v>
      </c>
      <c r="K12134" s="6">
        <v>-97.672868440475</v>
      </c>
      <c r="L12134" s="6" t="str">
        <f>HYPERLINK("https://maps.google.com/?q=16.2845530025493,-97.672868440475497", "🔗 Ver Mapa")</f>
        <v>🔗 Ver Mapa</v>
      </c>
    </row>
    <row r="12135" spans="1:12" ht="43.5" x14ac:dyDescent="0.35">
      <c r="A12135" s="5" t="s">
        <v>98</v>
      </c>
      <c r="B12135" s="5" t="s">
        <v>99</v>
      </c>
      <c r="C12135" s="5" t="s">
        <v>2405</v>
      </c>
      <c r="D12135" s="5" t="s">
        <v>14</v>
      </c>
      <c r="E12135" s="5" t="s">
        <v>17</v>
      </c>
      <c r="F12135" s="5" t="s">
        <v>59</v>
      </c>
      <c r="G12135" s="5" t="s">
        <v>1296</v>
      </c>
      <c r="H12135" s="5" t="s">
        <v>2406</v>
      </c>
      <c r="I12135" s="5" t="s">
        <v>31</v>
      </c>
      <c r="J12135" s="5">
        <v>16.284872365422</v>
      </c>
      <c r="K12135" s="5">
        <v>-97.672434977243995</v>
      </c>
      <c r="L12135" s="5" t="str">
        <f>HYPERLINK("https://maps.google.com/?q=16.2848723654216,-97.672434977244393", "🔗 Ver Mapa")</f>
        <v>🔗 Ver Mapa</v>
      </c>
    </row>
    <row r="12136" spans="1:12" ht="43.5" x14ac:dyDescent="0.35">
      <c r="A12136" s="6" t="s">
        <v>98</v>
      </c>
      <c r="B12136" s="6" t="s">
        <v>99</v>
      </c>
      <c r="C12136" s="6" t="s">
        <v>2405</v>
      </c>
      <c r="D12136" s="6" t="s">
        <v>14</v>
      </c>
      <c r="E12136" s="6" t="s">
        <v>17</v>
      </c>
      <c r="F12136" s="6" t="s">
        <v>59</v>
      </c>
      <c r="G12136" s="6" t="s">
        <v>1296</v>
      </c>
      <c r="H12136" s="6" t="s">
        <v>2406</v>
      </c>
      <c r="I12136" s="6" t="s">
        <v>31</v>
      </c>
      <c r="J12136" s="6">
        <v>16.285035526737001</v>
      </c>
      <c r="K12136" s="6">
        <v>-97.671216459744997</v>
      </c>
      <c r="L12136" s="6" t="str">
        <f>HYPERLINK("https://maps.google.com/?q=16.2850355267369,-97.671216459744997", "🔗 Ver Mapa")</f>
        <v>🔗 Ver Mapa</v>
      </c>
    </row>
    <row r="12137" spans="1:12" ht="43.5" x14ac:dyDescent="0.35">
      <c r="A12137" s="5" t="s">
        <v>98</v>
      </c>
      <c r="B12137" s="5" t="s">
        <v>99</v>
      </c>
      <c r="C12137" s="5" t="s">
        <v>2405</v>
      </c>
      <c r="D12137" s="5" t="s">
        <v>14</v>
      </c>
      <c r="E12137" s="5" t="s">
        <v>17</v>
      </c>
      <c r="F12137" s="5" t="s">
        <v>59</v>
      </c>
      <c r="G12137" s="5" t="s">
        <v>1296</v>
      </c>
      <c r="H12137" s="5" t="s">
        <v>2406</v>
      </c>
      <c r="I12137" s="5" t="s">
        <v>31</v>
      </c>
      <c r="J12137" s="5">
        <v>16.285115958237999</v>
      </c>
      <c r="K12137" s="5">
        <v>-97.672778093253996</v>
      </c>
      <c r="L12137" s="5" t="str">
        <f>HYPERLINK("https://maps.google.com/?q=16.2851159582384,-97.672778093254095", "🔗 Ver Mapa")</f>
        <v>🔗 Ver Mapa</v>
      </c>
    </row>
    <row r="12138" spans="1:12" ht="43.5" x14ac:dyDescent="0.35">
      <c r="A12138" s="6" t="s">
        <v>98</v>
      </c>
      <c r="B12138" s="6" t="s">
        <v>99</v>
      </c>
      <c r="C12138" s="6" t="s">
        <v>2405</v>
      </c>
      <c r="D12138" s="6" t="s">
        <v>14</v>
      </c>
      <c r="E12138" s="6" t="s">
        <v>17</v>
      </c>
      <c r="F12138" s="6" t="s">
        <v>59</v>
      </c>
      <c r="G12138" s="6" t="s">
        <v>1296</v>
      </c>
      <c r="H12138" s="6" t="s">
        <v>2406</v>
      </c>
      <c r="I12138" s="6" t="s">
        <v>31</v>
      </c>
      <c r="J12138" s="6">
        <v>16.285446317348001</v>
      </c>
      <c r="K12138" s="6">
        <v>-97.672525728836007</v>
      </c>
      <c r="L12138" s="6" t="str">
        <f>HYPERLINK("https://maps.google.com/?q=16.2854463173477,-97.672525728836206", "🔗 Ver Mapa")</f>
        <v>🔗 Ver Mapa</v>
      </c>
    </row>
    <row r="12139" spans="1:12" ht="43.5" x14ac:dyDescent="0.35">
      <c r="A12139" s="5" t="s">
        <v>98</v>
      </c>
      <c r="B12139" s="5" t="s">
        <v>99</v>
      </c>
      <c r="C12139" s="5" t="s">
        <v>2405</v>
      </c>
      <c r="D12139" s="5" t="s">
        <v>14</v>
      </c>
      <c r="E12139" s="5" t="s">
        <v>17</v>
      </c>
      <c r="F12139" s="5" t="s">
        <v>59</v>
      </c>
      <c r="G12139" s="5" t="s">
        <v>1296</v>
      </c>
      <c r="H12139" s="5" t="s">
        <v>2406</v>
      </c>
      <c r="I12139" s="5" t="s">
        <v>31</v>
      </c>
      <c r="J12139" s="5">
        <v>16.285849266355999</v>
      </c>
      <c r="K12139" s="5">
        <v>-97.672664661664996</v>
      </c>
      <c r="L12139" s="5" t="str">
        <f>HYPERLINK("https://maps.google.com/?q=16.2858492663559,-97.672664661665493", "🔗 Ver Mapa")</f>
        <v>🔗 Ver Mapa</v>
      </c>
    </row>
    <row r="12140" spans="1:12" ht="43.5" x14ac:dyDescent="0.35">
      <c r="A12140" s="6" t="s">
        <v>98</v>
      </c>
      <c r="B12140" s="6" t="s">
        <v>99</v>
      </c>
      <c r="C12140" s="6" t="s">
        <v>2405</v>
      </c>
      <c r="D12140" s="6" t="s">
        <v>14</v>
      </c>
      <c r="E12140" s="6" t="s">
        <v>17</v>
      </c>
      <c r="F12140" s="6" t="s">
        <v>59</v>
      </c>
      <c r="G12140" s="6" t="s">
        <v>1296</v>
      </c>
      <c r="H12140" s="6" t="s">
        <v>2406</v>
      </c>
      <c r="I12140" s="6" t="s">
        <v>31</v>
      </c>
      <c r="J12140" s="6">
        <v>16.285916</v>
      </c>
      <c r="K12140" s="6">
        <v>-97.672408000000004</v>
      </c>
      <c r="L12140" s="6" t="str">
        <f>HYPERLINK("https://maps.google.com/?q=16.285916,-97.672408000000004", "🔗 Ver Mapa")</f>
        <v>🔗 Ver Mapa</v>
      </c>
    </row>
    <row r="12141" spans="1:12" ht="43.5" x14ac:dyDescent="0.35">
      <c r="A12141" s="5" t="s">
        <v>98</v>
      </c>
      <c r="B12141" s="5" t="s">
        <v>99</v>
      </c>
      <c r="C12141" s="5" t="s">
        <v>2405</v>
      </c>
      <c r="D12141" s="5" t="s">
        <v>14</v>
      </c>
      <c r="E12141" s="5" t="s">
        <v>17</v>
      </c>
      <c r="F12141" s="5" t="s">
        <v>59</v>
      </c>
      <c r="G12141" s="5" t="s">
        <v>1296</v>
      </c>
      <c r="H12141" s="5" t="s">
        <v>2406</v>
      </c>
      <c r="I12141" s="5" t="s">
        <v>31</v>
      </c>
      <c r="J12141" s="5">
        <v>16.285934369945</v>
      </c>
      <c r="K12141" s="5">
        <v>-97.672643279761999</v>
      </c>
      <c r="L12141" s="5" t="str">
        <f>HYPERLINK("https://maps.google.com/?q=16.2859343699449,-97.672643279761999", "🔗 Ver Mapa")</f>
        <v>🔗 Ver Mapa</v>
      </c>
    </row>
    <row r="12142" spans="1:12" ht="43.5" x14ac:dyDescent="0.35">
      <c r="A12142" s="6" t="s">
        <v>98</v>
      </c>
      <c r="B12142" s="6" t="s">
        <v>99</v>
      </c>
      <c r="C12142" s="6" t="s">
        <v>2405</v>
      </c>
      <c r="D12142" s="6" t="s">
        <v>14</v>
      </c>
      <c r="E12142" s="6" t="s">
        <v>17</v>
      </c>
      <c r="F12142" s="6" t="s">
        <v>59</v>
      </c>
      <c r="G12142" s="6" t="s">
        <v>1296</v>
      </c>
      <c r="H12142" s="6" t="s">
        <v>2406</v>
      </c>
      <c r="I12142" s="6" t="s">
        <v>31</v>
      </c>
      <c r="J12142" s="6">
        <v>16.286045476337002</v>
      </c>
      <c r="K12142" s="6">
        <v>-97.672563277213001</v>
      </c>
      <c r="L12142" s="6" t="str">
        <f>HYPERLINK("https://maps.google.com/?q=16.2860454763365,-97.672563277212802", "🔗 Ver Mapa")</f>
        <v>🔗 Ver Mapa</v>
      </c>
    </row>
    <row r="12143" spans="1:12" ht="43.5" x14ac:dyDescent="0.35">
      <c r="A12143" s="5" t="s">
        <v>98</v>
      </c>
      <c r="B12143" s="5" t="s">
        <v>99</v>
      </c>
      <c r="C12143" s="5" t="s">
        <v>2405</v>
      </c>
      <c r="D12143" s="5" t="s">
        <v>14</v>
      </c>
      <c r="E12143" s="5" t="s">
        <v>17</v>
      </c>
      <c r="F12143" s="5" t="s">
        <v>59</v>
      </c>
      <c r="G12143" s="5" t="s">
        <v>1296</v>
      </c>
      <c r="H12143" s="5" t="s">
        <v>2406</v>
      </c>
      <c r="I12143" s="5" t="s">
        <v>31</v>
      </c>
      <c r="J12143" s="5">
        <v>16.286173030895998</v>
      </c>
      <c r="K12143" s="5">
        <v>-97.673783973859003</v>
      </c>
      <c r="L12143" s="5" t="str">
        <f>HYPERLINK("https://maps.google.com/?q=16.2861730308961,-97.673783973858505", "🔗 Ver Mapa")</f>
        <v>🔗 Ver Mapa</v>
      </c>
    </row>
    <row r="12144" spans="1:12" ht="43.5" x14ac:dyDescent="0.35">
      <c r="A12144" s="6" t="s">
        <v>98</v>
      </c>
      <c r="B12144" s="6" t="s">
        <v>99</v>
      </c>
      <c r="C12144" s="6" t="s">
        <v>2405</v>
      </c>
      <c r="D12144" s="6" t="s">
        <v>14</v>
      </c>
      <c r="E12144" s="6" t="s">
        <v>17</v>
      </c>
      <c r="F12144" s="6" t="s">
        <v>59</v>
      </c>
      <c r="G12144" s="6" t="s">
        <v>1296</v>
      </c>
      <c r="H12144" s="6" t="s">
        <v>2406</v>
      </c>
      <c r="I12144" s="6" t="s">
        <v>31</v>
      </c>
      <c r="J12144" s="6">
        <v>16.286578333333001</v>
      </c>
      <c r="K12144" s="6">
        <v>-97.672781666667007</v>
      </c>
      <c r="L12144" s="6" t="str">
        <f>HYPERLINK("https://maps.google.com/?q=16.2865783333333,-97.672781666666594", "🔗 Ver Mapa")</f>
        <v>🔗 Ver Mapa</v>
      </c>
    </row>
    <row r="12145" spans="1:12" ht="43.5" x14ac:dyDescent="0.35">
      <c r="A12145" s="5" t="s">
        <v>98</v>
      </c>
      <c r="B12145" s="5" t="s">
        <v>99</v>
      </c>
      <c r="C12145" s="5" t="s">
        <v>2405</v>
      </c>
      <c r="D12145" s="5" t="s">
        <v>14</v>
      </c>
      <c r="E12145" s="5" t="s">
        <v>17</v>
      </c>
      <c r="F12145" s="5" t="s">
        <v>59</v>
      </c>
      <c r="G12145" s="5" t="s">
        <v>1296</v>
      </c>
      <c r="H12145" s="5" t="s">
        <v>2406</v>
      </c>
      <c r="I12145" s="5" t="s">
        <v>31</v>
      </c>
      <c r="J12145" s="5">
        <v>16.286647730498</v>
      </c>
      <c r="K12145" s="5">
        <v>-97.672977370534994</v>
      </c>
      <c r="L12145" s="5" t="str">
        <f>HYPERLINK("https://maps.google.com/?q=16.2866477304982,-97.672977370535", "🔗 Ver Mapa")</f>
        <v>🔗 Ver Mapa</v>
      </c>
    </row>
    <row r="12146" spans="1:12" ht="43.5" x14ac:dyDescent="0.35">
      <c r="A12146" s="6" t="s">
        <v>98</v>
      </c>
      <c r="B12146" s="6" t="s">
        <v>99</v>
      </c>
      <c r="C12146" s="6" t="s">
        <v>2405</v>
      </c>
      <c r="D12146" s="6" t="s">
        <v>14</v>
      </c>
      <c r="E12146" s="6" t="s">
        <v>17</v>
      </c>
      <c r="F12146" s="6" t="s">
        <v>59</v>
      </c>
      <c r="G12146" s="6" t="s">
        <v>1296</v>
      </c>
      <c r="H12146" s="6" t="s">
        <v>2406</v>
      </c>
      <c r="I12146" s="6" t="s">
        <v>31</v>
      </c>
      <c r="J12146" s="6">
        <v>16.286667818946999</v>
      </c>
      <c r="K12146" s="6">
        <v>-97.672430159580003</v>
      </c>
      <c r="L12146" s="6" t="str">
        <f>HYPERLINK("https://maps.google.com/?q=16.2866678189465,-97.672430159579505", "🔗 Ver Mapa")</f>
        <v>🔗 Ver Mapa</v>
      </c>
    </row>
    <row r="12147" spans="1:12" ht="43.5" x14ac:dyDescent="0.35">
      <c r="A12147" s="5" t="s">
        <v>98</v>
      </c>
      <c r="B12147" s="5" t="s">
        <v>99</v>
      </c>
      <c r="C12147" s="5" t="s">
        <v>2405</v>
      </c>
      <c r="D12147" s="5" t="s">
        <v>14</v>
      </c>
      <c r="E12147" s="5" t="s">
        <v>17</v>
      </c>
      <c r="F12147" s="5" t="s">
        <v>59</v>
      </c>
      <c r="G12147" s="5" t="s">
        <v>1296</v>
      </c>
      <c r="H12147" s="5" t="s">
        <v>2406</v>
      </c>
      <c r="I12147" s="5" t="s">
        <v>31</v>
      </c>
      <c r="J12147" s="5">
        <v>16.286935</v>
      </c>
      <c r="K12147" s="5">
        <v>-97.672838333333004</v>
      </c>
      <c r="L12147" s="5" t="str">
        <f>HYPERLINK("https://maps.google.com/?q=16.286935,-97.672838333333303", "🔗 Ver Mapa")</f>
        <v>🔗 Ver Mapa</v>
      </c>
    </row>
    <row r="12148" spans="1:12" ht="43.5" x14ac:dyDescent="0.35">
      <c r="A12148" s="6" t="s">
        <v>98</v>
      </c>
      <c r="B12148" s="6" t="s">
        <v>99</v>
      </c>
      <c r="C12148" s="6" t="s">
        <v>2405</v>
      </c>
      <c r="D12148" s="6" t="s">
        <v>14</v>
      </c>
      <c r="E12148" s="6" t="s">
        <v>17</v>
      </c>
      <c r="F12148" s="6" t="s">
        <v>59</v>
      </c>
      <c r="G12148" s="6" t="s">
        <v>1296</v>
      </c>
      <c r="H12148" s="6" t="s">
        <v>2406</v>
      </c>
      <c r="I12148" s="6" t="s">
        <v>31</v>
      </c>
      <c r="J12148" s="6">
        <v>16.287327488083001</v>
      </c>
      <c r="K12148" s="6">
        <v>-97.673471676054007</v>
      </c>
      <c r="L12148" s="6" t="str">
        <f>HYPERLINK("https://maps.google.com/?q=16.2873274880827,-97.673471676054106", "🔗 Ver Mapa")</f>
        <v>🔗 Ver Mapa</v>
      </c>
    </row>
    <row r="12149" spans="1:12" ht="43.5" x14ac:dyDescent="0.35">
      <c r="A12149" s="5" t="s">
        <v>98</v>
      </c>
      <c r="B12149" s="5" t="s">
        <v>99</v>
      </c>
      <c r="C12149" s="5" t="s">
        <v>2405</v>
      </c>
      <c r="D12149" s="5" t="s">
        <v>14</v>
      </c>
      <c r="E12149" s="5" t="s">
        <v>17</v>
      </c>
      <c r="F12149" s="5" t="s">
        <v>59</v>
      </c>
      <c r="G12149" s="5" t="s">
        <v>1296</v>
      </c>
      <c r="H12149" s="5" t="s">
        <v>2406</v>
      </c>
      <c r="I12149" s="5" t="s">
        <v>31</v>
      </c>
      <c r="J12149" s="5">
        <v>16.287589721238</v>
      </c>
      <c r="K12149" s="5">
        <v>-97.672722259609003</v>
      </c>
      <c r="L12149" s="5" t="str">
        <f>HYPERLINK("https://maps.google.com/?q=16.2875897212378,-97.672722259608804", "🔗 Ver Mapa")</f>
        <v>🔗 Ver Mapa</v>
      </c>
    </row>
    <row r="12150" spans="1:12" ht="43.5" x14ac:dyDescent="0.35">
      <c r="A12150" s="6" t="s">
        <v>98</v>
      </c>
      <c r="B12150" s="6" t="s">
        <v>99</v>
      </c>
      <c r="C12150" s="6" t="s">
        <v>2405</v>
      </c>
      <c r="D12150" s="6" t="s">
        <v>14</v>
      </c>
      <c r="E12150" s="6" t="s">
        <v>17</v>
      </c>
      <c r="F12150" s="6" t="s">
        <v>59</v>
      </c>
      <c r="G12150" s="6" t="s">
        <v>1296</v>
      </c>
      <c r="H12150" s="6" t="s">
        <v>2406</v>
      </c>
      <c r="I12150" s="6" t="s">
        <v>31</v>
      </c>
      <c r="J12150" s="6">
        <v>16.291764811002999</v>
      </c>
      <c r="K12150" s="6">
        <v>-97.683515589457997</v>
      </c>
      <c r="L12150" s="6" t="str">
        <f>HYPERLINK("https://maps.google.com/?q=16.2917648110032,-97.683515589457699", "🔗 Ver Mapa")</f>
        <v>🔗 Ver Mapa</v>
      </c>
    </row>
    <row r="12151" spans="1:12" ht="87" x14ac:dyDescent="0.35">
      <c r="A12151" s="5" t="s">
        <v>674</v>
      </c>
      <c r="B12151" s="5" t="s">
        <v>675</v>
      </c>
      <c r="C12151" s="5" t="s">
        <v>2407</v>
      </c>
      <c r="D12151" s="5" t="s">
        <v>677</v>
      </c>
      <c r="E12151" s="5" t="s">
        <v>16</v>
      </c>
      <c r="F12151" s="5" t="s">
        <v>145</v>
      </c>
      <c r="G12151" s="5" t="s">
        <v>1863</v>
      </c>
      <c r="H12151" s="5" t="s">
        <v>2408</v>
      </c>
      <c r="I12151" s="5" t="s">
        <v>31</v>
      </c>
      <c r="J12151" s="5">
        <v>17.577755</v>
      </c>
      <c r="K12151" s="5">
        <v>-97.841290000000001</v>
      </c>
      <c r="L12151" s="5" t="str">
        <f>HYPERLINK("https://maps.google.com/?q=17.577755,-97.841290", "🔗 Ver Mapa")</f>
        <v>🔗 Ver Mapa</v>
      </c>
    </row>
    <row r="12152" spans="1:12" ht="87" x14ac:dyDescent="0.35">
      <c r="A12152" s="6" t="s">
        <v>674</v>
      </c>
      <c r="B12152" s="6" t="s">
        <v>675</v>
      </c>
      <c r="C12152" s="6" t="s">
        <v>2407</v>
      </c>
      <c r="D12152" s="6" t="s">
        <v>677</v>
      </c>
      <c r="E12152" s="6" t="s">
        <v>16</v>
      </c>
      <c r="F12152" s="6" t="s">
        <v>145</v>
      </c>
      <c r="G12152" s="6" t="s">
        <v>1863</v>
      </c>
      <c r="H12152" s="6" t="s">
        <v>2408</v>
      </c>
      <c r="I12152" s="6" t="s">
        <v>31</v>
      </c>
      <c r="J12152" s="6">
        <v>17.602948000000001</v>
      </c>
      <c r="K12152" s="6">
        <v>-97.841322000000005</v>
      </c>
      <c r="L12152" s="6" t="str">
        <f>HYPERLINK("https://maps.google.com/?q=17.602948,-97.841322", "🔗 Ver Mapa")</f>
        <v>🔗 Ver Mapa</v>
      </c>
    </row>
    <row r="12153" spans="1:12" ht="87" x14ac:dyDescent="0.35">
      <c r="A12153" s="5" t="s">
        <v>674</v>
      </c>
      <c r="B12153" s="5" t="s">
        <v>675</v>
      </c>
      <c r="C12153" s="5" t="s">
        <v>2407</v>
      </c>
      <c r="D12153" s="5" t="s">
        <v>677</v>
      </c>
      <c r="E12153" s="5" t="s">
        <v>16</v>
      </c>
      <c r="F12153" s="5" t="s">
        <v>145</v>
      </c>
      <c r="G12153" s="5" t="s">
        <v>1863</v>
      </c>
      <c r="H12153" s="5" t="s">
        <v>2408</v>
      </c>
      <c r="I12153" s="5" t="s">
        <v>31</v>
      </c>
      <c r="J12153" s="5">
        <v>17.630082999999999</v>
      </c>
      <c r="K12153" s="5">
        <v>-97.833309</v>
      </c>
      <c r="L12153" s="5" t="str">
        <f>HYPERLINK("https://maps.google.com/?q=17.630083,-97.833309", "🔗 Ver Mapa")</f>
        <v>🔗 Ver Mapa</v>
      </c>
    </row>
    <row r="12154" spans="1:12" ht="58" x14ac:dyDescent="0.35">
      <c r="A12154" s="6" t="s">
        <v>674</v>
      </c>
      <c r="B12154" s="6" t="s">
        <v>675</v>
      </c>
      <c r="C12154" s="6" t="s">
        <v>2409</v>
      </c>
      <c r="D12154" s="6" t="s">
        <v>677</v>
      </c>
      <c r="E12154" s="6" t="s">
        <v>17</v>
      </c>
      <c r="F12154" s="6" t="s">
        <v>59</v>
      </c>
      <c r="G12154" s="6" t="s">
        <v>982</v>
      </c>
      <c r="H12154" s="6" t="s">
        <v>983</v>
      </c>
      <c r="I12154" s="6" t="s">
        <v>31</v>
      </c>
      <c r="J12154" s="6">
        <v>16.329059999999998</v>
      </c>
      <c r="K12154" s="6">
        <v>-98.445999999999998</v>
      </c>
      <c r="L12154" s="6" t="str">
        <f>HYPERLINK("https://maps.google.com/?q=16.32906,-98.446000", "🔗 Ver Mapa")</f>
        <v>🔗 Ver Mapa</v>
      </c>
    </row>
    <row r="12155" spans="1:12" ht="58" x14ac:dyDescent="0.35">
      <c r="A12155" s="5" t="s">
        <v>674</v>
      </c>
      <c r="B12155" s="5" t="s">
        <v>675</v>
      </c>
      <c r="C12155" s="5" t="s">
        <v>2409</v>
      </c>
      <c r="D12155" s="5" t="s">
        <v>677</v>
      </c>
      <c r="E12155" s="5" t="s">
        <v>17</v>
      </c>
      <c r="F12155" s="5" t="s">
        <v>59</v>
      </c>
      <c r="G12155" s="5" t="s">
        <v>982</v>
      </c>
      <c r="H12155" s="5" t="s">
        <v>983</v>
      </c>
      <c r="I12155" s="5" t="s">
        <v>31</v>
      </c>
      <c r="J12155" s="5">
        <v>16.331994999999999</v>
      </c>
      <c r="K12155" s="5">
        <v>-98.446845999999994</v>
      </c>
      <c r="L12155" s="5" t="str">
        <f>HYPERLINK("https://maps.google.com/?q=16.331995,-98.446846", "🔗 Ver Mapa")</f>
        <v>🔗 Ver Mapa</v>
      </c>
    </row>
    <row r="12156" spans="1:12" ht="58" x14ac:dyDescent="0.35">
      <c r="A12156" s="6" t="s">
        <v>674</v>
      </c>
      <c r="B12156" s="6" t="s">
        <v>675</v>
      </c>
      <c r="C12156" s="6" t="s">
        <v>2409</v>
      </c>
      <c r="D12156" s="6" t="s">
        <v>677</v>
      </c>
      <c r="E12156" s="6" t="s">
        <v>17</v>
      </c>
      <c r="F12156" s="6" t="s">
        <v>59</v>
      </c>
      <c r="G12156" s="6" t="s">
        <v>982</v>
      </c>
      <c r="H12156" s="6" t="s">
        <v>983</v>
      </c>
      <c r="I12156" s="6" t="s">
        <v>31</v>
      </c>
      <c r="J12156" s="6">
        <v>16.335650999999999</v>
      </c>
      <c r="K12156" s="6">
        <v>-98.447068999999999</v>
      </c>
      <c r="L12156" s="6" t="str">
        <f>HYPERLINK("https://maps.google.com/?q=16.335651,-98.447069", "🔗 Ver Mapa")</f>
        <v>🔗 Ver Mapa</v>
      </c>
    </row>
    <row r="12157" spans="1:12" ht="72.5" x14ac:dyDescent="0.35">
      <c r="A12157" s="5" t="s">
        <v>674</v>
      </c>
      <c r="B12157" s="5" t="s">
        <v>675</v>
      </c>
      <c r="C12157" s="5" t="s">
        <v>2410</v>
      </c>
      <c r="D12157" s="5" t="s">
        <v>677</v>
      </c>
      <c r="E12157" s="5" t="s">
        <v>39</v>
      </c>
      <c r="F12157" s="5" t="s">
        <v>353</v>
      </c>
      <c r="G12157" s="5" t="s">
        <v>1353</v>
      </c>
      <c r="H12157" s="5" t="s">
        <v>2411</v>
      </c>
      <c r="I12157" s="5" t="s">
        <v>31</v>
      </c>
      <c r="J12157" s="5">
        <v>16.127182999999999</v>
      </c>
      <c r="K12157" s="5">
        <v>-96.367346999999995</v>
      </c>
      <c r="L12157" s="5" t="str">
        <f>HYPERLINK("https://maps.google.com/?q=16.127183,-96.367347", "🔗 Ver Mapa")</f>
        <v>🔗 Ver Mapa</v>
      </c>
    </row>
    <row r="12158" spans="1:12" ht="72.5" x14ac:dyDescent="0.35">
      <c r="A12158" s="6" t="s">
        <v>674</v>
      </c>
      <c r="B12158" s="6" t="s">
        <v>675</v>
      </c>
      <c r="C12158" s="6" t="s">
        <v>2410</v>
      </c>
      <c r="D12158" s="6" t="s">
        <v>677</v>
      </c>
      <c r="E12158" s="6" t="s">
        <v>39</v>
      </c>
      <c r="F12158" s="6" t="s">
        <v>353</v>
      </c>
      <c r="G12158" s="6" t="s">
        <v>1353</v>
      </c>
      <c r="H12158" s="6" t="s">
        <v>2411</v>
      </c>
      <c r="I12158" s="6" t="s">
        <v>31</v>
      </c>
      <c r="J12158" s="6">
        <v>16.129581000000002</v>
      </c>
      <c r="K12158" s="6">
        <v>-96.367763999999994</v>
      </c>
      <c r="L12158" s="6" t="str">
        <f>HYPERLINK("https://maps.google.com/?q=16.129581,-96.367764", "🔗 Ver Mapa")</f>
        <v>🔗 Ver Mapa</v>
      </c>
    </row>
    <row r="12159" spans="1:12" ht="72.5" x14ac:dyDescent="0.35">
      <c r="A12159" s="5" t="s">
        <v>674</v>
      </c>
      <c r="B12159" s="5" t="s">
        <v>675</v>
      </c>
      <c r="C12159" s="5" t="s">
        <v>2410</v>
      </c>
      <c r="D12159" s="5" t="s">
        <v>677</v>
      </c>
      <c r="E12159" s="5" t="s">
        <v>39</v>
      </c>
      <c r="F12159" s="5" t="s">
        <v>353</v>
      </c>
      <c r="G12159" s="5" t="s">
        <v>1353</v>
      </c>
      <c r="H12159" s="5" t="s">
        <v>2411</v>
      </c>
      <c r="I12159" s="5" t="s">
        <v>31</v>
      </c>
      <c r="J12159" s="5">
        <v>16.131153000000001</v>
      </c>
      <c r="K12159" s="5">
        <v>-96.368165000000005</v>
      </c>
      <c r="L12159" s="5" t="str">
        <f>HYPERLINK("https://maps.google.com/?q=16.131153,-96.368165", "🔗 Ver Mapa")</f>
        <v>🔗 Ver Mapa</v>
      </c>
    </row>
    <row r="12160" spans="1:12" ht="43.5" x14ac:dyDescent="0.35">
      <c r="A12160" s="6" t="s">
        <v>98</v>
      </c>
      <c r="B12160" s="6" t="s">
        <v>99</v>
      </c>
      <c r="C12160" s="6" t="s">
        <v>2412</v>
      </c>
      <c r="D12160" s="6" t="s">
        <v>14</v>
      </c>
      <c r="E12160" s="6" t="s">
        <v>140</v>
      </c>
      <c r="F12160" s="6" t="s">
        <v>624</v>
      </c>
      <c r="G12160" s="6" t="s">
        <v>2063</v>
      </c>
      <c r="H12160" s="6" t="s">
        <v>2413</v>
      </c>
      <c r="I12160" s="6" t="s">
        <v>31</v>
      </c>
      <c r="J12160" s="6">
        <v>17.414219427271998</v>
      </c>
      <c r="K12160" s="6">
        <v>-95.946704328785003</v>
      </c>
      <c r="L12160" s="6" t="str">
        <f>HYPERLINK("https://maps.google.com/?q=17.4142194272715,-95.946704328785202", "🔗 Ver Mapa")</f>
        <v>🔗 Ver Mapa</v>
      </c>
    </row>
    <row r="12161" spans="1:12" ht="43.5" x14ac:dyDescent="0.35">
      <c r="A12161" s="5" t="s">
        <v>98</v>
      </c>
      <c r="B12161" s="5" t="s">
        <v>99</v>
      </c>
      <c r="C12161" s="5" t="s">
        <v>2412</v>
      </c>
      <c r="D12161" s="5" t="s">
        <v>14</v>
      </c>
      <c r="E12161" s="5" t="s">
        <v>140</v>
      </c>
      <c r="F12161" s="5" t="s">
        <v>624</v>
      </c>
      <c r="G12161" s="5" t="s">
        <v>2063</v>
      </c>
      <c r="H12161" s="5" t="s">
        <v>2413</v>
      </c>
      <c r="I12161" s="5" t="s">
        <v>31</v>
      </c>
      <c r="J12161" s="5">
        <v>17.414228360789998</v>
      </c>
      <c r="K12161" s="5">
        <v>-95.947419245934995</v>
      </c>
      <c r="L12161" s="5" t="str">
        <f>HYPERLINK("https://maps.google.com/?q=17.4142283607904,-95.947419245935393", "🔗 Ver Mapa")</f>
        <v>🔗 Ver Mapa</v>
      </c>
    </row>
    <row r="12162" spans="1:12" ht="43.5" x14ac:dyDescent="0.35">
      <c r="A12162" s="6" t="s">
        <v>98</v>
      </c>
      <c r="B12162" s="6" t="s">
        <v>99</v>
      </c>
      <c r="C12162" s="6" t="s">
        <v>2412</v>
      </c>
      <c r="D12162" s="6" t="s">
        <v>14</v>
      </c>
      <c r="E12162" s="6" t="s">
        <v>140</v>
      </c>
      <c r="F12162" s="6" t="s">
        <v>624</v>
      </c>
      <c r="G12162" s="6" t="s">
        <v>2063</v>
      </c>
      <c r="H12162" s="6" t="s">
        <v>2413</v>
      </c>
      <c r="I12162" s="6" t="s">
        <v>31</v>
      </c>
      <c r="J12162" s="6">
        <v>17.414925030846</v>
      </c>
      <c r="K12162" s="6">
        <v>-95.946557661080007</v>
      </c>
      <c r="L12162" s="6" t="str">
        <f>HYPERLINK("https://maps.google.com/?q=17.4149250308458,-95.946557661079694", "🔗 Ver Mapa")</f>
        <v>🔗 Ver Mapa</v>
      </c>
    </row>
    <row r="12163" spans="1:12" ht="43.5" x14ac:dyDescent="0.35">
      <c r="A12163" s="5" t="s">
        <v>98</v>
      </c>
      <c r="B12163" s="5" t="s">
        <v>99</v>
      </c>
      <c r="C12163" s="5" t="s">
        <v>2412</v>
      </c>
      <c r="D12163" s="5" t="s">
        <v>14</v>
      </c>
      <c r="E12163" s="5" t="s">
        <v>140</v>
      </c>
      <c r="F12163" s="5" t="s">
        <v>624</v>
      </c>
      <c r="G12163" s="5" t="s">
        <v>2063</v>
      </c>
      <c r="H12163" s="5" t="s">
        <v>2413</v>
      </c>
      <c r="I12163" s="5" t="s">
        <v>31</v>
      </c>
      <c r="J12163" s="5">
        <v>17.415000393515999</v>
      </c>
      <c r="K12163" s="5">
        <v>-95.945602491990002</v>
      </c>
      <c r="L12163" s="5" t="str">
        <f>HYPERLINK("https://maps.google.com/?q=17.4150003935161,-95.945602491989703", "🔗 Ver Mapa")</f>
        <v>🔗 Ver Mapa</v>
      </c>
    </row>
    <row r="12164" spans="1:12" ht="43.5" x14ac:dyDescent="0.35">
      <c r="A12164" s="6" t="s">
        <v>98</v>
      </c>
      <c r="B12164" s="6" t="s">
        <v>99</v>
      </c>
      <c r="C12164" s="6" t="s">
        <v>2412</v>
      </c>
      <c r="D12164" s="6" t="s">
        <v>14</v>
      </c>
      <c r="E12164" s="6" t="s">
        <v>140</v>
      </c>
      <c r="F12164" s="6" t="s">
        <v>624</v>
      </c>
      <c r="G12164" s="6" t="s">
        <v>2063</v>
      </c>
      <c r="H12164" s="6" t="s">
        <v>2413</v>
      </c>
      <c r="I12164" s="6" t="s">
        <v>31</v>
      </c>
      <c r="J12164" s="6">
        <v>17.415286900691001</v>
      </c>
      <c r="K12164" s="6">
        <v>-95.950405140819996</v>
      </c>
      <c r="L12164" s="6" t="str">
        <f>HYPERLINK("https://maps.google.com/?q=17.4152869006907,-95.950405140820394", "🔗 Ver Mapa")</f>
        <v>🔗 Ver Mapa</v>
      </c>
    </row>
    <row r="12165" spans="1:12" ht="43.5" x14ac:dyDescent="0.35">
      <c r="A12165" s="5" t="s">
        <v>98</v>
      </c>
      <c r="B12165" s="5" t="s">
        <v>99</v>
      </c>
      <c r="C12165" s="5" t="s">
        <v>2412</v>
      </c>
      <c r="D12165" s="5" t="s">
        <v>14</v>
      </c>
      <c r="E12165" s="5" t="s">
        <v>140</v>
      </c>
      <c r="F12165" s="5" t="s">
        <v>624</v>
      </c>
      <c r="G12165" s="5" t="s">
        <v>2063</v>
      </c>
      <c r="H12165" s="5" t="s">
        <v>2413</v>
      </c>
      <c r="I12165" s="5" t="s">
        <v>31</v>
      </c>
      <c r="J12165" s="5">
        <v>17.415359035720002</v>
      </c>
      <c r="K12165" s="5">
        <v>-95.950532402251994</v>
      </c>
      <c r="L12165" s="5" t="str">
        <f>HYPERLINK("https://maps.google.com/?q=17.4153590357204,-95.950532402252307", "🔗 Ver Mapa")</f>
        <v>🔗 Ver Mapa</v>
      </c>
    </row>
    <row r="12166" spans="1:12" ht="43.5" x14ac:dyDescent="0.35">
      <c r="A12166" s="6" t="s">
        <v>98</v>
      </c>
      <c r="B12166" s="6" t="s">
        <v>99</v>
      </c>
      <c r="C12166" s="6" t="s">
        <v>2412</v>
      </c>
      <c r="D12166" s="6" t="s">
        <v>14</v>
      </c>
      <c r="E12166" s="6" t="s">
        <v>140</v>
      </c>
      <c r="F12166" s="6" t="s">
        <v>624</v>
      </c>
      <c r="G12166" s="6" t="s">
        <v>2063</v>
      </c>
      <c r="H12166" s="6" t="s">
        <v>2413</v>
      </c>
      <c r="I12166" s="6" t="s">
        <v>31</v>
      </c>
      <c r="J12166" s="6">
        <v>17.415606317279</v>
      </c>
      <c r="K12166" s="6">
        <v>-95.945536415888995</v>
      </c>
      <c r="L12166" s="6" t="str">
        <f>HYPERLINK("https://maps.google.com/?q=17.4156063172789,-95.945536415889407", "🔗 Ver Mapa")</f>
        <v>🔗 Ver Mapa</v>
      </c>
    </row>
    <row r="12167" spans="1:12" ht="43.5" x14ac:dyDescent="0.35">
      <c r="A12167" s="5" t="s">
        <v>98</v>
      </c>
      <c r="B12167" s="5" t="s">
        <v>99</v>
      </c>
      <c r="C12167" s="5" t="s">
        <v>2412</v>
      </c>
      <c r="D12167" s="5" t="s">
        <v>14</v>
      </c>
      <c r="E12167" s="5" t="s">
        <v>140</v>
      </c>
      <c r="F12167" s="5" t="s">
        <v>624</v>
      </c>
      <c r="G12167" s="5" t="s">
        <v>2063</v>
      </c>
      <c r="H12167" s="5" t="s">
        <v>2413</v>
      </c>
      <c r="I12167" s="5" t="s">
        <v>31</v>
      </c>
      <c r="J12167" s="5">
        <v>17.41561891225</v>
      </c>
      <c r="K12167" s="5">
        <v>-95.946253037519995</v>
      </c>
      <c r="L12167" s="5" t="str">
        <f>HYPERLINK("https://maps.google.com/?q=17.4156189122503,-95.946253037519796", "🔗 Ver Mapa")</f>
        <v>🔗 Ver Mapa</v>
      </c>
    </row>
    <row r="12168" spans="1:12" ht="43.5" x14ac:dyDescent="0.35">
      <c r="A12168" s="6" t="s">
        <v>98</v>
      </c>
      <c r="B12168" s="6" t="s">
        <v>99</v>
      </c>
      <c r="C12168" s="6" t="s">
        <v>2412</v>
      </c>
      <c r="D12168" s="6" t="s">
        <v>14</v>
      </c>
      <c r="E12168" s="6" t="s">
        <v>140</v>
      </c>
      <c r="F12168" s="6" t="s">
        <v>624</v>
      </c>
      <c r="G12168" s="6" t="s">
        <v>2063</v>
      </c>
      <c r="H12168" s="6" t="s">
        <v>2413</v>
      </c>
      <c r="I12168" s="6" t="s">
        <v>31</v>
      </c>
      <c r="J12168" s="6">
        <v>17.415692043002</v>
      </c>
      <c r="K12168" s="6">
        <v>-95.950185588438003</v>
      </c>
      <c r="L12168" s="6" t="str">
        <f>HYPERLINK("https://maps.google.com/?q=17.4156920430021,-95.950185588438202", "🔗 Ver Mapa")</f>
        <v>🔗 Ver Mapa</v>
      </c>
    </row>
    <row r="12169" spans="1:12" ht="43.5" x14ac:dyDescent="0.35">
      <c r="A12169" s="5" t="s">
        <v>98</v>
      </c>
      <c r="B12169" s="5" t="s">
        <v>99</v>
      </c>
      <c r="C12169" s="5" t="s">
        <v>2412</v>
      </c>
      <c r="D12169" s="5" t="s">
        <v>14</v>
      </c>
      <c r="E12169" s="5" t="s">
        <v>140</v>
      </c>
      <c r="F12169" s="5" t="s">
        <v>624</v>
      </c>
      <c r="G12169" s="5" t="s">
        <v>2063</v>
      </c>
      <c r="H12169" s="5" t="s">
        <v>2413</v>
      </c>
      <c r="I12169" s="5" t="s">
        <v>31</v>
      </c>
      <c r="J12169" s="5">
        <v>17.415702232971999</v>
      </c>
      <c r="K12169" s="5">
        <v>-95.947639833344994</v>
      </c>
      <c r="L12169" s="5" t="str">
        <f>HYPERLINK("https://maps.google.com/?q=17.4157022329718,-95.947639833344596", "🔗 Ver Mapa")</f>
        <v>🔗 Ver Mapa</v>
      </c>
    </row>
    <row r="12170" spans="1:12" ht="43.5" x14ac:dyDescent="0.35">
      <c r="A12170" s="6" t="s">
        <v>98</v>
      </c>
      <c r="B12170" s="6" t="s">
        <v>99</v>
      </c>
      <c r="C12170" s="6" t="s">
        <v>2412</v>
      </c>
      <c r="D12170" s="6" t="s">
        <v>14</v>
      </c>
      <c r="E12170" s="6" t="s">
        <v>140</v>
      </c>
      <c r="F12170" s="6" t="s">
        <v>624</v>
      </c>
      <c r="G12170" s="6" t="s">
        <v>2063</v>
      </c>
      <c r="H12170" s="6" t="s">
        <v>2413</v>
      </c>
      <c r="I12170" s="6" t="s">
        <v>31</v>
      </c>
      <c r="J12170" s="6">
        <v>17.415826176104002</v>
      </c>
      <c r="K12170" s="6">
        <v>-95.949322585117997</v>
      </c>
      <c r="L12170" s="6" t="str">
        <f>HYPERLINK("https://maps.google.com/?q=17.415826176104,-95.949322585117898", "🔗 Ver Mapa")</f>
        <v>🔗 Ver Mapa</v>
      </c>
    </row>
    <row r="12171" spans="1:12" ht="43.5" x14ac:dyDescent="0.35">
      <c r="A12171" s="5" t="s">
        <v>98</v>
      </c>
      <c r="B12171" s="5" t="s">
        <v>99</v>
      </c>
      <c r="C12171" s="5" t="s">
        <v>2412</v>
      </c>
      <c r="D12171" s="5" t="s">
        <v>14</v>
      </c>
      <c r="E12171" s="5" t="s">
        <v>140</v>
      </c>
      <c r="F12171" s="5" t="s">
        <v>624</v>
      </c>
      <c r="G12171" s="5" t="s">
        <v>2063</v>
      </c>
      <c r="H12171" s="5" t="s">
        <v>2413</v>
      </c>
      <c r="I12171" s="5" t="s">
        <v>31</v>
      </c>
      <c r="J12171" s="5">
        <v>17.415899441914</v>
      </c>
      <c r="K12171" s="5">
        <v>-95.945553690512</v>
      </c>
      <c r="L12171" s="5" t="str">
        <f>HYPERLINK("https://maps.google.com/?q=17.4158994419141,-95.945553690512199", "🔗 Ver Mapa")</f>
        <v>🔗 Ver Mapa</v>
      </c>
    </row>
    <row r="12172" spans="1:12" ht="43.5" x14ac:dyDescent="0.35">
      <c r="A12172" s="6" t="s">
        <v>98</v>
      </c>
      <c r="B12172" s="6" t="s">
        <v>99</v>
      </c>
      <c r="C12172" s="6" t="s">
        <v>2412</v>
      </c>
      <c r="D12172" s="6" t="s">
        <v>14</v>
      </c>
      <c r="E12172" s="6" t="s">
        <v>140</v>
      </c>
      <c r="F12172" s="6" t="s">
        <v>624</v>
      </c>
      <c r="G12172" s="6" t="s">
        <v>2063</v>
      </c>
      <c r="H12172" s="6" t="s">
        <v>2413</v>
      </c>
      <c r="I12172" s="6" t="s">
        <v>31</v>
      </c>
      <c r="J12172" s="6">
        <v>17.415986873162002</v>
      </c>
      <c r="K12172" s="6">
        <v>-95.945816785736994</v>
      </c>
      <c r="L12172" s="6" t="str">
        <f>HYPERLINK("https://maps.google.com/?q=17.4159868731618,-95.945816785736596", "🔗 Ver Mapa")</f>
        <v>🔗 Ver Mapa</v>
      </c>
    </row>
    <row r="12173" spans="1:12" ht="43.5" x14ac:dyDescent="0.35">
      <c r="A12173" s="5" t="s">
        <v>98</v>
      </c>
      <c r="B12173" s="5" t="s">
        <v>99</v>
      </c>
      <c r="C12173" s="5" t="s">
        <v>2412</v>
      </c>
      <c r="D12173" s="5" t="s">
        <v>14</v>
      </c>
      <c r="E12173" s="5" t="s">
        <v>140</v>
      </c>
      <c r="F12173" s="5" t="s">
        <v>624</v>
      </c>
      <c r="G12173" s="5" t="s">
        <v>2063</v>
      </c>
      <c r="H12173" s="5" t="s">
        <v>2413</v>
      </c>
      <c r="I12173" s="5" t="s">
        <v>31</v>
      </c>
      <c r="J12173" s="5">
        <v>17.416060349298998</v>
      </c>
      <c r="K12173" s="5">
        <v>-95.943363775088997</v>
      </c>
      <c r="L12173" s="5" t="str">
        <f>HYPERLINK("https://maps.google.com/?q=17.4160603492994,-95.943363775088599", "🔗 Ver Mapa")</f>
        <v>🔗 Ver Mapa</v>
      </c>
    </row>
    <row r="12174" spans="1:12" ht="43.5" x14ac:dyDescent="0.35">
      <c r="A12174" s="6" t="s">
        <v>98</v>
      </c>
      <c r="B12174" s="6" t="s">
        <v>99</v>
      </c>
      <c r="C12174" s="6" t="s">
        <v>2412</v>
      </c>
      <c r="D12174" s="6" t="s">
        <v>14</v>
      </c>
      <c r="E12174" s="6" t="s">
        <v>140</v>
      </c>
      <c r="F12174" s="6" t="s">
        <v>624</v>
      </c>
      <c r="G12174" s="6" t="s">
        <v>2063</v>
      </c>
      <c r="H12174" s="6" t="s">
        <v>2413</v>
      </c>
      <c r="I12174" s="6" t="s">
        <v>31</v>
      </c>
      <c r="J12174" s="6">
        <v>17.416087992611001</v>
      </c>
      <c r="K12174" s="6">
        <v>-95.947592303685994</v>
      </c>
      <c r="L12174" s="6" t="str">
        <f>HYPERLINK("https://maps.google.com/?q=17.4160879926113,-95.947592303685894", "🔗 Ver Mapa")</f>
        <v>🔗 Ver Mapa</v>
      </c>
    </row>
    <row r="12175" spans="1:12" ht="43.5" x14ac:dyDescent="0.35">
      <c r="A12175" s="5" t="s">
        <v>98</v>
      </c>
      <c r="B12175" s="5" t="s">
        <v>99</v>
      </c>
      <c r="C12175" s="5" t="s">
        <v>2412</v>
      </c>
      <c r="D12175" s="5" t="s">
        <v>14</v>
      </c>
      <c r="E12175" s="5" t="s">
        <v>140</v>
      </c>
      <c r="F12175" s="5" t="s">
        <v>624</v>
      </c>
      <c r="G12175" s="5" t="s">
        <v>2063</v>
      </c>
      <c r="H12175" s="5" t="s">
        <v>2413</v>
      </c>
      <c r="I12175" s="5" t="s">
        <v>31</v>
      </c>
      <c r="J12175" s="5">
        <v>17.416117269937001</v>
      </c>
      <c r="K12175" s="5">
        <v>-95.949109451661002</v>
      </c>
      <c r="L12175" s="5" t="str">
        <f>HYPERLINK("https://maps.google.com/?q=17.4161172699368,-95.949109451660604", "🔗 Ver Mapa")</f>
        <v>🔗 Ver Mapa</v>
      </c>
    </row>
    <row r="12176" spans="1:12" ht="43.5" x14ac:dyDescent="0.35">
      <c r="A12176" s="6" t="s">
        <v>98</v>
      </c>
      <c r="B12176" s="6" t="s">
        <v>99</v>
      </c>
      <c r="C12176" s="6" t="s">
        <v>2412</v>
      </c>
      <c r="D12176" s="6" t="s">
        <v>14</v>
      </c>
      <c r="E12176" s="6" t="s">
        <v>140</v>
      </c>
      <c r="F12176" s="6" t="s">
        <v>624</v>
      </c>
      <c r="G12176" s="6" t="s">
        <v>2063</v>
      </c>
      <c r="H12176" s="6" t="s">
        <v>2413</v>
      </c>
      <c r="I12176" s="6" t="s">
        <v>31</v>
      </c>
      <c r="J12176" s="6">
        <v>17.416324667524002</v>
      </c>
      <c r="K12176" s="6">
        <v>-95.947705445159002</v>
      </c>
      <c r="L12176" s="6" t="str">
        <f>HYPERLINK("https://maps.google.com/?q=17.4163246675238,-95.9477054451594", "🔗 Ver Mapa")</f>
        <v>🔗 Ver Mapa</v>
      </c>
    </row>
    <row r="12177" spans="1:12" ht="43.5" x14ac:dyDescent="0.35">
      <c r="A12177" s="5" t="s">
        <v>98</v>
      </c>
      <c r="B12177" s="5" t="s">
        <v>99</v>
      </c>
      <c r="C12177" s="5" t="s">
        <v>2412</v>
      </c>
      <c r="D12177" s="5" t="s">
        <v>14</v>
      </c>
      <c r="E12177" s="5" t="s">
        <v>140</v>
      </c>
      <c r="F12177" s="5" t="s">
        <v>624</v>
      </c>
      <c r="G12177" s="5" t="s">
        <v>2063</v>
      </c>
      <c r="H12177" s="5" t="s">
        <v>2413</v>
      </c>
      <c r="I12177" s="5" t="s">
        <v>31</v>
      </c>
      <c r="J12177" s="5">
        <v>17.416536099567001</v>
      </c>
      <c r="K12177" s="5">
        <v>-95.948250375567</v>
      </c>
      <c r="L12177" s="5" t="str">
        <f>HYPERLINK("https://maps.google.com/?q=17.4165360995672,-95.948250375567198", "🔗 Ver Mapa")</f>
        <v>🔗 Ver Mapa</v>
      </c>
    </row>
    <row r="12178" spans="1:12" ht="43.5" x14ac:dyDescent="0.35">
      <c r="A12178" s="6" t="s">
        <v>98</v>
      </c>
      <c r="B12178" s="6" t="s">
        <v>99</v>
      </c>
      <c r="C12178" s="6" t="s">
        <v>2412</v>
      </c>
      <c r="D12178" s="6" t="s">
        <v>14</v>
      </c>
      <c r="E12178" s="6" t="s">
        <v>140</v>
      </c>
      <c r="F12178" s="6" t="s">
        <v>624</v>
      </c>
      <c r="G12178" s="6" t="s">
        <v>2063</v>
      </c>
      <c r="H12178" s="6" t="s">
        <v>2413</v>
      </c>
      <c r="I12178" s="6" t="s">
        <v>31</v>
      </c>
      <c r="J12178" s="6">
        <v>17.416536391592999</v>
      </c>
      <c r="K12178" s="6">
        <v>-95.944759986155006</v>
      </c>
      <c r="L12178" s="6" t="str">
        <f>HYPERLINK("https://maps.google.com/?q=17.4165363915932,-95.944759986155404", "🔗 Ver Mapa")</f>
        <v>🔗 Ver Mapa</v>
      </c>
    </row>
    <row r="12179" spans="1:12" ht="43.5" x14ac:dyDescent="0.35">
      <c r="A12179" s="5" t="s">
        <v>98</v>
      </c>
      <c r="B12179" s="5" t="s">
        <v>99</v>
      </c>
      <c r="C12179" s="5" t="s">
        <v>2412</v>
      </c>
      <c r="D12179" s="5" t="s">
        <v>14</v>
      </c>
      <c r="E12179" s="5" t="s">
        <v>140</v>
      </c>
      <c r="F12179" s="5" t="s">
        <v>624</v>
      </c>
      <c r="G12179" s="5" t="s">
        <v>2063</v>
      </c>
      <c r="H12179" s="5" t="s">
        <v>2413</v>
      </c>
      <c r="I12179" s="5" t="s">
        <v>31</v>
      </c>
      <c r="J12179" s="5">
        <v>17.416570165705998</v>
      </c>
      <c r="K12179" s="5">
        <v>-95.947241210940007</v>
      </c>
      <c r="L12179" s="5" t="str">
        <f>HYPERLINK("https://maps.google.com/?q=17.4165701657065,-95.947241210940007", "🔗 Ver Mapa")</f>
        <v>🔗 Ver Mapa</v>
      </c>
    </row>
    <row r="12180" spans="1:12" ht="43.5" x14ac:dyDescent="0.35">
      <c r="A12180" s="6" t="s">
        <v>98</v>
      </c>
      <c r="B12180" s="6" t="s">
        <v>99</v>
      </c>
      <c r="C12180" s="6" t="s">
        <v>2412</v>
      </c>
      <c r="D12180" s="6" t="s">
        <v>14</v>
      </c>
      <c r="E12180" s="6" t="s">
        <v>140</v>
      </c>
      <c r="F12180" s="6" t="s">
        <v>624</v>
      </c>
      <c r="G12180" s="6" t="s">
        <v>2063</v>
      </c>
      <c r="H12180" s="6" t="s">
        <v>2413</v>
      </c>
      <c r="I12180" s="6" t="s">
        <v>31</v>
      </c>
      <c r="J12180" s="6">
        <v>17.416587506648</v>
      </c>
      <c r="K12180" s="6">
        <v>-95.949909017070993</v>
      </c>
      <c r="L12180" s="6" t="str">
        <f>HYPERLINK("https://maps.google.com/?q=17.4165875066476,-95.949909017070595", "🔗 Ver Mapa")</f>
        <v>🔗 Ver Mapa</v>
      </c>
    </row>
    <row r="12181" spans="1:12" ht="43.5" x14ac:dyDescent="0.35">
      <c r="A12181" s="5" t="s">
        <v>98</v>
      </c>
      <c r="B12181" s="5" t="s">
        <v>99</v>
      </c>
      <c r="C12181" s="5" t="s">
        <v>2412</v>
      </c>
      <c r="D12181" s="5" t="s">
        <v>14</v>
      </c>
      <c r="E12181" s="5" t="s">
        <v>140</v>
      </c>
      <c r="F12181" s="5" t="s">
        <v>624</v>
      </c>
      <c r="G12181" s="5" t="s">
        <v>2063</v>
      </c>
      <c r="H12181" s="5" t="s">
        <v>2413</v>
      </c>
      <c r="I12181" s="5" t="s">
        <v>31</v>
      </c>
      <c r="J12181" s="5">
        <v>17.416682004152001</v>
      </c>
      <c r="K12181" s="5">
        <v>-95.947510241513996</v>
      </c>
      <c r="L12181" s="5" t="str">
        <f>HYPERLINK("https://maps.google.com/?q=17.4166820041523,-95.947510241513896", "🔗 Ver Mapa")</f>
        <v>🔗 Ver Mapa</v>
      </c>
    </row>
    <row r="12182" spans="1:12" ht="43.5" x14ac:dyDescent="0.35">
      <c r="A12182" s="6" t="s">
        <v>98</v>
      </c>
      <c r="B12182" s="6" t="s">
        <v>99</v>
      </c>
      <c r="C12182" s="6" t="s">
        <v>2412</v>
      </c>
      <c r="D12182" s="6" t="s">
        <v>14</v>
      </c>
      <c r="E12182" s="6" t="s">
        <v>140</v>
      </c>
      <c r="F12182" s="6" t="s">
        <v>624</v>
      </c>
      <c r="G12182" s="6" t="s">
        <v>2063</v>
      </c>
      <c r="H12182" s="6" t="s">
        <v>2413</v>
      </c>
      <c r="I12182" s="6" t="s">
        <v>31</v>
      </c>
      <c r="J12182" s="6">
        <v>17.416727885739</v>
      </c>
      <c r="K12182" s="6">
        <v>-95.944711066606004</v>
      </c>
      <c r="L12182" s="6" t="str">
        <f>HYPERLINK("https://maps.google.com/?q=17.4167278857394,-95.944711066606004", "🔗 Ver Mapa")</f>
        <v>🔗 Ver Mapa</v>
      </c>
    </row>
    <row r="12183" spans="1:12" ht="43.5" x14ac:dyDescent="0.35">
      <c r="A12183" s="5" t="s">
        <v>98</v>
      </c>
      <c r="B12183" s="5" t="s">
        <v>99</v>
      </c>
      <c r="C12183" s="5" t="s">
        <v>2412</v>
      </c>
      <c r="D12183" s="5" t="s">
        <v>14</v>
      </c>
      <c r="E12183" s="5" t="s">
        <v>140</v>
      </c>
      <c r="F12183" s="5" t="s">
        <v>624</v>
      </c>
      <c r="G12183" s="5" t="s">
        <v>2063</v>
      </c>
      <c r="H12183" s="5" t="s">
        <v>2413</v>
      </c>
      <c r="I12183" s="5" t="s">
        <v>31</v>
      </c>
      <c r="J12183" s="5">
        <v>17.416786993306001</v>
      </c>
      <c r="K12183" s="5">
        <v>-95.943455948164996</v>
      </c>
      <c r="L12183" s="5" t="str">
        <f>HYPERLINK("https://maps.google.com/?q=17.416786993306,-95.943455948164896", "🔗 Ver Mapa")</f>
        <v>🔗 Ver Mapa</v>
      </c>
    </row>
    <row r="12184" spans="1:12" ht="43.5" x14ac:dyDescent="0.35">
      <c r="A12184" s="6" t="s">
        <v>98</v>
      </c>
      <c r="B12184" s="6" t="s">
        <v>99</v>
      </c>
      <c r="C12184" s="6" t="s">
        <v>2412</v>
      </c>
      <c r="D12184" s="6" t="s">
        <v>14</v>
      </c>
      <c r="E12184" s="6" t="s">
        <v>140</v>
      </c>
      <c r="F12184" s="6" t="s">
        <v>624</v>
      </c>
      <c r="G12184" s="6" t="s">
        <v>2063</v>
      </c>
      <c r="H12184" s="6" t="s">
        <v>2413</v>
      </c>
      <c r="I12184" s="6" t="s">
        <v>31</v>
      </c>
      <c r="J12184" s="6">
        <v>17.416805147986</v>
      </c>
      <c r="K12184" s="6">
        <v>-95.945805166870002</v>
      </c>
      <c r="L12184" s="6" t="str">
        <f>HYPERLINK("https://maps.google.com/?q=17.4168051479857,-95.9458051668704", "🔗 Ver Mapa")</f>
        <v>🔗 Ver Mapa</v>
      </c>
    </row>
    <row r="12185" spans="1:12" ht="43.5" x14ac:dyDescent="0.35">
      <c r="A12185" s="5" t="s">
        <v>98</v>
      </c>
      <c r="B12185" s="5" t="s">
        <v>99</v>
      </c>
      <c r="C12185" s="5" t="s">
        <v>2412</v>
      </c>
      <c r="D12185" s="5" t="s">
        <v>14</v>
      </c>
      <c r="E12185" s="5" t="s">
        <v>140</v>
      </c>
      <c r="F12185" s="5" t="s">
        <v>624</v>
      </c>
      <c r="G12185" s="5" t="s">
        <v>2063</v>
      </c>
      <c r="H12185" s="5" t="s">
        <v>2413</v>
      </c>
      <c r="I12185" s="5" t="s">
        <v>31</v>
      </c>
      <c r="J12185" s="5">
        <v>17.416835518696999</v>
      </c>
      <c r="K12185" s="5">
        <v>-95.944089249409998</v>
      </c>
      <c r="L12185" s="5" t="str">
        <f>HYPERLINK("https://maps.google.com/?q=17.416835518697,-95.944089249410297", "🔗 Ver Mapa")</f>
        <v>🔗 Ver Mapa</v>
      </c>
    </row>
    <row r="12186" spans="1:12" ht="43.5" x14ac:dyDescent="0.35">
      <c r="A12186" s="6" t="s">
        <v>98</v>
      </c>
      <c r="B12186" s="6" t="s">
        <v>99</v>
      </c>
      <c r="C12186" s="6" t="s">
        <v>2412</v>
      </c>
      <c r="D12186" s="6" t="s">
        <v>14</v>
      </c>
      <c r="E12186" s="6" t="s">
        <v>140</v>
      </c>
      <c r="F12186" s="6" t="s">
        <v>624</v>
      </c>
      <c r="G12186" s="6" t="s">
        <v>2063</v>
      </c>
      <c r="H12186" s="6" t="s">
        <v>2413</v>
      </c>
      <c r="I12186" s="6" t="s">
        <v>31</v>
      </c>
      <c r="J12186" s="6">
        <v>17.416972392937002</v>
      </c>
      <c r="K12186" s="6">
        <v>-95.944868237311994</v>
      </c>
      <c r="L12186" s="6" t="str">
        <f>HYPERLINK("https://maps.google.com/?q=17.4169723929368,-95.944868237312207", "🔗 Ver Mapa")</f>
        <v>🔗 Ver Mapa</v>
      </c>
    </row>
    <row r="12187" spans="1:12" ht="43.5" x14ac:dyDescent="0.35">
      <c r="A12187" s="5" t="s">
        <v>98</v>
      </c>
      <c r="B12187" s="5" t="s">
        <v>99</v>
      </c>
      <c r="C12187" s="5" t="s">
        <v>2412</v>
      </c>
      <c r="D12187" s="5" t="s">
        <v>14</v>
      </c>
      <c r="E12187" s="5" t="s">
        <v>140</v>
      </c>
      <c r="F12187" s="5" t="s">
        <v>624</v>
      </c>
      <c r="G12187" s="5" t="s">
        <v>2063</v>
      </c>
      <c r="H12187" s="5" t="s">
        <v>2413</v>
      </c>
      <c r="I12187" s="5" t="s">
        <v>31</v>
      </c>
      <c r="J12187" s="5">
        <v>17.416980335857001</v>
      </c>
      <c r="K12187" s="5">
        <v>-95.949034787192005</v>
      </c>
      <c r="L12187" s="5" t="str">
        <f>HYPERLINK("https://maps.google.com/?q=17.4169803358572,-95.949034787192005", "🔗 Ver Mapa")</f>
        <v>🔗 Ver Mapa</v>
      </c>
    </row>
    <row r="12188" spans="1:12" ht="43.5" x14ac:dyDescent="0.35">
      <c r="A12188" s="6" t="s">
        <v>98</v>
      </c>
      <c r="B12188" s="6" t="s">
        <v>99</v>
      </c>
      <c r="C12188" s="6" t="s">
        <v>2412</v>
      </c>
      <c r="D12188" s="6" t="s">
        <v>14</v>
      </c>
      <c r="E12188" s="6" t="s">
        <v>140</v>
      </c>
      <c r="F12188" s="6" t="s">
        <v>624</v>
      </c>
      <c r="G12188" s="6" t="s">
        <v>2063</v>
      </c>
      <c r="H12188" s="6" t="s">
        <v>2413</v>
      </c>
      <c r="I12188" s="6" t="s">
        <v>31</v>
      </c>
      <c r="J12188" s="6">
        <v>17.417007591634</v>
      </c>
      <c r="K12188" s="6">
        <v>-95.948960526394998</v>
      </c>
      <c r="L12188" s="6" t="str">
        <f>HYPERLINK("https://maps.google.com/?q=17.4170075916344,-95.948960526395197", "🔗 Ver Mapa")</f>
        <v>🔗 Ver Mapa</v>
      </c>
    </row>
    <row r="12189" spans="1:12" ht="43.5" x14ac:dyDescent="0.35">
      <c r="A12189" s="5" t="s">
        <v>98</v>
      </c>
      <c r="B12189" s="5" t="s">
        <v>99</v>
      </c>
      <c r="C12189" s="5" t="s">
        <v>2412</v>
      </c>
      <c r="D12189" s="5" t="s">
        <v>14</v>
      </c>
      <c r="E12189" s="5" t="s">
        <v>140</v>
      </c>
      <c r="F12189" s="5" t="s">
        <v>624</v>
      </c>
      <c r="G12189" s="5" t="s">
        <v>2063</v>
      </c>
      <c r="H12189" s="5" t="s">
        <v>2413</v>
      </c>
      <c r="I12189" s="5" t="s">
        <v>31</v>
      </c>
      <c r="J12189" s="5">
        <v>17.417019357855999</v>
      </c>
      <c r="K12189" s="5">
        <v>-95.947642770632001</v>
      </c>
      <c r="L12189" s="5" t="str">
        <f>HYPERLINK("https://maps.google.com/?q=17.4170193578565,-95.9476427706321", "🔗 Ver Mapa")</f>
        <v>🔗 Ver Mapa</v>
      </c>
    </row>
    <row r="12190" spans="1:12" ht="43.5" x14ac:dyDescent="0.35">
      <c r="A12190" s="6" t="s">
        <v>98</v>
      </c>
      <c r="B12190" s="6" t="s">
        <v>99</v>
      </c>
      <c r="C12190" s="6" t="s">
        <v>2412</v>
      </c>
      <c r="D12190" s="6" t="s">
        <v>14</v>
      </c>
      <c r="E12190" s="6" t="s">
        <v>140</v>
      </c>
      <c r="F12190" s="6" t="s">
        <v>624</v>
      </c>
      <c r="G12190" s="6" t="s">
        <v>2063</v>
      </c>
      <c r="H12190" s="6" t="s">
        <v>2413</v>
      </c>
      <c r="I12190" s="6" t="s">
        <v>31</v>
      </c>
      <c r="J12190" s="6">
        <v>17.417160998825</v>
      </c>
      <c r="K12190" s="6">
        <v>-95.948637914548002</v>
      </c>
      <c r="L12190" s="6" t="str">
        <f>HYPERLINK("https://maps.google.com/?q=17.4171609988253,-95.948637914548499", "🔗 Ver Mapa")</f>
        <v>🔗 Ver Mapa</v>
      </c>
    </row>
    <row r="12191" spans="1:12" ht="43.5" x14ac:dyDescent="0.35">
      <c r="A12191" s="5" t="s">
        <v>98</v>
      </c>
      <c r="B12191" s="5" t="s">
        <v>99</v>
      </c>
      <c r="C12191" s="5" t="s">
        <v>2412</v>
      </c>
      <c r="D12191" s="5" t="s">
        <v>14</v>
      </c>
      <c r="E12191" s="5" t="s">
        <v>140</v>
      </c>
      <c r="F12191" s="5" t="s">
        <v>624</v>
      </c>
      <c r="G12191" s="5" t="s">
        <v>2063</v>
      </c>
      <c r="H12191" s="5" t="s">
        <v>2413</v>
      </c>
      <c r="I12191" s="5" t="s">
        <v>31</v>
      </c>
      <c r="J12191" s="5">
        <v>17.417217283736999</v>
      </c>
      <c r="K12191" s="5">
        <v>-95.950604510735005</v>
      </c>
      <c r="L12191" s="5" t="str">
        <f>HYPERLINK("https://maps.google.com/?q=17.4172172837373,-95.950604510734706", "🔗 Ver Mapa")</f>
        <v>🔗 Ver Mapa</v>
      </c>
    </row>
    <row r="12192" spans="1:12" ht="43.5" x14ac:dyDescent="0.35">
      <c r="A12192" s="6" t="s">
        <v>98</v>
      </c>
      <c r="B12192" s="6" t="s">
        <v>99</v>
      </c>
      <c r="C12192" s="6" t="s">
        <v>2412</v>
      </c>
      <c r="D12192" s="6" t="s">
        <v>14</v>
      </c>
      <c r="E12192" s="6" t="s">
        <v>140</v>
      </c>
      <c r="F12192" s="6" t="s">
        <v>624</v>
      </c>
      <c r="G12192" s="6" t="s">
        <v>2063</v>
      </c>
      <c r="H12192" s="6" t="s">
        <v>2413</v>
      </c>
      <c r="I12192" s="6" t="s">
        <v>31</v>
      </c>
      <c r="J12192" s="6">
        <v>17.417276195180001</v>
      </c>
      <c r="K12192" s="6">
        <v>-95.945606362931997</v>
      </c>
      <c r="L12192" s="6" t="str">
        <f>HYPERLINK("https://maps.google.com/?q=17.4172761951801,-95.945606362931898", "🔗 Ver Mapa")</f>
        <v>🔗 Ver Mapa</v>
      </c>
    </row>
    <row r="12193" spans="1:12" ht="43.5" x14ac:dyDescent="0.35">
      <c r="A12193" s="5" t="s">
        <v>98</v>
      </c>
      <c r="B12193" s="5" t="s">
        <v>99</v>
      </c>
      <c r="C12193" s="5" t="s">
        <v>2412</v>
      </c>
      <c r="D12193" s="5" t="s">
        <v>14</v>
      </c>
      <c r="E12193" s="5" t="s">
        <v>140</v>
      </c>
      <c r="F12193" s="5" t="s">
        <v>624</v>
      </c>
      <c r="G12193" s="5" t="s">
        <v>2063</v>
      </c>
      <c r="H12193" s="5" t="s">
        <v>2413</v>
      </c>
      <c r="I12193" s="5" t="s">
        <v>31</v>
      </c>
      <c r="J12193" s="5">
        <v>17.417276300436001</v>
      </c>
      <c r="K12193" s="5">
        <v>-95.944354884098004</v>
      </c>
      <c r="L12193" s="5" t="str">
        <f>HYPERLINK("https://maps.google.com/?q=17.417276300436,-95.944354884098303", "🔗 Ver Mapa")</f>
        <v>🔗 Ver Mapa</v>
      </c>
    </row>
    <row r="12194" spans="1:12" ht="43.5" x14ac:dyDescent="0.35">
      <c r="A12194" s="6" t="s">
        <v>98</v>
      </c>
      <c r="B12194" s="6" t="s">
        <v>99</v>
      </c>
      <c r="C12194" s="6" t="s">
        <v>2412</v>
      </c>
      <c r="D12194" s="6" t="s">
        <v>14</v>
      </c>
      <c r="E12194" s="6" t="s">
        <v>140</v>
      </c>
      <c r="F12194" s="6" t="s">
        <v>624</v>
      </c>
      <c r="G12194" s="6" t="s">
        <v>2063</v>
      </c>
      <c r="H12194" s="6" t="s">
        <v>2413</v>
      </c>
      <c r="I12194" s="6" t="s">
        <v>31</v>
      </c>
      <c r="J12194" s="6">
        <v>17.417301028493998</v>
      </c>
      <c r="K12194" s="6">
        <v>-95.951060395903994</v>
      </c>
      <c r="L12194" s="6" t="str">
        <f>HYPERLINK("https://maps.google.com/?q=17.4173010284941,-95.951060395904193", "🔗 Ver Mapa")</f>
        <v>🔗 Ver Mapa</v>
      </c>
    </row>
    <row r="12195" spans="1:12" ht="43.5" x14ac:dyDescent="0.35">
      <c r="A12195" s="5" t="s">
        <v>98</v>
      </c>
      <c r="B12195" s="5" t="s">
        <v>99</v>
      </c>
      <c r="C12195" s="5" t="s">
        <v>2412</v>
      </c>
      <c r="D12195" s="5" t="s">
        <v>14</v>
      </c>
      <c r="E12195" s="5" t="s">
        <v>140</v>
      </c>
      <c r="F12195" s="5" t="s">
        <v>624</v>
      </c>
      <c r="G12195" s="5" t="s">
        <v>2063</v>
      </c>
      <c r="H12195" s="5" t="s">
        <v>2413</v>
      </c>
      <c r="I12195" s="5" t="s">
        <v>31</v>
      </c>
      <c r="J12195" s="5">
        <v>17.41730922615</v>
      </c>
      <c r="K12195" s="5">
        <v>-95.950436844202997</v>
      </c>
      <c r="L12195" s="5" t="str">
        <f>HYPERLINK("https://maps.google.com/?q=17.4173092261501,-95.950436844202997", "🔗 Ver Mapa")</f>
        <v>🔗 Ver Mapa</v>
      </c>
    </row>
    <row r="12196" spans="1:12" ht="43.5" x14ac:dyDescent="0.35">
      <c r="A12196" s="6" t="s">
        <v>98</v>
      </c>
      <c r="B12196" s="6" t="s">
        <v>99</v>
      </c>
      <c r="C12196" s="6" t="s">
        <v>2412</v>
      </c>
      <c r="D12196" s="6" t="s">
        <v>14</v>
      </c>
      <c r="E12196" s="6" t="s">
        <v>140</v>
      </c>
      <c r="F12196" s="6" t="s">
        <v>624</v>
      </c>
      <c r="G12196" s="6" t="s">
        <v>2063</v>
      </c>
      <c r="H12196" s="6" t="s">
        <v>2413</v>
      </c>
      <c r="I12196" s="6" t="s">
        <v>31</v>
      </c>
      <c r="J12196" s="6">
        <v>17.417479017563</v>
      </c>
      <c r="K12196" s="6">
        <v>-95.951912122593001</v>
      </c>
      <c r="L12196" s="6" t="str">
        <f>HYPERLINK("https://maps.google.com/?q=17.4174790175626,-95.951912122593498", "🔗 Ver Mapa")</f>
        <v>🔗 Ver Mapa</v>
      </c>
    </row>
    <row r="12197" spans="1:12" ht="43.5" x14ac:dyDescent="0.35">
      <c r="A12197" s="5" t="s">
        <v>98</v>
      </c>
      <c r="B12197" s="5" t="s">
        <v>99</v>
      </c>
      <c r="C12197" s="5" t="s">
        <v>2412</v>
      </c>
      <c r="D12197" s="5" t="s">
        <v>14</v>
      </c>
      <c r="E12197" s="5" t="s">
        <v>140</v>
      </c>
      <c r="F12197" s="5" t="s">
        <v>624</v>
      </c>
      <c r="G12197" s="5" t="s">
        <v>2063</v>
      </c>
      <c r="H12197" s="5" t="s">
        <v>2413</v>
      </c>
      <c r="I12197" s="5" t="s">
        <v>31</v>
      </c>
      <c r="J12197" s="5">
        <v>17.417503015743002</v>
      </c>
      <c r="K12197" s="5">
        <v>-95.948126373354</v>
      </c>
      <c r="L12197" s="5" t="str">
        <f>HYPERLINK("https://maps.google.com/?q=17.4175030157433,-95.948126373353801", "🔗 Ver Mapa")</f>
        <v>🔗 Ver Mapa</v>
      </c>
    </row>
    <row r="12198" spans="1:12" ht="43.5" x14ac:dyDescent="0.35">
      <c r="A12198" s="6" t="s">
        <v>98</v>
      </c>
      <c r="B12198" s="6" t="s">
        <v>99</v>
      </c>
      <c r="C12198" s="6" t="s">
        <v>2412</v>
      </c>
      <c r="D12198" s="6" t="s">
        <v>14</v>
      </c>
      <c r="E12198" s="6" t="s">
        <v>140</v>
      </c>
      <c r="F12198" s="6" t="s">
        <v>624</v>
      </c>
      <c r="G12198" s="6" t="s">
        <v>2063</v>
      </c>
      <c r="H12198" s="6" t="s">
        <v>2413</v>
      </c>
      <c r="I12198" s="6" t="s">
        <v>31</v>
      </c>
      <c r="J12198" s="6">
        <v>17.417531846747998</v>
      </c>
      <c r="K12198" s="6">
        <v>-95.948552453597998</v>
      </c>
      <c r="L12198" s="6" t="str">
        <f>HYPERLINK("https://maps.google.com/?q=17.4175318467477,-95.948552453598197", "🔗 Ver Mapa")</f>
        <v>🔗 Ver Mapa</v>
      </c>
    </row>
    <row r="12199" spans="1:12" ht="43.5" x14ac:dyDescent="0.35">
      <c r="A12199" s="5" t="s">
        <v>98</v>
      </c>
      <c r="B12199" s="5" t="s">
        <v>99</v>
      </c>
      <c r="C12199" s="5" t="s">
        <v>2412</v>
      </c>
      <c r="D12199" s="5" t="s">
        <v>14</v>
      </c>
      <c r="E12199" s="5" t="s">
        <v>140</v>
      </c>
      <c r="F12199" s="5" t="s">
        <v>624</v>
      </c>
      <c r="G12199" s="5" t="s">
        <v>2063</v>
      </c>
      <c r="H12199" s="5" t="s">
        <v>2413</v>
      </c>
      <c r="I12199" s="5" t="s">
        <v>31</v>
      </c>
      <c r="J12199" s="5">
        <v>17.417632453227</v>
      </c>
      <c r="K12199" s="5">
        <v>-95.945459374519004</v>
      </c>
      <c r="L12199" s="5" t="str">
        <f>HYPERLINK("https://maps.google.com/?q=17.4176324532273,-95.945459374518506", "🔗 Ver Mapa")</f>
        <v>🔗 Ver Mapa</v>
      </c>
    </row>
    <row r="12200" spans="1:12" ht="43.5" x14ac:dyDescent="0.35">
      <c r="A12200" s="6" t="s">
        <v>98</v>
      </c>
      <c r="B12200" s="6" t="s">
        <v>99</v>
      </c>
      <c r="C12200" s="6" t="s">
        <v>2412</v>
      </c>
      <c r="D12200" s="6" t="s">
        <v>14</v>
      </c>
      <c r="E12200" s="6" t="s">
        <v>140</v>
      </c>
      <c r="F12200" s="6" t="s">
        <v>624</v>
      </c>
      <c r="G12200" s="6" t="s">
        <v>2063</v>
      </c>
      <c r="H12200" s="6" t="s">
        <v>2413</v>
      </c>
      <c r="I12200" s="6" t="s">
        <v>31</v>
      </c>
      <c r="J12200" s="6">
        <v>17.417699863477001</v>
      </c>
      <c r="K12200" s="6">
        <v>-95.947820242323999</v>
      </c>
      <c r="L12200" s="6" t="str">
        <f>HYPERLINK("https://maps.google.com/?q=17.4176998634773,-95.9478202423239", "🔗 Ver Mapa")</f>
        <v>🔗 Ver Mapa</v>
      </c>
    </row>
    <row r="12201" spans="1:12" ht="43.5" x14ac:dyDescent="0.35">
      <c r="A12201" s="5" t="s">
        <v>98</v>
      </c>
      <c r="B12201" s="5" t="s">
        <v>99</v>
      </c>
      <c r="C12201" s="5" t="s">
        <v>2412</v>
      </c>
      <c r="D12201" s="5" t="s">
        <v>14</v>
      </c>
      <c r="E12201" s="5" t="s">
        <v>140</v>
      </c>
      <c r="F12201" s="5" t="s">
        <v>624</v>
      </c>
      <c r="G12201" s="5" t="s">
        <v>2063</v>
      </c>
      <c r="H12201" s="5" t="s">
        <v>2413</v>
      </c>
      <c r="I12201" s="5" t="s">
        <v>31</v>
      </c>
      <c r="J12201" s="5">
        <v>17.417742460275001</v>
      </c>
      <c r="K12201" s="5">
        <v>-95.947254461008995</v>
      </c>
      <c r="L12201" s="5" t="str">
        <f>HYPERLINK("https://maps.google.com/?q=17.4177424602754,-95.947254461008598", "🔗 Ver Mapa")</f>
        <v>🔗 Ver Mapa</v>
      </c>
    </row>
    <row r="12202" spans="1:12" ht="43.5" x14ac:dyDescent="0.35">
      <c r="A12202" s="6" t="s">
        <v>98</v>
      </c>
      <c r="B12202" s="6" t="s">
        <v>99</v>
      </c>
      <c r="C12202" s="6" t="s">
        <v>2412</v>
      </c>
      <c r="D12202" s="6" t="s">
        <v>14</v>
      </c>
      <c r="E12202" s="6" t="s">
        <v>140</v>
      </c>
      <c r="F12202" s="6" t="s">
        <v>624</v>
      </c>
      <c r="G12202" s="6" t="s">
        <v>2063</v>
      </c>
      <c r="H12202" s="6" t="s">
        <v>2413</v>
      </c>
      <c r="I12202" s="6" t="s">
        <v>31</v>
      </c>
      <c r="J12202" s="6">
        <v>17.417749776457001</v>
      </c>
      <c r="K12202" s="6">
        <v>-95.950180059982998</v>
      </c>
      <c r="L12202" s="6" t="str">
        <f>HYPERLINK("https://maps.google.com/?q=17.4177497764567,-95.950180059983097", "🔗 Ver Mapa")</f>
        <v>🔗 Ver Mapa</v>
      </c>
    </row>
    <row r="12203" spans="1:12" ht="43.5" x14ac:dyDescent="0.35">
      <c r="A12203" s="5" t="s">
        <v>98</v>
      </c>
      <c r="B12203" s="5" t="s">
        <v>99</v>
      </c>
      <c r="C12203" s="5" t="s">
        <v>2412</v>
      </c>
      <c r="D12203" s="5" t="s">
        <v>14</v>
      </c>
      <c r="E12203" s="5" t="s">
        <v>140</v>
      </c>
      <c r="F12203" s="5" t="s">
        <v>624</v>
      </c>
      <c r="G12203" s="5" t="s">
        <v>2063</v>
      </c>
      <c r="H12203" s="5" t="s">
        <v>2413</v>
      </c>
      <c r="I12203" s="5" t="s">
        <v>31</v>
      </c>
      <c r="J12203" s="5">
        <v>17.417779614655998</v>
      </c>
      <c r="K12203" s="5">
        <v>-95.947863658459994</v>
      </c>
      <c r="L12203" s="5" t="str">
        <f>HYPERLINK("https://maps.google.com/?q=17.4177796146557,-95.947863658459994", "🔗 Ver Mapa")</f>
        <v>🔗 Ver Mapa</v>
      </c>
    </row>
    <row r="12204" spans="1:12" ht="43.5" x14ac:dyDescent="0.35">
      <c r="A12204" s="6" t="s">
        <v>98</v>
      </c>
      <c r="B12204" s="6" t="s">
        <v>99</v>
      </c>
      <c r="C12204" s="6" t="s">
        <v>2412</v>
      </c>
      <c r="D12204" s="6" t="s">
        <v>14</v>
      </c>
      <c r="E12204" s="6" t="s">
        <v>140</v>
      </c>
      <c r="F12204" s="6" t="s">
        <v>624</v>
      </c>
      <c r="G12204" s="6" t="s">
        <v>2063</v>
      </c>
      <c r="H12204" s="6" t="s">
        <v>2413</v>
      </c>
      <c r="I12204" s="6" t="s">
        <v>31</v>
      </c>
      <c r="J12204" s="6">
        <v>17.417819635562001</v>
      </c>
      <c r="K12204" s="6">
        <v>-95.944537753076006</v>
      </c>
      <c r="L12204" s="6" t="str">
        <f>HYPERLINK("https://maps.google.com/?q=17.4178196355619,-95.944537753075707", "🔗 Ver Mapa")</f>
        <v>🔗 Ver Mapa</v>
      </c>
    </row>
    <row r="12205" spans="1:12" ht="43.5" x14ac:dyDescent="0.35">
      <c r="A12205" s="5" t="s">
        <v>98</v>
      </c>
      <c r="B12205" s="5" t="s">
        <v>99</v>
      </c>
      <c r="C12205" s="5" t="s">
        <v>2412</v>
      </c>
      <c r="D12205" s="5" t="s">
        <v>14</v>
      </c>
      <c r="E12205" s="5" t="s">
        <v>140</v>
      </c>
      <c r="F12205" s="5" t="s">
        <v>624</v>
      </c>
      <c r="G12205" s="5" t="s">
        <v>2063</v>
      </c>
      <c r="H12205" s="5" t="s">
        <v>2413</v>
      </c>
      <c r="I12205" s="5" t="s">
        <v>31</v>
      </c>
      <c r="J12205" s="5">
        <v>17.417881033421999</v>
      </c>
      <c r="K12205" s="5">
        <v>-95.951594467595996</v>
      </c>
      <c r="L12205" s="5" t="str">
        <f>HYPERLINK("https://maps.google.com/?q=17.4178810334218,-95.951594467596394", "🔗 Ver Mapa")</f>
        <v>🔗 Ver Mapa</v>
      </c>
    </row>
    <row r="12206" spans="1:12" ht="43.5" x14ac:dyDescent="0.35">
      <c r="A12206" s="6" t="s">
        <v>98</v>
      </c>
      <c r="B12206" s="6" t="s">
        <v>99</v>
      </c>
      <c r="C12206" s="6" t="s">
        <v>2412</v>
      </c>
      <c r="D12206" s="6" t="s">
        <v>14</v>
      </c>
      <c r="E12206" s="6" t="s">
        <v>140</v>
      </c>
      <c r="F12206" s="6" t="s">
        <v>624</v>
      </c>
      <c r="G12206" s="6" t="s">
        <v>2063</v>
      </c>
      <c r="H12206" s="6" t="s">
        <v>2413</v>
      </c>
      <c r="I12206" s="6" t="s">
        <v>31</v>
      </c>
      <c r="J12206" s="6">
        <v>17.417972812595998</v>
      </c>
      <c r="K12206" s="6">
        <v>-95.951933407102004</v>
      </c>
      <c r="L12206" s="6" t="str">
        <f>HYPERLINK("https://maps.google.com/?q=17.4179728125965,-95.951933407102104", "🔗 Ver Mapa")</f>
        <v>🔗 Ver Mapa</v>
      </c>
    </row>
    <row r="12207" spans="1:12" ht="43.5" x14ac:dyDescent="0.35">
      <c r="A12207" s="5" t="s">
        <v>98</v>
      </c>
      <c r="B12207" s="5" t="s">
        <v>99</v>
      </c>
      <c r="C12207" s="5" t="s">
        <v>2412</v>
      </c>
      <c r="D12207" s="5" t="s">
        <v>14</v>
      </c>
      <c r="E12207" s="5" t="s">
        <v>140</v>
      </c>
      <c r="F12207" s="5" t="s">
        <v>624</v>
      </c>
      <c r="G12207" s="5" t="s">
        <v>2063</v>
      </c>
      <c r="H12207" s="5" t="s">
        <v>2413</v>
      </c>
      <c r="I12207" s="5" t="s">
        <v>31</v>
      </c>
      <c r="J12207" s="5">
        <v>17.418014215907998</v>
      </c>
      <c r="K12207" s="5">
        <v>-95.950743403231996</v>
      </c>
      <c r="L12207" s="5" t="str">
        <f>HYPERLINK("https://maps.google.com/?q=17.4180142159085,-95.950743403231797", "🔗 Ver Mapa")</f>
        <v>🔗 Ver Mapa</v>
      </c>
    </row>
    <row r="12208" spans="1:12" ht="43.5" x14ac:dyDescent="0.35">
      <c r="A12208" s="6" t="s">
        <v>98</v>
      </c>
      <c r="B12208" s="6" t="s">
        <v>99</v>
      </c>
      <c r="C12208" s="6" t="s">
        <v>2412</v>
      </c>
      <c r="D12208" s="6" t="s">
        <v>14</v>
      </c>
      <c r="E12208" s="6" t="s">
        <v>140</v>
      </c>
      <c r="F12208" s="6" t="s">
        <v>624</v>
      </c>
      <c r="G12208" s="6" t="s">
        <v>2063</v>
      </c>
      <c r="H12208" s="6" t="s">
        <v>2413</v>
      </c>
      <c r="I12208" s="6" t="s">
        <v>31</v>
      </c>
      <c r="J12208" s="6">
        <v>17.418129910407998</v>
      </c>
      <c r="K12208" s="6">
        <v>-95.946203287185995</v>
      </c>
      <c r="L12208" s="6" t="str">
        <f>HYPERLINK("https://maps.google.com/?q=17.4181299104077,-95.946203287185696", "🔗 Ver Mapa")</f>
        <v>🔗 Ver Mapa</v>
      </c>
    </row>
    <row r="12209" spans="1:12" ht="43.5" x14ac:dyDescent="0.35">
      <c r="A12209" s="5" t="s">
        <v>98</v>
      </c>
      <c r="B12209" s="5" t="s">
        <v>99</v>
      </c>
      <c r="C12209" s="5" t="s">
        <v>2412</v>
      </c>
      <c r="D12209" s="5" t="s">
        <v>14</v>
      </c>
      <c r="E12209" s="5" t="s">
        <v>140</v>
      </c>
      <c r="F12209" s="5" t="s">
        <v>624</v>
      </c>
      <c r="G12209" s="5" t="s">
        <v>2063</v>
      </c>
      <c r="H12209" s="5" t="s">
        <v>2413</v>
      </c>
      <c r="I12209" s="5" t="s">
        <v>31</v>
      </c>
      <c r="J12209" s="5">
        <v>17.418162802305002</v>
      </c>
      <c r="K12209" s="5">
        <v>-95.949816081677</v>
      </c>
      <c r="L12209" s="5" t="str">
        <f>HYPERLINK("https://maps.google.com/?q=17.4181628023048,-95.949816081676701", "🔗 Ver Mapa")</f>
        <v>🔗 Ver Mapa</v>
      </c>
    </row>
    <row r="12210" spans="1:12" ht="43.5" x14ac:dyDescent="0.35">
      <c r="A12210" s="6" t="s">
        <v>98</v>
      </c>
      <c r="B12210" s="6" t="s">
        <v>99</v>
      </c>
      <c r="C12210" s="6" t="s">
        <v>2412</v>
      </c>
      <c r="D12210" s="6" t="s">
        <v>14</v>
      </c>
      <c r="E12210" s="6" t="s">
        <v>140</v>
      </c>
      <c r="F12210" s="6" t="s">
        <v>624</v>
      </c>
      <c r="G12210" s="6" t="s">
        <v>2063</v>
      </c>
      <c r="H12210" s="6" t="s">
        <v>2413</v>
      </c>
      <c r="I12210" s="6" t="s">
        <v>31</v>
      </c>
      <c r="J12210" s="6">
        <v>17.418163587622001</v>
      </c>
      <c r="K12210" s="6">
        <v>-95.950107679623002</v>
      </c>
      <c r="L12210" s="6" t="str">
        <f>HYPERLINK("https://maps.google.com/?q=17.4181635876224,-95.950107679622803", "🔗 Ver Mapa")</f>
        <v>🔗 Ver Mapa</v>
      </c>
    </row>
    <row r="12211" spans="1:12" ht="43.5" x14ac:dyDescent="0.35">
      <c r="A12211" s="5" t="s">
        <v>98</v>
      </c>
      <c r="B12211" s="5" t="s">
        <v>99</v>
      </c>
      <c r="C12211" s="5" t="s">
        <v>2412</v>
      </c>
      <c r="D12211" s="5" t="s">
        <v>14</v>
      </c>
      <c r="E12211" s="5" t="s">
        <v>140</v>
      </c>
      <c r="F12211" s="5" t="s">
        <v>624</v>
      </c>
      <c r="G12211" s="5" t="s">
        <v>2063</v>
      </c>
      <c r="H12211" s="5" t="s">
        <v>2413</v>
      </c>
      <c r="I12211" s="5" t="s">
        <v>31</v>
      </c>
      <c r="J12211" s="5">
        <v>17.418301070072999</v>
      </c>
      <c r="K12211" s="5">
        <v>-95.950804796396</v>
      </c>
      <c r="L12211" s="5" t="str">
        <f>HYPERLINK("https://maps.google.com/?q=17.4183010700731,-95.950804796395801", "🔗 Ver Mapa")</f>
        <v>🔗 Ver Mapa</v>
      </c>
    </row>
    <row r="12212" spans="1:12" ht="43.5" x14ac:dyDescent="0.35">
      <c r="A12212" s="6" t="s">
        <v>98</v>
      </c>
      <c r="B12212" s="6" t="s">
        <v>99</v>
      </c>
      <c r="C12212" s="6" t="s">
        <v>2412</v>
      </c>
      <c r="D12212" s="6" t="s">
        <v>14</v>
      </c>
      <c r="E12212" s="6" t="s">
        <v>140</v>
      </c>
      <c r="F12212" s="6" t="s">
        <v>624</v>
      </c>
      <c r="G12212" s="6" t="s">
        <v>2063</v>
      </c>
      <c r="H12212" s="6" t="s">
        <v>2413</v>
      </c>
      <c r="I12212" s="6" t="s">
        <v>31</v>
      </c>
      <c r="J12212" s="6">
        <v>17.418427547863001</v>
      </c>
      <c r="K12212" s="6">
        <v>-95.948972953012998</v>
      </c>
      <c r="L12212" s="6" t="str">
        <f>HYPERLINK("https://maps.google.com/?q=17.4184275478628,-95.948972953013396", "🔗 Ver Mapa")</f>
        <v>🔗 Ver Mapa</v>
      </c>
    </row>
    <row r="12213" spans="1:12" ht="43.5" x14ac:dyDescent="0.35">
      <c r="A12213" s="5" t="s">
        <v>98</v>
      </c>
      <c r="B12213" s="5" t="s">
        <v>99</v>
      </c>
      <c r="C12213" s="5" t="s">
        <v>2412</v>
      </c>
      <c r="D12213" s="5" t="s">
        <v>14</v>
      </c>
      <c r="E12213" s="5" t="s">
        <v>140</v>
      </c>
      <c r="F12213" s="5" t="s">
        <v>624</v>
      </c>
      <c r="G12213" s="5" t="s">
        <v>2063</v>
      </c>
      <c r="H12213" s="5" t="s">
        <v>2413</v>
      </c>
      <c r="I12213" s="5" t="s">
        <v>31</v>
      </c>
      <c r="J12213" s="5">
        <v>17.418429900067</v>
      </c>
      <c r="K12213" s="5">
        <v>-95.946474216517998</v>
      </c>
      <c r="L12213" s="5" t="str">
        <f>HYPERLINK("https://maps.google.com/?q=17.4184299000673,-95.946474216517899", "🔗 Ver Mapa")</f>
        <v>🔗 Ver Mapa</v>
      </c>
    </row>
    <row r="12214" spans="1:12" ht="43.5" x14ac:dyDescent="0.35">
      <c r="A12214" s="6" t="s">
        <v>98</v>
      </c>
      <c r="B12214" s="6" t="s">
        <v>99</v>
      </c>
      <c r="C12214" s="6" t="s">
        <v>2412</v>
      </c>
      <c r="D12214" s="6" t="s">
        <v>14</v>
      </c>
      <c r="E12214" s="6" t="s">
        <v>140</v>
      </c>
      <c r="F12214" s="6" t="s">
        <v>624</v>
      </c>
      <c r="G12214" s="6" t="s">
        <v>2063</v>
      </c>
      <c r="H12214" s="6" t="s">
        <v>2413</v>
      </c>
      <c r="I12214" s="6" t="s">
        <v>31</v>
      </c>
      <c r="J12214" s="6">
        <v>17.418473032847</v>
      </c>
      <c r="K12214" s="6">
        <v>-95.950139361774006</v>
      </c>
      <c r="L12214" s="6" t="str">
        <f>HYPERLINK("https://maps.google.com/?q=17.4184730328468,-95.950139361774205", "🔗 Ver Mapa")</f>
        <v>🔗 Ver Mapa</v>
      </c>
    </row>
    <row r="12215" spans="1:12" ht="43.5" x14ac:dyDescent="0.35">
      <c r="A12215" s="5" t="s">
        <v>98</v>
      </c>
      <c r="B12215" s="5" t="s">
        <v>99</v>
      </c>
      <c r="C12215" s="5" t="s">
        <v>2412</v>
      </c>
      <c r="D12215" s="5" t="s">
        <v>14</v>
      </c>
      <c r="E12215" s="5" t="s">
        <v>140</v>
      </c>
      <c r="F12215" s="5" t="s">
        <v>624</v>
      </c>
      <c r="G12215" s="5" t="s">
        <v>2063</v>
      </c>
      <c r="H12215" s="5" t="s">
        <v>2413</v>
      </c>
      <c r="I12215" s="5" t="s">
        <v>31</v>
      </c>
      <c r="J12215" s="5">
        <v>17.418531926840998</v>
      </c>
      <c r="K12215" s="5">
        <v>-95.951199795917006</v>
      </c>
      <c r="L12215" s="5" t="str">
        <f>HYPERLINK("https://maps.google.com/?q=17.4185319268413,-95.951199795916594", "🔗 Ver Mapa")</f>
        <v>🔗 Ver Mapa</v>
      </c>
    </row>
    <row r="12216" spans="1:12" ht="43.5" x14ac:dyDescent="0.35">
      <c r="A12216" s="6" t="s">
        <v>98</v>
      </c>
      <c r="B12216" s="6" t="s">
        <v>99</v>
      </c>
      <c r="C12216" s="6" t="s">
        <v>2412</v>
      </c>
      <c r="D12216" s="6" t="s">
        <v>14</v>
      </c>
      <c r="E12216" s="6" t="s">
        <v>140</v>
      </c>
      <c r="F12216" s="6" t="s">
        <v>624</v>
      </c>
      <c r="G12216" s="6" t="s">
        <v>2063</v>
      </c>
      <c r="H12216" s="6" t="s">
        <v>2413</v>
      </c>
      <c r="I12216" s="6" t="s">
        <v>31</v>
      </c>
      <c r="J12216" s="6">
        <v>17.41853534765</v>
      </c>
      <c r="K12216" s="6">
        <v>-95.948913510081994</v>
      </c>
      <c r="L12216" s="6" t="str">
        <f>HYPERLINK("https://maps.google.com/?q=17.4185353476503,-95.948913510082306", "🔗 Ver Mapa")</f>
        <v>🔗 Ver Mapa</v>
      </c>
    </row>
    <row r="12217" spans="1:12" ht="43.5" x14ac:dyDescent="0.35">
      <c r="A12217" s="5" t="s">
        <v>98</v>
      </c>
      <c r="B12217" s="5" t="s">
        <v>99</v>
      </c>
      <c r="C12217" s="5" t="s">
        <v>2412</v>
      </c>
      <c r="D12217" s="5" t="s">
        <v>14</v>
      </c>
      <c r="E12217" s="5" t="s">
        <v>140</v>
      </c>
      <c r="F12217" s="5" t="s">
        <v>624</v>
      </c>
      <c r="G12217" s="5" t="s">
        <v>2063</v>
      </c>
      <c r="H12217" s="5" t="s">
        <v>2413</v>
      </c>
      <c r="I12217" s="5" t="s">
        <v>31</v>
      </c>
      <c r="J12217" s="5">
        <v>17.418541266043</v>
      </c>
      <c r="K12217" s="5">
        <v>-95.946724182240004</v>
      </c>
      <c r="L12217" s="5" t="str">
        <f>HYPERLINK("https://maps.google.com/?q=17.4185412660434,-95.946724182239507", "🔗 Ver Mapa")</f>
        <v>🔗 Ver Mapa</v>
      </c>
    </row>
    <row r="12218" spans="1:12" ht="43.5" x14ac:dyDescent="0.35">
      <c r="A12218" s="6" t="s">
        <v>98</v>
      </c>
      <c r="B12218" s="6" t="s">
        <v>99</v>
      </c>
      <c r="C12218" s="6" t="s">
        <v>2412</v>
      </c>
      <c r="D12218" s="6" t="s">
        <v>14</v>
      </c>
      <c r="E12218" s="6" t="s">
        <v>140</v>
      </c>
      <c r="F12218" s="6" t="s">
        <v>624</v>
      </c>
      <c r="G12218" s="6" t="s">
        <v>2063</v>
      </c>
      <c r="H12218" s="6" t="s">
        <v>2413</v>
      </c>
      <c r="I12218" s="6" t="s">
        <v>31</v>
      </c>
      <c r="J12218" s="6">
        <v>17.418562463655999</v>
      </c>
      <c r="K12218" s="6">
        <v>-95.949984959684002</v>
      </c>
      <c r="L12218" s="6" t="str">
        <f>HYPERLINK("https://maps.google.com/?q=17.4185624636556,-95.949984959683704", "🔗 Ver Mapa")</f>
        <v>🔗 Ver Mapa</v>
      </c>
    </row>
    <row r="12219" spans="1:12" ht="43.5" x14ac:dyDescent="0.35">
      <c r="A12219" s="5" t="s">
        <v>98</v>
      </c>
      <c r="B12219" s="5" t="s">
        <v>99</v>
      </c>
      <c r="C12219" s="5" t="s">
        <v>2412</v>
      </c>
      <c r="D12219" s="5" t="s">
        <v>14</v>
      </c>
      <c r="E12219" s="5" t="s">
        <v>140</v>
      </c>
      <c r="F12219" s="5" t="s">
        <v>624</v>
      </c>
      <c r="G12219" s="5" t="s">
        <v>2063</v>
      </c>
      <c r="H12219" s="5" t="s">
        <v>2413</v>
      </c>
      <c r="I12219" s="5" t="s">
        <v>31</v>
      </c>
      <c r="J12219" s="5">
        <v>17.418576539320998</v>
      </c>
      <c r="K12219" s="5">
        <v>-95.949130676113001</v>
      </c>
      <c r="L12219" s="5" t="str">
        <f>HYPERLINK("https://maps.google.com/?q=17.4185765393211,-95.949130676112802", "🔗 Ver Mapa")</f>
        <v>🔗 Ver Mapa</v>
      </c>
    </row>
    <row r="12220" spans="1:12" ht="43.5" x14ac:dyDescent="0.35">
      <c r="A12220" s="6" t="s">
        <v>98</v>
      </c>
      <c r="B12220" s="6" t="s">
        <v>99</v>
      </c>
      <c r="C12220" s="6" t="s">
        <v>2412</v>
      </c>
      <c r="D12220" s="6" t="s">
        <v>14</v>
      </c>
      <c r="E12220" s="6" t="s">
        <v>140</v>
      </c>
      <c r="F12220" s="6" t="s">
        <v>624</v>
      </c>
      <c r="G12220" s="6" t="s">
        <v>2063</v>
      </c>
      <c r="H12220" s="6" t="s">
        <v>2413</v>
      </c>
      <c r="I12220" s="6" t="s">
        <v>31</v>
      </c>
      <c r="J12220" s="6">
        <v>17.418595407725</v>
      </c>
      <c r="K12220" s="6">
        <v>-95.950677472928007</v>
      </c>
      <c r="L12220" s="6" t="str">
        <f>HYPERLINK("https://maps.google.com/?q=17.4185954077247,-95.950677472928106", "🔗 Ver Mapa")</f>
        <v>🔗 Ver Mapa</v>
      </c>
    </row>
    <row r="12221" spans="1:12" ht="43.5" x14ac:dyDescent="0.35">
      <c r="A12221" s="5" t="s">
        <v>98</v>
      </c>
      <c r="B12221" s="5" t="s">
        <v>99</v>
      </c>
      <c r="C12221" s="5" t="s">
        <v>2412</v>
      </c>
      <c r="D12221" s="5" t="s">
        <v>14</v>
      </c>
      <c r="E12221" s="5" t="s">
        <v>140</v>
      </c>
      <c r="F12221" s="5" t="s">
        <v>624</v>
      </c>
      <c r="G12221" s="5" t="s">
        <v>2063</v>
      </c>
      <c r="H12221" s="5" t="s">
        <v>2413</v>
      </c>
      <c r="I12221" s="5" t="s">
        <v>31</v>
      </c>
      <c r="J12221" s="5">
        <v>17.418734474611</v>
      </c>
      <c r="K12221" s="5">
        <v>-95.950497612693994</v>
      </c>
      <c r="L12221" s="5" t="str">
        <f>HYPERLINK("https://maps.google.com/?q=17.4187344746108,-95.950497612693596", "🔗 Ver Mapa")</f>
        <v>🔗 Ver Mapa</v>
      </c>
    </row>
    <row r="12222" spans="1:12" ht="43.5" x14ac:dyDescent="0.35">
      <c r="A12222" s="6" t="s">
        <v>98</v>
      </c>
      <c r="B12222" s="6" t="s">
        <v>99</v>
      </c>
      <c r="C12222" s="6" t="s">
        <v>2412</v>
      </c>
      <c r="D12222" s="6" t="s">
        <v>14</v>
      </c>
      <c r="E12222" s="6" t="s">
        <v>140</v>
      </c>
      <c r="F12222" s="6" t="s">
        <v>624</v>
      </c>
      <c r="G12222" s="6" t="s">
        <v>2063</v>
      </c>
      <c r="H12222" s="6" t="s">
        <v>2413</v>
      </c>
      <c r="I12222" s="6" t="s">
        <v>31</v>
      </c>
      <c r="J12222" s="6">
        <v>17.418843855020999</v>
      </c>
      <c r="K12222" s="6">
        <v>-95.949199721235999</v>
      </c>
      <c r="L12222" s="6" t="str">
        <f>HYPERLINK("https://maps.google.com/?q=17.4188438550212,-95.949199721236099", "🔗 Ver Mapa")</f>
        <v>🔗 Ver Mapa</v>
      </c>
    </row>
    <row r="12223" spans="1:12" ht="43.5" x14ac:dyDescent="0.35">
      <c r="A12223" s="5" t="s">
        <v>98</v>
      </c>
      <c r="B12223" s="5" t="s">
        <v>99</v>
      </c>
      <c r="C12223" s="5" t="s">
        <v>2412</v>
      </c>
      <c r="D12223" s="5" t="s">
        <v>14</v>
      </c>
      <c r="E12223" s="5" t="s">
        <v>140</v>
      </c>
      <c r="F12223" s="5" t="s">
        <v>624</v>
      </c>
      <c r="G12223" s="5" t="s">
        <v>2063</v>
      </c>
      <c r="H12223" s="5" t="s">
        <v>2413</v>
      </c>
      <c r="I12223" s="5" t="s">
        <v>31</v>
      </c>
      <c r="J12223" s="5">
        <v>17.418957680226999</v>
      </c>
      <c r="K12223" s="5">
        <v>-95.950643829220994</v>
      </c>
      <c r="L12223" s="5" t="str">
        <f>HYPERLINK("https://maps.google.com/?q=17.4189576802265,-95.950643829220795", "🔗 Ver Mapa")</f>
        <v>🔗 Ver Mapa</v>
      </c>
    </row>
    <row r="12224" spans="1:12" ht="43.5" x14ac:dyDescent="0.35">
      <c r="A12224" s="6" t="s">
        <v>98</v>
      </c>
      <c r="B12224" s="6" t="s">
        <v>99</v>
      </c>
      <c r="C12224" s="6" t="s">
        <v>2412</v>
      </c>
      <c r="D12224" s="6" t="s">
        <v>14</v>
      </c>
      <c r="E12224" s="6" t="s">
        <v>140</v>
      </c>
      <c r="F12224" s="6" t="s">
        <v>624</v>
      </c>
      <c r="G12224" s="6" t="s">
        <v>2063</v>
      </c>
      <c r="H12224" s="6" t="s">
        <v>2413</v>
      </c>
      <c r="I12224" s="6" t="s">
        <v>31</v>
      </c>
      <c r="J12224" s="6">
        <v>17.421429159328</v>
      </c>
      <c r="K12224" s="6">
        <v>-95.950744179691</v>
      </c>
      <c r="L12224" s="6" t="str">
        <f>HYPERLINK("https://maps.google.com/?q=17.4214291593276,-95.950744179691398", "🔗 Ver Mapa")</f>
        <v>🔗 Ver Mapa</v>
      </c>
    </row>
    <row r="12225" spans="1:12" ht="43.5" x14ac:dyDescent="0.35">
      <c r="A12225" s="5" t="s">
        <v>98</v>
      </c>
      <c r="B12225" s="5" t="s">
        <v>99</v>
      </c>
      <c r="C12225" s="5" t="s">
        <v>2412</v>
      </c>
      <c r="D12225" s="5" t="s">
        <v>14</v>
      </c>
      <c r="E12225" s="5" t="s">
        <v>140</v>
      </c>
      <c r="F12225" s="5" t="s">
        <v>624</v>
      </c>
      <c r="G12225" s="5" t="s">
        <v>2063</v>
      </c>
      <c r="H12225" s="5" t="s">
        <v>2413</v>
      </c>
      <c r="I12225" s="5" t="s">
        <v>31</v>
      </c>
      <c r="J12225" s="5">
        <v>17.422520899163001</v>
      </c>
      <c r="K12225" s="5">
        <v>-95.951386475296999</v>
      </c>
      <c r="L12225" s="5" t="str">
        <f>HYPERLINK("https://maps.google.com/?q=17.422520899163,-95.9513864752968", "🔗 Ver Mapa")</f>
        <v>🔗 Ver Mapa</v>
      </c>
    </row>
    <row r="12226" spans="1:12" ht="43.5" x14ac:dyDescent="0.35">
      <c r="A12226" s="6" t="s">
        <v>98</v>
      </c>
      <c r="B12226" s="6" t="s">
        <v>99</v>
      </c>
      <c r="C12226" s="6" t="s">
        <v>2412</v>
      </c>
      <c r="D12226" s="6" t="s">
        <v>14</v>
      </c>
      <c r="E12226" s="6" t="s">
        <v>140</v>
      </c>
      <c r="F12226" s="6" t="s">
        <v>624</v>
      </c>
      <c r="G12226" s="6" t="s">
        <v>2063</v>
      </c>
      <c r="H12226" s="6" t="s">
        <v>2413</v>
      </c>
      <c r="I12226" s="6" t="s">
        <v>31</v>
      </c>
      <c r="J12226" s="6">
        <v>17.422779366038</v>
      </c>
      <c r="K12226" s="6">
        <v>-95.951457356399004</v>
      </c>
      <c r="L12226" s="6" t="str">
        <f>HYPERLINK("https://maps.google.com/?q=17.4227793660378,-95.951457356398706", "🔗 Ver Mapa")</f>
        <v>🔗 Ver Mapa</v>
      </c>
    </row>
    <row r="12227" spans="1:12" ht="43.5" x14ac:dyDescent="0.35">
      <c r="A12227" s="5" t="s">
        <v>98</v>
      </c>
      <c r="B12227" s="5" t="s">
        <v>99</v>
      </c>
      <c r="C12227" s="5" t="s">
        <v>2412</v>
      </c>
      <c r="D12227" s="5" t="s">
        <v>14</v>
      </c>
      <c r="E12227" s="5" t="s">
        <v>140</v>
      </c>
      <c r="F12227" s="5" t="s">
        <v>624</v>
      </c>
      <c r="G12227" s="5" t="s">
        <v>2063</v>
      </c>
      <c r="H12227" s="5" t="s">
        <v>2413</v>
      </c>
      <c r="I12227" s="5" t="s">
        <v>31</v>
      </c>
      <c r="J12227" s="5">
        <v>17.422803577368999</v>
      </c>
      <c r="K12227" s="5">
        <v>-95.950965914356004</v>
      </c>
      <c r="L12227" s="5" t="str">
        <f>HYPERLINK("https://maps.google.com/?q=17.4228035773692,-95.950965914355507", "🔗 Ver Mapa")</f>
        <v>🔗 Ver Mapa</v>
      </c>
    </row>
    <row r="12228" spans="1:12" ht="43.5" x14ac:dyDescent="0.35">
      <c r="A12228" s="6" t="s">
        <v>98</v>
      </c>
      <c r="B12228" s="6" t="s">
        <v>99</v>
      </c>
      <c r="C12228" s="6" t="s">
        <v>2412</v>
      </c>
      <c r="D12228" s="6" t="s">
        <v>14</v>
      </c>
      <c r="E12228" s="6" t="s">
        <v>140</v>
      </c>
      <c r="F12228" s="6" t="s">
        <v>624</v>
      </c>
      <c r="G12228" s="6" t="s">
        <v>2063</v>
      </c>
      <c r="H12228" s="6" t="s">
        <v>2413</v>
      </c>
      <c r="I12228" s="6" t="s">
        <v>31</v>
      </c>
      <c r="J12228" s="6">
        <v>17.422820666023</v>
      </c>
      <c r="K12228" s="6">
        <v>-95.951921678434999</v>
      </c>
      <c r="L12228" s="6" t="str">
        <f>HYPERLINK("https://maps.google.com/?q=17.4228206660231,-95.951921678435397", "🔗 Ver Mapa")</f>
        <v>🔗 Ver Mapa</v>
      </c>
    </row>
    <row r="12229" spans="1:12" ht="43.5" x14ac:dyDescent="0.35">
      <c r="A12229" s="5" t="s">
        <v>98</v>
      </c>
      <c r="B12229" s="5" t="s">
        <v>99</v>
      </c>
      <c r="C12229" s="5" t="s">
        <v>2412</v>
      </c>
      <c r="D12229" s="5" t="s">
        <v>14</v>
      </c>
      <c r="E12229" s="5" t="s">
        <v>140</v>
      </c>
      <c r="F12229" s="5" t="s">
        <v>624</v>
      </c>
      <c r="G12229" s="5" t="s">
        <v>2063</v>
      </c>
      <c r="H12229" s="5" t="s">
        <v>2413</v>
      </c>
      <c r="I12229" s="5" t="s">
        <v>31</v>
      </c>
      <c r="J12229" s="5">
        <v>17.423374094842</v>
      </c>
      <c r="K12229" s="5">
        <v>-95.951294634383004</v>
      </c>
      <c r="L12229" s="5" t="str">
        <f>HYPERLINK("https://maps.google.com/?q=17.4233740948424,-95.951294634383203", "🔗 Ver Mapa")</f>
        <v>🔗 Ver Mapa</v>
      </c>
    </row>
    <row r="12230" spans="1:12" ht="43.5" x14ac:dyDescent="0.35">
      <c r="A12230" s="6" t="s">
        <v>98</v>
      </c>
      <c r="B12230" s="6" t="s">
        <v>99</v>
      </c>
      <c r="C12230" s="6" t="s">
        <v>2414</v>
      </c>
      <c r="D12230" s="6" t="s">
        <v>14</v>
      </c>
      <c r="E12230" s="6" t="s">
        <v>39</v>
      </c>
      <c r="F12230" s="6" t="s">
        <v>494</v>
      </c>
      <c r="G12230" s="6" t="s">
        <v>2110</v>
      </c>
      <c r="H12230" s="6" t="s">
        <v>2415</v>
      </c>
      <c r="I12230" s="6" t="s">
        <v>31</v>
      </c>
      <c r="J12230" s="6">
        <v>16.413875539999999</v>
      </c>
      <c r="K12230" s="6">
        <v>-97.220929510000005</v>
      </c>
      <c r="L12230" s="6" t="str">
        <f>HYPERLINK("https://maps.google.com/?q=16.41387554,-97.220929510000005", "🔗 Ver Mapa")</f>
        <v>🔗 Ver Mapa</v>
      </c>
    </row>
    <row r="12231" spans="1:12" ht="43.5" x14ac:dyDescent="0.35">
      <c r="A12231" s="5" t="s">
        <v>98</v>
      </c>
      <c r="B12231" s="5" t="s">
        <v>99</v>
      </c>
      <c r="C12231" s="5" t="s">
        <v>2414</v>
      </c>
      <c r="D12231" s="5" t="s">
        <v>14</v>
      </c>
      <c r="E12231" s="5" t="s">
        <v>39</v>
      </c>
      <c r="F12231" s="5" t="s">
        <v>494</v>
      </c>
      <c r="G12231" s="5" t="s">
        <v>2110</v>
      </c>
      <c r="H12231" s="5" t="s">
        <v>2415</v>
      </c>
      <c r="I12231" s="5" t="s">
        <v>31</v>
      </c>
      <c r="J12231" s="5">
        <v>16.415909490000001</v>
      </c>
      <c r="K12231" s="5">
        <v>-97.219595479999995</v>
      </c>
      <c r="L12231" s="5" t="str">
        <f>HYPERLINK("https://maps.google.com/?q=16.41590949,-97.219595479999995", "🔗 Ver Mapa")</f>
        <v>🔗 Ver Mapa</v>
      </c>
    </row>
    <row r="12232" spans="1:12" ht="43.5" x14ac:dyDescent="0.35">
      <c r="A12232" s="6" t="s">
        <v>98</v>
      </c>
      <c r="B12232" s="6" t="s">
        <v>99</v>
      </c>
      <c r="C12232" s="6" t="s">
        <v>2414</v>
      </c>
      <c r="D12232" s="6" t="s">
        <v>14</v>
      </c>
      <c r="E12232" s="6" t="s">
        <v>39</v>
      </c>
      <c r="F12232" s="6" t="s">
        <v>494</v>
      </c>
      <c r="G12232" s="6" t="s">
        <v>2110</v>
      </c>
      <c r="H12232" s="6" t="s">
        <v>2415</v>
      </c>
      <c r="I12232" s="6" t="s">
        <v>31</v>
      </c>
      <c r="J12232" s="6">
        <v>16.416678999999998</v>
      </c>
      <c r="K12232" s="6">
        <v>-97.226439400000004</v>
      </c>
      <c r="L12232" s="6" t="str">
        <f>HYPERLINK("https://maps.google.com/?q=16.416679,-97.226439400000004", "🔗 Ver Mapa")</f>
        <v>🔗 Ver Mapa</v>
      </c>
    </row>
    <row r="12233" spans="1:12" ht="43.5" x14ac:dyDescent="0.35">
      <c r="A12233" s="5" t="s">
        <v>98</v>
      </c>
      <c r="B12233" s="5" t="s">
        <v>99</v>
      </c>
      <c r="C12233" s="5" t="s">
        <v>2414</v>
      </c>
      <c r="D12233" s="5" t="s">
        <v>14</v>
      </c>
      <c r="E12233" s="5" t="s">
        <v>39</v>
      </c>
      <c r="F12233" s="5" t="s">
        <v>494</v>
      </c>
      <c r="G12233" s="5" t="s">
        <v>2110</v>
      </c>
      <c r="H12233" s="5" t="s">
        <v>2415</v>
      </c>
      <c r="I12233" s="5" t="s">
        <v>31</v>
      </c>
      <c r="J12233" s="5">
        <v>16.416999860000001</v>
      </c>
      <c r="K12233" s="5">
        <v>-97.217331150000007</v>
      </c>
      <c r="L12233" s="5" t="str">
        <f>HYPERLINK("https://maps.google.com/?q=16.41699986,-97.217331150000007", "🔗 Ver Mapa")</f>
        <v>🔗 Ver Mapa</v>
      </c>
    </row>
    <row r="12234" spans="1:12" ht="43.5" x14ac:dyDescent="0.35">
      <c r="A12234" s="6" t="s">
        <v>98</v>
      </c>
      <c r="B12234" s="6" t="s">
        <v>99</v>
      </c>
      <c r="C12234" s="6" t="s">
        <v>2414</v>
      </c>
      <c r="D12234" s="6" t="s">
        <v>14</v>
      </c>
      <c r="E12234" s="6" t="s">
        <v>39</v>
      </c>
      <c r="F12234" s="6" t="s">
        <v>494</v>
      </c>
      <c r="G12234" s="6" t="s">
        <v>2110</v>
      </c>
      <c r="H12234" s="6" t="s">
        <v>2415</v>
      </c>
      <c r="I12234" s="6" t="s">
        <v>31</v>
      </c>
      <c r="J12234" s="6">
        <v>16.417481819999999</v>
      </c>
      <c r="K12234" s="6">
        <v>-97.219891140000001</v>
      </c>
      <c r="L12234" s="6" t="str">
        <f>HYPERLINK("https://maps.google.com/?q=16.41748182,-97.219891140000001", "🔗 Ver Mapa")</f>
        <v>🔗 Ver Mapa</v>
      </c>
    </row>
    <row r="12235" spans="1:12" ht="43.5" x14ac:dyDescent="0.35">
      <c r="A12235" s="5" t="s">
        <v>98</v>
      </c>
      <c r="B12235" s="5" t="s">
        <v>99</v>
      </c>
      <c r="C12235" s="5" t="s">
        <v>2414</v>
      </c>
      <c r="D12235" s="5" t="s">
        <v>14</v>
      </c>
      <c r="E12235" s="5" t="s">
        <v>39</v>
      </c>
      <c r="F12235" s="5" t="s">
        <v>494</v>
      </c>
      <c r="G12235" s="5" t="s">
        <v>2110</v>
      </c>
      <c r="H12235" s="5" t="s">
        <v>2415</v>
      </c>
      <c r="I12235" s="5" t="s">
        <v>31</v>
      </c>
      <c r="J12235" s="5">
        <v>16.417965160000001</v>
      </c>
      <c r="K12235" s="5">
        <v>-97.221489939999998</v>
      </c>
      <c r="L12235" s="5" t="str">
        <f>HYPERLINK("https://maps.google.com/?q=16.41796516,-97.221489939999998", "🔗 Ver Mapa")</f>
        <v>🔗 Ver Mapa</v>
      </c>
    </row>
    <row r="12236" spans="1:12" ht="43.5" x14ac:dyDescent="0.35">
      <c r="A12236" s="6" t="s">
        <v>98</v>
      </c>
      <c r="B12236" s="6" t="s">
        <v>99</v>
      </c>
      <c r="C12236" s="6" t="s">
        <v>2414</v>
      </c>
      <c r="D12236" s="6" t="s">
        <v>14</v>
      </c>
      <c r="E12236" s="6" t="s">
        <v>39</v>
      </c>
      <c r="F12236" s="6" t="s">
        <v>494</v>
      </c>
      <c r="G12236" s="6" t="s">
        <v>2110</v>
      </c>
      <c r="H12236" s="6" t="s">
        <v>2415</v>
      </c>
      <c r="I12236" s="6" t="s">
        <v>31</v>
      </c>
      <c r="J12236" s="6">
        <v>16.418253400000001</v>
      </c>
      <c r="K12236" s="6">
        <v>-97.222205349999996</v>
      </c>
      <c r="L12236" s="6" t="str">
        <f>HYPERLINK("https://maps.google.com/?q=16.4182534,-97.222205349999996", "🔗 Ver Mapa")</f>
        <v>🔗 Ver Mapa</v>
      </c>
    </row>
    <row r="12237" spans="1:12" ht="43.5" x14ac:dyDescent="0.35">
      <c r="A12237" s="5" t="s">
        <v>98</v>
      </c>
      <c r="B12237" s="5" t="s">
        <v>99</v>
      </c>
      <c r="C12237" s="5" t="s">
        <v>2414</v>
      </c>
      <c r="D12237" s="5" t="s">
        <v>14</v>
      </c>
      <c r="E12237" s="5" t="s">
        <v>39</v>
      </c>
      <c r="F12237" s="5" t="s">
        <v>494</v>
      </c>
      <c r="G12237" s="5" t="s">
        <v>2110</v>
      </c>
      <c r="H12237" s="5" t="s">
        <v>2415</v>
      </c>
      <c r="I12237" s="5" t="s">
        <v>31</v>
      </c>
      <c r="J12237" s="5">
        <v>16.418891819999999</v>
      </c>
      <c r="K12237" s="5">
        <v>-97.220343529999994</v>
      </c>
      <c r="L12237" s="5" t="str">
        <f>HYPERLINK("https://maps.google.com/?q=16.41889182,-97.220343529999994", "🔗 Ver Mapa")</f>
        <v>🔗 Ver Mapa</v>
      </c>
    </row>
    <row r="12238" spans="1:12" ht="43.5" x14ac:dyDescent="0.35">
      <c r="A12238" s="6" t="s">
        <v>98</v>
      </c>
      <c r="B12238" s="6" t="s">
        <v>99</v>
      </c>
      <c r="C12238" s="6" t="s">
        <v>2414</v>
      </c>
      <c r="D12238" s="6" t="s">
        <v>14</v>
      </c>
      <c r="E12238" s="6" t="s">
        <v>39</v>
      </c>
      <c r="F12238" s="6" t="s">
        <v>494</v>
      </c>
      <c r="G12238" s="6" t="s">
        <v>2110</v>
      </c>
      <c r="H12238" s="6" t="s">
        <v>2415</v>
      </c>
      <c r="I12238" s="6" t="s">
        <v>31</v>
      </c>
      <c r="J12238" s="6">
        <v>16.419419800044999</v>
      </c>
      <c r="K12238" s="6">
        <v>-97.221920401944004</v>
      </c>
      <c r="L12238" s="6" t="str">
        <f>HYPERLINK("https://maps.google.com/?q=16.4194198000446,-97.221920401943805", "🔗 Ver Mapa")</f>
        <v>🔗 Ver Mapa</v>
      </c>
    </row>
    <row r="12239" spans="1:12" ht="43.5" x14ac:dyDescent="0.35">
      <c r="A12239" s="5" t="s">
        <v>98</v>
      </c>
      <c r="B12239" s="5" t="s">
        <v>99</v>
      </c>
      <c r="C12239" s="5" t="s">
        <v>2414</v>
      </c>
      <c r="D12239" s="5" t="s">
        <v>14</v>
      </c>
      <c r="E12239" s="5" t="s">
        <v>39</v>
      </c>
      <c r="F12239" s="5" t="s">
        <v>494</v>
      </c>
      <c r="G12239" s="5" t="s">
        <v>2110</v>
      </c>
      <c r="H12239" s="5" t="s">
        <v>2415</v>
      </c>
      <c r="I12239" s="5" t="s">
        <v>31</v>
      </c>
      <c r="J12239" s="5">
        <v>16.419452981785</v>
      </c>
      <c r="K12239" s="5">
        <v>-97.221669173334007</v>
      </c>
      <c r="L12239" s="5" t="str">
        <f>HYPERLINK("https://maps.google.com/?q=16.4194529817853,-97.221669173334405", "🔗 Ver Mapa")</f>
        <v>🔗 Ver Mapa</v>
      </c>
    </row>
    <row r="12240" spans="1:12" ht="43.5" x14ac:dyDescent="0.35">
      <c r="A12240" s="6" t="s">
        <v>98</v>
      </c>
      <c r="B12240" s="6" t="s">
        <v>99</v>
      </c>
      <c r="C12240" s="6" t="s">
        <v>2414</v>
      </c>
      <c r="D12240" s="6" t="s">
        <v>14</v>
      </c>
      <c r="E12240" s="6" t="s">
        <v>39</v>
      </c>
      <c r="F12240" s="6" t="s">
        <v>494</v>
      </c>
      <c r="G12240" s="6" t="s">
        <v>2110</v>
      </c>
      <c r="H12240" s="6" t="s">
        <v>2415</v>
      </c>
      <c r="I12240" s="6" t="s">
        <v>31</v>
      </c>
      <c r="J12240" s="6">
        <v>16.419729944625999</v>
      </c>
      <c r="K12240" s="6">
        <v>-97.222430381267998</v>
      </c>
      <c r="L12240" s="6" t="str">
        <f>HYPERLINK("https://maps.google.com/?q=16.4197299446258,-97.2224303812675", "🔗 Ver Mapa")</f>
        <v>🔗 Ver Mapa</v>
      </c>
    </row>
    <row r="12241" spans="1:12" ht="43.5" x14ac:dyDescent="0.35">
      <c r="A12241" s="5" t="s">
        <v>98</v>
      </c>
      <c r="B12241" s="5" t="s">
        <v>99</v>
      </c>
      <c r="C12241" s="5" t="s">
        <v>2414</v>
      </c>
      <c r="D12241" s="5" t="s">
        <v>14</v>
      </c>
      <c r="E12241" s="5" t="s">
        <v>39</v>
      </c>
      <c r="F12241" s="5" t="s">
        <v>494</v>
      </c>
      <c r="G12241" s="5" t="s">
        <v>2110</v>
      </c>
      <c r="H12241" s="5" t="s">
        <v>2415</v>
      </c>
      <c r="I12241" s="5" t="s">
        <v>31</v>
      </c>
      <c r="J12241" s="5">
        <v>16.419736</v>
      </c>
      <c r="K12241" s="5">
        <v>-97.221810759999997</v>
      </c>
      <c r="L12241" s="5" t="str">
        <f>HYPERLINK("https://maps.google.com/?q=16.419736,-97.221810759999997", "🔗 Ver Mapa")</f>
        <v>🔗 Ver Mapa</v>
      </c>
    </row>
    <row r="12242" spans="1:12" ht="43.5" x14ac:dyDescent="0.35">
      <c r="A12242" s="6" t="s">
        <v>98</v>
      </c>
      <c r="B12242" s="6" t="s">
        <v>99</v>
      </c>
      <c r="C12242" s="6" t="s">
        <v>2414</v>
      </c>
      <c r="D12242" s="6" t="s">
        <v>14</v>
      </c>
      <c r="E12242" s="6" t="s">
        <v>39</v>
      </c>
      <c r="F12242" s="6" t="s">
        <v>494</v>
      </c>
      <c r="G12242" s="6" t="s">
        <v>2110</v>
      </c>
      <c r="H12242" s="6" t="s">
        <v>2415</v>
      </c>
      <c r="I12242" s="6" t="s">
        <v>31</v>
      </c>
      <c r="J12242" s="6">
        <v>16.420434133168001</v>
      </c>
      <c r="K12242" s="6">
        <v>-97.223432497274999</v>
      </c>
      <c r="L12242" s="6" t="str">
        <f>HYPERLINK("https://maps.google.com/?q=16.4204341331675,-97.223432497275496", "🔗 Ver Mapa")</f>
        <v>🔗 Ver Mapa</v>
      </c>
    </row>
    <row r="12243" spans="1:12" ht="43.5" x14ac:dyDescent="0.35">
      <c r="A12243" s="5" t="s">
        <v>98</v>
      </c>
      <c r="B12243" s="5" t="s">
        <v>99</v>
      </c>
      <c r="C12243" s="5" t="s">
        <v>2414</v>
      </c>
      <c r="D12243" s="5" t="s">
        <v>14</v>
      </c>
      <c r="E12243" s="5" t="s">
        <v>39</v>
      </c>
      <c r="F12243" s="5" t="s">
        <v>494</v>
      </c>
      <c r="G12243" s="5" t="s">
        <v>2110</v>
      </c>
      <c r="H12243" s="5" t="s">
        <v>2415</v>
      </c>
      <c r="I12243" s="5" t="s">
        <v>31</v>
      </c>
      <c r="J12243" s="5">
        <v>16.421487530078</v>
      </c>
      <c r="K12243" s="5">
        <v>-97.229376282798995</v>
      </c>
      <c r="L12243" s="5" t="str">
        <f>HYPERLINK("https://maps.google.com/?q=16.4214875300779,-97.229376282798597", "🔗 Ver Mapa")</f>
        <v>🔗 Ver Mapa</v>
      </c>
    </row>
    <row r="12244" spans="1:12" ht="43.5" x14ac:dyDescent="0.35">
      <c r="A12244" s="6" t="s">
        <v>98</v>
      </c>
      <c r="B12244" s="6" t="s">
        <v>99</v>
      </c>
      <c r="C12244" s="6" t="s">
        <v>2414</v>
      </c>
      <c r="D12244" s="6" t="s">
        <v>14</v>
      </c>
      <c r="E12244" s="6" t="s">
        <v>39</v>
      </c>
      <c r="F12244" s="6" t="s">
        <v>494</v>
      </c>
      <c r="G12244" s="6" t="s">
        <v>2110</v>
      </c>
      <c r="H12244" s="6" t="s">
        <v>2415</v>
      </c>
      <c r="I12244" s="6" t="s">
        <v>31</v>
      </c>
      <c r="J12244" s="6">
        <v>16.421580213999</v>
      </c>
      <c r="K12244" s="6">
        <v>-97.227789846606996</v>
      </c>
      <c r="L12244" s="6" t="str">
        <f>HYPERLINK("https://maps.google.com/?q=16.4215802139987,-97.227789846607195", "🔗 Ver Mapa")</f>
        <v>🔗 Ver Mapa</v>
      </c>
    </row>
    <row r="12245" spans="1:12" ht="43.5" x14ac:dyDescent="0.35">
      <c r="A12245" s="5" t="s">
        <v>98</v>
      </c>
      <c r="B12245" s="5" t="s">
        <v>99</v>
      </c>
      <c r="C12245" s="5" t="s">
        <v>2414</v>
      </c>
      <c r="D12245" s="5" t="s">
        <v>14</v>
      </c>
      <c r="E12245" s="5" t="s">
        <v>39</v>
      </c>
      <c r="F12245" s="5" t="s">
        <v>494</v>
      </c>
      <c r="G12245" s="5" t="s">
        <v>2110</v>
      </c>
      <c r="H12245" s="5" t="s">
        <v>2415</v>
      </c>
      <c r="I12245" s="5" t="s">
        <v>31</v>
      </c>
      <c r="J12245" s="5">
        <v>16.422515499999999</v>
      </c>
      <c r="K12245" s="5">
        <v>-97.232889810000003</v>
      </c>
      <c r="L12245" s="5" t="str">
        <f>HYPERLINK("https://maps.google.com/?q=16.4225155,-97.232889810000003", "🔗 Ver Mapa")</f>
        <v>🔗 Ver Mapa</v>
      </c>
    </row>
    <row r="12246" spans="1:12" ht="43.5" x14ac:dyDescent="0.35">
      <c r="A12246" s="6" t="s">
        <v>98</v>
      </c>
      <c r="B12246" s="6" t="s">
        <v>99</v>
      </c>
      <c r="C12246" s="6" t="s">
        <v>2414</v>
      </c>
      <c r="D12246" s="6" t="s">
        <v>14</v>
      </c>
      <c r="E12246" s="6" t="s">
        <v>39</v>
      </c>
      <c r="F12246" s="6" t="s">
        <v>494</v>
      </c>
      <c r="G12246" s="6" t="s">
        <v>2110</v>
      </c>
      <c r="H12246" s="6" t="s">
        <v>2415</v>
      </c>
      <c r="I12246" s="6" t="s">
        <v>31</v>
      </c>
      <c r="J12246" s="6">
        <v>16.422599430000002</v>
      </c>
      <c r="K12246" s="6">
        <v>-97.232487230000004</v>
      </c>
      <c r="L12246" s="6" t="str">
        <f>HYPERLINK("https://maps.google.com/?q=16.42259943,-97.232487230000004", "🔗 Ver Mapa")</f>
        <v>🔗 Ver Mapa</v>
      </c>
    </row>
    <row r="12247" spans="1:12" ht="43.5" x14ac:dyDescent="0.35">
      <c r="A12247" s="5" t="s">
        <v>98</v>
      </c>
      <c r="B12247" s="5" t="s">
        <v>99</v>
      </c>
      <c r="C12247" s="5" t="s">
        <v>2414</v>
      </c>
      <c r="D12247" s="5" t="s">
        <v>14</v>
      </c>
      <c r="E12247" s="5" t="s">
        <v>39</v>
      </c>
      <c r="F12247" s="5" t="s">
        <v>494</v>
      </c>
      <c r="G12247" s="5" t="s">
        <v>2110</v>
      </c>
      <c r="H12247" s="5" t="s">
        <v>2415</v>
      </c>
      <c r="I12247" s="5" t="s">
        <v>31</v>
      </c>
      <c r="J12247" s="5">
        <v>16.422662150000001</v>
      </c>
      <c r="K12247" s="5">
        <v>-97.233603279999997</v>
      </c>
      <c r="L12247" s="5" t="str">
        <f>HYPERLINK("https://maps.google.com/?q=16.42266215,-97.233603279999997", "🔗 Ver Mapa")</f>
        <v>🔗 Ver Mapa</v>
      </c>
    </row>
    <row r="12248" spans="1:12" ht="43.5" x14ac:dyDescent="0.35">
      <c r="A12248" s="6" t="s">
        <v>98</v>
      </c>
      <c r="B12248" s="6" t="s">
        <v>99</v>
      </c>
      <c r="C12248" s="6" t="s">
        <v>2414</v>
      </c>
      <c r="D12248" s="6" t="s">
        <v>14</v>
      </c>
      <c r="E12248" s="6" t="s">
        <v>39</v>
      </c>
      <c r="F12248" s="6" t="s">
        <v>494</v>
      </c>
      <c r="G12248" s="6" t="s">
        <v>2110</v>
      </c>
      <c r="H12248" s="6" t="s">
        <v>2415</v>
      </c>
      <c r="I12248" s="6" t="s">
        <v>31</v>
      </c>
      <c r="J12248" s="6">
        <v>16.423176673457</v>
      </c>
      <c r="K12248" s="6">
        <v>-97.228706535992998</v>
      </c>
      <c r="L12248" s="6" t="str">
        <f>HYPERLINK("https://maps.google.com/?q=16.4231766734574,-97.228706535992799", "🔗 Ver Mapa")</f>
        <v>🔗 Ver Mapa</v>
      </c>
    </row>
    <row r="12249" spans="1:12" ht="43.5" x14ac:dyDescent="0.35">
      <c r="A12249" s="5" t="s">
        <v>98</v>
      </c>
      <c r="B12249" s="5" t="s">
        <v>99</v>
      </c>
      <c r="C12249" s="5" t="s">
        <v>2414</v>
      </c>
      <c r="D12249" s="5" t="s">
        <v>14</v>
      </c>
      <c r="E12249" s="5" t="s">
        <v>39</v>
      </c>
      <c r="F12249" s="5" t="s">
        <v>494</v>
      </c>
      <c r="G12249" s="5" t="s">
        <v>2110</v>
      </c>
      <c r="H12249" s="5" t="s">
        <v>2415</v>
      </c>
      <c r="I12249" s="5" t="s">
        <v>31</v>
      </c>
      <c r="J12249" s="5">
        <v>16.42353</v>
      </c>
      <c r="K12249" s="5">
        <v>-97.230689999999996</v>
      </c>
      <c r="L12249" s="5" t="str">
        <f>HYPERLINK("https://maps.google.com/?q=16.42353,-97.230689999999996", "🔗 Ver Mapa")</f>
        <v>🔗 Ver Mapa</v>
      </c>
    </row>
    <row r="12250" spans="1:12" ht="43.5" x14ac:dyDescent="0.35">
      <c r="A12250" s="6" t="s">
        <v>98</v>
      </c>
      <c r="B12250" s="6" t="s">
        <v>99</v>
      </c>
      <c r="C12250" s="6" t="s">
        <v>2414</v>
      </c>
      <c r="D12250" s="6" t="s">
        <v>14</v>
      </c>
      <c r="E12250" s="6" t="s">
        <v>39</v>
      </c>
      <c r="F12250" s="6" t="s">
        <v>494</v>
      </c>
      <c r="G12250" s="6" t="s">
        <v>2110</v>
      </c>
      <c r="H12250" s="6" t="s">
        <v>2415</v>
      </c>
      <c r="I12250" s="6" t="s">
        <v>31</v>
      </c>
      <c r="J12250" s="6">
        <v>16.424097840000002</v>
      </c>
      <c r="K12250" s="6">
        <v>-97.228938159999998</v>
      </c>
      <c r="L12250" s="6" t="str">
        <f>HYPERLINK("https://maps.google.com/?q=16.42409784,-97.228938159999998", "🔗 Ver Mapa")</f>
        <v>🔗 Ver Mapa</v>
      </c>
    </row>
    <row r="12251" spans="1:12" ht="43.5" x14ac:dyDescent="0.35">
      <c r="A12251" s="5" t="s">
        <v>98</v>
      </c>
      <c r="B12251" s="5" t="s">
        <v>99</v>
      </c>
      <c r="C12251" s="5" t="s">
        <v>2414</v>
      </c>
      <c r="D12251" s="5" t="s">
        <v>14</v>
      </c>
      <c r="E12251" s="5" t="s">
        <v>39</v>
      </c>
      <c r="F12251" s="5" t="s">
        <v>494</v>
      </c>
      <c r="G12251" s="5" t="s">
        <v>2110</v>
      </c>
      <c r="H12251" s="5" t="s">
        <v>2415</v>
      </c>
      <c r="I12251" s="5" t="s">
        <v>31</v>
      </c>
      <c r="J12251" s="5">
        <v>16.424230000000001</v>
      </c>
      <c r="K12251" s="5">
        <v>-97.229190000000003</v>
      </c>
      <c r="L12251" s="5" t="str">
        <f>HYPERLINK("https://maps.google.com/?q=16.42423,-97.229190000000003", "🔗 Ver Mapa")</f>
        <v>🔗 Ver Mapa</v>
      </c>
    </row>
    <row r="12252" spans="1:12" ht="43.5" x14ac:dyDescent="0.35">
      <c r="A12252" s="6" t="s">
        <v>98</v>
      </c>
      <c r="B12252" s="6" t="s">
        <v>99</v>
      </c>
      <c r="C12252" s="6" t="s">
        <v>2414</v>
      </c>
      <c r="D12252" s="6" t="s">
        <v>14</v>
      </c>
      <c r="E12252" s="6" t="s">
        <v>39</v>
      </c>
      <c r="F12252" s="6" t="s">
        <v>494</v>
      </c>
      <c r="G12252" s="6" t="s">
        <v>2110</v>
      </c>
      <c r="H12252" s="6" t="s">
        <v>2415</v>
      </c>
      <c r="I12252" s="6" t="s">
        <v>31</v>
      </c>
      <c r="J12252" s="6">
        <v>16.424573355779</v>
      </c>
      <c r="K12252" s="6">
        <v>-97.229563213606994</v>
      </c>
      <c r="L12252" s="6" t="str">
        <f>HYPERLINK("https://maps.google.com/?q=16.4245733557788,-97.229563213607193", "🔗 Ver Mapa")</f>
        <v>🔗 Ver Mapa</v>
      </c>
    </row>
    <row r="12253" spans="1:12" ht="43.5" x14ac:dyDescent="0.35">
      <c r="A12253" s="5" t="s">
        <v>98</v>
      </c>
      <c r="B12253" s="5" t="s">
        <v>99</v>
      </c>
      <c r="C12253" s="5" t="s">
        <v>2414</v>
      </c>
      <c r="D12253" s="5" t="s">
        <v>14</v>
      </c>
      <c r="E12253" s="5" t="s">
        <v>39</v>
      </c>
      <c r="F12253" s="5" t="s">
        <v>494</v>
      </c>
      <c r="G12253" s="5" t="s">
        <v>2110</v>
      </c>
      <c r="H12253" s="5" t="s">
        <v>2415</v>
      </c>
      <c r="I12253" s="5" t="s">
        <v>31</v>
      </c>
      <c r="J12253" s="5">
        <v>16.424823992756</v>
      </c>
      <c r="K12253" s="5">
        <v>-97.229225077614004</v>
      </c>
      <c r="L12253" s="5" t="str">
        <f>HYPERLINK("https://maps.google.com/?q=16.4248239927558,-97.229225077613904", "🔗 Ver Mapa")</f>
        <v>🔗 Ver Mapa</v>
      </c>
    </row>
    <row r="12254" spans="1:12" ht="43.5" x14ac:dyDescent="0.35">
      <c r="A12254" s="6" t="s">
        <v>98</v>
      </c>
      <c r="B12254" s="6" t="s">
        <v>99</v>
      </c>
      <c r="C12254" s="6" t="s">
        <v>2414</v>
      </c>
      <c r="D12254" s="6" t="s">
        <v>14</v>
      </c>
      <c r="E12254" s="6" t="s">
        <v>39</v>
      </c>
      <c r="F12254" s="6" t="s">
        <v>494</v>
      </c>
      <c r="G12254" s="6" t="s">
        <v>2110</v>
      </c>
      <c r="H12254" s="6" t="s">
        <v>2415</v>
      </c>
      <c r="I12254" s="6" t="s">
        <v>31</v>
      </c>
      <c r="J12254" s="6">
        <v>16.425394499728</v>
      </c>
      <c r="K12254" s="6">
        <v>-97.229652889952007</v>
      </c>
      <c r="L12254" s="6" t="str">
        <f>HYPERLINK("https://maps.google.com/?q=16.4253944997279,-97.229652889951595", "🔗 Ver Mapa")</f>
        <v>🔗 Ver Mapa</v>
      </c>
    </row>
    <row r="12255" spans="1:12" ht="43.5" x14ac:dyDescent="0.35">
      <c r="A12255" s="5" t="s">
        <v>98</v>
      </c>
      <c r="B12255" s="5" t="s">
        <v>99</v>
      </c>
      <c r="C12255" s="5" t="s">
        <v>2414</v>
      </c>
      <c r="D12255" s="5" t="s">
        <v>14</v>
      </c>
      <c r="E12255" s="5" t="s">
        <v>39</v>
      </c>
      <c r="F12255" s="5" t="s">
        <v>494</v>
      </c>
      <c r="G12255" s="5" t="s">
        <v>2110</v>
      </c>
      <c r="H12255" s="5" t="s">
        <v>2415</v>
      </c>
      <c r="I12255" s="5" t="s">
        <v>31</v>
      </c>
      <c r="J12255" s="5">
        <v>16.425964000798</v>
      </c>
      <c r="K12255" s="5">
        <v>-97.227089268821999</v>
      </c>
      <c r="L12255" s="5" t="str">
        <f>HYPERLINK("https://maps.google.com/?q=16.4259640007981,-97.2270892688217", "🔗 Ver Mapa")</f>
        <v>🔗 Ver Mapa</v>
      </c>
    </row>
    <row r="12256" spans="1:12" ht="43.5" x14ac:dyDescent="0.35">
      <c r="A12256" s="6" t="s">
        <v>98</v>
      </c>
      <c r="B12256" s="6" t="s">
        <v>99</v>
      </c>
      <c r="C12256" s="6" t="s">
        <v>2414</v>
      </c>
      <c r="D12256" s="6" t="s">
        <v>14</v>
      </c>
      <c r="E12256" s="6" t="s">
        <v>39</v>
      </c>
      <c r="F12256" s="6" t="s">
        <v>494</v>
      </c>
      <c r="G12256" s="6" t="s">
        <v>2110</v>
      </c>
      <c r="H12256" s="6" t="s">
        <v>2415</v>
      </c>
      <c r="I12256" s="6" t="s">
        <v>31</v>
      </c>
      <c r="J12256" s="6">
        <v>16.426152493154</v>
      </c>
      <c r="K12256" s="6">
        <v>-97.227589277397996</v>
      </c>
      <c r="L12256" s="6" t="str">
        <f>HYPERLINK("https://maps.google.com/?q=16.4261524931541,-97.227589277397897", "🔗 Ver Mapa")</f>
        <v>🔗 Ver Mapa</v>
      </c>
    </row>
    <row r="12257" spans="1:12" ht="43.5" x14ac:dyDescent="0.35">
      <c r="A12257" s="5" t="s">
        <v>98</v>
      </c>
      <c r="B12257" s="5" t="s">
        <v>99</v>
      </c>
      <c r="C12257" s="5" t="s">
        <v>2414</v>
      </c>
      <c r="D12257" s="5" t="s">
        <v>14</v>
      </c>
      <c r="E12257" s="5" t="s">
        <v>39</v>
      </c>
      <c r="F12257" s="5" t="s">
        <v>494</v>
      </c>
      <c r="G12257" s="5" t="s">
        <v>2110</v>
      </c>
      <c r="H12257" s="5" t="s">
        <v>2415</v>
      </c>
      <c r="I12257" s="5" t="s">
        <v>31</v>
      </c>
      <c r="J12257" s="5">
        <v>16.426159984293999</v>
      </c>
      <c r="K12257" s="5">
        <v>-97.230982655963999</v>
      </c>
      <c r="L12257" s="5" t="str">
        <f>HYPERLINK("https://maps.google.com/?q=16.4261599842944,-97.2309826559638", "🔗 Ver Mapa")</f>
        <v>🔗 Ver Mapa</v>
      </c>
    </row>
    <row r="12258" spans="1:12" ht="43.5" x14ac:dyDescent="0.35">
      <c r="A12258" s="6" t="s">
        <v>98</v>
      </c>
      <c r="B12258" s="6" t="s">
        <v>99</v>
      </c>
      <c r="C12258" s="6" t="s">
        <v>2414</v>
      </c>
      <c r="D12258" s="6" t="s">
        <v>14</v>
      </c>
      <c r="E12258" s="6" t="s">
        <v>39</v>
      </c>
      <c r="F12258" s="6" t="s">
        <v>494</v>
      </c>
      <c r="G12258" s="6" t="s">
        <v>2110</v>
      </c>
      <c r="H12258" s="6" t="s">
        <v>2415</v>
      </c>
      <c r="I12258" s="6" t="s">
        <v>31</v>
      </c>
      <c r="J12258" s="6">
        <v>16.426253889083</v>
      </c>
      <c r="K12258" s="6">
        <v>-97.230204815350007</v>
      </c>
      <c r="L12258" s="6" t="str">
        <f>HYPERLINK("https://maps.google.com/?q=16.426253889083,-97.230204815349694", "🔗 Ver Mapa")</f>
        <v>🔗 Ver Mapa</v>
      </c>
    </row>
    <row r="12259" spans="1:12" ht="43.5" x14ac:dyDescent="0.35">
      <c r="A12259" s="5" t="s">
        <v>98</v>
      </c>
      <c r="B12259" s="5" t="s">
        <v>99</v>
      </c>
      <c r="C12259" s="5" t="s">
        <v>2414</v>
      </c>
      <c r="D12259" s="5" t="s">
        <v>14</v>
      </c>
      <c r="E12259" s="5" t="s">
        <v>39</v>
      </c>
      <c r="F12259" s="5" t="s">
        <v>494</v>
      </c>
      <c r="G12259" s="5" t="s">
        <v>2110</v>
      </c>
      <c r="H12259" s="5" t="s">
        <v>2415</v>
      </c>
      <c r="I12259" s="5" t="s">
        <v>31</v>
      </c>
      <c r="J12259" s="5">
        <v>16.426410282277999</v>
      </c>
      <c r="K12259" s="5">
        <v>-97.225732129503996</v>
      </c>
      <c r="L12259" s="5" t="str">
        <f>HYPERLINK("https://maps.google.com/?q=16.4264102822777,-97.225732129504294", "🔗 Ver Mapa")</f>
        <v>🔗 Ver Mapa</v>
      </c>
    </row>
    <row r="12260" spans="1:12" ht="43.5" x14ac:dyDescent="0.35">
      <c r="A12260" s="6" t="s">
        <v>98</v>
      </c>
      <c r="B12260" s="6" t="s">
        <v>99</v>
      </c>
      <c r="C12260" s="6" t="s">
        <v>2414</v>
      </c>
      <c r="D12260" s="6" t="s">
        <v>14</v>
      </c>
      <c r="E12260" s="6" t="s">
        <v>39</v>
      </c>
      <c r="F12260" s="6" t="s">
        <v>494</v>
      </c>
      <c r="G12260" s="6" t="s">
        <v>2110</v>
      </c>
      <c r="H12260" s="6" t="s">
        <v>2415</v>
      </c>
      <c r="I12260" s="6" t="s">
        <v>31</v>
      </c>
      <c r="J12260" s="6">
        <v>16.426442999999999</v>
      </c>
      <c r="K12260" s="6">
        <v>-97.224918000000002</v>
      </c>
      <c r="L12260" s="6" t="str">
        <f>HYPERLINK("https://maps.google.com/?q=16.426443,-97.224918000000002", "🔗 Ver Mapa")</f>
        <v>🔗 Ver Mapa</v>
      </c>
    </row>
    <row r="12261" spans="1:12" ht="43.5" x14ac:dyDescent="0.35">
      <c r="A12261" s="5" t="s">
        <v>98</v>
      </c>
      <c r="B12261" s="5" t="s">
        <v>99</v>
      </c>
      <c r="C12261" s="5" t="s">
        <v>2414</v>
      </c>
      <c r="D12261" s="5" t="s">
        <v>14</v>
      </c>
      <c r="E12261" s="5" t="s">
        <v>39</v>
      </c>
      <c r="F12261" s="5" t="s">
        <v>494</v>
      </c>
      <c r="G12261" s="5" t="s">
        <v>2110</v>
      </c>
      <c r="H12261" s="5" t="s">
        <v>2415</v>
      </c>
      <c r="I12261" s="5" t="s">
        <v>31</v>
      </c>
      <c r="J12261" s="5">
        <v>16.426465011632999</v>
      </c>
      <c r="K12261" s="5">
        <v>-97.231478859999996</v>
      </c>
      <c r="L12261" s="5" t="str">
        <f>HYPERLINK("https://maps.google.com/?q=16.4264650116325,-97.231478859999996", "🔗 Ver Mapa")</f>
        <v>🔗 Ver Mapa</v>
      </c>
    </row>
    <row r="12262" spans="1:12" ht="43.5" x14ac:dyDescent="0.35">
      <c r="A12262" s="6" t="s">
        <v>98</v>
      </c>
      <c r="B12262" s="6" t="s">
        <v>99</v>
      </c>
      <c r="C12262" s="6" t="s">
        <v>2414</v>
      </c>
      <c r="D12262" s="6" t="s">
        <v>14</v>
      </c>
      <c r="E12262" s="6" t="s">
        <v>39</v>
      </c>
      <c r="F12262" s="6" t="s">
        <v>494</v>
      </c>
      <c r="G12262" s="6" t="s">
        <v>2110</v>
      </c>
      <c r="H12262" s="6" t="s">
        <v>2415</v>
      </c>
      <c r="I12262" s="6" t="s">
        <v>31</v>
      </c>
      <c r="J12262" s="6">
        <v>16.426559920679999</v>
      </c>
      <c r="K12262" s="6">
        <v>-97.231338984269996</v>
      </c>
      <c r="L12262" s="6" t="str">
        <f>HYPERLINK("https://maps.google.com/?q=16.4265599206804,-97.231338984270295", "🔗 Ver Mapa")</f>
        <v>🔗 Ver Mapa</v>
      </c>
    </row>
    <row r="12263" spans="1:12" ht="43.5" x14ac:dyDescent="0.35">
      <c r="A12263" s="5" t="s">
        <v>98</v>
      </c>
      <c r="B12263" s="5" t="s">
        <v>99</v>
      </c>
      <c r="C12263" s="5" t="s">
        <v>2414</v>
      </c>
      <c r="D12263" s="5" t="s">
        <v>14</v>
      </c>
      <c r="E12263" s="5" t="s">
        <v>39</v>
      </c>
      <c r="F12263" s="5" t="s">
        <v>494</v>
      </c>
      <c r="G12263" s="5" t="s">
        <v>2110</v>
      </c>
      <c r="H12263" s="5" t="s">
        <v>2415</v>
      </c>
      <c r="I12263" s="5" t="s">
        <v>31</v>
      </c>
      <c r="J12263" s="5">
        <v>16.426577999999999</v>
      </c>
      <c r="K12263" s="5">
        <v>-97.224919999999997</v>
      </c>
      <c r="L12263" s="5" t="str">
        <f>HYPERLINK("https://maps.google.com/?q=16.426578,-97.224919999999997", "🔗 Ver Mapa")</f>
        <v>🔗 Ver Mapa</v>
      </c>
    </row>
    <row r="12264" spans="1:12" ht="43.5" x14ac:dyDescent="0.35">
      <c r="A12264" s="6" t="s">
        <v>98</v>
      </c>
      <c r="B12264" s="6" t="s">
        <v>99</v>
      </c>
      <c r="C12264" s="6" t="s">
        <v>2414</v>
      </c>
      <c r="D12264" s="6" t="s">
        <v>14</v>
      </c>
      <c r="E12264" s="6" t="s">
        <v>39</v>
      </c>
      <c r="F12264" s="6" t="s">
        <v>494</v>
      </c>
      <c r="G12264" s="6" t="s">
        <v>2110</v>
      </c>
      <c r="H12264" s="6" t="s">
        <v>2415</v>
      </c>
      <c r="I12264" s="6" t="s">
        <v>31</v>
      </c>
      <c r="J12264" s="6">
        <v>16.427435710000001</v>
      </c>
      <c r="K12264" s="6">
        <v>-97.226377479999996</v>
      </c>
      <c r="L12264" s="6" t="str">
        <f>HYPERLINK("https://maps.google.com/?q=16.42743571,-97.226377479999996", "🔗 Ver Mapa")</f>
        <v>🔗 Ver Mapa</v>
      </c>
    </row>
    <row r="12265" spans="1:12" ht="58" x14ac:dyDescent="0.35">
      <c r="A12265" s="5" t="s">
        <v>98</v>
      </c>
      <c r="B12265" s="5" t="s">
        <v>99</v>
      </c>
      <c r="C12265" s="5" t="s">
        <v>2416</v>
      </c>
      <c r="D12265" s="5" t="s">
        <v>14</v>
      </c>
      <c r="E12265" s="5" t="s">
        <v>158</v>
      </c>
      <c r="F12265" s="5" t="s">
        <v>159</v>
      </c>
      <c r="G12265" s="5" t="s">
        <v>808</v>
      </c>
      <c r="H12265" s="5" t="s">
        <v>809</v>
      </c>
      <c r="I12265" s="5" t="s">
        <v>31</v>
      </c>
      <c r="J12265" s="5">
        <v>16.473428723662</v>
      </c>
      <c r="K12265" s="5">
        <v>-94.355831101852004</v>
      </c>
      <c r="L12265" s="5" t="str">
        <f>HYPERLINK("https://maps.google.com/?q=16.4734287236616,-94.355831101852402", "🔗 Ver Mapa")</f>
        <v>🔗 Ver Mapa</v>
      </c>
    </row>
    <row r="12266" spans="1:12" ht="58" x14ac:dyDescent="0.35">
      <c r="A12266" s="6" t="s">
        <v>98</v>
      </c>
      <c r="B12266" s="6" t="s">
        <v>99</v>
      </c>
      <c r="C12266" s="6" t="s">
        <v>2416</v>
      </c>
      <c r="D12266" s="6" t="s">
        <v>14</v>
      </c>
      <c r="E12266" s="6" t="s">
        <v>158</v>
      </c>
      <c r="F12266" s="6" t="s">
        <v>159</v>
      </c>
      <c r="G12266" s="6" t="s">
        <v>808</v>
      </c>
      <c r="H12266" s="6" t="s">
        <v>809</v>
      </c>
      <c r="I12266" s="6" t="s">
        <v>31</v>
      </c>
      <c r="J12266" s="6">
        <v>16.476343184040999</v>
      </c>
      <c r="K12266" s="6">
        <v>-94.350297572911998</v>
      </c>
      <c r="L12266" s="6" t="str">
        <f>HYPERLINK("https://maps.google.com/?q=16.4763431840414,-94.350297572912098", "🔗 Ver Mapa")</f>
        <v>🔗 Ver Mapa</v>
      </c>
    </row>
    <row r="12267" spans="1:12" ht="58" x14ac:dyDescent="0.35">
      <c r="A12267" s="5" t="s">
        <v>98</v>
      </c>
      <c r="B12267" s="5" t="s">
        <v>99</v>
      </c>
      <c r="C12267" s="5" t="s">
        <v>2416</v>
      </c>
      <c r="D12267" s="5" t="s">
        <v>14</v>
      </c>
      <c r="E12267" s="5" t="s">
        <v>158</v>
      </c>
      <c r="F12267" s="5" t="s">
        <v>159</v>
      </c>
      <c r="G12267" s="5" t="s">
        <v>808</v>
      </c>
      <c r="H12267" s="5" t="s">
        <v>809</v>
      </c>
      <c r="I12267" s="5" t="s">
        <v>31</v>
      </c>
      <c r="J12267" s="5">
        <v>16.476379732241</v>
      </c>
      <c r="K12267" s="5">
        <v>-94.356477177909994</v>
      </c>
      <c r="L12267" s="5" t="str">
        <f>HYPERLINK("https://maps.google.com/?q=16.4763797322412,-94.356477177909795", "🔗 Ver Mapa")</f>
        <v>🔗 Ver Mapa</v>
      </c>
    </row>
    <row r="12268" spans="1:12" ht="58" x14ac:dyDescent="0.35">
      <c r="A12268" s="6" t="s">
        <v>98</v>
      </c>
      <c r="B12268" s="6" t="s">
        <v>99</v>
      </c>
      <c r="C12268" s="6" t="s">
        <v>2416</v>
      </c>
      <c r="D12268" s="6" t="s">
        <v>14</v>
      </c>
      <c r="E12268" s="6" t="s">
        <v>158</v>
      </c>
      <c r="F12268" s="6" t="s">
        <v>159</v>
      </c>
      <c r="G12268" s="6" t="s">
        <v>808</v>
      </c>
      <c r="H12268" s="6" t="s">
        <v>809</v>
      </c>
      <c r="I12268" s="6" t="s">
        <v>31</v>
      </c>
      <c r="J12268" s="6">
        <v>16.476655687621999</v>
      </c>
      <c r="K12268" s="6">
        <v>-94.351039203705</v>
      </c>
      <c r="L12268" s="6" t="str">
        <f>HYPERLINK("https://maps.google.com/?q=16.4766556876224,-94.351039203704801", "🔗 Ver Mapa")</f>
        <v>🔗 Ver Mapa</v>
      </c>
    </row>
    <row r="12269" spans="1:12" ht="58" x14ac:dyDescent="0.35">
      <c r="A12269" s="5" t="s">
        <v>98</v>
      </c>
      <c r="B12269" s="5" t="s">
        <v>99</v>
      </c>
      <c r="C12269" s="5" t="s">
        <v>2416</v>
      </c>
      <c r="D12269" s="5" t="s">
        <v>14</v>
      </c>
      <c r="E12269" s="5" t="s">
        <v>158</v>
      </c>
      <c r="F12269" s="5" t="s">
        <v>159</v>
      </c>
      <c r="G12269" s="5" t="s">
        <v>808</v>
      </c>
      <c r="H12269" s="5" t="s">
        <v>809</v>
      </c>
      <c r="I12269" s="5" t="s">
        <v>31</v>
      </c>
      <c r="J12269" s="5">
        <v>16.476925756850999</v>
      </c>
      <c r="K12269" s="5">
        <v>-94.356560530962994</v>
      </c>
      <c r="L12269" s="5" t="str">
        <f>HYPERLINK("https://maps.google.com/?q=16.4769257568511,-94.356560530962696", "🔗 Ver Mapa")</f>
        <v>🔗 Ver Mapa</v>
      </c>
    </row>
    <row r="12270" spans="1:12" ht="58" x14ac:dyDescent="0.35">
      <c r="A12270" s="6" t="s">
        <v>98</v>
      </c>
      <c r="B12270" s="6" t="s">
        <v>99</v>
      </c>
      <c r="C12270" s="6" t="s">
        <v>2416</v>
      </c>
      <c r="D12270" s="6" t="s">
        <v>14</v>
      </c>
      <c r="E12270" s="6" t="s">
        <v>158</v>
      </c>
      <c r="F12270" s="6" t="s">
        <v>159</v>
      </c>
      <c r="G12270" s="6" t="s">
        <v>808</v>
      </c>
      <c r="H12270" s="6" t="s">
        <v>809</v>
      </c>
      <c r="I12270" s="6" t="s">
        <v>31</v>
      </c>
      <c r="J12270" s="6">
        <v>16.478878417807</v>
      </c>
      <c r="K12270" s="6">
        <v>-94.359279542327997</v>
      </c>
      <c r="L12270" s="6" t="str">
        <f>HYPERLINK("https://maps.google.com/?q=16.4788784178067,-94.359279542327798", "🔗 Ver Mapa")</f>
        <v>🔗 Ver Mapa</v>
      </c>
    </row>
    <row r="12271" spans="1:12" ht="58" x14ac:dyDescent="0.35">
      <c r="A12271" s="5" t="s">
        <v>98</v>
      </c>
      <c r="B12271" s="5" t="s">
        <v>99</v>
      </c>
      <c r="C12271" s="5" t="s">
        <v>2416</v>
      </c>
      <c r="D12271" s="5" t="s">
        <v>14</v>
      </c>
      <c r="E12271" s="5" t="s">
        <v>158</v>
      </c>
      <c r="F12271" s="5" t="s">
        <v>159</v>
      </c>
      <c r="G12271" s="5" t="s">
        <v>808</v>
      </c>
      <c r="H12271" s="5" t="s">
        <v>809</v>
      </c>
      <c r="I12271" s="5" t="s">
        <v>31</v>
      </c>
      <c r="J12271" s="5">
        <v>16.478890055091998</v>
      </c>
      <c r="K12271" s="5">
        <v>-94.355903185181006</v>
      </c>
      <c r="L12271" s="5" t="str">
        <f>HYPERLINK("https://maps.google.com/?q=16.4788900550916,-94.355903185180594", "🔗 Ver Mapa")</f>
        <v>🔗 Ver Mapa</v>
      </c>
    </row>
    <row r="12272" spans="1:12" ht="58" x14ac:dyDescent="0.35">
      <c r="A12272" s="6" t="s">
        <v>98</v>
      </c>
      <c r="B12272" s="6" t="s">
        <v>99</v>
      </c>
      <c r="C12272" s="6" t="s">
        <v>2416</v>
      </c>
      <c r="D12272" s="6" t="s">
        <v>14</v>
      </c>
      <c r="E12272" s="6" t="s">
        <v>158</v>
      </c>
      <c r="F12272" s="6" t="s">
        <v>159</v>
      </c>
      <c r="G12272" s="6" t="s">
        <v>808</v>
      </c>
      <c r="H12272" s="6" t="s">
        <v>809</v>
      </c>
      <c r="I12272" s="6" t="s">
        <v>31</v>
      </c>
      <c r="J12272" s="6">
        <v>16.480014437287</v>
      </c>
      <c r="K12272" s="6">
        <v>-94.352296717756005</v>
      </c>
      <c r="L12272" s="6" t="str">
        <f>HYPERLINK("https://maps.google.com/?q=16.4800144372869,-94.352296717756204", "🔗 Ver Mapa")</f>
        <v>🔗 Ver Mapa</v>
      </c>
    </row>
    <row r="12273" spans="1:12" ht="58" x14ac:dyDescent="0.35">
      <c r="A12273" s="5" t="s">
        <v>98</v>
      </c>
      <c r="B12273" s="5" t="s">
        <v>99</v>
      </c>
      <c r="C12273" s="5" t="s">
        <v>2416</v>
      </c>
      <c r="D12273" s="5" t="s">
        <v>14</v>
      </c>
      <c r="E12273" s="5" t="s">
        <v>158</v>
      </c>
      <c r="F12273" s="5" t="s">
        <v>159</v>
      </c>
      <c r="G12273" s="5" t="s">
        <v>808</v>
      </c>
      <c r="H12273" s="5" t="s">
        <v>809</v>
      </c>
      <c r="I12273" s="5" t="s">
        <v>31</v>
      </c>
      <c r="J12273" s="5">
        <v>16.480114418168</v>
      </c>
      <c r="K12273" s="5">
        <v>-94.349453279762002</v>
      </c>
      <c r="L12273" s="5" t="str">
        <f>HYPERLINK("https://maps.google.com/?q=16.480114418168,-94.349453279762201", "🔗 Ver Mapa")</f>
        <v>🔗 Ver Mapa</v>
      </c>
    </row>
    <row r="12274" spans="1:12" ht="58" x14ac:dyDescent="0.35">
      <c r="A12274" s="6" t="s">
        <v>98</v>
      </c>
      <c r="B12274" s="6" t="s">
        <v>99</v>
      </c>
      <c r="C12274" s="6" t="s">
        <v>2416</v>
      </c>
      <c r="D12274" s="6" t="s">
        <v>14</v>
      </c>
      <c r="E12274" s="6" t="s">
        <v>158</v>
      </c>
      <c r="F12274" s="6" t="s">
        <v>159</v>
      </c>
      <c r="G12274" s="6" t="s">
        <v>808</v>
      </c>
      <c r="H12274" s="6" t="s">
        <v>809</v>
      </c>
      <c r="I12274" s="6" t="s">
        <v>31</v>
      </c>
      <c r="J12274" s="6">
        <v>16.481041885465</v>
      </c>
      <c r="K12274" s="6">
        <v>-94.346063480986004</v>
      </c>
      <c r="L12274" s="6" t="str">
        <f>HYPERLINK("https://maps.google.com/?q=16.4810418854652,-94.346063480985507", "🔗 Ver Mapa")</f>
        <v>🔗 Ver Mapa</v>
      </c>
    </row>
    <row r="12275" spans="1:12" ht="58" x14ac:dyDescent="0.35">
      <c r="A12275" s="5" t="s">
        <v>98</v>
      </c>
      <c r="B12275" s="5" t="s">
        <v>99</v>
      </c>
      <c r="C12275" s="5" t="s">
        <v>2416</v>
      </c>
      <c r="D12275" s="5" t="s">
        <v>14</v>
      </c>
      <c r="E12275" s="5" t="s">
        <v>158</v>
      </c>
      <c r="F12275" s="5" t="s">
        <v>159</v>
      </c>
      <c r="G12275" s="5" t="s">
        <v>808</v>
      </c>
      <c r="H12275" s="5" t="s">
        <v>809</v>
      </c>
      <c r="I12275" s="5" t="s">
        <v>31</v>
      </c>
      <c r="J12275" s="5">
        <v>16.483884961571999</v>
      </c>
      <c r="K12275" s="5">
        <v>-94.344716498641006</v>
      </c>
      <c r="L12275" s="5" t="str">
        <f>HYPERLINK("https://maps.google.com/?q=16.4838849615721,-94.344716498641304", "🔗 Ver Mapa")</f>
        <v>🔗 Ver Mapa</v>
      </c>
    </row>
    <row r="12276" spans="1:12" ht="58" x14ac:dyDescent="0.35">
      <c r="A12276" s="6" t="s">
        <v>98</v>
      </c>
      <c r="B12276" s="6" t="s">
        <v>99</v>
      </c>
      <c r="C12276" s="6" t="s">
        <v>2416</v>
      </c>
      <c r="D12276" s="6" t="s">
        <v>14</v>
      </c>
      <c r="E12276" s="6" t="s">
        <v>158</v>
      </c>
      <c r="F12276" s="6" t="s">
        <v>159</v>
      </c>
      <c r="G12276" s="6" t="s">
        <v>808</v>
      </c>
      <c r="H12276" s="6" t="s">
        <v>809</v>
      </c>
      <c r="I12276" s="6" t="s">
        <v>31</v>
      </c>
      <c r="J12276" s="6">
        <v>16.484345671379</v>
      </c>
      <c r="K12276" s="6">
        <v>-94.345630087249006</v>
      </c>
      <c r="L12276" s="6" t="str">
        <f>HYPERLINK("https://maps.google.com/?q=16.4843456713789,-94.345630087248793", "🔗 Ver Mapa")</f>
        <v>🔗 Ver Mapa</v>
      </c>
    </row>
    <row r="12277" spans="1:12" ht="58" x14ac:dyDescent="0.35">
      <c r="A12277" s="5" t="s">
        <v>98</v>
      </c>
      <c r="B12277" s="5" t="s">
        <v>99</v>
      </c>
      <c r="C12277" s="5" t="s">
        <v>2416</v>
      </c>
      <c r="D12277" s="5" t="s">
        <v>14</v>
      </c>
      <c r="E12277" s="5" t="s">
        <v>158</v>
      </c>
      <c r="F12277" s="5" t="s">
        <v>159</v>
      </c>
      <c r="G12277" s="5" t="s">
        <v>808</v>
      </c>
      <c r="H12277" s="5" t="s">
        <v>809</v>
      </c>
      <c r="I12277" s="5" t="s">
        <v>31</v>
      </c>
      <c r="J12277" s="5">
        <v>16.485015283788002</v>
      </c>
      <c r="K12277" s="5">
        <v>-94.348757603669995</v>
      </c>
      <c r="L12277" s="5" t="str">
        <f>HYPERLINK("https://maps.google.com/?q=16.4850152837879,-94.348757603670094", "🔗 Ver Mapa")</f>
        <v>🔗 Ver Mapa</v>
      </c>
    </row>
    <row r="12278" spans="1:12" ht="58" x14ac:dyDescent="0.35">
      <c r="A12278" s="6" t="s">
        <v>98</v>
      </c>
      <c r="B12278" s="6" t="s">
        <v>99</v>
      </c>
      <c r="C12278" s="6" t="s">
        <v>2416</v>
      </c>
      <c r="D12278" s="6" t="s">
        <v>14</v>
      </c>
      <c r="E12278" s="6" t="s">
        <v>158</v>
      </c>
      <c r="F12278" s="6" t="s">
        <v>159</v>
      </c>
      <c r="G12278" s="6" t="s">
        <v>808</v>
      </c>
      <c r="H12278" s="6" t="s">
        <v>809</v>
      </c>
      <c r="I12278" s="6" t="s">
        <v>31</v>
      </c>
      <c r="J12278" s="6">
        <v>16.485441400536001</v>
      </c>
      <c r="K12278" s="6">
        <v>-94.356274187202999</v>
      </c>
      <c r="L12278" s="6" t="str">
        <f>HYPERLINK("https://maps.google.com/?q=16.4854414005361,-94.356274187202999", "🔗 Ver Mapa")</f>
        <v>🔗 Ver Mapa</v>
      </c>
    </row>
    <row r="12279" spans="1:12" ht="58" x14ac:dyDescent="0.35">
      <c r="A12279" s="5" t="s">
        <v>98</v>
      </c>
      <c r="B12279" s="5" t="s">
        <v>99</v>
      </c>
      <c r="C12279" s="5" t="s">
        <v>2416</v>
      </c>
      <c r="D12279" s="5" t="s">
        <v>14</v>
      </c>
      <c r="E12279" s="5" t="s">
        <v>158</v>
      </c>
      <c r="F12279" s="5" t="s">
        <v>159</v>
      </c>
      <c r="G12279" s="5" t="s">
        <v>808</v>
      </c>
      <c r="H12279" s="5" t="s">
        <v>809</v>
      </c>
      <c r="I12279" s="5" t="s">
        <v>31</v>
      </c>
      <c r="J12279" s="5">
        <v>16.485770609654001</v>
      </c>
      <c r="K12279" s="5">
        <v>-94.349622308844999</v>
      </c>
      <c r="L12279" s="5" t="str">
        <f>HYPERLINK("https://maps.google.com/?q=16.4857706096541,-94.349622308845099", "🔗 Ver Mapa")</f>
        <v>🔗 Ver Mapa</v>
      </c>
    </row>
    <row r="12280" spans="1:12" ht="58" x14ac:dyDescent="0.35">
      <c r="A12280" s="6" t="s">
        <v>98</v>
      </c>
      <c r="B12280" s="6" t="s">
        <v>99</v>
      </c>
      <c r="C12280" s="6" t="s">
        <v>2416</v>
      </c>
      <c r="D12280" s="6" t="s">
        <v>14</v>
      </c>
      <c r="E12280" s="6" t="s">
        <v>158</v>
      </c>
      <c r="F12280" s="6" t="s">
        <v>159</v>
      </c>
      <c r="G12280" s="6" t="s">
        <v>808</v>
      </c>
      <c r="H12280" s="6" t="s">
        <v>809</v>
      </c>
      <c r="I12280" s="6" t="s">
        <v>31</v>
      </c>
      <c r="J12280" s="6">
        <v>16.486147149042999</v>
      </c>
      <c r="K12280" s="6">
        <v>-94.349436267181005</v>
      </c>
      <c r="L12280" s="6" t="str">
        <f>HYPERLINK("https://maps.google.com/?q=16.4861471490434,-94.349436267181005", "🔗 Ver Mapa")</f>
        <v>🔗 Ver Mapa</v>
      </c>
    </row>
    <row r="12281" spans="1:12" ht="58" x14ac:dyDescent="0.35">
      <c r="A12281" s="5" t="s">
        <v>98</v>
      </c>
      <c r="B12281" s="5" t="s">
        <v>99</v>
      </c>
      <c r="C12281" s="5" t="s">
        <v>2416</v>
      </c>
      <c r="D12281" s="5" t="s">
        <v>14</v>
      </c>
      <c r="E12281" s="5" t="s">
        <v>158</v>
      </c>
      <c r="F12281" s="5" t="s">
        <v>159</v>
      </c>
      <c r="G12281" s="5" t="s">
        <v>808</v>
      </c>
      <c r="H12281" s="5" t="s">
        <v>809</v>
      </c>
      <c r="I12281" s="5" t="s">
        <v>31</v>
      </c>
      <c r="J12281" s="5">
        <v>16.486634002582999</v>
      </c>
      <c r="K12281" s="5">
        <v>-94.359224542327993</v>
      </c>
      <c r="L12281" s="5" t="str">
        <f>HYPERLINK("https://maps.google.com/?q=16.4866340025827,-94.359224542327794", "🔗 Ver Mapa")</f>
        <v>🔗 Ver Mapa</v>
      </c>
    </row>
    <row r="12282" spans="1:12" ht="58" x14ac:dyDescent="0.35">
      <c r="A12282" s="6" t="s">
        <v>98</v>
      </c>
      <c r="B12282" s="6" t="s">
        <v>99</v>
      </c>
      <c r="C12282" s="6" t="s">
        <v>2416</v>
      </c>
      <c r="D12282" s="6" t="s">
        <v>14</v>
      </c>
      <c r="E12282" s="6" t="s">
        <v>158</v>
      </c>
      <c r="F12282" s="6" t="s">
        <v>159</v>
      </c>
      <c r="G12282" s="6" t="s">
        <v>808</v>
      </c>
      <c r="H12282" s="6" t="s">
        <v>809</v>
      </c>
      <c r="I12282" s="6" t="s">
        <v>31</v>
      </c>
      <c r="J12282" s="6">
        <v>16.486675153499998</v>
      </c>
      <c r="K12282" s="6">
        <v>-94.359412296958993</v>
      </c>
      <c r="L12282" s="6" t="str">
        <f>HYPERLINK("https://maps.google.com/?q=16.4866751534996,-94.359412296958894", "🔗 Ver Mapa")</f>
        <v>🔗 Ver Mapa</v>
      </c>
    </row>
    <row r="12283" spans="1:12" ht="58" x14ac:dyDescent="0.35">
      <c r="A12283" s="5" t="s">
        <v>98</v>
      </c>
      <c r="B12283" s="5" t="s">
        <v>99</v>
      </c>
      <c r="C12283" s="5" t="s">
        <v>2416</v>
      </c>
      <c r="D12283" s="5" t="s">
        <v>14</v>
      </c>
      <c r="E12283" s="5" t="s">
        <v>158</v>
      </c>
      <c r="F12283" s="5" t="s">
        <v>159</v>
      </c>
      <c r="G12283" s="5" t="s">
        <v>808</v>
      </c>
      <c r="H12283" s="5" t="s">
        <v>809</v>
      </c>
      <c r="I12283" s="5" t="s">
        <v>31</v>
      </c>
      <c r="J12283" s="5">
        <v>16.488293688013002</v>
      </c>
      <c r="K12283" s="5">
        <v>-94.341943494720994</v>
      </c>
      <c r="L12283" s="5" t="str">
        <f>HYPERLINK("https://maps.google.com/?q=16.4882936880129,-94.341943494720596", "🔗 Ver Mapa")</f>
        <v>🔗 Ver Mapa</v>
      </c>
    </row>
    <row r="12284" spans="1:12" ht="58" x14ac:dyDescent="0.35">
      <c r="A12284" s="6" t="s">
        <v>98</v>
      </c>
      <c r="B12284" s="6" t="s">
        <v>99</v>
      </c>
      <c r="C12284" s="6" t="s">
        <v>2416</v>
      </c>
      <c r="D12284" s="6" t="s">
        <v>14</v>
      </c>
      <c r="E12284" s="6" t="s">
        <v>158</v>
      </c>
      <c r="F12284" s="6" t="s">
        <v>159</v>
      </c>
      <c r="G12284" s="6" t="s">
        <v>808</v>
      </c>
      <c r="H12284" s="6" t="s">
        <v>809</v>
      </c>
      <c r="I12284" s="6" t="s">
        <v>31</v>
      </c>
      <c r="J12284" s="6">
        <v>16.489710456008002</v>
      </c>
      <c r="K12284" s="6">
        <v>-94.341042993882994</v>
      </c>
      <c r="L12284" s="6" t="str">
        <f>HYPERLINK("https://maps.google.com/?q=16.4897104560075,-94.341042993883093", "🔗 Ver Mapa")</f>
        <v>🔗 Ver Mapa</v>
      </c>
    </row>
    <row r="12285" spans="1:12" ht="58" x14ac:dyDescent="0.35">
      <c r="A12285" s="5" t="s">
        <v>98</v>
      </c>
      <c r="B12285" s="5" t="s">
        <v>99</v>
      </c>
      <c r="C12285" s="5" t="s">
        <v>2417</v>
      </c>
      <c r="D12285" s="5" t="s">
        <v>14</v>
      </c>
      <c r="E12285" s="5" t="s">
        <v>158</v>
      </c>
      <c r="F12285" s="5" t="s">
        <v>159</v>
      </c>
      <c r="G12285" s="5" t="s">
        <v>808</v>
      </c>
      <c r="H12285" s="5" t="s">
        <v>809</v>
      </c>
      <c r="I12285" s="5" t="s">
        <v>31</v>
      </c>
      <c r="J12285" s="5">
        <v>16.473428723662</v>
      </c>
      <c r="K12285" s="5">
        <v>-94.355831101852004</v>
      </c>
      <c r="L12285" s="5" t="str">
        <f>HYPERLINK("https://maps.google.com/?q=16.4734287236616,-94.355831101852402", "🔗 Ver Mapa")</f>
        <v>🔗 Ver Mapa</v>
      </c>
    </row>
    <row r="12286" spans="1:12" ht="58" x14ac:dyDescent="0.35">
      <c r="A12286" s="6" t="s">
        <v>98</v>
      </c>
      <c r="B12286" s="6" t="s">
        <v>99</v>
      </c>
      <c r="C12286" s="6" t="s">
        <v>2417</v>
      </c>
      <c r="D12286" s="6" t="s">
        <v>14</v>
      </c>
      <c r="E12286" s="6" t="s">
        <v>158</v>
      </c>
      <c r="F12286" s="6" t="s">
        <v>159</v>
      </c>
      <c r="G12286" s="6" t="s">
        <v>808</v>
      </c>
      <c r="H12286" s="6" t="s">
        <v>809</v>
      </c>
      <c r="I12286" s="6" t="s">
        <v>31</v>
      </c>
      <c r="J12286" s="6">
        <v>16.476343184040999</v>
      </c>
      <c r="K12286" s="6">
        <v>-94.350297572911998</v>
      </c>
      <c r="L12286" s="6" t="str">
        <f>HYPERLINK("https://maps.google.com/?q=16.4763431840414,-94.350297572912098", "🔗 Ver Mapa")</f>
        <v>🔗 Ver Mapa</v>
      </c>
    </row>
    <row r="12287" spans="1:12" ht="58" x14ac:dyDescent="0.35">
      <c r="A12287" s="5" t="s">
        <v>98</v>
      </c>
      <c r="B12287" s="5" t="s">
        <v>99</v>
      </c>
      <c r="C12287" s="5" t="s">
        <v>2417</v>
      </c>
      <c r="D12287" s="5" t="s">
        <v>14</v>
      </c>
      <c r="E12287" s="5" t="s">
        <v>158</v>
      </c>
      <c r="F12287" s="5" t="s">
        <v>159</v>
      </c>
      <c r="G12287" s="5" t="s">
        <v>808</v>
      </c>
      <c r="H12287" s="5" t="s">
        <v>809</v>
      </c>
      <c r="I12287" s="5" t="s">
        <v>31</v>
      </c>
      <c r="J12287" s="5">
        <v>16.476379732241</v>
      </c>
      <c r="K12287" s="5">
        <v>-94.356477177909994</v>
      </c>
      <c r="L12287" s="5" t="str">
        <f>HYPERLINK("https://maps.google.com/?q=16.4763797322412,-94.356477177909795", "🔗 Ver Mapa")</f>
        <v>🔗 Ver Mapa</v>
      </c>
    </row>
    <row r="12288" spans="1:12" ht="58" x14ac:dyDescent="0.35">
      <c r="A12288" s="6" t="s">
        <v>98</v>
      </c>
      <c r="B12288" s="6" t="s">
        <v>99</v>
      </c>
      <c r="C12288" s="6" t="s">
        <v>2417</v>
      </c>
      <c r="D12288" s="6" t="s">
        <v>14</v>
      </c>
      <c r="E12288" s="6" t="s">
        <v>158</v>
      </c>
      <c r="F12288" s="6" t="s">
        <v>159</v>
      </c>
      <c r="G12288" s="6" t="s">
        <v>808</v>
      </c>
      <c r="H12288" s="6" t="s">
        <v>809</v>
      </c>
      <c r="I12288" s="6" t="s">
        <v>31</v>
      </c>
      <c r="J12288" s="6">
        <v>16.476655687621999</v>
      </c>
      <c r="K12288" s="6">
        <v>-94.351039203705</v>
      </c>
      <c r="L12288" s="6" t="str">
        <f>HYPERLINK("https://maps.google.com/?q=16.4766556876224,-94.351039203704801", "🔗 Ver Mapa")</f>
        <v>🔗 Ver Mapa</v>
      </c>
    </row>
    <row r="12289" spans="1:12" ht="58" x14ac:dyDescent="0.35">
      <c r="A12289" s="5" t="s">
        <v>98</v>
      </c>
      <c r="B12289" s="5" t="s">
        <v>99</v>
      </c>
      <c r="C12289" s="5" t="s">
        <v>2417</v>
      </c>
      <c r="D12289" s="5" t="s">
        <v>14</v>
      </c>
      <c r="E12289" s="5" t="s">
        <v>158</v>
      </c>
      <c r="F12289" s="5" t="s">
        <v>159</v>
      </c>
      <c r="G12289" s="5" t="s">
        <v>808</v>
      </c>
      <c r="H12289" s="5" t="s">
        <v>809</v>
      </c>
      <c r="I12289" s="5" t="s">
        <v>31</v>
      </c>
      <c r="J12289" s="5">
        <v>16.476925756850999</v>
      </c>
      <c r="K12289" s="5">
        <v>-94.356560530962994</v>
      </c>
      <c r="L12289" s="5" t="str">
        <f>HYPERLINK("https://maps.google.com/?q=16.4769257568511,-94.356560530962696", "🔗 Ver Mapa")</f>
        <v>🔗 Ver Mapa</v>
      </c>
    </row>
    <row r="12290" spans="1:12" ht="58" x14ac:dyDescent="0.35">
      <c r="A12290" s="6" t="s">
        <v>98</v>
      </c>
      <c r="B12290" s="6" t="s">
        <v>99</v>
      </c>
      <c r="C12290" s="6" t="s">
        <v>2417</v>
      </c>
      <c r="D12290" s="6" t="s">
        <v>14</v>
      </c>
      <c r="E12290" s="6" t="s">
        <v>158</v>
      </c>
      <c r="F12290" s="6" t="s">
        <v>159</v>
      </c>
      <c r="G12290" s="6" t="s">
        <v>808</v>
      </c>
      <c r="H12290" s="6" t="s">
        <v>809</v>
      </c>
      <c r="I12290" s="6" t="s">
        <v>31</v>
      </c>
      <c r="J12290" s="6">
        <v>16.478878417807</v>
      </c>
      <c r="K12290" s="6">
        <v>-94.359279542327997</v>
      </c>
      <c r="L12290" s="6" t="str">
        <f>HYPERLINK("https://maps.google.com/?q=16.4788784178067,-94.359279542327798", "🔗 Ver Mapa")</f>
        <v>🔗 Ver Mapa</v>
      </c>
    </row>
    <row r="12291" spans="1:12" ht="58" x14ac:dyDescent="0.35">
      <c r="A12291" s="5" t="s">
        <v>98</v>
      </c>
      <c r="B12291" s="5" t="s">
        <v>99</v>
      </c>
      <c r="C12291" s="5" t="s">
        <v>2417</v>
      </c>
      <c r="D12291" s="5" t="s">
        <v>14</v>
      </c>
      <c r="E12291" s="5" t="s">
        <v>158</v>
      </c>
      <c r="F12291" s="5" t="s">
        <v>159</v>
      </c>
      <c r="G12291" s="5" t="s">
        <v>808</v>
      </c>
      <c r="H12291" s="5" t="s">
        <v>809</v>
      </c>
      <c r="I12291" s="5" t="s">
        <v>31</v>
      </c>
      <c r="J12291" s="5">
        <v>16.478890055091998</v>
      </c>
      <c r="K12291" s="5">
        <v>-94.355903185181006</v>
      </c>
      <c r="L12291" s="5" t="str">
        <f>HYPERLINK("https://maps.google.com/?q=16.4788900550916,-94.355903185180594", "🔗 Ver Mapa")</f>
        <v>🔗 Ver Mapa</v>
      </c>
    </row>
    <row r="12292" spans="1:12" ht="58" x14ac:dyDescent="0.35">
      <c r="A12292" s="6" t="s">
        <v>98</v>
      </c>
      <c r="B12292" s="6" t="s">
        <v>99</v>
      </c>
      <c r="C12292" s="6" t="s">
        <v>2417</v>
      </c>
      <c r="D12292" s="6" t="s">
        <v>14</v>
      </c>
      <c r="E12292" s="6" t="s">
        <v>158</v>
      </c>
      <c r="F12292" s="6" t="s">
        <v>159</v>
      </c>
      <c r="G12292" s="6" t="s">
        <v>808</v>
      </c>
      <c r="H12292" s="6" t="s">
        <v>809</v>
      </c>
      <c r="I12292" s="6" t="s">
        <v>31</v>
      </c>
      <c r="J12292" s="6">
        <v>16.480014437287</v>
      </c>
      <c r="K12292" s="6">
        <v>-94.352296717756005</v>
      </c>
      <c r="L12292" s="6" t="str">
        <f>HYPERLINK("https://maps.google.com/?q=16.4800144372869,-94.352296717756204", "🔗 Ver Mapa")</f>
        <v>🔗 Ver Mapa</v>
      </c>
    </row>
    <row r="12293" spans="1:12" ht="58" x14ac:dyDescent="0.35">
      <c r="A12293" s="5" t="s">
        <v>98</v>
      </c>
      <c r="B12293" s="5" t="s">
        <v>99</v>
      </c>
      <c r="C12293" s="5" t="s">
        <v>2417</v>
      </c>
      <c r="D12293" s="5" t="s">
        <v>14</v>
      </c>
      <c r="E12293" s="5" t="s">
        <v>158</v>
      </c>
      <c r="F12293" s="5" t="s">
        <v>159</v>
      </c>
      <c r="G12293" s="5" t="s">
        <v>808</v>
      </c>
      <c r="H12293" s="5" t="s">
        <v>809</v>
      </c>
      <c r="I12293" s="5" t="s">
        <v>31</v>
      </c>
      <c r="J12293" s="5">
        <v>16.480114418168</v>
      </c>
      <c r="K12293" s="5">
        <v>-94.349453279762002</v>
      </c>
      <c r="L12293" s="5" t="str">
        <f>HYPERLINK("https://maps.google.com/?q=16.480114418168,-94.349453279762201", "🔗 Ver Mapa")</f>
        <v>🔗 Ver Mapa</v>
      </c>
    </row>
    <row r="12294" spans="1:12" ht="58" x14ac:dyDescent="0.35">
      <c r="A12294" s="6" t="s">
        <v>98</v>
      </c>
      <c r="B12294" s="6" t="s">
        <v>99</v>
      </c>
      <c r="C12294" s="6" t="s">
        <v>2417</v>
      </c>
      <c r="D12294" s="6" t="s">
        <v>14</v>
      </c>
      <c r="E12294" s="6" t="s">
        <v>158</v>
      </c>
      <c r="F12294" s="6" t="s">
        <v>159</v>
      </c>
      <c r="G12294" s="6" t="s">
        <v>808</v>
      </c>
      <c r="H12294" s="6" t="s">
        <v>809</v>
      </c>
      <c r="I12294" s="6" t="s">
        <v>31</v>
      </c>
      <c r="J12294" s="6">
        <v>16.481041885465</v>
      </c>
      <c r="K12294" s="6">
        <v>-94.346063480986004</v>
      </c>
      <c r="L12294" s="6" t="str">
        <f>HYPERLINK("https://maps.google.com/?q=16.4810418854652,-94.346063480985507", "🔗 Ver Mapa")</f>
        <v>🔗 Ver Mapa</v>
      </c>
    </row>
    <row r="12295" spans="1:12" ht="58" x14ac:dyDescent="0.35">
      <c r="A12295" s="5" t="s">
        <v>98</v>
      </c>
      <c r="B12295" s="5" t="s">
        <v>99</v>
      </c>
      <c r="C12295" s="5" t="s">
        <v>2417</v>
      </c>
      <c r="D12295" s="5" t="s">
        <v>14</v>
      </c>
      <c r="E12295" s="5" t="s">
        <v>158</v>
      </c>
      <c r="F12295" s="5" t="s">
        <v>159</v>
      </c>
      <c r="G12295" s="5" t="s">
        <v>808</v>
      </c>
      <c r="H12295" s="5" t="s">
        <v>809</v>
      </c>
      <c r="I12295" s="5" t="s">
        <v>31</v>
      </c>
      <c r="J12295" s="5">
        <v>16.483884961571999</v>
      </c>
      <c r="K12295" s="5">
        <v>-94.344716498641006</v>
      </c>
      <c r="L12295" s="5" t="str">
        <f>HYPERLINK("https://maps.google.com/?q=16.4838849615721,-94.344716498641304", "🔗 Ver Mapa")</f>
        <v>🔗 Ver Mapa</v>
      </c>
    </row>
    <row r="12296" spans="1:12" ht="58" x14ac:dyDescent="0.35">
      <c r="A12296" s="6" t="s">
        <v>98</v>
      </c>
      <c r="B12296" s="6" t="s">
        <v>99</v>
      </c>
      <c r="C12296" s="6" t="s">
        <v>2417</v>
      </c>
      <c r="D12296" s="6" t="s">
        <v>14</v>
      </c>
      <c r="E12296" s="6" t="s">
        <v>158</v>
      </c>
      <c r="F12296" s="6" t="s">
        <v>159</v>
      </c>
      <c r="G12296" s="6" t="s">
        <v>808</v>
      </c>
      <c r="H12296" s="6" t="s">
        <v>809</v>
      </c>
      <c r="I12296" s="6" t="s">
        <v>31</v>
      </c>
      <c r="J12296" s="6">
        <v>16.484345671379</v>
      </c>
      <c r="K12296" s="6">
        <v>-94.345630087249006</v>
      </c>
      <c r="L12296" s="6" t="str">
        <f>HYPERLINK("https://maps.google.com/?q=16.4843456713789,-94.345630087248793", "🔗 Ver Mapa")</f>
        <v>🔗 Ver Mapa</v>
      </c>
    </row>
    <row r="12297" spans="1:12" ht="58" x14ac:dyDescent="0.35">
      <c r="A12297" s="5" t="s">
        <v>98</v>
      </c>
      <c r="B12297" s="5" t="s">
        <v>99</v>
      </c>
      <c r="C12297" s="5" t="s">
        <v>2417</v>
      </c>
      <c r="D12297" s="5" t="s">
        <v>14</v>
      </c>
      <c r="E12297" s="5" t="s">
        <v>158</v>
      </c>
      <c r="F12297" s="5" t="s">
        <v>159</v>
      </c>
      <c r="G12297" s="5" t="s">
        <v>808</v>
      </c>
      <c r="H12297" s="5" t="s">
        <v>809</v>
      </c>
      <c r="I12297" s="5" t="s">
        <v>31</v>
      </c>
      <c r="J12297" s="5">
        <v>16.485015283788002</v>
      </c>
      <c r="K12297" s="5">
        <v>-94.348757603669995</v>
      </c>
      <c r="L12297" s="5" t="str">
        <f>HYPERLINK("https://maps.google.com/?q=16.4850152837879,-94.348757603670094", "🔗 Ver Mapa")</f>
        <v>🔗 Ver Mapa</v>
      </c>
    </row>
    <row r="12298" spans="1:12" ht="58" x14ac:dyDescent="0.35">
      <c r="A12298" s="6" t="s">
        <v>98</v>
      </c>
      <c r="B12298" s="6" t="s">
        <v>99</v>
      </c>
      <c r="C12298" s="6" t="s">
        <v>2417</v>
      </c>
      <c r="D12298" s="6" t="s">
        <v>14</v>
      </c>
      <c r="E12298" s="6" t="s">
        <v>158</v>
      </c>
      <c r="F12298" s="6" t="s">
        <v>159</v>
      </c>
      <c r="G12298" s="6" t="s">
        <v>808</v>
      </c>
      <c r="H12298" s="6" t="s">
        <v>809</v>
      </c>
      <c r="I12298" s="6" t="s">
        <v>31</v>
      </c>
      <c r="J12298" s="6">
        <v>16.485441400536001</v>
      </c>
      <c r="K12298" s="6">
        <v>-94.356274187202999</v>
      </c>
      <c r="L12298" s="6" t="str">
        <f>HYPERLINK("https://maps.google.com/?q=16.4854414005361,-94.356274187202999", "🔗 Ver Mapa")</f>
        <v>🔗 Ver Mapa</v>
      </c>
    </row>
    <row r="12299" spans="1:12" ht="58" x14ac:dyDescent="0.35">
      <c r="A12299" s="5" t="s">
        <v>98</v>
      </c>
      <c r="B12299" s="5" t="s">
        <v>99</v>
      </c>
      <c r="C12299" s="5" t="s">
        <v>2417</v>
      </c>
      <c r="D12299" s="5" t="s">
        <v>14</v>
      </c>
      <c r="E12299" s="5" t="s">
        <v>158</v>
      </c>
      <c r="F12299" s="5" t="s">
        <v>159</v>
      </c>
      <c r="G12299" s="5" t="s">
        <v>808</v>
      </c>
      <c r="H12299" s="5" t="s">
        <v>809</v>
      </c>
      <c r="I12299" s="5" t="s">
        <v>31</v>
      </c>
      <c r="J12299" s="5">
        <v>16.485770609654001</v>
      </c>
      <c r="K12299" s="5">
        <v>-94.349622308844999</v>
      </c>
      <c r="L12299" s="5" t="str">
        <f>HYPERLINK("https://maps.google.com/?q=16.4857706096541,-94.349622308845099", "🔗 Ver Mapa")</f>
        <v>🔗 Ver Mapa</v>
      </c>
    </row>
    <row r="12300" spans="1:12" ht="58" x14ac:dyDescent="0.35">
      <c r="A12300" s="6" t="s">
        <v>98</v>
      </c>
      <c r="B12300" s="6" t="s">
        <v>99</v>
      </c>
      <c r="C12300" s="6" t="s">
        <v>2417</v>
      </c>
      <c r="D12300" s="6" t="s">
        <v>14</v>
      </c>
      <c r="E12300" s="6" t="s">
        <v>158</v>
      </c>
      <c r="F12300" s="6" t="s">
        <v>159</v>
      </c>
      <c r="G12300" s="6" t="s">
        <v>808</v>
      </c>
      <c r="H12300" s="6" t="s">
        <v>809</v>
      </c>
      <c r="I12300" s="6" t="s">
        <v>31</v>
      </c>
      <c r="J12300" s="6">
        <v>16.486147149042999</v>
      </c>
      <c r="K12300" s="6">
        <v>-94.349436267181005</v>
      </c>
      <c r="L12300" s="6" t="str">
        <f>HYPERLINK("https://maps.google.com/?q=16.4861471490434,-94.349436267181005", "🔗 Ver Mapa")</f>
        <v>🔗 Ver Mapa</v>
      </c>
    </row>
    <row r="12301" spans="1:12" ht="58" x14ac:dyDescent="0.35">
      <c r="A12301" s="5" t="s">
        <v>98</v>
      </c>
      <c r="B12301" s="5" t="s">
        <v>99</v>
      </c>
      <c r="C12301" s="5" t="s">
        <v>2417</v>
      </c>
      <c r="D12301" s="5" t="s">
        <v>14</v>
      </c>
      <c r="E12301" s="5" t="s">
        <v>158</v>
      </c>
      <c r="F12301" s="5" t="s">
        <v>159</v>
      </c>
      <c r="G12301" s="5" t="s">
        <v>808</v>
      </c>
      <c r="H12301" s="5" t="s">
        <v>809</v>
      </c>
      <c r="I12301" s="5" t="s">
        <v>31</v>
      </c>
      <c r="J12301" s="5">
        <v>16.486634002582999</v>
      </c>
      <c r="K12301" s="5">
        <v>-94.359224542327993</v>
      </c>
      <c r="L12301" s="5" t="str">
        <f>HYPERLINK("https://maps.google.com/?q=16.4866340025827,-94.359224542327794", "🔗 Ver Mapa")</f>
        <v>🔗 Ver Mapa</v>
      </c>
    </row>
    <row r="12302" spans="1:12" ht="58" x14ac:dyDescent="0.35">
      <c r="A12302" s="6" t="s">
        <v>98</v>
      </c>
      <c r="B12302" s="6" t="s">
        <v>99</v>
      </c>
      <c r="C12302" s="6" t="s">
        <v>2417</v>
      </c>
      <c r="D12302" s="6" t="s">
        <v>14</v>
      </c>
      <c r="E12302" s="6" t="s">
        <v>158</v>
      </c>
      <c r="F12302" s="6" t="s">
        <v>159</v>
      </c>
      <c r="G12302" s="6" t="s">
        <v>808</v>
      </c>
      <c r="H12302" s="6" t="s">
        <v>809</v>
      </c>
      <c r="I12302" s="6" t="s">
        <v>31</v>
      </c>
      <c r="J12302" s="6">
        <v>16.486675153499998</v>
      </c>
      <c r="K12302" s="6">
        <v>-94.359412296958993</v>
      </c>
      <c r="L12302" s="6" t="str">
        <f>HYPERLINK("https://maps.google.com/?q=16.4866751534996,-94.359412296958894", "🔗 Ver Mapa")</f>
        <v>🔗 Ver Mapa</v>
      </c>
    </row>
    <row r="12303" spans="1:12" ht="58" x14ac:dyDescent="0.35">
      <c r="A12303" s="5" t="s">
        <v>98</v>
      </c>
      <c r="B12303" s="5" t="s">
        <v>99</v>
      </c>
      <c r="C12303" s="5" t="s">
        <v>2417</v>
      </c>
      <c r="D12303" s="5" t="s">
        <v>14</v>
      </c>
      <c r="E12303" s="5" t="s">
        <v>158</v>
      </c>
      <c r="F12303" s="5" t="s">
        <v>159</v>
      </c>
      <c r="G12303" s="5" t="s">
        <v>808</v>
      </c>
      <c r="H12303" s="5" t="s">
        <v>809</v>
      </c>
      <c r="I12303" s="5" t="s">
        <v>31</v>
      </c>
      <c r="J12303" s="5">
        <v>16.488293688013002</v>
      </c>
      <c r="K12303" s="5">
        <v>-94.341943494720994</v>
      </c>
      <c r="L12303" s="5" t="str">
        <f>HYPERLINK("https://maps.google.com/?q=16.4882936880129,-94.341943494720596", "🔗 Ver Mapa")</f>
        <v>🔗 Ver Mapa</v>
      </c>
    </row>
    <row r="12304" spans="1:12" ht="58" x14ac:dyDescent="0.35">
      <c r="A12304" s="6" t="s">
        <v>98</v>
      </c>
      <c r="B12304" s="6" t="s">
        <v>99</v>
      </c>
      <c r="C12304" s="6" t="s">
        <v>2417</v>
      </c>
      <c r="D12304" s="6" t="s">
        <v>14</v>
      </c>
      <c r="E12304" s="6" t="s">
        <v>158</v>
      </c>
      <c r="F12304" s="6" t="s">
        <v>159</v>
      </c>
      <c r="G12304" s="6" t="s">
        <v>808</v>
      </c>
      <c r="H12304" s="6" t="s">
        <v>809</v>
      </c>
      <c r="I12304" s="6" t="s">
        <v>31</v>
      </c>
      <c r="J12304" s="6">
        <v>16.489710456008002</v>
      </c>
      <c r="K12304" s="6">
        <v>-94.341042993882994</v>
      </c>
      <c r="L12304" s="6" t="str">
        <f>HYPERLINK("https://maps.google.com/?q=16.4897104560075,-94.341042993883093", "🔗 Ver Mapa")</f>
        <v>🔗 Ver Mapa</v>
      </c>
    </row>
    <row r="12305" spans="1:12" ht="43.5" x14ac:dyDescent="0.35">
      <c r="A12305" s="5" t="s">
        <v>288</v>
      </c>
      <c r="B12305" s="5" t="s">
        <v>289</v>
      </c>
      <c r="C12305" s="5" t="s">
        <v>2418</v>
      </c>
      <c r="D12305" s="5" t="s">
        <v>414</v>
      </c>
      <c r="E12305" s="5" t="s">
        <v>110</v>
      </c>
      <c r="F12305" s="5" t="s">
        <v>111</v>
      </c>
      <c r="G12305" s="5" t="s">
        <v>2419</v>
      </c>
      <c r="H12305" s="5" t="s">
        <v>2420</v>
      </c>
      <c r="I12305" s="5" t="s">
        <v>31</v>
      </c>
      <c r="J12305" s="5">
        <v>18.134834449892999</v>
      </c>
      <c r="K12305" s="5">
        <v>-96.805267999999998</v>
      </c>
      <c r="L12305" s="5" t="str">
        <f>HYPERLINK("https://maps.google.com/?q=18.134834449892942,-96.805268", "🔗 Ver Mapa")</f>
        <v>🔗 Ver Mapa</v>
      </c>
    </row>
    <row r="12306" spans="1:12" ht="43.5" x14ac:dyDescent="0.35">
      <c r="A12306" s="6" t="s">
        <v>288</v>
      </c>
      <c r="B12306" s="6" t="s">
        <v>289</v>
      </c>
      <c r="C12306" s="6" t="s">
        <v>2418</v>
      </c>
      <c r="D12306" s="6" t="s">
        <v>414</v>
      </c>
      <c r="E12306" s="6" t="s">
        <v>110</v>
      </c>
      <c r="F12306" s="6" t="s">
        <v>111</v>
      </c>
      <c r="G12306" s="6" t="s">
        <v>2419</v>
      </c>
      <c r="H12306" s="6" t="s">
        <v>2420</v>
      </c>
      <c r="I12306" s="6" t="s">
        <v>31</v>
      </c>
      <c r="J12306" s="6">
        <v>18.136112215084999</v>
      </c>
      <c r="K12306" s="6">
        <v>-96.805776084656003</v>
      </c>
      <c r="L12306" s="6" t="str">
        <f>HYPERLINK("https://maps.google.com/?q=18.136112215085088,-96.80577608465575", "🔗 Ver Mapa")</f>
        <v>🔗 Ver Mapa</v>
      </c>
    </row>
    <row r="12307" spans="1:12" ht="43.5" x14ac:dyDescent="0.35">
      <c r="A12307" s="5" t="s">
        <v>288</v>
      </c>
      <c r="B12307" s="5" t="s">
        <v>289</v>
      </c>
      <c r="C12307" s="5" t="s">
        <v>2421</v>
      </c>
      <c r="D12307" s="5" t="s">
        <v>600</v>
      </c>
      <c r="E12307" s="5" t="s">
        <v>110</v>
      </c>
      <c r="F12307" s="5" t="s">
        <v>111</v>
      </c>
      <c r="G12307" s="5" t="s">
        <v>2419</v>
      </c>
      <c r="H12307" s="5" t="s">
        <v>2420</v>
      </c>
      <c r="I12307" s="5" t="s">
        <v>31</v>
      </c>
      <c r="J12307" s="5">
        <v>18.141656000000001</v>
      </c>
      <c r="K12307" s="5">
        <v>-96.804563999999999</v>
      </c>
      <c r="L12307" s="5" t="str">
        <f>HYPERLINK("https://maps.google.com/?q=18.141656,-96.804564", "🔗 Ver Mapa")</f>
        <v>🔗 Ver Mapa</v>
      </c>
    </row>
    <row r="12308" spans="1:12" ht="43.5" x14ac:dyDescent="0.35">
      <c r="A12308" s="6" t="s">
        <v>309</v>
      </c>
      <c r="B12308" s="6" t="s">
        <v>310</v>
      </c>
      <c r="C12308" s="6" t="s">
        <v>2422</v>
      </c>
      <c r="D12308" s="6" t="s">
        <v>51</v>
      </c>
      <c r="E12308" s="6" t="s">
        <v>52</v>
      </c>
      <c r="F12308" s="6" t="s">
        <v>70</v>
      </c>
      <c r="G12308" s="6" t="s">
        <v>272</v>
      </c>
      <c r="H12308" s="6" t="s">
        <v>320</v>
      </c>
      <c r="I12308" s="6" t="s">
        <v>31</v>
      </c>
      <c r="J12308" s="6">
        <v>16.909980699999998</v>
      </c>
      <c r="K12308" s="6" t="s">
        <v>761</v>
      </c>
      <c r="L12308" s="6" t="str">
        <f>HYPERLINK("https://maps.google.com/?q=16.9099807,	-96.720373", "🔗 Ver Mapa")</f>
        <v>🔗 Ver Mapa</v>
      </c>
    </row>
    <row r="12309" spans="1:12" ht="101.5" x14ac:dyDescent="0.35">
      <c r="A12309" s="5" t="s">
        <v>674</v>
      </c>
      <c r="B12309" s="5" t="s">
        <v>675</v>
      </c>
      <c r="C12309" s="5" t="s">
        <v>2423</v>
      </c>
      <c r="D12309" s="5" t="s">
        <v>677</v>
      </c>
      <c r="E12309" s="5" t="s">
        <v>90</v>
      </c>
      <c r="F12309" s="5" t="s">
        <v>678</v>
      </c>
      <c r="G12309" s="5" t="s">
        <v>2424</v>
      </c>
      <c r="H12309" s="5" t="s">
        <v>2425</v>
      </c>
      <c r="I12309" s="5" t="s">
        <v>31</v>
      </c>
      <c r="J12309" s="5">
        <v>17.143944000000001</v>
      </c>
      <c r="K12309" s="5">
        <v>-96.434535999999994</v>
      </c>
      <c r="L12309" s="5" t="str">
        <f>HYPERLINK("https://maps.google.com/?q=17.143944,-96.434536", "🔗 Ver Mapa")</f>
        <v>🔗 Ver Mapa</v>
      </c>
    </row>
    <row r="12310" spans="1:12" ht="101.5" x14ac:dyDescent="0.35">
      <c r="A12310" s="6" t="s">
        <v>674</v>
      </c>
      <c r="B12310" s="6" t="s">
        <v>675</v>
      </c>
      <c r="C12310" s="6" t="s">
        <v>2423</v>
      </c>
      <c r="D12310" s="6" t="s">
        <v>677</v>
      </c>
      <c r="E12310" s="6" t="s">
        <v>90</v>
      </c>
      <c r="F12310" s="6" t="s">
        <v>678</v>
      </c>
      <c r="G12310" s="6" t="s">
        <v>2424</v>
      </c>
      <c r="H12310" s="6" t="s">
        <v>2425</v>
      </c>
      <c r="I12310" s="6" t="s">
        <v>31</v>
      </c>
      <c r="J12310" s="6">
        <v>17.145011</v>
      </c>
      <c r="K12310" s="6">
        <v>-96.408737000000002</v>
      </c>
      <c r="L12310" s="6" t="str">
        <f>HYPERLINK("https://maps.google.com/?q=17.145011,-96.408737", "🔗 Ver Mapa")</f>
        <v>🔗 Ver Mapa</v>
      </c>
    </row>
    <row r="12311" spans="1:12" ht="101.5" x14ac:dyDescent="0.35">
      <c r="A12311" s="5" t="s">
        <v>674</v>
      </c>
      <c r="B12311" s="5" t="s">
        <v>675</v>
      </c>
      <c r="C12311" s="5" t="s">
        <v>2423</v>
      </c>
      <c r="D12311" s="5" t="s">
        <v>677</v>
      </c>
      <c r="E12311" s="5" t="s">
        <v>90</v>
      </c>
      <c r="F12311" s="5" t="s">
        <v>678</v>
      </c>
      <c r="G12311" s="5" t="s">
        <v>2424</v>
      </c>
      <c r="H12311" s="5" t="s">
        <v>2425</v>
      </c>
      <c r="I12311" s="5" t="s">
        <v>31</v>
      </c>
      <c r="J12311" s="5">
        <v>17.154843</v>
      </c>
      <c r="K12311" s="5">
        <v>-96.240662</v>
      </c>
      <c r="L12311" s="5" t="str">
        <f>HYPERLINK("https://maps.google.com/?q=17.154843,-96.240662", "🔗 Ver Mapa")</f>
        <v>🔗 Ver Mapa</v>
      </c>
    </row>
    <row r="12312" spans="1:12" ht="101.5" x14ac:dyDescent="0.35">
      <c r="A12312" s="6" t="s">
        <v>674</v>
      </c>
      <c r="B12312" s="6" t="s">
        <v>675</v>
      </c>
      <c r="C12312" s="6" t="s">
        <v>2423</v>
      </c>
      <c r="D12312" s="6" t="s">
        <v>677</v>
      </c>
      <c r="E12312" s="6" t="s">
        <v>90</v>
      </c>
      <c r="F12312" s="6" t="s">
        <v>678</v>
      </c>
      <c r="G12312" s="6" t="s">
        <v>2424</v>
      </c>
      <c r="H12312" s="6" t="s">
        <v>2425</v>
      </c>
      <c r="I12312" s="6" t="s">
        <v>31</v>
      </c>
      <c r="J12312" s="6">
        <v>17.155307000000001</v>
      </c>
      <c r="K12312" s="6">
        <v>-96.218743000000003</v>
      </c>
      <c r="L12312" s="6" t="str">
        <f>HYPERLINK("https://maps.google.com/?q=17.155307,-96.218743", "🔗 Ver Mapa")</f>
        <v>🔗 Ver Mapa</v>
      </c>
    </row>
    <row r="12313" spans="1:12" ht="101.5" x14ac:dyDescent="0.35">
      <c r="A12313" s="5" t="s">
        <v>674</v>
      </c>
      <c r="B12313" s="5" t="s">
        <v>675</v>
      </c>
      <c r="C12313" s="5" t="s">
        <v>2423</v>
      </c>
      <c r="D12313" s="5" t="s">
        <v>677</v>
      </c>
      <c r="E12313" s="5" t="s">
        <v>90</v>
      </c>
      <c r="F12313" s="5" t="s">
        <v>678</v>
      </c>
      <c r="G12313" s="5" t="s">
        <v>2424</v>
      </c>
      <c r="H12313" s="5" t="s">
        <v>2425</v>
      </c>
      <c r="I12313" s="5" t="s">
        <v>31</v>
      </c>
      <c r="J12313" s="5">
        <v>17.157311</v>
      </c>
      <c r="K12313" s="5">
        <v>-96.249285</v>
      </c>
      <c r="L12313" s="5" t="str">
        <f>HYPERLINK("https://maps.google.com/?q=17.157311,-96.249285", "🔗 Ver Mapa")</f>
        <v>🔗 Ver Mapa</v>
      </c>
    </row>
    <row r="12314" spans="1:12" ht="101.5" x14ac:dyDescent="0.35">
      <c r="A12314" s="6" t="s">
        <v>674</v>
      </c>
      <c r="B12314" s="6" t="s">
        <v>675</v>
      </c>
      <c r="C12314" s="6" t="s">
        <v>2423</v>
      </c>
      <c r="D12314" s="6" t="s">
        <v>677</v>
      </c>
      <c r="E12314" s="6" t="s">
        <v>90</v>
      </c>
      <c r="F12314" s="6" t="s">
        <v>678</v>
      </c>
      <c r="G12314" s="6" t="s">
        <v>2424</v>
      </c>
      <c r="H12314" s="6" t="s">
        <v>2425</v>
      </c>
      <c r="I12314" s="6" t="s">
        <v>31</v>
      </c>
      <c r="J12314" s="6">
        <v>17.159761</v>
      </c>
      <c r="K12314" s="6">
        <v>-96.185972000000007</v>
      </c>
      <c r="L12314" s="6" t="str">
        <f>HYPERLINK("https://maps.google.com/?q=17.159761,-96.185972", "🔗 Ver Mapa")</f>
        <v>🔗 Ver Mapa</v>
      </c>
    </row>
    <row r="12315" spans="1:12" ht="101.5" x14ac:dyDescent="0.35">
      <c r="A12315" s="5" t="s">
        <v>674</v>
      </c>
      <c r="B12315" s="5" t="s">
        <v>675</v>
      </c>
      <c r="C12315" s="5" t="s">
        <v>2423</v>
      </c>
      <c r="D12315" s="5" t="s">
        <v>677</v>
      </c>
      <c r="E12315" s="5" t="s">
        <v>90</v>
      </c>
      <c r="F12315" s="5" t="s">
        <v>678</v>
      </c>
      <c r="G12315" s="5" t="s">
        <v>2424</v>
      </c>
      <c r="H12315" s="5" t="s">
        <v>2425</v>
      </c>
      <c r="I12315" s="5" t="s">
        <v>31</v>
      </c>
      <c r="J12315" s="5">
        <v>17.169253999999999</v>
      </c>
      <c r="K12315" s="5">
        <v>-96.268429999999995</v>
      </c>
      <c r="L12315" s="5" t="str">
        <f>HYPERLINK("https://maps.google.com/?q=17.169254,-96.268430", "🔗 Ver Mapa")</f>
        <v>🔗 Ver Mapa</v>
      </c>
    </row>
    <row r="12316" spans="1:12" ht="101.5" x14ac:dyDescent="0.35">
      <c r="A12316" s="6" t="s">
        <v>674</v>
      </c>
      <c r="B12316" s="6" t="s">
        <v>675</v>
      </c>
      <c r="C12316" s="6" t="s">
        <v>2423</v>
      </c>
      <c r="D12316" s="6" t="s">
        <v>677</v>
      </c>
      <c r="E12316" s="6" t="s">
        <v>90</v>
      </c>
      <c r="F12316" s="6" t="s">
        <v>678</v>
      </c>
      <c r="G12316" s="6" t="s">
        <v>2424</v>
      </c>
      <c r="H12316" s="6" t="s">
        <v>2425</v>
      </c>
      <c r="I12316" s="6" t="s">
        <v>31</v>
      </c>
      <c r="J12316" s="6">
        <v>17.173404999999999</v>
      </c>
      <c r="K12316" s="6">
        <v>-96.339347000000004</v>
      </c>
      <c r="L12316" s="6" t="str">
        <f>HYPERLINK("https://maps.google.com/?q=17.173405,-96.339347", "🔗 Ver Mapa")</f>
        <v>🔗 Ver Mapa</v>
      </c>
    </row>
    <row r="12317" spans="1:12" ht="101.5" x14ac:dyDescent="0.35">
      <c r="A12317" s="5" t="s">
        <v>674</v>
      </c>
      <c r="B12317" s="5" t="s">
        <v>675</v>
      </c>
      <c r="C12317" s="5" t="s">
        <v>2423</v>
      </c>
      <c r="D12317" s="5" t="s">
        <v>677</v>
      </c>
      <c r="E12317" s="5" t="s">
        <v>90</v>
      </c>
      <c r="F12317" s="5" t="s">
        <v>678</v>
      </c>
      <c r="G12317" s="5" t="s">
        <v>2424</v>
      </c>
      <c r="H12317" s="5" t="s">
        <v>2425</v>
      </c>
      <c r="I12317" s="5" t="s">
        <v>31</v>
      </c>
      <c r="J12317" s="5">
        <v>17.180527000000001</v>
      </c>
      <c r="K12317" s="5">
        <v>-96.368975000000006</v>
      </c>
      <c r="L12317" s="5" t="str">
        <f>HYPERLINK("https://maps.google.com/?q=17.180527,-96.368975", "🔗 Ver Mapa")</f>
        <v>🔗 Ver Mapa</v>
      </c>
    </row>
    <row r="12318" spans="1:12" ht="101.5" x14ac:dyDescent="0.35">
      <c r="A12318" s="6" t="s">
        <v>674</v>
      </c>
      <c r="B12318" s="6" t="s">
        <v>675</v>
      </c>
      <c r="C12318" s="6" t="s">
        <v>2423</v>
      </c>
      <c r="D12318" s="6" t="s">
        <v>677</v>
      </c>
      <c r="E12318" s="6" t="s">
        <v>90</v>
      </c>
      <c r="F12318" s="6" t="s">
        <v>678</v>
      </c>
      <c r="G12318" s="6" t="s">
        <v>2424</v>
      </c>
      <c r="H12318" s="6" t="s">
        <v>2425</v>
      </c>
      <c r="I12318" s="6" t="s">
        <v>31</v>
      </c>
      <c r="J12318" s="6">
        <v>17.197763999999999</v>
      </c>
      <c r="K12318" s="6">
        <v>-96.149591999999998</v>
      </c>
      <c r="L12318" s="6" t="str">
        <f>HYPERLINK("https://maps.google.com/?q=17.197764,-96.149592", "🔗 Ver Mapa")</f>
        <v>🔗 Ver Mapa</v>
      </c>
    </row>
    <row r="12319" spans="1:12" ht="72.5" x14ac:dyDescent="0.35">
      <c r="A12319" s="5" t="s">
        <v>674</v>
      </c>
      <c r="B12319" s="5" t="s">
        <v>675</v>
      </c>
      <c r="C12319" s="5" t="s">
        <v>2426</v>
      </c>
      <c r="D12319" s="5" t="s">
        <v>677</v>
      </c>
      <c r="E12319" s="5" t="s">
        <v>90</v>
      </c>
      <c r="F12319" s="5" t="s">
        <v>678</v>
      </c>
      <c r="G12319" s="5" t="s">
        <v>1927</v>
      </c>
      <c r="H12319" s="5" t="s">
        <v>2427</v>
      </c>
      <c r="I12319" s="5" t="s">
        <v>31</v>
      </c>
      <c r="J12319" s="5">
        <v>17.306315000000001</v>
      </c>
      <c r="K12319" s="5">
        <v>-96.163876000000002</v>
      </c>
      <c r="L12319" s="5" t="str">
        <f>HYPERLINK("https://maps.google.com/?q=17.306315,-96.163876", "🔗 Ver Mapa")</f>
        <v>🔗 Ver Mapa</v>
      </c>
    </row>
    <row r="12320" spans="1:12" ht="72.5" x14ac:dyDescent="0.35">
      <c r="A12320" s="6" t="s">
        <v>674</v>
      </c>
      <c r="B12320" s="6" t="s">
        <v>675</v>
      </c>
      <c r="C12320" s="6" t="s">
        <v>2426</v>
      </c>
      <c r="D12320" s="6" t="s">
        <v>677</v>
      </c>
      <c r="E12320" s="6" t="s">
        <v>90</v>
      </c>
      <c r="F12320" s="6" t="s">
        <v>678</v>
      </c>
      <c r="G12320" s="6" t="s">
        <v>1927</v>
      </c>
      <c r="H12320" s="6" t="s">
        <v>2427</v>
      </c>
      <c r="I12320" s="6" t="s">
        <v>31</v>
      </c>
      <c r="J12320" s="6">
        <v>17.307012</v>
      </c>
      <c r="K12320" s="6">
        <v>-96.163822999999994</v>
      </c>
      <c r="L12320" s="6" t="str">
        <f>HYPERLINK("https://maps.google.com/?q=17.307012,-96.163823", "🔗 Ver Mapa")</f>
        <v>🔗 Ver Mapa</v>
      </c>
    </row>
    <row r="12321" spans="1:12" ht="72.5" x14ac:dyDescent="0.35">
      <c r="A12321" s="5" t="s">
        <v>674</v>
      </c>
      <c r="B12321" s="5" t="s">
        <v>675</v>
      </c>
      <c r="C12321" s="5" t="s">
        <v>2426</v>
      </c>
      <c r="D12321" s="5" t="s">
        <v>677</v>
      </c>
      <c r="E12321" s="5" t="s">
        <v>90</v>
      </c>
      <c r="F12321" s="5" t="s">
        <v>678</v>
      </c>
      <c r="G12321" s="5" t="s">
        <v>1927</v>
      </c>
      <c r="H12321" s="5" t="s">
        <v>2427</v>
      </c>
      <c r="I12321" s="5" t="s">
        <v>31</v>
      </c>
      <c r="J12321" s="5">
        <v>17.307718000000001</v>
      </c>
      <c r="K12321" s="5">
        <v>-96.164276000000001</v>
      </c>
      <c r="L12321" s="5" t="str">
        <f>HYPERLINK("https://maps.google.com/?q=17.307718,-96.164276", "🔗 Ver Mapa")</f>
        <v>🔗 Ver Mapa</v>
      </c>
    </row>
    <row r="12322" spans="1:12" ht="58" x14ac:dyDescent="0.35">
      <c r="A12322" s="6" t="s">
        <v>674</v>
      </c>
      <c r="B12322" s="6" t="s">
        <v>675</v>
      </c>
      <c r="C12322" s="6" t="s">
        <v>2428</v>
      </c>
      <c r="D12322" s="6" t="s">
        <v>677</v>
      </c>
      <c r="E12322" s="6" t="s">
        <v>17</v>
      </c>
      <c r="F12322" s="6" t="s">
        <v>46</v>
      </c>
      <c r="G12322" s="6" t="s">
        <v>1171</v>
      </c>
      <c r="H12322" s="6" t="s">
        <v>1172</v>
      </c>
      <c r="I12322" s="6" t="s">
        <v>31</v>
      </c>
      <c r="J12322" s="6">
        <v>16.037148999999999</v>
      </c>
      <c r="K12322" s="6">
        <v>-97.066880999999995</v>
      </c>
      <c r="L12322" s="6" t="str">
        <f>HYPERLINK("https://maps.google.com/?q=16.037149,-97.066881", "🔗 Ver Mapa")</f>
        <v>🔗 Ver Mapa</v>
      </c>
    </row>
    <row r="12323" spans="1:12" ht="58" x14ac:dyDescent="0.35">
      <c r="A12323" s="5" t="s">
        <v>674</v>
      </c>
      <c r="B12323" s="5" t="s">
        <v>675</v>
      </c>
      <c r="C12323" s="5" t="s">
        <v>2428</v>
      </c>
      <c r="D12323" s="5" t="s">
        <v>677</v>
      </c>
      <c r="E12323" s="5" t="s">
        <v>17</v>
      </c>
      <c r="F12323" s="5" t="s">
        <v>46</v>
      </c>
      <c r="G12323" s="5" t="s">
        <v>1171</v>
      </c>
      <c r="H12323" s="5" t="s">
        <v>1172</v>
      </c>
      <c r="I12323" s="5" t="s">
        <v>31</v>
      </c>
      <c r="J12323" s="5">
        <v>16.037589000000001</v>
      </c>
      <c r="K12323" s="5">
        <v>-97.067246999999995</v>
      </c>
      <c r="L12323" s="5" t="str">
        <f>HYPERLINK("https://maps.google.com/?q=16.037589,-97.067247", "🔗 Ver Mapa")</f>
        <v>🔗 Ver Mapa</v>
      </c>
    </row>
    <row r="12324" spans="1:12" ht="58" x14ac:dyDescent="0.35">
      <c r="A12324" s="6" t="s">
        <v>674</v>
      </c>
      <c r="B12324" s="6" t="s">
        <v>675</v>
      </c>
      <c r="C12324" s="6" t="s">
        <v>2428</v>
      </c>
      <c r="D12324" s="6" t="s">
        <v>677</v>
      </c>
      <c r="E12324" s="6" t="s">
        <v>17</v>
      </c>
      <c r="F12324" s="6" t="s">
        <v>46</v>
      </c>
      <c r="G12324" s="6" t="s">
        <v>1171</v>
      </c>
      <c r="H12324" s="6" t="s">
        <v>1172</v>
      </c>
      <c r="I12324" s="6" t="s">
        <v>31</v>
      </c>
      <c r="J12324" s="6">
        <v>16.037680999999999</v>
      </c>
      <c r="K12324" s="6">
        <v>-97.067192000000006</v>
      </c>
      <c r="L12324" s="6" t="str">
        <f>HYPERLINK("https://maps.google.com/?q=16.037681,-97.067192", "🔗 Ver Mapa")</f>
        <v>🔗 Ver Mapa</v>
      </c>
    </row>
    <row r="12325" spans="1:12" ht="58" x14ac:dyDescent="0.35">
      <c r="A12325" s="5" t="s">
        <v>674</v>
      </c>
      <c r="B12325" s="5" t="s">
        <v>675</v>
      </c>
      <c r="C12325" s="5" t="s">
        <v>2428</v>
      </c>
      <c r="D12325" s="5" t="s">
        <v>677</v>
      </c>
      <c r="E12325" s="5" t="s">
        <v>17</v>
      </c>
      <c r="F12325" s="5" t="s">
        <v>46</v>
      </c>
      <c r="G12325" s="5" t="s">
        <v>1171</v>
      </c>
      <c r="H12325" s="5" t="s">
        <v>1172</v>
      </c>
      <c r="I12325" s="5" t="s">
        <v>31</v>
      </c>
      <c r="J12325" s="5">
        <v>16.037808999999999</v>
      </c>
      <c r="K12325" s="5">
        <v>-97.066582999999994</v>
      </c>
      <c r="L12325" s="5" t="str">
        <f>HYPERLINK("https://maps.google.com/?q=16.037809,-97.066583", "🔗 Ver Mapa")</f>
        <v>🔗 Ver Mapa</v>
      </c>
    </row>
    <row r="12326" spans="1:12" ht="29" x14ac:dyDescent="0.35">
      <c r="A12326" s="6" t="s">
        <v>115</v>
      </c>
      <c r="B12326" s="6" t="s">
        <v>116</v>
      </c>
      <c r="C12326" s="6" t="s">
        <v>2429</v>
      </c>
      <c r="D12326" s="6" t="s">
        <v>118</v>
      </c>
      <c r="E12326" s="6" t="s">
        <v>158</v>
      </c>
      <c r="F12326" s="6" t="s">
        <v>159</v>
      </c>
      <c r="G12326" s="6" t="s">
        <v>163</v>
      </c>
      <c r="H12326" s="6" t="s">
        <v>2430</v>
      </c>
      <c r="I12326" s="6" t="s">
        <v>31</v>
      </c>
      <c r="J12326" s="6">
        <v>16.673528000000001</v>
      </c>
      <c r="K12326" s="6">
        <v>-94.451527999999996</v>
      </c>
      <c r="L12326" s="6" t="str">
        <f>HYPERLINK("https://maps.google.com/?q=16.673528,-94.451528", "🔗 Ver Mapa")</f>
        <v>🔗 Ver Mapa</v>
      </c>
    </row>
    <row r="12327" spans="1:12" ht="58" x14ac:dyDescent="0.35">
      <c r="A12327" s="5" t="s">
        <v>288</v>
      </c>
      <c r="B12327" s="5" t="s">
        <v>289</v>
      </c>
      <c r="C12327" s="5" t="s">
        <v>2431</v>
      </c>
      <c r="D12327" s="5" t="s">
        <v>950</v>
      </c>
      <c r="E12327" s="5" t="s">
        <v>52</v>
      </c>
      <c r="F12327" s="5" t="s">
        <v>70</v>
      </c>
      <c r="G12327" s="5" t="s">
        <v>71</v>
      </c>
      <c r="H12327" s="5" t="s">
        <v>72</v>
      </c>
      <c r="I12327" s="5" t="s">
        <v>31</v>
      </c>
      <c r="J12327" s="5">
        <v>17.066584800000001</v>
      </c>
      <c r="K12327" s="5">
        <v>-96.717106999999999</v>
      </c>
      <c r="L12327" s="5" t="str">
        <f>HYPERLINK("https://maps.google.com/?q=17.0665848,-96.717107", "🔗 Ver Mapa")</f>
        <v>🔗 Ver Mapa</v>
      </c>
    </row>
    <row r="12328" spans="1:12" ht="72.5" x14ac:dyDescent="0.35">
      <c r="A12328" s="6" t="s">
        <v>309</v>
      </c>
      <c r="B12328" s="6" t="s">
        <v>310</v>
      </c>
      <c r="C12328" s="6" t="s">
        <v>2432</v>
      </c>
      <c r="D12328" s="6" t="s">
        <v>118</v>
      </c>
      <c r="E12328" s="6" t="s">
        <v>52</v>
      </c>
      <c r="F12328" s="6" t="s">
        <v>70</v>
      </c>
      <c r="G12328" s="6" t="s">
        <v>272</v>
      </c>
      <c r="H12328" s="6" t="s">
        <v>320</v>
      </c>
      <c r="I12328" s="6" t="s">
        <v>31</v>
      </c>
      <c r="J12328" s="6">
        <v>16.909949999999998</v>
      </c>
      <c r="K12328" s="6">
        <v>-96.720399</v>
      </c>
      <c r="L12328" s="6" t="str">
        <f>HYPERLINK("https://maps.google.com/?q=16.90995,-96.720399", "🔗 Ver Mapa")</f>
        <v>🔗 Ver Mapa</v>
      </c>
    </row>
    <row r="12329" spans="1:12" ht="43.5" x14ac:dyDescent="0.35">
      <c r="A12329" s="5" t="s">
        <v>309</v>
      </c>
      <c r="B12329" s="5" t="s">
        <v>310</v>
      </c>
      <c r="C12329" s="5" t="s">
        <v>2433</v>
      </c>
      <c r="D12329" s="5" t="s">
        <v>312</v>
      </c>
      <c r="E12329" s="5" t="s">
        <v>52</v>
      </c>
      <c r="F12329" s="5" t="s">
        <v>53</v>
      </c>
      <c r="G12329" s="5" t="s">
        <v>491</v>
      </c>
      <c r="H12329" s="5" t="s">
        <v>492</v>
      </c>
      <c r="I12329" s="5" t="s">
        <v>31</v>
      </c>
      <c r="J12329" s="5">
        <v>16.781435999999999</v>
      </c>
      <c r="K12329" s="5">
        <v>-96.449957999999995</v>
      </c>
      <c r="L12329" s="5" t="str">
        <f>HYPERLINK("https://maps.google.com/?q=16.781436,-96.449958", "🔗 Ver Mapa")</f>
        <v>🔗 Ver Mapa</v>
      </c>
    </row>
    <row r="12330" spans="1:12" ht="43.5" x14ac:dyDescent="0.35">
      <c r="A12330" s="6" t="s">
        <v>309</v>
      </c>
      <c r="B12330" s="6" t="s">
        <v>310</v>
      </c>
      <c r="C12330" s="6" t="s">
        <v>2434</v>
      </c>
      <c r="D12330" s="6" t="s">
        <v>312</v>
      </c>
      <c r="E12330" s="6" t="s">
        <v>52</v>
      </c>
      <c r="F12330" s="6" t="s">
        <v>53</v>
      </c>
      <c r="G12330" s="6" t="s">
        <v>491</v>
      </c>
      <c r="H12330" s="6" t="s">
        <v>492</v>
      </c>
      <c r="I12330" s="6" t="s">
        <v>31</v>
      </c>
      <c r="J12330" s="6">
        <v>16.798286000000001</v>
      </c>
      <c r="K12330" s="6">
        <v>-96.436214000000007</v>
      </c>
      <c r="L12330" s="6" t="str">
        <f>HYPERLINK("https://maps.google.com/?q=16.798286,-96.436214", "🔗 Ver Mapa")</f>
        <v>🔗 Ver Mapa</v>
      </c>
    </row>
    <row r="12331" spans="1:12" ht="43.5" x14ac:dyDescent="0.35">
      <c r="A12331" s="5" t="s">
        <v>309</v>
      </c>
      <c r="B12331" s="5" t="s">
        <v>310</v>
      </c>
      <c r="C12331" s="5" t="s">
        <v>2435</v>
      </c>
      <c r="D12331" s="5" t="s">
        <v>312</v>
      </c>
      <c r="E12331" s="5" t="s">
        <v>52</v>
      </c>
      <c r="F12331" s="5" t="s">
        <v>421</v>
      </c>
      <c r="G12331" s="5" t="s">
        <v>422</v>
      </c>
      <c r="H12331" s="5" t="s">
        <v>1695</v>
      </c>
      <c r="I12331" s="5" t="s">
        <v>31</v>
      </c>
      <c r="J12331" s="5">
        <v>16.632372</v>
      </c>
      <c r="K12331" s="5">
        <v>-96.749199000000004</v>
      </c>
      <c r="L12331" s="5" t="str">
        <f>HYPERLINK("https://maps.google.com/?q=16.632372,-96.749199", "🔗 Ver Mapa")</f>
        <v>🔗 Ver Mapa</v>
      </c>
    </row>
    <row r="12332" spans="1:12" ht="43.5" x14ac:dyDescent="0.35">
      <c r="A12332" s="6" t="s">
        <v>309</v>
      </c>
      <c r="B12332" s="6" t="s">
        <v>310</v>
      </c>
      <c r="C12332" s="6" t="s">
        <v>2436</v>
      </c>
      <c r="D12332" s="6" t="s">
        <v>312</v>
      </c>
      <c r="E12332" s="6" t="s">
        <v>52</v>
      </c>
      <c r="F12332" s="6" t="s">
        <v>421</v>
      </c>
      <c r="G12332" s="6" t="s">
        <v>1437</v>
      </c>
      <c r="H12332" s="6" t="s">
        <v>1438</v>
      </c>
      <c r="I12332" s="6" t="s">
        <v>31</v>
      </c>
      <c r="J12332" s="6">
        <v>16.616019999999999</v>
      </c>
      <c r="K12332" s="6">
        <v>-96.789986999999996</v>
      </c>
      <c r="L12332" s="6" t="str">
        <f>HYPERLINK("https://maps.google.com/?q=16.61602,-96.789987", "🔗 Ver Mapa")</f>
        <v>🔗 Ver Mapa</v>
      </c>
    </row>
    <row r="12333" spans="1:12" ht="43.5" x14ac:dyDescent="0.35">
      <c r="A12333" s="5" t="s">
        <v>309</v>
      </c>
      <c r="B12333" s="5" t="s">
        <v>310</v>
      </c>
      <c r="C12333" s="5" t="s">
        <v>2437</v>
      </c>
      <c r="D12333" s="5" t="s">
        <v>312</v>
      </c>
      <c r="E12333" s="5" t="s">
        <v>90</v>
      </c>
      <c r="F12333" s="5" t="s">
        <v>119</v>
      </c>
      <c r="G12333" s="5" t="s">
        <v>371</v>
      </c>
      <c r="H12333" s="5" t="s">
        <v>372</v>
      </c>
      <c r="I12333" s="5" t="s">
        <v>31</v>
      </c>
      <c r="J12333" s="5">
        <v>17.317587199999998</v>
      </c>
      <c r="K12333" s="5">
        <v>-96.615594099999996</v>
      </c>
      <c r="L12333" s="5" t="str">
        <f>HYPERLINK("https://maps.google.com/?q=17.3175872,-96.6155941", "🔗 Ver Mapa")</f>
        <v>🔗 Ver Mapa</v>
      </c>
    </row>
    <row r="12334" spans="1:12" ht="58" x14ac:dyDescent="0.35">
      <c r="A12334" s="6" t="s">
        <v>309</v>
      </c>
      <c r="B12334" s="6" t="s">
        <v>310</v>
      </c>
      <c r="C12334" s="6" t="s">
        <v>2438</v>
      </c>
      <c r="D12334" s="6" t="s">
        <v>312</v>
      </c>
      <c r="E12334" s="6" t="s">
        <v>16</v>
      </c>
      <c r="F12334" s="6" t="s">
        <v>409</v>
      </c>
      <c r="G12334" s="6" t="s">
        <v>410</v>
      </c>
      <c r="H12334" s="6" t="s">
        <v>2439</v>
      </c>
      <c r="I12334" s="6" t="s">
        <v>31</v>
      </c>
      <c r="J12334" s="6">
        <v>17.770644000000001</v>
      </c>
      <c r="K12334" s="6">
        <v>-97.283101000000002</v>
      </c>
      <c r="L12334" s="6" t="str">
        <f>HYPERLINK("https://maps.google.com/?q=17.770644,-97.283101", "🔗 Ver Mapa")</f>
        <v>🔗 Ver Mapa</v>
      </c>
    </row>
    <row r="12335" spans="1:12" ht="43.5" x14ac:dyDescent="0.35">
      <c r="A12335" s="5" t="s">
        <v>309</v>
      </c>
      <c r="B12335" s="5" t="s">
        <v>310</v>
      </c>
      <c r="C12335" s="5" t="s">
        <v>2440</v>
      </c>
      <c r="D12335" s="5" t="s">
        <v>312</v>
      </c>
      <c r="E12335" s="5" t="s">
        <v>52</v>
      </c>
      <c r="F12335" s="5" t="s">
        <v>53</v>
      </c>
      <c r="G12335" s="5" t="s">
        <v>491</v>
      </c>
      <c r="H12335" s="5" t="s">
        <v>492</v>
      </c>
      <c r="I12335" s="5" t="s">
        <v>31</v>
      </c>
      <c r="J12335" s="5">
        <v>16.802990000000001</v>
      </c>
      <c r="K12335" s="5">
        <v>-96.425269999999998</v>
      </c>
      <c r="L12335" s="5" t="str">
        <f>HYPERLINK("https://maps.google.com/?q=16.80299,-96.42527", "🔗 Ver Mapa")</f>
        <v>🔗 Ver Mapa</v>
      </c>
    </row>
    <row r="12336" spans="1:12" ht="43.5" x14ac:dyDescent="0.35">
      <c r="A12336" s="6" t="s">
        <v>309</v>
      </c>
      <c r="B12336" s="6" t="s">
        <v>310</v>
      </c>
      <c r="C12336" s="6" t="s">
        <v>2441</v>
      </c>
      <c r="D12336" s="6" t="s">
        <v>312</v>
      </c>
      <c r="E12336" s="6" t="s">
        <v>52</v>
      </c>
      <c r="F12336" s="6" t="s">
        <v>53</v>
      </c>
      <c r="G12336" s="6" t="s">
        <v>491</v>
      </c>
      <c r="H12336" s="6" t="s">
        <v>492</v>
      </c>
      <c r="I12336" s="6" t="s">
        <v>31</v>
      </c>
      <c r="J12336" s="6">
        <v>16.777889999999999</v>
      </c>
      <c r="K12336" s="6">
        <v>-96.442134999999993</v>
      </c>
      <c r="L12336" s="6" t="str">
        <f>HYPERLINK("https://maps.google.com/?q=16.77789,-96.442135", "🔗 Ver Mapa")</f>
        <v>🔗 Ver Mapa</v>
      </c>
    </row>
    <row r="12337" spans="1:12" ht="58" x14ac:dyDescent="0.35">
      <c r="A12337" s="5" t="s">
        <v>309</v>
      </c>
      <c r="B12337" s="5" t="s">
        <v>310</v>
      </c>
      <c r="C12337" s="5" t="s">
        <v>2442</v>
      </c>
      <c r="D12337" s="5" t="s">
        <v>312</v>
      </c>
      <c r="E12337" s="5" t="s">
        <v>39</v>
      </c>
      <c r="F12337" s="5" t="s">
        <v>353</v>
      </c>
      <c r="G12337" s="5" t="s">
        <v>1417</v>
      </c>
      <c r="H12337" s="5" t="s">
        <v>2443</v>
      </c>
      <c r="I12337" s="5" t="s">
        <v>31</v>
      </c>
      <c r="J12337" s="5">
        <v>16.377500009999999</v>
      </c>
      <c r="K12337" s="5">
        <v>-96.676590599999997</v>
      </c>
      <c r="L12337" s="5" t="str">
        <f>HYPERLINK("https://maps.google.com/?q=16.37750001,-96.6765906", "🔗 Ver Mapa")</f>
        <v>🔗 Ver Mapa</v>
      </c>
    </row>
    <row r="12338" spans="1:12" ht="43.5" x14ac:dyDescent="0.35">
      <c r="A12338" s="6" t="s">
        <v>309</v>
      </c>
      <c r="B12338" s="6" t="s">
        <v>310</v>
      </c>
      <c r="C12338" s="6" t="s">
        <v>2444</v>
      </c>
      <c r="D12338" s="6" t="s">
        <v>312</v>
      </c>
      <c r="E12338" s="6" t="s">
        <v>52</v>
      </c>
      <c r="F12338" s="6" t="s">
        <v>53</v>
      </c>
      <c r="G12338" s="6" t="s">
        <v>491</v>
      </c>
      <c r="H12338" s="6" t="s">
        <v>492</v>
      </c>
      <c r="I12338" s="6" t="s">
        <v>31</v>
      </c>
      <c r="J12338" s="6">
        <v>16.761310000000002</v>
      </c>
      <c r="K12338" s="6">
        <v>-96.453643</v>
      </c>
      <c r="L12338" s="6" t="str">
        <f>HYPERLINK("https://maps.google.com/?q=16.76131,-96.453643", "🔗 Ver Mapa")</f>
        <v>🔗 Ver Mapa</v>
      </c>
    </row>
    <row r="12339" spans="1:12" ht="43.5" x14ac:dyDescent="0.35">
      <c r="A12339" s="5" t="s">
        <v>309</v>
      </c>
      <c r="B12339" s="5" t="s">
        <v>310</v>
      </c>
      <c r="C12339" s="5" t="s">
        <v>2445</v>
      </c>
      <c r="D12339" s="5" t="s">
        <v>312</v>
      </c>
      <c r="E12339" s="5" t="s">
        <v>52</v>
      </c>
      <c r="F12339" s="5" t="s">
        <v>228</v>
      </c>
      <c r="G12339" s="5" t="s">
        <v>2446</v>
      </c>
      <c r="H12339" s="5" t="s">
        <v>2447</v>
      </c>
      <c r="I12339" s="5" t="s">
        <v>31</v>
      </c>
      <c r="J12339" s="5">
        <v>16.767835999999999</v>
      </c>
      <c r="K12339" s="5">
        <v>-96.481686999999994</v>
      </c>
      <c r="L12339" s="5" t="str">
        <f>HYPERLINK("https://maps.google.com/?q=16.767836,-96.481687", "🔗 Ver Mapa")</f>
        <v>🔗 Ver Mapa</v>
      </c>
    </row>
    <row r="12340" spans="1:12" ht="43.5" x14ac:dyDescent="0.35">
      <c r="A12340" s="6" t="s">
        <v>309</v>
      </c>
      <c r="B12340" s="6" t="s">
        <v>310</v>
      </c>
      <c r="C12340" s="6" t="s">
        <v>2448</v>
      </c>
      <c r="D12340" s="6" t="s">
        <v>312</v>
      </c>
      <c r="E12340" s="6" t="s">
        <v>16</v>
      </c>
      <c r="F12340" s="6" t="s">
        <v>409</v>
      </c>
      <c r="G12340" s="6" t="s">
        <v>2239</v>
      </c>
      <c r="H12340" s="6" t="s">
        <v>2449</v>
      </c>
      <c r="I12340" s="6" t="s">
        <v>31</v>
      </c>
      <c r="J12340" s="6">
        <v>17.643649</v>
      </c>
      <c r="K12340" s="6">
        <v>-97.340838000000005</v>
      </c>
      <c r="L12340" s="6" t="str">
        <f>HYPERLINK("https://maps.google.com/?q=17.643649,-97.340838", "🔗 Ver Mapa")</f>
        <v>🔗 Ver Mapa</v>
      </c>
    </row>
    <row r="12341" spans="1:12" ht="43.5" x14ac:dyDescent="0.35">
      <c r="A12341" s="5" t="s">
        <v>309</v>
      </c>
      <c r="B12341" s="5" t="s">
        <v>310</v>
      </c>
      <c r="C12341" s="5" t="s">
        <v>2450</v>
      </c>
      <c r="D12341" s="5" t="s">
        <v>312</v>
      </c>
      <c r="E12341" s="5" t="s">
        <v>52</v>
      </c>
      <c r="F12341" s="5" t="s">
        <v>443</v>
      </c>
      <c r="G12341" s="5" t="s">
        <v>2451</v>
      </c>
      <c r="H12341" s="5" t="s">
        <v>2452</v>
      </c>
      <c r="I12341" s="5" t="s">
        <v>31</v>
      </c>
      <c r="J12341" s="5">
        <v>16.890798</v>
      </c>
      <c r="K12341" s="5">
        <v>-96.771657000000005</v>
      </c>
      <c r="L12341" s="5" t="str">
        <f>HYPERLINK("https://maps.google.com/?q=16.890798,-96.771657", "🔗 Ver Mapa")</f>
        <v>🔗 Ver Mapa</v>
      </c>
    </row>
    <row r="12342" spans="1:12" ht="43.5" x14ac:dyDescent="0.35">
      <c r="A12342" s="6" t="s">
        <v>309</v>
      </c>
      <c r="B12342" s="6" t="s">
        <v>310</v>
      </c>
      <c r="C12342" s="6" t="s">
        <v>2453</v>
      </c>
      <c r="D12342" s="6" t="s">
        <v>312</v>
      </c>
      <c r="E12342" s="6" t="s">
        <v>16</v>
      </c>
      <c r="F12342" s="6" t="s">
        <v>409</v>
      </c>
      <c r="G12342" s="6" t="s">
        <v>410</v>
      </c>
      <c r="H12342" s="6" t="s">
        <v>2454</v>
      </c>
      <c r="I12342" s="6" t="s">
        <v>31</v>
      </c>
      <c r="J12342" s="6">
        <v>17.667988999999999</v>
      </c>
      <c r="K12342" s="6">
        <v>-97.298306999999994</v>
      </c>
      <c r="L12342" s="6" t="str">
        <f>HYPERLINK("https://maps.google.com/?q=17.667989,-97.298307", "🔗 Ver Mapa")</f>
        <v>🔗 Ver Mapa</v>
      </c>
    </row>
    <row r="12343" spans="1:12" ht="43.5" x14ac:dyDescent="0.35">
      <c r="A12343" s="5" t="s">
        <v>309</v>
      </c>
      <c r="B12343" s="5" t="s">
        <v>310</v>
      </c>
      <c r="C12343" s="5" t="s">
        <v>2455</v>
      </c>
      <c r="D12343" s="5" t="s">
        <v>312</v>
      </c>
      <c r="E12343" s="5" t="s">
        <v>90</v>
      </c>
      <c r="F12343" s="5" t="s">
        <v>91</v>
      </c>
      <c r="G12343" s="5" t="s">
        <v>1722</v>
      </c>
      <c r="H12343" s="5" t="s">
        <v>1723</v>
      </c>
      <c r="I12343" s="5" t="s">
        <v>31</v>
      </c>
      <c r="J12343" s="5">
        <v>17.050816999999999</v>
      </c>
      <c r="K12343" s="5">
        <v>-96.111935000000003</v>
      </c>
      <c r="L12343" s="5" t="str">
        <f>HYPERLINK("https://maps.google.com/?q=17.050817,-96.111935", "🔗 Ver Mapa")</f>
        <v>🔗 Ver Mapa</v>
      </c>
    </row>
    <row r="12344" spans="1:12" ht="43.5" x14ac:dyDescent="0.35">
      <c r="A12344" s="6" t="s">
        <v>309</v>
      </c>
      <c r="B12344" s="6" t="s">
        <v>310</v>
      </c>
      <c r="C12344" s="6" t="s">
        <v>2456</v>
      </c>
      <c r="D12344" s="6" t="s">
        <v>312</v>
      </c>
      <c r="E12344" s="6" t="s">
        <v>52</v>
      </c>
      <c r="F12344" s="6" t="s">
        <v>443</v>
      </c>
      <c r="G12344" s="6" t="s">
        <v>2457</v>
      </c>
      <c r="H12344" s="6" t="s">
        <v>2458</v>
      </c>
      <c r="I12344" s="6" t="s">
        <v>31</v>
      </c>
      <c r="J12344" s="6">
        <v>16.830183300000002</v>
      </c>
      <c r="K12344" s="6">
        <v>-96.764150900000004</v>
      </c>
      <c r="L12344" s="6" t="str">
        <f>HYPERLINK("https://maps.google.com/?q=16.8301833,-96.7641509", "🔗 Ver Mapa")</f>
        <v>🔗 Ver Mapa</v>
      </c>
    </row>
    <row r="12345" spans="1:12" ht="43.5" x14ac:dyDescent="0.35">
      <c r="A12345" s="5" t="s">
        <v>309</v>
      </c>
      <c r="B12345" s="5" t="s">
        <v>310</v>
      </c>
      <c r="C12345" s="5" t="s">
        <v>2459</v>
      </c>
      <c r="D12345" s="5" t="s">
        <v>312</v>
      </c>
      <c r="E12345" s="5" t="s">
        <v>52</v>
      </c>
      <c r="F12345" s="5" t="s">
        <v>443</v>
      </c>
      <c r="G12345" s="5" t="s">
        <v>2457</v>
      </c>
      <c r="H12345" s="5" t="s">
        <v>2458</v>
      </c>
      <c r="I12345" s="5" t="s">
        <v>31</v>
      </c>
      <c r="J12345" s="5">
        <v>16.827211599999998</v>
      </c>
      <c r="K12345" s="5">
        <v>-96.770733699999994</v>
      </c>
      <c r="L12345" s="5" t="str">
        <f>HYPERLINK("https://maps.google.com/?q=16.8272116,-96.7707337", "🔗 Ver Mapa")</f>
        <v>🔗 Ver Mapa</v>
      </c>
    </row>
    <row r="12346" spans="1:12" ht="43.5" x14ac:dyDescent="0.35">
      <c r="A12346" s="6" t="s">
        <v>309</v>
      </c>
      <c r="B12346" s="6" t="s">
        <v>310</v>
      </c>
      <c r="C12346" s="6" t="s">
        <v>2460</v>
      </c>
      <c r="D12346" s="6" t="s">
        <v>312</v>
      </c>
      <c r="E12346" s="6" t="s">
        <v>16</v>
      </c>
      <c r="F12346" s="6" t="s">
        <v>95</v>
      </c>
      <c r="G12346" s="6" t="s">
        <v>2461</v>
      </c>
      <c r="H12346" s="6" t="s">
        <v>2462</v>
      </c>
      <c r="I12346" s="6" t="s">
        <v>31</v>
      </c>
      <c r="J12346" s="6">
        <v>17.771118999999999</v>
      </c>
      <c r="K12346" s="6">
        <v>-97.499725999999995</v>
      </c>
      <c r="L12346" s="6" t="str">
        <f>HYPERLINK("https://maps.google.com/?q=17.771119,-97.499726", "🔗 Ver Mapa")</f>
        <v>🔗 Ver Mapa</v>
      </c>
    </row>
    <row r="12347" spans="1:12" ht="29" x14ac:dyDescent="0.35">
      <c r="A12347" s="5" t="s">
        <v>2463</v>
      </c>
      <c r="B12347" s="5" t="s">
        <v>2464</v>
      </c>
      <c r="C12347" s="5" t="s">
        <v>2465</v>
      </c>
      <c r="D12347" s="5" t="s">
        <v>950</v>
      </c>
      <c r="E12347" s="5" t="s">
        <v>52</v>
      </c>
      <c r="F12347" s="5" t="s">
        <v>70</v>
      </c>
      <c r="G12347" s="5" t="s">
        <v>601</v>
      </c>
      <c r="H12347" s="5" t="s">
        <v>602</v>
      </c>
      <c r="I12347" s="5" t="s">
        <v>31</v>
      </c>
      <c r="J12347" s="5">
        <v>17.054830258860001</v>
      </c>
      <c r="K12347" s="5">
        <v>-96.653239880732002</v>
      </c>
      <c r="L12347" s="5" t="str">
        <f>HYPERLINK("https://maps.google.com/?q=17.05483025886047,-96.6532398807323", "🔗 Ver Mapa")</f>
        <v>🔗 Ver Mapa</v>
      </c>
    </row>
    <row r="12348" spans="1:12" ht="29" x14ac:dyDescent="0.35">
      <c r="A12348" s="6" t="s">
        <v>2463</v>
      </c>
      <c r="B12348" s="6" t="s">
        <v>2464</v>
      </c>
      <c r="C12348" s="6" t="s">
        <v>2466</v>
      </c>
      <c r="D12348" s="6" t="s">
        <v>950</v>
      </c>
      <c r="E12348" s="6" t="s">
        <v>52</v>
      </c>
      <c r="F12348" s="6" t="s">
        <v>70</v>
      </c>
      <c r="G12348" s="6" t="s">
        <v>601</v>
      </c>
      <c r="H12348" s="6" t="s">
        <v>602</v>
      </c>
      <c r="I12348" s="6" t="s">
        <v>31</v>
      </c>
      <c r="J12348" s="6">
        <v>17.054770468663001</v>
      </c>
      <c r="K12348" s="6">
        <v>-96.653259734485999</v>
      </c>
      <c r="L12348" s="6" t="str">
        <f>HYPERLINK("https://maps.google.com/?q=17.05477046866341,-96.65325973448637", "🔗 Ver Mapa")</f>
        <v>🔗 Ver Mapa</v>
      </c>
    </row>
    <row r="12349" spans="1:12" ht="29" x14ac:dyDescent="0.35">
      <c r="A12349" s="5" t="s">
        <v>2463</v>
      </c>
      <c r="B12349" s="5" t="s">
        <v>2464</v>
      </c>
      <c r="C12349" s="5" t="s">
        <v>2467</v>
      </c>
      <c r="D12349" s="5" t="s">
        <v>950</v>
      </c>
      <c r="E12349" s="5" t="s">
        <v>52</v>
      </c>
      <c r="F12349" s="5" t="s">
        <v>70</v>
      </c>
      <c r="G12349" s="5" t="s">
        <v>601</v>
      </c>
      <c r="H12349" s="5" t="s">
        <v>602</v>
      </c>
      <c r="I12349" s="5" t="s">
        <v>31</v>
      </c>
      <c r="J12349" s="5">
        <v>17.054739532479999</v>
      </c>
      <c r="K12349" s="5">
        <v>-96.653277031813005</v>
      </c>
      <c r="L12349" s="5" t="str">
        <f>HYPERLINK("https://maps.google.com/?q=17.054739532479616,-96.65327703181295", "🔗 Ver Mapa")</f>
        <v>🔗 Ver Mapa</v>
      </c>
    </row>
    <row r="12350" spans="1:12" ht="29" x14ac:dyDescent="0.35">
      <c r="A12350" s="6" t="s">
        <v>2463</v>
      </c>
      <c r="B12350" s="6" t="s">
        <v>2464</v>
      </c>
      <c r="C12350" s="6" t="s">
        <v>2468</v>
      </c>
      <c r="D12350" s="6" t="s">
        <v>950</v>
      </c>
      <c r="E12350" s="6" t="s">
        <v>52</v>
      </c>
      <c r="F12350" s="6" t="s">
        <v>70</v>
      </c>
      <c r="G12350" s="6" t="s">
        <v>601</v>
      </c>
      <c r="H12350" s="6" t="s">
        <v>602</v>
      </c>
      <c r="I12350" s="6" t="s">
        <v>31</v>
      </c>
      <c r="J12350" s="6">
        <v>17.054713358705001</v>
      </c>
      <c r="K12350" s="6">
        <v>-96.653283913383007</v>
      </c>
      <c r="L12350" s="6" t="str">
        <f>HYPERLINK("https://maps.google.com/?q=17.054713358705378,-96.65328391338326", "🔗 Ver Mapa")</f>
        <v>🔗 Ver Mapa</v>
      </c>
    </row>
    <row r="12351" spans="1:12" ht="29" x14ac:dyDescent="0.35">
      <c r="A12351" s="5" t="s">
        <v>66</v>
      </c>
      <c r="B12351" s="5" t="s">
        <v>67</v>
      </c>
      <c r="C12351" s="5" t="s">
        <v>1873</v>
      </c>
      <c r="D12351" s="5" t="s">
        <v>69</v>
      </c>
      <c r="E12351" s="5" t="s">
        <v>52</v>
      </c>
      <c r="F12351" s="5" t="s">
        <v>70</v>
      </c>
      <c r="G12351" s="5" t="s">
        <v>71</v>
      </c>
      <c r="H12351" s="5" t="s">
        <v>72</v>
      </c>
      <c r="I12351" s="5" t="s">
        <v>31</v>
      </c>
      <c r="J12351" s="5">
        <v>17.078447594107999</v>
      </c>
      <c r="K12351" s="5">
        <v>-96.711226860438998</v>
      </c>
      <c r="L12351" s="5" t="str">
        <f>HYPERLINK("https://maps.google.com/?q=17.0784475941075,-96.71122686043876", "🔗 Ver Mapa")</f>
        <v>🔗 Ver Mapa</v>
      </c>
    </row>
    <row r="12352" spans="1:12" ht="43.5" x14ac:dyDescent="0.35">
      <c r="A12352" s="6" t="s">
        <v>79</v>
      </c>
      <c r="B12352" s="6" t="s">
        <v>80</v>
      </c>
      <c r="C12352" s="6" t="s">
        <v>2469</v>
      </c>
      <c r="D12352" s="6" t="s">
        <v>82</v>
      </c>
      <c r="E12352" s="6" t="s">
        <v>52</v>
      </c>
      <c r="F12352" s="6" t="s">
        <v>70</v>
      </c>
      <c r="G12352" s="6" t="s">
        <v>317</v>
      </c>
      <c r="H12352" s="6" t="s">
        <v>318</v>
      </c>
      <c r="I12352" s="6" t="s">
        <v>31</v>
      </c>
      <c r="J12352" s="6">
        <v>17.064001847646001</v>
      </c>
      <c r="K12352" s="6">
        <v>-96.704493727674006</v>
      </c>
      <c r="L12352" s="6" t="str">
        <f>HYPERLINK("https://maps.google.com/?q=17.064001847645635,-96.7044937276737", "🔗 Ver Mapa")</f>
        <v>🔗 Ver Mapa</v>
      </c>
    </row>
    <row r="12353" spans="1:12" ht="58" x14ac:dyDescent="0.35">
      <c r="A12353" s="5" t="s">
        <v>288</v>
      </c>
      <c r="B12353" s="5" t="s">
        <v>289</v>
      </c>
      <c r="C12353" s="5" t="s">
        <v>2470</v>
      </c>
      <c r="D12353" s="5" t="s">
        <v>76</v>
      </c>
      <c r="E12353" s="5" t="s">
        <v>158</v>
      </c>
      <c r="F12353" s="5" t="s">
        <v>159</v>
      </c>
      <c r="G12353" s="5" t="s">
        <v>2471</v>
      </c>
      <c r="H12353" s="5" t="s">
        <v>2472</v>
      </c>
      <c r="I12353" s="5" t="s">
        <v>31</v>
      </c>
      <c r="J12353" s="5">
        <v>16.569281</v>
      </c>
      <c r="K12353" s="5">
        <v>-94.700963000000002</v>
      </c>
      <c r="L12353" s="5" t="str">
        <f>HYPERLINK("https://maps.google.com/?q=16.569281,-94.700963", "🔗 Ver Mapa")</f>
        <v>🔗 Ver Mapa</v>
      </c>
    </row>
    <row r="12354" spans="1:12" ht="29" x14ac:dyDescent="0.35">
      <c r="A12354" s="6" t="s">
        <v>2473</v>
      </c>
      <c r="B12354" s="6" t="s">
        <v>2474</v>
      </c>
      <c r="C12354" s="6" t="s">
        <v>2475</v>
      </c>
      <c r="D12354" s="6" t="s">
        <v>76</v>
      </c>
      <c r="E12354" s="6" t="s">
        <v>17</v>
      </c>
      <c r="F12354" s="6" t="s">
        <v>46</v>
      </c>
      <c r="G12354" s="6" t="s">
        <v>241</v>
      </c>
      <c r="H12354" s="6" t="s">
        <v>799</v>
      </c>
      <c r="I12354" s="6" t="s">
        <v>31</v>
      </c>
      <c r="J12354" s="6">
        <v>15.89106</v>
      </c>
      <c r="K12354" s="6">
        <v>-97.074455999999998</v>
      </c>
      <c r="L12354" s="6" t="str">
        <f>HYPERLINK("https://maps.google.com/?q=15.89106,-97.074456", "🔗 Ver Mapa")</f>
        <v>🔗 Ver Mapa</v>
      </c>
    </row>
    <row r="12355" spans="1:12" ht="29" x14ac:dyDescent="0.35">
      <c r="A12355" s="5" t="s">
        <v>782</v>
      </c>
      <c r="B12355" s="5" t="s">
        <v>783</v>
      </c>
      <c r="C12355" s="5" t="s">
        <v>2476</v>
      </c>
      <c r="D12355" s="5" t="s">
        <v>785</v>
      </c>
      <c r="E12355" s="5" t="s">
        <v>90</v>
      </c>
      <c r="F12355" s="5" t="s">
        <v>91</v>
      </c>
      <c r="G12355" s="5" t="s">
        <v>232</v>
      </c>
      <c r="H12355" s="5" t="s">
        <v>233</v>
      </c>
      <c r="I12355" s="5" t="s">
        <v>31</v>
      </c>
      <c r="J12355" s="5">
        <v>17.053614</v>
      </c>
      <c r="K12355" s="5">
        <v>-96.073087999999998</v>
      </c>
      <c r="L12355" s="5" t="str">
        <f>HYPERLINK("https://maps.google.com/?q=17.053614,-96.073088", "🔗 Ver Mapa")</f>
        <v>🔗 Ver Mapa</v>
      </c>
    </row>
    <row r="12356" spans="1:12" ht="29" x14ac:dyDescent="0.35">
      <c r="A12356" s="6" t="s">
        <v>782</v>
      </c>
      <c r="B12356" s="6" t="s">
        <v>783</v>
      </c>
      <c r="C12356" s="6" t="s">
        <v>2477</v>
      </c>
      <c r="D12356" s="6" t="s">
        <v>785</v>
      </c>
      <c r="E12356" s="6" t="s">
        <v>17</v>
      </c>
      <c r="F12356" s="6" t="s">
        <v>59</v>
      </c>
      <c r="G12356" s="6" t="s">
        <v>415</v>
      </c>
      <c r="H12356" s="6" t="s">
        <v>2478</v>
      </c>
      <c r="I12356" s="6" t="s">
        <v>31</v>
      </c>
      <c r="J12356" s="6">
        <v>16.560679699365</v>
      </c>
      <c r="K12356" s="6">
        <v>-97.823425249004003</v>
      </c>
      <c r="L12356" s="6" t="str">
        <f>HYPERLINK("https://maps.google.com/?q=16.560679699364623,-97.82342524900436", "🔗 Ver Mapa")</f>
        <v>🔗 Ver Mapa</v>
      </c>
    </row>
    <row r="12357" spans="1:12" ht="29" x14ac:dyDescent="0.35">
      <c r="A12357" s="5" t="s">
        <v>782</v>
      </c>
      <c r="B12357" s="5" t="s">
        <v>783</v>
      </c>
      <c r="C12357" s="5" t="s">
        <v>2479</v>
      </c>
      <c r="D12357" s="5" t="s">
        <v>785</v>
      </c>
      <c r="E12357" s="5" t="s">
        <v>17</v>
      </c>
      <c r="F12357" s="5" t="s">
        <v>59</v>
      </c>
      <c r="G12357" s="5" t="s">
        <v>2480</v>
      </c>
      <c r="H12357" s="5" t="s">
        <v>2481</v>
      </c>
      <c r="I12357" s="5" t="s">
        <v>31</v>
      </c>
      <c r="J12357" s="5">
        <v>16.443797099988998</v>
      </c>
      <c r="K12357" s="5">
        <v>-98.233316387558006</v>
      </c>
      <c r="L12357" s="5" t="str">
        <f>HYPERLINK("https://maps.google.com/?q=16.443797099989002,-98.23331638755796", "🔗 Ver Mapa")</f>
        <v>🔗 Ver Mapa</v>
      </c>
    </row>
    <row r="12358" spans="1:12" ht="29" x14ac:dyDescent="0.35">
      <c r="A12358" s="6" t="s">
        <v>782</v>
      </c>
      <c r="B12358" s="6" t="s">
        <v>783</v>
      </c>
      <c r="C12358" s="6" t="s">
        <v>2482</v>
      </c>
      <c r="D12358" s="6" t="s">
        <v>785</v>
      </c>
      <c r="E12358" s="6" t="s">
        <v>17</v>
      </c>
      <c r="F12358" s="6" t="s">
        <v>59</v>
      </c>
      <c r="G12358" s="6" t="s">
        <v>2117</v>
      </c>
      <c r="H12358" s="6" t="s">
        <v>2483</v>
      </c>
      <c r="I12358" s="6" t="s">
        <v>31</v>
      </c>
      <c r="J12358" s="6">
        <v>16.333200000000001</v>
      </c>
      <c r="K12358" s="6">
        <v>-98.379400000000004</v>
      </c>
      <c r="L12358" s="6" t="str">
        <f>HYPERLINK("https://maps.google.com/?q=16.3332,-98.3794", "🔗 Ver Mapa")</f>
        <v>🔗 Ver Mapa</v>
      </c>
    </row>
    <row r="12359" spans="1:12" ht="43.5" x14ac:dyDescent="0.35">
      <c r="A12359" s="5" t="s">
        <v>333</v>
      </c>
      <c r="B12359" s="5" t="s">
        <v>334</v>
      </c>
      <c r="C12359" s="5" t="s">
        <v>337</v>
      </c>
      <c r="D12359" s="5" t="s">
        <v>336</v>
      </c>
      <c r="E12359" s="5" t="s">
        <v>52</v>
      </c>
      <c r="F12359" s="5" t="s">
        <v>70</v>
      </c>
      <c r="G12359" s="5" t="s">
        <v>71</v>
      </c>
      <c r="H12359" s="5" t="s">
        <v>72</v>
      </c>
      <c r="I12359" s="5" t="s">
        <v>31</v>
      </c>
      <c r="J12359" s="5">
        <v>17.071537149621001</v>
      </c>
      <c r="K12359" s="5" t="s">
        <v>2484</v>
      </c>
      <c r="L12359" s="5" t="str">
        <f>HYPERLINK("https://maps.google.com/?q=17.07153714962142,-96.7157940912962 ", "🔗 Ver Mapa")</f>
        <v>🔗 Ver Mapa</v>
      </c>
    </row>
    <row r="12360" spans="1:12" ht="43.5" x14ac:dyDescent="0.35">
      <c r="A12360" s="6" t="s">
        <v>333</v>
      </c>
      <c r="B12360" s="6" t="s">
        <v>334</v>
      </c>
      <c r="C12360" s="6" t="s">
        <v>335</v>
      </c>
      <c r="D12360" s="6" t="s">
        <v>336</v>
      </c>
      <c r="E12360" s="6" t="s">
        <v>52</v>
      </c>
      <c r="F12360" s="6" t="s">
        <v>70</v>
      </c>
      <c r="G12360" s="6" t="s">
        <v>71</v>
      </c>
      <c r="H12360" s="6" t="s">
        <v>72</v>
      </c>
      <c r="I12360" s="6" t="s">
        <v>31</v>
      </c>
      <c r="J12360" s="6">
        <v>17.071537149621001</v>
      </c>
      <c r="K12360" s="6" t="s">
        <v>338</v>
      </c>
      <c r="L12360" s="6" t="str">
        <f>HYPERLINK("https://maps.google.com/?q=17.071537149621424,-96.7157940912962	", "🔗 Ver Mapa")</f>
        <v>🔗 Ver Mapa</v>
      </c>
    </row>
    <row r="12361" spans="1:12" ht="58" x14ac:dyDescent="0.35">
      <c r="A12361" s="5" t="s">
        <v>73</v>
      </c>
      <c r="B12361" s="5" t="s">
        <v>74</v>
      </c>
      <c r="C12361" s="5" t="s">
        <v>2485</v>
      </c>
      <c r="D12361" s="5" t="s">
        <v>76</v>
      </c>
      <c r="E12361" s="5" t="s">
        <v>110</v>
      </c>
      <c r="F12361" s="5" t="s">
        <v>126</v>
      </c>
      <c r="G12361" s="5" t="s">
        <v>1519</v>
      </c>
      <c r="H12361" s="5" t="s">
        <v>1520</v>
      </c>
      <c r="I12361" s="5" t="s">
        <v>31</v>
      </c>
      <c r="J12361" s="5">
        <v>17.884429521676999</v>
      </c>
      <c r="K12361" s="5">
        <v>-96.727863423830001</v>
      </c>
      <c r="L12361" s="5" t="str">
        <f>HYPERLINK("https://maps.google.com/?q=17.884429521676783,-96.7278634238304", "🔗 Ver Mapa")</f>
        <v>🔗 Ver Mapa</v>
      </c>
    </row>
    <row r="12362" spans="1:12" ht="58" x14ac:dyDescent="0.35">
      <c r="A12362" s="6" t="s">
        <v>73</v>
      </c>
      <c r="B12362" s="6" t="s">
        <v>74</v>
      </c>
      <c r="C12362" s="6" t="s">
        <v>2486</v>
      </c>
      <c r="D12362" s="6" t="s">
        <v>76</v>
      </c>
      <c r="E12362" s="6" t="s">
        <v>110</v>
      </c>
      <c r="F12362" s="6" t="s">
        <v>126</v>
      </c>
      <c r="G12362" s="6" t="s">
        <v>1519</v>
      </c>
      <c r="H12362" s="6" t="s">
        <v>2487</v>
      </c>
      <c r="I12362" s="6" t="s">
        <v>31</v>
      </c>
      <c r="J12362" s="6">
        <v>17.875172350054001</v>
      </c>
      <c r="K12362" s="6">
        <v>-96.746450307619995</v>
      </c>
      <c r="L12362" s="6" t="str">
        <f>HYPERLINK("https://maps.google.com/?q=17.875172350053884,-96.74645030761997", "🔗 Ver Mapa")</f>
        <v>🔗 Ver Mapa</v>
      </c>
    </row>
    <row r="12363" spans="1:12" ht="72.5" x14ac:dyDescent="0.35">
      <c r="A12363" s="5" t="s">
        <v>73</v>
      </c>
      <c r="B12363" s="5" t="s">
        <v>74</v>
      </c>
      <c r="C12363" s="5" t="s">
        <v>2488</v>
      </c>
      <c r="D12363" s="5" t="s">
        <v>76</v>
      </c>
      <c r="E12363" s="5" t="s">
        <v>16</v>
      </c>
      <c r="F12363" s="5" t="s">
        <v>145</v>
      </c>
      <c r="G12363" s="5" t="s">
        <v>1863</v>
      </c>
      <c r="H12363" s="5" t="s">
        <v>2489</v>
      </c>
      <c r="I12363" s="5" t="s">
        <v>31</v>
      </c>
      <c r="J12363" s="5">
        <v>17.649934765889999</v>
      </c>
      <c r="K12363" s="5">
        <v>-97.749774998885002</v>
      </c>
      <c r="L12363" s="5" t="str">
        <f>HYPERLINK("https://maps.google.com/?q=17.649934765890137,-97.7497749988854", "🔗 Ver Mapa")</f>
        <v>🔗 Ver Mapa</v>
      </c>
    </row>
    <row r="12364" spans="1:12" ht="58" x14ac:dyDescent="0.35">
      <c r="A12364" s="6" t="s">
        <v>73</v>
      </c>
      <c r="B12364" s="6" t="s">
        <v>74</v>
      </c>
      <c r="C12364" s="6" t="s">
        <v>2490</v>
      </c>
      <c r="D12364" s="6" t="s">
        <v>76</v>
      </c>
      <c r="E12364" s="6" t="s">
        <v>52</v>
      </c>
      <c r="F12364" s="6" t="s">
        <v>83</v>
      </c>
      <c r="G12364" s="6" t="s">
        <v>1574</v>
      </c>
      <c r="H12364" s="6" t="s">
        <v>1575</v>
      </c>
      <c r="I12364" s="6" t="s">
        <v>31</v>
      </c>
      <c r="J12364" s="6">
        <v>17.112225627217999</v>
      </c>
      <c r="K12364" s="6">
        <v>-96.853521235803996</v>
      </c>
      <c r="L12364" s="6" t="str">
        <f>HYPERLINK("https://maps.google.com/?q=17.1122256272178,-96.85352123580441", "🔗 Ver Mapa")</f>
        <v>🔗 Ver Mapa</v>
      </c>
    </row>
    <row r="12365" spans="1:12" ht="43.5" x14ac:dyDescent="0.35">
      <c r="A12365" s="5" t="s">
        <v>321</v>
      </c>
      <c r="B12365" s="5" t="s">
        <v>322</v>
      </c>
      <c r="C12365" s="5" t="s">
        <v>2491</v>
      </c>
      <c r="D12365" s="5" t="s">
        <v>69</v>
      </c>
      <c r="E12365" s="5" t="s">
        <v>52</v>
      </c>
      <c r="F12365" s="5" t="s">
        <v>1020</v>
      </c>
      <c r="G12365" s="5" t="s">
        <v>1021</v>
      </c>
      <c r="H12365" s="5" t="s">
        <v>1022</v>
      </c>
      <c r="I12365" s="5" t="s">
        <v>31</v>
      </c>
      <c r="J12365" s="5">
        <v>17.048375493015001</v>
      </c>
      <c r="K12365" s="5">
        <v>-96.727623007912996</v>
      </c>
      <c r="L12365" s="5" t="str">
        <f>HYPERLINK("https://maps.google.com/?q=17.048375493014596,-96.72762300791275", "🔗 Ver Mapa")</f>
        <v>🔗 Ver Mapa</v>
      </c>
    </row>
    <row r="12366" spans="1:12" ht="43.5" x14ac:dyDescent="0.35">
      <c r="A12366" s="6" t="s">
        <v>321</v>
      </c>
      <c r="B12366" s="6" t="s">
        <v>322</v>
      </c>
      <c r="C12366" s="6" t="s">
        <v>2492</v>
      </c>
      <c r="D12366" s="6" t="s">
        <v>69</v>
      </c>
      <c r="E12366" s="6" t="s">
        <v>52</v>
      </c>
      <c r="F12366" s="6" t="s">
        <v>1020</v>
      </c>
      <c r="G12366" s="6" t="s">
        <v>1021</v>
      </c>
      <c r="H12366" s="6" t="s">
        <v>1022</v>
      </c>
      <c r="I12366" s="6" t="s">
        <v>31</v>
      </c>
      <c r="J12366" s="6">
        <v>16.948289361551002</v>
      </c>
      <c r="K12366" s="6">
        <v>-96.715461279763005</v>
      </c>
      <c r="L12366" s="6" t="str">
        <f>HYPERLINK("https://maps.google.com/?q=16.948289361550625,-96.7154612797628", "🔗 Ver Mapa")</f>
        <v>🔗 Ver Mapa</v>
      </c>
    </row>
    <row r="12367" spans="1:12" ht="72.5" x14ac:dyDescent="0.35">
      <c r="A12367" s="5" t="s">
        <v>288</v>
      </c>
      <c r="B12367" s="5" t="s">
        <v>289</v>
      </c>
      <c r="C12367" s="5" t="s">
        <v>2493</v>
      </c>
      <c r="D12367" s="5" t="s">
        <v>76</v>
      </c>
      <c r="E12367" s="5" t="s">
        <v>52</v>
      </c>
      <c r="F12367" s="5" t="s">
        <v>443</v>
      </c>
      <c r="G12367" s="5" t="s">
        <v>2451</v>
      </c>
      <c r="H12367" s="5" t="s">
        <v>2452</v>
      </c>
      <c r="I12367" s="5" t="s">
        <v>31</v>
      </c>
      <c r="J12367" s="5">
        <v>16.892706429311001</v>
      </c>
      <c r="K12367" s="5">
        <v>-96.766971146884998</v>
      </c>
      <c r="L12367" s="5" t="str">
        <f>HYPERLINK("https://maps.google.com/?q=16.892706429311225,-96.76697114688521", "🔗 Ver Mapa")</f>
        <v>🔗 Ver Mapa</v>
      </c>
    </row>
    <row r="12368" spans="1:12" ht="29" x14ac:dyDescent="0.35">
      <c r="A12368" s="6" t="s">
        <v>282</v>
      </c>
      <c r="B12368" s="6" t="s">
        <v>283</v>
      </c>
      <c r="C12368" s="6" t="s">
        <v>2494</v>
      </c>
      <c r="D12368" s="6" t="s">
        <v>76</v>
      </c>
      <c r="E12368" s="6" t="s">
        <v>52</v>
      </c>
      <c r="F12368" s="6" t="s">
        <v>70</v>
      </c>
      <c r="G12368" s="6" t="s">
        <v>71</v>
      </c>
      <c r="H12368" s="6" t="s">
        <v>72</v>
      </c>
      <c r="I12368" s="6" t="s">
        <v>31</v>
      </c>
      <c r="J12368" s="6">
        <v>17.048269999999999</v>
      </c>
      <c r="K12368" s="6">
        <v>-96.709509999999995</v>
      </c>
      <c r="L12368" s="6" t="str">
        <f>HYPERLINK("https://maps.google.com/?q=17.04827,-96.70951", "🔗 Ver Mapa")</f>
        <v>🔗 Ver Mapa</v>
      </c>
    </row>
    <row r="12369" spans="1:12" ht="72.5" x14ac:dyDescent="0.35">
      <c r="A12369" s="5" t="s">
        <v>73</v>
      </c>
      <c r="B12369" s="5" t="s">
        <v>74</v>
      </c>
      <c r="C12369" s="5" t="s">
        <v>2495</v>
      </c>
      <c r="D12369" s="5" t="s">
        <v>76</v>
      </c>
      <c r="E12369" s="5" t="s">
        <v>16</v>
      </c>
      <c r="F12369" s="5" t="s">
        <v>409</v>
      </c>
      <c r="G12369" s="5" t="s">
        <v>2496</v>
      </c>
      <c r="H12369" s="5" t="s">
        <v>2497</v>
      </c>
      <c r="I12369" s="5" t="s">
        <v>31</v>
      </c>
      <c r="J12369" s="5">
        <v>17.726507401612</v>
      </c>
      <c r="K12369" s="5">
        <v>-97.366726550452995</v>
      </c>
      <c r="L12369" s="5" t="str">
        <f>HYPERLINK("https://maps.google.com/?q=17.72650740161207,-97.36672655045295", "🔗 Ver Mapa")</f>
        <v>🔗 Ver Mapa</v>
      </c>
    </row>
    <row r="12370" spans="1:12" ht="58" x14ac:dyDescent="0.35">
      <c r="A12370" s="6" t="s">
        <v>73</v>
      </c>
      <c r="B12370" s="6" t="s">
        <v>74</v>
      </c>
      <c r="C12370" s="6" t="s">
        <v>2498</v>
      </c>
      <c r="D12370" s="6" t="s">
        <v>76</v>
      </c>
      <c r="E12370" s="6" t="s">
        <v>17</v>
      </c>
      <c r="F12370" s="6" t="s">
        <v>59</v>
      </c>
      <c r="G12370" s="6" t="s">
        <v>1296</v>
      </c>
      <c r="H12370" s="6" t="s">
        <v>2499</v>
      </c>
      <c r="I12370" s="6" t="s">
        <v>31</v>
      </c>
      <c r="J12370" s="6">
        <v>16.391792832431999</v>
      </c>
      <c r="K12370" s="6">
        <v>-97.653172917424996</v>
      </c>
      <c r="L12370" s="6" t="str">
        <f>HYPERLINK("https://maps.google.com/?q=16.391792832431754,-97.65317291742548", "🔗 Ver Mapa")</f>
        <v>🔗 Ver Mapa</v>
      </c>
    </row>
    <row r="12371" spans="1:12" ht="29" x14ac:dyDescent="0.35">
      <c r="A12371" s="5" t="s">
        <v>282</v>
      </c>
      <c r="B12371" s="5" t="s">
        <v>283</v>
      </c>
      <c r="C12371" s="5" t="s">
        <v>2500</v>
      </c>
      <c r="D12371" s="5" t="s">
        <v>76</v>
      </c>
      <c r="E12371" s="5" t="s">
        <v>52</v>
      </c>
      <c r="F12371" s="5" t="s">
        <v>70</v>
      </c>
      <c r="G12371" s="5" t="s">
        <v>71</v>
      </c>
      <c r="H12371" s="5" t="s">
        <v>72</v>
      </c>
      <c r="I12371" s="5" t="s">
        <v>31</v>
      </c>
      <c r="J12371" s="5">
        <v>17.050750000000001</v>
      </c>
      <c r="K12371" s="5">
        <v>-96.711569999999995</v>
      </c>
      <c r="L12371" s="5" t="str">
        <f>HYPERLINK("https://maps.google.com/?q=17.05075,-96.71157", "🔗 Ver Mapa")</f>
        <v>🔗 Ver Mapa</v>
      </c>
    </row>
    <row r="12372" spans="1:12" ht="58" x14ac:dyDescent="0.35">
      <c r="A12372" s="6" t="s">
        <v>73</v>
      </c>
      <c r="B12372" s="6" t="s">
        <v>74</v>
      </c>
      <c r="C12372" s="6" t="s">
        <v>2501</v>
      </c>
      <c r="D12372" s="6" t="s">
        <v>76</v>
      </c>
      <c r="E12372" s="6" t="s">
        <v>17</v>
      </c>
      <c r="F12372" s="6" t="s">
        <v>59</v>
      </c>
      <c r="G12372" s="6" t="s">
        <v>266</v>
      </c>
      <c r="H12372" s="6" t="s">
        <v>267</v>
      </c>
      <c r="I12372" s="6" t="s">
        <v>31</v>
      </c>
      <c r="J12372" s="6">
        <v>16.512494300396</v>
      </c>
      <c r="K12372" s="6">
        <v>-98.349397516712003</v>
      </c>
      <c r="L12372" s="6" t="str">
        <f>HYPERLINK("https://maps.google.com/?q=16.51249430039617,-98.3493975167124", "🔗 Ver Mapa")</f>
        <v>🔗 Ver Mapa</v>
      </c>
    </row>
    <row r="12373" spans="1:12" ht="58" x14ac:dyDescent="0.35">
      <c r="A12373" s="5" t="s">
        <v>73</v>
      </c>
      <c r="B12373" s="5" t="s">
        <v>74</v>
      </c>
      <c r="C12373" s="5" t="s">
        <v>2502</v>
      </c>
      <c r="D12373" s="5" t="s">
        <v>76</v>
      </c>
      <c r="E12373" s="5" t="s">
        <v>110</v>
      </c>
      <c r="F12373" s="5" t="s">
        <v>126</v>
      </c>
      <c r="G12373" s="5" t="s">
        <v>1519</v>
      </c>
      <c r="H12373" s="5" t="s">
        <v>1522</v>
      </c>
      <c r="I12373" s="5" t="s">
        <v>31</v>
      </c>
      <c r="J12373" s="5">
        <v>17.894341092841</v>
      </c>
      <c r="K12373" s="5">
        <v>-96.710622307129</v>
      </c>
      <c r="L12373" s="5" t="str">
        <f>HYPERLINK("https://maps.google.com/?q=17.89434109284148,-96.71062230712852", "🔗 Ver Mapa")</f>
        <v>🔗 Ver Mapa</v>
      </c>
    </row>
    <row r="12374" spans="1:12" ht="43.5" x14ac:dyDescent="0.35">
      <c r="A12374" s="6" t="s">
        <v>73</v>
      </c>
      <c r="B12374" s="6" t="s">
        <v>74</v>
      </c>
      <c r="C12374" s="6" t="s">
        <v>2503</v>
      </c>
      <c r="D12374" s="6" t="s">
        <v>76</v>
      </c>
      <c r="E12374" s="6" t="s">
        <v>16</v>
      </c>
      <c r="F12374" s="6" t="s">
        <v>21</v>
      </c>
      <c r="G12374" s="6" t="s">
        <v>235</v>
      </c>
      <c r="H12374" s="6" t="s">
        <v>236</v>
      </c>
      <c r="I12374" s="6" t="s">
        <v>31</v>
      </c>
      <c r="J12374" s="6">
        <v>17.250018768629999</v>
      </c>
      <c r="K12374" s="6">
        <v>-97.691673601621005</v>
      </c>
      <c r="L12374" s="6" t="str">
        <f>HYPERLINK("https://maps.google.com/?q=17.250018768629996,-97.6916736016208", "🔗 Ver Mapa")</f>
        <v>🔗 Ver Mapa</v>
      </c>
    </row>
    <row r="12375" spans="1:12" ht="43.5" x14ac:dyDescent="0.35">
      <c r="A12375" s="5" t="s">
        <v>2504</v>
      </c>
      <c r="B12375" s="5" t="s">
        <v>2505</v>
      </c>
      <c r="C12375" s="5" t="s">
        <v>2506</v>
      </c>
      <c r="D12375" s="5" t="s">
        <v>950</v>
      </c>
      <c r="E12375" s="5" t="s">
        <v>52</v>
      </c>
      <c r="F12375" s="5" t="s">
        <v>70</v>
      </c>
      <c r="G12375" s="5" t="s">
        <v>272</v>
      </c>
      <c r="H12375" s="5" t="s">
        <v>320</v>
      </c>
      <c r="I12375" s="5" t="s">
        <v>31</v>
      </c>
      <c r="J12375" s="5">
        <v>16.911347989999999</v>
      </c>
      <c r="K12375" s="5">
        <v>-96.720077000000003</v>
      </c>
      <c r="L12375" s="5" t="str">
        <f>HYPERLINK("https://maps.google.com/?q=16.91134799,-96.720077", "🔗 Ver Mapa")</f>
        <v>🔗 Ver Mapa</v>
      </c>
    </row>
    <row r="12376" spans="1:12" ht="29" x14ac:dyDescent="0.35">
      <c r="A12376" s="6" t="s">
        <v>288</v>
      </c>
      <c r="B12376" s="6" t="s">
        <v>289</v>
      </c>
      <c r="C12376" s="6" t="s">
        <v>2507</v>
      </c>
      <c r="D12376" s="6" t="s">
        <v>414</v>
      </c>
      <c r="E12376" s="6" t="s">
        <v>90</v>
      </c>
      <c r="F12376" s="6" t="s">
        <v>119</v>
      </c>
      <c r="G12376" s="6" t="s">
        <v>350</v>
      </c>
      <c r="H12376" s="6" t="s">
        <v>351</v>
      </c>
      <c r="I12376" s="6" t="s">
        <v>31</v>
      </c>
      <c r="J12376" s="6">
        <v>17.317564999999998</v>
      </c>
      <c r="K12376" s="6">
        <v>-96.492876999999993</v>
      </c>
      <c r="L12376" s="6" t="str">
        <f>HYPERLINK("https://maps.google.com/?q=17.317565,-96.492877", "🔗 Ver Mapa")</f>
        <v>🔗 Ver Mapa</v>
      </c>
    </row>
    <row r="12377" spans="1:12" ht="43.5" x14ac:dyDescent="0.35">
      <c r="A12377" s="5" t="s">
        <v>288</v>
      </c>
      <c r="B12377" s="5" t="s">
        <v>289</v>
      </c>
      <c r="C12377" s="5" t="s">
        <v>2508</v>
      </c>
      <c r="D12377" s="5" t="s">
        <v>414</v>
      </c>
      <c r="E12377" s="5" t="s">
        <v>110</v>
      </c>
      <c r="F12377" s="5" t="s">
        <v>126</v>
      </c>
      <c r="G12377" s="5" t="s">
        <v>1882</v>
      </c>
      <c r="H12377" s="5" t="s">
        <v>2509</v>
      </c>
      <c r="I12377" s="5" t="s">
        <v>31</v>
      </c>
      <c r="J12377" s="5">
        <v>17.841660000000001</v>
      </c>
      <c r="K12377" s="5">
        <v>-96.881252000000003</v>
      </c>
      <c r="L12377" s="5" t="str">
        <f>HYPERLINK("https://maps.google.com/?q=17.84166,-96.881252", "🔗 Ver Mapa")</f>
        <v>🔗 Ver Mapa</v>
      </c>
    </row>
    <row r="12378" spans="1:12" ht="43.5" x14ac:dyDescent="0.35">
      <c r="A12378" s="6" t="s">
        <v>288</v>
      </c>
      <c r="B12378" s="6" t="s">
        <v>289</v>
      </c>
      <c r="C12378" s="6" t="s">
        <v>2508</v>
      </c>
      <c r="D12378" s="6" t="s">
        <v>414</v>
      </c>
      <c r="E12378" s="6" t="s">
        <v>110</v>
      </c>
      <c r="F12378" s="6" t="s">
        <v>126</v>
      </c>
      <c r="G12378" s="6" t="s">
        <v>1882</v>
      </c>
      <c r="H12378" s="6" t="s">
        <v>2509</v>
      </c>
      <c r="I12378" s="6" t="s">
        <v>31</v>
      </c>
      <c r="J12378" s="6">
        <v>17.841771000000001</v>
      </c>
      <c r="K12378" s="6">
        <v>-96.880466999999996</v>
      </c>
      <c r="L12378" s="6" t="str">
        <f>HYPERLINK("https://maps.google.com/?q=17.841771,-96.880467", "🔗 Ver Mapa")</f>
        <v>🔗 Ver Mapa</v>
      </c>
    </row>
    <row r="12379" spans="1:12" ht="43.5" x14ac:dyDescent="0.35">
      <c r="A12379" s="5" t="s">
        <v>288</v>
      </c>
      <c r="B12379" s="5" t="s">
        <v>289</v>
      </c>
      <c r="C12379" s="5" t="s">
        <v>2508</v>
      </c>
      <c r="D12379" s="5" t="s">
        <v>414</v>
      </c>
      <c r="E12379" s="5" t="s">
        <v>110</v>
      </c>
      <c r="F12379" s="5" t="s">
        <v>126</v>
      </c>
      <c r="G12379" s="5" t="s">
        <v>1882</v>
      </c>
      <c r="H12379" s="5" t="s">
        <v>2509</v>
      </c>
      <c r="I12379" s="5" t="s">
        <v>31</v>
      </c>
      <c r="J12379" s="5">
        <v>17.842302</v>
      </c>
      <c r="K12379" s="5">
        <v>-96.879480000000001</v>
      </c>
      <c r="L12379" s="5" t="str">
        <f>HYPERLINK("https://maps.google.com/?q=17.842302,-96.87948", "🔗 Ver Mapa")</f>
        <v>🔗 Ver Mapa</v>
      </c>
    </row>
    <row r="12380" spans="1:12" ht="58" x14ac:dyDescent="0.35">
      <c r="A12380" s="6" t="s">
        <v>288</v>
      </c>
      <c r="B12380" s="6" t="s">
        <v>289</v>
      </c>
      <c r="C12380" s="6" t="s">
        <v>2510</v>
      </c>
      <c r="D12380" s="6" t="s">
        <v>600</v>
      </c>
      <c r="E12380" s="6" t="s">
        <v>16</v>
      </c>
      <c r="F12380" s="6" t="s">
        <v>19</v>
      </c>
      <c r="G12380" s="6" t="s">
        <v>199</v>
      </c>
      <c r="H12380" s="6" t="s">
        <v>2511</v>
      </c>
      <c r="I12380" s="6" t="s">
        <v>31</v>
      </c>
      <c r="J12380" s="6">
        <v>17.224610999999999</v>
      </c>
      <c r="K12380" s="6">
        <v>-97.273247999999995</v>
      </c>
      <c r="L12380" s="6" t="str">
        <f>HYPERLINK("https://maps.google.com/?q=17.224611,-97.273248", "🔗 Ver Mapa")</f>
        <v>🔗 Ver Mapa</v>
      </c>
    </row>
    <row r="12381" spans="1:12" ht="43.5" x14ac:dyDescent="0.35">
      <c r="A12381" s="5" t="s">
        <v>98</v>
      </c>
      <c r="B12381" s="5" t="s">
        <v>99</v>
      </c>
      <c r="C12381" s="5" t="s">
        <v>2512</v>
      </c>
      <c r="D12381" s="5" t="s">
        <v>14</v>
      </c>
      <c r="E12381" s="5" t="s">
        <v>52</v>
      </c>
      <c r="F12381" s="5" t="s">
        <v>421</v>
      </c>
      <c r="G12381" s="5" t="s">
        <v>932</v>
      </c>
      <c r="H12381" s="5" t="s">
        <v>933</v>
      </c>
      <c r="I12381" s="5" t="s">
        <v>31</v>
      </c>
      <c r="J12381" s="5">
        <v>16.552290720993</v>
      </c>
      <c r="K12381" s="5">
        <v>-96.818837515601999</v>
      </c>
      <c r="L12381" s="5" t="str">
        <f>HYPERLINK("https://maps.google.com/?q=16.5522907209929,-96.818837515601999", "🔗 Ver Mapa")</f>
        <v>🔗 Ver Mapa</v>
      </c>
    </row>
    <row r="12382" spans="1:12" ht="43.5" x14ac:dyDescent="0.35">
      <c r="A12382" s="6" t="s">
        <v>98</v>
      </c>
      <c r="B12382" s="6" t="s">
        <v>99</v>
      </c>
      <c r="C12382" s="6" t="s">
        <v>2512</v>
      </c>
      <c r="D12382" s="6" t="s">
        <v>14</v>
      </c>
      <c r="E12382" s="6" t="s">
        <v>52</v>
      </c>
      <c r="F12382" s="6" t="s">
        <v>421</v>
      </c>
      <c r="G12382" s="6" t="s">
        <v>932</v>
      </c>
      <c r="H12382" s="6" t="s">
        <v>933</v>
      </c>
      <c r="I12382" s="6" t="s">
        <v>31</v>
      </c>
      <c r="J12382" s="6">
        <v>16.552442722277</v>
      </c>
      <c r="K12382" s="6">
        <v>-96.818922411044994</v>
      </c>
      <c r="L12382" s="6" t="str">
        <f>HYPERLINK("https://maps.google.com/?q=16.5524427222767,-96.818922411045094", "🔗 Ver Mapa")</f>
        <v>🔗 Ver Mapa</v>
      </c>
    </row>
    <row r="12383" spans="1:12" ht="43.5" x14ac:dyDescent="0.35">
      <c r="A12383" s="5" t="s">
        <v>98</v>
      </c>
      <c r="B12383" s="5" t="s">
        <v>99</v>
      </c>
      <c r="C12383" s="5" t="s">
        <v>2512</v>
      </c>
      <c r="D12383" s="5" t="s">
        <v>14</v>
      </c>
      <c r="E12383" s="5" t="s">
        <v>52</v>
      </c>
      <c r="F12383" s="5" t="s">
        <v>421</v>
      </c>
      <c r="G12383" s="5" t="s">
        <v>932</v>
      </c>
      <c r="H12383" s="5" t="s">
        <v>933</v>
      </c>
      <c r="I12383" s="5" t="s">
        <v>31</v>
      </c>
      <c r="J12383" s="5">
        <v>16.552526891949999</v>
      </c>
      <c r="K12383" s="5">
        <v>-96.819679466270998</v>
      </c>
      <c r="L12383" s="5" t="str">
        <f>HYPERLINK("https://maps.google.com/?q=16.5525268919499,-96.8196794662705", "🔗 Ver Mapa")</f>
        <v>🔗 Ver Mapa</v>
      </c>
    </row>
    <row r="12384" spans="1:12" ht="43.5" x14ac:dyDescent="0.35">
      <c r="A12384" s="6" t="s">
        <v>98</v>
      </c>
      <c r="B12384" s="6" t="s">
        <v>99</v>
      </c>
      <c r="C12384" s="6" t="s">
        <v>2512</v>
      </c>
      <c r="D12384" s="6" t="s">
        <v>14</v>
      </c>
      <c r="E12384" s="6" t="s">
        <v>52</v>
      </c>
      <c r="F12384" s="6" t="s">
        <v>421</v>
      </c>
      <c r="G12384" s="6" t="s">
        <v>932</v>
      </c>
      <c r="H12384" s="6" t="s">
        <v>933</v>
      </c>
      <c r="I12384" s="6" t="s">
        <v>31</v>
      </c>
      <c r="J12384" s="6">
        <v>16.552661296</v>
      </c>
      <c r="K12384" s="6">
        <v>-96.818990682209005</v>
      </c>
      <c r="L12384" s="6" t="str">
        <f>HYPERLINK("https://maps.google.com/?q=16.5526612960004,-96.818990682208906", "🔗 Ver Mapa")</f>
        <v>🔗 Ver Mapa</v>
      </c>
    </row>
    <row r="12385" spans="1:12" ht="43.5" x14ac:dyDescent="0.35">
      <c r="A12385" s="5" t="s">
        <v>98</v>
      </c>
      <c r="B12385" s="5" t="s">
        <v>99</v>
      </c>
      <c r="C12385" s="5" t="s">
        <v>2512</v>
      </c>
      <c r="D12385" s="5" t="s">
        <v>14</v>
      </c>
      <c r="E12385" s="5" t="s">
        <v>52</v>
      </c>
      <c r="F12385" s="5" t="s">
        <v>421</v>
      </c>
      <c r="G12385" s="5" t="s">
        <v>932</v>
      </c>
      <c r="H12385" s="5" t="s">
        <v>933</v>
      </c>
      <c r="I12385" s="5" t="s">
        <v>31</v>
      </c>
      <c r="J12385" s="5">
        <v>16.553096570977999</v>
      </c>
      <c r="K12385" s="5">
        <v>-96.818821609210005</v>
      </c>
      <c r="L12385" s="5" t="str">
        <f>HYPERLINK("https://maps.google.com/?q=16.5530965709778,-96.818821609210104", "🔗 Ver Mapa")</f>
        <v>🔗 Ver Mapa</v>
      </c>
    </row>
    <row r="12386" spans="1:12" ht="43.5" x14ac:dyDescent="0.35">
      <c r="A12386" s="6" t="s">
        <v>98</v>
      </c>
      <c r="B12386" s="6" t="s">
        <v>99</v>
      </c>
      <c r="C12386" s="6" t="s">
        <v>2512</v>
      </c>
      <c r="D12386" s="6" t="s">
        <v>14</v>
      </c>
      <c r="E12386" s="6" t="s">
        <v>52</v>
      </c>
      <c r="F12386" s="6" t="s">
        <v>421</v>
      </c>
      <c r="G12386" s="6" t="s">
        <v>932</v>
      </c>
      <c r="H12386" s="6" t="s">
        <v>933</v>
      </c>
      <c r="I12386" s="6" t="s">
        <v>31</v>
      </c>
      <c r="J12386" s="6">
        <v>16.553115646119998</v>
      </c>
      <c r="K12386" s="6">
        <v>-96.819906259036003</v>
      </c>
      <c r="L12386" s="6" t="str">
        <f>HYPERLINK("https://maps.google.com/?q=16.55311564612,-96.819906259036301", "🔗 Ver Mapa")</f>
        <v>🔗 Ver Mapa</v>
      </c>
    </row>
    <row r="12387" spans="1:12" ht="43.5" x14ac:dyDescent="0.35">
      <c r="A12387" s="5" t="s">
        <v>98</v>
      </c>
      <c r="B12387" s="5" t="s">
        <v>99</v>
      </c>
      <c r="C12387" s="5" t="s">
        <v>2512</v>
      </c>
      <c r="D12387" s="5" t="s">
        <v>14</v>
      </c>
      <c r="E12387" s="5" t="s">
        <v>52</v>
      </c>
      <c r="F12387" s="5" t="s">
        <v>421</v>
      </c>
      <c r="G12387" s="5" t="s">
        <v>932</v>
      </c>
      <c r="H12387" s="5" t="s">
        <v>933</v>
      </c>
      <c r="I12387" s="5" t="s">
        <v>31</v>
      </c>
      <c r="J12387" s="5">
        <v>16.553232970652999</v>
      </c>
      <c r="K12387" s="5">
        <v>-96.819522553549007</v>
      </c>
      <c r="L12387" s="5" t="str">
        <f>HYPERLINK("https://maps.google.com/?q=16.5532329706529,-96.819522553549305", "🔗 Ver Mapa")</f>
        <v>🔗 Ver Mapa</v>
      </c>
    </row>
    <row r="12388" spans="1:12" ht="43.5" x14ac:dyDescent="0.35">
      <c r="A12388" s="6" t="s">
        <v>98</v>
      </c>
      <c r="B12388" s="6" t="s">
        <v>99</v>
      </c>
      <c r="C12388" s="6" t="s">
        <v>2512</v>
      </c>
      <c r="D12388" s="6" t="s">
        <v>14</v>
      </c>
      <c r="E12388" s="6" t="s">
        <v>52</v>
      </c>
      <c r="F12388" s="6" t="s">
        <v>421</v>
      </c>
      <c r="G12388" s="6" t="s">
        <v>932</v>
      </c>
      <c r="H12388" s="6" t="s">
        <v>933</v>
      </c>
      <c r="I12388" s="6" t="s">
        <v>31</v>
      </c>
      <c r="J12388" s="6">
        <v>16.553336420811998</v>
      </c>
      <c r="K12388" s="6">
        <v>-96.820480790177996</v>
      </c>
      <c r="L12388" s="6" t="str">
        <f>HYPERLINK("https://maps.google.com/?q=16.5533364208124,-96.820480790178294", "🔗 Ver Mapa")</f>
        <v>🔗 Ver Mapa</v>
      </c>
    </row>
    <row r="12389" spans="1:12" ht="43.5" x14ac:dyDescent="0.35">
      <c r="A12389" s="5" t="s">
        <v>98</v>
      </c>
      <c r="B12389" s="5" t="s">
        <v>99</v>
      </c>
      <c r="C12389" s="5" t="s">
        <v>2512</v>
      </c>
      <c r="D12389" s="5" t="s">
        <v>14</v>
      </c>
      <c r="E12389" s="5" t="s">
        <v>52</v>
      </c>
      <c r="F12389" s="5" t="s">
        <v>421</v>
      </c>
      <c r="G12389" s="5" t="s">
        <v>932</v>
      </c>
      <c r="H12389" s="5" t="s">
        <v>933</v>
      </c>
      <c r="I12389" s="5" t="s">
        <v>31</v>
      </c>
      <c r="J12389" s="5">
        <v>16.553346718416002</v>
      </c>
      <c r="K12389" s="5">
        <v>-96.818766690806996</v>
      </c>
      <c r="L12389" s="5" t="str">
        <f>HYPERLINK("https://maps.google.com/?q=16.5533467184158,-96.818766690807394", "🔗 Ver Mapa")</f>
        <v>🔗 Ver Mapa</v>
      </c>
    </row>
    <row r="12390" spans="1:12" ht="43.5" x14ac:dyDescent="0.35">
      <c r="A12390" s="6" t="s">
        <v>98</v>
      </c>
      <c r="B12390" s="6" t="s">
        <v>99</v>
      </c>
      <c r="C12390" s="6" t="s">
        <v>2512</v>
      </c>
      <c r="D12390" s="6" t="s">
        <v>14</v>
      </c>
      <c r="E12390" s="6" t="s">
        <v>52</v>
      </c>
      <c r="F12390" s="6" t="s">
        <v>421</v>
      </c>
      <c r="G12390" s="6" t="s">
        <v>932</v>
      </c>
      <c r="H12390" s="6" t="s">
        <v>933</v>
      </c>
      <c r="I12390" s="6" t="s">
        <v>31</v>
      </c>
      <c r="J12390" s="6">
        <v>16.553900573631001</v>
      </c>
      <c r="K12390" s="6">
        <v>-96.819510758266006</v>
      </c>
      <c r="L12390" s="6" t="str">
        <f>HYPERLINK("https://maps.google.com/?q=16.553900573631,-96.819510758266404", "🔗 Ver Mapa")</f>
        <v>🔗 Ver Mapa</v>
      </c>
    </row>
    <row r="12391" spans="1:12" ht="43.5" x14ac:dyDescent="0.35">
      <c r="A12391" s="5" t="s">
        <v>98</v>
      </c>
      <c r="B12391" s="5" t="s">
        <v>99</v>
      </c>
      <c r="C12391" s="5" t="s">
        <v>2512</v>
      </c>
      <c r="D12391" s="5" t="s">
        <v>14</v>
      </c>
      <c r="E12391" s="5" t="s">
        <v>52</v>
      </c>
      <c r="F12391" s="5" t="s">
        <v>421</v>
      </c>
      <c r="G12391" s="5" t="s">
        <v>932</v>
      </c>
      <c r="H12391" s="5" t="s">
        <v>933</v>
      </c>
      <c r="I12391" s="5" t="s">
        <v>31</v>
      </c>
      <c r="J12391" s="5">
        <v>16.553941312873</v>
      </c>
      <c r="K12391" s="5">
        <v>-96.820479489584002</v>
      </c>
      <c r="L12391" s="5" t="str">
        <f>HYPERLINK("https://maps.google.com/?q=16.5539413128728,-96.820479489583803", "🔗 Ver Mapa")</f>
        <v>🔗 Ver Mapa</v>
      </c>
    </row>
    <row r="12392" spans="1:12" ht="43.5" x14ac:dyDescent="0.35">
      <c r="A12392" s="6" t="s">
        <v>98</v>
      </c>
      <c r="B12392" s="6" t="s">
        <v>99</v>
      </c>
      <c r="C12392" s="6" t="s">
        <v>2512</v>
      </c>
      <c r="D12392" s="6" t="s">
        <v>14</v>
      </c>
      <c r="E12392" s="6" t="s">
        <v>52</v>
      </c>
      <c r="F12392" s="6" t="s">
        <v>421</v>
      </c>
      <c r="G12392" s="6" t="s">
        <v>932</v>
      </c>
      <c r="H12392" s="6" t="s">
        <v>933</v>
      </c>
      <c r="I12392" s="6" t="s">
        <v>31</v>
      </c>
      <c r="J12392" s="6">
        <v>16.554065936023999</v>
      </c>
      <c r="K12392" s="6">
        <v>-96.818473787901993</v>
      </c>
      <c r="L12392" s="6" t="str">
        <f>HYPERLINK("https://maps.google.com/?q=16.5540659360239,-96.818473787902306", "🔗 Ver Mapa")</f>
        <v>🔗 Ver Mapa</v>
      </c>
    </row>
    <row r="12393" spans="1:12" ht="43.5" x14ac:dyDescent="0.35">
      <c r="A12393" s="5" t="s">
        <v>98</v>
      </c>
      <c r="B12393" s="5" t="s">
        <v>99</v>
      </c>
      <c r="C12393" s="5" t="s">
        <v>2512</v>
      </c>
      <c r="D12393" s="5" t="s">
        <v>14</v>
      </c>
      <c r="E12393" s="5" t="s">
        <v>52</v>
      </c>
      <c r="F12393" s="5" t="s">
        <v>421</v>
      </c>
      <c r="G12393" s="5" t="s">
        <v>932</v>
      </c>
      <c r="H12393" s="5" t="s">
        <v>933</v>
      </c>
      <c r="I12393" s="5" t="s">
        <v>31</v>
      </c>
      <c r="J12393" s="5">
        <v>16.554108874345999</v>
      </c>
      <c r="K12393" s="5">
        <v>-96.819368950314001</v>
      </c>
      <c r="L12393" s="5" t="str">
        <f>HYPERLINK("https://maps.google.com/?q=16.5541088743456,-96.819368950314498", "🔗 Ver Mapa")</f>
        <v>🔗 Ver Mapa</v>
      </c>
    </row>
    <row r="12394" spans="1:12" ht="43.5" x14ac:dyDescent="0.35">
      <c r="A12394" s="6" t="s">
        <v>98</v>
      </c>
      <c r="B12394" s="6" t="s">
        <v>99</v>
      </c>
      <c r="C12394" s="6" t="s">
        <v>2512</v>
      </c>
      <c r="D12394" s="6" t="s">
        <v>14</v>
      </c>
      <c r="E12394" s="6" t="s">
        <v>52</v>
      </c>
      <c r="F12394" s="6" t="s">
        <v>421</v>
      </c>
      <c r="G12394" s="6" t="s">
        <v>932</v>
      </c>
      <c r="H12394" s="6" t="s">
        <v>933</v>
      </c>
      <c r="I12394" s="6" t="s">
        <v>31</v>
      </c>
      <c r="J12394" s="6">
        <v>16.554226712923999</v>
      </c>
      <c r="K12394" s="6">
        <v>-96.818681169311006</v>
      </c>
      <c r="L12394" s="6" t="str">
        <f>HYPERLINK("https://maps.google.com/?q=16.5542267129237,-96.818681169311404", "🔗 Ver Mapa")</f>
        <v>🔗 Ver Mapa</v>
      </c>
    </row>
    <row r="12395" spans="1:12" ht="43.5" x14ac:dyDescent="0.35">
      <c r="A12395" s="5" t="s">
        <v>98</v>
      </c>
      <c r="B12395" s="5" t="s">
        <v>99</v>
      </c>
      <c r="C12395" s="5" t="s">
        <v>2512</v>
      </c>
      <c r="D12395" s="5" t="s">
        <v>14</v>
      </c>
      <c r="E12395" s="5" t="s">
        <v>52</v>
      </c>
      <c r="F12395" s="5" t="s">
        <v>421</v>
      </c>
      <c r="G12395" s="5" t="s">
        <v>932</v>
      </c>
      <c r="H12395" s="5" t="s">
        <v>933</v>
      </c>
      <c r="I12395" s="5" t="s">
        <v>31</v>
      </c>
      <c r="J12395" s="5">
        <v>16.554265122097998</v>
      </c>
      <c r="K12395" s="5">
        <v>-96.819320453537003</v>
      </c>
      <c r="L12395" s="5" t="str">
        <f>HYPERLINK("https://maps.google.com/?q=16.5542651220983,-96.819320453537202", "🔗 Ver Mapa")</f>
        <v>🔗 Ver Mapa</v>
      </c>
    </row>
    <row r="12396" spans="1:12" ht="43.5" x14ac:dyDescent="0.35">
      <c r="A12396" s="6" t="s">
        <v>98</v>
      </c>
      <c r="B12396" s="6" t="s">
        <v>99</v>
      </c>
      <c r="C12396" s="6" t="s">
        <v>2512</v>
      </c>
      <c r="D12396" s="6" t="s">
        <v>14</v>
      </c>
      <c r="E12396" s="6" t="s">
        <v>52</v>
      </c>
      <c r="F12396" s="6" t="s">
        <v>421</v>
      </c>
      <c r="G12396" s="6" t="s">
        <v>932</v>
      </c>
      <c r="H12396" s="6" t="s">
        <v>933</v>
      </c>
      <c r="I12396" s="6" t="s">
        <v>31</v>
      </c>
      <c r="J12396" s="6">
        <v>16.555329008344</v>
      </c>
      <c r="K12396" s="6">
        <v>-96.823119647238997</v>
      </c>
      <c r="L12396" s="6" t="str">
        <f>HYPERLINK("https://maps.google.com/?q=16.5553290083442,-96.823119647238698", "🔗 Ver Mapa")</f>
        <v>🔗 Ver Mapa</v>
      </c>
    </row>
    <row r="12397" spans="1:12" ht="43.5" x14ac:dyDescent="0.35">
      <c r="A12397" s="5" t="s">
        <v>98</v>
      </c>
      <c r="B12397" s="5" t="s">
        <v>99</v>
      </c>
      <c r="C12397" s="5" t="s">
        <v>2512</v>
      </c>
      <c r="D12397" s="5" t="s">
        <v>14</v>
      </c>
      <c r="E12397" s="5" t="s">
        <v>52</v>
      </c>
      <c r="F12397" s="5" t="s">
        <v>421</v>
      </c>
      <c r="G12397" s="5" t="s">
        <v>932</v>
      </c>
      <c r="H12397" s="5" t="s">
        <v>933</v>
      </c>
      <c r="I12397" s="5" t="s">
        <v>31</v>
      </c>
      <c r="J12397" s="5">
        <v>16.556346601663002</v>
      </c>
      <c r="K12397" s="5">
        <v>-96.822214110008005</v>
      </c>
      <c r="L12397" s="5" t="str">
        <f>HYPERLINK("https://maps.google.com/?q=16.5563466016625,-96.822214110008005", "🔗 Ver Mapa")</f>
        <v>🔗 Ver Mapa</v>
      </c>
    </row>
    <row r="12398" spans="1:12" ht="43.5" x14ac:dyDescent="0.35">
      <c r="A12398" s="6" t="s">
        <v>98</v>
      </c>
      <c r="B12398" s="6" t="s">
        <v>99</v>
      </c>
      <c r="C12398" s="6" t="s">
        <v>2512</v>
      </c>
      <c r="D12398" s="6" t="s">
        <v>14</v>
      </c>
      <c r="E12398" s="6" t="s">
        <v>52</v>
      </c>
      <c r="F12398" s="6" t="s">
        <v>421</v>
      </c>
      <c r="G12398" s="6" t="s">
        <v>932</v>
      </c>
      <c r="H12398" s="6" t="s">
        <v>933</v>
      </c>
      <c r="I12398" s="6" t="s">
        <v>31</v>
      </c>
      <c r="J12398" s="6">
        <v>16.556424715546001</v>
      </c>
      <c r="K12398" s="6">
        <v>-96.822477390166995</v>
      </c>
      <c r="L12398" s="6" t="str">
        <f>HYPERLINK("https://maps.google.com/?q=16.5564247155464,-96.822477390166796", "🔗 Ver Mapa")</f>
        <v>🔗 Ver Mapa</v>
      </c>
    </row>
    <row r="12399" spans="1:12" ht="43.5" x14ac:dyDescent="0.35">
      <c r="A12399" s="5" t="s">
        <v>98</v>
      </c>
      <c r="B12399" s="5" t="s">
        <v>99</v>
      </c>
      <c r="C12399" s="5" t="s">
        <v>2512</v>
      </c>
      <c r="D12399" s="5" t="s">
        <v>14</v>
      </c>
      <c r="E12399" s="5" t="s">
        <v>52</v>
      </c>
      <c r="F12399" s="5" t="s">
        <v>421</v>
      </c>
      <c r="G12399" s="5" t="s">
        <v>932</v>
      </c>
      <c r="H12399" s="5" t="s">
        <v>933</v>
      </c>
      <c r="I12399" s="5" t="s">
        <v>31</v>
      </c>
      <c r="J12399" s="5">
        <v>16.556490996634</v>
      </c>
      <c r="K12399" s="5">
        <v>-96.821480224536998</v>
      </c>
      <c r="L12399" s="5" t="str">
        <f>HYPERLINK("https://maps.google.com/?q=16.5564909966341,-96.821480224536799", "🔗 Ver Mapa")</f>
        <v>🔗 Ver Mapa</v>
      </c>
    </row>
    <row r="12400" spans="1:12" ht="43.5" x14ac:dyDescent="0.35">
      <c r="A12400" s="6" t="s">
        <v>98</v>
      </c>
      <c r="B12400" s="6" t="s">
        <v>99</v>
      </c>
      <c r="C12400" s="6" t="s">
        <v>2512</v>
      </c>
      <c r="D12400" s="6" t="s">
        <v>14</v>
      </c>
      <c r="E12400" s="6" t="s">
        <v>52</v>
      </c>
      <c r="F12400" s="6" t="s">
        <v>421</v>
      </c>
      <c r="G12400" s="6" t="s">
        <v>932</v>
      </c>
      <c r="H12400" s="6" t="s">
        <v>933</v>
      </c>
      <c r="I12400" s="6" t="s">
        <v>31</v>
      </c>
      <c r="J12400" s="6">
        <v>16.556516484241001</v>
      </c>
      <c r="K12400" s="6">
        <v>-96.822345489547999</v>
      </c>
      <c r="L12400" s="6" t="str">
        <f>HYPERLINK("https://maps.google.com/?q=16.5565164842413,-96.822345489548098", "🔗 Ver Mapa")</f>
        <v>🔗 Ver Mapa</v>
      </c>
    </row>
    <row r="12401" spans="1:12" ht="43.5" x14ac:dyDescent="0.35">
      <c r="A12401" s="5" t="s">
        <v>98</v>
      </c>
      <c r="B12401" s="5" t="s">
        <v>99</v>
      </c>
      <c r="C12401" s="5" t="s">
        <v>2512</v>
      </c>
      <c r="D12401" s="5" t="s">
        <v>14</v>
      </c>
      <c r="E12401" s="5" t="s">
        <v>52</v>
      </c>
      <c r="F12401" s="5" t="s">
        <v>421</v>
      </c>
      <c r="G12401" s="5" t="s">
        <v>932</v>
      </c>
      <c r="H12401" s="5" t="s">
        <v>933</v>
      </c>
      <c r="I12401" s="5" t="s">
        <v>31</v>
      </c>
      <c r="J12401" s="5">
        <v>16.556523197324999</v>
      </c>
      <c r="K12401" s="5">
        <v>-96.822701451398004</v>
      </c>
      <c r="L12401" s="5" t="str">
        <f>HYPERLINK("https://maps.google.com/?q=16.5565231973253,-96.822701451397705", "🔗 Ver Mapa")</f>
        <v>🔗 Ver Mapa</v>
      </c>
    </row>
    <row r="12402" spans="1:12" ht="43.5" x14ac:dyDescent="0.35">
      <c r="A12402" s="6" t="s">
        <v>98</v>
      </c>
      <c r="B12402" s="6" t="s">
        <v>99</v>
      </c>
      <c r="C12402" s="6" t="s">
        <v>2512</v>
      </c>
      <c r="D12402" s="6" t="s">
        <v>14</v>
      </c>
      <c r="E12402" s="6" t="s">
        <v>52</v>
      </c>
      <c r="F12402" s="6" t="s">
        <v>421</v>
      </c>
      <c r="G12402" s="6" t="s">
        <v>932</v>
      </c>
      <c r="H12402" s="6" t="s">
        <v>933</v>
      </c>
      <c r="I12402" s="6" t="s">
        <v>31</v>
      </c>
      <c r="J12402" s="6">
        <v>16.556587858400999</v>
      </c>
      <c r="K12402" s="6">
        <v>-96.821245550925994</v>
      </c>
      <c r="L12402" s="6" t="str">
        <f>HYPERLINK("https://maps.google.com/?q=16.5565878584005,-96.821245550925994", "🔗 Ver Mapa")</f>
        <v>🔗 Ver Mapa</v>
      </c>
    </row>
    <row r="12403" spans="1:12" ht="43.5" x14ac:dyDescent="0.35">
      <c r="A12403" s="5" t="s">
        <v>98</v>
      </c>
      <c r="B12403" s="5" t="s">
        <v>99</v>
      </c>
      <c r="C12403" s="5" t="s">
        <v>2512</v>
      </c>
      <c r="D12403" s="5" t="s">
        <v>14</v>
      </c>
      <c r="E12403" s="5" t="s">
        <v>52</v>
      </c>
      <c r="F12403" s="5" t="s">
        <v>421</v>
      </c>
      <c r="G12403" s="5" t="s">
        <v>932</v>
      </c>
      <c r="H12403" s="5" t="s">
        <v>933</v>
      </c>
      <c r="I12403" s="5" t="s">
        <v>31</v>
      </c>
      <c r="J12403" s="5">
        <v>16.556732267106</v>
      </c>
      <c r="K12403" s="5">
        <v>-96.815565072422004</v>
      </c>
      <c r="L12403" s="5" t="str">
        <f>HYPERLINK("https://maps.google.com/?q=16.5567322671056,-96.815565072421904", "🔗 Ver Mapa")</f>
        <v>🔗 Ver Mapa</v>
      </c>
    </row>
    <row r="12404" spans="1:12" ht="43.5" x14ac:dyDescent="0.35">
      <c r="A12404" s="6" t="s">
        <v>98</v>
      </c>
      <c r="B12404" s="6" t="s">
        <v>99</v>
      </c>
      <c r="C12404" s="6" t="s">
        <v>2512</v>
      </c>
      <c r="D12404" s="6" t="s">
        <v>14</v>
      </c>
      <c r="E12404" s="6" t="s">
        <v>52</v>
      </c>
      <c r="F12404" s="6" t="s">
        <v>421</v>
      </c>
      <c r="G12404" s="6" t="s">
        <v>932</v>
      </c>
      <c r="H12404" s="6" t="s">
        <v>933</v>
      </c>
      <c r="I12404" s="6" t="s">
        <v>31</v>
      </c>
      <c r="J12404" s="6">
        <v>16.556753013127</v>
      </c>
      <c r="K12404" s="6">
        <v>-96.822857061342006</v>
      </c>
      <c r="L12404" s="6" t="str">
        <f>HYPERLINK("https://maps.google.com/?q=16.5567530131267,-96.822857061342305", "🔗 Ver Mapa")</f>
        <v>🔗 Ver Mapa</v>
      </c>
    </row>
    <row r="12405" spans="1:12" ht="43.5" x14ac:dyDescent="0.35">
      <c r="A12405" s="5" t="s">
        <v>98</v>
      </c>
      <c r="B12405" s="5" t="s">
        <v>99</v>
      </c>
      <c r="C12405" s="5" t="s">
        <v>2512</v>
      </c>
      <c r="D12405" s="5" t="s">
        <v>14</v>
      </c>
      <c r="E12405" s="5" t="s">
        <v>52</v>
      </c>
      <c r="F12405" s="5" t="s">
        <v>421</v>
      </c>
      <c r="G12405" s="5" t="s">
        <v>932</v>
      </c>
      <c r="H12405" s="5" t="s">
        <v>933</v>
      </c>
      <c r="I12405" s="5" t="s">
        <v>31</v>
      </c>
      <c r="J12405" s="5">
        <v>16.556756501843001</v>
      </c>
      <c r="K12405" s="5">
        <v>-96.820548318402004</v>
      </c>
      <c r="L12405" s="5" t="str">
        <f>HYPERLINK("https://maps.google.com/?q=16.5567565018427,-96.820548318401805", "🔗 Ver Mapa")</f>
        <v>🔗 Ver Mapa</v>
      </c>
    </row>
    <row r="12406" spans="1:12" ht="43.5" x14ac:dyDescent="0.35">
      <c r="A12406" s="6" t="s">
        <v>98</v>
      </c>
      <c r="B12406" s="6" t="s">
        <v>99</v>
      </c>
      <c r="C12406" s="6" t="s">
        <v>2512</v>
      </c>
      <c r="D12406" s="6" t="s">
        <v>14</v>
      </c>
      <c r="E12406" s="6" t="s">
        <v>52</v>
      </c>
      <c r="F12406" s="6" t="s">
        <v>421</v>
      </c>
      <c r="G12406" s="6" t="s">
        <v>932</v>
      </c>
      <c r="H12406" s="6" t="s">
        <v>933</v>
      </c>
      <c r="I12406" s="6" t="s">
        <v>31</v>
      </c>
      <c r="J12406" s="6">
        <v>16.556762720102999</v>
      </c>
      <c r="K12406" s="6">
        <v>-96.820719387731998</v>
      </c>
      <c r="L12406" s="6" t="str">
        <f>HYPERLINK("https://maps.google.com/?q=16.556762720103,-96.8207193877316", "🔗 Ver Mapa")</f>
        <v>🔗 Ver Mapa</v>
      </c>
    </row>
    <row r="12407" spans="1:12" ht="43.5" x14ac:dyDescent="0.35">
      <c r="A12407" s="5" t="s">
        <v>98</v>
      </c>
      <c r="B12407" s="5" t="s">
        <v>99</v>
      </c>
      <c r="C12407" s="5" t="s">
        <v>2512</v>
      </c>
      <c r="D12407" s="5" t="s">
        <v>14</v>
      </c>
      <c r="E12407" s="5" t="s">
        <v>52</v>
      </c>
      <c r="F12407" s="5" t="s">
        <v>421</v>
      </c>
      <c r="G12407" s="5" t="s">
        <v>932</v>
      </c>
      <c r="H12407" s="5" t="s">
        <v>933</v>
      </c>
      <c r="I12407" s="5" t="s">
        <v>31</v>
      </c>
      <c r="J12407" s="5">
        <v>16.556777422576999</v>
      </c>
      <c r="K12407" s="5">
        <v>-96.822462527612998</v>
      </c>
      <c r="L12407" s="5" t="str">
        <f>HYPERLINK("https://maps.google.com/?q=16.5567774225767,-96.8224625276127", "🔗 Ver Mapa")</f>
        <v>🔗 Ver Mapa</v>
      </c>
    </row>
    <row r="12408" spans="1:12" ht="43.5" x14ac:dyDescent="0.35">
      <c r="A12408" s="6" t="s">
        <v>98</v>
      </c>
      <c r="B12408" s="6" t="s">
        <v>99</v>
      </c>
      <c r="C12408" s="6" t="s">
        <v>2512</v>
      </c>
      <c r="D12408" s="6" t="s">
        <v>14</v>
      </c>
      <c r="E12408" s="6" t="s">
        <v>52</v>
      </c>
      <c r="F12408" s="6" t="s">
        <v>421</v>
      </c>
      <c r="G12408" s="6" t="s">
        <v>932</v>
      </c>
      <c r="H12408" s="6" t="s">
        <v>933</v>
      </c>
      <c r="I12408" s="6" t="s">
        <v>31</v>
      </c>
      <c r="J12408" s="6">
        <v>16.557071437674999</v>
      </c>
      <c r="K12408" s="6">
        <v>-96.821338116568</v>
      </c>
      <c r="L12408" s="6" t="str">
        <f>HYPERLINK("https://maps.google.com/?q=16.5570714376755,-96.821338116567603", "🔗 Ver Mapa")</f>
        <v>🔗 Ver Mapa</v>
      </c>
    </row>
    <row r="12409" spans="1:12" ht="43.5" x14ac:dyDescent="0.35">
      <c r="A12409" s="5" t="s">
        <v>98</v>
      </c>
      <c r="B12409" s="5" t="s">
        <v>99</v>
      </c>
      <c r="C12409" s="5" t="s">
        <v>2512</v>
      </c>
      <c r="D12409" s="5" t="s">
        <v>14</v>
      </c>
      <c r="E12409" s="5" t="s">
        <v>52</v>
      </c>
      <c r="F12409" s="5" t="s">
        <v>421</v>
      </c>
      <c r="G12409" s="5" t="s">
        <v>932</v>
      </c>
      <c r="H12409" s="5" t="s">
        <v>933</v>
      </c>
      <c r="I12409" s="5" t="s">
        <v>31</v>
      </c>
      <c r="J12409" s="5">
        <v>16.557120430080001</v>
      </c>
      <c r="K12409" s="5">
        <v>-96.821515845403994</v>
      </c>
      <c r="L12409" s="5" t="str">
        <f>HYPERLINK("https://maps.google.com/?q=16.55712043008,-96.821515845403695", "🔗 Ver Mapa")</f>
        <v>🔗 Ver Mapa</v>
      </c>
    </row>
    <row r="12410" spans="1:12" ht="43.5" x14ac:dyDescent="0.35">
      <c r="A12410" s="6" t="s">
        <v>98</v>
      </c>
      <c r="B12410" s="6" t="s">
        <v>99</v>
      </c>
      <c r="C12410" s="6" t="s">
        <v>2512</v>
      </c>
      <c r="D12410" s="6" t="s">
        <v>14</v>
      </c>
      <c r="E12410" s="6" t="s">
        <v>52</v>
      </c>
      <c r="F12410" s="6" t="s">
        <v>421</v>
      </c>
      <c r="G12410" s="6" t="s">
        <v>932</v>
      </c>
      <c r="H12410" s="6" t="s">
        <v>933</v>
      </c>
      <c r="I12410" s="6" t="s">
        <v>31</v>
      </c>
      <c r="J12410" s="6">
        <v>16.557226988884</v>
      </c>
      <c r="K12410" s="6">
        <v>-96.820156341103996</v>
      </c>
      <c r="L12410" s="6" t="str">
        <f>HYPERLINK("https://maps.google.com/?q=16.557226988884,-96.820156341104493", "🔗 Ver Mapa")</f>
        <v>🔗 Ver Mapa</v>
      </c>
    </row>
    <row r="12411" spans="1:12" ht="43.5" x14ac:dyDescent="0.35">
      <c r="A12411" s="5" t="s">
        <v>98</v>
      </c>
      <c r="B12411" s="5" t="s">
        <v>99</v>
      </c>
      <c r="C12411" s="5" t="s">
        <v>2512</v>
      </c>
      <c r="D12411" s="5" t="s">
        <v>14</v>
      </c>
      <c r="E12411" s="5" t="s">
        <v>52</v>
      </c>
      <c r="F12411" s="5" t="s">
        <v>421</v>
      </c>
      <c r="G12411" s="5" t="s">
        <v>932</v>
      </c>
      <c r="H12411" s="5" t="s">
        <v>933</v>
      </c>
      <c r="I12411" s="5" t="s">
        <v>31</v>
      </c>
      <c r="J12411" s="5">
        <v>16.557237562918001</v>
      </c>
      <c r="K12411" s="5">
        <v>-96.821349379132997</v>
      </c>
      <c r="L12411" s="5" t="str">
        <f>HYPERLINK("https://maps.google.com/?q=16.5572375629178,-96.821349379133295", "🔗 Ver Mapa")</f>
        <v>🔗 Ver Mapa</v>
      </c>
    </row>
    <row r="12412" spans="1:12" ht="43.5" x14ac:dyDescent="0.35">
      <c r="A12412" s="6" t="s">
        <v>98</v>
      </c>
      <c r="B12412" s="6" t="s">
        <v>99</v>
      </c>
      <c r="C12412" s="6" t="s">
        <v>2512</v>
      </c>
      <c r="D12412" s="6" t="s">
        <v>14</v>
      </c>
      <c r="E12412" s="6" t="s">
        <v>52</v>
      </c>
      <c r="F12412" s="6" t="s">
        <v>421</v>
      </c>
      <c r="G12412" s="6" t="s">
        <v>932</v>
      </c>
      <c r="H12412" s="6" t="s">
        <v>933</v>
      </c>
      <c r="I12412" s="6" t="s">
        <v>31</v>
      </c>
      <c r="J12412" s="6">
        <v>16.557331430072999</v>
      </c>
      <c r="K12412" s="6">
        <v>-96.823579317791001</v>
      </c>
      <c r="L12412" s="6" t="str">
        <f>HYPERLINK("https://maps.google.com/?q=16.5573314300731,-96.823579317791001", "🔗 Ver Mapa")</f>
        <v>🔗 Ver Mapa</v>
      </c>
    </row>
    <row r="12413" spans="1:12" ht="43.5" x14ac:dyDescent="0.35">
      <c r="A12413" s="5" t="s">
        <v>98</v>
      </c>
      <c r="B12413" s="5" t="s">
        <v>99</v>
      </c>
      <c r="C12413" s="5" t="s">
        <v>2512</v>
      </c>
      <c r="D12413" s="5" t="s">
        <v>14</v>
      </c>
      <c r="E12413" s="5" t="s">
        <v>52</v>
      </c>
      <c r="F12413" s="5" t="s">
        <v>421</v>
      </c>
      <c r="G12413" s="5" t="s">
        <v>932</v>
      </c>
      <c r="H12413" s="5" t="s">
        <v>933</v>
      </c>
      <c r="I12413" s="5" t="s">
        <v>31</v>
      </c>
      <c r="J12413" s="5">
        <v>16.557372558710998</v>
      </c>
      <c r="K12413" s="5">
        <v>-96.816140221655999</v>
      </c>
      <c r="L12413" s="5" t="str">
        <f>HYPERLINK("https://maps.google.com/?q=16.5573725587111,-96.816140221655502", "🔗 Ver Mapa")</f>
        <v>🔗 Ver Mapa</v>
      </c>
    </row>
    <row r="12414" spans="1:12" ht="43.5" x14ac:dyDescent="0.35">
      <c r="A12414" s="6" t="s">
        <v>98</v>
      </c>
      <c r="B12414" s="6" t="s">
        <v>99</v>
      </c>
      <c r="C12414" s="6" t="s">
        <v>2512</v>
      </c>
      <c r="D12414" s="6" t="s">
        <v>14</v>
      </c>
      <c r="E12414" s="6" t="s">
        <v>52</v>
      </c>
      <c r="F12414" s="6" t="s">
        <v>421</v>
      </c>
      <c r="G12414" s="6" t="s">
        <v>932</v>
      </c>
      <c r="H12414" s="6" t="s">
        <v>933</v>
      </c>
      <c r="I12414" s="6" t="s">
        <v>31</v>
      </c>
      <c r="J12414" s="6">
        <v>16.557458143038001</v>
      </c>
      <c r="K12414" s="6">
        <v>-96.819429480986003</v>
      </c>
      <c r="L12414" s="6" t="str">
        <f>HYPERLINK("https://maps.google.com/?q=16.5574581430383,-96.819429480985804", "🔗 Ver Mapa")</f>
        <v>🔗 Ver Mapa</v>
      </c>
    </row>
    <row r="12415" spans="1:12" ht="43.5" x14ac:dyDescent="0.35">
      <c r="A12415" s="5" t="s">
        <v>98</v>
      </c>
      <c r="B12415" s="5" t="s">
        <v>99</v>
      </c>
      <c r="C12415" s="5" t="s">
        <v>2512</v>
      </c>
      <c r="D12415" s="5" t="s">
        <v>14</v>
      </c>
      <c r="E12415" s="5" t="s">
        <v>52</v>
      </c>
      <c r="F12415" s="5" t="s">
        <v>421</v>
      </c>
      <c r="G12415" s="5" t="s">
        <v>932</v>
      </c>
      <c r="H12415" s="5" t="s">
        <v>933</v>
      </c>
      <c r="I12415" s="5" t="s">
        <v>31</v>
      </c>
      <c r="J12415" s="5">
        <v>16.557599576668</v>
      </c>
      <c r="K12415" s="5">
        <v>-96.821285145998004</v>
      </c>
      <c r="L12415" s="5" t="str">
        <f>HYPERLINK("https://maps.google.com/?q=16.5575995766682,-96.821285145998004", "🔗 Ver Mapa")</f>
        <v>🔗 Ver Mapa</v>
      </c>
    </row>
    <row r="12416" spans="1:12" ht="43.5" x14ac:dyDescent="0.35">
      <c r="A12416" s="6" t="s">
        <v>98</v>
      </c>
      <c r="B12416" s="6" t="s">
        <v>99</v>
      </c>
      <c r="C12416" s="6" t="s">
        <v>2512</v>
      </c>
      <c r="D12416" s="6" t="s">
        <v>14</v>
      </c>
      <c r="E12416" s="6" t="s">
        <v>52</v>
      </c>
      <c r="F12416" s="6" t="s">
        <v>421</v>
      </c>
      <c r="G12416" s="6" t="s">
        <v>932</v>
      </c>
      <c r="H12416" s="6" t="s">
        <v>933</v>
      </c>
      <c r="I12416" s="6" t="s">
        <v>31</v>
      </c>
      <c r="J12416" s="6">
        <v>16.557899564246998</v>
      </c>
      <c r="K12416" s="6">
        <v>-96.822589038028994</v>
      </c>
      <c r="L12416" s="6" t="str">
        <f>HYPERLINK("https://maps.google.com/?q=16.5578995642466,-96.822589038028894", "🔗 Ver Mapa")</f>
        <v>🔗 Ver Mapa</v>
      </c>
    </row>
    <row r="12417" spans="1:12" ht="43.5" x14ac:dyDescent="0.35">
      <c r="A12417" s="5" t="s">
        <v>98</v>
      </c>
      <c r="B12417" s="5" t="s">
        <v>99</v>
      </c>
      <c r="C12417" s="5" t="s">
        <v>2512</v>
      </c>
      <c r="D12417" s="5" t="s">
        <v>14</v>
      </c>
      <c r="E12417" s="5" t="s">
        <v>52</v>
      </c>
      <c r="F12417" s="5" t="s">
        <v>421</v>
      </c>
      <c r="G12417" s="5" t="s">
        <v>932</v>
      </c>
      <c r="H12417" s="5" t="s">
        <v>933</v>
      </c>
      <c r="I12417" s="5" t="s">
        <v>31</v>
      </c>
      <c r="J12417" s="5">
        <v>16.557942866866998</v>
      </c>
      <c r="K12417" s="5">
        <v>-96.824493728836003</v>
      </c>
      <c r="L12417" s="5" t="str">
        <f>HYPERLINK("https://maps.google.com/?q=16.5579428668672,-96.824493728836103", "🔗 Ver Mapa")</f>
        <v>🔗 Ver Mapa</v>
      </c>
    </row>
    <row r="12418" spans="1:12" ht="43.5" x14ac:dyDescent="0.35">
      <c r="A12418" s="6" t="s">
        <v>98</v>
      </c>
      <c r="B12418" s="6" t="s">
        <v>99</v>
      </c>
      <c r="C12418" s="6" t="s">
        <v>2512</v>
      </c>
      <c r="D12418" s="6" t="s">
        <v>14</v>
      </c>
      <c r="E12418" s="6" t="s">
        <v>52</v>
      </c>
      <c r="F12418" s="6" t="s">
        <v>421</v>
      </c>
      <c r="G12418" s="6" t="s">
        <v>932</v>
      </c>
      <c r="H12418" s="6" t="s">
        <v>933</v>
      </c>
      <c r="I12418" s="6" t="s">
        <v>31</v>
      </c>
      <c r="J12418" s="6">
        <v>16.558047436306001</v>
      </c>
      <c r="K12418" s="6">
        <v>-96.816685743551005</v>
      </c>
      <c r="L12418" s="6" t="str">
        <f>HYPERLINK("https://maps.google.com/?q=16.5580474363057,-96.816685743551304", "🔗 Ver Mapa")</f>
        <v>🔗 Ver Mapa</v>
      </c>
    </row>
    <row r="12419" spans="1:12" ht="43.5" x14ac:dyDescent="0.35">
      <c r="A12419" s="5" t="s">
        <v>98</v>
      </c>
      <c r="B12419" s="5" t="s">
        <v>99</v>
      </c>
      <c r="C12419" s="5" t="s">
        <v>2512</v>
      </c>
      <c r="D12419" s="5" t="s">
        <v>14</v>
      </c>
      <c r="E12419" s="5" t="s">
        <v>52</v>
      </c>
      <c r="F12419" s="5" t="s">
        <v>421</v>
      </c>
      <c r="G12419" s="5" t="s">
        <v>932</v>
      </c>
      <c r="H12419" s="5" t="s">
        <v>933</v>
      </c>
      <c r="I12419" s="5" t="s">
        <v>31</v>
      </c>
      <c r="J12419" s="5">
        <v>16.558105980707001</v>
      </c>
      <c r="K12419" s="5">
        <v>-96.823494845403999</v>
      </c>
      <c r="L12419" s="5" t="str">
        <f>HYPERLINK("https://maps.google.com/?q=16.5581059807073,-96.823494845403602", "🔗 Ver Mapa")</f>
        <v>🔗 Ver Mapa</v>
      </c>
    </row>
    <row r="12420" spans="1:12" ht="43.5" x14ac:dyDescent="0.35">
      <c r="A12420" s="6" t="s">
        <v>98</v>
      </c>
      <c r="B12420" s="6" t="s">
        <v>99</v>
      </c>
      <c r="C12420" s="6" t="s">
        <v>2512</v>
      </c>
      <c r="D12420" s="6" t="s">
        <v>14</v>
      </c>
      <c r="E12420" s="6" t="s">
        <v>52</v>
      </c>
      <c r="F12420" s="6" t="s">
        <v>421</v>
      </c>
      <c r="G12420" s="6" t="s">
        <v>932</v>
      </c>
      <c r="H12420" s="6" t="s">
        <v>933</v>
      </c>
      <c r="I12420" s="6" t="s">
        <v>31</v>
      </c>
      <c r="J12420" s="6">
        <v>16.558217865353001</v>
      </c>
      <c r="K12420" s="6">
        <v>-96.821544031911998</v>
      </c>
      <c r="L12420" s="6" t="str">
        <f>HYPERLINK("https://maps.google.com/?q=16.5582178653527,-96.821544031911799", "🔗 Ver Mapa")</f>
        <v>🔗 Ver Mapa</v>
      </c>
    </row>
    <row r="12421" spans="1:12" ht="43.5" x14ac:dyDescent="0.35">
      <c r="A12421" s="5" t="s">
        <v>98</v>
      </c>
      <c r="B12421" s="5" t="s">
        <v>99</v>
      </c>
      <c r="C12421" s="5" t="s">
        <v>2512</v>
      </c>
      <c r="D12421" s="5" t="s">
        <v>14</v>
      </c>
      <c r="E12421" s="5" t="s">
        <v>52</v>
      </c>
      <c r="F12421" s="5" t="s">
        <v>421</v>
      </c>
      <c r="G12421" s="5" t="s">
        <v>932</v>
      </c>
      <c r="H12421" s="5" t="s">
        <v>933</v>
      </c>
      <c r="I12421" s="5" t="s">
        <v>31</v>
      </c>
      <c r="J12421" s="5">
        <v>16.558571720284</v>
      </c>
      <c r="K12421" s="5">
        <v>-96.818830271164003</v>
      </c>
      <c r="L12421" s="5" t="str">
        <f>HYPERLINK("https://maps.google.com/?q=16.5585717202843,-96.818830271164003", "🔗 Ver Mapa")</f>
        <v>🔗 Ver Mapa</v>
      </c>
    </row>
    <row r="12422" spans="1:12" ht="43.5" x14ac:dyDescent="0.35">
      <c r="A12422" s="6" t="s">
        <v>98</v>
      </c>
      <c r="B12422" s="6" t="s">
        <v>99</v>
      </c>
      <c r="C12422" s="6" t="s">
        <v>2512</v>
      </c>
      <c r="D12422" s="6" t="s">
        <v>14</v>
      </c>
      <c r="E12422" s="6" t="s">
        <v>52</v>
      </c>
      <c r="F12422" s="6" t="s">
        <v>421</v>
      </c>
      <c r="G12422" s="6" t="s">
        <v>932</v>
      </c>
      <c r="H12422" s="6" t="s">
        <v>933</v>
      </c>
      <c r="I12422" s="6" t="s">
        <v>31</v>
      </c>
      <c r="J12422" s="6">
        <v>16.558761972328</v>
      </c>
      <c r="K12422" s="6">
        <v>-96.818376977838994</v>
      </c>
      <c r="L12422" s="6" t="str">
        <f>HYPERLINK("https://maps.google.com/?q=16.5587619723282,-96.818376977839193", "🔗 Ver Mapa")</f>
        <v>🔗 Ver Mapa</v>
      </c>
    </row>
    <row r="12423" spans="1:12" ht="43.5" x14ac:dyDescent="0.35">
      <c r="A12423" s="5" t="s">
        <v>98</v>
      </c>
      <c r="B12423" s="5" t="s">
        <v>99</v>
      </c>
      <c r="C12423" s="5" t="s">
        <v>2512</v>
      </c>
      <c r="D12423" s="5" t="s">
        <v>14</v>
      </c>
      <c r="E12423" s="5" t="s">
        <v>52</v>
      </c>
      <c r="F12423" s="5" t="s">
        <v>421</v>
      </c>
      <c r="G12423" s="5" t="s">
        <v>932</v>
      </c>
      <c r="H12423" s="5" t="s">
        <v>933</v>
      </c>
      <c r="I12423" s="5" t="s">
        <v>31</v>
      </c>
      <c r="J12423" s="5">
        <v>16.558770855628001</v>
      </c>
      <c r="K12423" s="5">
        <v>-96.816599495488006</v>
      </c>
      <c r="L12423" s="5" t="str">
        <f>HYPERLINK("https://maps.google.com/?q=16.5587708556284,-96.816599495488404", "🔗 Ver Mapa")</f>
        <v>🔗 Ver Mapa</v>
      </c>
    </row>
    <row r="12424" spans="1:12" ht="43.5" x14ac:dyDescent="0.35">
      <c r="A12424" s="6" t="s">
        <v>98</v>
      </c>
      <c r="B12424" s="6" t="s">
        <v>99</v>
      </c>
      <c r="C12424" s="6" t="s">
        <v>2512</v>
      </c>
      <c r="D12424" s="6" t="s">
        <v>14</v>
      </c>
      <c r="E12424" s="6" t="s">
        <v>52</v>
      </c>
      <c r="F12424" s="6" t="s">
        <v>421</v>
      </c>
      <c r="G12424" s="6" t="s">
        <v>932</v>
      </c>
      <c r="H12424" s="6" t="s">
        <v>933</v>
      </c>
      <c r="I12424" s="6" t="s">
        <v>31</v>
      </c>
      <c r="J12424" s="6">
        <v>16.558924921818001</v>
      </c>
      <c r="K12424" s="6">
        <v>-96.816306226934998</v>
      </c>
      <c r="L12424" s="6" t="str">
        <f>HYPERLINK("https://maps.google.com/?q=16.5589249218179,-96.8163062269349", "🔗 Ver Mapa")</f>
        <v>🔗 Ver Mapa</v>
      </c>
    </row>
    <row r="12425" spans="1:12" ht="43.5" x14ac:dyDescent="0.35">
      <c r="A12425" s="5" t="s">
        <v>98</v>
      </c>
      <c r="B12425" s="5" t="s">
        <v>99</v>
      </c>
      <c r="C12425" s="5" t="s">
        <v>2512</v>
      </c>
      <c r="D12425" s="5" t="s">
        <v>14</v>
      </c>
      <c r="E12425" s="5" t="s">
        <v>52</v>
      </c>
      <c r="F12425" s="5" t="s">
        <v>421</v>
      </c>
      <c r="G12425" s="5" t="s">
        <v>932</v>
      </c>
      <c r="H12425" s="5" t="s">
        <v>933</v>
      </c>
      <c r="I12425" s="5" t="s">
        <v>31</v>
      </c>
      <c r="J12425" s="5">
        <v>16.559115136469</v>
      </c>
      <c r="K12425" s="5">
        <v>-96.817803442957</v>
      </c>
      <c r="L12425" s="5" t="str">
        <f>HYPERLINK("https://maps.google.com/?q=16.5591151364692,-96.817803442956802", "🔗 Ver Mapa")</f>
        <v>🔗 Ver Mapa</v>
      </c>
    </row>
    <row r="12426" spans="1:12" ht="43.5" x14ac:dyDescent="0.35">
      <c r="A12426" s="6" t="s">
        <v>98</v>
      </c>
      <c r="B12426" s="6" t="s">
        <v>99</v>
      </c>
      <c r="C12426" s="6" t="s">
        <v>2512</v>
      </c>
      <c r="D12426" s="6" t="s">
        <v>14</v>
      </c>
      <c r="E12426" s="6" t="s">
        <v>52</v>
      </c>
      <c r="F12426" s="6" t="s">
        <v>421</v>
      </c>
      <c r="G12426" s="6" t="s">
        <v>932</v>
      </c>
      <c r="H12426" s="6" t="s">
        <v>933</v>
      </c>
      <c r="I12426" s="6" t="s">
        <v>31</v>
      </c>
      <c r="J12426" s="6">
        <v>16.559115418731999</v>
      </c>
      <c r="K12426" s="6">
        <v>-96.817235460730998</v>
      </c>
      <c r="L12426" s="6" t="str">
        <f>HYPERLINK("https://maps.google.com/?q=16.5591154187322,-96.817235460730501", "🔗 Ver Mapa")</f>
        <v>🔗 Ver Mapa</v>
      </c>
    </row>
    <row r="12427" spans="1:12" ht="43.5" x14ac:dyDescent="0.35">
      <c r="A12427" s="5" t="s">
        <v>98</v>
      </c>
      <c r="B12427" s="5" t="s">
        <v>99</v>
      </c>
      <c r="C12427" s="5" t="s">
        <v>2512</v>
      </c>
      <c r="D12427" s="5" t="s">
        <v>14</v>
      </c>
      <c r="E12427" s="5" t="s">
        <v>52</v>
      </c>
      <c r="F12427" s="5" t="s">
        <v>421</v>
      </c>
      <c r="G12427" s="5" t="s">
        <v>932</v>
      </c>
      <c r="H12427" s="5" t="s">
        <v>933</v>
      </c>
      <c r="I12427" s="5" t="s">
        <v>31</v>
      </c>
      <c r="J12427" s="5">
        <v>16.559184434862999</v>
      </c>
      <c r="K12427" s="5">
        <v>-96.822421775462999</v>
      </c>
      <c r="L12427" s="5" t="str">
        <f>HYPERLINK("https://maps.google.com/?q=16.5591844348626,-96.822421775463198", "🔗 Ver Mapa")</f>
        <v>🔗 Ver Mapa</v>
      </c>
    </row>
    <row r="12428" spans="1:12" ht="43.5" x14ac:dyDescent="0.35">
      <c r="A12428" s="6" t="s">
        <v>98</v>
      </c>
      <c r="B12428" s="6" t="s">
        <v>99</v>
      </c>
      <c r="C12428" s="6" t="s">
        <v>2512</v>
      </c>
      <c r="D12428" s="6" t="s">
        <v>14</v>
      </c>
      <c r="E12428" s="6" t="s">
        <v>52</v>
      </c>
      <c r="F12428" s="6" t="s">
        <v>421</v>
      </c>
      <c r="G12428" s="6" t="s">
        <v>932</v>
      </c>
      <c r="H12428" s="6" t="s">
        <v>933</v>
      </c>
      <c r="I12428" s="6" t="s">
        <v>31</v>
      </c>
      <c r="J12428" s="6">
        <v>16.559206685092001</v>
      </c>
      <c r="K12428" s="6">
        <v>-96.820189903111</v>
      </c>
      <c r="L12428" s="6" t="str">
        <f>HYPERLINK("https://maps.google.com/?q=16.5592066850921,-96.820189903110503", "🔗 Ver Mapa")</f>
        <v>🔗 Ver Mapa</v>
      </c>
    </row>
    <row r="12429" spans="1:12" ht="43.5" x14ac:dyDescent="0.35">
      <c r="A12429" s="5" t="s">
        <v>98</v>
      </c>
      <c r="B12429" s="5" t="s">
        <v>99</v>
      </c>
      <c r="C12429" s="5" t="s">
        <v>2512</v>
      </c>
      <c r="D12429" s="5" t="s">
        <v>14</v>
      </c>
      <c r="E12429" s="5" t="s">
        <v>52</v>
      </c>
      <c r="F12429" s="5" t="s">
        <v>421</v>
      </c>
      <c r="G12429" s="5" t="s">
        <v>932</v>
      </c>
      <c r="H12429" s="5" t="s">
        <v>933</v>
      </c>
      <c r="I12429" s="5" t="s">
        <v>31</v>
      </c>
      <c r="J12429" s="5">
        <v>16.559361138027999</v>
      </c>
      <c r="K12429" s="5">
        <v>-96.826072542328006</v>
      </c>
      <c r="L12429" s="5" t="str">
        <f>HYPERLINK("https://maps.google.com/?q=16.5593611380281,-96.826072542328106", "🔗 Ver Mapa")</f>
        <v>🔗 Ver Mapa</v>
      </c>
    </row>
    <row r="12430" spans="1:12" ht="43.5" x14ac:dyDescent="0.35">
      <c r="A12430" s="6" t="s">
        <v>98</v>
      </c>
      <c r="B12430" s="6" t="s">
        <v>99</v>
      </c>
      <c r="C12430" s="6" t="s">
        <v>2512</v>
      </c>
      <c r="D12430" s="6" t="s">
        <v>14</v>
      </c>
      <c r="E12430" s="6" t="s">
        <v>52</v>
      </c>
      <c r="F12430" s="6" t="s">
        <v>421</v>
      </c>
      <c r="G12430" s="6" t="s">
        <v>932</v>
      </c>
      <c r="H12430" s="6" t="s">
        <v>933</v>
      </c>
      <c r="I12430" s="6" t="s">
        <v>31</v>
      </c>
      <c r="J12430" s="6">
        <v>16.560237712123001</v>
      </c>
      <c r="K12430" s="6">
        <v>-96.821172317790996</v>
      </c>
      <c r="L12430" s="6" t="str">
        <f>HYPERLINK("https://maps.google.com/?q=16.5602377121228,-96.821172317791095", "🔗 Ver Mapa")</f>
        <v>🔗 Ver Mapa</v>
      </c>
    </row>
    <row r="12431" spans="1:12" ht="43.5" x14ac:dyDescent="0.35">
      <c r="A12431" s="5" t="s">
        <v>98</v>
      </c>
      <c r="B12431" s="5" t="s">
        <v>99</v>
      </c>
      <c r="C12431" s="5" t="s">
        <v>2513</v>
      </c>
      <c r="D12431" s="5" t="s">
        <v>14</v>
      </c>
      <c r="E12431" s="5" t="s">
        <v>16</v>
      </c>
      <c r="F12431" s="5" t="s">
        <v>19</v>
      </c>
      <c r="G12431" s="5" t="s">
        <v>199</v>
      </c>
      <c r="H12431" s="5" t="s">
        <v>2511</v>
      </c>
      <c r="I12431" s="5" t="s">
        <v>31</v>
      </c>
      <c r="J12431" s="5">
        <v>17.220169554573001</v>
      </c>
      <c r="K12431" s="5">
        <v>-97.271015898860995</v>
      </c>
      <c r="L12431" s="5" t="str">
        <f>HYPERLINK("https://maps.google.com/?q=17.2201695545729,-97.271015898860895", "🔗 Ver Mapa")</f>
        <v>🔗 Ver Mapa</v>
      </c>
    </row>
    <row r="12432" spans="1:12" ht="43.5" x14ac:dyDescent="0.35">
      <c r="A12432" s="6" t="s">
        <v>98</v>
      </c>
      <c r="B12432" s="6" t="s">
        <v>99</v>
      </c>
      <c r="C12432" s="6" t="s">
        <v>2513</v>
      </c>
      <c r="D12432" s="6" t="s">
        <v>14</v>
      </c>
      <c r="E12432" s="6" t="s">
        <v>16</v>
      </c>
      <c r="F12432" s="6" t="s">
        <v>19</v>
      </c>
      <c r="G12432" s="6" t="s">
        <v>199</v>
      </c>
      <c r="H12432" s="6" t="s">
        <v>2511</v>
      </c>
      <c r="I12432" s="6" t="s">
        <v>31</v>
      </c>
      <c r="J12432" s="6">
        <v>17.220314671046001</v>
      </c>
      <c r="K12432" s="6">
        <v>-97.271355586062</v>
      </c>
      <c r="L12432" s="6" t="str">
        <f>HYPERLINK("https://maps.google.com/?q=17.2203146710462,-97.271355586061702", "🔗 Ver Mapa")</f>
        <v>🔗 Ver Mapa</v>
      </c>
    </row>
    <row r="12433" spans="1:12" ht="43.5" x14ac:dyDescent="0.35">
      <c r="A12433" s="5" t="s">
        <v>98</v>
      </c>
      <c r="B12433" s="5" t="s">
        <v>99</v>
      </c>
      <c r="C12433" s="5" t="s">
        <v>2513</v>
      </c>
      <c r="D12433" s="5" t="s">
        <v>14</v>
      </c>
      <c r="E12433" s="5" t="s">
        <v>16</v>
      </c>
      <c r="F12433" s="5" t="s">
        <v>19</v>
      </c>
      <c r="G12433" s="5" t="s">
        <v>199</v>
      </c>
      <c r="H12433" s="5" t="s">
        <v>2511</v>
      </c>
      <c r="I12433" s="5" t="s">
        <v>31</v>
      </c>
      <c r="J12433" s="5">
        <v>17.220416527657999</v>
      </c>
      <c r="K12433" s="5">
        <v>-97.271133264517999</v>
      </c>
      <c r="L12433" s="5" t="str">
        <f>HYPERLINK("https://maps.google.com/?q=17.220416527658,-97.271133264518397", "🔗 Ver Mapa")</f>
        <v>🔗 Ver Mapa</v>
      </c>
    </row>
    <row r="12434" spans="1:12" ht="43.5" x14ac:dyDescent="0.35">
      <c r="A12434" s="6" t="s">
        <v>98</v>
      </c>
      <c r="B12434" s="6" t="s">
        <v>99</v>
      </c>
      <c r="C12434" s="6" t="s">
        <v>2513</v>
      </c>
      <c r="D12434" s="6" t="s">
        <v>14</v>
      </c>
      <c r="E12434" s="6" t="s">
        <v>16</v>
      </c>
      <c r="F12434" s="6" t="s">
        <v>19</v>
      </c>
      <c r="G12434" s="6" t="s">
        <v>199</v>
      </c>
      <c r="H12434" s="6" t="s">
        <v>2511</v>
      </c>
      <c r="I12434" s="6" t="s">
        <v>31</v>
      </c>
      <c r="J12434" s="6">
        <v>17.22044660621</v>
      </c>
      <c r="K12434" s="6">
        <v>-97.271797478216001</v>
      </c>
      <c r="L12434" s="6" t="str">
        <f>HYPERLINK("https://maps.google.com/?q=17.2204466062098,-97.271797478215603", "🔗 Ver Mapa")</f>
        <v>🔗 Ver Mapa</v>
      </c>
    </row>
    <row r="12435" spans="1:12" ht="43.5" x14ac:dyDescent="0.35">
      <c r="A12435" s="5" t="s">
        <v>98</v>
      </c>
      <c r="B12435" s="5" t="s">
        <v>99</v>
      </c>
      <c r="C12435" s="5" t="s">
        <v>2513</v>
      </c>
      <c r="D12435" s="5" t="s">
        <v>14</v>
      </c>
      <c r="E12435" s="5" t="s">
        <v>16</v>
      </c>
      <c r="F12435" s="5" t="s">
        <v>19</v>
      </c>
      <c r="G12435" s="5" t="s">
        <v>199</v>
      </c>
      <c r="H12435" s="5" t="s">
        <v>2511</v>
      </c>
      <c r="I12435" s="5" t="s">
        <v>31</v>
      </c>
      <c r="J12435" s="5">
        <v>17.220464546515</v>
      </c>
      <c r="K12435" s="5">
        <v>-97.271658005130007</v>
      </c>
      <c r="L12435" s="5" t="str">
        <f>HYPERLINK("https://maps.google.com/?q=17.2204645465148,-97.271658005129595", "🔗 Ver Mapa")</f>
        <v>🔗 Ver Mapa</v>
      </c>
    </row>
    <row r="12436" spans="1:12" ht="43.5" x14ac:dyDescent="0.35">
      <c r="A12436" s="6" t="s">
        <v>98</v>
      </c>
      <c r="B12436" s="6" t="s">
        <v>99</v>
      </c>
      <c r="C12436" s="6" t="s">
        <v>2513</v>
      </c>
      <c r="D12436" s="6" t="s">
        <v>14</v>
      </c>
      <c r="E12436" s="6" t="s">
        <v>16</v>
      </c>
      <c r="F12436" s="6" t="s">
        <v>19</v>
      </c>
      <c r="G12436" s="6" t="s">
        <v>199</v>
      </c>
      <c r="H12436" s="6" t="s">
        <v>2511</v>
      </c>
      <c r="I12436" s="6" t="s">
        <v>31</v>
      </c>
      <c r="J12436" s="6">
        <v>17.220473531558</v>
      </c>
      <c r="K12436" s="6">
        <v>-97.271009212351998</v>
      </c>
      <c r="L12436" s="6" t="str">
        <f>HYPERLINK("https://maps.google.com/?q=17.2204735315583,-97.271009212351501", "🔗 Ver Mapa")</f>
        <v>🔗 Ver Mapa</v>
      </c>
    </row>
    <row r="12437" spans="1:12" ht="43.5" x14ac:dyDescent="0.35">
      <c r="A12437" s="5" t="s">
        <v>98</v>
      </c>
      <c r="B12437" s="5" t="s">
        <v>99</v>
      </c>
      <c r="C12437" s="5" t="s">
        <v>2513</v>
      </c>
      <c r="D12437" s="5" t="s">
        <v>14</v>
      </c>
      <c r="E12437" s="5" t="s">
        <v>16</v>
      </c>
      <c r="F12437" s="5" t="s">
        <v>19</v>
      </c>
      <c r="G12437" s="5" t="s">
        <v>199</v>
      </c>
      <c r="H12437" s="5" t="s">
        <v>2511</v>
      </c>
      <c r="I12437" s="5" t="s">
        <v>31</v>
      </c>
      <c r="J12437" s="5">
        <v>17.220515804103002</v>
      </c>
      <c r="K12437" s="5">
        <v>-97.270870094041996</v>
      </c>
      <c r="L12437" s="5" t="str">
        <f>HYPERLINK("https://maps.google.com/?q=17.2205158041027,-97.270870094042493", "🔗 Ver Mapa")</f>
        <v>🔗 Ver Mapa</v>
      </c>
    </row>
    <row r="12438" spans="1:12" ht="43.5" x14ac:dyDescent="0.35">
      <c r="A12438" s="6" t="s">
        <v>98</v>
      </c>
      <c r="B12438" s="6" t="s">
        <v>99</v>
      </c>
      <c r="C12438" s="6" t="s">
        <v>2513</v>
      </c>
      <c r="D12438" s="6" t="s">
        <v>14</v>
      </c>
      <c r="E12438" s="6" t="s">
        <v>16</v>
      </c>
      <c r="F12438" s="6" t="s">
        <v>19</v>
      </c>
      <c r="G12438" s="6" t="s">
        <v>199</v>
      </c>
      <c r="H12438" s="6" t="s">
        <v>2511</v>
      </c>
      <c r="I12438" s="6" t="s">
        <v>31</v>
      </c>
      <c r="J12438" s="6">
        <v>17.22055871713</v>
      </c>
      <c r="K12438" s="6">
        <v>-97.271269072634993</v>
      </c>
      <c r="L12438" s="6" t="str">
        <f>HYPERLINK("https://maps.google.com/?q=17.2205587171301,-97.271269072634894", "🔗 Ver Mapa")</f>
        <v>🔗 Ver Mapa</v>
      </c>
    </row>
    <row r="12439" spans="1:12" ht="43.5" x14ac:dyDescent="0.35">
      <c r="A12439" s="5" t="s">
        <v>98</v>
      </c>
      <c r="B12439" s="5" t="s">
        <v>99</v>
      </c>
      <c r="C12439" s="5" t="s">
        <v>2513</v>
      </c>
      <c r="D12439" s="5" t="s">
        <v>14</v>
      </c>
      <c r="E12439" s="5" t="s">
        <v>16</v>
      </c>
      <c r="F12439" s="5" t="s">
        <v>19</v>
      </c>
      <c r="G12439" s="5" t="s">
        <v>199</v>
      </c>
      <c r="H12439" s="5" t="s">
        <v>2511</v>
      </c>
      <c r="I12439" s="5" t="s">
        <v>31</v>
      </c>
      <c r="J12439" s="5">
        <v>17.220570800240999</v>
      </c>
      <c r="K12439" s="5">
        <v>-97.272511405505</v>
      </c>
      <c r="L12439" s="5" t="str">
        <f>HYPERLINK("https://maps.google.com/?q=17.2205708002406,-97.272511405505099", "🔗 Ver Mapa")</f>
        <v>🔗 Ver Mapa</v>
      </c>
    </row>
    <row r="12440" spans="1:12" ht="43.5" x14ac:dyDescent="0.35">
      <c r="A12440" s="6" t="s">
        <v>98</v>
      </c>
      <c r="B12440" s="6" t="s">
        <v>99</v>
      </c>
      <c r="C12440" s="6" t="s">
        <v>2513</v>
      </c>
      <c r="D12440" s="6" t="s">
        <v>14</v>
      </c>
      <c r="E12440" s="6" t="s">
        <v>16</v>
      </c>
      <c r="F12440" s="6" t="s">
        <v>19</v>
      </c>
      <c r="G12440" s="6" t="s">
        <v>199</v>
      </c>
      <c r="H12440" s="6" t="s">
        <v>2511</v>
      </c>
      <c r="I12440" s="6" t="s">
        <v>31</v>
      </c>
      <c r="J12440" s="6">
        <v>17.220594427430001</v>
      </c>
      <c r="K12440" s="6">
        <v>-97.270611331001007</v>
      </c>
      <c r="L12440" s="6" t="str">
        <f>HYPERLINK("https://maps.google.com/?q=17.2205944274305,-97.270611331001305", "🔗 Ver Mapa")</f>
        <v>🔗 Ver Mapa</v>
      </c>
    </row>
    <row r="12441" spans="1:12" ht="43.5" x14ac:dyDescent="0.35">
      <c r="A12441" s="5" t="s">
        <v>98</v>
      </c>
      <c r="B12441" s="5" t="s">
        <v>99</v>
      </c>
      <c r="C12441" s="5" t="s">
        <v>2513</v>
      </c>
      <c r="D12441" s="5" t="s">
        <v>14</v>
      </c>
      <c r="E12441" s="5" t="s">
        <v>16</v>
      </c>
      <c r="F12441" s="5" t="s">
        <v>19</v>
      </c>
      <c r="G12441" s="5" t="s">
        <v>199</v>
      </c>
      <c r="H12441" s="5" t="s">
        <v>2511</v>
      </c>
      <c r="I12441" s="5" t="s">
        <v>31</v>
      </c>
      <c r="J12441" s="5">
        <v>17.220614280454001</v>
      </c>
      <c r="K12441" s="5">
        <v>-97.270476546347993</v>
      </c>
      <c r="L12441" s="5" t="str">
        <f>HYPERLINK("https://maps.google.com/?q=17.220614280454,-97.270476546347794", "🔗 Ver Mapa")</f>
        <v>🔗 Ver Mapa</v>
      </c>
    </row>
    <row r="12442" spans="1:12" ht="43.5" x14ac:dyDescent="0.35">
      <c r="A12442" s="6" t="s">
        <v>98</v>
      </c>
      <c r="B12442" s="6" t="s">
        <v>99</v>
      </c>
      <c r="C12442" s="6" t="s">
        <v>2513</v>
      </c>
      <c r="D12442" s="6" t="s">
        <v>14</v>
      </c>
      <c r="E12442" s="6" t="s">
        <v>16</v>
      </c>
      <c r="F12442" s="6" t="s">
        <v>19</v>
      </c>
      <c r="G12442" s="6" t="s">
        <v>199</v>
      </c>
      <c r="H12442" s="6" t="s">
        <v>2511</v>
      </c>
      <c r="I12442" s="6" t="s">
        <v>31</v>
      </c>
      <c r="J12442" s="6">
        <v>17.220652071768999</v>
      </c>
      <c r="K12442" s="6">
        <v>-97.270349815621998</v>
      </c>
      <c r="L12442" s="6" t="str">
        <f>HYPERLINK("https://maps.google.com/?q=17.2206520717685,-97.270349815622396", "🔗 Ver Mapa")</f>
        <v>🔗 Ver Mapa</v>
      </c>
    </row>
    <row r="12443" spans="1:12" ht="43.5" x14ac:dyDescent="0.35">
      <c r="A12443" s="5" t="s">
        <v>98</v>
      </c>
      <c r="B12443" s="5" t="s">
        <v>99</v>
      </c>
      <c r="C12443" s="5" t="s">
        <v>2513</v>
      </c>
      <c r="D12443" s="5" t="s">
        <v>14</v>
      </c>
      <c r="E12443" s="5" t="s">
        <v>16</v>
      </c>
      <c r="F12443" s="5" t="s">
        <v>19</v>
      </c>
      <c r="G12443" s="5" t="s">
        <v>199</v>
      </c>
      <c r="H12443" s="5" t="s">
        <v>2511</v>
      </c>
      <c r="I12443" s="5" t="s">
        <v>31</v>
      </c>
      <c r="J12443" s="5">
        <v>17.220675105853001</v>
      </c>
      <c r="K12443" s="5">
        <v>-97.271014991401998</v>
      </c>
      <c r="L12443" s="5" t="str">
        <f>HYPERLINK("https://maps.google.com/?q=17.2206751058531,-97.2710149914016", "🔗 Ver Mapa")</f>
        <v>🔗 Ver Mapa</v>
      </c>
    </row>
    <row r="12444" spans="1:12" ht="43.5" x14ac:dyDescent="0.35">
      <c r="A12444" s="6" t="s">
        <v>98</v>
      </c>
      <c r="B12444" s="6" t="s">
        <v>99</v>
      </c>
      <c r="C12444" s="6" t="s">
        <v>2513</v>
      </c>
      <c r="D12444" s="6" t="s">
        <v>14</v>
      </c>
      <c r="E12444" s="6" t="s">
        <v>16</v>
      </c>
      <c r="F12444" s="6" t="s">
        <v>19</v>
      </c>
      <c r="G12444" s="6" t="s">
        <v>199</v>
      </c>
      <c r="H12444" s="6" t="s">
        <v>2511</v>
      </c>
      <c r="I12444" s="6" t="s">
        <v>31</v>
      </c>
      <c r="J12444" s="6">
        <v>17.220682965778</v>
      </c>
      <c r="K12444" s="6">
        <v>-97.270901606440006</v>
      </c>
      <c r="L12444" s="6" t="str">
        <f>HYPERLINK("https://maps.google.com/?q=17.2206829657781,-97.270901606439907", "🔗 Ver Mapa")</f>
        <v>🔗 Ver Mapa</v>
      </c>
    </row>
    <row r="12445" spans="1:12" ht="43.5" x14ac:dyDescent="0.35">
      <c r="A12445" s="5" t="s">
        <v>98</v>
      </c>
      <c r="B12445" s="5" t="s">
        <v>99</v>
      </c>
      <c r="C12445" s="5" t="s">
        <v>2513</v>
      </c>
      <c r="D12445" s="5" t="s">
        <v>14</v>
      </c>
      <c r="E12445" s="5" t="s">
        <v>16</v>
      </c>
      <c r="F12445" s="5" t="s">
        <v>19</v>
      </c>
      <c r="G12445" s="5" t="s">
        <v>199</v>
      </c>
      <c r="H12445" s="5" t="s">
        <v>2511</v>
      </c>
      <c r="I12445" s="5" t="s">
        <v>31</v>
      </c>
      <c r="J12445" s="5">
        <v>17.220696265749002</v>
      </c>
      <c r="K12445" s="5">
        <v>-97.270636811987004</v>
      </c>
      <c r="L12445" s="5" t="str">
        <f>HYPERLINK("https://maps.google.com/?q=17.2206962657488,-97.270636811986904", "🔗 Ver Mapa")</f>
        <v>🔗 Ver Mapa</v>
      </c>
    </row>
    <row r="12446" spans="1:12" ht="43.5" x14ac:dyDescent="0.35">
      <c r="A12446" s="6" t="s">
        <v>98</v>
      </c>
      <c r="B12446" s="6" t="s">
        <v>99</v>
      </c>
      <c r="C12446" s="6" t="s">
        <v>2513</v>
      </c>
      <c r="D12446" s="6" t="s">
        <v>14</v>
      </c>
      <c r="E12446" s="6" t="s">
        <v>16</v>
      </c>
      <c r="F12446" s="6" t="s">
        <v>19</v>
      </c>
      <c r="G12446" s="6" t="s">
        <v>199</v>
      </c>
      <c r="H12446" s="6" t="s">
        <v>2511</v>
      </c>
      <c r="I12446" s="6" t="s">
        <v>31</v>
      </c>
      <c r="J12446" s="6">
        <v>17.22082808975</v>
      </c>
      <c r="K12446" s="6">
        <v>-97.270383329447995</v>
      </c>
      <c r="L12446" s="6" t="str">
        <f>HYPERLINK("https://maps.google.com/?q=17.2208280897502,-97.270383329447597", "🔗 Ver Mapa")</f>
        <v>🔗 Ver Mapa</v>
      </c>
    </row>
    <row r="12447" spans="1:12" ht="43.5" x14ac:dyDescent="0.35">
      <c r="A12447" s="5" t="s">
        <v>98</v>
      </c>
      <c r="B12447" s="5" t="s">
        <v>99</v>
      </c>
      <c r="C12447" s="5" t="s">
        <v>2513</v>
      </c>
      <c r="D12447" s="5" t="s">
        <v>14</v>
      </c>
      <c r="E12447" s="5" t="s">
        <v>16</v>
      </c>
      <c r="F12447" s="5" t="s">
        <v>19</v>
      </c>
      <c r="G12447" s="5" t="s">
        <v>199</v>
      </c>
      <c r="H12447" s="5" t="s">
        <v>2511</v>
      </c>
      <c r="I12447" s="5" t="s">
        <v>31</v>
      </c>
      <c r="J12447" s="5">
        <v>17.220842451650999</v>
      </c>
      <c r="K12447" s="5">
        <v>-97.271208673611</v>
      </c>
      <c r="L12447" s="5" t="str">
        <f>HYPERLINK("https://maps.google.com/?q=17.2208424516506,-97.271208673610701", "🔗 Ver Mapa")</f>
        <v>🔗 Ver Mapa</v>
      </c>
    </row>
    <row r="12448" spans="1:12" ht="43.5" x14ac:dyDescent="0.35">
      <c r="A12448" s="6" t="s">
        <v>98</v>
      </c>
      <c r="B12448" s="6" t="s">
        <v>99</v>
      </c>
      <c r="C12448" s="6" t="s">
        <v>2513</v>
      </c>
      <c r="D12448" s="6" t="s">
        <v>14</v>
      </c>
      <c r="E12448" s="6" t="s">
        <v>16</v>
      </c>
      <c r="F12448" s="6" t="s">
        <v>19</v>
      </c>
      <c r="G12448" s="6" t="s">
        <v>199</v>
      </c>
      <c r="H12448" s="6" t="s">
        <v>2511</v>
      </c>
      <c r="I12448" s="6" t="s">
        <v>31</v>
      </c>
      <c r="J12448" s="6">
        <v>17.220862597787001</v>
      </c>
      <c r="K12448" s="6">
        <v>-97.271358460729999</v>
      </c>
      <c r="L12448" s="6" t="str">
        <f>HYPERLINK("https://maps.google.com/?q=17.2208625977868,-97.271358460730298", "🔗 Ver Mapa")</f>
        <v>🔗 Ver Mapa</v>
      </c>
    </row>
    <row r="12449" spans="1:12" ht="43.5" x14ac:dyDescent="0.35">
      <c r="A12449" s="5" t="s">
        <v>98</v>
      </c>
      <c r="B12449" s="5" t="s">
        <v>99</v>
      </c>
      <c r="C12449" s="5" t="s">
        <v>2513</v>
      </c>
      <c r="D12449" s="5" t="s">
        <v>14</v>
      </c>
      <c r="E12449" s="5" t="s">
        <v>16</v>
      </c>
      <c r="F12449" s="5" t="s">
        <v>19</v>
      </c>
      <c r="G12449" s="5" t="s">
        <v>199</v>
      </c>
      <c r="H12449" s="5" t="s">
        <v>2511</v>
      </c>
      <c r="I12449" s="5" t="s">
        <v>31</v>
      </c>
      <c r="J12449" s="5">
        <v>17.220871197659001</v>
      </c>
      <c r="K12449" s="5">
        <v>-97.271878472812006</v>
      </c>
      <c r="L12449" s="5" t="str">
        <f>HYPERLINK("https://maps.google.com/?q=17.2208711976591,-97.271878472812304", "🔗 Ver Mapa")</f>
        <v>🔗 Ver Mapa</v>
      </c>
    </row>
    <row r="12450" spans="1:12" ht="43.5" x14ac:dyDescent="0.35">
      <c r="A12450" s="6" t="s">
        <v>98</v>
      </c>
      <c r="B12450" s="6" t="s">
        <v>99</v>
      </c>
      <c r="C12450" s="6" t="s">
        <v>2513</v>
      </c>
      <c r="D12450" s="6" t="s">
        <v>14</v>
      </c>
      <c r="E12450" s="6" t="s">
        <v>16</v>
      </c>
      <c r="F12450" s="6" t="s">
        <v>19</v>
      </c>
      <c r="G12450" s="6" t="s">
        <v>199</v>
      </c>
      <c r="H12450" s="6" t="s">
        <v>2511</v>
      </c>
      <c r="I12450" s="6" t="s">
        <v>31</v>
      </c>
      <c r="J12450" s="6">
        <v>17.220903595938999</v>
      </c>
      <c r="K12450" s="6">
        <v>-97.271747579625</v>
      </c>
      <c r="L12450" s="6" t="str">
        <f>HYPERLINK("https://maps.google.com/?q=17.2209035959393,-97.271747579625199", "🔗 Ver Mapa")</f>
        <v>🔗 Ver Mapa</v>
      </c>
    </row>
    <row r="12451" spans="1:12" ht="43.5" x14ac:dyDescent="0.35">
      <c r="A12451" s="5" t="s">
        <v>98</v>
      </c>
      <c r="B12451" s="5" t="s">
        <v>99</v>
      </c>
      <c r="C12451" s="5" t="s">
        <v>2513</v>
      </c>
      <c r="D12451" s="5" t="s">
        <v>14</v>
      </c>
      <c r="E12451" s="5" t="s">
        <v>16</v>
      </c>
      <c r="F12451" s="5" t="s">
        <v>19</v>
      </c>
      <c r="G12451" s="5" t="s">
        <v>199</v>
      </c>
      <c r="H12451" s="5" t="s">
        <v>2511</v>
      </c>
      <c r="I12451" s="5" t="s">
        <v>31</v>
      </c>
      <c r="J12451" s="5">
        <v>17.220980646939999</v>
      </c>
      <c r="K12451" s="5">
        <v>-97.271366212879997</v>
      </c>
      <c r="L12451" s="5" t="str">
        <f>HYPERLINK("https://maps.google.com/?q=17.2209806469403,-97.271366212880096", "🔗 Ver Mapa")</f>
        <v>🔗 Ver Mapa</v>
      </c>
    </row>
    <row r="12452" spans="1:12" ht="43.5" x14ac:dyDescent="0.35">
      <c r="A12452" s="6" t="s">
        <v>98</v>
      </c>
      <c r="B12452" s="6" t="s">
        <v>99</v>
      </c>
      <c r="C12452" s="6" t="s">
        <v>2513</v>
      </c>
      <c r="D12452" s="6" t="s">
        <v>14</v>
      </c>
      <c r="E12452" s="6" t="s">
        <v>16</v>
      </c>
      <c r="F12452" s="6" t="s">
        <v>19</v>
      </c>
      <c r="G12452" s="6" t="s">
        <v>199</v>
      </c>
      <c r="H12452" s="6" t="s">
        <v>2511</v>
      </c>
      <c r="I12452" s="6" t="s">
        <v>31</v>
      </c>
      <c r="J12452" s="6">
        <v>17.221053530428001</v>
      </c>
      <c r="K12452" s="6">
        <v>-97.271262129627004</v>
      </c>
      <c r="L12452" s="6" t="str">
        <f>HYPERLINK("https://maps.google.com/?q=17.2210535304285,-97.271262129627004", "🔗 Ver Mapa")</f>
        <v>🔗 Ver Mapa</v>
      </c>
    </row>
    <row r="12453" spans="1:12" ht="43.5" x14ac:dyDescent="0.35">
      <c r="A12453" s="5" t="s">
        <v>98</v>
      </c>
      <c r="B12453" s="5" t="s">
        <v>99</v>
      </c>
      <c r="C12453" s="5" t="s">
        <v>2513</v>
      </c>
      <c r="D12453" s="5" t="s">
        <v>14</v>
      </c>
      <c r="E12453" s="5" t="s">
        <v>16</v>
      </c>
      <c r="F12453" s="5" t="s">
        <v>19</v>
      </c>
      <c r="G12453" s="5" t="s">
        <v>199</v>
      </c>
      <c r="H12453" s="5" t="s">
        <v>2511</v>
      </c>
      <c r="I12453" s="5" t="s">
        <v>31</v>
      </c>
      <c r="J12453" s="5">
        <v>17.221062840599998</v>
      </c>
      <c r="K12453" s="5">
        <v>-97.272460008581007</v>
      </c>
      <c r="L12453" s="5" t="str">
        <f>HYPERLINK("https://maps.google.com/?q=17.2210628405996,-97.272460008581007", "🔗 Ver Mapa")</f>
        <v>🔗 Ver Mapa</v>
      </c>
    </row>
    <row r="12454" spans="1:12" ht="43.5" x14ac:dyDescent="0.35">
      <c r="A12454" s="6" t="s">
        <v>98</v>
      </c>
      <c r="B12454" s="6" t="s">
        <v>99</v>
      </c>
      <c r="C12454" s="6" t="s">
        <v>2513</v>
      </c>
      <c r="D12454" s="6" t="s">
        <v>14</v>
      </c>
      <c r="E12454" s="6" t="s">
        <v>16</v>
      </c>
      <c r="F12454" s="6" t="s">
        <v>19</v>
      </c>
      <c r="G12454" s="6" t="s">
        <v>199</v>
      </c>
      <c r="H12454" s="6" t="s">
        <v>2511</v>
      </c>
      <c r="I12454" s="6" t="s">
        <v>31</v>
      </c>
      <c r="J12454" s="6">
        <v>17.221132014978</v>
      </c>
      <c r="K12454" s="6">
        <v>-97.272246026372002</v>
      </c>
      <c r="L12454" s="6" t="str">
        <f>HYPERLINK("https://maps.google.com/?q=17.2211320149776,-97.272246026371803", "🔗 Ver Mapa")</f>
        <v>🔗 Ver Mapa</v>
      </c>
    </row>
    <row r="12455" spans="1:12" ht="43.5" x14ac:dyDescent="0.35">
      <c r="A12455" s="5" t="s">
        <v>98</v>
      </c>
      <c r="B12455" s="5" t="s">
        <v>99</v>
      </c>
      <c r="C12455" s="5" t="s">
        <v>2513</v>
      </c>
      <c r="D12455" s="5" t="s">
        <v>14</v>
      </c>
      <c r="E12455" s="5" t="s">
        <v>16</v>
      </c>
      <c r="F12455" s="5" t="s">
        <v>19</v>
      </c>
      <c r="G12455" s="5" t="s">
        <v>199</v>
      </c>
      <c r="H12455" s="5" t="s">
        <v>2511</v>
      </c>
      <c r="I12455" s="5" t="s">
        <v>31</v>
      </c>
      <c r="J12455" s="5">
        <v>17.221196064055</v>
      </c>
      <c r="K12455" s="5">
        <v>-97.272510300305996</v>
      </c>
      <c r="L12455" s="5" t="str">
        <f>HYPERLINK("https://maps.google.com/?q=17.2211960640546,-97.272510300305797", "🔗 Ver Mapa")</f>
        <v>🔗 Ver Mapa</v>
      </c>
    </row>
    <row r="12456" spans="1:12" ht="43.5" x14ac:dyDescent="0.35">
      <c r="A12456" s="6" t="s">
        <v>98</v>
      </c>
      <c r="B12456" s="6" t="s">
        <v>99</v>
      </c>
      <c r="C12456" s="6" t="s">
        <v>2513</v>
      </c>
      <c r="D12456" s="6" t="s">
        <v>14</v>
      </c>
      <c r="E12456" s="6" t="s">
        <v>16</v>
      </c>
      <c r="F12456" s="6" t="s">
        <v>19</v>
      </c>
      <c r="G12456" s="6" t="s">
        <v>199</v>
      </c>
      <c r="H12456" s="6" t="s">
        <v>2511</v>
      </c>
      <c r="I12456" s="6" t="s">
        <v>31</v>
      </c>
      <c r="J12456" s="6">
        <v>17.221265234760001</v>
      </c>
      <c r="K12456" s="6">
        <v>-97.272130024459003</v>
      </c>
      <c r="L12456" s="6" t="str">
        <f>HYPERLINK("https://maps.google.com/?q=17.22126523476,-97.272130024458505", "🔗 Ver Mapa")</f>
        <v>🔗 Ver Mapa</v>
      </c>
    </row>
    <row r="12457" spans="1:12" ht="43.5" x14ac:dyDescent="0.35">
      <c r="A12457" s="5" t="s">
        <v>98</v>
      </c>
      <c r="B12457" s="5" t="s">
        <v>99</v>
      </c>
      <c r="C12457" s="5" t="s">
        <v>2513</v>
      </c>
      <c r="D12457" s="5" t="s">
        <v>14</v>
      </c>
      <c r="E12457" s="5" t="s">
        <v>16</v>
      </c>
      <c r="F12457" s="5" t="s">
        <v>19</v>
      </c>
      <c r="G12457" s="5" t="s">
        <v>199</v>
      </c>
      <c r="H12457" s="5" t="s">
        <v>2511</v>
      </c>
      <c r="I12457" s="5" t="s">
        <v>31</v>
      </c>
      <c r="J12457" s="5">
        <v>17.221279597801001</v>
      </c>
      <c r="K12457" s="5">
        <v>-97.270362734664005</v>
      </c>
      <c r="L12457" s="5" t="str">
        <f>HYPERLINK("https://maps.google.com/?q=17.2212795978012,-97.270362734664403", "🔗 Ver Mapa")</f>
        <v>🔗 Ver Mapa</v>
      </c>
    </row>
    <row r="12458" spans="1:12" ht="43.5" x14ac:dyDescent="0.35">
      <c r="A12458" s="6" t="s">
        <v>98</v>
      </c>
      <c r="B12458" s="6" t="s">
        <v>99</v>
      </c>
      <c r="C12458" s="6" t="s">
        <v>2513</v>
      </c>
      <c r="D12458" s="6" t="s">
        <v>14</v>
      </c>
      <c r="E12458" s="6" t="s">
        <v>16</v>
      </c>
      <c r="F12458" s="6" t="s">
        <v>19</v>
      </c>
      <c r="G12458" s="6" t="s">
        <v>199</v>
      </c>
      <c r="H12458" s="6" t="s">
        <v>2511</v>
      </c>
      <c r="I12458" s="6" t="s">
        <v>31</v>
      </c>
      <c r="J12458" s="6">
        <v>17.221293698114</v>
      </c>
      <c r="K12458" s="6">
        <v>-97.271991683626993</v>
      </c>
      <c r="L12458" s="6" t="str">
        <f>HYPERLINK("https://maps.google.com/?q=17.2212936981143,-97.271991683627306", "🔗 Ver Mapa")</f>
        <v>🔗 Ver Mapa</v>
      </c>
    </row>
    <row r="12459" spans="1:12" ht="43.5" x14ac:dyDescent="0.35">
      <c r="A12459" s="5" t="s">
        <v>98</v>
      </c>
      <c r="B12459" s="5" t="s">
        <v>99</v>
      </c>
      <c r="C12459" s="5" t="s">
        <v>2513</v>
      </c>
      <c r="D12459" s="5" t="s">
        <v>14</v>
      </c>
      <c r="E12459" s="5" t="s">
        <v>16</v>
      </c>
      <c r="F12459" s="5" t="s">
        <v>19</v>
      </c>
      <c r="G12459" s="5" t="s">
        <v>199</v>
      </c>
      <c r="H12459" s="5" t="s">
        <v>2511</v>
      </c>
      <c r="I12459" s="5" t="s">
        <v>31</v>
      </c>
      <c r="J12459" s="5">
        <v>17.221320851775001</v>
      </c>
      <c r="K12459" s="5">
        <v>-97.270188011944995</v>
      </c>
      <c r="L12459" s="5" t="str">
        <f>HYPERLINK("https://maps.google.com/?q=17.2213208517745,-97.270188011945294", "🔗 Ver Mapa")</f>
        <v>🔗 Ver Mapa</v>
      </c>
    </row>
    <row r="12460" spans="1:12" ht="43.5" x14ac:dyDescent="0.35">
      <c r="A12460" s="6" t="s">
        <v>98</v>
      </c>
      <c r="B12460" s="6" t="s">
        <v>99</v>
      </c>
      <c r="C12460" s="6" t="s">
        <v>2513</v>
      </c>
      <c r="D12460" s="6" t="s">
        <v>14</v>
      </c>
      <c r="E12460" s="6" t="s">
        <v>16</v>
      </c>
      <c r="F12460" s="6" t="s">
        <v>19</v>
      </c>
      <c r="G12460" s="6" t="s">
        <v>199</v>
      </c>
      <c r="H12460" s="6" t="s">
        <v>2511</v>
      </c>
      <c r="I12460" s="6" t="s">
        <v>31</v>
      </c>
      <c r="J12460" s="6">
        <v>17.221322317411001</v>
      </c>
      <c r="K12460" s="6">
        <v>-97.271855790653007</v>
      </c>
      <c r="L12460" s="6" t="str">
        <f>HYPERLINK("https://maps.google.com/?q=17.2213223174109,-97.271855790653106", "🔗 Ver Mapa")</f>
        <v>🔗 Ver Mapa</v>
      </c>
    </row>
    <row r="12461" spans="1:12" ht="43.5" x14ac:dyDescent="0.35">
      <c r="A12461" s="5" t="s">
        <v>98</v>
      </c>
      <c r="B12461" s="5" t="s">
        <v>99</v>
      </c>
      <c r="C12461" s="5" t="s">
        <v>2513</v>
      </c>
      <c r="D12461" s="5" t="s">
        <v>14</v>
      </c>
      <c r="E12461" s="5" t="s">
        <v>16</v>
      </c>
      <c r="F12461" s="5" t="s">
        <v>19</v>
      </c>
      <c r="G12461" s="5" t="s">
        <v>199</v>
      </c>
      <c r="H12461" s="5" t="s">
        <v>2511</v>
      </c>
      <c r="I12461" s="5" t="s">
        <v>31</v>
      </c>
      <c r="J12461" s="5">
        <v>17.221399077638001</v>
      </c>
      <c r="K12461" s="5">
        <v>-97.271480192625006</v>
      </c>
      <c r="L12461" s="5" t="str">
        <f>HYPERLINK("https://maps.google.com/?q=17.2213990776382,-97.271480192625006", "🔗 Ver Mapa")</f>
        <v>🔗 Ver Mapa</v>
      </c>
    </row>
    <row r="12462" spans="1:12" ht="43.5" x14ac:dyDescent="0.35">
      <c r="A12462" s="6" t="s">
        <v>98</v>
      </c>
      <c r="B12462" s="6" t="s">
        <v>99</v>
      </c>
      <c r="C12462" s="6" t="s">
        <v>2513</v>
      </c>
      <c r="D12462" s="6" t="s">
        <v>14</v>
      </c>
      <c r="E12462" s="6" t="s">
        <v>16</v>
      </c>
      <c r="F12462" s="6" t="s">
        <v>19</v>
      </c>
      <c r="G12462" s="6" t="s">
        <v>199</v>
      </c>
      <c r="H12462" s="6" t="s">
        <v>2511</v>
      </c>
      <c r="I12462" s="6" t="s">
        <v>31</v>
      </c>
      <c r="J12462" s="6">
        <v>17.221457853034</v>
      </c>
      <c r="K12462" s="6">
        <v>-97.272851463945997</v>
      </c>
      <c r="L12462" s="6" t="str">
        <f>HYPERLINK("https://maps.google.com/?q=17.2214578530338,-97.272851463946196", "🔗 Ver Mapa")</f>
        <v>🔗 Ver Mapa</v>
      </c>
    </row>
    <row r="12463" spans="1:12" ht="43.5" x14ac:dyDescent="0.35">
      <c r="A12463" s="5" t="s">
        <v>98</v>
      </c>
      <c r="B12463" s="5" t="s">
        <v>99</v>
      </c>
      <c r="C12463" s="5" t="s">
        <v>2513</v>
      </c>
      <c r="D12463" s="5" t="s">
        <v>14</v>
      </c>
      <c r="E12463" s="5" t="s">
        <v>16</v>
      </c>
      <c r="F12463" s="5" t="s">
        <v>19</v>
      </c>
      <c r="G12463" s="5" t="s">
        <v>199</v>
      </c>
      <c r="H12463" s="5" t="s">
        <v>2511</v>
      </c>
      <c r="I12463" s="5" t="s">
        <v>31</v>
      </c>
      <c r="J12463" s="5">
        <v>17.221513380956001</v>
      </c>
      <c r="K12463" s="5">
        <v>-97.270563386201999</v>
      </c>
      <c r="L12463" s="5" t="str">
        <f>HYPERLINK("https://maps.google.com/?q=17.2215133809561,-97.270563386202298", "🔗 Ver Mapa")</f>
        <v>🔗 Ver Mapa</v>
      </c>
    </row>
    <row r="12464" spans="1:12" ht="43.5" x14ac:dyDescent="0.35">
      <c r="A12464" s="6" t="s">
        <v>98</v>
      </c>
      <c r="B12464" s="6" t="s">
        <v>99</v>
      </c>
      <c r="C12464" s="6" t="s">
        <v>2513</v>
      </c>
      <c r="D12464" s="6" t="s">
        <v>14</v>
      </c>
      <c r="E12464" s="6" t="s">
        <v>16</v>
      </c>
      <c r="F12464" s="6" t="s">
        <v>19</v>
      </c>
      <c r="G12464" s="6" t="s">
        <v>199</v>
      </c>
      <c r="H12464" s="6" t="s">
        <v>2511</v>
      </c>
      <c r="I12464" s="6" t="s">
        <v>31</v>
      </c>
      <c r="J12464" s="6">
        <v>17.221524229631999</v>
      </c>
      <c r="K12464" s="6">
        <v>-97.270210617808004</v>
      </c>
      <c r="L12464" s="6" t="str">
        <f>HYPERLINK("https://maps.google.com/?q=17.2215242296319,-97.270210617808303", "🔗 Ver Mapa")</f>
        <v>🔗 Ver Mapa</v>
      </c>
    </row>
    <row r="12465" spans="1:12" ht="43.5" x14ac:dyDescent="0.35">
      <c r="A12465" s="5" t="s">
        <v>98</v>
      </c>
      <c r="B12465" s="5" t="s">
        <v>99</v>
      </c>
      <c r="C12465" s="5" t="s">
        <v>2513</v>
      </c>
      <c r="D12465" s="5" t="s">
        <v>14</v>
      </c>
      <c r="E12465" s="5" t="s">
        <v>16</v>
      </c>
      <c r="F12465" s="5" t="s">
        <v>19</v>
      </c>
      <c r="G12465" s="5" t="s">
        <v>199</v>
      </c>
      <c r="H12465" s="5" t="s">
        <v>2511</v>
      </c>
      <c r="I12465" s="5" t="s">
        <v>31</v>
      </c>
      <c r="J12465" s="5">
        <v>17.221533376048999</v>
      </c>
      <c r="K12465" s="5">
        <v>-97.270860154595994</v>
      </c>
      <c r="L12465" s="5" t="str">
        <f>HYPERLINK("https://maps.google.com/?q=17.2215333760486,-97.270860154596207", "🔗 Ver Mapa")</f>
        <v>🔗 Ver Mapa</v>
      </c>
    </row>
    <row r="12466" spans="1:12" ht="43.5" x14ac:dyDescent="0.35">
      <c r="A12466" s="6" t="s">
        <v>98</v>
      </c>
      <c r="B12466" s="6" t="s">
        <v>99</v>
      </c>
      <c r="C12466" s="6" t="s">
        <v>2513</v>
      </c>
      <c r="D12466" s="6" t="s">
        <v>14</v>
      </c>
      <c r="E12466" s="6" t="s">
        <v>16</v>
      </c>
      <c r="F12466" s="6" t="s">
        <v>19</v>
      </c>
      <c r="G12466" s="6" t="s">
        <v>199</v>
      </c>
      <c r="H12466" s="6" t="s">
        <v>2511</v>
      </c>
      <c r="I12466" s="6" t="s">
        <v>31</v>
      </c>
      <c r="J12466" s="6">
        <v>17.221546686410001</v>
      </c>
      <c r="K12466" s="6">
        <v>-97.270431957960994</v>
      </c>
      <c r="L12466" s="6" t="str">
        <f>HYPERLINK("https://maps.google.com/?q=17.2215466864102,-97.270431957960596", "🔗 Ver Mapa")</f>
        <v>🔗 Ver Mapa</v>
      </c>
    </row>
    <row r="12467" spans="1:12" ht="43.5" x14ac:dyDescent="0.35">
      <c r="A12467" s="5" t="s">
        <v>98</v>
      </c>
      <c r="B12467" s="5" t="s">
        <v>99</v>
      </c>
      <c r="C12467" s="5" t="s">
        <v>2513</v>
      </c>
      <c r="D12467" s="5" t="s">
        <v>14</v>
      </c>
      <c r="E12467" s="5" t="s">
        <v>16</v>
      </c>
      <c r="F12467" s="5" t="s">
        <v>19</v>
      </c>
      <c r="G12467" s="5" t="s">
        <v>199</v>
      </c>
      <c r="H12467" s="5" t="s">
        <v>2511</v>
      </c>
      <c r="I12467" s="5" t="s">
        <v>31</v>
      </c>
      <c r="J12467" s="5">
        <v>17.221593479264001</v>
      </c>
      <c r="K12467" s="5">
        <v>-97.270727093581002</v>
      </c>
      <c r="L12467" s="5" t="str">
        <f>HYPERLINK("https://maps.google.com/?q=17.2215934792642,-97.270727093581499", "🔗 Ver Mapa")</f>
        <v>🔗 Ver Mapa</v>
      </c>
    </row>
    <row r="12468" spans="1:12" ht="43.5" x14ac:dyDescent="0.35">
      <c r="A12468" s="6" t="s">
        <v>98</v>
      </c>
      <c r="B12468" s="6" t="s">
        <v>99</v>
      </c>
      <c r="C12468" s="6" t="s">
        <v>2513</v>
      </c>
      <c r="D12468" s="6" t="s">
        <v>14</v>
      </c>
      <c r="E12468" s="6" t="s">
        <v>16</v>
      </c>
      <c r="F12468" s="6" t="s">
        <v>19</v>
      </c>
      <c r="G12468" s="6" t="s">
        <v>199</v>
      </c>
      <c r="H12468" s="6" t="s">
        <v>2511</v>
      </c>
      <c r="I12468" s="6" t="s">
        <v>31</v>
      </c>
      <c r="J12468" s="6">
        <v>17.221617177365999</v>
      </c>
      <c r="K12468" s="6">
        <v>-97.270590971473993</v>
      </c>
      <c r="L12468" s="6" t="str">
        <f>HYPERLINK("https://maps.google.com/?q=17.2216171773662,-97.270590971474107", "🔗 Ver Mapa")</f>
        <v>🔗 Ver Mapa</v>
      </c>
    </row>
    <row r="12469" spans="1:12" ht="43.5" x14ac:dyDescent="0.35">
      <c r="A12469" s="5" t="s">
        <v>98</v>
      </c>
      <c r="B12469" s="5" t="s">
        <v>99</v>
      </c>
      <c r="C12469" s="5" t="s">
        <v>2513</v>
      </c>
      <c r="D12469" s="5" t="s">
        <v>14</v>
      </c>
      <c r="E12469" s="5" t="s">
        <v>16</v>
      </c>
      <c r="F12469" s="5" t="s">
        <v>19</v>
      </c>
      <c r="G12469" s="5" t="s">
        <v>199</v>
      </c>
      <c r="H12469" s="5" t="s">
        <v>2511</v>
      </c>
      <c r="I12469" s="5" t="s">
        <v>31</v>
      </c>
      <c r="J12469" s="5">
        <v>17.221648241090001</v>
      </c>
      <c r="K12469" s="5">
        <v>-97.270458202127998</v>
      </c>
      <c r="L12469" s="5" t="str">
        <f>HYPERLINK("https://maps.google.com/?q=17.2216482410898,-97.270458202127799", "🔗 Ver Mapa")</f>
        <v>🔗 Ver Mapa</v>
      </c>
    </row>
    <row r="12470" spans="1:12" ht="43.5" x14ac:dyDescent="0.35">
      <c r="A12470" s="6" t="s">
        <v>98</v>
      </c>
      <c r="B12470" s="6" t="s">
        <v>99</v>
      </c>
      <c r="C12470" s="6" t="s">
        <v>2513</v>
      </c>
      <c r="D12470" s="6" t="s">
        <v>14</v>
      </c>
      <c r="E12470" s="6" t="s">
        <v>16</v>
      </c>
      <c r="F12470" s="6" t="s">
        <v>19</v>
      </c>
      <c r="G12470" s="6" t="s">
        <v>199</v>
      </c>
      <c r="H12470" s="6" t="s">
        <v>2511</v>
      </c>
      <c r="I12470" s="6" t="s">
        <v>31</v>
      </c>
      <c r="J12470" s="6">
        <v>17.221682621982001</v>
      </c>
      <c r="K12470" s="6">
        <v>-97.271947119065999</v>
      </c>
      <c r="L12470" s="6" t="str">
        <f>HYPERLINK("https://maps.google.com/?q=17.2216826219821,-97.271947119066198", "🔗 Ver Mapa")</f>
        <v>🔗 Ver Mapa</v>
      </c>
    </row>
    <row r="12471" spans="1:12" ht="43.5" x14ac:dyDescent="0.35">
      <c r="A12471" s="5" t="s">
        <v>98</v>
      </c>
      <c r="B12471" s="5" t="s">
        <v>99</v>
      </c>
      <c r="C12471" s="5" t="s">
        <v>2513</v>
      </c>
      <c r="D12471" s="5" t="s">
        <v>14</v>
      </c>
      <c r="E12471" s="5" t="s">
        <v>16</v>
      </c>
      <c r="F12471" s="5" t="s">
        <v>19</v>
      </c>
      <c r="G12471" s="5" t="s">
        <v>199</v>
      </c>
      <c r="H12471" s="5" t="s">
        <v>2511</v>
      </c>
      <c r="I12471" s="5" t="s">
        <v>31</v>
      </c>
      <c r="J12471" s="5">
        <v>17.221688197950002</v>
      </c>
      <c r="K12471" s="5">
        <v>-97.270323272778995</v>
      </c>
      <c r="L12471" s="5" t="str">
        <f>HYPERLINK("https://maps.google.com/?q=17.22168819795,-97.270323272778597", "🔗 Ver Mapa")</f>
        <v>🔗 Ver Mapa</v>
      </c>
    </row>
    <row r="12472" spans="1:12" ht="43.5" x14ac:dyDescent="0.35">
      <c r="A12472" s="6" t="s">
        <v>98</v>
      </c>
      <c r="B12472" s="6" t="s">
        <v>99</v>
      </c>
      <c r="C12472" s="6" t="s">
        <v>2513</v>
      </c>
      <c r="D12472" s="6" t="s">
        <v>14</v>
      </c>
      <c r="E12472" s="6" t="s">
        <v>16</v>
      </c>
      <c r="F12472" s="6" t="s">
        <v>19</v>
      </c>
      <c r="G12472" s="6" t="s">
        <v>199</v>
      </c>
      <c r="H12472" s="6" t="s">
        <v>2511</v>
      </c>
      <c r="I12472" s="6" t="s">
        <v>31</v>
      </c>
      <c r="J12472" s="6">
        <v>17.221721386660999</v>
      </c>
      <c r="K12472" s="6">
        <v>-97.272245440187007</v>
      </c>
      <c r="L12472" s="6" t="str">
        <f>HYPERLINK("https://maps.google.com/?q=17.2217213866608,-97.272245440187007", "🔗 Ver Mapa")</f>
        <v>🔗 Ver Mapa</v>
      </c>
    </row>
    <row r="12473" spans="1:12" ht="43.5" x14ac:dyDescent="0.35">
      <c r="A12473" s="5" t="s">
        <v>98</v>
      </c>
      <c r="B12473" s="5" t="s">
        <v>99</v>
      </c>
      <c r="C12473" s="5" t="s">
        <v>2513</v>
      </c>
      <c r="D12473" s="5" t="s">
        <v>14</v>
      </c>
      <c r="E12473" s="5" t="s">
        <v>16</v>
      </c>
      <c r="F12473" s="5" t="s">
        <v>19</v>
      </c>
      <c r="G12473" s="5" t="s">
        <v>199</v>
      </c>
      <c r="H12473" s="5" t="s">
        <v>2511</v>
      </c>
      <c r="I12473" s="5" t="s">
        <v>31</v>
      </c>
      <c r="J12473" s="5">
        <v>17.221889189496</v>
      </c>
      <c r="K12473" s="5">
        <v>-97.270951104911006</v>
      </c>
      <c r="L12473" s="5" t="str">
        <f>HYPERLINK("https://maps.google.com/?q=17.2218891894957,-97.270951104910793", "🔗 Ver Mapa")</f>
        <v>🔗 Ver Mapa</v>
      </c>
    </row>
    <row r="12474" spans="1:12" ht="43.5" x14ac:dyDescent="0.35">
      <c r="A12474" s="6" t="s">
        <v>98</v>
      </c>
      <c r="B12474" s="6" t="s">
        <v>99</v>
      </c>
      <c r="C12474" s="6" t="s">
        <v>2513</v>
      </c>
      <c r="D12474" s="6" t="s">
        <v>14</v>
      </c>
      <c r="E12474" s="6" t="s">
        <v>16</v>
      </c>
      <c r="F12474" s="6" t="s">
        <v>19</v>
      </c>
      <c r="G12474" s="6" t="s">
        <v>199</v>
      </c>
      <c r="H12474" s="6" t="s">
        <v>2511</v>
      </c>
      <c r="I12474" s="6" t="s">
        <v>31</v>
      </c>
      <c r="J12474" s="6">
        <v>17.221939288541002</v>
      </c>
      <c r="K12474" s="6">
        <v>-97.270813885085005</v>
      </c>
      <c r="L12474" s="6" t="str">
        <f>HYPERLINK("https://maps.google.com/?q=17.221939288541,-97.270813885084706", "🔗 Ver Mapa")</f>
        <v>🔗 Ver Mapa</v>
      </c>
    </row>
    <row r="12475" spans="1:12" ht="43.5" x14ac:dyDescent="0.35">
      <c r="A12475" s="5" t="s">
        <v>98</v>
      </c>
      <c r="B12475" s="5" t="s">
        <v>99</v>
      </c>
      <c r="C12475" s="5" t="s">
        <v>2513</v>
      </c>
      <c r="D12475" s="5" t="s">
        <v>14</v>
      </c>
      <c r="E12475" s="5" t="s">
        <v>16</v>
      </c>
      <c r="F12475" s="5" t="s">
        <v>19</v>
      </c>
      <c r="G12475" s="5" t="s">
        <v>199</v>
      </c>
      <c r="H12475" s="5" t="s">
        <v>2511</v>
      </c>
      <c r="I12475" s="5" t="s">
        <v>31</v>
      </c>
      <c r="J12475" s="5">
        <v>17.221973737136</v>
      </c>
      <c r="K12475" s="5">
        <v>-97.270679861613999</v>
      </c>
      <c r="L12475" s="5" t="str">
        <f>HYPERLINK("https://maps.google.com/?q=17.2219737371357,-97.270679861613502", "🔗 Ver Mapa")</f>
        <v>🔗 Ver Mapa</v>
      </c>
    </row>
    <row r="12476" spans="1:12" ht="43.5" x14ac:dyDescent="0.35">
      <c r="A12476" s="6" t="s">
        <v>98</v>
      </c>
      <c r="B12476" s="6" t="s">
        <v>99</v>
      </c>
      <c r="C12476" s="6" t="s">
        <v>2513</v>
      </c>
      <c r="D12476" s="6" t="s">
        <v>14</v>
      </c>
      <c r="E12476" s="6" t="s">
        <v>16</v>
      </c>
      <c r="F12476" s="6" t="s">
        <v>19</v>
      </c>
      <c r="G12476" s="6" t="s">
        <v>199</v>
      </c>
      <c r="H12476" s="6" t="s">
        <v>2511</v>
      </c>
      <c r="I12476" s="6" t="s">
        <v>31</v>
      </c>
      <c r="J12476" s="6">
        <v>17.221995135694002</v>
      </c>
      <c r="K12476" s="6">
        <v>-97.270976010381005</v>
      </c>
      <c r="L12476" s="6" t="str">
        <f>HYPERLINK("https://maps.google.com/?q=17.2219951356936,-97.270976010381105", "🔗 Ver Mapa")</f>
        <v>🔗 Ver Mapa</v>
      </c>
    </row>
    <row r="12477" spans="1:12" ht="43.5" x14ac:dyDescent="0.35">
      <c r="A12477" s="5" t="s">
        <v>98</v>
      </c>
      <c r="B12477" s="5" t="s">
        <v>99</v>
      </c>
      <c r="C12477" s="5" t="s">
        <v>2513</v>
      </c>
      <c r="D12477" s="5" t="s">
        <v>14</v>
      </c>
      <c r="E12477" s="5" t="s">
        <v>16</v>
      </c>
      <c r="F12477" s="5" t="s">
        <v>19</v>
      </c>
      <c r="G12477" s="5" t="s">
        <v>199</v>
      </c>
      <c r="H12477" s="5" t="s">
        <v>2511</v>
      </c>
      <c r="I12477" s="5" t="s">
        <v>31</v>
      </c>
      <c r="J12477" s="5">
        <v>17.222010382549001</v>
      </c>
      <c r="K12477" s="5">
        <v>-97.270547007245995</v>
      </c>
      <c r="L12477" s="5" t="str">
        <f>HYPERLINK("https://maps.google.com/?q=17.2220103825488,-97.270547007246094", "🔗 Ver Mapa")</f>
        <v>🔗 Ver Mapa</v>
      </c>
    </row>
    <row r="12478" spans="1:12" ht="43.5" x14ac:dyDescent="0.35">
      <c r="A12478" s="6" t="s">
        <v>98</v>
      </c>
      <c r="B12478" s="6" t="s">
        <v>99</v>
      </c>
      <c r="C12478" s="6" t="s">
        <v>2513</v>
      </c>
      <c r="D12478" s="6" t="s">
        <v>14</v>
      </c>
      <c r="E12478" s="6" t="s">
        <v>16</v>
      </c>
      <c r="F12478" s="6" t="s">
        <v>19</v>
      </c>
      <c r="G12478" s="6" t="s">
        <v>199</v>
      </c>
      <c r="H12478" s="6" t="s">
        <v>2511</v>
      </c>
      <c r="I12478" s="6" t="s">
        <v>31</v>
      </c>
      <c r="J12478" s="6">
        <v>17.222028033975999</v>
      </c>
      <c r="K12478" s="6">
        <v>-97.272178224537001</v>
      </c>
      <c r="L12478" s="6" t="str">
        <f>HYPERLINK("https://maps.google.com/?q=17.2220280339759,-97.272178224536702", "🔗 Ver Mapa")</f>
        <v>🔗 Ver Mapa</v>
      </c>
    </row>
    <row r="12479" spans="1:12" ht="43.5" x14ac:dyDescent="0.35">
      <c r="A12479" s="5" t="s">
        <v>98</v>
      </c>
      <c r="B12479" s="5" t="s">
        <v>99</v>
      </c>
      <c r="C12479" s="5" t="s">
        <v>2513</v>
      </c>
      <c r="D12479" s="5" t="s">
        <v>14</v>
      </c>
      <c r="E12479" s="5" t="s">
        <v>16</v>
      </c>
      <c r="F12479" s="5" t="s">
        <v>19</v>
      </c>
      <c r="G12479" s="5" t="s">
        <v>199</v>
      </c>
      <c r="H12479" s="5" t="s">
        <v>2511</v>
      </c>
      <c r="I12479" s="5" t="s">
        <v>31</v>
      </c>
      <c r="J12479" s="5">
        <v>17.22204098836</v>
      </c>
      <c r="K12479" s="5">
        <v>-97.270845823296</v>
      </c>
      <c r="L12479" s="5" t="str">
        <f>HYPERLINK("https://maps.google.com/?q=17.2220409883599,-97.270845823296199", "🔗 Ver Mapa")</f>
        <v>🔗 Ver Mapa</v>
      </c>
    </row>
    <row r="12480" spans="1:12" ht="43.5" x14ac:dyDescent="0.35">
      <c r="A12480" s="6" t="s">
        <v>98</v>
      </c>
      <c r="B12480" s="6" t="s">
        <v>99</v>
      </c>
      <c r="C12480" s="6" t="s">
        <v>2513</v>
      </c>
      <c r="D12480" s="6" t="s">
        <v>14</v>
      </c>
      <c r="E12480" s="6" t="s">
        <v>16</v>
      </c>
      <c r="F12480" s="6" t="s">
        <v>19</v>
      </c>
      <c r="G12480" s="6" t="s">
        <v>199</v>
      </c>
      <c r="H12480" s="6" t="s">
        <v>2511</v>
      </c>
      <c r="I12480" s="6" t="s">
        <v>31</v>
      </c>
      <c r="J12480" s="6">
        <v>17.222060395362</v>
      </c>
      <c r="K12480" s="6">
        <v>-97.270401875738997</v>
      </c>
      <c r="L12480" s="6" t="str">
        <f>HYPERLINK("https://maps.google.com/?q=17.2220603953617,-97.2704018757385", "🔗 Ver Mapa")</f>
        <v>🔗 Ver Mapa</v>
      </c>
    </row>
    <row r="12481" spans="1:12" ht="43.5" x14ac:dyDescent="0.35">
      <c r="A12481" s="5" t="s">
        <v>98</v>
      </c>
      <c r="B12481" s="5" t="s">
        <v>99</v>
      </c>
      <c r="C12481" s="5" t="s">
        <v>2513</v>
      </c>
      <c r="D12481" s="5" t="s">
        <v>14</v>
      </c>
      <c r="E12481" s="5" t="s">
        <v>16</v>
      </c>
      <c r="F12481" s="5" t="s">
        <v>19</v>
      </c>
      <c r="G12481" s="5" t="s">
        <v>199</v>
      </c>
      <c r="H12481" s="5" t="s">
        <v>2511</v>
      </c>
      <c r="I12481" s="5" t="s">
        <v>31</v>
      </c>
      <c r="J12481" s="5">
        <v>17.222082171941</v>
      </c>
      <c r="K12481" s="5">
        <v>-97.270708988671004</v>
      </c>
      <c r="L12481" s="5" t="str">
        <f>HYPERLINK("https://maps.google.com/?q=17.222082171941,-97.270708988670705", "🔗 Ver Mapa")</f>
        <v>🔗 Ver Mapa</v>
      </c>
    </row>
    <row r="12482" spans="1:12" ht="43.5" x14ac:dyDescent="0.35">
      <c r="A12482" s="6" t="s">
        <v>98</v>
      </c>
      <c r="B12482" s="6" t="s">
        <v>99</v>
      </c>
      <c r="C12482" s="6" t="s">
        <v>2513</v>
      </c>
      <c r="D12482" s="6" t="s">
        <v>14</v>
      </c>
      <c r="E12482" s="6" t="s">
        <v>16</v>
      </c>
      <c r="F12482" s="6" t="s">
        <v>19</v>
      </c>
      <c r="G12482" s="6" t="s">
        <v>199</v>
      </c>
      <c r="H12482" s="6" t="s">
        <v>2511</v>
      </c>
      <c r="I12482" s="6" t="s">
        <v>31</v>
      </c>
      <c r="J12482" s="6">
        <v>17.222117076989999</v>
      </c>
      <c r="K12482" s="6">
        <v>-97.272723787325006</v>
      </c>
      <c r="L12482" s="6" t="str">
        <f>HYPERLINK("https://maps.google.com/?q=17.2221170769901,-97.272723787325305", "🔗 Ver Mapa")</f>
        <v>🔗 Ver Mapa</v>
      </c>
    </row>
    <row r="12483" spans="1:12" ht="43.5" x14ac:dyDescent="0.35">
      <c r="A12483" s="5" t="s">
        <v>98</v>
      </c>
      <c r="B12483" s="5" t="s">
        <v>99</v>
      </c>
      <c r="C12483" s="5" t="s">
        <v>2513</v>
      </c>
      <c r="D12483" s="5" t="s">
        <v>14</v>
      </c>
      <c r="E12483" s="5" t="s">
        <v>16</v>
      </c>
      <c r="F12483" s="5" t="s">
        <v>19</v>
      </c>
      <c r="G12483" s="5" t="s">
        <v>199</v>
      </c>
      <c r="H12483" s="5" t="s">
        <v>2511</v>
      </c>
      <c r="I12483" s="5" t="s">
        <v>31</v>
      </c>
      <c r="J12483" s="5">
        <v>17.222125386820998</v>
      </c>
      <c r="K12483" s="5">
        <v>-97.272051485624004</v>
      </c>
      <c r="L12483" s="5" t="str">
        <f>HYPERLINK("https://maps.google.com/?q=17.2221253868215,-97.272051485624104", "🔗 Ver Mapa")</f>
        <v>🔗 Ver Mapa</v>
      </c>
    </row>
    <row r="12484" spans="1:12" ht="43.5" x14ac:dyDescent="0.35">
      <c r="A12484" s="6" t="s">
        <v>98</v>
      </c>
      <c r="B12484" s="6" t="s">
        <v>99</v>
      </c>
      <c r="C12484" s="6" t="s">
        <v>2513</v>
      </c>
      <c r="D12484" s="6" t="s">
        <v>14</v>
      </c>
      <c r="E12484" s="6" t="s">
        <v>16</v>
      </c>
      <c r="F12484" s="6" t="s">
        <v>19</v>
      </c>
      <c r="G12484" s="6" t="s">
        <v>199</v>
      </c>
      <c r="H12484" s="6" t="s">
        <v>2511</v>
      </c>
      <c r="I12484" s="6" t="s">
        <v>31</v>
      </c>
      <c r="J12484" s="6">
        <v>17.222164154333999</v>
      </c>
      <c r="K12484" s="6">
        <v>-97.270438085560002</v>
      </c>
      <c r="L12484" s="6" t="str">
        <f>HYPERLINK("https://maps.google.com/?q=17.2221641543343,-97.270438085560201", "🔗 Ver Mapa")</f>
        <v>🔗 Ver Mapa</v>
      </c>
    </row>
    <row r="12485" spans="1:12" ht="43.5" x14ac:dyDescent="0.35">
      <c r="A12485" s="5" t="s">
        <v>98</v>
      </c>
      <c r="B12485" s="5" t="s">
        <v>99</v>
      </c>
      <c r="C12485" s="5" t="s">
        <v>2513</v>
      </c>
      <c r="D12485" s="5" t="s">
        <v>14</v>
      </c>
      <c r="E12485" s="5" t="s">
        <v>16</v>
      </c>
      <c r="F12485" s="5" t="s">
        <v>19</v>
      </c>
      <c r="G12485" s="5" t="s">
        <v>199</v>
      </c>
      <c r="H12485" s="5" t="s">
        <v>2511</v>
      </c>
      <c r="I12485" s="5" t="s">
        <v>31</v>
      </c>
      <c r="J12485" s="5">
        <v>17.222370187340999</v>
      </c>
      <c r="K12485" s="5">
        <v>-97.273068875430994</v>
      </c>
      <c r="L12485" s="5" t="str">
        <f>HYPERLINK("https://maps.google.com/?q=17.2223701873411,-97.273068875430795", "🔗 Ver Mapa")</f>
        <v>🔗 Ver Mapa</v>
      </c>
    </row>
    <row r="12486" spans="1:12" ht="43.5" x14ac:dyDescent="0.35">
      <c r="A12486" s="6" t="s">
        <v>98</v>
      </c>
      <c r="B12486" s="6" t="s">
        <v>99</v>
      </c>
      <c r="C12486" s="6" t="s">
        <v>2513</v>
      </c>
      <c r="D12486" s="6" t="s">
        <v>14</v>
      </c>
      <c r="E12486" s="6" t="s">
        <v>16</v>
      </c>
      <c r="F12486" s="6" t="s">
        <v>19</v>
      </c>
      <c r="G12486" s="6" t="s">
        <v>199</v>
      </c>
      <c r="H12486" s="6" t="s">
        <v>2511</v>
      </c>
      <c r="I12486" s="6" t="s">
        <v>31</v>
      </c>
      <c r="J12486" s="6">
        <v>17.222374030261001</v>
      </c>
      <c r="K12486" s="6">
        <v>-97.272929400562006</v>
      </c>
      <c r="L12486" s="6" t="str">
        <f>HYPERLINK("https://maps.google.com/?q=17.2223740302606,-97.272929400562006", "🔗 Ver Mapa")</f>
        <v>🔗 Ver Mapa</v>
      </c>
    </row>
    <row r="12487" spans="1:12" ht="43.5" x14ac:dyDescent="0.35">
      <c r="A12487" s="5" t="s">
        <v>98</v>
      </c>
      <c r="B12487" s="5" t="s">
        <v>99</v>
      </c>
      <c r="C12487" s="5" t="s">
        <v>2513</v>
      </c>
      <c r="D12487" s="5" t="s">
        <v>14</v>
      </c>
      <c r="E12487" s="5" t="s">
        <v>16</v>
      </c>
      <c r="F12487" s="5" t="s">
        <v>19</v>
      </c>
      <c r="G12487" s="5" t="s">
        <v>199</v>
      </c>
      <c r="H12487" s="5" t="s">
        <v>2511</v>
      </c>
      <c r="I12487" s="5" t="s">
        <v>31</v>
      </c>
      <c r="J12487" s="5">
        <v>17.222493160726</v>
      </c>
      <c r="K12487" s="5">
        <v>-97.272574007868002</v>
      </c>
      <c r="L12487" s="5" t="str">
        <f>HYPERLINK("https://maps.google.com/?q=17.2224931607258,-97.272574007867703", "🔗 Ver Mapa")</f>
        <v>🔗 Ver Mapa</v>
      </c>
    </row>
    <row r="12488" spans="1:12" ht="43.5" x14ac:dyDescent="0.35">
      <c r="A12488" s="6" t="s">
        <v>98</v>
      </c>
      <c r="B12488" s="6" t="s">
        <v>99</v>
      </c>
      <c r="C12488" s="6" t="s">
        <v>2513</v>
      </c>
      <c r="D12488" s="6" t="s">
        <v>14</v>
      </c>
      <c r="E12488" s="6" t="s">
        <v>16</v>
      </c>
      <c r="F12488" s="6" t="s">
        <v>19</v>
      </c>
      <c r="G12488" s="6" t="s">
        <v>199</v>
      </c>
      <c r="H12488" s="6" t="s">
        <v>2511</v>
      </c>
      <c r="I12488" s="6" t="s">
        <v>31</v>
      </c>
      <c r="J12488" s="6">
        <v>17.222513350372001</v>
      </c>
      <c r="K12488" s="6">
        <v>-97.273116007927996</v>
      </c>
      <c r="L12488" s="6" t="str">
        <f>HYPERLINK("https://maps.google.com/?q=17.2225133503719,-97.273116007927896", "🔗 Ver Mapa")</f>
        <v>🔗 Ver Mapa</v>
      </c>
    </row>
    <row r="12489" spans="1:12" ht="43.5" x14ac:dyDescent="0.35">
      <c r="A12489" s="5" t="s">
        <v>98</v>
      </c>
      <c r="B12489" s="5" t="s">
        <v>99</v>
      </c>
      <c r="C12489" s="5" t="s">
        <v>2513</v>
      </c>
      <c r="D12489" s="5" t="s">
        <v>14</v>
      </c>
      <c r="E12489" s="5" t="s">
        <v>16</v>
      </c>
      <c r="F12489" s="5" t="s">
        <v>19</v>
      </c>
      <c r="G12489" s="5" t="s">
        <v>199</v>
      </c>
      <c r="H12489" s="5" t="s">
        <v>2511</v>
      </c>
      <c r="I12489" s="5" t="s">
        <v>31</v>
      </c>
      <c r="J12489" s="5">
        <v>17.222513656282999</v>
      </c>
      <c r="K12489" s="5">
        <v>-97.272434533001999</v>
      </c>
      <c r="L12489" s="5" t="str">
        <f>HYPERLINK("https://maps.google.com/?q=17.2225136562825,-97.272434533002198", "🔗 Ver Mapa")</f>
        <v>🔗 Ver Mapa</v>
      </c>
    </row>
    <row r="12490" spans="1:12" ht="43.5" x14ac:dyDescent="0.35">
      <c r="A12490" s="6" t="s">
        <v>98</v>
      </c>
      <c r="B12490" s="6" t="s">
        <v>99</v>
      </c>
      <c r="C12490" s="6" t="s">
        <v>2513</v>
      </c>
      <c r="D12490" s="6" t="s">
        <v>14</v>
      </c>
      <c r="E12490" s="6" t="s">
        <v>16</v>
      </c>
      <c r="F12490" s="6" t="s">
        <v>19</v>
      </c>
      <c r="G12490" s="6" t="s">
        <v>199</v>
      </c>
      <c r="H12490" s="6" t="s">
        <v>2511</v>
      </c>
      <c r="I12490" s="6" t="s">
        <v>31</v>
      </c>
      <c r="J12490" s="6">
        <v>17.222535432808002</v>
      </c>
      <c r="K12490" s="6">
        <v>-97.272974998115004</v>
      </c>
      <c r="L12490" s="6" t="str">
        <f>HYPERLINK("https://maps.google.com/?q=17.2225354328078,-97.272974998115302", "🔗 Ver Mapa")</f>
        <v>🔗 Ver Mapa</v>
      </c>
    </row>
    <row r="12491" spans="1:12" ht="43.5" x14ac:dyDescent="0.35">
      <c r="A12491" s="5" t="s">
        <v>98</v>
      </c>
      <c r="B12491" s="5" t="s">
        <v>99</v>
      </c>
      <c r="C12491" s="5" t="s">
        <v>2513</v>
      </c>
      <c r="D12491" s="5" t="s">
        <v>14</v>
      </c>
      <c r="E12491" s="5" t="s">
        <v>16</v>
      </c>
      <c r="F12491" s="5" t="s">
        <v>19</v>
      </c>
      <c r="G12491" s="5" t="s">
        <v>199</v>
      </c>
      <c r="H12491" s="5" t="s">
        <v>2511</v>
      </c>
      <c r="I12491" s="5" t="s">
        <v>31</v>
      </c>
      <c r="J12491" s="5">
        <v>17.222567809183001</v>
      </c>
      <c r="K12491" s="5">
        <v>-97.272166714120999</v>
      </c>
      <c r="L12491" s="5" t="str">
        <f>HYPERLINK("https://maps.google.com/?q=17.2225678091828,-97.2721667141209", "🔗 Ver Mapa")</f>
        <v>🔗 Ver Mapa</v>
      </c>
    </row>
    <row r="12492" spans="1:12" ht="43.5" x14ac:dyDescent="0.35">
      <c r="A12492" s="6" t="s">
        <v>98</v>
      </c>
      <c r="B12492" s="6" t="s">
        <v>99</v>
      </c>
      <c r="C12492" s="6" t="s">
        <v>2513</v>
      </c>
      <c r="D12492" s="6" t="s">
        <v>14</v>
      </c>
      <c r="E12492" s="6" t="s">
        <v>16</v>
      </c>
      <c r="F12492" s="6" t="s">
        <v>19</v>
      </c>
      <c r="G12492" s="6" t="s">
        <v>199</v>
      </c>
      <c r="H12492" s="6" t="s">
        <v>2511</v>
      </c>
      <c r="I12492" s="6" t="s">
        <v>31</v>
      </c>
      <c r="J12492" s="6">
        <v>17.222591795568999</v>
      </c>
      <c r="K12492" s="6">
        <v>-97.272596806646007</v>
      </c>
      <c r="L12492" s="6" t="str">
        <f>HYPERLINK("https://maps.google.com/?q=17.2225917955692,-97.272596806645893", "🔗 Ver Mapa")</f>
        <v>🔗 Ver Mapa</v>
      </c>
    </row>
    <row r="12493" spans="1:12" ht="43.5" x14ac:dyDescent="0.35">
      <c r="A12493" s="5" t="s">
        <v>98</v>
      </c>
      <c r="B12493" s="5" t="s">
        <v>99</v>
      </c>
      <c r="C12493" s="5" t="s">
        <v>2513</v>
      </c>
      <c r="D12493" s="5" t="s">
        <v>14</v>
      </c>
      <c r="E12493" s="5" t="s">
        <v>16</v>
      </c>
      <c r="F12493" s="5" t="s">
        <v>19</v>
      </c>
      <c r="G12493" s="5" t="s">
        <v>199</v>
      </c>
      <c r="H12493" s="5" t="s">
        <v>2511</v>
      </c>
      <c r="I12493" s="5" t="s">
        <v>31</v>
      </c>
      <c r="J12493" s="5">
        <v>17.222617392581999</v>
      </c>
      <c r="K12493" s="5">
        <v>-97.272458567968002</v>
      </c>
      <c r="L12493" s="5" t="str">
        <f>HYPERLINK("https://maps.google.com/?q=17.2226173925819,-97.272458567968201", "🔗 Ver Mapa")</f>
        <v>🔗 Ver Mapa</v>
      </c>
    </row>
    <row r="12494" spans="1:12" ht="43.5" x14ac:dyDescent="0.35">
      <c r="A12494" s="6" t="s">
        <v>98</v>
      </c>
      <c r="B12494" s="6" t="s">
        <v>99</v>
      </c>
      <c r="C12494" s="6" t="s">
        <v>2513</v>
      </c>
      <c r="D12494" s="6" t="s">
        <v>14</v>
      </c>
      <c r="E12494" s="6" t="s">
        <v>16</v>
      </c>
      <c r="F12494" s="6" t="s">
        <v>19</v>
      </c>
      <c r="G12494" s="6" t="s">
        <v>199</v>
      </c>
      <c r="H12494" s="6" t="s">
        <v>2511</v>
      </c>
      <c r="I12494" s="6" t="s">
        <v>31</v>
      </c>
      <c r="J12494" s="6">
        <v>17.222649439285</v>
      </c>
      <c r="K12494" s="6">
        <v>-97.272324562433994</v>
      </c>
      <c r="L12494" s="6" t="str">
        <f>HYPERLINK("https://maps.google.com/?q=17.2226494392849,-97.272324562434306", "🔗 Ver Mapa")</f>
        <v>🔗 Ver Mapa</v>
      </c>
    </row>
    <row r="12495" spans="1:12" ht="43.5" x14ac:dyDescent="0.35">
      <c r="A12495" s="5" t="s">
        <v>98</v>
      </c>
      <c r="B12495" s="5" t="s">
        <v>99</v>
      </c>
      <c r="C12495" s="5" t="s">
        <v>2513</v>
      </c>
      <c r="D12495" s="5" t="s">
        <v>14</v>
      </c>
      <c r="E12495" s="5" t="s">
        <v>16</v>
      </c>
      <c r="F12495" s="5" t="s">
        <v>19</v>
      </c>
      <c r="G12495" s="5" t="s">
        <v>199</v>
      </c>
      <c r="H12495" s="5" t="s">
        <v>2511</v>
      </c>
      <c r="I12495" s="5" t="s">
        <v>31</v>
      </c>
      <c r="J12495" s="5">
        <v>17.222666662586999</v>
      </c>
      <c r="K12495" s="5">
        <v>-97.272190696801999</v>
      </c>
      <c r="L12495" s="5" t="str">
        <f>HYPERLINK("https://maps.google.com/?q=17.2226666625875,-97.272190696802397", "🔗 Ver Mapa")</f>
        <v>🔗 Ver Mapa</v>
      </c>
    </row>
    <row r="12496" spans="1:12" ht="43.5" x14ac:dyDescent="0.35">
      <c r="A12496" s="6" t="s">
        <v>98</v>
      </c>
      <c r="B12496" s="6" t="s">
        <v>99</v>
      </c>
      <c r="C12496" s="6" t="s">
        <v>2513</v>
      </c>
      <c r="D12496" s="6" t="s">
        <v>14</v>
      </c>
      <c r="E12496" s="6" t="s">
        <v>16</v>
      </c>
      <c r="F12496" s="6" t="s">
        <v>19</v>
      </c>
      <c r="G12496" s="6" t="s">
        <v>199</v>
      </c>
      <c r="H12496" s="6" t="s">
        <v>2511</v>
      </c>
      <c r="I12496" s="6" t="s">
        <v>31</v>
      </c>
      <c r="J12496" s="6">
        <v>17.222850384305001</v>
      </c>
      <c r="K12496" s="6">
        <v>-97.270901311217997</v>
      </c>
      <c r="L12496" s="6" t="str">
        <f>HYPERLINK("https://maps.google.com/?q=17.2228503843051,-97.270901311218196", "🔗 Ver Mapa")</f>
        <v>🔗 Ver Mapa</v>
      </c>
    </row>
    <row r="12497" spans="1:12" ht="43.5" x14ac:dyDescent="0.35">
      <c r="A12497" s="5" t="s">
        <v>98</v>
      </c>
      <c r="B12497" s="5" t="s">
        <v>99</v>
      </c>
      <c r="C12497" s="5" t="s">
        <v>2513</v>
      </c>
      <c r="D12497" s="5" t="s">
        <v>14</v>
      </c>
      <c r="E12497" s="5" t="s">
        <v>16</v>
      </c>
      <c r="F12497" s="5" t="s">
        <v>19</v>
      </c>
      <c r="G12497" s="5" t="s">
        <v>199</v>
      </c>
      <c r="H12497" s="5" t="s">
        <v>2511</v>
      </c>
      <c r="I12497" s="5" t="s">
        <v>31</v>
      </c>
      <c r="J12497" s="5">
        <v>17.223258942714999</v>
      </c>
      <c r="K12497" s="5">
        <v>-97.273003222501004</v>
      </c>
      <c r="L12497" s="5" t="str">
        <f>HYPERLINK("https://maps.google.com/?q=17.2232589427146,-97.273003222501401", "🔗 Ver Mapa")</f>
        <v>🔗 Ver Mapa</v>
      </c>
    </row>
    <row r="12498" spans="1:12" ht="43.5" x14ac:dyDescent="0.35">
      <c r="A12498" s="6" t="s">
        <v>98</v>
      </c>
      <c r="B12498" s="6" t="s">
        <v>99</v>
      </c>
      <c r="C12498" s="6" t="s">
        <v>2513</v>
      </c>
      <c r="D12498" s="6" t="s">
        <v>14</v>
      </c>
      <c r="E12498" s="6" t="s">
        <v>16</v>
      </c>
      <c r="F12498" s="6" t="s">
        <v>19</v>
      </c>
      <c r="G12498" s="6" t="s">
        <v>199</v>
      </c>
      <c r="H12498" s="6" t="s">
        <v>2511</v>
      </c>
      <c r="I12498" s="6" t="s">
        <v>31</v>
      </c>
      <c r="J12498" s="6">
        <v>17.223285624420999</v>
      </c>
      <c r="K12498" s="6">
        <v>-97.274191256031997</v>
      </c>
      <c r="L12498" s="6" t="str">
        <f>HYPERLINK("https://maps.google.com/?q=17.2232856244209,-97.274191256032395", "🔗 Ver Mapa")</f>
        <v>🔗 Ver Mapa</v>
      </c>
    </row>
    <row r="12499" spans="1:12" ht="43.5" x14ac:dyDescent="0.35">
      <c r="A12499" s="5" t="s">
        <v>98</v>
      </c>
      <c r="B12499" s="5" t="s">
        <v>99</v>
      </c>
      <c r="C12499" s="5" t="s">
        <v>2513</v>
      </c>
      <c r="D12499" s="5" t="s">
        <v>14</v>
      </c>
      <c r="E12499" s="5" t="s">
        <v>16</v>
      </c>
      <c r="F12499" s="5" t="s">
        <v>19</v>
      </c>
      <c r="G12499" s="5" t="s">
        <v>199</v>
      </c>
      <c r="H12499" s="5" t="s">
        <v>2511</v>
      </c>
      <c r="I12499" s="5" t="s">
        <v>31</v>
      </c>
      <c r="J12499" s="5">
        <v>17.223380415942</v>
      </c>
      <c r="K12499" s="5">
        <v>-97.274251605733994</v>
      </c>
      <c r="L12499" s="5" t="str">
        <f>HYPERLINK("https://maps.google.com/?q=17.2233804159423,-97.274251605733596", "🔗 Ver Mapa")</f>
        <v>🔗 Ver Mapa</v>
      </c>
    </row>
    <row r="12500" spans="1:12" ht="43.5" x14ac:dyDescent="0.35">
      <c r="A12500" s="6" t="s">
        <v>98</v>
      </c>
      <c r="B12500" s="6" t="s">
        <v>99</v>
      </c>
      <c r="C12500" s="6" t="s">
        <v>2513</v>
      </c>
      <c r="D12500" s="6" t="s">
        <v>14</v>
      </c>
      <c r="E12500" s="6" t="s">
        <v>16</v>
      </c>
      <c r="F12500" s="6" t="s">
        <v>19</v>
      </c>
      <c r="G12500" s="6" t="s">
        <v>199</v>
      </c>
      <c r="H12500" s="6" t="s">
        <v>2511</v>
      </c>
      <c r="I12500" s="6" t="s">
        <v>31</v>
      </c>
      <c r="J12500" s="6">
        <v>17.223389383385001</v>
      </c>
      <c r="K12500" s="6">
        <v>-97.274062507357002</v>
      </c>
      <c r="L12500" s="6" t="str">
        <f>HYPERLINK("https://maps.google.com/?q=17.2233893833846,-97.274062507357499", "🔗 Ver Mapa")</f>
        <v>🔗 Ver Mapa</v>
      </c>
    </row>
    <row r="12501" spans="1:12" ht="43.5" x14ac:dyDescent="0.35">
      <c r="A12501" s="5" t="s">
        <v>98</v>
      </c>
      <c r="B12501" s="5" t="s">
        <v>99</v>
      </c>
      <c r="C12501" s="5" t="s">
        <v>2513</v>
      </c>
      <c r="D12501" s="5" t="s">
        <v>14</v>
      </c>
      <c r="E12501" s="5" t="s">
        <v>16</v>
      </c>
      <c r="F12501" s="5" t="s">
        <v>19</v>
      </c>
      <c r="G12501" s="5" t="s">
        <v>199</v>
      </c>
      <c r="H12501" s="5" t="s">
        <v>2511</v>
      </c>
      <c r="I12501" s="5" t="s">
        <v>31</v>
      </c>
      <c r="J12501" s="5">
        <v>17.223429504287999</v>
      </c>
      <c r="K12501" s="5">
        <v>-97.272797769923002</v>
      </c>
      <c r="L12501" s="5" t="str">
        <f>HYPERLINK("https://maps.google.com/?q=17.2234295042881,-97.272797769923201", "🔗 Ver Mapa")</f>
        <v>🔗 Ver Mapa</v>
      </c>
    </row>
    <row r="12502" spans="1:12" ht="43.5" x14ac:dyDescent="0.35">
      <c r="A12502" s="6" t="s">
        <v>98</v>
      </c>
      <c r="B12502" s="6" t="s">
        <v>99</v>
      </c>
      <c r="C12502" s="6" t="s">
        <v>2513</v>
      </c>
      <c r="D12502" s="6" t="s">
        <v>14</v>
      </c>
      <c r="E12502" s="6" t="s">
        <v>16</v>
      </c>
      <c r="F12502" s="6" t="s">
        <v>19</v>
      </c>
      <c r="G12502" s="6" t="s">
        <v>199</v>
      </c>
      <c r="H12502" s="6" t="s">
        <v>2511</v>
      </c>
      <c r="I12502" s="6" t="s">
        <v>31</v>
      </c>
      <c r="J12502" s="6">
        <v>17.223443255978999</v>
      </c>
      <c r="K12502" s="6">
        <v>-97.272602925965003</v>
      </c>
      <c r="L12502" s="6" t="str">
        <f>HYPERLINK("https://maps.google.com/?q=17.223443255979,-97.272602925964506", "🔗 Ver Mapa")</f>
        <v>🔗 Ver Mapa</v>
      </c>
    </row>
    <row r="12503" spans="1:12" ht="43.5" x14ac:dyDescent="0.35">
      <c r="A12503" s="5" t="s">
        <v>98</v>
      </c>
      <c r="B12503" s="5" t="s">
        <v>99</v>
      </c>
      <c r="C12503" s="5" t="s">
        <v>2513</v>
      </c>
      <c r="D12503" s="5" t="s">
        <v>14</v>
      </c>
      <c r="E12503" s="5" t="s">
        <v>16</v>
      </c>
      <c r="F12503" s="5" t="s">
        <v>19</v>
      </c>
      <c r="G12503" s="5" t="s">
        <v>199</v>
      </c>
      <c r="H12503" s="5" t="s">
        <v>2511</v>
      </c>
      <c r="I12503" s="5" t="s">
        <v>31</v>
      </c>
      <c r="J12503" s="5">
        <v>17.223475847898001</v>
      </c>
      <c r="K12503" s="5">
        <v>-97.274149681791002</v>
      </c>
      <c r="L12503" s="5" t="str">
        <f>HYPERLINK("https://maps.google.com/?q=17.2234758478982,-97.274149681791101", "🔗 Ver Mapa")</f>
        <v>🔗 Ver Mapa</v>
      </c>
    </row>
    <row r="12504" spans="1:12" ht="43.5" x14ac:dyDescent="0.35">
      <c r="A12504" s="6" t="s">
        <v>98</v>
      </c>
      <c r="B12504" s="6" t="s">
        <v>99</v>
      </c>
      <c r="C12504" s="6" t="s">
        <v>2513</v>
      </c>
      <c r="D12504" s="6" t="s">
        <v>14</v>
      </c>
      <c r="E12504" s="6" t="s">
        <v>16</v>
      </c>
      <c r="F12504" s="6" t="s">
        <v>19</v>
      </c>
      <c r="G12504" s="6" t="s">
        <v>199</v>
      </c>
      <c r="H12504" s="6" t="s">
        <v>2511</v>
      </c>
      <c r="I12504" s="6" t="s">
        <v>31</v>
      </c>
      <c r="J12504" s="6">
        <v>17.223728197932999</v>
      </c>
      <c r="K12504" s="6">
        <v>-97.274388398392006</v>
      </c>
      <c r="L12504" s="6" t="str">
        <f>HYPERLINK("https://maps.google.com/?q=17.2237281979331,-97.274388398391693", "🔗 Ver Mapa")</f>
        <v>🔗 Ver Mapa</v>
      </c>
    </row>
    <row r="12505" spans="1:12" ht="43.5" x14ac:dyDescent="0.35">
      <c r="A12505" s="5" t="s">
        <v>98</v>
      </c>
      <c r="B12505" s="5" t="s">
        <v>99</v>
      </c>
      <c r="C12505" s="5" t="s">
        <v>2513</v>
      </c>
      <c r="D12505" s="5" t="s">
        <v>14</v>
      </c>
      <c r="E12505" s="5" t="s">
        <v>16</v>
      </c>
      <c r="F12505" s="5" t="s">
        <v>19</v>
      </c>
      <c r="G12505" s="5" t="s">
        <v>199</v>
      </c>
      <c r="H12505" s="5" t="s">
        <v>2511</v>
      </c>
      <c r="I12505" s="5" t="s">
        <v>31</v>
      </c>
      <c r="J12505" s="5">
        <v>17.224524298035998</v>
      </c>
      <c r="K12505" s="5">
        <v>-97.270941194629998</v>
      </c>
      <c r="L12505" s="5" t="str">
        <f>HYPERLINK("https://maps.google.com/?q=17.2245242980356,-97.270941194630097", "🔗 Ver Mapa")</f>
        <v>🔗 Ver Mapa</v>
      </c>
    </row>
    <row r="12506" spans="1:12" ht="43.5" x14ac:dyDescent="0.35">
      <c r="A12506" s="6" t="s">
        <v>98</v>
      </c>
      <c r="B12506" s="6" t="s">
        <v>99</v>
      </c>
      <c r="C12506" s="6" t="s">
        <v>2513</v>
      </c>
      <c r="D12506" s="6" t="s">
        <v>14</v>
      </c>
      <c r="E12506" s="6" t="s">
        <v>16</v>
      </c>
      <c r="F12506" s="6" t="s">
        <v>19</v>
      </c>
      <c r="G12506" s="6" t="s">
        <v>199</v>
      </c>
      <c r="H12506" s="6" t="s">
        <v>2511</v>
      </c>
      <c r="I12506" s="6" t="s">
        <v>31</v>
      </c>
      <c r="J12506" s="6">
        <v>17.224642689248999</v>
      </c>
      <c r="K12506" s="6">
        <v>-97.273990180680002</v>
      </c>
      <c r="L12506" s="6" t="str">
        <f>HYPERLINK("https://maps.google.com/?q=17.2246426892486,-97.273990180679803", "🔗 Ver Mapa")</f>
        <v>🔗 Ver Mapa</v>
      </c>
    </row>
    <row r="12507" spans="1:12" ht="43.5" x14ac:dyDescent="0.35">
      <c r="A12507" s="5" t="s">
        <v>98</v>
      </c>
      <c r="B12507" s="5" t="s">
        <v>99</v>
      </c>
      <c r="C12507" s="5" t="s">
        <v>2513</v>
      </c>
      <c r="D12507" s="5" t="s">
        <v>14</v>
      </c>
      <c r="E12507" s="5" t="s">
        <v>16</v>
      </c>
      <c r="F12507" s="5" t="s">
        <v>19</v>
      </c>
      <c r="G12507" s="5" t="s">
        <v>199</v>
      </c>
      <c r="H12507" s="5" t="s">
        <v>2511</v>
      </c>
      <c r="I12507" s="5" t="s">
        <v>31</v>
      </c>
      <c r="J12507" s="5">
        <v>17.224789638097999</v>
      </c>
      <c r="K12507" s="5">
        <v>-97.274033577297999</v>
      </c>
      <c r="L12507" s="5" t="str">
        <f>HYPERLINK("https://maps.google.com/?q=17.2247896380975,-97.274033577298198", "🔗 Ver Mapa")</f>
        <v>🔗 Ver Mapa</v>
      </c>
    </row>
    <row r="12508" spans="1:12" ht="43.5" x14ac:dyDescent="0.35">
      <c r="A12508" s="6" t="s">
        <v>98</v>
      </c>
      <c r="B12508" s="6" t="s">
        <v>99</v>
      </c>
      <c r="C12508" s="6" t="s">
        <v>2513</v>
      </c>
      <c r="D12508" s="6" t="s">
        <v>14</v>
      </c>
      <c r="E12508" s="6" t="s">
        <v>16</v>
      </c>
      <c r="F12508" s="6" t="s">
        <v>19</v>
      </c>
      <c r="G12508" s="6" t="s">
        <v>199</v>
      </c>
      <c r="H12508" s="6" t="s">
        <v>2511</v>
      </c>
      <c r="I12508" s="6" t="s">
        <v>31</v>
      </c>
      <c r="J12508" s="6">
        <v>17.225011854043</v>
      </c>
      <c r="K12508" s="6">
        <v>-97.273934180680001</v>
      </c>
      <c r="L12508" s="6" t="str">
        <f>HYPERLINK("https://maps.google.com/?q=17.2250118540427,-97.273934180679703", "🔗 Ver Mapa")</f>
        <v>🔗 Ver Mapa</v>
      </c>
    </row>
    <row r="12509" spans="1:12" ht="43.5" x14ac:dyDescent="0.35">
      <c r="A12509" s="5" t="s">
        <v>98</v>
      </c>
      <c r="B12509" s="5" t="s">
        <v>99</v>
      </c>
      <c r="C12509" s="5" t="s">
        <v>2513</v>
      </c>
      <c r="D12509" s="5" t="s">
        <v>14</v>
      </c>
      <c r="E12509" s="5" t="s">
        <v>16</v>
      </c>
      <c r="F12509" s="5" t="s">
        <v>19</v>
      </c>
      <c r="G12509" s="5" t="s">
        <v>199</v>
      </c>
      <c r="H12509" s="5" t="s">
        <v>2511</v>
      </c>
      <c r="I12509" s="5" t="s">
        <v>31</v>
      </c>
      <c r="J12509" s="5">
        <v>17.225049830078</v>
      </c>
      <c r="K12509" s="5">
        <v>-97.274261045223</v>
      </c>
      <c r="L12509" s="5" t="str">
        <f>HYPERLINK("https://maps.google.com/?q=17.2250498300782,-97.274261045223298", "🔗 Ver Mapa")</f>
        <v>🔗 Ver Mapa</v>
      </c>
    </row>
    <row r="12510" spans="1:12" ht="43.5" x14ac:dyDescent="0.35">
      <c r="A12510" s="6" t="s">
        <v>98</v>
      </c>
      <c r="B12510" s="6" t="s">
        <v>99</v>
      </c>
      <c r="C12510" s="6" t="s">
        <v>2513</v>
      </c>
      <c r="D12510" s="6" t="s">
        <v>14</v>
      </c>
      <c r="E12510" s="6" t="s">
        <v>16</v>
      </c>
      <c r="F12510" s="6" t="s">
        <v>19</v>
      </c>
      <c r="G12510" s="6" t="s">
        <v>199</v>
      </c>
      <c r="H12510" s="6" t="s">
        <v>2511</v>
      </c>
      <c r="I12510" s="6" t="s">
        <v>31</v>
      </c>
      <c r="J12510" s="6">
        <v>17.225164721752002</v>
      </c>
      <c r="K12510" s="6">
        <v>-97.274053522073004</v>
      </c>
      <c r="L12510" s="6" t="str">
        <f>HYPERLINK("https://maps.google.com/?q=17.2251647217516,-97.274053522072705", "🔗 Ver Mapa")</f>
        <v>🔗 Ver Mapa</v>
      </c>
    </row>
    <row r="12511" spans="1:12" ht="43.5" x14ac:dyDescent="0.35">
      <c r="A12511" s="5" t="s">
        <v>98</v>
      </c>
      <c r="B12511" s="5" t="s">
        <v>99</v>
      </c>
      <c r="C12511" s="5" t="s">
        <v>2513</v>
      </c>
      <c r="D12511" s="5" t="s">
        <v>14</v>
      </c>
      <c r="E12511" s="5" t="s">
        <v>16</v>
      </c>
      <c r="F12511" s="5" t="s">
        <v>19</v>
      </c>
      <c r="G12511" s="5" t="s">
        <v>199</v>
      </c>
      <c r="H12511" s="5" t="s">
        <v>2511</v>
      </c>
      <c r="I12511" s="5" t="s">
        <v>31</v>
      </c>
      <c r="J12511" s="5">
        <v>17.225470719413</v>
      </c>
      <c r="K12511" s="5">
        <v>-97.273801166252994</v>
      </c>
      <c r="L12511" s="5" t="str">
        <f>HYPERLINK("https://maps.google.com/?q=17.2254707194126,-97.273801166252994", "🔗 Ver Mapa")</f>
        <v>🔗 Ver Mapa</v>
      </c>
    </row>
    <row r="12512" spans="1:12" ht="43.5" x14ac:dyDescent="0.35">
      <c r="A12512" s="6" t="s">
        <v>98</v>
      </c>
      <c r="B12512" s="6" t="s">
        <v>99</v>
      </c>
      <c r="C12512" s="6" t="s">
        <v>2513</v>
      </c>
      <c r="D12512" s="6" t="s">
        <v>14</v>
      </c>
      <c r="E12512" s="6" t="s">
        <v>16</v>
      </c>
      <c r="F12512" s="6" t="s">
        <v>19</v>
      </c>
      <c r="G12512" s="6" t="s">
        <v>199</v>
      </c>
      <c r="H12512" s="6" t="s">
        <v>2511</v>
      </c>
      <c r="I12512" s="6" t="s">
        <v>31</v>
      </c>
      <c r="J12512" s="6">
        <v>17.225483426576002</v>
      </c>
      <c r="K12512" s="6">
        <v>-97.274193993241994</v>
      </c>
      <c r="L12512" s="6" t="str">
        <f>HYPERLINK("https://maps.google.com/?q=17.2254834265763,-97.274193993242093", "🔗 Ver Mapa")</f>
        <v>🔗 Ver Mapa</v>
      </c>
    </row>
    <row r="12513" spans="1:12" ht="43.5" x14ac:dyDescent="0.35">
      <c r="A12513" s="5" t="s">
        <v>98</v>
      </c>
      <c r="B12513" s="5" t="s">
        <v>99</v>
      </c>
      <c r="C12513" s="5" t="s">
        <v>2513</v>
      </c>
      <c r="D12513" s="5" t="s">
        <v>14</v>
      </c>
      <c r="E12513" s="5" t="s">
        <v>16</v>
      </c>
      <c r="F12513" s="5" t="s">
        <v>19</v>
      </c>
      <c r="G12513" s="5" t="s">
        <v>199</v>
      </c>
      <c r="H12513" s="5" t="s">
        <v>2511</v>
      </c>
      <c r="I12513" s="5" t="s">
        <v>31</v>
      </c>
      <c r="J12513" s="5">
        <v>17.225500770684999</v>
      </c>
      <c r="K12513" s="5">
        <v>-97.271901452131999</v>
      </c>
      <c r="L12513" s="5" t="str">
        <f>HYPERLINK("https://maps.google.com/?q=17.2255007706853,-97.271901452132298", "🔗 Ver Mapa")</f>
        <v>🔗 Ver Mapa</v>
      </c>
    </row>
    <row r="12514" spans="1:12" ht="43.5" x14ac:dyDescent="0.35">
      <c r="A12514" s="6" t="s">
        <v>98</v>
      </c>
      <c r="B12514" s="6" t="s">
        <v>99</v>
      </c>
      <c r="C12514" s="6" t="s">
        <v>2513</v>
      </c>
      <c r="D12514" s="6" t="s">
        <v>14</v>
      </c>
      <c r="E12514" s="6" t="s">
        <v>16</v>
      </c>
      <c r="F12514" s="6" t="s">
        <v>19</v>
      </c>
      <c r="G12514" s="6" t="s">
        <v>199</v>
      </c>
      <c r="H12514" s="6" t="s">
        <v>2511</v>
      </c>
      <c r="I12514" s="6" t="s">
        <v>31</v>
      </c>
      <c r="J12514" s="6">
        <v>17.225569780196</v>
      </c>
      <c r="K12514" s="6">
        <v>-97.272539242022006</v>
      </c>
      <c r="L12514" s="6" t="str">
        <f>HYPERLINK("https://maps.google.com/?q=17.2255697801961,-97.272539242021907", "🔗 Ver Mapa")</f>
        <v>🔗 Ver Mapa</v>
      </c>
    </row>
    <row r="12515" spans="1:12" ht="43.5" x14ac:dyDescent="0.35">
      <c r="A12515" s="5" t="s">
        <v>98</v>
      </c>
      <c r="B12515" s="5" t="s">
        <v>99</v>
      </c>
      <c r="C12515" s="5" t="s">
        <v>2513</v>
      </c>
      <c r="D12515" s="5" t="s">
        <v>14</v>
      </c>
      <c r="E12515" s="5" t="s">
        <v>16</v>
      </c>
      <c r="F12515" s="5" t="s">
        <v>19</v>
      </c>
      <c r="G12515" s="5" t="s">
        <v>199</v>
      </c>
      <c r="H12515" s="5" t="s">
        <v>2511</v>
      </c>
      <c r="I12515" s="5" t="s">
        <v>31</v>
      </c>
      <c r="J12515" s="5">
        <v>17.225598319317999</v>
      </c>
      <c r="K12515" s="5">
        <v>-97.273443288360994</v>
      </c>
      <c r="L12515" s="5" t="str">
        <f>HYPERLINK("https://maps.google.com/?q=17.2255983193183,-97.273443288360596", "🔗 Ver Mapa")</f>
        <v>🔗 Ver Mapa</v>
      </c>
    </row>
    <row r="12516" spans="1:12" ht="43.5" x14ac:dyDescent="0.35">
      <c r="A12516" s="6" t="s">
        <v>98</v>
      </c>
      <c r="B12516" s="6" t="s">
        <v>99</v>
      </c>
      <c r="C12516" s="6" t="s">
        <v>2513</v>
      </c>
      <c r="D12516" s="6" t="s">
        <v>14</v>
      </c>
      <c r="E12516" s="6" t="s">
        <v>16</v>
      </c>
      <c r="F12516" s="6" t="s">
        <v>19</v>
      </c>
      <c r="G12516" s="6" t="s">
        <v>199</v>
      </c>
      <c r="H12516" s="6" t="s">
        <v>2511</v>
      </c>
      <c r="I12516" s="6" t="s">
        <v>31</v>
      </c>
      <c r="J12516" s="6">
        <v>17.225614730198</v>
      </c>
      <c r="K12516" s="6">
        <v>-97.273884194855</v>
      </c>
      <c r="L12516" s="6" t="str">
        <f>HYPERLINK("https://maps.google.com/?q=17.225614730198,-97.273884194855199", "🔗 Ver Mapa")</f>
        <v>🔗 Ver Mapa</v>
      </c>
    </row>
    <row r="12517" spans="1:12" ht="43.5" x14ac:dyDescent="0.35">
      <c r="A12517" s="5" t="s">
        <v>98</v>
      </c>
      <c r="B12517" s="5" t="s">
        <v>99</v>
      </c>
      <c r="C12517" s="5" t="s">
        <v>2513</v>
      </c>
      <c r="D12517" s="5" t="s">
        <v>14</v>
      </c>
      <c r="E12517" s="5" t="s">
        <v>16</v>
      </c>
      <c r="F12517" s="5" t="s">
        <v>19</v>
      </c>
      <c r="G12517" s="5" t="s">
        <v>199</v>
      </c>
      <c r="H12517" s="5" t="s">
        <v>2511</v>
      </c>
      <c r="I12517" s="5" t="s">
        <v>31</v>
      </c>
      <c r="J12517" s="5">
        <v>17.225682381434002</v>
      </c>
      <c r="K12517" s="5">
        <v>-97.274195475157001</v>
      </c>
      <c r="L12517" s="5" t="str">
        <f>HYPERLINK("https://maps.google.com/?q=17.2256823814345,-97.2741954751572", "🔗 Ver Mapa")</f>
        <v>🔗 Ver Mapa</v>
      </c>
    </row>
    <row r="12518" spans="1:12" ht="43.5" x14ac:dyDescent="0.35">
      <c r="A12518" s="6" t="s">
        <v>98</v>
      </c>
      <c r="B12518" s="6" t="s">
        <v>99</v>
      </c>
      <c r="C12518" s="6" t="s">
        <v>2513</v>
      </c>
      <c r="D12518" s="6" t="s">
        <v>14</v>
      </c>
      <c r="E12518" s="6" t="s">
        <v>16</v>
      </c>
      <c r="F12518" s="6" t="s">
        <v>19</v>
      </c>
      <c r="G12518" s="6" t="s">
        <v>199</v>
      </c>
      <c r="H12518" s="6" t="s">
        <v>2511</v>
      </c>
      <c r="I12518" s="6" t="s">
        <v>31</v>
      </c>
      <c r="J12518" s="6">
        <v>17.22583835435</v>
      </c>
      <c r="K12518" s="6">
        <v>-97.273742078197998</v>
      </c>
      <c r="L12518" s="6" t="str">
        <f>HYPERLINK("https://maps.google.com/?q=17.2258383543496,-97.273742078197699", "🔗 Ver Mapa")</f>
        <v>🔗 Ver Mapa</v>
      </c>
    </row>
    <row r="12519" spans="1:12" ht="43.5" x14ac:dyDescent="0.35">
      <c r="A12519" s="5" t="s">
        <v>98</v>
      </c>
      <c r="B12519" s="5" t="s">
        <v>99</v>
      </c>
      <c r="C12519" s="5" t="s">
        <v>2513</v>
      </c>
      <c r="D12519" s="5" t="s">
        <v>14</v>
      </c>
      <c r="E12519" s="5" t="s">
        <v>16</v>
      </c>
      <c r="F12519" s="5" t="s">
        <v>19</v>
      </c>
      <c r="G12519" s="5" t="s">
        <v>199</v>
      </c>
      <c r="H12519" s="5" t="s">
        <v>2511</v>
      </c>
      <c r="I12519" s="5" t="s">
        <v>31</v>
      </c>
      <c r="J12519" s="5">
        <v>17.225838896433</v>
      </c>
      <c r="K12519" s="5">
        <v>-97.273989471557002</v>
      </c>
      <c r="L12519" s="5" t="str">
        <f>HYPERLINK("https://maps.google.com/?q=17.2258388964334,-97.2739894715573", "🔗 Ver Mapa")</f>
        <v>🔗 Ver Mapa</v>
      </c>
    </row>
    <row r="12520" spans="1:12" ht="43.5" x14ac:dyDescent="0.35">
      <c r="A12520" s="6" t="s">
        <v>98</v>
      </c>
      <c r="B12520" s="6" t="s">
        <v>99</v>
      </c>
      <c r="C12520" s="6" t="s">
        <v>2513</v>
      </c>
      <c r="D12520" s="6" t="s">
        <v>14</v>
      </c>
      <c r="E12520" s="6" t="s">
        <v>16</v>
      </c>
      <c r="F12520" s="6" t="s">
        <v>19</v>
      </c>
      <c r="G12520" s="6" t="s">
        <v>199</v>
      </c>
      <c r="H12520" s="6" t="s">
        <v>2511</v>
      </c>
      <c r="I12520" s="6" t="s">
        <v>31</v>
      </c>
      <c r="J12520" s="6">
        <v>17.225996612016001</v>
      </c>
      <c r="K12520" s="6">
        <v>-97.273622512897006</v>
      </c>
      <c r="L12520" s="6" t="str">
        <f>HYPERLINK("https://maps.google.com/?q=17.2259966120161,-97.273622512897404", "🔗 Ver Mapa")</f>
        <v>🔗 Ver Mapa</v>
      </c>
    </row>
    <row r="12521" spans="1:12" ht="43.5" x14ac:dyDescent="0.35">
      <c r="A12521" s="5" t="s">
        <v>98</v>
      </c>
      <c r="B12521" s="5" t="s">
        <v>99</v>
      </c>
      <c r="C12521" s="5" t="s">
        <v>2513</v>
      </c>
      <c r="D12521" s="5" t="s">
        <v>14</v>
      </c>
      <c r="E12521" s="5" t="s">
        <v>16</v>
      </c>
      <c r="F12521" s="5" t="s">
        <v>19</v>
      </c>
      <c r="G12521" s="5" t="s">
        <v>199</v>
      </c>
      <c r="H12521" s="5" t="s">
        <v>2511</v>
      </c>
      <c r="I12521" s="5" t="s">
        <v>31</v>
      </c>
      <c r="J12521" s="5">
        <v>17.226071281496001</v>
      </c>
      <c r="K12521" s="5">
        <v>-97.274147378845001</v>
      </c>
      <c r="L12521" s="5" t="str">
        <f>HYPERLINK("https://maps.google.com/?q=17.2260712814964,-97.274147378844603", "🔗 Ver Mapa")</f>
        <v>🔗 Ver Mapa</v>
      </c>
    </row>
    <row r="12522" spans="1:12" ht="43.5" x14ac:dyDescent="0.35">
      <c r="A12522" s="6" t="s">
        <v>98</v>
      </c>
      <c r="B12522" s="6" t="s">
        <v>99</v>
      </c>
      <c r="C12522" s="6" t="s">
        <v>2513</v>
      </c>
      <c r="D12522" s="6" t="s">
        <v>14</v>
      </c>
      <c r="E12522" s="6" t="s">
        <v>16</v>
      </c>
      <c r="F12522" s="6" t="s">
        <v>19</v>
      </c>
      <c r="G12522" s="6" t="s">
        <v>199</v>
      </c>
      <c r="H12522" s="6" t="s">
        <v>2511</v>
      </c>
      <c r="I12522" s="6" t="s">
        <v>31</v>
      </c>
      <c r="J12522" s="6">
        <v>17.226335904031998</v>
      </c>
      <c r="K12522" s="6">
        <v>-97.273890229822001</v>
      </c>
      <c r="L12522" s="6" t="str">
        <f>HYPERLINK("https://maps.google.com/?q=17.2263359040317,-97.2738902298222", "🔗 Ver Mapa")</f>
        <v>🔗 Ver Mapa</v>
      </c>
    </row>
    <row r="12523" spans="1:12" ht="43.5" x14ac:dyDescent="0.35">
      <c r="A12523" s="5" t="s">
        <v>98</v>
      </c>
      <c r="B12523" s="5" t="s">
        <v>99</v>
      </c>
      <c r="C12523" s="5" t="s">
        <v>2513</v>
      </c>
      <c r="D12523" s="5" t="s">
        <v>14</v>
      </c>
      <c r="E12523" s="5" t="s">
        <v>16</v>
      </c>
      <c r="F12523" s="5" t="s">
        <v>19</v>
      </c>
      <c r="G12523" s="5" t="s">
        <v>199</v>
      </c>
      <c r="H12523" s="5" t="s">
        <v>2511</v>
      </c>
      <c r="I12523" s="5" t="s">
        <v>31</v>
      </c>
      <c r="J12523" s="5">
        <v>17.226390481414999</v>
      </c>
      <c r="K12523" s="5">
        <v>-97.273280286227006</v>
      </c>
      <c r="L12523" s="5" t="str">
        <f>HYPERLINK("https://maps.google.com/?q=17.226390481415,-97.273280286226907", "🔗 Ver Mapa")</f>
        <v>🔗 Ver Mapa</v>
      </c>
    </row>
    <row r="12524" spans="1:12" ht="43.5" x14ac:dyDescent="0.35">
      <c r="A12524" s="6" t="s">
        <v>98</v>
      </c>
      <c r="B12524" s="6" t="s">
        <v>99</v>
      </c>
      <c r="C12524" s="6" t="s">
        <v>2513</v>
      </c>
      <c r="D12524" s="6" t="s">
        <v>14</v>
      </c>
      <c r="E12524" s="6" t="s">
        <v>16</v>
      </c>
      <c r="F12524" s="6" t="s">
        <v>19</v>
      </c>
      <c r="G12524" s="6" t="s">
        <v>199</v>
      </c>
      <c r="H12524" s="6" t="s">
        <v>2511</v>
      </c>
      <c r="I12524" s="6" t="s">
        <v>31</v>
      </c>
      <c r="J12524" s="6">
        <v>17.226488473705999</v>
      </c>
      <c r="K12524" s="6">
        <v>-97.272944339548005</v>
      </c>
      <c r="L12524" s="6" t="str">
        <f>HYPERLINK("https://maps.google.com/?q=17.2264884737058,-97.272944339547905", "🔗 Ver Mapa")</f>
        <v>🔗 Ver Mapa</v>
      </c>
    </row>
    <row r="12525" spans="1:12" ht="43.5" x14ac:dyDescent="0.35">
      <c r="A12525" s="5" t="s">
        <v>98</v>
      </c>
      <c r="B12525" s="5" t="s">
        <v>99</v>
      </c>
      <c r="C12525" s="5" t="s">
        <v>2513</v>
      </c>
      <c r="D12525" s="5" t="s">
        <v>14</v>
      </c>
      <c r="E12525" s="5" t="s">
        <v>16</v>
      </c>
      <c r="F12525" s="5" t="s">
        <v>19</v>
      </c>
      <c r="G12525" s="5" t="s">
        <v>199</v>
      </c>
      <c r="H12525" s="5" t="s">
        <v>2511</v>
      </c>
      <c r="I12525" s="5" t="s">
        <v>31</v>
      </c>
      <c r="J12525" s="5">
        <v>17.226512946366999</v>
      </c>
      <c r="K12525" s="5">
        <v>-97.273251938871994</v>
      </c>
      <c r="L12525" s="5" t="str">
        <f>HYPERLINK("https://maps.google.com/?q=17.2265129463668,-97.273251938871795", "🔗 Ver Mapa")</f>
        <v>🔗 Ver Mapa</v>
      </c>
    </row>
    <row r="12526" spans="1:12" ht="43.5" x14ac:dyDescent="0.35">
      <c r="A12526" s="6" t="s">
        <v>98</v>
      </c>
      <c r="B12526" s="6" t="s">
        <v>99</v>
      </c>
      <c r="C12526" s="6" t="s">
        <v>2513</v>
      </c>
      <c r="D12526" s="6" t="s">
        <v>14</v>
      </c>
      <c r="E12526" s="6" t="s">
        <v>16</v>
      </c>
      <c r="F12526" s="6" t="s">
        <v>19</v>
      </c>
      <c r="G12526" s="6" t="s">
        <v>199</v>
      </c>
      <c r="H12526" s="6" t="s">
        <v>2511</v>
      </c>
      <c r="I12526" s="6" t="s">
        <v>31</v>
      </c>
      <c r="J12526" s="6">
        <v>17.226546358343999</v>
      </c>
      <c r="K12526" s="6">
        <v>-97.273442557183003</v>
      </c>
      <c r="L12526" s="6" t="str">
        <f>HYPERLINK("https://maps.google.com/?q=17.2265463583441,-97.273442557183003", "🔗 Ver Mapa")</f>
        <v>🔗 Ver Mapa</v>
      </c>
    </row>
    <row r="12527" spans="1:12" ht="43.5" x14ac:dyDescent="0.35">
      <c r="A12527" s="5" t="s">
        <v>98</v>
      </c>
      <c r="B12527" s="5" t="s">
        <v>99</v>
      </c>
      <c r="C12527" s="5" t="s">
        <v>2513</v>
      </c>
      <c r="D12527" s="5" t="s">
        <v>14</v>
      </c>
      <c r="E12527" s="5" t="s">
        <v>16</v>
      </c>
      <c r="F12527" s="5" t="s">
        <v>19</v>
      </c>
      <c r="G12527" s="5" t="s">
        <v>199</v>
      </c>
      <c r="H12527" s="5" t="s">
        <v>2511</v>
      </c>
      <c r="I12527" s="5" t="s">
        <v>31</v>
      </c>
      <c r="J12527" s="5">
        <v>17.226578459462001</v>
      </c>
      <c r="K12527" s="5">
        <v>-97.272802346933005</v>
      </c>
      <c r="L12527" s="5" t="str">
        <f>HYPERLINK("https://maps.google.com/?q=17.2265784594619,-97.272802346932906", "🔗 Ver Mapa")</f>
        <v>🔗 Ver Mapa</v>
      </c>
    </row>
    <row r="12528" spans="1:12" ht="43.5" x14ac:dyDescent="0.35">
      <c r="A12528" s="6" t="s">
        <v>98</v>
      </c>
      <c r="B12528" s="6" t="s">
        <v>99</v>
      </c>
      <c r="C12528" s="6" t="s">
        <v>2513</v>
      </c>
      <c r="D12528" s="6" t="s">
        <v>14</v>
      </c>
      <c r="E12528" s="6" t="s">
        <v>16</v>
      </c>
      <c r="F12528" s="6" t="s">
        <v>19</v>
      </c>
      <c r="G12528" s="6" t="s">
        <v>199</v>
      </c>
      <c r="H12528" s="6" t="s">
        <v>2511</v>
      </c>
      <c r="I12528" s="6" t="s">
        <v>31</v>
      </c>
      <c r="J12528" s="6">
        <v>17.226593448635999</v>
      </c>
      <c r="K12528" s="6">
        <v>-97.272900580067997</v>
      </c>
      <c r="L12528" s="6" t="str">
        <f>HYPERLINK("https://maps.google.com/?q=17.226593448636,-97.272900580068097", "🔗 Ver Mapa")</f>
        <v>🔗 Ver Mapa</v>
      </c>
    </row>
    <row r="12529" spans="1:12" ht="43.5" x14ac:dyDescent="0.35">
      <c r="A12529" s="5" t="s">
        <v>98</v>
      </c>
      <c r="B12529" s="5" t="s">
        <v>99</v>
      </c>
      <c r="C12529" s="5" t="s">
        <v>2513</v>
      </c>
      <c r="D12529" s="5" t="s">
        <v>14</v>
      </c>
      <c r="E12529" s="5" t="s">
        <v>16</v>
      </c>
      <c r="F12529" s="5" t="s">
        <v>19</v>
      </c>
      <c r="G12529" s="5" t="s">
        <v>199</v>
      </c>
      <c r="H12529" s="5" t="s">
        <v>2511</v>
      </c>
      <c r="I12529" s="5" t="s">
        <v>31</v>
      </c>
      <c r="J12529" s="5">
        <v>17.226631761901999</v>
      </c>
      <c r="K12529" s="5">
        <v>-97.273895916838001</v>
      </c>
      <c r="L12529" s="5" t="str">
        <f>HYPERLINK("https://maps.google.com/?q=17.2266317619016,-97.273895916837702", "🔗 Ver Mapa")</f>
        <v>🔗 Ver Mapa</v>
      </c>
    </row>
    <row r="12530" spans="1:12" ht="43.5" x14ac:dyDescent="0.35">
      <c r="A12530" s="6" t="s">
        <v>98</v>
      </c>
      <c r="B12530" s="6" t="s">
        <v>99</v>
      </c>
      <c r="C12530" s="6" t="s">
        <v>2513</v>
      </c>
      <c r="D12530" s="6" t="s">
        <v>14</v>
      </c>
      <c r="E12530" s="6" t="s">
        <v>16</v>
      </c>
      <c r="F12530" s="6" t="s">
        <v>19</v>
      </c>
      <c r="G12530" s="6" t="s">
        <v>199</v>
      </c>
      <c r="H12530" s="6" t="s">
        <v>2511</v>
      </c>
      <c r="I12530" s="6" t="s">
        <v>31</v>
      </c>
      <c r="J12530" s="6">
        <v>17.226702526051</v>
      </c>
      <c r="K12530" s="6">
        <v>-97.273220422915998</v>
      </c>
      <c r="L12530" s="6" t="str">
        <f>HYPERLINK("https://maps.google.com/?q=17.2267025260509,-97.273220422915799", "🔗 Ver Mapa")</f>
        <v>🔗 Ver Mapa</v>
      </c>
    </row>
    <row r="12531" spans="1:12" ht="43.5" x14ac:dyDescent="0.35">
      <c r="A12531" s="5" t="s">
        <v>98</v>
      </c>
      <c r="B12531" s="5" t="s">
        <v>99</v>
      </c>
      <c r="C12531" s="5" t="s">
        <v>2514</v>
      </c>
      <c r="D12531" s="5" t="s">
        <v>14</v>
      </c>
      <c r="E12531" s="5" t="s">
        <v>39</v>
      </c>
      <c r="F12531" s="5" t="s">
        <v>40</v>
      </c>
      <c r="G12531" s="5" t="s">
        <v>184</v>
      </c>
      <c r="H12531" s="5" t="s">
        <v>2515</v>
      </c>
      <c r="I12531" s="5" t="s">
        <v>31</v>
      </c>
      <c r="J12531" s="5">
        <v>17.019650299999999</v>
      </c>
      <c r="K12531" s="5">
        <v>-97.859589959999994</v>
      </c>
      <c r="L12531" s="5" t="str">
        <f>HYPERLINK("https://maps.google.com/?q=17.0196503,-97.859589959999994", "🔗 Ver Mapa")</f>
        <v>🔗 Ver Mapa</v>
      </c>
    </row>
    <row r="12532" spans="1:12" ht="43.5" x14ac:dyDescent="0.35">
      <c r="A12532" s="6" t="s">
        <v>98</v>
      </c>
      <c r="B12532" s="6" t="s">
        <v>99</v>
      </c>
      <c r="C12532" s="6" t="s">
        <v>2514</v>
      </c>
      <c r="D12532" s="6" t="s">
        <v>14</v>
      </c>
      <c r="E12532" s="6" t="s">
        <v>39</v>
      </c>
      <c r="F12532" s="6" t="s">
        <v>40</v>
      </c>
      <c r="G12532" s="6" t="s">
        <v>184</v>
      </c>
      <c r="H12532" s="6" t="s">
        <v>2515</v>
      </c>
      <c r="I12532" s="6" t="s">
        <v>31</v>
      </c>
      <c r="J12532" s="6">
        <v>17.020195609999998</v>
      </c>
      <c r="K12532" s="6">
        <v>-97.862388949999996</v>
      </c>
      <c r="L12532" s="6" t="str">
        <f>HYPERLINK("https://maps.google.com/?q=17.02019561,-97.862388949999996", "🔗 Ver Mapa")</f>
        <v>🔗 Ver Mapa</v>
      </c>
    </row>
    <row r="12533" spans="1:12" ht="43.5" x14ac:dyDescent="0.35">
      <c r="A12533" s="5" t="s">
        <v>98</v>
      </c>
      <c r="B12533" s="5" t="s">
        <v>99</v>
      </c>
      <c r="C12533" s="5" t="s">
        <v>2514</v>
      </c>
      <c r="D12533" s="5" t="s">
        <v>14</v>
      </c>
      <c r="E12533" s="5" t="s">
        <v>39</v>
      </c>
      <c r="F12533" s="5" t="s">
        <v>40</v>
      </c>
      <c r="G12533" s="5" t="s">
        <v>184</v>
      </c>
      <c r="H12533" s="5" t="s">
        <v>2515</v>
      </c>
      <c r="I12533" s="5" t="s">
        <v>31</v>
      </c>
      <c r="J12533" s="5">
        <v>17.02020813</v>
      </c>
      <c r="K12533" s="5">
        <v>-97.860684300000003</v>
      </c>
      <c r="L12533" s="5" t="str">
        <f>HYPERLINK("https://maps.google.com/?q=17.02020813,-97.860684300000003", "🔗 Ver Mapa")</f>
        <v>🔗 Ver Mapa</v>
      </c>
    </row>
    <row r="12534" spans="1:12" ht="43.5" x14ac:dyDescent="0.35">
      <c r="A12534" s="6" t="s">
        <v>98</v>
      </c>
      <c r="B12534" s="6" t="s">
        <v>99</v>
      </c>
      <c r="C12534" s="6" t="s">
        <v>2514</v>
      </c>
      <c r="D12534" s="6" t="s">
        <v>14</v>
      </c>
      <c r="E12534" s="6" t="s">
        <v>39</v>
      </c>
      <c r="F12534" s="6" t="s">
        <v>40</v>
      </c>
      <c r="G12534" s="6" t="s">
        <v>184</v>
      </c>
      <c r="H12534" s="6" t="s">
        <v>2515</v>
      </c>
      <c r="I12534" s="6" t="s">
        <v>31</v>
      </c>
      <c r="J12534" s="6">
        <v>17.020450799999999</v>
      </c>
      <c r="K12534" s="6">
        <v>-97.859285630000002</v>
      </c>
      <c r="L12534" s="6" t="str">
        <f>HYPERLINK("https://maps.google.com/?q=17.0204508,-97.859285630000002", "🔗 Ver Mapa")</f>
        <v>🔗 Ver Mapa</v>
      </c>
    </row>
    <row r="12535" spans="1:12" ht="43.5" x14ac:dyDescent="0.35">
      <c r="A12535" s="5" t="s">
        <v>98</v>
      </c>
      <c r="B12535" s="5" t="s">
        <v>99</v>
      </c>
      <c r="C12535" s="5" t="s">
        <v>2514</v>
      </c>
      <c r="D12535" s="5" t="s">
        <v>14</v>
      </c>
      <c r="E12535" s="5" t="s">
        <v>39</v>
      </c>
      <c r="F12535" s="5" t="s">
        <v>40</v>
      </c>
      <c r="G12535" s="5" t="s">
        <v>184</v>
      </c>
      <c r="H12535" s="5" t="s">
        <v>2515</v>
      </c>
      <c r="I12535" s="5" t="s">
        <v>31</v>
      </c>
      <c r="J12535" s="5">
        <v>17.02092197</v>
      </c>
      <c r="K12535" s="5">
        <v>-97.862459779999995</v>
      </c>
      <c r="L12535" s="5" t="str">
        <f>HYPERLINK("https://maps.google.com/?q=17.02092197,-97.862459779999995", "🔗 Ver Mapa")</f>
        <v>🔗 Ver Mapa</v>
      </c>
    </row>
    <row r="12536" spans="1:12" ht="43.5" x14ac:dyDescent="0.35">
      <c r="A12536" s="6" t="s">
        <v>98</v>
      </c>
      <c r="B12536" s="6" t="s">
        <v>99</v>
      </c>
      <c r="C12536" s="6" t="s">
        <v>2516</v>
      </c>
      <c r="D12536" s="6" t="s">
        <v>14</v>
      </c>
      <c r="E12536" s="6" t="s">
        <v>39</v>
      </c>
      <c r="F12536" s="6" t="s">
        <v>40</v>
      </c>
      <c r="G12536" s="6" t="s">
        <v>184</v>
      </c>
      <c r="H12536" s="6" t="s">
        <v>2517</v>
      </c>
      <c r="I12536" s="6" t="s">
        <v>31</v>
      </c>
      <c r="J12536" s="6">
        <v>0</v>
      </c>
      <c r="K12536" s="6" t="s">
        <v>2518</v>
      </c>
      <c r="L12536" s="6" t="str">
        <f>HYPERLINK("https://maps.google.com/?q=0, -97.91385515499623", "🔗 Ver Mapa")</f>
        <v>🔗 Ver Mapa</v>
      </c>
    </row>
    <row r="12537" spans="1:12" ht="43.5" x14ac:dyDescent="0.35">
      <c r="A12537" s="5" t="s">
        <v>98</v>
      </c>
      <c r="B12537" s="5" t="s">
        <v>99</v>
      </c>
      <c r="C12537" s="5" t="s">
        <v>2516</v>
      </c>
      <c r="D12537" s="5" t="s">
        <v>14</v>
      </c>
      <c r="E12537" s="5" t="s">
        <v>39</v>
      </c>
      <c r="F12537" s="5" t="s">
        <v>40</v>
      </c>
      <c r="G12537" s="5" t="s">
        <v>184</v>
      </c>
      <c r="H12537" s="5" t="s">
        <v>2517</v>
      </c>
      <c r="I12537" s="5" t="s">
        <v>31</v>
      </c>
      <c r="J12537" s="5">
        <v>16.967915254017001</v>
      </c>
      <c r="K12537" s="5">
        <v>-97.912613499160997</v>
      </c>
      <c r="L12537" s="5" t="str">
        <f>HYPERLINK("https://maps.google.com/?q=16.9679152540175,-97.912613499160997", "🔗 Ver Mapa")</f>
        <v>🔗 Ver Mapa</v>
      </c>
    </row>
    <row r="12538" spans="1:12" ht="43.5" x14ac:dyDescent="0.35">
      <c r="A12538" s="6" t="s">
        <v>98</v>
      </c>
      <c r="B12538" s="6" t="s">
        <v>99</v>
      </c>
      <c r="C12538" s="6" t="s">
        <v>2516</v>
      </c>
      <c r="D12538" s="6" t="s">
        <v>14</v>
      </c>
      <c r="E12538" s="6" t="s">
        <v>39</v>
      </c>
      <c r="F12538" s="6" t="s">
        <v>40</v>
      </c>
      <c r="G12538" s="6" t="s">
        <v>184</v>
      </c>
      <c r="H12538" s="6" t="s">
        <v>2517</v>
      </c>
      <c r="I12538" s="6" t="s">
        <v>31</v>
      </c>
      <c r="J12538" s="6">
        <v>16.968218811896001</v>
      </c>
      <c r="K12538" s="6">
        <v>-97.912536607128999</v>
      </c>
      <c r="L12538" s="6" t="str">
        <f>HYPERLINK("https://maps.google.com/?q=16.968218811896,-97.9125366071288", "🔗 Ver Mapa")</f>
        <v>🔗 Ver Mapa</v>
      </c>
    </row>
    <row r="12539" spans="1:12" ht="43.5" x14ac:dyDescent="0.35">
      <c r="A12539" s="5" t="s">
        <v>98</v>
      </c>
      <c r="B12539" s="5" t="s">
        <v>99</v>
      </c>
      <c r="C12539" s="5" t="s">
        <v>2516</v>
      </c>
      <c r="D12539" s="5" t="s">
        <v>14</v>
      </c>
      <c r="E12539" s="5" t="s">
        <v>39</v>
      </c>
      <c r="F12539" s="5" t="s">
        <v>40</v>
      </c>
      <c r="G12539" s="5" t="s">
        <v>184</v>
      </c>
      <c r="H12539" s="5" t="s">
        <v>2517</v>
      </c>
      <c r="I12539" s="5" t="s">
        <v>31</v>
      </c>
      <c r="J12539" s="5">
        <v>16.968225812484</v>
      </c>
      <c r="K12539" s="5">
        <v>-97.912700848864006</v>
      </c>
      <c r="L12539" s="5" t="str">
        <f>HYPERLINK("https://maps.google.com/?q=16.9682258124837,-97.912700848863906", "🔗 Ver Mapa")</f>
        <v>🔗 Ver Mapa</v>
      </c>
    </row>
    <row r="12540" spans="1:12" ht="43.5" x14ac:dyDescent="0.35">
      <c r="A12540" s="6" t="s">
        <v>98</v>
      </c>
      <c r="B12540" s="6" t="s">
        <v>99</v>
      </c>
      <c r="C12540" s="6" t="s">
        <v>2516</v>
      </c>
      <c r="D12540" s="6" t="s">
        <v>14</v>
      </c>
      <c r="E12540" s="6" t="s">
        <v>39</v>
      </c>
      <c r="F12540" s="6" t="s">
        <v>40</v>
      </c>
      <c r="G12540" s="6" t="s">
        <v>184</v>
      </c>
      <c r="H12540" s="6" t="s">
        <v>2517</v>
      </c>
      <c r="I12540" s="6" t="s">
        <v>31</v>
      </c>
      <c r="J12540" s="6">
        <v>16.968485617864999</v>
      </c>
      <c r="K12540" s="6">
        <v>-97.912675411446997</v>
      </c>
      <c r="L12540" s="6" t="str">
        <f>HYPERLINK("https://maps.google.com/?q=16.9684856178648,-97.912675411446898", "🔗 Ver Mapa")</f>
        <v>🔗 Ver Mapa</v>
      </c>
    </row>
    <row r="12541" spans="1:12" ht="43.5" x14ac:dyDescent="0.35">
      <c r="A12541" s="5" t="s">
        <v>98</v>
      </c>
      <c r="B12541" s="5" t="s">
        <v>99</v>
      </c>
      <c r="C12541" s="5" t="s">
        <v>2516</v>
      </c>
      <c r="D12541" s="5" t="s">
        <v>14</v>
      </c>
      <c r="E12541" s="5" t="s">
        <v>39</v>
      </c>
      <c r="F12541" s="5" t="s">
        <v>40</v>
      </c>
      <c r="G12541" s="5" t="s">
        <v>184</v>
      </c>
      <c r="H12541" s="5" t="s">
        <v>2517</v>
      </c>
      <c r="I12541" s="5" t="s">
        <v>31</v>
      </c>
      <c r="J12541" s="5">
        <v>16.969693501059002</v>
      </c>
      <c r="K12541" s="5">
        <v>-97.913024178659001</v>
      </c>
      <c r="L12541" s="5" t="str">
        <f>HYPERLINK("https://maps.google.com/?q=16.9696935010586,-97.913024178659398", "🔗 Ver Mapa")</f>
        <v>🔗 Ver Mapa</v>
      </c>
    </row>
    <row r="12542" spans="1:12" ht="43.5" x14ac:dyDescent="0.35">
      <c r="A12542" s="6" t="s">
        <v>98</v>
      </c>
      <c r="B12542" s="6" t="s">
        <v>99</v>
      </c>
      <c r="C12542" s="6" t="s">
        <v>2516</v>
      </c>
      <c r="D12542" s="6" t="s">
        <v>14</v>
      </c>
      <c r="E12542" s="6" t="s">
        <v>39</v>
      </c>
      <c r="F12542" s="6" t="s">
        <v>40</v>
      </c>
      <c r="G12542" s="6" t="s">
        <v>184</v>
      </c>
      <c r="H12542" s="6" t="s">
        <v>2517</v>
      </c>
      <c r="I12542" s="6" t="s">
        <v>31</v>
      </c>
      <c r="J12542" s="6">
        <v>16.969874987427001</v>
      </c>
      <c r="K12542" s="6">
        <v>-97.913293867300993</v>
      </c>
      <c r="L12542" s="6" t="str">
        <f>HYPERLINK("https://maps.google.com/?q=16.9698749874266,-97.913293867301206", "🔗 Ver Mapa")</f>
        <v>🔗 Ver Mapa</v>
      </c>
    </row>
    <row r="12543" spans="1:12" ht="43.5" x14ac:dyDescent="0.35">
      <c r="A12543" s="5" t="s">
        <v>98</v>
      </c>
      <c r="B12543" s="5" t="s">
        <v>99</v>
      </c>
      <c r="C12543" s="5" t="s">
        <v>2516</v>
      </c>
      <c r="D12543" s="5" t="s">
        <v>14</v>
      </c>
      <c r="E12543" s="5" t="s">
        <v>39</v>
      </c>
      <c r="F12543" s="5" t="s">
        <v>40</v>
      </c>
      <c r="G12543" s="5" t="s">
        <v>184</v>
      </c>
      <c r="H12543" s="5" t="s">
        <v>2517</v>
      </c>
      <c r="I12543" s="5" t="s">
        <v>31</v>
      </c>
      <c r="J12543" s="5">
        <v>16.969977605320999</v>
      </c>
      <c r="K12543" s="5">
        <v>-97.911966847919999</v>
      </c>
      <c r="L12543" s="5" t="str">
        <f>HYPERLINK("https://maps.google.com/?q=16.9699776053209,-97.911966847919601", "🔗 Ver Mapa")</f>
        <v>🔗 Ver Mapa</v>
      </c>
    </row>
    <row r="12544" spans="1:12" ht="43.5" x14ac:dyDescent="0.35">
      <c r="A12544" s="6" t="s">
        <v>98</v>
      </c>
      <c r="B12544" s="6" t="s">
        <v>99</v>
      </c>
      <c r="C12544" s="6" t="s">
        <v>2516</v>
      </c>
      <c r="D12544" s="6" t="s">
        <v>14</v>
      </c>
      <c r="E12544" s="6" t="s">
        <v>39</v>
      </c>
      <c r="F12544" s="6" t="s">
        <v>40</v>
      </c>
      <c r="G12544" s="6" t="s">
        <v>184</v>
      </c>
      <c r="H12544" s="6" t="s">
        <v>2517</v>
      </c>
      <c r="I12544" s="6" t="s">
        <v>31</v>
      </c>
      <c r="J12544" s="6">
        <v>16.970121267700002</v>
      </c>
      <c r="K12544" s="6" t="s">
        <v>2519</v>
      </c>
      <c r="L12544" s="6" t="str">
        <f>HYPERLINK("https://maps.google.com/?q=16.9701212677004, -97.9122263481132", "🔗 Ver Mapa")</f>
        <v>🔗 Ver Mapa</v>
      </c>
    </row>
    <row r="12545" spans="1:12" ht="43.5" x14ac:dyDescent="0.35">
      <c r="A12545" s="5" t="s">
        <v>98</v>
      </c>
      <c r="B12545" s="5" t="s">
        <v>99</v>
      </c>
      <c r="C12545" s="5" t="s">
        <v>2516</v>
      </c>
      <c r="D12545" s="5" t="s">
        <v>14</v>
      </c>
      <c r="E12545" s="5" t="s">
        <v>39</v>
      </c>
      <c r="F12545" s="5" t="s">
        <v>40</v>
      </c>
      <c r="G12545" s="5" t="s">
        <v>184</v>
      </c>
      <c r="H12545" s="5" t="s">
        <v>2517</v>
      </c>
      <c r="I12545" s="5" t="s">
        <v>31</v>
      </c>
      <c r="J12545" s="5">
        <v>16.970207210253001</v>
      </c>
      <c r="K12545" s="5">
        <v>-97.913820254349005</v>
      </c>
      <c r="L12545" s="5" t="str">
        <f>HYPERLINK("https://maps.google.com/?q=16.9702072102527,-97.913820254348707", "🔗 Ver Mapa")</f>
        <v>🔗 Ver Mapa</v>
      </c>
    </row>
    <row r="12546" spans="1:12" ht="43.5" x14ac:dyDescent="0.35">
      <c r="A12546" s="6" t="s">
        <v>98</v>
      </c>
      <c r="B12546" s="6" t="s">
        <v>99</v>
      </c>
      <c r="C12546" s="6" t="s">
        <v>2516</v>
      </c>
      <c r="D12546" s="6" t="s">
        <v>14</v>
      </c>
      <c r="E12546" s="6" t="s">
        <v>39</v>
      </c>
      <c r="F12546" s="6" t="s">
        <v>40</v>
      </c>
      <c r="G12546" s="6" t="s">
        <v>184</v>
      </c>
      <c r="H12546" s="6" t="s">
        <v>2517</v>
      </c>
      <c r="I12546" s="6" t="s">
        <v>31</v>
      </c>
      <c r="J12546" s="6">
        <v>16.970257493411001</v>
      </c>
      <c r="K12546" s="6">
        <v>-97.914161133761993</v>
      </c>
      <c r="L12546" s="6" t="str">
        <f>HYPERLINK("https://maps.google.com/?q=16.9702574934107,-97.914161133762093", "🔗 Ver Mapa")</f>
        <v>🔗 Ver Mapa</v>
      </c>
    </row>
    <row r="12547" spans="1:12" ht="43.5" x14ac:dyDescent="0.35">
      <c r="A12547" s="5" t="s">
        <v>98</v>
      </c>
      <c r="B12547" s="5" t="s">
        <v>99</v>
      </c>
      <c r="C12547" s="5" t="s">
        <v>2516</v>
      </c>
      <c r="D12547" s="5" t="s">
        <v>14</v>
      </c>
      <c r="E12547" s="5" t="s">
        <v>39</v>
      </c>
      <c r="F12547" s="5" t="s">
        <v>40</v>
      </c>
      <c r="G12547" s="5" t="s">
        <v>184</v>
      </c>
      <c r="H12547" s="5" t="s">
        <v>2517</v>
      </c>
      <c r="I12547" s="5" t="s">
        <v>31</v>
      </c>
      <c r="J12547" s="5">
        <v>16.970521473531001</v>
      </c>
      <c r="K12547" s="5">
        <v>-97.913471567177993</v>
      </c>
      <c r="L12547" s="5" t="str">
        <f>HYPERLINK("https://maps.google.com/?q=16.9705214735307,-97.913471567177595", "🔗 Ver Mapa")</f>
        <v>🔗 Ver Mapa</v>
      </c>
    </row>
    <row r="12548" spans="1:12" ht="43.5" x14ac:dyDescent="0.35">
      <c r="A12548" s="6" t="s">
        <v>98</v>
      </c>
      <c r="B12548" s="6" t="s">
        <v>99</v>
      </c>
      <c r="C12548" s="6" t="s">
        <v>2516</v>
      </c>
      <c r="D12548" s="6" t="s">
        <v>14</v>
      </c>
      <c r="E12548" s="6" t="s">
        <v>39</v>
      </c>
      <c r="F12548" s="6" t="s">
        <v>40</v>
      </c>
      <c r="G12548" s="6" t="s">
        <v>184</v>
      </c>
      <c r="H12548" s="6" t="s">
        <v>2517</v>
      </c>
      <c r="I12548" s="6" t="s">
        <v>31</v>
      </c>
      <c r="J12548" s="6">
        <v>16.970983246115001</v>
      </c>
      <c r="K12548" s="6">
        <v>-97.911368041228002</v>
      </c>
      <c r="L12548" s="6" t="str">
        <f>HYPERLINK("https://maps.google.com/?q=16.9709832461148,-97.9113680412284", "🔗 Ver Mapa")</f>
        <v>🔗 Ver Mapa</v>
      </c>
    </row>
    <row r="12549" spans="1:12" ht="43.5" x14ac:dyDescent="0.35">
      <c r="A12549" s="5" t="s">
        <v>98</v>
      </c>
      <c r="B12549" s="5" t="s">
        <v>99</v>
      </c>
      <c r="C12549" s="5" t="s">
        <v>2516</v>
      </c>
      <c r="D12549" s="5" t="s">
        <v>14</v>
      </c>
      <c r="E12549" s="5" t="s">
        <v>39</v>
      </c>
      <c r="F12549" s="5" t="s">
        <v>40</v>
      </c>
      <c r="G12549" s="5" t="s">
        <v>184</v>
      </c>
      <c r="H12549" s="5" t="s">
        <v>2517</v>
      </c>
      <c r="I12549" s="5" t="s">
        <v>31</v>
      </c>
      <c r="J12549" s="5">
        <v>16.971060208280999</v>
      </c>
      <c r="K12549" s="5">
        <v>-97.911657719801994</v>
      </c>
      <c r="L12549" s="5" t="str">
        <f>HYPERLINK("https://maps.google.com/?q=16.9710602082808,-97.911657719801994", "🔗 Ver Mapa")</f>
        <v>🔗 Ver Mapa</v>
      </c>
    </row>
    <row r="12550" spans="1:12" ht="43.5" x14ac:dyDescent="0.35">
      <c r="A12550" s="6" t="s">
        <v>98</v>
      </c>
      <c r="B12550" s="6" t="s">
        <v>99</v>
      </c>
      <c r="C12550" s="6" t="s">
        <v>2516</v>
      </c>
      <c r="D12550" s="6" t="s">
        <v>14</v>
      </c>
      <c r="E12550" s="6" t="s">
        <v>39</v>
      </c>
      <c r="F12550" s="6" t="s">
        <v>40</v>
      </c>
      <c r="G12550" s="6" t="s">
        <v>184</v>
      </c>
      <c r="H12550" s="6" t="s">
        <v>2517</v>
      </c>
      <c r="I12550" s="6" t="s">
        <v>31</v>
      </c>
      <c r="J12550" s="6">
        <v>16.972086928656999</v>
      </c>
      <c r="K12550" s="6">
        <v>-97.914357027899001</v>
      </c>
      <c r="L12550" s="6" t="str">
        <f>HYPERLINK("https://maps.google.com/?q=16.9720869286573,-97.914357027898902", "🔗 Ver Mapa")</f>
        <v>🔗 Ver Mapa</v>
      </c>
    </row>
    <row r="12551" spans="1:12" ht="58" x14ac:dyDescent="0.35">
      <c r="A12551" s="5" t="s">
        <v>516</v>
      </c>
      <c r="B12551" s="5" t="s">
        <v>517</v>
      </c>
      <c r="C12551" s="5" t="s">
        <v>2520</v>
      </c>
      <c r="D12551" s="5" t="s">
        <v>13</v>
      </c>
      <c r="E12551" s="5" t="s">
        <v>52</v>
      </c>
      <c r="F12551" s="5" t="s">
        <v>70</v>
      </c>
      <c r="G12551" s="5" t="s">
        <v>71</v>
      </c>
      <c r="H12551" s="5" t="s">
        <v>72</v>
      </c>
      <c r="I12551" s="5" t="s">
        <v>32</v>
      </c>
      <c r="J12551" s="5">
        <v>17.082650999999998</v>
      </c>
      <c r="K12551" s="5">
        <v>-96.743810999999994</v>
      </c>
      <c r="L12551" s="5" t="str">
        <f>HYPERLINK("https://maps.google.com/?q=17.082651,-96.743810999999994", "🔗 Ver Mapa")</f>
        <v>🔗 Ver Mapa</v>
      </c>
    </row>
    <row r="12552" spans="1:12" ht="58" x14ac:dyDescent="0.35">
      <c r="A12552" s="6" t="s">
        <v>516</v>
      </c>
      <c r="B12552" s="6" t="s">
        <v>517</v>
      </c>
      <c r="C12552" s="6" t="s">
        <v>2520</v>
      </c>
      <c r="D12552" s="6" t="s">
        <v>13</v>
      </c>
      <c r="E12552" s="6" t="s">
        <v>52</v>
      </c>
      <c r="F12552" s="6" t="s">
        <v>70</v>
      </c>
      <c r="G12552" s="6" t="s">
        <v>71</v>
      </c>
      <c r="H12552" s="6" t="s">
        <v>72</v>
      </c>
      <c r="I12552" s="6" t="s">
        <v>32</v>
      </c>
      <c r="J12552" s="6">
        <v>17.08276</v>
      </c>
      <c r="K12552" s="6">
        <v>-96.743864000000002</v>
      </c>
      <c r="L12552" s="6" t="str">
        <f>HYPERLINK("https://maps.google.com/?q=17.08276,-96.743864000000002", "🔗 Ver Mapa")</f>
        <v>🔗 Ver Mapa</v>
      </c>
    </row>
    <row r="12553" spans="1:12" ht="58" x14ac:dyDescent="0.35">
      <c r="A12553" s="5" t="s">
        <v>516</v>
      </c>
      <c r="B12553" s="5" t="s">
        <v>517</v>
      </c>
      <c r="C12553" s="5" t="s">
        <v>2520</v>
      </c>
      <c r="D12553" s="5" t="s">
        <v>13</v>
      </c>
      <c r="E12553" s="5" t="s">
        <v>52</v>
      </c>
      <c r="F12553" s="5" t="s">
        <v>70</v>
      </c>
      <c r="G12553" s="5" t="s">
        <v>71</v>
      </c>
      <c r="H12553" s="5" t="s">
        <v>72</v>
      </c>
      <c r="I12553" s="5" t="s">
        <v>32</v>
      </c>
      <c r="J12553" s="5">
        <v>17.082858000000002</v>
      </c>
      <c r="K12553" s="5">
        <v>-96.743616000000003</v>
      </c>
      <c r="L12553" s="5" t="str">
        <f>HYPERLINK("https://maps.google.com/?q=17.082858,-96.743616000000003", "🔗 Ver Mapa")</f>
        <v>🔗 Ver Mapa</v>
      </c>
    </row>
    <row r="12554" spans="1:12" ht="58" x14ac:dyDescent="0.35">
      <c r="A12554" s="6" t="s">
        <v>516</v>
      </c>
      <c r="B12554" s="6" t="s">
        <v>517</v>
      </c>
      <c r="C12554" s="6" t="s">
        <v>2520</v>
      </c>
      <c r="D12554" s="6" t="s">
        <v>13</v>
      </c>
      <c r="E12554" s="6" t="s">
        <v>52</v>
      </c>
      <c r="F12554" s="6" t="s">
        <v>70</v>
      </c>
      <c r="G12554" s="6" t="s">
        <v>71</v>
      </c>
      <c r="H12554" s="6" t="s">
        <v>72</v>
      </c>
      <c r="I12554" s="6" t="s">
        <v>32</v>
      </c>
      <c r="J12554" s="6">
        <v>17.082978000000001</v>
      </c>
      <c r="K12554" s="6">
        <v>-96.743666000000005</v>
      </c>
      <c r="L12554" s="6" t="str">
        <f>HYPERLINK("https://maps.google.com/?q=17.082978,-96.743666000000005", "🔗 Ver Mapa")</f>
        <v>🔗 Ver Mapa</v>
      </c>
    </row>
    <row r="12555" spans="1:12" ht="43.5" x14ac:dyDescent="0.35">
      <c r="A12555" s="5" t="s">
        <v>73</v>
      </c>
      <c r="B12555" s="5" t="s">
        <v>74</v>
      </c>
      <c r="C12555" s="5" t="s">
        <v>2521</v>
      </c>
      <c r="D12555" s="5" t="s">
        <v>76</v>
      </c>
      <c r="E12555" s="5" t="s">
        <v>52</v>
      </c>
      <c r="F12555" s="5" t="s">
        <v>421</v>
      </c>
      <c r="G12555" s="5" t="s">
        <v>1437</v>
      </c>
      <c r="H12555" s="5" t="s">
        <v>1438</v>
      </c>
      <c r="I12555" s="5" t="s">
        <v>31</v>
      </c>
      <c r="J12555" s="5">
        <v>16.629546144306001</v>
      </c>
      <c r="K12555" s="5">
        <v>-96.796553205942999</v>
      </c>
      <c r="L12555" s="5" t="str">
        <f>HYPERLINK("https://maps.google.com/?q=16.62954614430616,-96.79655320594333", "🔗 Ver Mapa")</f>
        <v>🔗 Ver Mapa</v>
      </c>
    </row>
    <row r="12556" spans="1:12" ht="43.5" x14ac:dyDescent="0.35">
      <c r="A12556" s="6" t="s">
        <v>297</v>
      </c>
      <c r="B12556" s="6" t="s">
        <v>298</v>
      </c>
      <c r="C12556" s="6" t="s">
        <v>2522</v>
      </c>
      <c r="D12556" s="6" t="s">
        <v>13</v>
      </c>
      <c r="E12556" s="6" t="s">
        <v>52</v>
      </c>
      <c r="F12556" s="6" t="s">
        <v>70</v>
      </c>
      <c r="G12556" s="6" t="s">
        <v>71</v>
      </c>
      <c r="H12556" s="6" t="s">
        <v>72</v>
      </c>
      <c r="I12556" s="6" t="s">
        <v>31</v>
      </c>
      <c r="J12556" s="6">
        <v>17.050305000000002</v>
      </c>
      <c r="K12556" s="6">
        <v>-96.732418999999993</v>
      </c>
      <c r="L12556" s="6" t="str">
        <f>HYPERLINK("https://maps.google.com/?q=17.050305,-96.73241900", "🔗 Ver Mapa")</f>
        <v>🔗 Ver Mapa</v>
      </c>
    </row>
    <row r="12557" spans="1:12" ht="87" x14ac:dyDescent="0.35">
      <c r="A12557" s="5" t="s">
        <v>73</v>
      </c>
      <c r="B12557" s="5" t="s">
        <v>74</v>
      </c>
      <c r="C12557" s="5" t="s">
        <v>2523</v>
      </c>
      <c r="D12557" s="5" t="s">
        <v>76</v>
      </c>
      <c r="E12557" s="5" t="s">
        <v>140</v>
      </c>
      <c r="F12557" s="5" t="s">
        <v>141</v>
      </c>
      <c r="G12557" s="5" t="s">
        <v>187</v>
      </c>
      <c r="H12557" s="5" t="s">
        <v>188</v>
      </c>
      <c r="I12557" s="5" t="s">
        <v>31</v>
      </c>
      <c r="J12557" s="5">
        <v>18.092828622831998</v>
      </c>
      <c r="K12557" s="5">
        <v>-96.146057680175005</v>
      </c>
      <c r="L12557" s="5" t="str">
        <f>HYPERLINK("https://maps.google.com/?q=18.092828622831924,-96.14605768017499", "🔗 Ver Mapa")</f>
        <v>🔗 Ver Mapa</v>
      </c>
    </row>
    <row r="12558" spans="1:12" ht="29" x14ac:dyDescent="0.35">
      <c r="A12558" s="6" t="s">
        <v>339</v>
      </c>
      <c r="B12558" s="6" t="s">
        <v>340</v>
      </c>
      <c r="C12558" s="6" t="s">
        <v>2524</v>
      </c>
      <c r="D12558" s="6" t="s">
        <v>342</v>
      </c>
      <c r="E12558" s="6" t="s">
        <v>52</v>
      </c>
      <c r="F12558" s="6" t="s">
        <v>70</v>
      </c>
      <c r="G12558" s="6" t="s">
        <v>71</v>
      </c>
      <c r="H12558" s="6" t="s">
        <v>72</v>
      </c>
      <c r="I12558" s="6" t="s">
        <v>31</v>
      </c>
      <c r="J12558" s="6">
        <v>17.068498000000002</v>
      </c>
      <c r="K12558" s="6" t="s">
        <v>2525</v>
      </c>
      <c r="L12558" s="6" t="str">
        <f>HYPERLINK("https://maps.google.com/?q=17.068498,-96.720205 ", "🔗 Ver Mapa")</f>
        <v>🔗 Ver Mapa</v>
      </c>
    </row>
    <row r="12559" spans="1:12" ht="29" x14ac:dyDescent="0.35">
      <c r="A12559" s="5" t="s">
        <v>339</v>
      </c>
      <c r="B12559" s="5" t="s">
        <v>340</v>
      </c>
      <c r="C12559" s="5" t="s">
        <v>2526</v>
      </c>
      <c r="D12559" s="5" t="s">
        <v>342</v>
      </c>
      <c r="E12559" s="5" t="s">
        <v>52</v>
      </c>
      <c r="F12559" s="5" t="s">
        <v>70</v>
      </c>
      <c r="G12559" s="5" t="s">
        <v>71</v>
      </c>
      <c r="H12559" s="5" t="s">
        <v>72</v>
      </c>
      <c r="I12559" s="5" t="s">
        <v>31</v>
      </c>
      <c r="J12559" s="5">
        <v>17.068498000000002</v>
      </c>
      <c r="K12559" s="5" t="s">
        <v>2525</v>
      </c>
      <c r="L12559" s="5" t="str">
        <f>HYPERLINK("https://maps.google.com/?q=17.068498,-96.720205 ", "🔗 Ver Mapa")</f>
        <v>🔗 Ver Mapa</v>
      </c>
    </row>
    <row r="12560" spans="1:12" ht="43.5" x14ac:dyDescent="0.35">
      <c r="A12560" s="6" t="s">
        <v>2527</v>
      </c>
      <c r="B12560" s="6" t="s">
        <v>2528</v>
      </c>
      <c r="C12560" s="6" t="s">
        <v>2529</v>
      </c>
      <c r="D12560" s="6" t="s">
        <v>76</v>
      </c>
      <c r="E12560" s="6" t="s">
        <v>140</v>
      </c>
      <c r="F12560" s="6" t="s">
        <v>141</v>
      </c>
      <c r="G12560" s="6" t="s">
        <v>791</v>
      </c>
      <c r="H12560" s="6" t="s">
        <v>792</v>
      </c>
      <c r="I12560" s="6" t="s">
        <v>31</v>
      </c>
      <c r="J12560" s="6">
        <v>18.100465185265001</v>
      </c>
      <c r="K12560" s="6">
        <v>-95.896893592132997</v>
      </c>
      <c r="L12560" s="6" t="str">
        <f>HYPERLINK("https://maps.google.com/?q=18.10046518526516,-95.89689359213328", "🔗 Ver Mapa")</f>
        <v>🔗 Ver Mapa</v>
      </c>
    </row>
    <row r="12561" spans="1:12" ht="72.5" x14ac:dyDescent="0.35">
      <c r="A12561" s="5" t="s">
        <v>1263</v>
      </c>
      <c r="B12561" s="5" t="s">
        <v>1264</v>
      </c>
      <c r="C12561" s="5" t="s">
        <v>2530</v>
      </c>
      <c r="D12561" s="5" t="s">
        <v>76</v>
      </c>
      <c r="E12561" s="5" t="s">
        <v>39</v>
      </c>
      <c r="F12561" s="5" t="s">
        <v>353</v>
      </c>
      <c r="G12561" s="5" t="s">
        <v>1266</v>
      </c>
      <c r="H12561" s="5" t="s">
        <v>1267</v>
      </c>
      <c r="I12561" s="5" t="s">
        <v>31</v>
      </c>
      <c r="J12561" s="5">
        <v>16.345071000000001</v>
      </c>
      <c r="K12561" s="5">
        <v>-96.583455000000001</v>
      </c>
      <c r="L12561" s="5" t="str">
        <f>HYPERLINK("https://maps.google.com/?q=16.345071,-96.583455", "🔗 Ver Mapa")</f>
        <v>🔗 Ver Mapa</v>
      </c>
    </row>
    <row r="12562" spans="1:12" ht="43.5" x14ac:dyDescent="0.35">
      <c r="A12562" s="6" t="s">
        <v>98</v>
      </c>
      <c r="B12562" s="6" t="s">
        <v>99</v>
      </c>
      <c r="C12562" s="6" t="s">
        <v>2531</v>
      </c>
      <c r="D12562" s="6" t="s">
        <v>14</v>
      </c>
      <c r="E12562" s="6" t="s">
        <v>39</v>
      </c>
      <c r="F12562" s="6" t="s">
        <v>494</v>
      </c>
      <c r="G12562" s="6" t="s">
        <v>2160</v>
      </c>
      <c r="H12562" s="6" t="s">
        <v>2532</v>
      </c>
      <c r="I12562" s="6" t="s">
        <v>31</v>
      </c>
      <c r="J12562" s="6">
        <v>16.531767576147999</v>
      </c>
      <c r="K12562" s="6">
        <v>-96.985430714079001</v>
      </c>
      <c r="L12562" s="6" t="str">
        <f>HYPERLINK("https://maps.google.com/?q=16.5317675761485,-96.985430714078603", "🔗 Ver Mapa")</f>
        <v>🔗 Ver Mapa</v>
      </c>
    </row>
    <row r="12563" spans="1:12" ht="43.5" x14ac:dyDescent="0.35">
      <c r="A12563" s="5" t="s">
        <v>98</v>
      </c>
      <c r="B12563" s="5" t="s">
        <v>99</v>
      </c>
      <c r="C12563" s="5" t="s">
        <v>2531</v>
      </c>
      <c r="D12563" s="5" t="s">
        <v>14</v>
      </c>
      <c r="E12563" s="5" t="s">
        <v>39</v>
      </c>
      <c r="F12563" s="5" t="s">
        <v>494</v>
      </c>
      <c r="G12563" s="5" t="s">
        <v>2160</v>
      </c>
      <c r="H12563" s="5" t="s">
        <v>2532</v>
      </c>
      <c r="I12563" s="5" t="s">
        <v>31</v>
      </c>
      <c r="J12563" s="5">
        <v>16.531788146804999</v>
      </c>
      <c r="K12563" s="5">
        <v>-96.985079344697994</v>
      </c>
      <c r="L12563" s="5" t="str">
        <f>HYPERLINK("https://maps.google.com/?q=16.5317881468047,-96.985079344697795", "🔗 Ver Mapa")</f>
        <v>🔗 Ver Mapa</v>
      </c>
    </row>
    <row r="12564" spans="1:12" ht="43.5" x14ac:dyDescent="0.35">
      <c r="A12564" s="6" t="s">
        <v>98</v>
      </c>
      <c r="B12564" s="6" t="s">
        <v>99</v>
      </c>
      <c r="C12564" s="6" t="s">
        <v>2531</v>
      </c>
      <c r="D12564" s="6" t="s">
        <v>14</v>
      </c>
      <c r="E12564" s="6" t="s">
        <v>39</v>
      </c>
      <c r="F12564" s="6" t="s">
        <v>494</v>
      </c>
      <c r="G12564" s="6" t="s">
        <v>2160</v>
      </c>
      <c r="H12564" s="6" t="s">
        <v>2532</v>
      </c>
      <c r="I12564" s="6" t="s">
        <v>31</v>
      </c>
      <c r="J12564" s="6">
        <v>16.532168341262999</v>
      </c>
      <c r="K12564" s="6">
        <v>-96.985615548954996</v>
      </c>
      <c r="L12564" s="6" t="str">
        <f>HYPERLINK("https://maps.google.com/?q=16.5321683412634,-96.985615548954797", "🔗 Ver Mapa")</f>
        <v>🔗 Ver Mapa</v>
      </c>
    </row>
    <row r="12565" spans="1:12" ht="43.5" x14ac:dyDescent="0.35">
      <c r="A12565" s="5" t="s">
        <v>98</v>
      </c>
      <c r="B12565" s="5" t="s">
        <v>99</v>
      </c>
      <c r="C12565" s="5" t="s">
        <v>2531</v>
      </c>
      <c r="D12565" s="5" t="s">
        <v>14</v>
      </c>
      <c r="E12565" s="5" t="s">
        <v>39</v>
      </c>
      <c r="F12565" s="5" t="s">
        <v>494</v>
      </c>
      <c r="G12565" s="5" t="s">
        <v>2160</v>
      </c>
      <c r="H12565" s="5" t="s">
        <v>2532</v>
      </c>
      <c r="I12565" s="5" t="s">
        <v>31</v>
      </c>
      <c r="J12565" s="5">
        <v>16.533077691729002</v>
      </c>
      <c r="K12565" s="5">
        <v>-96.985618706639997</v>
      </c>
      <c r="L12565" s="5" t="str">
        <f>HYPERLINK("https://maps.google.com/?q=16.5330776917289,-96.985618706640494", "🔗 Ver Mapa")</f>
        <v>🔗 Ver Mapa</v>
      </c>
    </row>
    <row r="12566" spans="1:12" ht="43.5" x14ac:dyDescent="0.35">
      <c r="A12566" s="6" t="s">
        <v>98</v>
      </c>
      <c r="B12566" s="6" t="s">
        <v>99</v>
      </c>
      <c r="C12566" s="6" t="s">
        <v>2533</v>
      </c>
      <c r="D12566" s="6" t="s">
        <v>14</v>
      </c>
      <c r="E12566" s="6" t="s">
        <v>39</v>
      </c>
      <c r="F12566" s="6" t="s">
        <v>494</v>
      </c>
      <c r="G12566" s="6" t="s">
        <v>2160</v>
      </c>
      <c r="H12566" s="6" t="s">
        <v>2534</v>
      </c>
      <c r="I12566" s="6" t="s">
        <v>31</v>
      </c>
      <c r="J12566" s="6">
        <v>16.548231339625001</v>
      </c>
      <c r="K12566" s="6">
        <v>-96.979444415583998</v>
      </c>
      <c r="L12566" s="6" t="str">
        <f>HYPERLINK("https://maps.google.com/?q=16.5482313396249,-96.979444415584396", "🔗 Ver Mapa")</f>
        <v>🔗 Ver Mapa</v>
      </c>
    </row>
    <row r="12567" spans="1:12" ht="43.5" x14ac:dyDescent="0.35">
      <c r="A12567" s="5" t="s">
        <v>98</v>
      </c>
      <c r="B12567" s="5" t="s">
        <v>99</v>
      </c>
      <c r="C12567" s="5" t="s">
        <v>2533</v>
      </c>
      <c r="D12567" s="5" t="s">
        <v>14</v>
      </c>
      <c r="E12567" s="5" t="s">
        <v>39</v>
      </c>
      <c r="F12567" s="5" t="s">
        <v>494</v>
      </c>
      <c r="G12567" s="5" t="s">
        <v>2160</v>
      </c>
      <c r="H12567" s="5" t="s">
        <v>2534</v>
      </c>
      <c r="I12567" s="5" t="s">
        <v>31</v>
      </c>
      <c r="J12567" s="5">
        <v>16.549186791092001</v>
      </c>
      <c r="K12567" s="5">
        <v>-96.981326181536005</v>
      </c>
      <c r="L12567" s="5" t="str">
        <f>HYPERLINK("https://maps.google.com/?q=16.5491867910918,-96.981326181536303", "🔗 Ver Mapa")</f>
        <v>🔗 Ver Mapa</v>
      </c>
    </row>
    <row r="12568" spans="1:12" ht="43.5" x14ac:dyDescent="0.35">
      <c r="A12568" s="6" t="s">
        <v>98</v>
      </c>
      <c r="B12568" s="6" t="s">
        <v>99</v>
      </c>
      <c r="C12568" s="6" t="s">
        <v>2533</v>
      </c>
      <c r="D12568" s="6" t="s">
        <v>14</v>
      </c>
      <c r="E12568" s="6" t="s">
        <v>39</v>
      </c>
      <c r="F12568" s="6" t="s">
        <v>494</v>
      </c>
      <c r="G12568" s="6" t="s">
        <v>2160</v>
      </c>
      <c r="H12568" s="6" t="s">
        <v>2534</v>
      </c>
      <c r="I12568" s="6" t="s">
        <v>31</v>
      </c>
      <c r="J12568" s="6">
        <v>16.549554077957001</v>
      </c>
      <c r="K12568" s="6">
        <v>-96.978433131852</v>
      </c>
      <c r="L12568" s="6" t="str">
        <f>HYPERLINK("https://maps.google.com/?q=16.5495540779573,-96.978433131851801", "🔗 Ver Mapa")</f>
        <v>🔗 Ver Mapa</v>
      </c>
    </row>
    <row r="12569" spans="1:12" ht="43.5" x14ac:dyDescent="0.35">
      <c r="A12569" s="5" t="s">
        <v>98</v>
      </c>
      <c r="B12569" s="5" t="s">
        <v>99</v>
      </c>
      <c r="C12569" s="5" t="s">
        <v>2533</v>
      </c>
      <c r="D12569" s="5" t="s">
        <v>14</v>
      </c>
      <c r="E12569" s="5" t="s">
        <v>39</v>
      </c>
      <c r="F12569" s="5" t="s">
        <v>494</v>
      </c>
      <c r="G12569" s="5" t="s">
        <v>2160</v>
      </c>
      <c r="H12569" s="5" t="s">
        <v>2534</v>
      </c>
      <c r="I12569" s="5" t="s">
        <v>31</v>
      </c>
      <c r="J12569" s="5">
        <v>16.550078325522001</v>
      </c>
      <c r="K12569" s="5">
        <v>-96.979684759218998</v>
      </c>
      <c r="L12569" s="5" t="str">
        <f>HYPERLINK("https://maps.google.com/?q=16.5500783255222,-96.979684759219296", "🔗 Ver Mapa")</f>
        <v>🔗 Ver Mapa</v>
      </c>
    </row>
    <row r="12570" spans="1:12" ht="43.5" x14ac:dyDescent="0.35">
      <c r="A12570" s="6" t="s">
        <v>98</v>
      </c>
      <c r="B12570" s="6" t="s">
        <v>99</v>
      </c>
      <c r="C12570" s="6" t="s">
        <v>2533</v>
      </c>
      <c r="D12570" s="6" t="s">
        <v>14</v>
      </c>
      <c r="E12570" s="6" t="s">
        <v>39</v>
      </c>
      <c r="F12570" s="6" t="s">
        <v>494</v>
      </c>
      <c r="G12570" s="6" t="s">
        <v>2160</v>
      </c>
      <c r="H12570" s="6" t="s">
        <v>2534</v>
      </c>
      <c r="I12570" s="6" t="s">
        <v>31</v>
      </c>
      <c r="J12570" s="6">
        <v>16.551043197384999</v>
      </c>
      <c r="K12570" s="6">
        <v>-96.980196313956995</v>
      </c>
      <c r="L12570" s="6" t="str">
        <f>HYPERLINK("https://maps.google.com/?q=16.5510431973849,-96.980196313956796", "🔗 Ver Mapa")</f>
        <v>🔗 Ver Mapa</v>
      </c>
    </row>
    <row r="12571" spans="1:12" ht="43.5" x14ac:dyDescent="0.35">
      <c r="A12571" s="5" t="s">
        <v>98</v>
      </c>
      <c r="B12571" s="5" t="s">
        <v>99</v>
      </c>
      <c r="C12571" s="5" t="s">
        <v>2535</v>
      </c>
      <c r="D12571" s="5" t="s">
        <v>14</v>
      </c>
      <c r="E12571" s="5" t="s">
        <v>39</v>
      </c>
      <c r="F12571" s="5" t="s">
        <v>494</v>
      </c>
      <c r="G12571" s="5" t="s">
        <v>2160</v>
      </c>
      <c r="H12571" s="5" t="s">
        <v>2536</v>
      </c>
      <c r="I12571" s="5" t="s">
        <v>31</v>
      </c>
      <c r="J12571" s="5">
        <v>16.577190321297</v>
      </c>
      <c r="K12571" s="5">
        <v>-96.949578165074001</v>
      </c>
      <c r="L12571" s="5" t="str">
        <f>HYPERLINK("https://maps.google.com/?q=16.5771903212968,-96.949578165074001", "🔗 Ver Mapa")</f>
        <v>🔗 Ver Mapa</v>
      </c>
    </row>
    <row r="12572" spans="1:12" ht="43.5" x14ac:dyDescent="0.35">
      <c r="A12572" s="6" t="s">
        <v>98</v>
      </c>
      <c r="B12572" s="6" t="s">
        <v>99</v>
      </c>
      <c r="C12572" s="6" t="s">
        <v>2535</v>
      </c>
      <c r="D12572" s="6" t="s">
        <v>14</v>
      </c>
      <c r="E12572" s="6" t="s">
        <v>39</v>
      </c>
      <c r="F12572" s="6" t="s">
        <v>494</v>
      </c>
      <c r="G12572" s="6" t="s">
        <v>2160</v>
      </c>
      <c r="H12572" s="6" t="s">
        <v>2536</v>
      </c>
      <c r="I12572" s="6" t="s">
        <v>31</v>
      </c>
      <c r="J12572" s="6">
        <v>16.57808493197</v>
      </c>
      <c r="K12572" s="6">
        <v>-96.950752972621999</v>
      </c>
      <c r="L12572" s="6" t="str">
        <f>HYPERLINK("https://maps.google.com/?q=16.5780849319703,-96.950752972622098", "🔗 Ver Mapa")</f>
        <v>🔗 Ver Mapa</v>
      </c>
    </row>
    <row r="12573" spans="1:12" ht="43.5" x14ac:dyDescent="0.35">
      <c r="A12573" s="5" t="s">
        <v>98</v>
      </c>
      <c r="B12573" s="5" t="s">
        <v>99</v>
      </c>
      <c r="C12573" s="5" t="s">
        <v>2535</v>
      </c>
      <c r="D12573" s="5" t="s">
        <v>14</v>
      </c>
      <c r="E12573" s="5" t="s">
        <v>39</v>
      </c>
      <c r="F12573" s="5" t="s">
        <v>494</v>
      </c>
      <c r="G12573" s="5" t="s">
        <v>2160</v>
      </c>
      <c r="H12573" s="5" t="s">
        <v>2536</v>
      </c>
      <c r="I12573" s="5" t="s">
        <v>31</v>
      </c>
      <c r="J12573" s="5">
        <v>16.579393421128</v>
      </c>
      <c r="K12573" s="5">
        <v>-96.950128017921998</v>
      </c>
      <c r="L12573" s="5" t="str">
        <f>HYPERLINK("https://maps.google.com/?q=16.5793934211284,-96.950128017922196", "🔗 Ver Mapa")</f>
        <v>🔗 Ver Mapa</v>
      </c>
    </row>
    <row r="12574" spans="1:12" ht="43.5" x14ac:dyDescent="0.35">
      <c r="A12574" s="6" t="s">
        <v>98</v>
      </c>
      <c r="B12574" s="6" t="s">
        <v>99</v>
      </c>
      <c r="C12574" s="6" t="s">
        <v>2535</v>
      </c>
      <c r="D12574" s="6" t="s">
        <v>14</v>
      </c>
      <c r="E12574" s="6" t="s">
        <v>39</v>
      </c>
      <c r="F12574" s="6" t="s">
        <v>494</v>
      </c>
      <c r="G12574" s="6" t="s">
        <v>2160</v>
      </c>
      <c r="H12574" s="6" t="s">
        <v>2536</v>
      </c>
      <c r="I12574" s="6" t="s">
        <v>31</v>
      </c>
      <c r="J12574" s="6">
        <v>16.579618349775</v>
      </c>
      <c r="K12574" s="6">
        <v>-96.952570179643004</v>
      </c>
      <c r="L12574" s="6" t="str">
        <f>HYPERLINK("https://maps.google.com/?q=16.5796183497746,-96.952570179643303", "🔗 Ver Mapa")</f>
        <v>🔗 Ver Mapa</v>
      </c>
    </row>
    <row r="12575" spans="1:12" ht="43.5" x14ac:dyDescent="0.35">
      <c r="A12575" s="5" t="s">
        <v>98</v>
      </c>
      <c r="B12575" s="5" t="s">
        <v>99</v>
      </c>
      <c r="C12575" s="5" t="s">
        <v>2535</v>
      </c>
      <c r="D12575" s="5" t="s">
        <v>14</v>
      </c>
      <c r="E12575" s="5" t="s">
        <v>39</v>
      </c>
      <c r="F12575" s="5" t="s">
        <v>494</v>
      </c>
      <c r="G12575" s="5" t="s">
        <v>2160</v>
      </c>
      <c r="H12575" s="5" t="s">
        <v>2536</v>
      </c>
      <c r="I12575" s="5" t="s">
        <v>31</v>
      </c>
      <c r="J12575" s="5">
        <v>16.579800876151999</v>
      </c>
      <c r="K12575" s="5">
        <v>-96.952813800027002</v>
      </c>
      <c r="L12575" s="5" t="str">
        <f>HYPERLINK("https://maps.google.com/?q=16.5798008761522,-96.952813800027499", "🔗 Ver Mapa")</f>
        <v>🔗 Ver Mapa</v>
      </c>
    </row>
    <row r="12576" spans="1:12" ht="43.5" x14ac:dyDescent="0.35">
      <c r="A12576" s="6" t="s">
        <v>98</v>
      </c>
      <c r="B12576" s="6" t="s">
        <v>99</v>
      </c>
      <c r="C12576" s="6" t="s">
        <v>2535</v>
      </c>
      <c r="D12576" s="6" t="s">
        <v>14</v>
      </c>
      <c r="E12576" s="6" t="s">
        <v>39</v>
      </c>
      <c r="F12576" s="6" t="s">
        <v>494</v>
      </c>
      <c r="G12576" s="6" t="s">
        <v>2160</v>
      </c>
      <c r="H12576" s="6" t="s">
        <v>2536</v>
      </c>
      <c r="I12576" s="6" t="s">
        <v>31</v>
      </c>
      <c r="J12576" s="6">
        <v>16.579881852915001</v>
      </c>
      <c r="K12576" s="6">
        <v>-96.952080666086005</v>
      </c>
      <c r="L12576" s="6" t="str">
        <f>HYPERLINK("https://maps.google.com/?q=16.5798818529152,-96.952080666085905", "🔗 Ver Mapa")</f>
        <v>🔗 Ver Mapa</v>
      </c>
    </row>
    <row r="12577" spans="1:12" ht="43.5" x14ac:dyDescent="0.35">
      <c r="A12577" s="5" t="s">
        <v>98</v>
      </c>
      <c r="B12577" s="5" t="s">
        <v>99</v>
      </c>
      <c r="C12577" s="5" t="s">
        <v>2537</v>
      </c>
      <c r="D12577" s="5" t="s">
        <v>14</v>
      </c>
      <c r="E12577" s="5" t="s">
        <v>39</v>
      </c>
      <c r="F12577" s="5" t="s">
        <v>494</v>
      </c>
      <c r="G12577" s="5" t="s">
        <v>2160</v>
      </c>
      <c r="H12577" s="5" t="s">
        <v>2538</v>
      </c>
      <c r="I12577" s="5" t="s">
        <v>31</v>
      </c>
      <c r="J12577" s="5">
        <v>16.623638105381001</v>
      </c>
      <c r="K12577" s="5">
        <v>-96.952514824179005</v>
      </c>
      <c r="L12577" s="5" t="str">
        <f>HYPERLINK("https://maps.google.com/?q=16.6236381053812,-96.952514824179005", "🔗 Ver Mapa")</f>
        <v>🔗 Ver Mapa</v>
      </c>
    </row>
    <row r="12578" spans="1:12" ht="43.5" x14ac:dyDescent="0.35">
      <c r="A12578" s="6" t="s">
        <v>98</v>
      </c>
      <c r="B12578" s="6" t="s">
        <v>99</v>
      </c>
      <c r="C12578" s="6" t="s">
        <v>2537</v>
      </c>
      <c r="D12578" s="6" t="s">
        <v>14</v>
      </c>
      <c r="E12578" s="6" t="s">
        <v>39</v>
      </c>
      <c r="F12578" s="6" t="s">
        <v>494</v>
      </c>
      <c r="G12578" s="6" t="s">
        <v>2160</v>
      </c>
      <c r="H12578" s="6" t="s">
        <v>2538</v>
      </c>
      <c r="I12578" s="6" t="s">
        <v>31</v>
      </c>
      <c r="J12578" s="6">
        <v>16.623753756624001</v>
      </c>
      <c r="K12578" s="6">
        <v>-96.952736862432999</v>
      </c>
      <c r="L12578" s="6" t="str">
        <f>HYPERLINK("https://maps.google.com/?q=16.6237537566238,-96.952736862432701", "🔗 Ver Mapa")</f>
        <v>🔗 Ver Mapa</v>
      </c>
    </row>
    <row r="12579" spans="1:12" ht="43.5" x14ac:dyDescent="0.35">
      <c r="A12579" s="5" t="s">
        <v>98</v>
      </c>
      <c r="B12579" s="5" t="s">
        <v>99</v>
      </c>
      <c r="C12579" s="5" t="s">
        <v>2537</v>
      </c>
      <c r="D12579" s="5" t="s">
        <v>14</v>
      </c>
      <c r="E12579" s="5" t="s">
        <v>39</v>
      </c>
      <c r="F12579" s="5" t="s">
        <v>494</v>
      </c>
      <c r="G12579" s="5" t="s">
        <v>2160</v>
      </c>
      <c r="H12579" s="5" t="s">
        <v>2538</v>
      </c>
      <c r="I12579" s="5" t="s">
        <v>31</v>
      </c>
      <c r="J12579" s="5">
        <v>16.624897453698001</v>
      </c>
      <c r="K12579" s="5">
        <v>-96.961480387540007</v>
      </c>
      <c r="L12579" s="5" t="str">
        <f>HYPERLINK("https://maps.google.com/?q=16.6248974536977,-96.961480387539794", "🔗 Ver Mapa")</f>
        <v>🔗 Ver Mapa</v>
      </c>
    </row>
    <row r="12580" spans="1:12" ht="43.5" x14ac:dyDescent="0.35">
      <c r="A12580" s="6" t="s">
        <v>98</v>
      </c>
      <c r="B12580" s="6" t="s">
        <v>99</v>
      </c>
      <c r="C12580" s="6" t="s">
        <v>2537</v>
      </c>
      <c r="D12580" s="6" t="s">
        <v>14</v>
      </c>
      <c r="E12580" s="6" t="s">
        <v>39</v>
      </c>
      <c r="F12580" s="6" t="s">
        <v>494</v>
      </c>
      <c r="G12580" s="6" t="s">
        <v>2160</v>
      </c>
      <c r="H12580" s="6" t="s">
        <v>2538</v>
      </c>
      <c r="I12580" s="6" t="s">
        <v>31</v>
      </c>
      <c r="J12580" s="6">
        <v>16.625346296480998</v>
      </c>
      <c r="K12580" s="6">
        <v>-96.957202097570004</v>
      </c>
      <c r="L12580" s="6" t="str">
        <f>HYPERLINK("https://maps.google.com/?q=16.6253462964805,-96.957202097569905", "🔗 Ver Mapa")</f>
        <v>🔗 Ver Mapa</v>
      </c>
    </row>
    <row r="12581" spans="1:12" ht="43.5" x14ac:dyDescent="0.35">
      <c r="A12581" s="5" t="s">
        <v>98</v>
      </c>
      <c r="B12581" s="5" t="s">
        <v>99</v>
      </c>
      <c r="C12581" s="5" t="s">
        <v>2537</v>
      </c>
      <c r="D12581" s="5" t="s">
        <v>14</v>
      </c>
      <c r="E12581" s="5" t="s">
        <v>39</v>
      </c>
      <c r="F12581" s="5" t="s">
        <v>494</v>
      </c>
      <c r="G12581" s="5" t="s">
        <v>2160</v>
      </c>
      <c r="H12581" s="5" t="s">
        <v>2538</v>
      </c>
      <c r="I12581" s="5" t="s">
        <v>31</v>
      </c>
      <c r="J12581" s="5">
        <v>16.625449197727001</v>
      </c>
      <c r="K12581" s="5">
        <v>-96.957015347791</v>
      </c>
      <c r="L12581" s="5" t="str">
        <f>HYPERLINK("https://maps.google.com/?q=16.625449197727,-96.9570153477909", "🔗 Ver Mapa")</f>
        <v>🔗 Ver Mapa</v>
      </c>
    </row>
    <row r="12582" spans="1:12" ht="43.5" x14ac:dyDescent="0.35">
      <c r="A12582" s="6" t="s">
        <v>98</v>
      </c>
      <c r="B12582" s="6" t="s">
        <v>99</v>
      </c>
      <c r="C12582" s="6" t="s">
        <v>2537</v>
      </c>
      <c r="D12582" s="6" t="s">
        <v>14</v>
      </c>
      <c r="E12582" s="6" t="s">
        <v>39</v>
      </c>
      <c r="F12582" s="6" t="s">
        <v>494</v>
      </c>
      <c r="G12582" s="6" t="s">
        <v>2160</v>
      </c>
      <c r="H12582" s="6" t="s">
        <v>2538</v>
      </c>
      <c r="I12582" s="6" t="s">
        <v>31</v>
      </c>
      <c r="J12582" s="6">
        <v>16.625768707222999</v>
      </c>
      <c r="K12582" s="6">
        <v>-96.955915280114993</v>
      </c>
      <c r="L12582" s="6" t="str">
        <f>HYPERLINK("https://maps.google.com/?q=16.625768707223,-96.955915280114795", "🔗 Ver Mapa")</f>
        <v>🔗 Ver Mapa</v>
      </c>
    </row>
    <row r="12583" spans="1:12" ht="43.5" x14ac:dyDescent="0.35">
      <c r="A12583" s="5" t="s">
        <v>98</v>
      </c>
      <c r="B12583" s="5" t="s">
        <v>99</v>
      </c>
      <c r="C12583" s="5" t="s">
        <v>2537</v>
      </c>
      <c r="D12583" s="5" t="s">
        <v>14</v>
      </c>
      <c r="E12583" s="5" t="s">
        <v>39</v>
      </c>
      <c r="F12583" s="5" t="s">
        <v>494</v>
      </c>
      <c r="G12583" s="5" t="s">
        <v>2160</v>
      </c>
      <c r="H12583" s="5" t="s">
        <v>2538</v>
      </c>
      <c r="I12583" s="5" t="s">
        <v>31</v>
      </c>
      <c r="J12583" s="5">
        <v>16.626387627435001</v>
      </c>
      <c r="K12583" s="5">
        <v>-96.954827068835996</v>
      </c>
      <c r="L12583" s="5" t="str">
        <f>HYPERLINK("https://maps.google.com/?q=16.6263876274353,-96.954827068836096", "🔗 Ver Mapa")</f>
        <v>🔗 Ver Mapa</v>
      </c>
    </row>
    <row r="12584" spans="1:12" ht="43.5" x14ac:dyDescent="0.35">
      <c r="A12584" s="6" t="s">
        <v>98</v>
      </c>
      <c r="B12584" s="6" t="s">
        <v>99</v>
      </c>
      <c r="C12584" s="6" t="s">
        <v>2537</v>
      </c>
      <c r="D12584" s="6" t="s">
        <v>14</v>
      </c>
      <c r="E12584" s="6" t="s">
        <v>39</v>
      </c>
      <c r="F12584" s="6" t="s">
        <v>494</v>
      </c>
      <c r="G12584" s="6" t="s">
        <v>2160</v>
      </c>
      <c r="H12584" s="6" t="s">
        <v>2538</v>
      </c>
      <c r="I12584" s="6" t="s">
        <v>31</v>
      </c>
      <c r="J12584" s="6">
        <v>16.626711103268001</v>
      </c>
      <c r="K12584" s="6">
        <v>-96.954764974428997</v>
      </c>
      <c r="L12584" s="6" t="str">
        <f>HYPERLINK("https://maps.google.com/?q=16.6267111032676,-96.954764974428599", "🔗 Ver Mapa")</f>
        <v>🔗 Ver Mapa</v>
      </c>
    </row>
    <row r="12585" spans="1:12" ht="43.5" x14ac:dyDescent="0.35">
      <c r="A12585" s="5" t="s">
        <v>98</v>
      </c>
      <c r="B12585" s="5" t="s">
        <v>99</v>
      </c>
      <c r="C12585" s="5" t="s">
        <v>2537</v>
      </c>
      <c r="D12585" s="5" t="s">
        <v>14</v>
      </c>
      <c r="E12585" s="5" t="s">
        <v>39</v>
      </c>
      <c r="F12585" s="5" t="s">
        <v>494</v>
      </c>
      <c r="G12585" s="5" t="s">
        <v>2160</v>
      </c>
      <c r="H12585" s="5" t="s">
        <v>2538</v>
      </c>
      <c r="I12585" s="5" t="s">
        <v>31</v>
      </c>
      <c r="J12585" s="5">
        <v>16.626882013749</v>
      </c>
      <c r="K12585" s="5">
        <v>-96.94745158632</v>
      </c>
      <c r="L12585" s="5" t="str">
        <f>HYPERLINK("https://maps.google.com/?q=16.6268820137488,-96.947451586320497", "🔗 Ver Mapa")</f>
        <v>🔗 Ver Mapa</v>
      </c>
    </row>
    <row r="12586" spans="1:12" ht="43.5" x14ac:dyDescent="0.35">
      <c r="A12586" s="6" t="s">
        <v>98</v>
      </c>
      <c r="B12586" s="6" t="s">
        <v>99</v>
      </c>
      <c r="C12586" s="6" t="s">
        <v>2537</v>
      </c>
      <c r="D12586" s="6" t="s">
        <v>14</v>
      </c>
      <c r="E12586" s="6" t="s">
        <v>39</v>
      </c>
      <c r="F12586" s="6" t="s">
        <v>494</v>
      </c>
      <c r="G12586" s="6" t="s">
        <v>2160</v>
      </c>
      <c r="H12586" s="6" t="s">
        <v>2538</v>
      </c>
      <c r="I12586" s="6" t="s">
        <v>31</v>
      </c>
      <c r="J12586" s="6">
        <v>16.626902107637001</v>
      </c>
      <c r="K12586" s="6">
        <v>-96.954799481164002</v>
      </c>
      <c r="L12586" s="6" t="str">
        <f>HYPERLINK("https://maps.google.com/?q=16.6269021076366,-96.954799481164102", "🔗 Ver Mapa")</f>
        <v>🔗 Ver Mapa</v>
      </c>
    </row>
    <row r="12587" spans="1:12" ht="43.5" x14ac:dyDescent="0.35">
      <c r="A12587" s="5" t="s">
        <v>98</v>
      </c>
      <c r="B12587" s="5" t="s">
        <v>99</v>
      </c>
      <c r="C12587" s="5" t="s">
        <v>2539</v>
      </c>
      <c r="D12587" s="5" t="s">
        <v>14</v>
      </c>
      <c r="E12587" s="5" t="s">
        <v>39</v>
      </c>
      <c r="F12587" s="5" t="s">
        <v>494</v>
      </c>
      <c r="G12587" s="5" t="s">
        <v>2160</v>
      </c>
      <c r="H12587" s="5" t="s">
        <v>2540</v>
      </c>
      <c r="I12587" s="5" t="s">
        <v>31</v>
      </c>
      <c r="J12587" s="5">
        <v>16.518649586291001</v>
      </c>
      <c r="K12587" s="5">
        <v>-96.987450203879007</v>
      </c>
      <c r="L12587" s="5" t="str">
        <f>HYPERLINK("https://maps.google.com/?q=16.5186495862909,-96.987450203879", "🔗 Ver Mapa")</f>
        <v>🔗 Ver Mapa</v>
      </c>
    </row>
    <row r="12588" spans="1:12" ht="43.5" x14ac:dyDescent="0.35">
      <c r="A12588" s="6" t="s">
        <v>98</v>
      </c>
      <c r="B12588" s="6" t="s">
        <v>99</v>
      </c>
      <c r="C12588" s="6" t="s">
        <v>2539</v>
      </c>
      <c r="D12588" s="6" t="s">
        <v>14</v>
      </c>
      <c r="E12588" s="6" t="s">
        <v>39</v>
      </c>
      <c r="F12588" s="6" t="s">
        <v>494</v>
      </c>
      <c r="G12588" s="6" t="s">
        <v>2160</v>
      </c>
      <c r="H12588" s="6" t="s">
        <v>2540</v>
      </c>
      <c r="I12588" s="6" t="s">
        <v>31</v>
      </c>
      <c r="J12588" s="6">
        <v>16.519008982950002</v>
      </c>
      <c r="K12588" s="6">
        <v>-96.981695061341</v>
      </c>
      <c r="L12588" s="6" t="str">
        <f>HYPERLINK("https://maps.google.com/?q=16.51900898295,-96.981695061341", "🔗 Ver Mapa")</f>
        <v>🔗 Ver Mapa</v>
      </c>
    </row>
    <row r="12589" spans="1:12" ht="43.5" x14ac:dyDescent="0.35">
      <c r="A12589" s="5" t="s">
        <v>98</v>
      </c>
      <c r="B12589" s="5" t="s">
        <v>99</v>
      </c>
      <c r="C12589" s="5" t="s">
        <v>2539</v>
      </c>
      <c r="D12589" s="5" t="s">
        <v>14</v>
      </c>
      <c r="E12589" s="5" t="s">
        <v>39</v>
      </c>
      <c r="F12589" s="5" t="s">
        <v>494</v>
      </c>
      <c r="G12589" s="5" t="s">
        <v>2160</v>
      </c>
      <c r="H12589" s="5" t="s">
        <v>2540</v>
      </c>
      <c r="I12589" s="5" t="s">
        <v>31</v>
      </c>
      <c r="J12589" s="5">
        <v>16.520327502318001</v>
      </c>
      <c r="K12589" s="5">
        <v>-96.982123575282998</v>
      </c>
      <c r="L12589" s="5" t="str">
        <f>HYPERLINK("https://maps.google.com/?q=16.5203275023183,-96.982123575282799", "🔗 Ver Mapa")</f>
        <v>🔗 Ver Mapa</v>
      </c>
    </row>
    <row r="12590" spans="1:12" ht="43.5" x14ac:dyDescent="0.35">
      <c r="A12590" s="6" t="s">
        <v>98</v>
      </c>
      <c r="B12590" s="6" t="s">
        <v>99</v>
      </c>
      <c r="C12590" s="6" t="s">
        <v>2539</v>
      </c>
      <c r="D12590" s="6" t="s">
        <v>14</v>
      </c>
      <c r="E12590" s="6" t="s">
        <v>39</v>
      </c>
      <c r="F12590" s="6" t="s">
        <v>494</v>
      </c>
      <c r="G12590" s="6" t="s">
        <v>2160</v>
      </c>
      <c r="H12590" s="6" t="s">
        <v>2540</v>
      </c>
      <c r="I12590" s="6" t="s">
        <v>31</v>
      </c>
      <c r="J12590" s="6">
        <v>16.520656257508001</v>
      </c>
      <c r="K12590" s="6">
        <v>-96.980868292208996</v>
      </c>
      <c r="L12590" s="6" t="str">
        <f>HYPERLINK("https://maps.google.com/?q=16.5206562575076,-96.980868292209493", "🔗 Ver Mapa")</f>
        <v>🔗 Ver Mapa</v>
      </c>
    </row>
    <row r="12591" spans="1:12" ht="43.5" x14ac:dyDescent="0.35">
      <c r="A12591" s="5" t="s">
        <v>98</v>
      </c>
      <c r="B12591" s="5" t="s">
        <v>99</v>
      </c>
      <c r="C12591" s="5" t="s">
        <v>2539</v>
      </c>
      <c r="D12591" s="5" t="s">
        <v>14</v>
      </c>
      <c r="E12591" s="5" t="s">
        <v>39</v>
      </c>
      <c r="F12591" s="5" t="s">
        <v>494</v>
      </c>
      <c r="G12591" s="5" t="s">
        <v>2160</v>
      </c>
      <c r="H12591" s="5" t="s">
        <v>2540</v>
      </c>
      <c r="I12591" s="5" t="s">
        <v>31</v>
      </c>
      <c r="J12591" s="5">
        <v>16.520713881291002</v>
      </c>
      <c r="K12591" s="5">
        <v>-96.986173009292003</v>
      </c>
      <c r="L12591" s="5" t="str">
        <f>HYPERLINK("https://maps.google.com/?q=16.5207138812908,-96.986173009291505", "🔗 Ver Mapa")</f>
        <v>🔗 Ver Mapa</v>
      </c>
    </row>
    <row r="12592" spans="1:12" ht="43.5" x14ac:dyDescent="0.35">
      <c r="A12592" s="6" t="s">
        <v>98</v>
      </c>
      <c r="B12592" s="6" t="s">
        <v>99</v>
      </c>
      <c r="C12592" s="6" t="s">
        <v>2539</v>
      </c>
      <c r="D12592" s="6" t="s">
        <v>14</v>
      </c>
      <c r="E12592" s="6" t="s">
        <v>39</v>
      </c>
      <c r="F12592" s="6" t="s">
        <v>494</v>
      </c>
      <c r="G12592" s="6" t="s">
        <v>2160</v>
      </c>
      <c r="H12592" s="6" t="s">
        <v>2540</v>
      </c>
      <c r="I12592" s="6" t="s">
        <v>31</v>
      </c>
      <c r="J12592" s="6">
        <v>16.520924199955999</v>
      </c>
      <c r="K12592" s="6">
        <v>-96.981210185259997</v>
      </c>
      <c r="L12592" s="6" t="str">
        <f>HYPERLINK("https://maps.google.com/?q=16.5209241999563,-96.981210185259698", "🔗 Ver Mapa")</f>
        <v>🔗 Ver Mapa</v>
      </c>
    </row>
    <row r="12593" spans="1:12" ht="43.5" x14ac:dyDescent="0.35">
      <c r="A12593" s="5" t="s">
        <v>98</v>
      </c>
      <c r="B12593" s="5" t="s">
        <v>99</v>
      </c>
      <c r="C12593" s="5" t="s">
        <v>2539</v>
      </c>
      <c r="D12593" s="5" t="s">
        <v>14</v>
      </c>
      <c r="E12593" s="5" t="s">
        <v>39</v>
      </c>
      <c r="F12593" s="5" t="s">
        <v>494</v>
      </c>
      <c r="G12593" s="5" t="s">
        <v>2160</v>
      </c>
      <c r="H12593" s="5" t="s">
        <v>2540</v>
      </c>
      <c r="I12593" s="5" t="s">
        <v>31</v>
      </c>
      <c r="J12593" s="5">
        <v>16.521301697940999</v>
      </c>
      <c r="K12593" s="5">
        <v>-96.985116911288998</v>
      </c>
      <c r="L12593" s="5" t="str">
        <f>HYPERLINK("https://maps.google.com/?q=16.5213016979415,-96.9851169112886", "🔗 Ver Mapa")</f>
        <v>🔗 Ver Mapa</v>
      </c>
    </row>
    <row r="12594" spans="1:12" ht="43.5" x14ac:dyDescent="0.35">
      <c r="A12594" s="6" t="s">
        <v>98</v>
      </c>
      <c r="B12594" s="6" t="s">
        <v>99</v>
      </c>
      <c r="C12594" s="6" t="s">
        <v>2539</v>
      </c>
      <c r="D12594" s="6" t="s">
        <v>14</v>
      </c>
      <c r="E12594" s="6" t="s">
        <v>39</v>
      </c>
      <c r="F12594" s="6" t="s">
        <v>494</v>
      </c>
      <c r="G12594" s="6" t="s">
        <v>2160</v>
      </c>
      <c r="H12594" s="6" t="s">
        <v>2540</v>
      </c>
      <c r="I12594" s="6" t="s">
        <v>31</v>
      </c>
      <c r="J12594" s="6">
        <v>16.521807084302001</v>
      </c>
      <c r="K12594" s="6">
        <v>-96.980684022169001</v>
      </c>
      <c r="L12594" s="6" t="str">
        <f>HYPERLINK("https://maps.google.com/?q=16.5218070843023,-96.980684022168603", "🔗 Ver Mapa")</f>
        <v>🔗 Ver Mapa</v>
      </c>
    </row>
    <row r="12595" spans="1:12" ht="43.5" x14ac:dyDescent="0.35">
      <c r="A12595" s="5" t="s">
        <v>98</v>
      </c>
      <c r="B12595" s="5" t="s">
        <v>99</v>
      </c>
      <c r="C12595" s="5" t="s">
        <v>2539</v>
      </c>
      <c r="D12595" s="5" t="s">
        <v>14</v>
      </c>
      <c r="E12595" s="5" t="s">
        <v>39</v>
      </c>
      <c r="F12595" s="5" t="s">
        <v>494</v>
      </c>
      <c r="G12595" s="5" t="s">
        <v>2160</v>
      </c>
      <c r="H12595" s="5" t="s">
        <v>2540</v>
      </c>
      <c r="I12595" s="5" t="s">
        <v>31</v>
      </c>
      <c r="J12595" s="5">
        <v>16.521819001575999</v>
      </c>
      <c r="K12595" s="5">
        <v>-96.981382927390001</v>
      </c>
      <c r="L12595" s="5" t="str">
        <f>HYPERLINK("https://maps.google.com/?q=16.5218190015756,-96.981382927389603", "🔗 Ver Mapa")</f>
        <v>🔗 Ver Mapa</v>
      </c>
    </row>
    <row r="12596" spans="1:12" ht="43.5" x14ac:dyDescent="0.35">
      <c r="A12596" s="6" t="s">
        <v>98</v>
      </c>
      <c r="B12596" s="6" t="s">
        <v>99</v>
      </c>
      <c r="C12596" s="6" t="s">
        <v>2539</v>
      </c>
      <c r="D12596" s="6" t="s">
        <v>14</v>
      </c>
      <c r="E12596" s="6" t="s">
        <v>39</v>
      </c>
      <c r="F12596" s="6" t="s">
        <v>494</v>
      </c>
      <c r="G12596" s="6" t="s">
        <v>2160</v>
      </c>
      <c r="H12596" s="6" t="s">
        <v>2540</v>
      </c>
      <c r="I12596" s="6" t="s">
        <v>31</v>
      </c>
      <c r="J12596" s="6">
        <v>16.521832466067</v>
      </c>
      <c r="K12596" s="6">
        <v>-96.984285319785002</v>
      </c>
      <c r="L12596" s="6" t="str">
        <f>HYPERLINK("https://maps.google.com/?q=16.5218324660671,-96.9842853197854", "🔗 Ver Mapa")</f>
        <v>🔗 Ver Mapa</v>
      </c>
    </row>
    <row r="12597" spans="1:12" ht="43.5" x14ac:dyDescent="0.35">
      <c r="A12597" s="5" t="s">
        <v>98</v>
      </c>
      <c r="B12597" s="5" t="s">
        <v>99</v>
      </c>
      <c r="C12597" s="5" t="s">
        <v>2539</v>
      </c>
      <c r="D12597" s="5" t="s">
        <v>14</v>
      </c>
      <c r="E12597" s="5" t="s">
        <v>39</v>
      </c>
      <c r="F12597" s="5" t="s">
        <v>494</v>
      </c>
      <c r="G12597" s="5" t="s">
        <v>2160</v>
      </c>
      <c r="H12597" s="5" t="s">
        <v>2540</v>
      </c>
      <c r="I12597" s="5" t="s">
        <v>31</v>
      </c>
      <c r="J12597" s="5">
        <v>16.522162898969</v>
      </c>
      <c r="K12597" s="5">
        <v>-96.981376464109005</v>
      </c>
      <c r="L12597" s="5" t="str">
        <f>HYPERLINK("https://maps.google.com/?q=16.5221628989694,-96.981376464108706", "🔗 Ver Mapa")</f>
        <v>🔗 Ver Mapa</v>
      </c>
    </row>
    <row r="12598" spans="1:12" ht="43.5" x14ac:dyDescent="0.35">
      <c r="A12598" s="6" t="s">
        <v>98</v>
      </c>
      <c r="B12598" s="6" t="s">
        <v>99</v>
      </c>
      <c r="C12598" s="6" t="s">
        <v>2539</v>
      </c>
      <c r="D12598" s="6" t="s">
        <v>14</v>
      </c>
      <c r="E12598" s="6" t="s">
        <v>39</v>
      </c>
      <c r="F12598" s="6" t="s">
        <v>494</v>
      </c>
      <c r="G12598" s="6" t="s">
        <v>2160</v>
      </c>
      <c r="H12598" s="6" t="s">
        <v>2540</v>
      </c>
      <c r="I12598" s="6" t="s">
        <v>31</v>
      </c>
      <c r="J12598" s="6">
        <v>16.522353186920999</v>
      </c>
      <c r="K12598" s="6">
        <v>-96.982009465435993</v>
      </c>
      <c r="L12598" s="6" t="str">
        <f>HYPERLINK("https://maps.google.com/?q=16.5223531869208,-96.982009465435894", "🔗 Ver Mapa")</f>
        <v>🔗 Ver Mapa</v>
      </c>
    </row>
    <row r="12599" spans="1:12" ht="43.5" x14ac:dyDescent="0.35">
      <c r="A12599" s="5" t="s">
        <v>98</v>
      </c>
      <c r="B12599" s="5" t="s">
        <v>99</v>
      </c>
      <c r="C12599" s="5" t="s">
        <v>2539</v>
      </c>
      <c r="D12599" s="5" t="s">
        <v>14</v>
      </c>
      <c r="E12599" s="5" t="s">
        <v>39</v>
      </c>
      <c r="F12599" s="5" t="s">
        <v>494</v>
      </c>
      <c r="G12599" s="5" t="s">
        <v>2160</v>
      </c>
      <c r="H12599" s="5" t="s">
        <v>2540</v>
      </c>
      <c r="I12599" s="5" t="s">
        <v>31</v>
      </c>
      <c r="J12599" s="5">
        <v>16.522539222408</v>
      </c>
      <c r="K12599" s="5">
        <v>-96.981984424266003</v>
      </c>
      <c r="L12599" s="5" t="str">
        <f>HYPERLINK("https://maps.google.com/?q=16.5225392224077,-96.981984424265605", "🔗 Ver Mapa")</f>
        <v>🔗 Ver Mapa</v>
      </c>
    </row>
    <row r="12600" spans="1:12" ht="43.5" x14ac:dyDescent="0.35">
      <c r="A12600" s="6" t="s">
        <v>98</v>
      </c>
      <c r="B12600" s="6" t="s">
        <v>99</v>
      </c>
      <c r="C12600" s="6" t="s">
        <v>2539</v>
      </c>
      <c r="D12600" s="6" t="s">
        <v>14</v>
      </c>
      <c r="E12600" s="6" t="s">
        <v>39</v>
      </c>
      <c r="F12600" s="6" t="s">
        <v>494</v>
      </c>
      <c r="G12600" s="6" t="s">
        <v>2160</v>
      </c>
      <c r="H12600" s="6" t="s">
        <v>2540</v>
      </c>
      <c r="I12600" s="6" t="s">
        <v>31</v>
      </c>
      <c r="J12600" s="6">
        <v>16.522561056655</v>
      </c>
      <c r="K12600" s="6">
        <v>-96.983583485900994</v>
      </c>
      <c r="L12600" s="6" t="str">
        <f>HYPERLINK("https://maps.google.com/?q=16.5225610566548,-96.983583485901207", "🔗 Ver Mapa")</f>
        <v>🔗 Ver Mapa</v>
      </c>
    </row>
    <row r="12601" spans="1:12" ht="43.5" x14ac:dyDescent="0.35">
      <c r="A12601" s="5" t="s">
        <v>98</v>
      </c>
      <c r="B12601" s="5" t="s">
        <v>99</v>
      </c>
      <c r="C12601" s="5" t="s">
        <v>2539</v>
      </c>
      <c r="D12601" s="5" t="s">
        <v>14</v>
      </c>
      <c r="E12601" s="5" t="s">
        <v>39</v>
      </c>
      <c r="F12601" s="5" t="s">
        <v>494</v>
      </c>
      <c r="G12601" s="5" t="s">
        <v>2160</v>
      </c>
      <c r="H12601" s="5" t="s">
        <v>2540</v>
      </c>
      <c r="I12601" s="5" t="s">
        <v>31</v>
      </c>
      <c r="J12601" s="5">
        <v>16.522575623375999</v>
      </c>
      <c r="K12601" s="5">
        <v>-96.982966428414002</v>
      </c>
      <c r="L12601" s="5" t="str">
        <f>HYPERLINK("https://maps.google.com/?q=16.5225756233758,-96.982966428413803", "🔗 Ver Mapa")</f>
        <v>🔗 Ver Mapa</v>
      </c>
    </row>
    <row r="12602" spans="1:12" ht="43.5" x14ac:dyDescent="0.35">
      <c r="A12602" s="6" t="s">
        <v>98</v>
      </c>
      <c r="B12602" s="6" t="s">
        <v>99</v>
      </c>
      <c r="C12602" s="6" t="s">
        <v>2539</v>
      </c>
      <c r="D12602" s="6" t="s">
        <v>14</v>
      </c>
      <c r="E12602" s="6" t="s">
        <v>39</v>
      </c>
      <c r="F12602" s="6" t="s">
        <v>494</v>
      </c>
      <c r="G12602" s="6" t="s">
        <v>2160</v>
      </c>
      <c r="H12602" s="6" t="s">
        <v>2540</v>
      </c>
      <c r="I12602" s="6" t="s">
        <v>31</v>
      </c>
      <c r="J12602" s="6">
        <v>16.522712257506001</v>
      </c>
      <c r="K12602" s="6">
        <v>-96.984056644657002</v>
      </c>
      <c r="L12602" s="6" t="str">
        <f>HYPERLINK("https://maps.google.com/?q=16.5227122575057,-96.984056644657301", "🔗 Ver Mapa")</f>
        <v>🔗 Ver Mapa</v>
      </c>
    </row>
    <row r="12603" spans="1:12" ht="43.5" x14ac:dyDescent="0.35">
      <c r="A12603" s="5" t="s">
        <v>98</v>
      </c>
      <c r="B12603" s="5" t="s">
        <v>99</v>
      </c>
      <c r="C12603" s="5" t="s">
        <v>2539</v>
      </c>
      <c r="D12603" s="5" t="s">
        <v>14</v>
      </c>
      <c r="E12603" s="5" t="s">
        <v>39</v>
      </c>
      <c r="F12603" s="5" t="s">
        <v>494</v>
      </c>
      <c r="G12603" s="5" t="s">
        <v>2160</v>
      </c>
      <c r="H12603" s="5" t="s">
        <v>2540</v>
      </c>
      <c r="I12603" s="5" t="s">
        <v>31</v>
      </c>
      <c r="J12603" s="5">
        <v>16.522899743894001</v>
      </c>
      <c r="K12603" s="5">
        <v>-96.981898468115006</v>
      </c>
      <c r="L12603" s="5" t="str">
        <f>HYPERLINK("https://maps.google.com/?q=16.5228997438938,-96.981898468115205", "🔗 Ver Mapa")</f>
        <v>🔗 Ver Mapa</v>
      </c>
    </row>
    <row r="12604" spans="1:12" ht="43.5" x14ac:dyDescent="0.35">
      <c r="A12604" s="6" t="s">
        <v>98</v>
      </c>
      <c r="B12604" s="6" t="s">
        <v>99</v>
      </c>
      <c r="C12604" s="6" t="s">
        <v>2539</v>
      </c>
      <c r="D12604" s="6" t="s">
        <v>14</v>
      </c>
      <c r="E12604" s="6" t="s">
        <v>39</v>
      </c>
      <c r="F12604" s="6" t="s">
        <v>494</v>
      </c>
      <c r="G12604" s="6" t="s">
        <v>2160</v>
      </c>
      <c r="H12604" s="6" t="s">
        <v>2540</v>
      </c>
      <c r="I12604" s="6" t="s">
        <v>31</v>
      </c>
      <c r="J12604" s="6">
        <v>16.523442319137001</v>
      </c>
      <c r="K12604" s="6">
        <v>-96.982932459691</v>
      </c>
      <c r="L12604" s="6" t="str">
        <f>HYPERLINK("https://maps.google.com/?q=16.5234423191371,-96.982932459690502", "🔗 Ver Mapa")</f>
        <v>🔗 Ver Mapa</v>
      </c>
    </row>
    <row r="12605" spans="1:12" ht="43.5" x14ac:dyDescent="0.35">
      <c r="A12605" s="5" t="s">
        <v>98</v>
      </c>
      <c r="B12605" s="5" t="s">
        <v>99</v>
      </c>
      <c r="C12605" s="5" t="s">
        <v>2541</v>
      </c>
      <c r="D12605" s="5" t="s">
        <v>14</v>
      </c>
      <c r="E12605" s="5" t="s">
        <v>52</v>
      </c>
      <c r="F12605" s="5" t="s">
        <v>83</v>
      </c>
      <c r="G12605" s="5" t="s">
        <v>1574</v>
      </c>
      <c r="H12605" s="5" t="s">
        <v>1575</v>
      </c>
      <c r="I12605" s="5" t="s">
        <v>31</v>
      </c>
      <c r="J12605" s="5">
        <v>17.110916693145999</v>
      </c>
      <c r="K12605" s="5">
        <v>-96.857905104910998</v>
      </c>
      <c r="L12605" s="5" t="str">
        <f>HYPERLINK("https://maps.google.com/?q=17.1109166931456,-96.857905104910799", "🔗 Ver Mapa")</f>
        <v>🔗 Ver Mapa</v>
      </c>
    </row>
    <row r="12606" spans="1:12" ht="43.5" x14ac:dyDescent="0.35">
      <c r="A12606" s="6" t="s">
        <v>98</v>
      </c>
      <c r="B12606" s="6" t="s">
        <v>99</v>
      </c>
      <c r="C12606" s="6" t="s">
        <v>2541</v>
      </c>
      <c r="D12606" s="6" t="s">
        <v>14</v>
      </c>
      <c r="E12606" s="6" t="s">
        <v>52</v>
      </c>
      <c r="F12606" s="6" t="s">
        <v>83</v>
      </c>
      <c r="G12606" s="6" t="s">
        <v>1574</v>
      </c>
      <c r="H12606" s="6" t="s">
        <v>1575</v>
      </c>
      <c r="I12606" s="6" t="s">
        <v>31</v>
      </c>
      <c r="J12606" s="6">
        <v>17.110988454969998</v>
      </c>
      <c r="K12606" s="6">
        <v>-96.858462519013997</v>
      </c>
      <c r="L12606" s="6" t="str">
        <f>HYPERLINK("https://maps.google.com/?q=17.1109884549705,-96.858462519014395", "🔗 Ver Mapa")</f>
        <v>🔗 Ver Mapa</v>
      </c>
    </row>
    <row r="12607" spans="1:12" ht="43.5" x14ac:dyDescent="0.35">
      <c r="A12607" s="5" t="s">
        <v>98</v>
      </c>
      <c r="B12607" s="5" t="s">
        <v>99</v>
      </c>
      <c r="C12607" s="5" t="s">
        <v>2541</v>
      </c>
      <c r="D12607" s="5" t="s">
        <v>14</v>
      </c>
      <c r="E12607" s="5" t="s">
        <v>52</v>
      </c>
      <c r="F12607" s="5" t="s">
        <v>83</v>
      </c>
      <c r="G12607" s="5" t="s">
        <v>1574</v>
      </c>
      <c r="H12607" s="5" t="s">
        <v>1575</v>
      </c>
      <c r="I12607" s="5" t="s">
        <v>31</v>
      </c>
      <c r="J12607" s="5">
        <v>17.113067000000001</v>
      </c>
      <c r="K12607" s="5">
        <v>-96.853031999999999</v>
      </c>
      <c r="L12607" s="5" t="str">
        <f>HYPERLINK("https://maps.google.com/?q=17.113067,-96.853031999999999", "🔗 Ver Mapa")</f>
        <v>🔗 Ver Mapa</v>
      </c>
    </row>
    <row r="12608" spans="1:12" ht="43.5" x14ac:dyDescent="0.35">
      <c r="A12608" s="6" t="s">
        <v>98</v>
      </c>
      <c r="B12608" s="6" t="s">
        <v>99</v>
      </c>
      <c r="C12608" s="6" t="s">
        <v>2541</v>
      </c>
      <c r="D12608" s="6" t="s">
        <v>14</v>
      </c>
      <c r="E12608" s="6" t="s">
        <v>52</v>
      </c>
      <c r="F12608" s="6" t="s">
        <v>83</v>
      </c>
      <c r="G12608" s="6" t="s">
        <v>1574</v>
      </c>
      <c r="H12608" s="6" t="s">
        <v>1575</v>
      </c>
      <c r="I12608" s="6" t="s">
        <v>31</v>
      </c>
      <c r="J12608" s="6">
        <v>17.113181000000001</v>
      </c>
      <c r="K12608" s="6">
        <v>-96.854400999999996</v>
      </c>
      <c r="L12608" s="6" t="str">
        <f>HYPERLINK("https://maps.google.com/?q=17.113181,-96.854400999999996", "🔗 Ver Mapa")</f>
        <v>🔗 Ver Mapa</v>
      </c>
    </row>
    <row r="12609" spans="1:12" ht="43.5" x14ac:dyDescent="0.35">
      <c r="A12609" s="5" t="s">
        <v>98</v>
      </c>
      <c r="B12609" s="5" t="s">
        <v>99</v>
      </c>
      <c r="C12609" s="5" t="s">
        <v>2541</v>
      </c>
      <c r="D12609" s="5" t="s">
        <v>14</v>
      </c>
      <c r="E12609" s="5" t="s">
        <v>52</v>
      </c>
      <c r="F12609" s="5" t="s">
        <v>83</v>
      </c>
      <c r="G12609" s="5" t="s">
        <v>1574</v>
      </c>
      <c r="H12609" s="5" t="s">
        <v>1575</v>
      </c>
      <c r="I12609" s="5" t="s">
        <v>31</v>
      </c>
      <c r="J12609" s="5">
        <v>17.113344000000001</v>
      </c>
      <c r="K12609" s="5">
        <v>-96.854454000000004</v>
      </c>
      <c r="L12609" s="5" t="str">
        <f>HYPERLINK("https://maps.google.com/?q=17.113344,-96.854454000000004", "🔗 Ver Mapa")</f>
        <v>🔗 Ver Mapa</v>
      </c>
    </row>
    <row r="12610" spans="1:12" ht="43.5" x14ac:dyDescent="0.35">
      <c r="A12610" s="6" t="s">
        <v>98</v>
      </c>
      <c r="B12610" s="6" t="s">
        <v>99</v>
      </c>
      <c r="C12610" s="6" t="s">
        <v>2541</v>
      </c>
      <c r="D12610" s="6" t="s">
        <v>14</v>
      </c>
      <c r="E12610" s="6" t="s">
        <v>52</v>
      </c>
      <c r="F12610" s="6" t="s">
        <v>83</v>
      </c>
      <c r="G12610" s="6" t="s">
        <v>1574</v>
      </c>
      <c r="H12610" s="6" t="s">
        <v>1575</v>
      </c>
      <c r="I12610" s="6" t="s">
        <v>31</v>
      </c>
      <c r="J12610" s="6">
        <v>17.113528792016002</v>
      </c>
      <c r="K12610" s="6">
        <v>-96.853910086507994</v>
      </c>
      <c r="L12610" s="6" t="str">
        <f>HYPERLINK("https://maps.google.com/?q=17.1135287920161,-96.853910086508193", "🔗 Ver Mapa")</f>
        <v>🔗 Ver Mapa</v>
      </c>
    </row>
    <row r="12611" spans="1:12" ht="43.5" x14ac:dyDescent="0.35">
      <c r="A12611" s="5" t="s">
        <v>98</v>
      </c>
      <c r="B12611" s="5" t="s">
        <v>99</v>
      </c>
      <c r="C12611" s="5" t="s">
        <v>2541</v>
      </c>
      <c r="D12611" s="5" t="s">
        <v>14</v>
      </c>
      <c r="E12611" s="5" t="s">
        <v>52</v>
      </c>
      <c r="F12611" s="5" t="s">
        <v>83</v>
      </c>
      <c r="G12611" s="5" t="s">
        <v>1574</v>
      </c>
      <c r="H12611" s="5" t="s">
        <v>1575</v>
      </c>
      <c r="I12611" s="5" t="s">
        <v>31</v>
      </c>
      <c r="J12611" s="5">
        <v>17.113675000000001</v>
      </c>
      <c r="K12611" s="5">
        <v>-96.854106999999999</v>
      </c>
      <c r="L12611" s="5" t="str">
        <f>HYPERLINK("https://maps.google.com/?q=17.113675,-96.854106999999999", "🔗 Ver Mapa")</f>
        <v>🔗 Ver Mapa</v>
      </c>
    </row>
    <row r="12612" spans="1:12" ht="43.5" x14ac:dyDescent="0.35">
      <c r="A12612" s="6" t="s">
        <v>98</v>
      </c>
      <c r="B12612" s="6" t="s">
        <v>99</v>
      </c>
      <c r="C12612" s="6" t="s">
        <v>2541</v>
      </c>
      <c r="D12612" s="6" t="s">
        <v>14</v>
      </c>
      <c r="E12612" s="6" t="s">
        <v>52</v>
      </c>
      <c r="F12612" s="6" t="s">
        <v>83</v>
      </c>
      <c r="G12612" s="6" t="s">
        <v>1574</v>
      </c>
      <c r="H12612" s="6" t="s">
        <v>1575</v>
      </c>
      <c r="I12612" s="6" t="s">
        <v>31</v>
      </c>
      <c r="J12612" s="6">
        <v>17.113720000000001</v>
      </c>
      <c r="K12612" s="6">
        <v>-96.849224000000007</v>
      </c>
      <c r="L12612" s="6" t="str">
        <f>HYPERLINK("https://maps.google.com/?q=17.11372,-96.849224000000007", "🔗 Ver Mapa")</f>
        <v>🔗 Ver Mapa</v>
      </c>
    </row>
    <row r="12613" spans="1:12" ht="43.5" x14ac:dyDescent="0.35">
      <c r="A12613" s="5" t="s">
        <v>98</v>
      </c>
      <c r="B12613" s="5" t="s">
        <v>99</v>
      </c>
      <c r="C12613" s="5" t="s">
        <v>2541</v>
      </c>
      <c r="D12613" s="5" t="s">
        <v>14</v>
      </c>
      <c r="E12613" s="5" t="s">
        <v>52</v>
      </c>
      <c r="F12613" s="5" t="s">
        <v>83</v>
      </c>
      <c r="G12613" s="5" t="s">
        <v>1574</v>
      </c>
      <c r="H12613" s="5" t="s">
        <v>1575</v>
      </c>
      <c r="I12613" s="5" t="s">
        <v>31</v>
      </c>
      <c r="J12613" s="5">
        <v>17.114929903817</v>
      </c>
      <c r="K12613" s="5">
        <v>-96.846537999999995</v>
      </c>
      <c r="L12613" s="5" t="str">
        <f>HYPERLINK("https://maps.google.com/?q=17.114929903817,-96.846537999999995", "🔗 Ver Mapa")</f>
        <v>🔗 Ver Mapa</v>
      </c>
    </row>
    <row r="12614" spans="1:12" ht="43.5" x14ac:dyDescent="0.35">
      <c r="A12614" s="6" t="s">
        <v>98</v>
      </c>
      <c r="B12614" s="6" t="s">
        <v>99</v>
      </c>
      <c r="C12614" s="6" t="s">
        <v>2541</v>
      </c>
      <c r="D12614" s="6" t="s">
        <v>14</v>
      </c>
      <c r="E12614" s="6" t="s">
        <v>52</v>
      </c>
      <c r="F12614" s="6" t="s">
        <v>83</v>
      </c>
      <c r="G12614" s="6" t="s">
        <v>1574</v>
      </c>
      <c r="H12614" s="6" t="s">
        <v>1575</v>
      </c>
      <c r="I12614" s="6" t="s">
        <v>31</v>
      </c>
      <c r="J12614" s="6">
        <v>17.115811000000001</v>
      </c>
      <c r="K12614" s="6">
        <v>-96.846160999999995</v>
      </c>
      <c r="L12614" s="6" t="str">
        <f>HYPERLINK("https://maps.google.com/?q=17.115811,-96.846160999999995", "🔗 Ver Mapa")</f>
        <v>🔗 Ver Mapa</v>
      </c>
    </row>
    <row r="12615" spans="1:12" ht="43.5" x14ac:dyDescent="0.35">
      <c r="A12615" s="5" t="s">
        <v>98</v>
      </c>
      <c r="B12615" s="5" t="s">
        <v>99</v>
      </c>
      <c r="C12615" s="5" t="s">
        <v>2541</v>
      </c>
      <c r="D12615" s="5" t="s">
        <v>14</v>
      </c>
      <c r="E12615" s="5" t="s">
        <v>52</v>
      </c>
      <c r="F12615" s="5" t="s">
        <v>83</v>
      </c>
      <c r="G12615" s="5" t="s">
        <v>1574</v>
      </c>
      <c r="H12615" s="5" t="s">
        <v>1575</v>
      </c>
      <c r="I12615" s="5" t="s">
        <v>31</v>
      </c>
      <c r="J12615" s="5">
        <v>17.117080448248</v>
      </c>
      <c r="K12615" s="5">
        <v>-96.849994806221005</v>
      </c>
      <c r="L12615" s="5" t="str">
        <f>HYPERLINK("https://maps.google.com/?q=17.1170804482484,-96.8499948062214", "🔗 Ver Mapa")</f>
        <v>🔗 Ver Mapa</v>
      </c>
    </row>
    <row r="12616" spans="1:12" ht="43.5" x14ac:dyDescent="0.35">
      <c r="A12616" s="6" t="s">
        <v>98</v>
      </c>
      <c r="B12616" s="6" t="s">
        <v>99</v>
      </c>
      <c r="C12616" s="6" t="s">
        <v>2541</v>
      </c>
      <c r="D12616" s="6" t="s">
        <v>14</v>
      </c>
      <c r="E12616" s="6" t="s">
        <v>52</v>
      </c>
      <c r="F12616" s="6" t="s">
        <v>83</v>
      </c>
      <c r="G12616" s="6" t="s">
        <v>1574</v>
      </c>
      <c r="H12616" s="6" t="s">
        <v>1575</v>
      </c>
      <c r="I12616" s="6" t="s">
        <v>31</v>
      </c>
      <c r="J12616" s="6">
        <v>17.118088559105999</v>
      </c>
      <c r="K12616" s="6">
        <v>-96.847134705523004</v>
      </c>
      <c r="L12616" s="6" t="str">
        <f>HYPERLINK("https://maps.google.com/?q=17.1180885591056,-96.847134705522507", "🔗 Ver Mapa")</f>
        <v>🔗 Ver Mapa</v>
      </c>
    </row>
    <row r="12617" spans="1:12" ht="43.5" x14ac:dyDescent="0.35">
      <c r="A12617" s="5" t="s">
        <v>98</v>
      </c>
      <c r="B12617" s="5" t="s">
        <v>99</v>
      </c>
      <c r="C12617" s="5" t="s">
        <v>2541</v>
      </c>
      <c r="D12617" s="5" t="s">
        <v>14</v>
      </c>
      <c r="E12617" s="5" t="s">
        <v>52</v>
      </c>
      <c r="F12617" s="5" t="s">
        <v>83</v>
      </c>
      <c r="G12617" s="5" t="s">
        <v>1574</v>
      </c>
      <c r="H12617" s="5" t="s">
        <v>1575</v>
      </c>
      <c r="I12617" s="5" t="s">
        <v>31</v>
      </c>
      <c r="J12617" s="5">
        <v>17.118447</v>
      </c>
      <c r="K12617" s="5">
        <v>-96.850690999999998</v>
      </c>
      <c r="L12617" s="5" t="str">
        <f>HYPERLINK("https://maps.google.com/?q=17.118447,-96.850690999999998", "🔗 Ver Mapa")</f>
        <v>🔗 Ver Mapa</v>
      </c>
    </row>
    <row r="12618" spans="1:12" ht="43.5" x14ac:dyDescent="0.35">
      <c r="A12618" s="6" t="s">
        <v>98</v>
      </c>
      <c r="B12618" s="6" t="s">
        <v>99</v>
      </c>
      <c r="C12618" s="6" t="s">
        <v>2541</v>
      </c>
      <c r="D12618" s="6" t="s">
        <v>14</v>
      </c>
      <c r="E12618" s="6" t="s">
        <v>52</v>
      </c>
      <c r="F12618" s="6" t="s">
        <v>83</v>
      </c>
      <c r="G12618" s="6" t="s">
        <v>1574</v>
      </c>
      <c r="H12618" s="6" t="s">
        <v>1575</v>
      </c>
      <c r="I12618" s="6" t="s">
        <v>31</v>
      </c>
      <c r="J12618" s="6">
        <v>17.118597235081999</v>
      </c>
      <c r="K12618" s="6">
        <v>-96.852513166253004</v>
      </c>
      <c r="L12618" s="6" t="str">
        <f>HYPERLINK("https://maps.google.com/?q=17.1185972350817,-96.852513166253104", "🔗 Ver Mapa")</f>
        <v>🔗 Ver Mapa</v>
      </c>
    </row>
    <row r="12619" spans="1:12" ht="43.5" x14ac:dyDescent="0.35">
      <c r="A12619" s="5" t="s">
        <v>98</v>
      </c>
      <c r="B12619" s="5" t="s">
        <v>99</v>
      </c>
      <c r="C12619" s="5" t="s">
        <v>2541</v>
      </c>
      <c r="D12619" s="5" t="s">
        <v>14</v>
      </c>
      <c r="E12619" s="5" t="s">
        <v>52</v>
      </c>
      <c r="F12619" s="5" t="s">
        <v>83</v>
      </c>
      <c r="G12619" s="5" t="s">
        <v>1574</v>
      </c>
      <c r="H12619" s="5" t="s">
        <v>1575</v>
      </c>
      <c r="I12619" s="5" t="s">
        <v>31</v>
      </c>
      <c r="J12619" s="5">
        <v>17.118856000000001</v>
      </c>
      <c r="K12619" s="5">
        <v>-96.850493999999998</v>
      </c>
      <c r="L12619" s="5" t="str">
        <f>HYPERLINK("https://maps.google.com/?q=17.118856,-96.850493999999998", "🔗 Ver Mapa")</f>
        <v>🔗 Ver Mapa</v>
      </c>
    </row>
    <row r="12620" spans="1:12" ht="43.5" x14ac:dyDescent="0.35">
      <c r="A12620" s="6" t="s">
        <v>98</v>
      </c>
      <c r="B12620" s="6" t="s">
        <v>99</v>
      </c>
      <c r="C12620" s="6" t="s">
        <v>2542</v>
      </c>
      <c r="D12620" s="6" t="s">
        <v>14</v>
      </c>
      <c r="E12620" s="6" t="s">
        <v>52</v>
      </c>
      <c r="F12620" s="6" t="s">
        <v>83</v>
      </c>
      <c r="G12620" s="6" t="s">
        <v>1574</v>
      </c>
      <c r="H12620" s="6" t="s">
        <v>1575</v>
      </c>
      <c r="I12620" s="6" t="s">
        <v>31</v>
      </c>
      <c r="J12620" s="6">
        <v>17.110323000000001</v>
      </c>
      <c r="K12620" s="6">
        <v>-96.855824999999996</v>
      </c>
      <c r="L12620" s="6" t="str">
        <f>HYPERLINK("https://maps.google.com/?q=17.110323,-96.855824999999996", "🔗 Ver Mapa")</f>
        <v>🔗 Ver Mapa</v>
      </c>
    </row>
    <row r="12621" spans="1:12" ht="43.5" x14ac:dyDescent="0.35">
      <c r="A12621" s="5" t="s">
        <v>98</v>
      </c>
      <c r="B12621" s="5" t="s">
        <v>99</v>
      </c>
      <c r="C12621" s="5" t="s">
        <v>2542</v>
      </c>
      <c r="D12621" s="5" t="s">
        <v>14</v>
      </c>
      <c r="E12621" s="5" t="s">
        <v>52</v>
      </c>
      <c r="F12621" s="5" t="s">
        <v>83</v>
      </c>
      <c r="G12621" s="5" t="s">
        <v>1574</v>
      </c>
      <c r="H12621" s="5" t="s">
        <v>1575</v>
      </c>
      <c r="I12621" s="5" t="s">
        <v>31</v>
      </c>
      <c r="J12621" s="5">
        <v>17.111429999999999</v>
      </c>
      <c r="K12621" s="5">
        <v>-96.850066999999996</v>
      </c>
      <c r="L12621" s="5" t="str">
        <f>HYPERLINK("https://maps.google.com/?q=17.11143,-96.850066999999996", "🔗 Ver Mapa")</f>
        <v>🔗 Ver Mapa</v>
      </c>
    </row>
    <row r="12622" spans="1:12" ht="43.5" x14ac:dyDescent="0.35">
      <c r="A12622" s="6" t="s">
        <v>98</v>
      </c>
      <c r="B12622" s="6" t="s">
        <v>99</v>
      </c>
      <c r="C12622" s="6" t="s">
        <v>2542</v>
      </c>
      <c r="D12622" s="6" t="s">
        <v>14</v>
      </c>
      <c r="E12622" s="6" t="s">
        <v>52</v>
      </c>
      <c r="F12622" s="6" t="s">
        <v>83</v>
      </c>
      <c r="G12622" s="6" t="s">
        <v>1574</v>
      </c>
      <c r="H12622" s="6" t="s">
        <v>1575</v>
      </c>
      <c r="I12622" s="6" t="s">
        <v>31</v>
      </c>
      <c r="J12622" s="6">
        <v>17.111867</v>
      </c>
      <c r="K12622" s="6">
        <v>-96.845314999999999</v>
      </c>
      <c r="L12622" s="6" t="str">
        <f>HYPERLINK("https://maps.google.com/?q=17.111867,-96.845314999999999", "🔗 Ver Mapa")</f>
        <v>🔗 Ver Mapa</v>
      </c>
    </row>
    <row r="12623" spans="1:12" ht="43.5" x14ac:dyDescent="0.35">
      <c r="A12623" s="5" t="s">
        <v>98</v>
      </c>
      <c r="B12623" s="5" t="s">
        <v>99</v>
      </c>
      <c r="C12623" s="5" t="s">
        <v>2542</v>
      </c>
      <c r="D12623" s="5" t="s">
        <v>14</v>
      </c>
      <c r="E12623" s="5" t="s">
        <v>52</v>
      </c>
      <c r="F12623" s="5" t="s">
        <v>83</v>
      </c>
      <c r="G12623" s="5" t="s">
        <v>1574</v>
      </c>
      <c r="H12623" s="5" t="s">
        <v>1575</v>
      </c>
      <c r="I12623" s="5" t="s">
        <v>31</v>
      </c>
      <c r="J12623" s="5">
        <v>17.112365</v>
      </c>
      <c r="K12623" s="5">
        <v>-96.850119100000001</v>
      </c>
      <c r="L12623" s="5" t="str">
        <f>HYPERLINK("https://maps.google.com/?q=17.112365,-96.850119100000001", "🔗 Ver Mapa")</f>
        <v>🔗 Ver Mapa</v>
      </c>
    </row>
    <row r="12624" spans="1:12" ht="43.5" x14ac:dyDescent="0.35">
      <c r="A12624" s="6" t="s">
        <v>98</v>
      </c>
      <c r="B12624" s="6" t="s">
        <v>99</v>
      </c>
      <c r="C12624" s="6" t="s">
        <v>2542</v>
      </c>
      <c r="D12624" s="6" t="s">
        <v>14</v>
      </c>
      <c r="E12624" s="6" t="s">
        <v>52</v>
      </c>
      <c r="F12624" s="6" t="s">
        <v>83</v>
      </c>
      <c r="G12624" s="6" t="s">
        <v>1574</v>
      </c>
      <c r="H12624" s="6" t="s">
        <v>1575</v>
      </c>
      <c r="I12624" s="6" t="s">
        <v>31</v>
      </c>
      <c r="J12624" s="6">
        <v>17.112514000000001</v>
      </c>
      <c r="K12624" s="6">
        <v>-96.854084</v>
      </c>
      <c r="L12624" s="6" t="str">
        <f>HYPERLINK("https://maps.google.com/?q=17.112514,-96.854084", "🔗 Ver Mapa")</f>
        <v>🔗 Ver Mapa</v>
      </c>
    </row>
    <row r="12625" spans="1:12" ht="43.5" x14ac:dyDescent="0.35">
      <c r="A12625" s="5" t="s">
        <v>98</v>
      </c>
      <c r="B12625" s="5" t="s">
        <v>99</v>
      </c>
      <c r="C12625" s="5" t="s">
        <v>2542</v>
      </c>
      <c r="D12625" s="5" t="s">
        <v>14</v>
      </c>
      <c r="E12625" s="5" t="s">
        <v>52</v>
      </c>
      <c r="F12625" s="5" t="s">
        <v>83</v>
      </c>
      <c r="G12625" s="5" t="s">
        <v>1574</v>
      </c>
      <c r="H12625" s="5" t="s">
        <v>1575</v>
      </c>
      <c r="I12625" s="5" t="s">
        <v>31</v>
      </c>
      <c r="J12625" s="5">
        <v>17.112690000000001</v>
      </c>
      <c r="K12625" s="5">
        <v>-96.845547999999994</v>
      </c>
      <c r="L12625" s="5" t="str">
        <f>HYPERLINK("https://maps.google.com/?q=17.11269,-96.845547999999994", "🔗 Ver Mapa")</f>
        <v>🔗 Ver Mapa</v>
      </c>
    </row>
    <row r="12626" spans="1:12" ht="43.5" x14ac:dyDescent="0.35">
      <c r="A12626" s="6" t="s">
        <v>98</v>
      </c>
      <c r="B12626" s="6" t="s">
        <v>99</v>
      </c>
      <c r="C12626" s="6" t="s">
        <v>2542</v>
      </c>
      <c r="D12626" s="6" t="s">
        <v>14</v>
      </c>
      <c r="E12626" s="6" t="s">
        <v>52</v>
      </c>
      <c r="F12626" s="6" t="s">
        <v>83</v>
      </c>
      <c r="G12626" s="6" t="s">
        <v>1574</v>
      </c>
      <c r="H12626" s="6" t="s">
        <v>1575</v>
      </c>
      <c r="I12626" s="6" t="s">
        <v>31</v>
      </c>
      <c r="J12626" s="6">
        <v>17.113332</v>
      </c>
      <c r="K12626" s="6">
        <v>-96.841838999999993</v>
      </c>
      <c r="L12626" s="6" t="str">
        <f>HYPERLINK("https://maps.google.com/?q=17.113332,-96.841838999999993", "🔗 Ver Mapa")</f>
        <v>🔗 Ver Mapa</v>
      </c>
    </row>
    <row r="12627" spans="1:12" ht="43.5" x14ac:dyDescent="0.35">
      <c r="A12627" s="5" t="s">
        <v>98</v>
      </c>
      <c r="B12627" s="5" t="s">
        <v>99</v>
      </c>
      <c r="C12627" s="5" t="s">
        <v>2542</v>
      </c>
      <c r="D12627" s="5" t="s">
        <v>14</v>
      </c>
      <c r="E12627" s="5" t="s">
        <v>52</v>
      </c>
      <c r="F12627" s="5" t="s">
        <v>83</v>
      </c>
      <c r="G12627" s="5" t="s">
        <v>1574</v>
      </c>
      <c r="H12627" s="5" t="s">
        <v>1575</v>
      </c>
      <c r="I12627" s="5" t="s">
        <v>31</v>
      </c>
      <c r="J12627" s="5">
        <v>17.113336</v>
      </c>
      <c r="K12627" s="5">
        <v>-96.854436000000007</v>
      </c>
      <c r="L12627" s="5" t="str">
        <f>HYPERLINK("https://maps.google.com/?q=17.113336,-96.854436000000007", "🔗 Ver Mapa")</f>
        <v>🔗 Ver Mapa</v>
      </c>
    </row>
    <row r="12628" spans="1:12" ht="43.5" x14ac:dyDescent="0.35">
      <c r="A12628" s="6" t="s">
        <v>98</v>
      </c>
      <c r="B12628" s="6" t="s">
        <v>99</v>
      </c>
      <c r="C12628" s="6" t="s">
        <v>2542</v>
      </c>
      <c r="D12628" s="6" t="s">
        <v>14</v>
      </c>
      <c r="E12628" s="6" t="s">
        <v>52</v>
      </c>
      <c r="F12628" s="6" t="s">
        <v>83</v>
      </c>
      <c r="G12628" s="6" t="s">
        <v>1574</v>
      </c>
      <c r="H12628" s="6" t="s">
        <v>1575</v>
      </c>
      <c r="I12628" s="6" t="s">
        <v>31</v>
      </c>
      <c r="J12628" s="6">
        <v>17.113631999999999</v>
      </c>
      <c r="K12628" s="6">
        <v>-96.849350999999999</v>
      </c>
      <c r="L12628" s="6" t="str">
        <f>HYPERLINK("https://maps.google.com/?q=17.113632,-96.849350999999999", "🔗 Ver Mapa")</f>
        <v>🔗 Ver Mapa</v>
      </c>
    </row>
    <row r="12629" spans="1:12" ht="43.5" x14ac:dyDescent="0.35">
      <c r="A12629" s="5" t="s">
        <v>98</v>
      </c>
      <c r="B12629" s="5" t="s">
        <v>99</v>
      </c>
      <c r="C12629" s="5" t="s">
        <v>2542</v>
      </c>
      <c r="D12629" s="5" t="s">
        <v>14</v>
      </c>
      <c r="E12629" s="5" t="s">
        <v>52</v>
      </c>
      <c r="F12629" s="5" t="s">
        <v>83</v>
      </c>
      <c r="G12629" s="5" t="s">
        <v>1574</v>
      </c>
      <c r="H12629" s="5" t="s">
        <v>1575</v>
      </c>
      <c r="I12629" s="5" t="s">
        <v>31</v>
      </c>
      <c r="J12629" s="5">
        <v>17.113647</v>
      </c>
      <c r="K12629" s="5">
        <v>-96.841843999999995</v>
      </c>
      <c r="L12629" s="5" t="str">
        <f>HYPERLINK("https://maps.google.com/?q=17.113647,-96.841843999999995", "🔗 Ver Mapa")</f>
        <v>🔗 Ver Mapa</v>
      </c>
    </row>
    <row r="12630" spans="1:12" ht="43.5" x14ac:dyDescent="0.35">
      <c r="A12630" s="6" t="s">
        <v>98</v>
      </c>
      <c r="B12630" s="6" t="s">
        <v>99</v>
      </c>
      <c r="C12630" s="6" t="s">
        <v>2542</v>
      </c>
      <c r="D12630" s="6" t="s">
        <v>14</v>
      </c>
      <c r="E12630" s="6" t="s">
        <v>52</v>
      </c>
      <c r="F12630" s="6" t="s">
        <v>83</v>
      </c>
      <c r="G12630" s="6" t="s">
        <v>1574</v>
      </c>
      <c r="H12630" s="6" t="s">
        <v>1575</v>
      </c>
      <c r="I12630" s="6" t="s">
        <v>31</v>
      </c>
      <c r="J12630" s="6">
        <v>17.114159000000001</v>
      </c>
      <c r="K12630" s="6">
        <v>-96.854366999999996</v>
      </c>
      <c r="L12630" s="6" t="str">
        <f>HYPERLINK("https://maps.google.com/?q=17.114159,-96.854366999999996", "🔗 Ver Mapa")</f>
        <v>🔗 Ver Mapa</v>
      </c>
    </row>
    <row r="12631" spans="1:12" ht="43.5" x14ac:dyDescent="0.35">
      <c r="A12631" s="5" t="s">
        <v>98</v>
      </c>
      <c r="B12631" s="5" t="s">
        <v>99</v>
      </c>
      <c r="C12631" s="5" t="s">
        <v>2542</v>
      </c>
      <c r="D12631" s="5" t="s">
        <v>14</v>
      </c>
      <c r="E12631" s="5" t="s">
        <v>52</v>
      </c>
      <c r="F12631" s="5" t="s">
        <v>83</v>
      </c>
      <c r="G12631" s="5" t="s">
        <v>1574</v>
      </c>
      <c r="H12631" s="5" t="s">
        <v>1575</v>
      </c>
      <c r="I12631" s="5" t="s">
        <v>31</v>
      </c>
      <c r="J12631" s="5">
        <v>17.114270999999999</v>
      </c>
      <c r="K12631" s="5">
        <v>-96.840562000000006</v>
      </c>
      <c r="L12631" s="5" t="str">
        <f>HYPERLINK("https://maps.google.com/?q=17.114271,-96.840562000000006", "🔗 Ver Mapa")</f>
        <v>🔗 Ver Mapa</v>
      </c>
    </row>
    <row r="12632" spans="1:12" ht="43.5" x14ac:dyDescent="0.35">
      <c r="A12632" s="6" t="s">
        <v>98</v>
      </c>
      <c r="B12632" s="6" t="s">
        <v>99</v>
      </c>
      <c r="C12632" s="6" t="s">
        <v>2542</v>
      </c>
      <c r="D12632" s="6" t="s">
        <v>14</v>
      </c>
      <c r="E12632" s="6" t="s">
        <v>52</v>
      </c>
      <c r="F12632" s="6" t="s">
        <v>83</v>
      </c>
      <c r="G12632" s="6" t="s">
        <v>1574</v>
      </c>
      <c r="H12632" s="6" t="s">
        <v>1575</v>
      </c>
      <c r="I12632" s="6" t="s">
        <v>31</v>
      </c>
      <c r="J12632" s="6">
        <v>17.114339000000001</v>
      </c>
      <c r="K12632" s="6">
        <v>-96.845214999999996</v>
      </c>
      <c r="L12632" s="6" t="str">
        <f>HYPERLINK("https://maps.google.com/?q=17.114339,-96.845214999999996", "🔗 Ver Mapa")</f>
        <v>🔗 Ver Mapa</v>
      </c>
    </row>
    <row r="12633" spans="1:12" ht="43.5" x14ac:dyDescent="0.35">
      <c r="A12633" s="5" t="s">
        <v>98</v>
      </c>
      <c r="B12633" s="5" t="s">
        <v>99</v>
      </c>
      <c r="C12633" s="5" t="s">
        <v>2542</v>
      </c>
      <c r="D12633" s="5" t="s">
        <v>14</v>
      </c>
      <c r="E12633" s="5" t="s">
        <v>52</v>
      </c>
      <c r="F12633" s="5" t="s">
        <v>83</v>
      </c>
      <c r="G12633" s="5" t="s">
        <v>1574</v>
      </c>
      <c r="H12633" s="5" t="s">
        <v>1575</v>
      </c>
      <c r="I12633" s="5" t="s">
        <v>31</v>
      </c>
      <c r="J12633" s="5">
        <v>17.116008000000001</v>
      </c>
      <c r="K12633" s="5">
        <v>-96.847648000000007</v>
      </c>
      <c r="L12633" s="5" t="str">
        <f>HYPERLINK("https://maps.google.com/?q=17.116008,-96.847648000000007", "🔗 Ver Mapa")</f>
        <v>🔗 Ver Mapa</v>
      </c>
    </row>
    <row r="12634" spans="1:12" ht="43.5" x14ac:dyDescent="0.35">
      <c r="A12634" s="6" t="s">
        <v>98</v>
      </c>
      <c r="B12634" s="6" t="s">
        <v>99</v>
      </c>
      <c r="C12634" s="6" t="s">
        <v>2542</v>
      </c>
      <c r="D12634" s="6" t="s">
        <v>14</v>
      </c>
      <c r="E12634" s="6" t="s">
        <v>52</v>
      </c>
      <c r="F12634" s="6" t="s">
        <v>83</v>
      </c>
      <c r="G12634" s="6" t="s">
        <v>1574</v>
      </c>
      <c r="H12634" s="6" t="s">
        <v>1575</v>
      </c>
      <c r="I12634" s="6" t="s">
        <v>31</v>
      </c>
      <c r="J12634" s="6">
        <v>17.116222</v>
      </c>
      <c r="K12634" s="6">
        <v>-96.852459999999994</v>
      </c>
      <c r="L12634" s="6" t="str">
        <f>HYPERLINK("https://maps.google.com/?q=17.116222,-96.852459999999994", "🔗 Ver Mapa")</f>
        <v>🔗 Ver Mapa</v>
      </c>
    </row>
    <row r="12635" spans="1:12" ht="43.5" x14ac:dyDescent="0.35">
      <c r="A12635" s="5" t="s">
        <v>98</v>
      </c>
      <c r="B12635" s="5" t="s">
        <v>99</v>
      </c>
      <c r="C12635" s="5" t="s">
        <v>2542</v>
      </c>
      <c r="D12635" s="5" t="s">
        <v>14</v>
      </c>
      <c r="E12635" s="5" t="s">
        <v>52</v>
      </c>
      <c r="F12635" s="5" t="s">
        <v>83</v>
      </c>
      <c r="G12635" s="5" t="s">
        <v>1574</v>
      </c>
      <c r="H12635" s="5" t="s">
        <v>1575</v>
      </c>
      <c r="I12635" s="5" t="s">
        <v>31</v>
      </c>
      <c r="J12635" s="5">
        <v>17.116389000000002</v>
      </c>
      <c r="K12635" s="5">
        <v>-96.852500000000006</v>
      </c>
      <c r="L12635" s="5" t="str">
        <f>HYPERLINK("https://maps.google.com/?q=17.116389,-96.852500000000006", "🔗 Ver Mapa")</f>
        <v>🔗 Ver Mapa</v>
      </c>
    </row>
    <row r="12636" spans="1:12" ht="43.5" x14ac:dyDescent="0.35">
      <c r="A12636" s="6" t="s">
        <v>98</v>
      </c>
      <c r="B12636" s="6" t="s">
        <v>99</v>
      </c>
      <c r="C12636" s="6" t="s">
        <v>2542</v>
      </c>
      <c r="D12636" s="6" t="s">
        <v>14</v>
      </c>
      <c r="E12636" s="6" t="s">
        <v>52</v>
      </c>
      <c r="F12636" s="6" t="s">
        <v>83</v>
      </c>
      <c r="G12636" s="6" t="s">
        <v>1574</v>
      </c>
      <c r="H12636" s="6" t="s">
        <v>1575</v>
      </c>
      <c r="I12636" s="6" t="s">
        <v>31</v>
      </c>
      <c r="J12636" s="6">
        <v>17.116783000000002</v>
      </c>
      <c r="K12636" s="6">
        <v>-96.849712999999994</v>
      </c>
      <c r="L12636" s="6" t="str">
        <f>HYPERLINK("https://maps.google.com/?q=17.116783,-96.849712999999994", "🔗 Ver Mapa")</f>
        <v>🔗 Ver Mapa</v>
      </c>
    </row>
    <row r="12637" spans="1:12" ht="43.5" x14ac:dyDescent="0.35">
      <c r="A12637" s="5" t="s">
        <v>98</v>
      </c>
      <c r="B12637" s="5" t="s">
        <v>99</v>
      </c>
      <c r="C12637" s="5" t="s">
        <v>2542</v>
      </c>
      <c r="D12637" s="5" t="s">
        <v>14</v>
      </c>
      <c r="E12637" s="5" t="s">
        <v>52</v>
      </c>
      <c r="F12637" s="5" t="s">
        <v>83</v>
      </c>
      <c r="G12637" s="5" t="s">
        <v>1574</v>
      </c>
      <c r="H12637" s="5" t="s">
        <v>1575</v>
      </c>
      <c r="I12637" s="5" t="s">
        <v>31</v>
      </c>
      <c r="J12637" s="5">
        <v>17.117007000000001</v>
      </c>
      <c r="K12637" s="5">
        <v>-96.853368000000003</v>
      </c>
      <c r="L12637" s="5" t="str">
        <f>HYPERLINK("https://maps.google.com/?q=17.117007,-96.853368000000003", "🔗 Ver Mapa")</f>
        <v>🔗 Ver Mapa</v>
      </c>
    </row>
    <row r="12638" spans="1:12" ht="43.5" x14ac:dyDescent="0.35">
      <c r="A12638" s="6" t="s">
        <v>98</v>
      </c>
      <c r="B12638" s="6" t="s">
        <v>99</v>
      </c>
      <c r="C12638" s="6" t="s">
        <v>2542</v>
      </c>
      <c r="D12638" s="6" t="s">
        <v>14</v>
      </c>
      <c r="E12638" s="6" t="s">
        <v>52</v>
      </c>
      <c r="F12638" s="6" t="s">
        <v>83</v>
      </c>
      <c r="G12638" s="6" t="s">
        <v>1574</v>
      </c>
      <c r="H12638" s="6" t="s">
        <v>1575</v>
      </c>
      <c r="I12638" s="6" t="s">
        <v>31</v>
      </c>
      <c r="J12638" s="6">
        <v>17.117443999999999</v>
      </c>
      <c r="K12638" s="6">
        <v>-96.854746000000006</v>
      </c>
      <c r="L12638" s="6" t="str">
        <f>HYPERLINK("https://maps.google.com/?q=17.117444,-96.854746000000006", "🔗 Ver Mapa")</f>
        <v>🔗 Ver Mapa</v>
      </c>
    </row>
    <row r="12639" spans="1:12" ht="43.5" x14ac:dyDescent="0.35">
      <c r="A12639" s="5" t="s">
        <v>98</v>
      </c>
      <c r="B12639" s="5" t="s">
        <v>99</v>
      </c>
      <c r="C12639" s="5" t="s">
        <v>2542</v>
      </c>
      <c r="D12639" s="5" t="s">
        <v>14</v>
      </c>
      <c r="E12639" s="5" t="s">
        <v>52</v>
      </c>
      <c r="F12639" s="5" t="s">
        <v>83</v>
      </c>
      <c r="G12639" s="5" t="s">
        <v>1574</v>
      </c>
      <c r="H12639" s="5" t="s">
        <v>1575</v>
      </c>
      <c r="I12639" s="5" t="s">
        <v>31</v>
      </c>
      <c r="J12639" s="5">
        <v>17.117514</v>
      </c>
      <c r="K12639" s="5">
        <v>-96.860166000000007</v>
      </c>
      <c r="L12639" s="5" t="str">
        <f>HYPERLINK("https://maps.google.com/?q=17.117514,-96.860166000000007", "🔗 Ver Mapa")</f>
        <v>🔗 Ver Mapa</v>
      </c>
    </row>
    <row r="12640" spans="1:12" ht="43.5" x14ac:dyDescent="0.35">
      <c r="A12640" s="6" t="s">
        <v>98</v>
      </c>
      <c r="B12640" s="6" t="s">
        <v>99</v>
      </c>
      <c r="C12640" s="6" t="s">
        <v>2542</v>
      </c>
      <c r="D12640" s="6" t="s">
        <v>14</v>
      </c>
      <c r="E12640" s="6" t="s">
        <v>52</v>
      </c>
      <c r="F12640" s="6" t="s">
        <v>83</v>
      </c>
      <c r="G12640" s="6" t="s">
        <v>1574</v>
      </c>
      <c r="H12640" s="6" t="s">
        <v>1575</v>
      </c>
      <c r="I12640" s="6" t="s">
        <v>31</v>
      </c>
      <c r="J12640" s="6">
        <v>17.117760000000001</v>
      </c>
      <c r="K12640" s="6">
        <v>-96.847368000000003</v>
      </c>
      <c r="L12640" s="6" t="str">
        <f>HYPERLINK("https://maps.google.com/?q=17.11776,-96.847368000000003", "🔗 Ver Mapa")</f>
        <v>🔗 Ver Mapa</v>
      </c>
    </row>
    <row r="12641" spans="1:12" ht="43.5" x14ac:dyDescent="0.35">
      <c r="A12641" s="5" t="s">
        <v>98</v>
      </c>
      <c r="B12641" s="5" t="s">
        <v>99</v>
      </c>
      <c r="C12641" s="5" t="s">
        <v>2542</v>
      </c>
      <c r="D12641" s="5" t="s">
        <v>14</v>
      </c>
      <c r="E12641" s="5" t="s">
        <v>52</v>
      </c>
      <c r="F12641" s="5" t="s">
        <v>83</v>
      </c>
      <c r="G12641" s="5" t="s">
        <v>1574</v>
      </c>
      <c r="H12641" s="5" t="s">
        <v>1575</v>
      </c>
      <c r="I12641" s="5" t="s">
        <v>31</v>
      </c>
      <c r="J12641" s="5">
        <v>17.118437</v>
      </c>
      <c r="K12641" s="5">
        <v>-96.854007999999993</v>
      </c>
      <c r="L12641" s="5" t="str">
        <f>HYPERLINK("https://maps.google.com/?q=17.118437,-96.854007999999993", "🔗 Ver Mapa")</f>
        <v>🔗 Ver Mapa</v>
      </c>
    </row>
    <row r="12642" spans="1:12" ht="43.5" x14ac:dyDescent="0.35">
      <c r="A12642" s="6" t="s">
        <v>98</v>
      </c>
      <c r="B12642" s="6" t="s">
        <v>99</v>
      </c>
      <c r="C12642" s="6" t="s">
        <v>2542</v>
      </c>
      <c r="D12642" s="6" t="s">
        <v>14</v>
      </c>
      <c r="E12642" s="6" t="s">
        <v>52</v>
      </c>
      <c r="F12642" s="6" t="s">
        <v>83</v>
      </c>
      <c r="G12642" s="6" t="s">
        <v>1574</v>
      </c>
      <c r="H12642" s="6" t="s">
        <v>1575</v>
      </c>
      <c r="I12642" s="6" t="s">
        <v>31</v>
      </c>
      <c r="J12642" s="6">
        <v>17.118597000000001</v>
      </c>
      <c r="K12642" s="6">
        <v>-96.852530000000002</v>
      </c>
      <c r="L12642" s="6" t="str">
        <f>HYPERLINK("https://maps.google.com/?q=17.118597,-96.852530000000002", "🔗 Ver Mapa")</f>
        <v>🔗 Ver Mapa</v>
      </c>
    </row>
    <row r="12643" spans="1:12" ht="43.5" x14ac:dyDescent="0.35">
      <c r="A12643" s="5" t="s">
        <v>98</v>
      </c>
      <c r="B12643" s="5" t="s">
        <v>99</v>
      </c>
      <c r="C12643" s="5" t="s">
        <v>2542</v>
      </c>
      <c r="D12643" s="5" t="s">
        <v>14</v>
      </c>
      <c r="E12643" s="5" t="s">
        <v>52</v>
      </c>
      <c r="F12643" s="5" t="s">
        <v>83</v>
      </c>
      <c r="G12643" s="5" t="s">
        <v>1574</v>
      </c>
      <c r="H12643" s="5" t="s">
        <v>1575</v>
      </c>
      <c r="I12643" s="5" t="s">
        <v>31</v>
      </c>
      <c r="J12643" s="5">
        <v>17.118607999999998</v>
      </c>
      <c r="K12643" s="5">
        <v>-96.850763000000001</v>
      </c>
      <c r="L12643" s="5" t="str">
        <f>HYPERLINK("https://maps.google.com/?q=17.118608,-96.850763000000001", "🔗 Ver Mapa")</f>
        <v>🔗 Ver Mapa</v>
      </c>
    </row>
    <row r="12644" spans="1:12" ht="43.5" x14ac:dyDescent="0.35">
      <c r="A12644" s="6" t="s">
        <v>98</v>
      </c>
      <c r="B12644" s="6" t="s">
        <v>99</v>
      </c>
      <c r="C12644" s="6" t="s">
        <v>2542</v>
      </c>
      <c r="D12644" s="6" t="s">
        <v>14</v>
      </c>
      <c r="E12644" s="6" t="s">
        <v>52</v>
      </c>
      <c r="F12644" s="6" t="s">
        <v>83</v>
      </c>
      <c r="G12644" s="6" t="s">
        <v>1574</v>
      </c>
      <c r="H12644" s="6" t="s">
        <v>1575</v>
      </c>
      <c r="I12644" s="6" t="s">
        <v>31</v>
      </c>
      <c r="J12644" s="6">
        <v>17.118656999999999</v>
      </c>
      <c r="K12644" s="6">
        <v>-96.851423999999994</v>
      </c>
      <c r="L12644" s="6" t="str">
        <f>HYPERLINK("https://maps.google.com/?q=17.118657,-96.851423999999994", "🔗 Ver Mapa")</f>
        <v>🔗 Ver Mapa</v>
      </c>
    </row>
    <row r="12645" spans="1:12" ht="43.5" x14ac:dyDescent="0.35">
      <c r="A12645" s="5" t="s">
        <v>98</v>
      </c>
      <c r="B12645" s="5" t="s">
        <v>99</v>
      </c>
      <c r="C12645" s="5" t="s">
        <v>2542</v>
      </c>
      <c r="D12645" s="5" t="s">
        <v>14</v>
      </c>
      <c r="E12645" s="5" t="s">
        <v>52</v>
      </c>
      <c r="F12645" s="5" t="s">
        <v>83</v>
      </c>
      <c r="G12645" s="5" t="s">
        <v>1574</v>
      </c>
      <c r="H12645" s="5" t="s">
        <v>1575</v>
      </c>
      <c r="I12645" s="5" t="s">
        <v>31</v>
      </c>
      <c r="J12645" s="5">
        <v>17.118852</v>
      </c>
      <c r="K12645" s="5">
        <v>-96.850830999999999</v>
      </c>
      <c r="L12645" s="5" t="str">
        <f>HYPERLINK("https://maps.google.com/?q=17.118852,-96.850830999999999", "🔗 Ver Mapa")</f>
        <v>🔗 Ver Mapa</v>
      </c>
    </row>
    <row r="12646" spans="1:12" ht="43.5" x14ac:dyDescent="0.35">
      <c r="A12646" s="6" t="s">
        <v>98</v>
      </c>
      <c r="B12646" s="6" t="s">
        <v>99</v>
      </c>
      <c r="C12646" s="6" t="s">
        <v>2542</v>
      </c>
      <c r="D12646" s="6" t="s">
        <v>14</v>
      </c>
      <c r="E12646" s="6" t="s">
        <v>52</v>
      </c>
      <c r="F12646" s="6" t="s">
        <v>83</v>
      </c>
      <c r="G12646" s="6" t="s">
        <v>1574</v>
      </c>
      <c r="H12646" s="6" t="s">
        <v>1575</v>
      </c>
      <c r="I12646" s="6" t="s">
        <v>31</v>
      </c>
      <c r="J12646" s="6">
        <v>17.119012999999999</v>
      </c>
      <c r="K12646" s="6">
        <v>-96.850568999999993</v>
      </c>
      <c r="L12646" s="6" t="str">
        <f>HYPERLINK("https://maps.google.com/?q=17.119013,-96.850568999999993", "🔗 Ver Mapa")</f>
        <v>🔗 Ver Mapa</v>
      </c>
    </row>
    <row r="12647" spans="1:12" ht="43.5" x14ac:dyDescent="0.35">
      <c r="A12647" s="5" t="s">
        <v>98</v>
      </c>
      <c r="B12647" s="5" t="s">
        <v>99</v>
      </c>
      <c r="C12647" s="5" t="s">
        <v>2542</v>
      </c>
      <c r="D12647" s="5" t="s">
        <v>14</v>
      </c>
      <c r="E12647" s="5" t="s">
        <v>52</v>
      </c>
      <c r="F12647" s="5" t="s">
        <v>83</v>
      </c>
      <c r="G12647" s="5" t="s">
        <v>1574</v>
      </c>
      <c r="H12647" s="5" t="s">
        <v>1575</v>
      </c>
      <c r="I12647" s="5" t="s">
        <v>31</v>
      </c>
      <c r="J12647" s="5">
        <v>17.119105000000001</v>
      </c>
      <c r="K12647" s="5">
        <v>-96.850313</v>
      </c>
      <c r="L12647" s="5" t="str">
        <f>HYPERLINK("https://maps.google.com/?q=17.119105,-96.850313", "🔗 Ver Mapa")</f>
        <v>🔗 Ver Mapa</v>
      </c>
    </row>
    <row r="12648" spans="1:12" ht="43.5" x14ac:dyDescent="0.35">
      <c r="A12648" s="6" t="s">
        <v>98</v>
      </c>
      <c r="B12648" s="6" t="s">
        <v>99</v>
      </c>
      <c r="C12648" s="6" t="s">
        <v>2542</v>
      </c>
      <c r="D12648" s="6" t="s">
        <v>14</v>
      </c>
      <c r="E12648" s="6" t="s">
        <v>52</v>
      </c>
      <c r="F12648" s="6" t="s">
        <v>83</v>
      </c>
      <c r="G12648" s="6" t="s">
        <v>1574</v>
      </c>
      <c r="H12648" s="6" t="s">
        <v>1575</v>
      </c>
      <c r="I12648" s="6" t="s">
        <v>31</v>
      </c>
      <c r="J12648" s="6">
        <v>17.119139000000001</v>
      </c>
      <c r="K12648" s="6">
        <v>-96.855322000000001</v>
      </c>
      <c r="L12648" s="6" t="str">
        <f>HYPERLINK("https://maps.google.com/?q=17.119139,-96.855322000000001", "🔗 Ver Mapa")</f>
        <v>🔗 Ver Mapa</v>
      </c>
    </row>
    <row r="12649" spans="1:12" ht="43.5" x14ac:dyDescent="0.35">
      <c r="A12649" s="5" t="s">
        <v>98</v>
      </c>
      <c r="B12649" s="5" t="s">
        <v>99</v>
      </c>
      <c r="C12649" s="5" t="s">
        <v>2542</v>
      </c>
      <c r="D12649" s="5" t="s">
        <v>14</v>
      </c>
      <c r="E12649" s="5" t="s">
        <v>52</v>
      </c>
      <c r="F12649" s="5" t="s">
        <v>83</v>
      </c>
      <c r="G12649" s="5" t="s">
        <v>1574</v>
      </c>
      <c r="H12649" s="5" t="s">
        <v>1575</v>
      </c>
      <c r="I12649" s="5" t="s">
        <v>31</v>
      </c>
      <c r="J12649" s="5">
        <v>17.119257000000001</v>
      </c>
      <c r="K12649" s="5">
        <v>-96.855312999999995</v>
      </c>
      <c r="L12649" s="5" t="str">
        <f>HYPERLINK("https://maps.google.com/?q=17.119257,-96.855312999999995", "🔗 Ver Mapa")</f>
        <v>🔗 Ver Mapa</v>
      </c>
    </row>
    <row r="12650" spans="1:12" ht="43.5" x14ac:dyDescent="0.35">
      <c r="A12650" s="6" t="s">
        <v>98</v>
      </c>
      <c r="B12650" s="6" t="s">
        <v>99</v>
      </c>
      <c r="C12650" s="6" t="s">
        <v>2542</v>
      </c>
      <c r="D12650" s="6" t="s">
        <v>14</v>
      </c>
      <c r="E12650" s="6" t="s">
        <v>52</v>
      </c>
      <c r="F12650" s="6" t="s">
        <v>83</v>
      </c>
      <c r="G12650" s="6" t="s">
        <v>1574</v>
      </c>
      <c r="H12650" s="6" t="s">
        <v>1575</v>
      </c>
      <c r="I12650" s="6" t="s">
        <v>31</v>
      </c>
      <c r="J12650" s="6">
        <v>17.119339</v>
      </c>
      <c r="K12650" s="6">
        <v>-96.850685999999996</v>
      </c>
      <c r="L12650" s="6" t="str">
        <f>HYPERLINK("https://maps.google.com/?q=17.119339,-96.850685999999996", "🔗 Ver Mapa")</f>
        <v>🔗 Ver Mapa</v>
      </c>
    </row>
    <row r="12651" spans="1:12" ht="43.5" x14ac:dyDescent="0.35">
      <c r="A12651" s="5" t="s">
        <v>98</v>
      </c>
      <c r="B12651" s="5" t="s">
        <v>99</v>
      </c>
      <c r="C12651" s="5" t="s">
        <v>2542</v>
      </c>
      <c r="D12651" s="5" t="s">
        <v>14</v>
      </c>
      <c r="E12651" s="5" t="s">
        <v>52</v>
      </c>
      <c r="F12651" s="5" t="s">
        <v>83</v>
      </c>
      <c r="G12651" s="5" t="s">
        <v>1574</v>
      </c>
      <c r="H12651" s="5" t="s">
        <v>1575</v>
      </c>
      <c r="I12651" s="5" t="s">
        <v>31</v>
      </c>
      <c r="J12651" s="5">
        <v>17.119721999999999</v>
      </c>
      <c r="K12651" s="5">
        <v>-96.850555999999997</v>
      </c>
      <c r="L12651" s="5" t="str">
        <f>HYPERLINK("https://maps.google.com/?q=17.119722,-96.850555999999997", "🔗 Ver Mapa")</f>
        <v>🔗 Ver Mapa</v>
      </c>
    </row>
    <row r="12652" spans="1:12" ht="43.5" x14ac:dyDescent="0.35">
      <c r="A12652" s="6" t="s">
        <v>98</v>
      </c>
      <c r="B12652" s="6" t="s">
        <v>99</v>
      </c>
      <c r="C12652" s="6" t="s">
        <v>2543</v>
      </c>
      <c r="D12652" s="6" t="s">
        <v>14</v>
      </c>
      <c r="E12652" s="6" t="s">
        <v>39</v>
      </c>
      <c r="F12652" s="6" t="s">
        <v>40</v>
      </c>
      <c r="G12652" s="6" t="s">
        <v>184</v>
      </c>
      <c r="H12652" s="6" t="s">
        <v>2544</v>
      </c>
      <c r="I12652" s="6" t="s">
        <v>31</v>
      </c>
      <c r="J12652" s="6">
        <v>16.998001676699001</v>
      </c>
      <c r="K12652" s="6">
        <v>-97.899497338646995</v>
      </c>
      <c r="L12652" s="6" t="str">
        <f>HYPERLINK("https://maps.google.com/?q=16.9980016766993,-97.899497338646995", "🔗 Ver Mapa")</f>
        <v>🔗 Ver Mapa</v>
      </c>
    </row>
    <row r="12653" spans="1:12" ht="43.5" x14ac:dyDescent="0.35">
      <c r="A12653" s="5" t="s">
        <v>98</v>
      </c>
      <c r="B12653" s="5" t="s">
        <v>99</v>
      </c>
      <c r="C12653" s="5" t="s">
        <v>2543</v>
      </c>
      <c r="D12653" s="5" t="s">
        <v>14</v>
      </c>
      <c r="E12653" s="5" t="s">
        <v>39</v>
      </c>
      <c r="F12653" s="5" t="s">
        <v>40</v>
      </c>
      <c r="G12653" s="5" t="s">
        <v>184</v>
      </c>
      <c r="H12653" s="5" t="s">
        <v>2544</v>
      </c>
      <c r="I12653" s="5" t="s">
        <v>31</v>
      </c>
      <c r="J12653" s="5">
        <v>16.99866345497</v>
      </c>
      <c r="K12653" s="5">
        <v>-97.900610455388005</v>
      </c>
      <c r="L12653" s="5" t="str">
        <f>HYPERLINK("https://maps.google.com/?q=16.9986634549702,-97.900610455387806", "🔗 Ver Mapa")</f>
        <v>🔗 Ver Mapa</v>
      </c>
    </row>
    <row r="12654" spans="1:12" ht="43.5" x14ac:dyDescent="0.35">
      <c r="A12654" s="6" t="s">
        <v>98</v>
      </c>
      <c r="B12654" s="6" t="s">
        <v>99</v>
      </c>
      <c r="C12654" s="6" t="s">
        <v>2543</v>
      </c>
      <c r="D12654" s="6" t="s">
        <v>14</v>
      </c>
      <c r="E12654" s="6" t="s">
        <v>39</v>
      </c>
      <c r="F12654" s="6" t="s">
        <v>40</v>
      </c>
      <c r="G12654" s="6" t="s">
        <v>184</v>
      </c>
      <c r="H12654" s="6" t="s">
        <v>2544</v>
      </c>
      <c r="I12654" s="6" t="s">
        <v>31</v>
      </c>
      <c r="J12654" s="6">
        <v>16.998876352134001</v>
      </c>
      <c r="K12654" s="6">
        <v>-97.900044509286005</v>
      </c>
      <c r="L12654" s="6" t="str">
        <f>HYPERLINK("https://maps.google.com/?q=16.9988763521342,-97.900044509285905", "🔗 Ver Mapa")</f>
        <v>🔗 Ver Mapa</v>
      </c>
    </row>
    <row r="12655" spans="1:12" ht="43.5" x14ac:dyDescent="0.35">
      <c r="A12655" s="5" t="s">
        <v>98</v>
      </c>
      <c r="B12655" s="5" t="s">
        <v>99</v>
      </c>
      <c r="C12655" s="5" t="s">
        <v>2543</v>
      </c>
      <c r="D12655" s="5" t="s">
        <v>14</v>
      </c>
      <c r="E12655" s="5" t="s">
        <v>39</v>
      </c>
      <c r="F12655" s="5" t="s">
        <v>40</v>
      </c>
      <c r="G12655" s="5" t="s">
        <v>184</v>
      </c>
      <c r="H12655" s="5" t="s">
        <v>2544</v>
      </c>
      <c r="I12655" s="5" t="s">
        <v>31</v>
      </c>
      <c r="J12655" s="5">
        <v>16.998978953091001</v>
      </c>
      <c r="K12655" s="5">
        <v>-97.900715061539003</v>
      </c>
      <c r="L12655" s="5" t="str">
        <f>HYPERLINK("https://maps.google.com/?q=16.9989789530907,-97.900715061539401", "🔗 Ver Mapa")</f>
        <v>🔗 Ver Mapa</v>
      </c>
    </row>
    <row r="12656" spans="1:12" ht="43.5" x14ac:dyDescent="0.35">
      <c r="A12656" s="6" t="s">
        <v>98</v>
      </c>
      <c r="B12656" s="6" t="s">
        <v>99</v>
      </c>
      <c r="C12656" s="6" t="s">
        <v>2543</v>
      </c>
      <c r="D12656" s="6" t="s">
        <v>14</v>
      </c>
      <c r="E12656" s="6" t="s">
        <v>39</v>
      </c>
      <c r="F12656" s="6" t="s">
        <v>40</v>
      </c>
      <c r="G12656" s="6" t="s">
        <v>184</v>
      </c>
      <c r="H12656" s="6" t="s">
        <v>2544</v>
      </c>
      <c r="I12656" s="6" t="s">
        <v>31</v>
      </c>
      <c r="J12656" s="6">
        <v>16.999821561320999</v>
      </c>
      <c r="K12656" s="6">
        <v>-97.900886722915004</v>
      </c>
      <c r="L12656" s="6" t="str">
        <f>HYPERLINK("https://maps.google.com/?q=16.9998215613208,-97.900886722915004", "🔗 Ver Mapa")</f>
        <v>🔗 Ver Mapa</v>
      </c>
    </row>
    <row r="12657" spans="1:12" ht="43.5" x14ac:dyDescent="0.35">
      <c r="A12657" s="5" t="s">
        <v>98</v>
      </c>
      <c r="B12657" s="5" t="s">
        <v>99</v>
      </c>
      <c r="C12657" s="5" t="s">
        <v>2543</v>
      </c>
      <c r="D12657" s="5" t="s">
        <v>14</v>
      </c>
      <c r="E12657" s="5" t="s">
        <v>39</v>
      </c>
      <c r="F12657" s="5" t="s">
        <v>40</v>
      </c>
      <c r="G12657" s="5" t="s">
        <v>184</v>
      </c>
      <c r="H12657" s="5" t="s">
        <v>2544</v>
      </c>
      <c r="I12657" s="5" t="s">
        <v>31</v>
      </c>
      <c r="J12657" s="5">
        <v>16.999920314244999</v>
      </c>
      <c r="K12657" s="5">
        <v>-97.901742347592005</v>
      </c>
      <c r="L12657" s="5" t="str">
        <f>HYPERLINK("https://maps.google.com/?q=16.999920314245,-97.901742347591806", "🔗 Ver Mapa")</f>
        <v>🔗 Ver Mapa</v>
      </c>
    </row>
    <row r="12658" spans="1:12" ht="43.5" x14ac:dyDescent="0.35">
      <c r="A12658" s="6" t="s">
        <v>98</v>
      </c>
      <c r="B12658" s="6" t="s">
        <v>99</v>
      </c>
      <c r="C12658" s="6" t="s">
        <v>2543</v>
      </c>
      <c r="D12658" s="6" t="s">
        <v>14</v>
      </c>
      <c r="E12658" s="6" t="s">
        <v>39</v>
      </c>
      <c r="F12658" s="6" t="s">
        <v>40</v>
      </c>
      <c r="G12658" s="6" t="s">
        <v>184</v>
      </c>
      <c r="H12658" s="6" t="s">
        <v>2544</v>
      </c>
      <c r="I12658" s="6" t="s">
        <v>31</v>
      </c>
      <c r="J12658" s="6">
        <v>17.000097299874</v>
      </c>
      <c r="K12658" s="6">
        <v>-97.901962288730999</v>
      </c>
      <c r="L12658" s="6" t="str">
        <f>HYPERLINK("https://maps.google.com/?q=17.000097299874,-97.9019622887309", "🔗 Ver Mapa")</f>
        <v>🔗 Ver Mapa</v>
      </c>
    </row>
    <row r="12659" spans="1:12" ht="43.5" x14ac:dyDescent="0.35">
      <c r="A12659" s="5" t="s">
        <v>98</v>
      </c>
      <c r="B12659" s="5" t="s">
        <v>99</v>
      </c>
      <c r="C12659" s="5" t="s">
        <v>2545</v>
      </c>
      <c r="D12659" s="5" t="s">
        <v>14</v>
      </c>
      <c r="E12659" s="5" t="s">
        <v>39</v>
      </c>
      <c r="F12659" s="5" t="s">
        <v>40</v>
      </c>
      <c r="G12659" s="5" t="s">
        <v>184</v>
      </c>
      <c r="H12659" s="5" t="s">
        <v>2546</v>
      </c>
      <c r="I12659" s="5" t="s">
        <v>31</v>
      </c>
      <c r="J12659" s="5">
        <v>16.919365712223001</v>
      </c>
      <c r="K12659" s="5">
        <v>-97.891826496087006</v>
      </c>
      <c r="L12659" s="5" t="str">
        <f>HYPERLINK("https://maps.google.com/?q=16.9193657122228,-97.891826496087006", "🔗 Ver Mapa")</f>
        <v>🔗 Ver Mapa</v>
      </c>
    </row>
    <row r="12660" spans="1:12" ht="43.5" x14ac:dyDescent="0.35">
      <c r="A12660" s="6" t="s">
        <v>98</v>
      </c>
      <c r="B12660" s="6" t="s">
        <v>99</v>
      </c>
      <c r="C12660" s="6" t="s">
        <v>2545</v>
      </c>
      <c r="D12660" s="6" t="s">
        <v>14</v>
      </c>
      <c r="E12660" s="6" t="s">
        <v>39</v>
      </c>
      <c r="F12660" s="6" t="s">
        <v>40</v>
      </c>
      <c r="G12660" s="6" t="s">
        <v>184</v>
      </c>
      <c r="H12660" s="6" t="s">
        <v>2546</v>
      </c>
      <c r="I12660" s="6" t="s">
        <v>31</v>
      </c>
      <c r="J12660" s="6">
        <v>16.919640285827999</v>
      </c>
      <c r="K12660" s="6">
        <v>-97.890654370747001</v>
      </c>
      <c r="L12660" s="6" t="str">
        <f>HYPERLINK("https://maps.google.com/?q=16.919640285828,-97.890654370746702", "🔗 Ver Mapa")</f>
        <v>🔗 Ver Mapa</v>
      </c>
    </row>
    <row r="12661" spans="1:12" ht="43.5" x14ac:dyDescent="0.35">
      <c r="A12661" s="5" t="s">
        <v>98</v>
      </c>
      <c r="B12661" s="5" t="s">
        <v>99</v>
      </c>
      <c r="C12661" s="5" t="s">
        <v>2545</v>
      </c>
      <c r="D12661" s="5" t="s">
        <v>14</v>
      </c>
      <c r="E12661" s="5" t="s">
        <v>39</v>
      </c>
      <c r="F12661" s="5" t="s">
        <v>40</v>
      </c>
      <c r="G12661" s="5" t="s">
        <v>184</v>
      </c>
      <c r="H12661" s="5" t="s">
        <v>2546</v>
      </c>
      <c r="I12661" s="5" t="s">
        <v>31</v>
      </c>
      <c r="J12661" s="5">
        <v>16.919814780995001</v>
      </c>
      <c r="K12661" s="5">
        <v>-97.892456815204994</v>
      </c>
      <c r="L12661" s="5" t="str">
        <f>HYPERLINK("https://maps.google.com/?q=16.9198147809953,-97.892456815205307", "🔗 Ver Mapa")</f>
        <v>🔗 Ver Mapa</v>
      </c>
    </row>
    <row r="12662" spans="1:12" ht="43.5" x14ac:dyDescent="0.35">
      <c r="A12662" s="6" t="s">
        <v>98</v>
      </c>
      <c r="B12662" s="6" t="s">
        <v>99</v>
      </c>
      <c r="C12662" s="6" t="s">
        <v>2545</v>
      </c>
      <c r="D12662" s="6" t="s">
        <v>14</v>
      </c>
      <c r="E12662" s="6" t="s">
        <v>39</v>
      </c>
      <c r="F12662" s="6" t="s">
        <v>40</v>
      </c>
      <c r="G12662" s="6" t="s">
        <v>184</v>
      </c>
      <c r="H12662" s="6" t="s">
        <v>2546</v>
      </c>
      <c r="I12662" s="6" t="s">
        <v>31</v>
      </c>
      <c r="J12662" s="6">
        <v>16.919848140348002</v>
      </c>
      <c r="K12662" s="6">
        <v>-97.891505972109996</v>
      </c>
      <c r="L12662" s="6" t="str">
        <f>HYPERLINK("https://maps.google.com/?q=16.9198481403476,-97.891505972109897", "🔗 Ver Mapa")</f>
        <v>🔗 Ver Mapa</v>
      </c>
    </row>
    <row r="12663" spans="1:12" ht="43.5" x14ac:dyDescent="0.35">
      <c r="A12663" s="5" t="s">
        <v>98</v>
      </c>
      <c r="B12663" s="5" t="s">
        <v>99</v>
      </c>
      <c r="C12663" s="5" t="s">
        <v>2545</v>
      </c>
      <c r="D12663" s="5" t="s">
        <v>14</v>
      </c>
      <c r="E12663" s="5" t="s">
        <v>39</v>
      </c>
      <c r="F12663" s="5" t="s">
        <v>40</v>
      </c>
      <c r="G12663" s="5" t="s">
        <v>184</v>
      </c>
      <c r="H12663" s="5" t="s">
        <v>2546</v>
      </c>
      <c r="I12663" s="5" t="s">
        <v>31</v>
      </c>
      <c r="J12663" s="5">
        <v>16.919907160724001</v>
      </c>
      <c r="K12663" s="5">
        <v>-97.890933320483995</v>
      </c>
      <c r="L12663" s="5" t="str">
        <f>HYPERLINK("https://maps.google.com/?q=16.9199071607244,-97.890933320484294", "🔗 Ver Mapa")</f>
        <v>🔗 Ver Mapa</v>
      </c>
    </row>
    <row r="12664" spans="1:12" ht="43.5" x14ac:dyDescent="0.35">
      <c r="A12664" s="6" t="s">
        <v>98</v>
      </c>
      <c r="B12664" s="6" t="s">
        <v>99</v>
      </c>
      <c r="C12664" s="6" t="s">
        <v>2545</v>
      </c>
      <c r="D12664" s="6" t="s">
        <v>14</v>
      </c>
      <c r="E12664" s="6" t="s">
        <v>39</v>
      </c>
      <c r="F12664" s="6" t="s">
        <v>40</v>
      </c>
      <c r="G12664" s="6" t="s">
        <v>184</v>
      </c>
      <c r="H12664" s="6" t="s">
        <v>2546</v>
      </c>
      <c r="I12664" s="6" t="s">
        <v>31</v>
      </c>
      <c r="J12664" s="6">
        <v>16.920043165869998</v>
      </c>
      <c r="K12664" s="6">
        <v>-97.889952977909999</v>
      </c>
      <c r="L12664" s="6" t="str">
        <f>HYPERLINK("https://maps.google.com/?q=16.9200431658704,-97.8899529779099", "🔗 Ver Mapa")</f>
        <v>🔗 Ver Mapa</v>
      </c>
    </row>
    <row r="12665" spans="1:12" ht="43.5" x14ac:dyDescent="0.35">
      <c r="A12665" s="5" t="s">
        <v>98</v>
      </c>
      <c r="B12665" s="5" t="s">
        <v>99</v>
      </c>
      <c r="C12665" s="5" t="s">
        <v>2545</v>
      </c>
      <c r="D12665" s="5" t="s">
        <v>14</v>
      </c>
      <c r="E12665" s="5" t="s">
        <v>39</v>
      </c>
      <c r="F12665" s="5" t="s">
        <v>40</v>
      </c>
      <c r="G12665" s="5" t="s">
        <v>184</v>
      </c>
      <c r="H12665" s="5" t="s">
        <v>2546</v>
      </c>
      <c r="I12665" s="5" t="s">
        <v>31</v>
      </c>
      <c r="J12665" s="5">
        <v>16.920157997120999</v>
      </c>
      <c r="K12665" s="5">
        <v>-97.892769963107995</v>
      </c>
      <c r="L12665" s="5" t="str">
        <f>HYPERLINK("https://maps.google.com/?q=16.9201579971205,-97.892769963107895", "🔗 Ver Mapa")</f>
        <v>🔗 Ver Mapa</v>
      </c>
    </row>
    <row r="12666" spans="1:12" ht="43.5" x14ac:dyDescent="0.35">
      <c r="A12666" s="6" t="s">
        <v>98</v>
      </c>
      <c r="B12666" s="6" t="s">
        <v>99</v>
      </c>
      <c r="C12666" s="6" t="s">
        <v>2545</v>
      </c>
      <c r="D12666" s="6" t="s">
        <v>14</v>
      </c>
      <c r="E12666" s="6" t="s">
        <v>39</v>
      </c>
      <c r="F12666" s="6" t="s">
        <v>40</v>
      </c>
      <c r="G12666" s="6" t="s">
        <v>184</v>
      </c>
      <c r="H12666" s="6" t="s">
        <v>2546</v>
      </c>
      <c r="I12666" s="6" t="s">
        <v>31</v>
      </c>
      <c r="J12666" s="6">
        <v>16.920168903044001</v>
      </c>
      <c r="K12666" s="6">
        <v>-97.890482709370005</v>
      </c>
      <c r="L12666" s="6" t="str">
        <f>HYPERLINK("https://maps.google.com/?q=16.9201689030438,-97.890482709369707", "🔗 Ver Mapa")</f>
        <v>🔗 Ver Mapa</v>
      </c>
    </row>
    <row r="12667" spans="1:12" ht="43.5" x14ac:dyDescent="0.35">
      <c r="A12667" s="5" t="s">
        <v>98</v>
      </c>
      <c r="B12667" s="5" t="s">
        <v>99</v>
      </c>
      <c r="C12667" s="5" t="s">
        <v>2545</v>
      </c>
      <c r="D12667" s="5" t="s">
        <v>14</v>
      </c>
      <c r="E12667" s="5" t="s">
        <v>39</v>
      </c>
      <c r="F12667" s="5" t="s">
        <v>40</v>
      </c>
      <c r="G12667" s="5" t="s">
        <v>184</v>
      </c>
      <c r="H12667" s="5" t="s">
        <v>2546</v>
      </c>
      <c r="I12667" s="5" t="s">
        <v>31</v>
      </c>
      <c r="J12667" s="5">
        <v>16.920661593481999</v>
      </c>
      <c r="K12667" s="5">
        <v>-97.890921250545006</v>
      </c>
      <c r="L12667" s="5" t="str">
        <f>HYPERLINK("https://maps.google.com/?q=16.9206615934821,-97.890921250544807", "🔗 Ver Mapa")</f>
        <v>🔗 Ver Mapa</v>
      </c>
    </row>
    <row r="12668" spans="1:12" ht="43.5" x14ac:dyDescent="0.35">
      <c r="A12668" s="6" t="s">
        <v>98</v>
      </c>
      <c r="B12668" s="6" t="s">
        <v>99</v>
      </c>
      <c r="C12668" s="6" t="s">
        <v>2545</v>
      </c>
      <c r="D12668" s="6" t="s">
        <v>14</v>
      </c>
      <c r="E12668" s="6" t="s">
        <v>39</v>
      </c>
      <c r="F12668" s="6" t="s">
        <v>40</v>
      </c>
      <c r="G12668" s="6" t="s">
        <v>184</v>
      </c>
      <c r="H12668" s="6" t="s">
        <v>2546</v>
      </c>
      <c r="I12668" s="6" t="s">
        <v>31</v>
      </c>
      <c r="J12668" s="6">
        <v>16.920731998836999</v>
      </c>
      <c r="K12668" s="6">
        <v>-97.893149598530997</v>
      </c>
      <c r="L12668" s="6" t="str">
        <f>HYPERLINK("https://maps.google.com/?q=16.9207319988369,-97.893149598530897", "🔗 Ver Mapa")</f>
        <v>🔗 Ver Mapa</v>
      </c>
    </row>
    <row r="12669" spans="1:12" ht="43.5" x14ac:dyDescent="0.35">
      <c r="A12669" s="5" t="s">
        <v>98</v>
      </c>
      <c r="B12669" s="5" t="s">
        <v>99</v>
      </c>
      <c r="C12669" s="5" t="s">
        <v>2545</v>
      </c>
      <c r="D12669" s="5" t="s">
        <v>14</v>
      </c>
      <c r="E12669" s="5" t="s">
        <v>39</v>
      </c>
      <c r="F12669" s="5" t="s">
        <v>40</v>
      </c>
      <c r="G12669" s="5" t="s">
        <v>184</v>
      </c>
      <c r="H12669" s="5" t="s">
        <v>2546</v>
      </c>
      <c r="I12669" s="5" t="s">
        <v>31</v>
      </c>
      <c r="J12669" s="5">
        <v>16.920854050334</v>
      </c>
      <c r="K12669" s="5">
        <v>-97.893319145402998</v>
      </c>
      <c r="L12669" s="5" t="str">
        <f>HYPERLINK("https://maps.google.com/?q=16.9208540503344,-97.893319145403296", "🔗 Ver Mapa")</f>
        <v>🔗 Ver Mapa</v>
      </c>
    </row>
    <row r="12670" spans="1:12" ht="43.5" x14ac:dyDescent="0.35">
      <c r="A12670" s="6" t="s">
        <v>98</v>
      </c>
      <c r="B12670" s="6" t="s">
        <v>99</v>
      </c>
      <c r="C12670" s="6" t="s">
        <v>2545</v>
      </c>
      <c r="D12670" s="6" t="s">
        <v>14</v>
      </c>
      <c r="E12670" s="6" t="s">
        <v>39</v>
      </c>
      <c r="F12670" s="6" t="s">
        <v>40</v>
      </c>
      <c r="G12670" s="6" t="s">
        <v>184</v>
      </c>
      <c r="H12670" s="6" t="s">
        <v>2546</v>
      </c>
      <c r="I12670" s="6" t="s">
        <v>31</v>
      </c>
      <c r="J12670" s="6">
        <v>16.920879711232999</v>
      </c>
      <c r="K12670" s="6">
        <v>-97.894035295210003</v>
      </c>
      <c r="L12670" s="6" t="str">
        <f>HYPERLINK("https://maps.google.com/?q=16.9208797112331,-97.894035295210102", "🔗 Ver Mapa")</f>
        <v>🔗 Ver Mapa</v>
      </c>
    </row>
    <row r="12671" spans="1:12" ht="43.5" x14ac:dyDescent="0.35">
      <c r="A12671" s="5" t="s">
        <v>98</v>
      </c>
      <c r="B12671" s="5" t="s">
        <v>99</v>
      </c>
      <c r="C12671" s="5" t="s">
        <v>2545</v>
      </c>
      <c r="D12671" s="5" t="s">
        <v>14</v>
      </c>
      <c r="E12671" s="5" t="s">
        <v>39</v>
      </c>
      <c r="F12671" s="5" t="s">
        <v>40</v>
      </c>
      <c r="G12671" s="5" t="s">
        <v>184</v>
      </c>
      <c r="H12671" s="5" t="s">
        <v>2546</v>
      </c>
      <c r="I12671" s="5" t="s">
        <v>31</v>
      </c>
      <c r="J12671" s="5">
        <v>16.921002079794999</v>
      </c>
      <c r="K12671" s="5">
        <v>-97.893331988743995</v>
      </c>
      <c r="L12671" s="5" t="str">
        <f>HYPERLINK("https://maps.google.com/?q=16.9210020797948,-97.893331988744194", "🔗 Ver Mapa")</f>
        <v>🔗 Ver Mapa</v>
      </c>
    </row>
    <row r="12672" spans="1:12" ht="43.5" x14ac:dyDescent="0.35">
      <c r="A12672" s="6" t="s">
        <v>98</v>
      </c>
      <c r="B12672" s="6" t="s">
        <v>99</v>
      </c>
      <c r="C12672" s="6" t="s">
        <v>2545</v>
      </c>
      <c r="D12672" s="6" t="s">
        <v>14</v>
      </c>
      <c r="E12672" s="6" t="s">
        <v>39</v>
      </c>
      <c r="F12672" s="6" t="s">
        <v>40</v>
      </c>
      <c r="G12672" s="6" t="s">
        <v>184</v>
      </c>
      <c r="H12672" s="6" t="s">
        <v>2546</v>
      </c>
      <c r="I12672" s="6" t="s">
        <v>31</v>
      </c>
      <c r="J12672" s="6">
        <v>16.921127176544999</v>
      </c>
      <c r="K12672" s="6">
        <v>-97.891640855958997</v>
      </c>
      <c r="L12672" s="6" t="str">
        <f>HYPERLINK("https://maps.google.com/?q=16.9211271765452,-97.891640855959494", "🔗 Ver Mapa")</f>
        <v>🔗 Ver Mapa</v>
      </c>
    </row>
    <row r="12673" spans="1:12" ht="43.5" x14ac:dyDescent="0.35">
      <c r="A12673" s="5" t="s">
        <v>98</v>
      </c>
      <c r="B12673" s="5" t="s">
        <v>99</v>
      </c>
      <c r="C12673" s="5" t="s">
        <v>2545</v>
      </c>
      <c r="D12673" s="5" t="s">
        <v>14</v>
      </c>
      <c r="E12673" s="5" t="s">
        <v>39</v>
      </c>
      <c r="F12673" s="5" t="s">
        <v>40</v>
      </c>
      <c r="G12673" s="5" t="s">
        <v>184</v>
      </c>
      <c r="H12673" s="5" t="s">
        <v>2546</v>
      </c>
      <c r="I12673" s="5" t="s">
        <v>31</v>
      </c>
      <c r="J12673" s="5">
        <v>16.921156848717001</v>
      </c>
      <c r="K12673" s="5">
        <v>-97.892446086369006</v>
      </c>
      <c r="L12673" s="5" t="str">
        <f>HYPERLINK("https://maps.google.com/?q=16.9211568487166,-97.892446086369205", "🔗 Ver Mapa")</f>
        <v>🔗 Ver Mapa</v>
      </c>
    </row>
    <row r="12674" spans="1:12" ht="43.5" x14ac:dyDescent="0.35">
      <c r="A12674" s="6" t="s">
        <v>98</v>
      </c>
      <c r="B12674" s="6" t="s">
        <v>99</v>
      </c>
      <c r="C12674" s="6" t="s">
        <v>2545</v>
      </c>
      <c r="D12674" s="6" t="s">
        <v>14</v>
      </c>
      <c r="E12674" s="6" t="s">
        <v>39</v>
      </c>
      <c r="F12674" s="6" t="s">
        <v>40</v>
      </c>
      <c r="G12674" s="6" t="s">
        <v>184</v>
      </c>
      <c r="H12674" s="6" t="s">
        <v>2546</v>
      </c>
      <c r="I12674" s="6" t="s">
        <v>31</v>
      </c>
      <c r="J12674" s="6">
        <v>16.921161980888002</v>
      </c>
      <c r="K12674" s="6">
        <v>-97.893671855888996</v>
      </c>
      <c r="L12674" s="6" t="str">
        <f>HYPERLINK("https://maps.google.com/?q=16.9211619808884,-97.893671855888698", "🔗 Ver Mapa")</f>
        <v>🔗 Ver Mapa</v>
      </c>
    </row>
    <row r="12675" spans="1:12" ht="43.5" x14ac:dyDescent="0.35">
      <c r="A12675" s="5" t="s">
        <v>98</v>
      </c>
      <c r="B12675" s="5" t="s">
        <v>99</v>
      </c>
      <c r="C12675" s="5" t="s">
        <v>2545</v>
      </c>
      <c r="D12675" s="5" t="s">
        <v>14</v>
      </c>
      <c r="E12675" s="5" t="s">
        <v>39</v>
      </c>
      <c r="F12675" s="5" t="s">
        <v>40</v>
      </c>
      <c r="G12675" s="5" t="s">
        <v>184</v>
      </c>
      <c r="H12675" s="5" t="s">
        <v>2546</v>
      </c>
      <c r="I12675" s="5" t="s">
        <v>31</v>
      </c>
      <c r="J12675" s="5">
        <v>16.921192055346999</v>
      </c>
      <c r="K12675" s="5">
        <v>-97.894336217472997</v>
      </c>
      <c r="L12675" s="5" t="str">
        <f>HYPERLINK("https://maps.google.com/?q=16.9211920553469,-97.894336217473395", "🔗 Ver Mapa")</f>
        <v>🔗 Ver Mapa</v>
      </c>
    </row>
    <row r="12676" spans="1:12" ht="43.5" x14ac:dyDescent="0.35">
      <c r="A12676" s="6" t="s">
        <v>98</v>
      </c>
      <c r="B12676" s="6" t="s">
        <v>99</v>
      </c>
      <c r="C12676" s="6" t="s">
        <v>2545</v>
      </c>
      <c r="D12676" s="6" t="s">
        <v>14</v>
      </c>
      <c r="E12676" s="6" t="s">
        <v>39</v>
      </c>
      <c r="F12676" s="6" t="s">
        <v>40</v>
      </c>
      <c r="G12676" s="6" t="s">
        <v>184</v>
      </c>
      <c r="H12676" s="6" t="s">
        <v>2546</v>
      </c>
      <c r="I12676" s="6" t="s">
        <v>31</v>
      </c>
      <c r="J12676" s="6">
        <v>16.921680329518999</v>
      </c>
      <c r="K12676" s="6">
        <v>-97.888846561872001</v>
      </c>
      <c r="L12676" s="6" t="str">
        <f>HYPERLINK("https://maps.google.com/?q=16.9216803295185,-97.8888465618721", "🔗 Ver Mapa")</f>
        <v>🔗 Ver Mapa</v>
      </c>
    </row>
    <row r="12677" spans="1:12" ht="43.5" x14ac:dyDescent="0.35">
      <c r="A12677" s="5" t="s">
        <v>98</v>
      </c>
      <c r="B12677" s="5" t="s">
        <v>99</v>
      </c>
      <c r="C12677" s="5" t="s">
        <v>2545</v>
      </c>
      <c r="D12677" s="5" t="s">
        <v>14</v>
      </c>
      <c r="E12677" s="5" t="s">
        <v>39</v>
      </c>
      <c r="F12677" s="5" t="s">
        <v>40</v>
      </c>
      <c r="G12677" s="5" t="s">
        <v>184</v>
      </c>
      <c r="H12677" s="5" t="s">
        <v>2546</v>
      </c>
      <c r="I12677" s="5" t="s">
        <v>31</v>
      </c>
      <c r="J12677" s="5">
        <v>16.921871104484001</v>
      </c>
      <c r="K12677" s="5">
        <v>-97.893191249500006</v>
      </c>
      <c r="L12677" s="5" t="str">
        <f>HYPERLINK("https://maps.google.com/?q=16.9218711044844,-97.893191249500205", "🔗 Ver Mapa")</f>
        <v>🔗 Ver Mapa</v>
      </c>
    </row>
    <row r="12678" spans="1:12" ht="43.5" x14ac:dyDescent="0.35">
      <c r="A12678" s="6" t="s">
        <v>98</v>
      </c>
      <c r="B12678" s="6" t="s">
        <v>99</v>
      </c>
      <c r="C12678" s="6" t="s">
        <v>2545</v>
      </c>
      <c r="D12678" s="6" t="s">
        <v>14</v>
      </c>
      <c r="E12678" s="6" t="s">
        <v>39</v>
      </c>
      <c r="F12678" s="6" t="s">
        <v>40</v>
      </c>
      <c r="G12678" s="6" t="s">
        <v>184</v>
      </c>
      <c r="H12678" s="6" t="s">
        <v>2546</v>
      </c>
      <c r="I12678" s="6" t="s">
        <v>31</v>
      </c>
      <c r="J12678" s="6">
        <v>16.921876472264</v>
      </c>
      <c r="K12678" s="6">
        <v>-97.893420501639994</v>
      </c>
      <c r="L12678" s="6" t="str">
        <f>HYPERLINK("https://maps.google.com/?q=16.9218764722638,-97.893420501640193", "🔗 Ver Mapa")</f>
        <v>🔗 Ver Mapa</v>
      </c>
    </row>
    <row r="12679" spans="1:12" ht="43.5" x14ac:dyDescent="0.35">
      <c r="A12679" s="5" t="s">
        <v>98</v>
      </c>
      <c r="B12679" s="5" t="s">
        <v>99</v>
      </c>
      <c r="C12679" s="5" t="s">
        <v>2545</v>
      </c>
      <c r="D12679" s="5" t="s">
        <v>14</v>
      </c>
      <c r="E12679" s="5" t="s">
        <v>39</v>
      </c>
      <c r="F12679" s="5" t="s">
        <v>40</v>
      </c>
      <c r="G12679" s="5" t="s">
        <v>184</v>
      </c>
      <c r="H12679" s="5" t="s">
        <v>2546</v>
      </c>
      <c r="I12679" s="5" t="s">
        <v>31</v>
      </c>
      <c r="J12679" s="5">
        <v>16.922072135467001</v>
      </c>
      <c r="K12679" s="5">
        <v>-97.890199168614998</v>
      </c>
      <c r="L12679" s="5" t="str">
        <f>HYPERLINK("https://maps.google.com/?q=16.9220721354671,-97.890199168615396", "🔗 Ver Mapa")</f>
        <v>🔗 Ver Mapa</v>
      </c>
    </row>
    <row r="12680" spans="1:12" ht="43.5" x14ac:dyDescent="0.35">
      <c r="A12680" s="6" t="s">
        <v>98</v>
      </c>
      <c r="B12680" s="6" t="s">
        <v>99</v>
      </c>
      <c r="C12680" s="6" t="s">
        <v>2545</v>
      </c>
      <c r="D12680" s="6" t="s">
        <v>14</v>
      </c>
      <c r="E12680" s="6" t="s">
        <v>39</v>
      </c>
      <c r="F12680" s="6" t="s">
        <v>40</v>
      </c>
      <c r="G12680" s="6" t="s">
        <v>184</v>
      </c>
      <c r="H12680" s="6" t="s">
        <v>2546</v>
      </c>
      <c r="I12680" s="6" t="s">
        <v>31</v>
      </c>
      <c r="J12680" s="6">
        <v>16.923271291651002</v>
      </c>
      <c r="K12680" s="6">
        <v>-97.894606605730004</v>
      </c>
      <c r="L12680" s="6" t="str">
        <f>HYPERLINK("https://maps.google.com/?q=16.9232712916507,-97.894606605730203", "🔗 Ver Mapa")</f>
        <v>🔗 Ver Mapa</v>
      </c>
    </row>
    <row r="12681" spans="1:12" ht="43.5" x14ac:dyDescent="0.35">
      <c r="A12681" s="5" t="s">
        <v>98</v>
      </c>
      <c r="B12681" s="5" t="s">
        <v>99</v>
      </c>
      <c r="C12681" s="5" t="s">
        <v>2545</v>
      </c>
      <c r="D12681" s="5" t="s">
        <v>14</v>
      </c>
      <c r="E12681" s="5" t="s">
        <v>39</v>
      </c>
      <c r="F12681" s="5" t="s">
        <v>40</v>
      </c>
      <c r="G12681" s="5" t="s">
        <v>184</v>
      </c>
      <c r="H12681" s="5" t="s">
        <v>2546</v>
      </c>
      <c r="I12681" s="5" t="s">
        <v>31</v>
      </c>
      <c r="J12681" s="5">
        <v>16.923389330241001</v>
      </c>
      <c r="K12681" s="5">
        <v>-97.895014301499998</v>
      </c>
      <c r="L12681" s="5" t="str">
        <f>HYPERLINK("https://maps.google.com/?q=16.9233893302411,-97.895014301500495", "🔗 Ver Mapa")</f>
        <v>🔗 Ver Mapa</v>
      </c>
    </row>
    <row r="12682" spans="1:12" ht="58" x14ac:dyDescent="0.35">
      <c r="A12682" s="6" t="s">
        <v>73</v>
      </c>
      <c r="B12682" s="6" t="s">
        <v>74</v>
      </c>
      <c r="C12682" s="6" t="s">
        <v>2547</v>
      </c>
      <c r="D12682" s="6" t="s">
        <v>76</v>
      </c>
      <c r="E12682" s="6" t="s">
        <v>52</v>
      </c>
      <c r="F12682" s="6" t="s">
        <v>421</v>
      </c>
      <c r="G12682" s="6" t="s">
        <v>1608</v>
      </c>
      <c r="H12682" s="6" t="s">
        <v>1609</v>
      </c>
      <c r="I12682" s="6" t="s">
        <v>31</v>
      </c>
      <c r="J12682" s="6">
        <v>16.511529040286</v>
      </c>
      <c r="K12682" s="6">
        <v>-96.789186425851994</v>
      </c>
      <c r="L12682" s="6" t="str">
        <f>HYPERLINK("https://maps.google.com/?q=16.511529040286323,-96.78918642585217", "🔗 Ver Mapa")</f>
        <v>🔗 Ver Mapa</v>
      </c>
    </row>
    <row r="12683" spans="1:12" ht="58" x14ac:dyDescent="0.35">
      <c r="A12683" s="5" t="s">
        <v>73</v>
      </c>
      <c r="B12683" s="5" t="s">
        <v>74</v>
      </c>
      <c r="C12683" s="5" t="s">
        <v>2548</v>
      </c>
      <c r="D12683" s="5" t="s">
        <v>76</v>
      </c>
      <c r="E12683" s="5" t="s">
        <v>110</v>
      </c>
      <c r="F12683" s="5" t="s">
        <v>126</v>
      </c>
      <c r="G12683" s="5" t="s">
        <v>986</v>
      </c>
      <c r="H12683" s="5" t="s">
        <v>2549</v>
      </c>
      <c r="I12683" s="5" t="s">
        <v>31</v>
      </c>
      <c r="J12683" s="5">
        <v>17.965323520733001</v>
      </c>
      <c r="K12683" s="5">
        <v>-96.693675794030995</v>
      </c>
      <c r="L12683" s="5" t="str">
        <f>HYPERLINK("https://maps.google.com/?q=17.965323520733396,-96.69367579403131", "🔗 Ver Mapa")</f>
        <v>🔗 Ver Mapa</v>
      </c>
    </row>
    <row r="12684" spans="1:12" ht="72.5" x14ac:dyDescent="0.35">
      <c r="A12684" s="6" t="s">
        <v>73</v>
      </c>
      <c r="B12684" s="6" t="s">
        <v>74</v>
      </c>
      <c r="C12684" s="6" t="s">
        <v>2550</v>
      </c>
      <c r="D12684" s="6" t="s">
        <v>76</v>
      </c>
      <c r="E12684" s="6" t="s">
        <v>52</v>
      </c>
      <c r="F12684" s="6" t="s">
        <v>228</v>
      </c>
      <c r="G12684" s="6" t="s">
        <v>229</v>
      </c>
      <c r="H12684" s="6" t="s">
        <v>230</v>
      </c>
      <c r="I12684" s="6" t="s">
        <v>31</v>
      </c>
      <c r="J12684" s="6">
        <v>16.793588235373001</v>
      </c>
      <c r="K12684" s="6">
        <v>-96.688651837872001</v>
      </c>
      <c r="L12684" s="6" t="str">
        <f>HYPERLINK("https://maps.google.com/?q=16.793588235373097,-96.68865183787184", "🔗 Ver Mapa")</f>
        <v>🔗 Ver Mapa</v>
      </c>
    </row>
    <row r="12685" spans="1:12" ht="72.5" x14ac:dyDescent="0.35">
      <c r="A12685" s="5" t="s">
        <v>73</v>
      </c>
      <c r="B12685" s="5" t="s">
        <v>74</v>
      </c>
      <c r="C12685" s="5" t="s">
        <v>2551</v>
      </c>
      <c r="D12685" s="5" t="s">
        <v>76</v>
      </c>
      <c r="E12685" s="5" t="s">
        <v>110</v>
      </c>
      <c r="F12685" s="5" t="s">
        <v>111</v>
      </c>
      <c r="G12685" s="5" t="s">
        <v>1001</v>
      </c>
      <c r="H12685" s="5" t="s">
        <v>1002</v>
      </c>
      <c r="I12685" s="5" t="s">
        <v>31</v>
      </c>
      <c r="J12685" s="5">
        <v>18.030262376499</v>
      </c>
      <c r="K12685" s="5">
        <v>-96.670461492052993</v>
      </c>
      <c r="L12685" s="5" t="str">
        <f>HYPERLINK("https://maps.google.com/?q=18.030262376499337,-96.67046149205278", "🔗 Ver Mapa")</f>
        <v>🔗 Ver Mapa</v>
      </c>
    </row>
    <row r="12686" spans="1:12" ht="29" x14ac:dyDescent="0.35">
      <c r="A12686" s="6" t="s">
        <v>339</v>
      </c>
      <c r="B12686" s="6" t="s">
        <v>340</v>
      </c>
      <c r="C12686" s="6" t="s">
        <v>2552</v>
      </c>
      <c r="D12686" s="6" t="s">
        <v>342</v>
      </c>
      <c r="E12686" s="6" t="s">
        <v>52</v>
      </c>
      <c r="F12686" s="6" t="s">
        <v>70</v>
      </c>
      <c r="G12686" s="6" t="s">
        <v>71</v>
      </c>
      <c r="H12686" s="6" t="s">
        <v>72</v>
      </c>
      <c r="I12686" s="6" t="s">
        <v>31</v>
      </c>
      <c r="J12686" s="6">
        <v>17.068498000000002</v>
      </c>
      <c r="K12686" s="6">
        <v>-96.720205000000007</v>
      </c>
      <c r="L12686" s="6" t="str">
        <f>HYPERLINK("https://maps.google.com/?q=17.068498,-96.720205", "🔗 Ver Mapa")</f>
        <v>🔗 Ver Mapa</v>
      </c>
    </row>
    <row r="12687" spans="1:12" ht="43.5" x14ac:dyDescent="0.35">
      <c r="A12687" s="5" t="s">
        <v>98</v>
      </c>
      <c r="B12687" s="5" t="s">
        <v>99</v>
      </c>
      <c r="C12687" s="5" t="s">
        <v>2553</v>
      </c>
      <c r="D12687" s="5" t="s">
        <v>14</v>
      </c>
      <c r="E12687" s="5" t="s">
        <v>39</v>
      </c>
      <c r="F12687" s="5" t="s">
        <v>353</v>
      </c>
      <c r="G12687" s="5" t="s">
        <v>2148</v>
      </c>
      <c r="H12687" s="5" t="s">
        <v>2554</v>
      </c>
      <c r="I12687" s="5" t="s">
        <v>31</v>
      </c>
      <c r="J12687" s="5">
        <v>16.281301251159</v>
      </c>
      <c r="K12687" s="5">
        <v>-96.503337914051002</v>
      </c>
      <c r="L12687" s="5" t="str">
        <f>HYPERLINK("https://maps.google.com/?q=16.2813012511592,-96.5033379140515", "🔗 Ver Mapa")</f>
        <v>🔗 Ver Mapa</v>
      </c>
    </row>
    <row r="12688" spans="1:12" ht="43.5" x14ac:dyDescent="0.35">
      <c r="A12688" s="6" t="s">
        <v>98</v>
      </c>
      <c r="B12688" s="6" t="s">
        <v>99</v>
      </c>
      <c r="C12688" s="6" t="s">
        <v>2553</v>
      </c>
      <c r="D12688" s="6" t="s">
        <v>14</v>
      </c>
      <c r="E12688" s="6" t="s">
        <v>39</v>
      </c>
      <c r="F12688" s="6" t="s">
        <v>353</v>
      </c>
      <c r="G12688" s="6" t="s">
        <v>2148</v>
      </c>
      <c r="H12688" s="6" t="s">
        <v>2554</v>
      </c>
      <c r="I12688" s="6" t="s">
        <v>31</v>
      </c>
      <c r="J12688" s="6">
        <v>16.282899670519999</v>
      </c>
      <c r="K12688" s="6">
        <v>-96.503430116567998</v>
      </c>
      <c r="L12688" s="6" t="str">
        <f>HYPERLINK("https://maps.google.com/?q=16.2828996705195,-96.5034301165676", "🔗 Ver Mapa")</f>
        <v>🔗 Ver Mapa</v>
      </c>
    </row>
    <row r="12689" spans="1:12" ht="43.5" x14ac:dyDescent="0.35">
      <c r="A12689" s="5" t="s">
        <v>98</v>
      </c>
      <c r="B12689" s="5" t="s">
        <v>99</v>
      </c>
      <c r="C12689" s="5" t="s">
        <v>2553</v>
      </c>
      <c r="D12689" s="5" t="s">
        <v>14</v>
      </c>
      <c r="E12689" s="5" t="s">
        <v>39</v>
      </c>
      <c r="F12689" s="5" t="s">
        <v>353</v>
      </c>
      <c r="G12689" s="5" t="s">
        <v>2148</v>
      </c>
      <c r="H12689" s="5" t="s">
        <v>2554</v>
      </c>
      <c r="I12689" s="5" t="s">
        <v>31</v>
      </c>
      <c r="J12689" s="5">
        <v>16.282929682009001</v>
      </c>
      <c r="K12689" s="5">
        <v>-96.503744676669001</v>
      </c>
      <c r="L12689" s="5" t="str">
        <f>HYPERLINK("https://maps.google.com/?q=16.2829296820092,-96.5037446766692", "🔗 Ver Mapa")</f>
        <v>🔗 Ver Mapa</v>
      </c>
    </row>
    <row r="12690" spans="1:12" ht="43.5" x14ac:dyDescent="0.35">
      <c r="A12690" s="6" t="s">
        <v>98</v>
      </c>
      <c r="B12690" s="6" t="s">
        <v>99</v>
      </c>
      <c r="C12690" s="6" t="s">
        <v>2553</v>
      </c>
      <c r="D12690" s="6" t="s">
        <v>14</v>
      </c>
      <c r="E12690" s="6" t="s">
        <v>39</v>
      </c>
      <c r="F12690" s="6" t="s">
        <v>353</v>
      </c>
      <c r="G12690" s="6" t="s">
        <v>2148</v>
      </c>
      <c r="H12690" s="6" t="s">
        <v>2554</v>
      </c>
      <c r="I12690" s="6" t="s">
        <v>31</v>
      </c>
      <c r="J12690" s="6">
        <v>16.282964140615999</v>
      </c>
      <c r="K12690" s="6">
        <v>-96.503265999999996</v>
      </c>
      <c r="L12690" s="6" t="str">
        <f>HYPERLINK("https://maps.google.com/?q=16.2829641406159,-96.503265999999996", "🔗 Ver Mapa")</f>
        <v>🔗 Ver Mapa</v>
      </c>
    </row>
    <row r="12691" spans="1:12" ht="43.5" x14ac:dyDescent="0.35">
      <c r="A12691" s="5" t="s">
        <v>98</v>
      </c>
      <c r="B12691" s="5" t="s">
        <v>99</v>
      </c>
      <c r="C12691" s="5" t="s">
        <v>2553</v>
      </c>
      <c r="D12691" s="5" t="s">
        <v>14</v>
      </c>
      <c r="E12691" s="5" t="s">
        <v>39</v>
      </c>
      <c r="F12691" s="5" t="s">
        <v>353</v>
      </c>
      <c r="G12691" s="5" t="s">
        <v>2148</v>
      </c>
      <c r="H12691" s="5" t="s">
        <v>2554</v>
      </c>
      <c r="I12691" s="5" t="s">
        <v>31</v>
      </c>
      <c r="J12691" s="5">
        <v>16.283024142373002</v>
      </c>
      <c r="K12691" s="5">
        <v>-96.503525949563993</v>
      </c>
      <c r="L12691" s="5" t="str">
        <f>HYPERLINK("https://maps.google.com/?q=16.2830241423735,-96.503525949564207", "🔗 Ver Mapa")</f>
        <v>🔗 Ver Mapa</v>
      </c>
    </row>
    <row r="12692" spans="1:12" ht="43.5" x14ac:dyDescent="0.35">
      <c r="A12692" s="6" t="s">
        <v>98</v>
      </c>
      <c r="B12692" s="6" t="s">
        <v>99</v>
      </c>
      <c r="C12692" s="6" t="s">
        <v>2553</v>
      </c>
      <c r="D12692" s="6" t="s">
        <v>14</v>
      </c>
      <c r="E12692" s="6" t="s">
        <v>39</v>
      </c>
      <c r="F12692" s="6" t="s">
        <v>353</v>
      </c>
      <c r="G12692" s="6" t="s">
        <v>2148</v>
      </c>
      <c r="H12692" s="6" t="s">
        <v>2554</v>
      </c>
      <c r="I12692" s="6" t="s">
        <v>31</v>
      </c>
      <c r="J12692" s="6">
        <v>16.283072908424</v>
      </c>
      <c r="K12692" s="6">
        <v>-96.503221967914996</v>
      </c>
      <c r="L12692" s="6" t="str">
        <f>HYPERLINK("https://maps.google.com/?q=16.2830729084238,-96.503221967914996", "🔗 Ver Mapa")</f>
        <v>🔗 Ver Mapa</v>
      </c>
    </row>
    <row r="12693" spans="1:12" ht="43.5" x14ac:dyDescent="0.35">
      <c r="A12693" s="5" t="s">
        <v>98</v>
      </c>
      <c r="B12693" s="5" t="s">
        <v>99</v>
      </c>
      <c r="C12693" s="5" t="s">
        <v>2553</v>
      </c>
      <c r="D12693" s="5" t="s">
        <v>14</v>
      </c>
      <c r="E12693" s="5" t="s">
        <v>39</v>
      </c>
      <c r="F12693" s="5" t="s">
        <v>353</v>
      </c>
      <c r="G12693" s="5" t="s">
        <v>2148</v>
      </c>
      <c r="H12693" s="5" t="s">
        <v>2554</v>
      </c>
      <c r="I12693" s="5" t="s">
        <v>31</v>
      </c>
      <c r="J12693" s="5">
        <v>16.283081728629998</v>
      </c>
      <c r="K12693" s="5">
        <v>-96.503433415443993</v>
      </c>
      <c r="L12693" s="5" t="str">
        <f>HYPERLINK("https://maps.google.com/?q=16.2830817286295,-96.503433415443993", "🔗 Ver Mapa")</f>
        <v>🔗 Ver Mapa</v>
      </c>
    </row>
    <row r="12694" spans="1:12" ht="43.5" x14ac:dyDescent="0.35">
      <c r="A12694" s="6" t="s">
        <v>98</v>
      </c>
      <c r="B12694" s="6" t="s">
        <v>99</v>
      </c>
      <c r="C12694" s="6" t="s">
        <v>2553</v>
      </c>
      <c r="D12694" s="6" t="s">
        <v>14</v>
      </c>
      <c r="E12694" s="6" t="s">
        <v>39</v>
      </c>
      <c r="F12694" s="6" t="s">
        <v>353</v>
      </c>
      <c r="G12694" s="6" t="s">
        <v>2148</v>
      </c>
      <c r="H12694" s="6" t="s">
        <v>2554</v>
      </c>
      <c r="I12694" s="6" t="s">
        <v>31</v>
      </c>
      <c r="J12694" s="6">
        <v>16.283112211673998</v>
      </c>
      <c r="K12694" s="6">
        <v>-96.505506944774993</v>
      </c>
      <c r="L12694" s="6" t="str">
        <f>HYPERLINK("https://maps.google.com/?q=16.2831122116744,-96.505506944774694", "🔗 Ver Mapa")</f>
        <v>🔗 Ver Mapa</v>
      </c>
    </row>
    <row r="12695" spans="1:12" ht="43.5" x14ac:dyDescent="0.35">
      <c r="A12695" s="5" t="s">
        <v>98</v>
      </c>
      <c r="B12695" s="5" t="s">
        <v>99</v>
      </c>
      <c r="C12695" s="5" t="s">
        <v>2553</v>
      </c>
      <c r="D12695" s="5" t="s">
        <v>14</v>
      </c>
      <c r="E12695" s="5" t="s">
        <v>39</v>
      </c>
      <c r="F12695" s="5" t="s">
        <v>353</v>
      </c>
      <c r="G12695" s="5" t="s">
        <v>2148</v>
      </c>
      <c r="H12695" s="5" t="s">
        <v>2554</v>
      </c>
      <c r="I12695" s="5" t="s">
        <v>31</v>
      </c>
      <c r="J12695" s="5">
        <v>16.283112642193998</v>
      </c>
      <c r="K12695" s="5">
        <v>-96.503098718160004</v>
      </c>
      <c r="L12695" s="5" t="str">
        <f>HYPERLINK("https://maps.google.com/?q=16.2831126421945,-96.503098718160103", "🔗 Ver Mapa")</f>
        <v>🔗 Ver Mapa</v>
      </c>
    </row>
    <row r="12696" spans="1:12" ht="43.5" x14ac:dyDescent="0.35">
      <c r="A12696" s="6" t="s">
        <v>98</v>
      </c>
      <c r="B12696" s="6" t="s">
        <v>99</v>
      </c>
      <c r="C12696" s="6" t="s">
        <v>2553</v>
      </c>
      <c r="D12696" s="6" t="s">
        <v>14</v>
      </c>
      <c r="E12696" s="6" t="s">
        <v>39</v>
      </c>
      <c r="F12696" s="6" t="s">
        <v>353</v>
      </c>
      <c r="G12696" s="6" t="s">
        <v>2148</v>
      </c>
      <c r="H12696" s="6" t="s">
        <v>2554</v>
      </c>
      <c r="I12696" s="6" t="s">
        <v>31</v>
      </c>
      <c r="J12696" s="6">
        <v>16.283126784484999</v>
      </c>
      <c r="K12696" s="6">
        <v>-96.503324115427006</v>
      </c>
      <c r="L12696" s="6" t="str">
        <f>HYPERLINK("https://maps.google.com/?q=16.2831267844845,-96.503324115426693", "🔗 Ver Mapa")</f>
        <v>🔗 Ver Mapa</v>
      </c>
    </row>
    <row r="12697" spans="1:12" ht="43.5" x14ac:dyDescent="0.35">
      <c r="A12697" s="5" t="s">
        <v>98</v>
      </c>
      <c r="B12697" s="5" t="s">
        <v>99</v>
      </c>
      <c r="C12697" s="5" t="s">
        <v>2553</v>
      </c>
      <c r="D12697" s="5" t="s">
        <v>14</v>
      </c>
      <c r="E12697" s="5" t="s">
        <v>39</v>
      </c>
      <c r="F12697" s="5" t="s">
        <v>353</v>
      </c>
      <c r="G12697" s="5" t="s">
        <v>2148</v>
      </c>
      <c r="H12697" s="5" t="s">
        <v>2554</v>
      </c>
      <c r="I12697" s="5" t="s">
        <v>31</v>
      </c>
      <c r="J12697" s="5">
        <v>16.283189862663999</v>
      </c>
      <c r="K12697" s="5">
        <v>-96.504797318727995</v>
      </c>
      <c r="L12697" s="5" t="str">
        <f>HYPERLINK("https://maps.google.com/?q=16.2831898626642,-96.504797318727697", "🔗 Ver Mapa")</f>
        <v>🔗 Ver Mapa</v>
      </c>
    </row>
    <row r="12698" spans="1:12" ht="43.5" x14ac:dyDescent="0.35">
      <c r="A12698" s="6" t="s">
        <v>98</v>
      </c>
      <c r="B12698" s="6" t="s">
        <v>99</v>
      </c>
      <c r="C12698" s="6" t="s">
        <v>2553</v>
      </c>
      <c r="D12698" s="6" t="s">
        <v>14</v>
      </c>
      <c r="E12698" s="6" t="s">
        <v>39</v>
      </c>
      <c r="F12698" s="6" t="s">
        <v>353</v>
      </c>
      <c r="G12698" s="6" t="s">
        <v>2148</v>
      </c>
      <c r="H12698" s="6" t="s">
        <v>2554</v>
      </c>
      <c r="I12698" s="6" t="s">
        <v>31</v>
      </c>
      <c r="J12698" s="6">
        <v>16.283388108238999</v>
      </c>
      <c r="K12698" s="6">
        <v>-96.503265777381003</v>
      </c>
      <c r="L12698" s="6" t="str">
        <f>HYPERLINK("https://maps.google.com/?q=16.2833881082395,-96.503265777380605", "🔗 Ver Mapa")</f>
        <v>🔗 Ver Mapa</v>
      </c>
    </row>
    <row r="12699" spans="1:12" ht="43.5" x14ac:dyDescent="0.35">
      <c r="A12699" s="5" t="s">
        <v>98</v>
      </c>
      <c r="B12699" s="5" t="s">
        <v>99</v>
      </c>
      <c r="C12699" s="5" t="s">
        <v>2553</v>
      </c>
      <c r="D12699" s="5" t="s">
        <v>14</v>
      </c>
      <c r="E12699" s="5" t="s">
        <v>39</v>
      </c>
      <c r="F12699" s="5" t="s">
        <v>353</v>
      </c>
      <c r="G12699" s="5" t="s">
        <v>2148</v>
      </c>
      <c r="H12699" s="5" t="s">
        <v>2554</v>
      </c>
      <c r="I12699" s="5" t="s">
        <v>31</v>
      </c>
      <c r="J12699" s="5">
        <v>16.283535385362999</v>
      </c>
      <c r="K12699" s="5">
        <v>-96.503537092247996</v>
      </c>
      <c r="L12699" s="5" t="str">
        <f>HYPERLINK("https://maps.google.com/?q=16.2835353853625,-96.503537092248294", "🔗 Ver Mapa")</f>
        <v>🔗 Ver Mapa</v>
      </c>
    </row>
    <row r="12700" spans="1:12" ht="43.5" x14ac:dyDescent="0.35">
      <c r="A12700" s="6" t="s">
        <v>98</v>
      </c>
      <c r="B12700" s="6" t="s">
        <v>99</v>
      </c>
      <c r="C12700" s="6" t="s">
        <v>2553</v>
      </c>
      <c r="D12700" s="6" t="s">
        <v>14</v>
      </c>
      <c r="E12700" s="6" t="s">
        <v>39</v>
      </c>
      <c r="F12700" s="6" t="s">
        <v>353</v>
      </c>
      <c r="G12700" s="6" t="s">
        <v>2148</v>
      </c>
      <c r="H12700" s="6" t="s">
        <v>2554</v>
      </c>
      <c r="I12700" s="6" t="s">
        <v>31</v>
      </c>
      <c r="J12700" s="6">
        <v>16.283560575033</v>
      </c>
      <c r="K12700" s="6">
        <v>-96.503706658894998</v>
      </c>
      <c r="L12700" s="6" t="str">
        <f>HYPERLINK("https://maps.google.com/?q=16.2835605750331,-96.503706658895496", "🔗 Ver Mapa")</f>
        <v>🔗 Ver Mapa</v>
      </c>
    </row>
    <row r="12701" spans="1:12" ht="43.5" x14ac:dyDescent="0.35">
      <c r="A12701" s="5" t="s">
        <v>98</v>
      </c>
      <c r="B12701" s="5" t="s">
        <v>99</v>
      </c>
      <c r="C12701" s="5" t="s">
        <v>2553</v>
      </c>
      <c r="D12701" s="5" t="s">
        <v>14</v>
      </c>
      <c r="E12701" s="5" t="s">
        <v>39</v>
      </c>
      <c r="F12701" s="5" t="s">
        <v>353</v>
      </c>
      <c r="G12701" s="5" t="s">
        <v>2148</v>
      </c>
      <c r="H12701" s="5" t="s">
        <v>2554</v>
      </c>
      <c r="I12701" s="5" t="s">
        <v>31</v>
      </c>
      <c r="J12701" s="5">
        <v>16.283653138289001</v>
      </c>
      <c r="K12701" s="5">
        <v>-96.502649221881995</v>
      </c>
      <c r="L12701" s="5" t="str">
        <f>HYPERLINK("https://maps.google.com/?q=16.2836531382887,-96.502649221882294", "🔗 Ver Mapa")</f>
        <v>🔗 Ver Mapa</v>
      </c>
    </row>
    <row r="12702" spans="1:12" ht="43.5" x14ac:dyDescent="0.35">
      <c r="A12702" s="6" t="s">
        <v>98</v>
      </c>
      <c r="B12702" s="6" t="s">
        <v>99</v>
      </c>
      <c r="C12702" s="6" t="s">
        <v>2553</v>
      </c>
      <c r="D12702" s="6" t="s">
        <v>14</v>
      </c>
      <c r="E12702" s="6" t="s">
        <v>39</v>
      </c>
      <c r="F12702" s="6" t="s">
        <v>353</v>
      </c>
      <c r="G12702" s="6" t="s">
        <v>2148</v>
      </c>
      <c r="H12702" s="6" t="s">
        <v>2554</v>
      </c>
      <c r="I12702" s="6" t="s">
        <v>31</v>
      </c>
      <c r="J12702" s="6">
        <v>16.283687308107002</v>
      </c>
      <c r="K12702" s="6">
        <v>-96.505494512268996</v>
      </c>
      <c r="L12702" s="6" t="str">
        <f>HYPERLINK("https://maps.google.com/?q=16.2836873081066,-96.505494512268797", "🔗 Ver Mapa")</f>
        <v>🔗 Ver Mapa</v>
      </c>
    </row>
    <row r="12703" spans="1:12" ht="43.5" x14ac:dyDescent="0.35">
      <c r="A12703" s="5" t="s">
        <v>98</v>
      </c>
      <c r="B12703" s="5" t="s">
        <v>99</v>
      </c>
      <c r="C12703" s="5" t="s">
        <v>2553</v>
      </c>
      <c r="D12703" s="5" t="s">
        <v>14</v>
      </c>
      <c r="E12703" s="5" t="s">
        <v>39</v>
      </c>
      <c r="F12703" s="5" t="s">
        <v>353</v>
      </c>
      <c r="G12703" s="5" t="s">
        <v>2148</v>
      </c>
      <c r="H12703" s="5" t="s">
        <v>2554</v>
      </c>
      <c r="I12703" s="5" t="s">
        <v>31</v>
      </c>
      <c r="J12703" s="5">
        <v>16.283759535742998</v>
      </c>
      <c r="K12703" s="5">
        <v>-96.503626301568005</v>
      </c>
      <c r="L12703" s="5" t="str">
        <f>HYPERLINK("https://maps.google.com/?q=16.2837595357428,-96.503626301568403", "🔗 Ver Mapa")</f>
        <v>🔗 Ver Mapa</v>
      </c>
    </row>
    <row r="12704" spans="1:12" ht="43.5" x14ac:dyDescent="0.35">
      <c r="A12704" s="6" t="s">
        <v>98</v>
      </c>
      <c r="B12704" s="6" t="s">
        <v>99</v>
      </c>
      <c r="C12704" s="6" t="s">
        <v>2553</v>
      </c>
      <c r="D12704" s="6" t="s">
        <v>14</v>
      </c>
      <c r="E12704" s="6" t="s">
        <v>39</v>
      </c>
      <c r="F12704" s="6" t="s">
        <v>353</v>
      </c>
      <c r="G12704" s="6" t="s">
        <v>2148</v>
      </c>
      <c r="H12704" s="6" t="s">
        <v>2554</v>
      </c>
      <c r="I12704" s="6" t="s">
        <v>31</v>
      </c>
      <c r="J12704" s="6">
        <v>16.283760960923001</v>
      </c>
      <c r="K12704" s="6">
        <v>-96.505602474704006</v>
      </c>
      <c r="L12704" s="6" t="str">
        <f>HYPERLINK("https://maps.google.com/?q=16.2837609609232,-96.505602474704304", "🔗 Ver Mapa")</f>
        <v>🔗 Ver Mapa</v>
      </c>
    </row>
    <row r="12705" spans="1:12" ht="43.5" x14ac:dyDescent="0.35">
      <c r="A12705" s="5" t="s">
        <v>98</v>
      </c>
      <c r="B12705" s="5" t="s">
        <v>99</v>
      </c>
      <c r="C12705" s="5" t="s">
        <v>2553</v>
      </c>
      <c r="D12705" s="5" t="s">
        <v>14</v>
      </c>
      <c r="E12705" s="5" t="s">
        <v>39</v>
      </c>
      <c r="F12705" s="5" t="s">
        <v>353</v>
      </c>
      <c r="G12705" s="5" t="s">
        <v>2148</v>
      </c>
      <c r="H12705" s="5" t="s">
        <v>2554</v>
      </c>
      <c r="I12705" s="5" t="s">
        <v>31</v>
      </c>
      <c r="J12705" s="5">
        <v>16.283804751628999</v>
      </c>
      <c r="K12705" s="5">
        <v>-96.503980050956002</v>
      </c>
      <c r="L12705" s="5" t="str">
        <f>HYPERLINK("https://maps.google.com/?q=16.2838047516293,-96.503980050955903", "🔗 Ver Mapa")</f>
        <v>🔗 Ver Mapa</v>
      </c>
    </row>
    <row r="12706" spans="1:12" ht="43.5" x14ac:dyDescent="0.35">
      <c r="A12706" s="6" t="s">
        <v>98</v>
      </c>
      <c r="B12706" s="6" t="s">
        <v>99</v>
      </c>
      <c r="C12706" s="6" t="s">
        <v>2553</v>
      </c>
      <c r="D12706" s="6" t="s">
        <v>14</v>
      </c>
      <c r="E12706" s="6" t="s">
        <v>39</v>
      </c>
      <c r="F12706" s="6" t="s">
        <v>353</v>
      </c>
      <c r="G12706" s="6" t="s">
        <v>2148</v>
      </c>
      <c r="H12706" s="6" t="s">
        <v>2554</v>
      </c>
      <c r="I12706" s="6" t="s">
        <v>31</v>
      </c>
      <c r="J12706" s="6">
        <v>16.283818917956001</v>
      </c>
      <c r="K12706" s="6">
        <v>-96.502535635409004</v>
      </c>
      <c r="L12706" s="6" t="str">
        <f>HYPERLINK("https://maps.google.com/?q=16.2838189179558,-96.502535635408705", "🔗 Ver Mapa")</f>
        <v>🔗 Ver Mapa</v>
      </c>
    </row>
    <row r="12707" spans="1:12" ht="43.5" x14ac:dyDescent="0.35">
      <c r="A12707" s="5" t="s">
        <v>98</v>
      </c>
      <c r="B12707" s="5" t="s">
        <v>99</v>
      </c>
      <c r="C12707" s="5" t="s">
        <v>2553</v>
      </c>
      <c r="D12707" s="5" t="s">
        <v>14</v>
      </c>
      <c r="E12707" s="5" t="s">
        <v>39</v>
      </c>
      <c r="F12707" s="5" t="s">
        <v>353</v>
      </c>
      <c r="G12707" s="5" t="s">
        <v>2148</v>
      </c>
      <c r="H12707" s="5" t="s">
        <v>2554</v>
      </c>
      <c r="I12707" s="5" t="s">
        <v>31</v>
      </c>
      <c r="J12707" s="5">
        <v>16.283939197365001</v>
      </c>
      <c r="K12707" s="5">
        <v>-96.504930914189998</v>
      </c>
      <c r="L12707" s="5" t="str">
        <f>HYPERLINK("https://maps.google.com/?q=16.2839391973653,-96.504930914190297", "🔗 Ver Mapa")</f>
        <v>🔗 Ver Mapa</v>
      </c>
    </row>
    <row r="12708" spans="1:12" ht="43.5" x14ac:dyDescent="0.35">
      <c r="A12708" s="6" t="s">
        <v>98</v>
      </c>
      <c r="B12708" s="6" t="s">
        <v>99</v>
      </c>
      <c r="C12708" s="6" t="s">
        <v>2553</v>
      </c>
      <c r="D12708" s="6" t="s">
        <v>14</v>
      </c>
      <c r="E12708" s="6" t="s">
        <v>39</v>
      </c>
      <c r="F12708" s="6" t="s">
        <v>353</v>
      </c>
      <c r="G12708" s="6" t="s">
        <v>2148</v>
      </c>
      <c r="H12708" s="6" t="s">
        <v>2554</v>
      </c>
      <c r="I12708" s="6" t="s">
        <v>31</v>
      </c>
      <c r="J12708" s="6">
        <v>16.283958441946002</v>
      </c>
      <c r="K12708" s="6">
        <v>-96.503493370361994</v>
      </c>
      <c r="L12708" s="6" t="str">
        <f>HYPERLINK("https://maps.google.com/?q=16.2839584419456,-96.503493370361696", "🔗 Ver Mapa")</f>
        <v>🔗 Ver Mapa</v>
      </c>
    </row>
    <row r="12709" spans="1:12" ht="43.5" x14ac:dyDescent="0.35">
      <c r="A12709" s="5" t="s">
        <v>98</v>
      </c>
      <c r="B12709" s="5" t="s">
        <v>99</v>
      </c>
      <c r="C12709" s="5" t="s">
        <v>2553</v>
      </c>
      <c r="D12709" s="5" t="s">
        <v>14</v>
      </c>
      <c r="E12709" s="5" t="s">
        <v>39</v>
      </c>
      <c r="F12709" s="5" t="s">
        <v>353</v>
      </c>
      <c r="G12709" s="5" t="s">
        <v>2148</v>
      </c>
      <c r="H12709" s="5" t="s">
        <v>2554</v>
      </c>
      <c r="I12709" s="5" t="s">
        <v>31</v>
      </c>
      <c r="J12709" s="5">
        <v>16.283994408224999</v>
      </c>
      <c r="K12709" s="5">
        <v>-96.504861168678005</v>
      </c>
      <c r="L12709" s="5" t="str">
        <f>HYPERLINK("https://maps.google.com/?q=16.2839944082249,-96.504861168678005", "🔗 Ver Mapa")</f>
        <v>🔗 Ver Mapa</v>
      </c>
    </row>
    <row r="12710" spans="1:12" ht="43.5" x14ac:dyDescent="0.35">
      <c r="A12710" s="6" t="s">
        <v>98</v>
      </c>
      <c r="B12710" s="6" t="s">
        <v>99</v>
      </c>
      <c r="C12710" s="6" t="s">
        <v>2553</v>
      </c>
      <c r="D12710" s="6" t="s">
        <v>14</v>
      </c>
      <c r="E12710" s="6" t="s">
        <v>39</v>
      </c>
      <c r="F12710" s="6" t="s">
        <v>353</v>
      </c>
      <c r="G12710" s="6" t="s">
        <v>2148</v>
      </c>
      <c r="H12710" s="6" t="s">
        <v>2554</v>
      </c>
      <c r="I12710" s="6" t="s">
        <v>31</v>
      </c>
      <c r="J12710" s="6">
        <v>16.284072577168001</v>
      </c>
      <c r="K12710" s="6">
        <v>-96.504321912475007</v>
      </c>
      <c r="L12710" s="6" t="str">
        <f>HYPERLINK("https://maps.google.com/?q=16.2840725771677,-96.504321912474595", "🔗 Ver Mapa")</f>
        <v>🔗 Ver Mapa</v>
      </c>
    </row>
    <row r="12711" spans="1:12" ht="43.5" x14ac:dyDescent="0.35">
      <c r="A12711" s="5" t="s">
        <v>98</v>
      </c>
      <c r="B12711" s="5" t="s">
        <v>99</v>
      </c>
      <c r="C12711" s="5" t="s">
        <v>2553</v>
      </c>
      <c r="D12711" s="5" t="s">
        <v>14</v>
      </c>
      <c r="E12711" s="5" t="s">
        <v>39</v>
      </c>
      <c r="F12711" s="5" t="s">
        <v>353</v>
      </c>
      <c r="G12711" s="5" t="s">
        <v>2148</v>
      </c>
      <c r="H12711" s="5" t="s">
        <v>2554</v>
      </c>
      <c r="I12711" s="5" t="s">
        <v>31</v>
      </c>
      <c r="J12711" s="5">
        <v>16.284371199999999</v>
      </c>
      <c r="K12711" s="5">
        <v>-96.504007900000005</v>
      </c>
      <c r="L12711" s="5" t="str">
        <f>HYPERLINK("https://maps.google.com/?q=16.2843712,-96.504007900000005", "🔗 Ver Mapa")</f>
        <v>🔗 Ver Mapa</v>
      </c>
    </row>
    <row r="12712" spans="1:12" ht="43.5" x14ac:dyDescent="0.35">
      <c r="A12712" s="6" t="s">
        <v>98</v>
      </c>
      <c r="B12712" s="6" t="s">
        <v>99</v>
      </c>
      <c r="C12712" s="6" t="s">
        <v>2553</v>
      </c>
      <c r="D12712" s="6" t="s">
        <v>14</v>
      </c>
      <c r="E12712" s="6" t="s">
        <v>39</v>
      </c>
      <c r="F12712" s="6" t="s">
        <v>353</v>
      </c>
      <c r="G12712" s="6" t="s">
        <v>2148</v>
      </c>
      <c r="H12712" s="6" t="s">
        <v>2554</v>
      </c>
      <c r="I12712" s="6" t="s">
        <v>31</v>
      </c>
      <c r="J12712" s="6">
        <v>16.284525439052999</v>
      </c>
      <c r="K12712" s="6">
        <v>-96.503881930058995</v>
      </c>
      <c r="L12712" s="6" t="str">
        <f>HYPERLINK("https://maps.google.com/?q=16.2845254390535,-96.503881930059407", "🔗 Ver Mapa")</f>
        <v>🔗 Ver Mapa</v>
      </c>
    </row>
    <row r="12713" spans="1:12" ht="43.5" x14ac:dyDescent="0.35">
      <c r="A12713" s="5" t="s">
        <v>98</v>
      </c>
      <c r="B12713" s="5" t="s">
        <v>99</v>
      </c>
      <c r="C12713" s="5" t="s">
        <v>2553</v>
      </c>
      <c r="D12713" s="5" t="s">
        <v>14</v>
      </c>
      <c r="E12713" s="5" t="s">
        <v>39</v>
      </c>
      <c r="F12713" s="5" t="s">
        <v>353</v>
      </c>
      <c r="G12713" s="5" t="s">
        <v>2148</v>
      </c>
      <c r="H12713" s="5" t="s">
        <v>2554</v>
      </c>
      <c r="I12713" s="5" t="s">
        <v>31</v>
      </c>
      <c r="J12713" s="5">
        <v>16.284574643778999</v>
      </c>
      <c r="K12713" s="5">
        <v>-96.504739411044994</v>
      </c>
      <c r="L12713" s="5" t="str">
        <f>HYPERLINK("https://maps.google.com/?q=16.2845746437792,-96.504739411045094", "🔗 Ver Mapa")</f>
        <v>🔗 Ver Mapa</v>
      </c>
    </row>
    <row r="12714" spans="1:12" ht="43.5" x14ac:dyDescent="0.35">
      <c r="A12714" s="6" t="s">
        <v>98</v>
      </c>
      <c r="B12714" s="6" t="s">
        <v>99</v>
      </c>
      <c r="C12714" s="6" t="s">
        <v>2553</v>
      </c>
      <c r="D12714" s="6" t="s">
        <v>14</v>
      </c>
      <c r="E12714" s="6" t="s">
        <v>39</v>
      </c>
      <c r="F12714" s="6" t="s">
        <v>353</v>
      </c>
      <c r="G12714" s="6" t="s">
        <v>2148</v>
      </c>
      <c r="H12714" s="6" t="s">
        <v>2554</v>
      </c>
      <c r="I12714" s="6" t="s">
        <v>31</v>
      </c>
      <c r="J12714" s="6">
        <v>16.285010502645001</v>
      </c>
      <c r="K12714" s="6">
        <v>-96.504617999999994</v>
      </c>
      <c r="L12714" s="6" t="str">
        <f>HYPERLINK("https://maps.google.com/?q=16.2850105026449,-96.504617999999994", "🔗 Ver Mapa")</f>
        <v>🔗 Ver Mapa</v>
      </c>
    </row>
    <row r="12715" spans="1:12" ht="43.5" x14ac:dyDescent="0.35">
      <c r="A12715" s="5" t="s">
        <v>98</v>
      </c>
      <c r="B12715" s="5" t="s">
        <v>99</v>
      </c>
      <c r="C12715" s="5" t="s">
        <v>2553</v>
      </c>
      <c r="D12715" s="5" t="s">
        <v>14</v>
      </c>
      <c r="E12715" s="5" t="s">
        <v>39</v>
      </c>
      <c r="F12715" s="5" t="s">
        <v>353</v>
      </c>
      <c r="G12715" s="5" t="s">
        <v>2148</v>
      </c>
      <c r="H12715" s="5" t="s">
        <v>2554</v>
      </c>
      <c r="I12715" s="5" t="s">
        <v>31</v>
      </c>
      <c r="J12715" s="5">
        <v>16.285036994121999</v>
      </c>
      <c r="K12715" s="5">
        <v>-96.504135553113997</v>
      </c>
      <c r="L12715" s="5" t="str">
        <f>HYPERLINK("https://maps.google.com/?q=16.2850369941223,-96.504135553114395", "🔗 Ver Mapa")</f>
        <v>🔗 Ver Mapa</v>
      </c>
    </row>
    <row r="12716" spans="1:12" ht="43.5" x14ac:dyDescent="0.35">
      <c r="A12716" s="6" t="s">
        <v>98</v>
      </c>
      <c r="B12716" s="6" t="s">
        <v>99</v>
      </c>
      <c r="C12716" s="6" t="s">
        <v>2553</v>
      </c>
      <c r="D12716" s="6" t="s">
        <v>14</v>
      </c>
      <c r="E12716" s="6" t="s">
        <v>39</v>
      </c>
      <c r="F12716" s="6" t="s">
        <v>353</v>
      </c>
      <c r="G12716" s="6" t="s">
        <v>2148</v>
      </c>
      <c r="H12716" s="6" t="s">
        <v>2554</v>
      </c>
      <c r="I12716" s="6" t="s">
        <v>31</v>
      </c>
      <c r="J12716" s="6">
        <v>16.285095134763001</v>
      </c>
      <c r="K12716" s="6">
        <v>-96.504328495874006</v>
      </c>
      <c r="L12716" s="6" t="str">
        <f>HYPERLINK("https://maps.google.com/?q=16.2850951347632,-96.504328495874105", "🔗 Ver Mapa")</f>
        <v>🔗 Ver Mapa</v>
      </c>
    </row>
    <row r="12717" spans="1:12" ht="43.5" x14ac:dyDescent="0.35">
      <c r="A12717" s="5" t="s">
        <v>98</v>
      </c>
      <c r="B12717" s="5" t="s">
        <v>99</v>
      </c>
      <c r="C12717" s="5" t="s">
        <v>2553</v>
      </c>
      <c r="D12717" s="5" t="s">
        <v>14</v>
      </c>
      <c r="E12717" s="5" t="s">
        <v>39</v>
      </c>
      <c r="F12717" s="5" t="s">
        <v>353</v>
      </c>
      <c r="G12717" s="5" t="s">
        <v>2148</v>
      </c>
      <c r="H12717" s="5" t="s">
        <v>2554</v>
      </c>
      <c r="I12717" s="5" t="s">
        <v>31</v>
      </c>
      <c r="J12717" s="5">
        <v>16.285449049625001</v>
      </c>
      <c r="K12717" s="5">
        <v>-96.504264840684996</v>
      </c>
      <c r="L12717" s="5" t="str">
        <f>HYPERLINK("https://maps.google.com/?q=16.2854490496254,-96.504264840684996", "🔗 Ver Mapa")</f>
        <v>🔗 Ver Mapa</v>
      </c>
    </row>
    <row r="12718" spans="1:12" ht="43.5" x14ac:dyDescent="0.35">
      <c r="A12718" s="6" t="s">
        <v>98</v>
      </c>
      <c r="B12718" s="6" t="s">
        <v>99</v>
      </c>
      <c r="C12718" s="6" t="s">
        <v>2553</v>
      </c>
      <c r="D12718" s="6" t="s">
        <v>14</v>
      </c>
      <c r="E12718" s="6" t="s">
        <v>39</v>
      </c>
      <c r="F12718" s="6" t="s">
        <v>353</v>
      </c>
      <c r="G12718" s="6" t="s">
        <v>2148</v>
      </c>
      <c r="H12718" s="6" t="s">
        <v>2554</v>
      </c>
      <c r="I12718" s="6" t="s">
        <v>31</v>
      </c>
      <c r="J12718" s="6">
        <v>16.285574882437</v>
      </c>
      <c r="K12718" s="6">
        <v>-96.504330641698999</v>
      </c>
      <c r="L12718" s="6" t="str">
        <f>HYPERLINK("https://maps.google.com/?q=16.2855748824371,-96.5043306416989", "🔗 Ver Mapa")</f>
        <v>🔗 Ver Mapa</v>
      </c>
    </row>
    <row r="12719" spans="1:12" ht="43.5" x14ac:dyDescent="0.35">
      <c r="A12719" s="5" t="s">
        <v>98</v>
      </c>
      <c r="B12719" s="5" t="s">
        <v>99</v>
      </c>
      <c r="C12719" s="5" t="s">
        <v>2553</v>
      </c>
      <c r="D12719" s="5" t="s">
        <v>14</v>
      </c>
      <c r="E12719" s="5" t="s">
        <v>39</v>
      </c>
      <c r="F12719" s="5" t="s">
        <v>353</v>
      </c>
      <c r="G12719" s="5" t="s">
        <v>2148</v>
      </c>
      <c r="H12719" s="5" t="s">
        <v>2554</v>
      </c>
      <c r="I12719" s="5" t="s">
        <v>31</v>
      </c>
      <c r="J12719" s="5">
        <v>16.285660224009</v>
      </c>
      <c r="K12719" s="5">
        <v>-96.504050774481996</v>
      </c>
      <c r="L12719" s="5" t="str">
        <f>HYPERLINK("https://maps.google.com/?q=16.2856602240086,-96.504050774482195", "🔗 Ver Mapa")</f>
        <v>🔗 Ver Mapa</v>
      </c>
    </row>
    <row r="12720" spans="1:12" ht="43.5" x14ac:dyDescent="0.35">
      <c r="A12720" s="6" t="s">
        <v>98</v>
      </c>
      <c r="B12720" s="6" t="s">
        <v>99</v>
      </c>
      <c r="C12720" s="6" t="s">
        <v>2553</v>
      </c>
      <c r="D12720" s="6" t="s">
        <v>14</v>
      </c>
      <c r="E12720" s="6" t="s">
        <v>39</v>
      </c>
      <c r="F12720" s="6" t="s">
        <v>353</v>
      </c>
      <c r="G12720" s="6" t="s">
        <v>2148</v>
      </c>
      <c r="H12720" s="6" t="s">
        <v>2554</v>
      </c>
      <c r="I12720" s="6" t="s">
        <v>31</v>
      </c>
      <c r="J12720" s="6">
        <v>16.285772806415</v>
      </c>
      <c r="K12720" s="6">
        <v>-96.503934527612998</v>
      </c>
      <c r="L12720" s="6" t="str">
        <f>HYPERLINK("https://maps.google.com/?q=16.2857728064153,-96.503934527612699", "🔗 Ver Mapa")</f>
        <v>🔗 Ver Mapa</v>
      </c>
    </row>
    <row r="12721" spans="1:12" ht="43.5" x14ac:dyDescent="0.35">
      <c r="A12721" s="5" t="s">
        <v>98</v>
      </c>
      <c r="B12721" s="5" t="s">
        <v>99</v>
      </c>
      <c r="C12721" s="5" t="s">
        <v>2553</v>
      </c>
      <c r="D12721" s="5" t="s">
        <v>14</v>
      </c>
      <c r="E12721" s="5" t="s">
        <v>39</v>
      </c>
      <c r="F12721" s="5" t="s">
        <v>353</v>
      </c>
      <c r="G12721" s="5" t="s">
        <v>2148</v>
      </c>
      <c r="H12721" s="5" t="s">
        <v>2554</v>
      </c>
      <c r="I12721" s="5" t="s">
        <v>31</v>
      </c>
      <c r="J12721" s="5">
        <v>16.285941071940002</v>
      </c>
      <c r="K12721" s="5">
        <v>-96.504606366725994</v>
      </c>
      <c r="L12721" s="5" t="str">
        <f>HYPERLINK("https://maps.google.com/?q=16.2859410719405,-96.504606366726193", "🔗 Ver Mapa")</f>
        <v>🔗 Ver Mapa</v>
      </c>
    </row>
    <row r="12722" spans="1:12" ht="43.5" x14ac:dyDescent="0.35">
      <c r="A12722" s="6" t="s">
        <v>98</v>
      </c>
      <c r="B12722" s="6" t="s">
        <v>99</v>
      </c>
      <c r="C12722" s="6" t="s">
        <v>2553</v>
      </c>
      <c r="D12722" s="6" t="s">
        <v>14</v>
      </c>
      <c r="E12722" s="6" t="s">
        <v>39</v>
      </c>
      <c r="F12722" s="6" t="s">
        <v>353</v>
      </c>
      <c r="G12722" s="6" t="s">
        <v>2148</v>
      </c>
      <c r="H12722" s="6" t="s">
        <v>2554</v>
      </c>
      <c r="I12722" s="6" t="s">
        <v>31</v>
      </c>
      <c r="J12722" s="6">
        <v>16.286002866577999</v>
      </c>
      <c r="K12722" s="6">
        <v>-96.504546944775001</v>
      </c>
      <c r="L12722" s="6" t="str">
        <f>HYPERLINK("https://maps.google.com/?q=16.2860028665777,-96.504546944774702", "🔗 Ver Mapa")</f>
        <v>🔗 Ver Mapa</v>
      </c>
    </row>
    <row r="12723" spans="1:12" ht="43.5" x14ac:dyDescent="0.35">
      <c r="A12723" s="5" t="s">
        <v>98</v>
      </c>
      <c r="B12723" s="5" t="s">
        <v>99</v>
      </c>
      <c r="C12723" s="5" t="s">
        <v>2553</v>
      </c>
      <c r="D12723" s="5" t="s">
        <v>14</v>
      </c>
      <c r="E12723" s="5" t="s">
        <v>39</v>
      </c>
      <c r="F12723" s="5" t="s">
        <v>353</v>
      </c>
      <c r="G12723" s="5" t="s">
        <v>2148</v>
      </c>
      <c r="H12723" s="5" t="s">
        <v>2554</v>
      </c>
      <c r="I12723" s="5" t="s">
        <v>31</v>
      </c>
      <c r="J12723" s="5">
        <v>16.286131187725001</v>
      </c>
      <c r="K12723" s="5">
        <v>-96.504391316636998</v>
      </c>
      <c r="L12723" s="5" t="str">
        <f>HYPERLINK("https://maps.google.com/?q=16.2861311877254,-96.504391316636898", "🔗 Ver Mapa")</f>
        <v>🔗 Ver Mapa</v>
      </c>
    </row>
    <row r="12724" spans="1:12" ht="43.5" x14ac:dyDescent="0.35">
      <c r="A12724" s="6" t="s">
        <v>98</v>
      </c>
      <c r="B12724" s="6" t="s">
        <v>99</v>
      </c>
      <c r="C12724" s="6" t="s">
        <v>2553</v>
      </c>
      <c r="D12724" s="6" t="s">
        <v>14</v>
      </c>
      <c r="E12724" s="6" t="s">
        <v>39</v>
      </c>
      <c r="F12724" s="6" t="s">
        <v>353</v>
      </c>
      <c r="G12724" s="6" t="s">
        <v>2148</v>
      </c>
      <c r="H12724" s="6" t="s">
        <v>2554</v>
      </c>
      <c r="I12724" s="6" t="s">
        <v>31</v>
      </c>
      <c r="J12724" s="6">
        <v>16.286277449345</v>
      </c>
      <c r="K12724" s="6">
        <v>-96.504637946101994</v>
      </c>
      <c r="L12724" s="6" t="str">
        <f>HYPERLINK("https://maps.google.com/?q=16.2862774493447,-96.504637946101994", "🔗 Ver Mapa")</f>
        <v>🔗 Ver Mapa</v>
      </c>
    </row>
    <row r="12725" spans="1:12" ht="43.5" x14ac:dyDescent="0.35">
      <c r="A12725" s="5" t="s">
        <v>98</v>
      </c>
      <c r="B12725" s="5" t="s">
        <v>99</v>
      </c>
      <c r="C12725" s="5" t="s">
        <v>2553</v>
      </c>
      <c r="D12725" s="5" t="s">
        <v>14</v>
      </c>
      <c r="E12725" s="5" t="s">
        <v>39</v>
      </c>
      <c r="F12725" s="5" t="s">
        <v>353</v>
      </c>
      <c r="G12725" s="5" t="s">
        <v>2148</v>
      </c>
      <c r="H12725" s="5" t="s">
        <v>2554</v>
      </c>
      <c r="I12725" s="5" t="s">
        <v>31</v>
      </c>
      <c r="J12725" s="5">
        <v>16.286378243013001</v>
      </c>
      <c r="K12725" s="5">
        <v>-96.504415039934003</v>
      </c>
      <c r="L12725" s="5" t="str">
        <f>HYPERLINK("https://maps.google.com/?q=16.2863782430127,-96.504415039934202", "🔗 Ver Mapa")</f>
        <v>🔗 Ver Mapa</v>
      </c>
    </row>
    <row r="12726" spans="1:12" ht="43.5" x14ac:dyDescent="0.35">
      <c r="A12726" s="6" t="s">
        <v>98</v>
      </c>
      <c r="B12726" s="6" t="s">
        <v>99</v>
      </c>
      <c r="C12726" s="6" t="s">
        <v>2553</v>
      </c>
      <c r="D12726" s="6" t="s">
        <v>14</v>
      </c>
      <c r="E12726" s="6" t="s">
        <v>39</v>
      </c>
      <c r="F12726" s="6" t="s">
        <v>353</v>
      </c>
      <c r="G12726" s="6" t="s">
        <v>2148</v>
      </c>
      <c r="H12726" s="6" t="s">
        <v>2554</v>
      </c>
      <c r="I12726" s="6" t="s">
        <v>31</v>
      </c>
      <c r="J12726" s="6">
        <v>16.286432841134999</v>
      </c>
      <c r="K12726" s="6">
        <v>-96.504432197509999</v>
      </c>
      <c r="L12726" s="6" t="str">
        <f>HYPERLINK("https://maps.google.com/?q=16.2864328411347,-96.504432197509502", "🔗 Ver Mapa")</f>
        <v>🔗 Ver Mapa</v>
      </c>
    </row>
    <row r="12727" spans="1:12" ht="43.5" x14ac:dyDescent="0.35">
      <c r="A12727" s="5" t="s">
        <v>98</v>
      </c>
      <c r="B12727" s="5" t="s">
        <v>99</v>
      </c>
      <c r="C12727" s="5" t="s">
        <v>2553</v>
      </c>
      <c r="D12727" s="5" t="s">
        <v>14</v>
      </c>
      <c r="E12727" s="5" t="s">
        <v>39</v>
      </c>
      <c r="F12727" s="5" t="s">
        <v>353</v>
      </c>
      <c r="G12727" s="5" t="s">
        <v>2148</v>
      </c>
      <c r="H12727" s="5" t="s">
        <v>2554</v>
      </c>
      <c r="I12727" s="5" t="s">
        <v>31</v>
      </c>
      <c r="J12727" s="5">
        <v>16.286490039054001</v>
      </c>
      <c r="K12727" s="5">
        <v>-96.504715284897998</v>
      </c>
      <c r="L12727" s="5" t="str">
        <f>HYPERLINK("https://maps.google.com/?q=16.2864900390542,-96.504715284898296", "🔗 Ver Mapa")</f>
        <v>🔗 Ver Mapa</v>
      </c>
    </row>
    <row r="12728" spans="1:12" ht="43.5" x14ac:dyDescent="0.35">
      <c r="A12728" s="6" t="s">
        <v>98</v>
      </c>
      <c r="B12728" s="6" t="s">
        <v>99</v>
      </c>
      <c r="C12728" s="6" t="s">
        <v>2553</v>
      </c>
      <c r="D12728" s="6" t="s">
        <v>14</v>
      </c>
      <c r="E12728" s="6" t="s">
        <v>39</v>
      </c>
      <c r="F12728" s="6" t="s">
        <v>353</v>
      </c>
      <c r="G12728" s="6" t="s">
        <v>2148</v>
      </c>
      <c r="H12728" s="6" t="s">
        <v>2554</v>
      </c>
      <c r="I12728" s="6" t="s">
        <v>31</v>
      </c>
      <c r="J12728" s="6">
        <v>16.286497472036999</v>
      </c>
      <c r="K12728" s="6">
        <v>-96.504325201222997</v>
      </c>
      <c r="L12728" s="6" t="str">
        <f>HYPERLINK("https://maps.google.com/?q=16.2864974720371,-96.504325201223395", "🔗 Ver Mapa")</f>
        <v>🔗 Ver Mapa</v>
      </c>
    </row>
    <row r="12729" spans="1:12" ht="43.5" x14ac:dyDescent="0.35">
      <c r="A12729" s="5" t="s">
        <v>98</v>
      </c>
      <c r="B12729" s="5" t="s">
        <v>99</v>
      </c>
      <c r="C12729" s="5" t="s">
        <v>2553</v>
      </c>
      <c r="D12729" s="5" t="s">
        <v>14</v>
      </c>
      <c r="E12729" s="5" t="s">
        <v>39</v>
      </c>
      <c r="F12729" s="5" t="s">
        <v>353</v>
      </c>
      <c r="G12729" s="5" t="s">
        <v>2148</v>
      </c>
      <c r="H12729" s="5" t="s">
        <v>2554</v>
      </c>
      <c r="I12729" s="5" t="s">
        <v>31</v>
      </c>
      <c r="J12729" s="5">
        <v>16.286754200000001</v>
      </c>
      <c r="K12729" s="5">
        <v>-96.504655999999997</v>
      </c>
      <c r="L12729" s="5" t="str">
        <f>HYPERLINK("https://maps.google.com/?q=16.2867542,-96.504655999999997", "🔗 Ver Mapa")</f>
        <v>🔗 Ver Mapa</v>
      </c>
    </row>
    <row r="12730" spans="1:12" ht="43.5" x14ac:dyDescent="0.35">
      <c r="A12730" s="6" t="s">
        <v>98</v>
      </c>
      <c r="B12730" s="6" t="s">
        <v>99</v>
      </c>
      <c r="C12730" s="6" t="s">
        <v>2553</v>
      </c>
      <c r="D12730" s="6" t="s">
        <v>14</v>
      </c>
      <c r="E12730" s="6" t="s">
        <v>39</v>
      </c>
      <c r="F12730" s="6" t="s">
        <v>353</v>
      </c>
      <c r="G12730" s="6" t="s">
        <v>2148</v>
      </c>
      <c r="H12730" s="6" t="s">
        <v>2554</v>
      </c>
      <c r="I12730" s="6" t="s">
        <v>31</v>
      </c>
      <c r="J12730" s="6">
        <v>16.286827639125001</v>
      </c>
      <c r="K12730" s="6">
        <v>-96.504421670200998</v>
      </c>
      <c r="L12730" s="6" t="str">
        <f>HYPERLINK("https://maps.google.com/?q=16.2868276391252,-96.504421670200699", "🔗 Ver Mapa")</f>
        <v>🔗 Ver Mapa</v>
      </c>
    </row>
    <row r="12731" spans="1:12" ht="43.5" x14ac:dyDescent="0.35">
      <c r="A12731" s="5" t="s">
        <v>98</v>
      </c>
      <c r="B12731" s="5" t="s">
        <v>99</v>
      </c>
      <c r="C12731" s="5" t="s">
        <v>2553</v>
      </c>
      <c r="D12731" s="5" t="s">
        <v>14</v>
      </c>
      <c r="E12731" s="5" t="s">
        <v>39</v>
      </c>
      <c r="F12731" s="5" t="s">
        <v>353</v>
      </c>
      <c r="G12731" s="5" t="s">
        <v>2148</v>
      </c>
      <c r="H12731" s="5" t="s">
        <v>2554</v>
      </c>
      <c r="I12731" s="5" t="s">
        <v>31</v>
      </c>
      <c r="J12731" s="5">
        <v>16.286855642043999</v>
      </c>
      <c r="K12731" s="5">
        <v>-96.504285152231006</v>
      </c>
      <c r="L12731" s="5" t="str">
        <f>HYPERLINK("https://maps.google.com/?q=16.2868556420437,-96.504285152231304", "🔗 Ver Mapa")</f>
        <v>🔗 Ver Mapa</v>
      </c>
    </row>
    <row r="12732" spans="1:12" ht="43.5" x14ac:dyDescent="0.35">
      <c r="A12732" s="6" t="s">
        <v>98</v>
      </c>
      <c r="B12732" s="6" t="s">
        <v>99</v>
      </c>
      <c r="C12732" s="6" t="s">
        <v>2553</v>
      </c>
      <c r="D12732" s="6" t="s">
        <v>14</v>
      </c>
      <c r="E12732" s="6" t="s">
        <v>39</v>
      </c>
      <c r="F12732" s="6" t="s">
        <v>353</v>
      </c>
      <c r="G12732" s="6" t="s">
        <v>2148</v>
      </c>
      <c r="H12732" s="6" t="s">
        <v>2554</v>
      </c>
      <c r="I12732" s="6" t="s">
        <v>31</v>
      </c>
      <c r="J12732" s="6">
        <v>16.286932199999999</v>
      </c>
      <c r="K12732" s="6">
        <v>-96.504155900000001</v>
      </c>
      <c r="L12732" s="6" t="str">
        <f>HYPERLINK("https://maps.google.com/?q=16.2869322,-96.504155900000001", "🔗 Ver Mapa")</f>
        <v>🔗 Ver Mapa</v>
      </c>
    </row>
    <row r="12733" spans="1:12" ht="43.5" x14ac:dyDescent="0.35">
      <c r="A12733" s="5" t="s">
        <v>98</v>
      </c>
      <c r="B12733" s="5" t="s">
        <v>99</v>
      </c>
      <c r="C12733" s="5" t="s">
        <v>2553</v>
      </c>
      <c r="D12733" s="5" t="s">
        <v>14</v>
      </c>
      <c r="E12733" s="5" t="s">
        <v>39</v>
      </c>
      <c r="F12733" s="5" t="s">
        <v>353</v>
      </c>
      <c r="G12733" s="5" t="s">
        <v>2148</v>
      </c>
      <c r="H12733" s="5" t="s">
        <v>2554</v>
      </c>
      <c r="I12733" s="5" t="s">
        <v>31</v>
      </c>
      <c r="J12733" s="5">
        <v>16.287038750377999</v>
      </c>
      <c r="K12733" s="5">
        <v>-96.504426327218994</v>
      </c>
      <c r="L12733" s="5" t="str">
        <f>HYPERLINK("https://maps.google.com/?q=16.2870387503784,-96.504426327218695", "🔗 Ver Mapa")</f>
        <v>🔗 Ver Mapa</v>
      </c>
    </row>
    <row r="12734" spans="1:12" ht="43.5" x14ac:dyDescent="0.35">
      <c r="A12734" s="6" t="s">
        <v>98</v>
      </c>
      <c r="B12734" s="6" t="s">
        <v>99</v>
      </c>
      <c r="C12734" s="6" t="s">
        <v>2553</v>
      </c>
      <c r="D12734" s="6" t="s">
        <v>14</v>
      </c>
      <c r="E12734" s="6" t="s">
        <v>39</v>
      </c>
      <c r="F12734" s="6" t="s">
        <v>353</v>
      </c>
      <c r="G12734" s="6" t="s">
        <v>2148</v>
      </c>
      <c r="H12734" s="6" t="s">
        <v>2554</v>
      </c>
      <c r="I12734" s="6" t="s">
        <v>31</v>
      </c>
      <c r="J12734" s="6">
        <v>16.287118238910999</v>
      </c>
      <c r="K12734" s="6">
        <v>-96.504490333597005</v>
      </c>
      <c r="L12734" s="6" t="str">
        <f>HYPERLINK("https://maps.google.com/?q=16.2871182389115,-96.504490333597403", "🔗 Ver Mapa")</f>
        <v>🔗 Ver Mapa</v>
      </c>
    </row>
    <row r="12735" spans="1:12" ht="43.5" x14ac:dyDescent="0.35">
      <c r="A12735" s="5" t="s">
        <v>98</v>
      </c>
      <c r="B12735" s="5" t="s">
        <v>99</v>
      </c>
      <c r="C12735" s="5" t="s">
        <v>2553</v>
      </c>
      <c r="D12735" s="5" t="s">
        <v>14</v>
      </c>
      <c r="E12735" s="5" t="s">
        <v>39</v>
      </c>
      <c r="F12735" s="5" t="s">
        <v>353</v>
      </c>
      <c r="G12735" s="5" t="s">
        <v>2148</v>
      </c>
      <c r="H12735" s="5" t="s">
        <v>2554</v>
      </c>
      <c r="I12735" s="5" t="s">
        <v>31</v>
      </c>
      <c r="J12735" s="5">
        <v>16.287189519534</v>
      </c>
      <c r="K12735" s="5">
        <v>-96.504400924657006</v>
      </c>
      <c r="L12735" s="5" t="str">
        <f>HYPERLINK("https://maps.google.com/?q=16.2871895195336,-96.504400924656593", "🔗 Ver Mapa")</f>
        <v>🔗 Ver Mapa</v>
      </c>
    </row>
    <row r="12736" spans="1:12" ht="43.5" x14ac:dyDescent="0.35">
      <c r="A12736" s="6" t="s">
        <v>98</v>
      </c>
      <c r="B12736" s="6" t="s">
        <v>99</v>
      </c>
      <c r="C12736" s="6" t="s">
        <v>2553</v>
      </c>
      <c r="D12736" s="6" t="s">
        <v>14</v>
      </c>
      <c r="E12736" s="6" t="s">
        <v>39</v>
      </c>
      <c r="F12736" s="6" t="s">
        <v>353</v>
      </c>
      <c r="G12736" s="6" t="s">
        <v>2148</v>
      </c>
      <c r="H12736" s="6" t="s">
        <v>2554</v>
      </c>
      <c r="I12736" s="6" t="s">
        <v>31</v>
      </c>
      <c r="J12736" s="6">
        <v>16.287294612945999</v>
      </c>
      <c r="K12736" s="6">
        <v>-96.504166378731</v>
      </c>
      <c r="L12736" s="6" t="str">
        <f>HYPERLINK("https://maps.google.com/?q=16.2872946129455,-96.504166378731298", "🔗 Ver Mapa")</f>
        <v>🔗 Ver Mapa</v>
      </c>
    </row>
    <row r="12737" spans="1:12" ht="43.5" x14ac:dyDescent="0.35">
      <c r="A12737" s="5" t="s">
        <v>98</v>
      </c>
      <c r="B12737" s="5" t="s">
        <v>99</v>
      </c>
      <c r="C12737" s="5" t="s">
        <v>2555</v>
      </c>
      <c r="D12737" s="5" t="s">
        <v>14</v>
      </c>
      <c r="E12737" s="5" t="s">
        <v>39</v>
      </c>
      <c r="F12737" s="5" t="s">
        <v>494</v>
      </c>
      <c r="G12737" s="5" t="s">
        <v>2160</v>
      </c>
      <c r="H12737" s="5" t="s">
        <v>2556</v>
      </c>
      <c r="I12737" s="5" t="s">
        <v>31</v>
      </c>
      <c r="J12737" s="5">
        <v>16.594567210204001</v>
      </c>
      <c r="K12737" s="5">
        <v>-96.957434483987001</v>
      </c>
      <c r="L12737" s="5" t="str">
        <f>HYPERLINK("https://maps.google.com/?q=16.5945672102045,-96.9574344839872", "🔗 Ver Mapa")</f>
        <v>🔗 Ver Mapa</v>
      </c>
    </row>
    <row r="12738" spans="1:12" ht="43.5" x14ac:dyDescent="0.35">
      <c r="A12738" s="6" t="s">
        <v>98</v>
      </c>
      <c r="B12738" s="6" t="s">
        <v>99</v>
      </c>
      <c r="C12738" s="6" t="s">
        <v>2555</v>
      </c>
      <c r="D12738" s="6" t="s">
        <v>14</v>
      </c>
      <c r="E12738" s="6" t="s">
        <v>39</v>
      </c>
      <c r="F12738" s="6" t="s">
        <v>494</v>
      </c>
      <c r="G12738" s="6" t="s">
        <v>2160</v>
      </c>
      <c r="H12738" s="6" t="s">
        <v>2556</v>
      </c>
      <c r="I12738" s="6" t="s">
        <v>31</v>
      </c>
      <c r="J12738" s="6">
        <v>16.595307511079</v>
      </c>
      <c r="K12738" s="6">
        <v>-96.957724162560993</v>
      </c>
      <c r="L12738" s="6" t="str">
        <f>HYPERLINK("https://maps.google.com/?q=16.5953075110786,-96.957724162560694", "🔗 Ver Mapa")</f>
        <v>🔗 Ver Mapa</v>
      </c>
    </row>
    <row r="12739" spans="1:12" ht="43.5" x14ac:dyDescent="0.35">
      <c r="A12739" s="5" t="s">
        <v>98</v>
      </c>
      <c r="B12739" s="5" t="s">
        <v>99</v>
      </c>
      <c r="C12739" s="5" t="s">
        <v>2555</v>
      </c>
      <c r="D12739" s="5" t="s">
        <v>14</v>
      </c>
      <c r="E12739" s="5" t="s">
        <v>39</v>
      </c>
      <c r="F12739" s="5" t="s">
        <v>494</v>
      </c>
      <c r="G12739" s="5" t="s">
        <v>2160</v>
      </c>
      <c r="H12739" s="5" t="s">
        <v>2556</v>
      </c>
      <c r="I12739" s="5" t="s">
        <v>31</v>
      </c>
      <c r="J12739" s="5">
        <v>16.595721949676001</v>
      </c>
      <c r="K12739" s="5">
        <v>-96.957450217119998</v>
      </c>
      <c r="L12739" s="5" t="str">
        <f>HYPERLINK("https://maps.google.com/?q=16.5957219496765,-96.957450217119998", "🔗 Ver Mapa")</f>
        <v>🔗 Ver Mapa</v>
      </c>
    </row>
    <row r="12740" spans="1:12" ht="43.5" x14ac:dyDescent="0.35">
      <c r="A12740" s="6" t="s">
        <v>98</v>
      </c>
      <c r="B12740" s="6" t="s">
        <v>99</v>
      </c>
      <c r="C12740" s="6" t="s">
        <v>2555</v>
      </c>
      <c r="D12740" s="6" t="s">
        <v>14</v>
      </c>
      <c r="E12740" s="6" t="s">
        <v>39</v>
      </c>
      <c r="F12740" s="6" t="s">
        <v>494</v>
      </c>
      <c r="G12740" s="6" t="s">
        <v>2160</v>
      </c>
      <c r="H12740" s="6" t="s">
        <v>2556</v>
      </c>
      <c r="I12740" s="6" t="s">
        <v>31</v>
      </c>
      <c r="J12740" s="6">
        <v>16.596968382825999</v>
      </c>
      <c r="K12740" s="6">
        <v>-96.956597947109998</v>
      </c>
      <c r="L12740" s="6" t="str">
        <f>HYPERLINK("https://maps.google.com/?q=16.5969683828256,-96.9565979471096", "🔗 Ver Mapa")</f>
        <v>🔗 Ver Mapa</v>
      </c>
    </row>
    <row r="12741" spans="1:12" ht="43.5" x14ac:dyDescent="0.35">
      <c r="A12741" s="5" t="s">
        <v>98</v>
      </c>
      <c r="B12741" s="5" t="s">
        <v>99</v>
      </c>
      <c r="C12741" s="5" t="s">
        <v>2555</v>
      </c>
      <c r="D12741" s="5" t="s">
        <v>14</v>
      </c>
      <c r="E12741" s="5" t="s">
        <v>39</v>
      </c>
      <c r="F12741" s="5" t="s">
        <v>494</v>
      </c>
      <c r="G12741" s="5" t="s">
        <v>2160</v>
      </c>
      <c r="H12741" s="5" t="s">
        <v>2556</v>
      </c>
      <c r="I12741" s="5" t="s">
        <v>31</v>
      </c>
      <c r="J12741" s="5">
        <v>16.598805733376999</v>
      </c>
      <c r="K12741" s="5">
        <v>-96.956948156861998</v>
      </c>
      <c r="L12741" s="5" t="str">
        <f>HYPERLINK("https://maps.google.com/?q=16.5988057333775,-96.956948156862396", "🔗 Ver Mapa")</f>
        <v>🔗 Ver Mapa</v>
      </c>
    </row>
    <row r="12742" spans="1:12" ht="43.5" x14ac:dyDescent="0.35">
      <c r="A12742" s="6" t="s">
        <v>98</v>
      </c>
      <c r="B12742" s="6" t="s">
        <v>99</v>
      </c>
      <c r="C12742" s="6" t="s">
        <v>2555</v>
      </c>
      <c r="D12742" s="6" t="s">
        <v>14</v>
      </c>
      <c r="E12742" s="6" t="s">
        <v>39</v>
      </c>
      <c r="F12742" s="6" t="s">
        <v>494</v>
      </c>
      <c r="G12742" s="6" t="s">
        <v>2160</v>
      </c>
      <c r="H12742" s="6" t="s">
        <v>2556</v>
      </c>
      <c r="I12742" s="6" t="s">
        <v>31</v>
      </c>
      <c r="J12742" s="6">
        <v>16.598925829929001</v>
      </c>
      <c r="K12742" s="6">
        <v>-96.958043255771003</v>
      </c>
      <c r="L12742" s="6" t="str">
        <f>HYPERLINK("https://maps.google.com/?q=16.5989258299288,-96.958043255770505", "🔗 Ver Mapa")</f>
        <v>🔗 Ver Mapa</v>
      </c>
    </row>
    <row r="12743" spans="1:12" ht="43.5" x14ac:dyDescent="0.35">
      <c r="A12743" s="5" t="s">
        <v>98</v>
      </c>
      <c r="B12743" s="5" t="s">
        <v>99</v>
      </c>
      <c r="C12743" s="5" t="s">
        <v>2555</v>
      </c>
      <c r="D12743" s="5" t="s">
        <v>14</v>
      </c>
      <c r="E12743" s="5" t="s">
        <v>39</v>
      </c>
      <c r="F12743" s="5" t="s">
        <v>494</v>
      </c>
      <c r="G12743" s="5" t="s">
        <v>2160</v>
      </c>
      <c r="H12743" s="5" t="s">
        <v>2556</v>
      </c>
      <c r="I12743" s="5" t="s">
        <v>31</v>
      </c>
      <c r="J12743" s="5">
        <v>16.600992643901002</v>
      </c>
      <c r="K12743" s="5">
        <v>-96.959734118095994</v>
      </c>
      <c r="L12743" s="5" t="str">
        <f>HYPERLINK("https://maps.google.com/?q=16.6009926439005,-96.959734118096307", "🔗 Ver Mapa")</f>
        <v>🔗 Ver Mapa</v>
      </c>
    </row>
    <row r="12744" spans="1:12" ht="43.5" x14ac:dyDescent="0.35">
      <c r="A12744" s="6" t="s">
        <v>98</v>
      </c>
      <c r="B12744" s="6" t="s">
        <v>99</v>
      </c>
      <c r="C12744" s="6" t="s">
        <v>2555</v>
      </c>
      <c r="D12744" s="6" t="s">
        <v>14</v>
      </c>
      <c r="E12744" s="6" t="s">
        <v>39</v>
      </c>
      <c r="F12744" s="6" t="s">
        <v>494</v>
      </c>
      <c r="G12744" s="6" t="s">
        <v>2160</v>
      </c>
      <c r="H12744" s="6" t="s">
        <v>2556</v>
      </c>
      <c r="I12744" s="6" t="s">
        <v>31</v>
      </c>
      <c r="J12744" s="6">
        <v>16.601152009141</v>
      </c>
      <c r="K12744" s="6">
        <v>-96.959763622395002</v>
      </c>
      <c r="L12744" s="6" t="str">
        <f>HYPERLINK("https://maps.google.com/?q=16.6011520091414,-96.959763622395201", "🔗 Ver Mapa")</f>
        <v>🔗 Ver Mapa</v>
      </c>
    </row>
    <row r="12745" spans="1:12" ht="43.5" x14ac:dyDescent="0.35">
      <c r="A12745" s="5" t="s">
        <v>98</v>
      </c>
      <c r="B12745" s="5" t="s">
        <v>99</v>
      </c>
      <c r="C12745" s="5" t="s">
        <v>2557</v>
      </c>
      <c r="D12745" s="5" t="s">
        <v>14</v>
      </c>
      <c r="E12745" s="5" t="s">
        <v>16</v>
      </c>
      <c r="F12745" s="5" t="s">
        <v>19</v>
      </c>
      <c r="G12745" s="5" t="s">
        <v>2315</v>
      </c>
      <c r="H12745" s="5" t="s">
        <v>2558</v>
      </c>
      <c r="I12745" s="5" t="s">
        <v>31</v>
      </c>
      <c r="J12745" s="5">
        <v>17.450032510899</v>
      </c>
      <c r="K12745" s="5">
        <v>-97.285285693293005</v>
      </c>
      <c r="L12745" s="5" t="str">
        <f>HYPERLINK("https://maps.google.com/?q=17.450032510899,-97.285285693292707", "🔗 Ver Mapa")</f>
        <v>🔗 Ver Mapa</v>
      </c>
    </row>
    <row r="12746" spans="1:12" ht="43.5" x14ac:dyDescent="0.35">
      <c r="A12746" s="6" t="s">
        <v>98</v>
      </c>
      <c r="B12746" s="6" t="s">
        <v>99</v>
      </c>
      <c r="C12746" s="6" t="s">
        <v>2557</v>
      </c>
      <c r="D12746" s="6" t="s">
        <v>14</v>
      </c>
      <c r="E12746" s="6" t="s">
        <v>16</v>
      </c>
      <c r="F12746" s="6" t="s">
        <v>19</v>
      </c>
      <c r="G12746" s="6" t="s">
        <v>2315</v>
      </c>
      <c r="H12746" s="6" t="s">
        <v>2558</v>
      </c>
      <c r="I12746" s="6" t="s">
        <v>31</v>
      </c>
      <c r="J12746" s="6">
        <v>17.450379448915001</v>
      </c>
      <c r="K12746" s="6">
        <v>-97.288747204418002</v>
      </c>
      <c r="L12746" s="6" t="str">
        <f>HYPERLINK("https://maps.google.com/?q=17.4503794489148,-97.288747204418002", "🔗 Ver Mapa")</f>
        <v>🔗 Ver Mapa</v>
      </c>
    </row>
    <row r="12747" spans="1:12" ht="43.5" x14ac:dyDescent="0.35">
      <c r="A12747" s="5" t="s">
        <v>98</v>
      </c>
      <c r="B12747" s="5" t="s">
        <v>99</v>
      </c>
      <c r="C12747" s="5" t="s">
        <v>2557</v>
      </c>
      <c r="D12747" s="5" t="s">
        <v>14</v>
      </c>
      <c r="E12747" s="5" t="s">
        <v>16</v>
      </c>
      <c r="F12747" s="5" t="s">
        <v>19</v>
      </c>
      <c r="G12747" s="5" t="s">
        <v>2315</v>
      </c>
      <c r="H12747" s="5" t="s">
        <v>2558</v>
      </c>
      <c r="I12747" s="5" t="s">
        <v>31</v>
      </c>
      <c r="J12747" s="5">
        <v>17.450660553980999</v>
      </c>
      <c r="K12747" s="5">
        <v>-97.286935438835997</v>
      </c>
      <c r="L12747" s="5" t="str">
        <f>HYPERLINK("https://maps.google.com/?q=17.4506605539815,-97.286935438835698", "🔗 Ver Mapa")</f>
        <v>🔗 Ver Mapa</v>
      </c>
    </row>
    <row r="12748" spans="1:12" ht="43.5" x14ac:dyDescent="0.35">
      <c r="A12748" s="6" t="s">
        <v>98</v>
      </c>
      <c r="B12748" s="6" t="s">
        <v>99</v>
      </c>
      <c r="C12748" s="6" t="s">
        <v>2557</v>
      </c>
      <c r="D12748" s="6" t="s">
        <v>14</v>
      </c>
      <c r="E12748" s="6" t="s">
        <v>16</v>
      </c>
      <c r="F12748" s="6" t="s">
        <v>19</v>
      </c>
      <c r="G12748" s="6" t="s">
        <v>2315</v>
      </c>
      <c r="H12748" s="6" t="s">
        <v>2558</v>
      </c>
      <c r="I12748" s="6" t="s">
        <v>31</v>
      </c>
      <c r="J12748" s="6">
        <v>17.450680552818</v>
      </c>
      <c r="K12748" s="6">
        <v>-97.287525099381</v>
      </c>
      <c r="L12748" s="6" t="str">
        <f>HYPERLINK("https://maps.google.com/?q=17.4506805528177,-97.287525099381", "🔗 Ver Mapa")</f>
        <v>🔗 Ver Mapa</v>
      </c>
    </row>
    <row r="12749" spans="1:12" ht="43.5" x14ac:dyDescent="0.35">
      <c r="A12749" s="5" t="s">
        <v>98</v>
      </c>
      <c r="B12749" s="5" t="s">
        <v>99</v>
      </c>
      <c r="C12749" s="5" t="s">
        <v>2557</v>
      </c>
      <c r="D12749" s="5" t="s">
        <v>14</v>
      </c>
      <c r="E12749" s="5" t="s">
        <v>16</v>
      </c>
      <c r="F12749" s="5" t="s">
        <v>19</v>
      </c>
      <c r="G12749" s="5" t="s">
        <v>2315</v>
      </c>
      <c r="H12749" s="5" t="s">
        <v>2558</v>
      </c>
      <c r="I12749" s="5" t="s">
        <v>31</v>
      </c>
      <c r="J12749" s="5">
        <v>17.450683622833999</v>
      </c>
      <c r="K12749" s="5">
        <v>-97.283127916270999</v>
      </c>
      <c r="L12749" s="5" t="str">
        <f>HYPERLINK("https://maps.google.com/?q=17.4506836228344,-97.283127916271098", "🔗 Ver Mapa")</f>
        <v>🔗 Ver Mapa</v>
      </c>
    </row>
    <row r="12750" spans="1:12" ht="43.5" x14ac:dyDescent="0.35">
      <c r="A12750" s="6" t="s">
        <v>98</v>
      </c>
      <c r="B12750" s="6" t="s">
        <v>99</v>
      </c>
      <c r="C12750" s="6" t="s">
        <v>2557</v>
      </c>
      <c r="D12750" s="6" t="s">
        <v>14</v>
      </c>
      <c r="E12750" s="6" t="s">
        <v>16</v>
      </c>
      <c r="F12750" s="6" t="s">
        <v>19</v>
      </c>
      <c r="G12750" s="6" t="s">
        <v>2315</v>
      </c>
      <c r="H12750" s="6" t="s">
        <v>2558</v>
      </c>
      <c r="I12750" s="6" t="s">
        <v>31</v>
      </c>
      <c r="J12750" s="6">
        <v>17.450794862123001</v>
      </c>
      <c r="K12750" s="6">
        <v>-97.287625108895995</v>
      </c>
      <c r="L12750" s="6" t="str">
        <f>HYPERLINK("https://maps.google.com/?q=17.4507948621231,-97.287625108895597", "🔗 Ver Mapa")</f>
        <v>🔗 Ver Mapa</v>
      </c>
    </row>
    <row r="12751" spans="1:12" ht="43.5" x14ac:dyDescent="0.35">
      <c r="A12751" s="5" t="s">
        <v>98</v>
      </c>
      <c r="B12751" s="5" t="s">
        <v>99</v>
      </c>
      <c r="C12751" s="5" t="s">
        <v>2557</v>
      </c>
      <c r="D12751" s="5" t="s">
        <v>14</v>
      </c>
      <c r="E12751" s="5" t="s">
        <v>16</v>
      </c>
      <c r="F12751" s="5" t="s">
        <v>19</v>
      </c>
      <c r="G12751" s="5" t="s">
        <v>2315</v>
      </c>
      <c r="H12751" s="5" t="s">
        <v>2558</v>
      </c>
      <c r="I12751" s="5" t="s">
        <v>31</v>
      </c>
      <c r="J12751" s="5">
        <v>17.451135883366</v>
      </c>
      <c r="K12751" s="5">
        <v>-97.287672248896001</v>
      </c>
      <c r="L12751" s="5" t="str">
        <f>HYPERLINK("https://maps.google.com/?q=17.4511358833662,-97.287672248896101", "🔗 Ver Mapa")</f>
        <v>🔗 Ver Mapa</v>
      </c>
    </row>
    <row r="12752" spans="1:12" ht="43.5" x14ac:dyDescent="0.35">
      <c r="A12752" s="6" t="s">
        <v>98</v>
      </c>
      <c r="B12752" s="6" t="s">
        <v>99</v>
      </c>
      <c r="C12752" s="6" t="s">
        <v>2557</v>
      </c>
      <c r="D12752" s="6" t="s">
        <v>14</v>
      </c>
      <c r="E12752" s="6" t="s">
        <v>16</v>
      </c>
      <c r="F12752" s="6" t="s">
        <v>19</v>
      </c>
      <c r="G12752" s="6" t="s">
        <v>2315</v>
      </c>
      <c r="H12752" s="6" t="s">
        <v>2558</v>
      </c>
      <c r="I12752" s="6" t="s">
        <v>31</v>
      </c>
      <c r="J12752" s="6">
        <v>17.451616260697001</v>
      </c>
      <c r="K12752" s="6">
        <v>-97.288699345501996</v>
      </c>
      <c r="L12752" s="6" t="str">
        <f>HYPERLINK("https://maps.google.com/?q=17.4516162606966,-97.288699345502096", "🔗 Ver Mapa")</f>
        <v>🔗 Ver Mapa</v>
      </c>
    </row>
    <row r="12753" spans="1:12" ht="43.5" x14ac:dyDescent="0.35">
      <c r="A12753" s="5" t="s">
        <v>98</v>
      </c>
      <c r="B12753" s="5" t="s">
        <v>99</v>
      </c>
      <c r="C12753" s="5" t="s">
        <v>2557</v>
      </c>
      <c r="D12753" s="5" t="s">
        <v>14</v>
      </c>
      <c r="E12753" s="5" t="s">
        <v>16</v>
      </c>
      <c r="F12753" s="5" t="s">
        <v>19</v>
      </c>
      <c r="G12753" s="5" t="s">
        <v>2315</v>
      </c>
      <c r="H12753" s="5" t="s">
        <v>2558</v>
      </c>
      <c r="I12753" s="5" t="s">
        <v>31</v>
      </c>
      <c r="J12753" s="5">
        <v>17.452504502225</v>
      </c>
      <c r="K12753" s="5">
        <v>-97.282120611164004</v>
      </c>
      <c r="L12753" s="5" t="str">
        <f>HYPERLINK("https://maps.google.com/?q=17.4525045022253,-97.282120611163904", "🔗 Ver Mapa")</f>
        <v>🔗 Ver Mapa</v>
      </c>
    </row>
    <row r="12754" spans="1:12" ht="43.5" x14ac:dyDescent="0.35">
      <c r="A12754" s="6" t="s">
        <v>98</v>
      </c>
      <c r="B12754" s="6" t="s">
        <v>99</v>
      </c>
      <c r="C12754" s="6" t="s">
        <v>2557</v>
      </c>
      <c r="D12754" s="6" t="s">
        <v>14</v>
      </c>
      <c r="E12754" s="6" t="s">
        <v>16</v>
      </c>
      <c r="F12754" s="6" t="s">
        <v>19</v>
      </c>
      <c r="G12754" s="6" t="s">
        <v>2315</v>
      </c>
      <c r="H12754" s="6" t="s">
        <v>2558</v>
      </c>
      <c r="I12754" s="6" t="s">
        <v>31</v>
      </c>
      <c r="J12754" s="6">
        <v>17.452902539096002</v>
      </c>
      <c r="K12754" s="6">
        <v>-97.284987973308006</v>
      </c>
      <c r="L12754" s="6" t="str">
        <f>HYPERLINK("https://maps.google.com/?q=17.4529025390958,-97.284987973308105", "🔗 Ver Mapa")</f>
        <v>🔗 Ver Mapa</v>
      </c>
    </row>
    <row r="12755" spans="1:12" ht="43.5" x14ac:dyDescent="0.35">
      <c r="A12755" s="5" t="s">
        <v>98</v>
      </c>
      <c r="B12755" s="5" t="s">
        <v>99</v>
      </c>
      <c r="C12755" s="5" t="s">
        <v>2557</v>
      </c>
      <c r="D12755" s="5" t="s">
        <v>14</v>
      </c>
      <c r="E12755" s="5" t="s">
        <v>16</v>
      </c>
      <c r="F12755" s="5" t="s">
        <v>19</v>
      </c>
      <c r="G12755" s="5" t="s">
        <v>2315</v>
      </c>
      <c r="H12755" s="5" t="s">
        <v>2558</v>
      </c>
      <c r="I12755" s="5" t="s">
        <v>31</v>
      </c>
      <c r="J12755" s="5">
        <v>17.452975164649999</v>
      </c>
      <c r="K12755" s="5">
        <v>-97.281160110000002</v>
      </c>
      <c r="L12755" s="5" t="str">
        <f>HYPERLINK("https://maps.google.com/?q=17.4529751646497,-97.281160109999703", "🔗 Ver Mapa")</f>
        <v>🔗 Ver Mapa</v>
      </c>
    </row>
    <row r="12756" spans="1:12" ht="43.5" x14ac:dyDescent="0.35">
      <c r="A12756" s="6" t="s">
        <v>98</v>
      </c>
      <c r="B12756" s="6" t="s">
        <v>99</v>
      </c>
      <c r="C12756" s="6" t="s">
        <v>2557</v>
      </c>
      <c r="D12756" s="6" t="s">
        <v>14</v>
      </c>
      <c r="E12756" s="6" t="s">
        <v>16</v>
      </c>
      <c r="F12756" s="6" t="s">
        <v>19</v>
      </c>
      <c r="G12756" s="6" t="s">
        <v>2315</v>
      </c>
      <c r="H12756" s="6" t="s">
        <v>2558</v>
      </c>
      <c r="I12756" s="6" t="s">
        <v>31</v>
      </c>
      <c r="J12756" s="6">
        <v>17.452991989390998</v>
      </c>
      <c r="K12756" s="6">
        <v>-97.282609456086007</v>
      </c>
      <c r="L12756" s="6" t="str">
        <f>HYPERLINK("https://maps.google.com/?q=17.4529919893909,-97.282609456085893", "🔗 Ver Mapa")</f>
        <v>🔗 Ver Mapa</v>
      </c>
    </row>
    <row r="12757" spans="1:12" ht="43.5" x14ac:dyDescent="0.35">
      <c r="A12757" s="5" t="s">
        <v>98</v>
      </c>
      <c r="B12757" s="5" t="s">
        <v>99</v>
      </c>
      <c r="C12757" s="5" t="s">
        <v>2557</v>
      </c>
      <c r="D12757" s="5" t="s">
        <v>14</v>
      </c>
      <c r="E12757" s="5" t="s">
        <v>16</v>
      </c>
      <c r="F12757" s="5" t="s">
        <v>19</v>
      </c>
      <c r="G12757" s="5" t="s">
        <v>2315</v>
      </c>
      <c r="H12757" s="5" t="s">
        <v>2558</v>
      </c>
      <c r="I12757" s="5" t="s">
        <v>31</v>
      </c>
      <c r="J12757" s="5">
        <v>17.453419705723999</v>
      </c>
      <c r="K12757" s="5">
        <v>-97.288787805900995</v>
      </c>
      <c r="L12757" s="5" t="str">
        <f>HYPERLINK("https://maps.google.com/?q=17.4534197057244,-97.288787805900895", "🔗 Ver Mapa")</f>
        <v>🔗 Ver Mapa</v>
      </c>
    </row>
    <row r="12758" spans="1:12" ht="43.5" x14ac:dyDescent="0.35">
      <c r="A12758" s="6" t="s">
        <v>98</v>
      </c>
      <c r="B12758" s="6" t="s">
        <v>99</v>
      </c>
      <c r="C12758" s="6" t="s">
        <v>2557</v>
      </c>
      <c r="D12758" s="6" t="s">
        <v>14</v>
      </c>
      <c r="E12758" s="6" t="s">
        <v>16</v>
      </c>
      <c r="F12758" s="6" t="s">
        <v>19</v>
      </c>
      <c r="G12758" s="6" t="s">
        <v>2315</v>
      </c>
      <c r="H12758" s="6" t="s">
        <v>2558</v>
      </c>
      <c r="I12758" s="6" t="s">
        <v>31</v>
      </c>
      <c r="J12758" s="6">
        <v>17.453977437883001</v>
      </c>
      <c r="K12758" s="6">
        <v>-97.284492560000004</v>
      </c>
      <c r="L12758" s="6" t="str">
        <f>HYPERLINK("https://maps.google.com/?q=17.4539774378831,-97.284492560000004", "🔗 Ver Mapa")</f>
        <v>🔗 Ver Mapa</v>
      </c>
    </row>
    <row r="12759" spans="1:12" ht="43.5" x14ac:dyDescent="0.35">
      <c r="A12759" s="5" t="s">
        <v>98</v>
      </c>
      <c r="B12759" s="5" t="s">
        <v>99</v>
      </c>
      <c r="C12759" s="5" t="s">
        <v>2557</v>
      </c>
      <c r="D12759" s="5" t="s">
        <v>14</v>
      </c>
      <c r="E12759" s="5" t="s">
        <v>16</v>
      </c>
      <c r="F12759" s="5" t="s">
        <v>19</v>
      </c>
      <c r="G12759" s="5" t="s">
        <v>2315</v>
      </c>
      <c r="H12759" s="5" t="s">
        <v>2558</v>
      </c>
      <c r="I12759" s="5" t="s">
        <v>31</v>
      </c>
      <c r="J12759" s="5">
        <v>17.454151841861002</v>
      </c>
      <c r="K12759" s="5">
        <v>-97.285490834384007</v>
      </c>
      <c r="L12759" s="5" t="str">
        <f>HYPERLINK("https://maps.google.com/?q=17.454151841861,-97.285490834384206", "🔗 Ver Mapa")</f>
        <v>🔗 Ver Mapa</v>
      </c>
    </row>
    <row r="12760" spans="1:12" ht="43.5" x14ac:dyDescent="0.35">
      <c r="A12760" s="6" t="s">
        <v>98</v>
      </c>
      <c r="B12760" s="6" t="s">
        <v>99</v>
      </c>
      <c r="C12760" s="6" t="s">
        <v>2557</v>
      </c>
      <c r="D12760" s="6" t="s">
        <v>14</v>
      </c>
      <c r="E12760" s="6" t="s">
        <v>16</v>
      </c>
      <c r="F12760" s="6" t="s">
        <v>19</v>
      </c>
      <c r="G12760" s="6" t="s">
        <v>2315</v>
      </c>
      <c r="H12760" s="6" t="s">
        <v>2558</v>
      </c>
      <c r="I12760" s="6" t="s">
        <v>31</v>
      </c>
      <c r="J12760" s="6">
        <v>17.454803681590001</v>
      </c>
      <c r="K12760" s="6">
        <v>-97.283361093685002</v>
      </c>
      <c r="L12760" s="6" t="str">
        <f>HYPERLINK("https://maps.google.com/?q=17.45480368159,-97.283361093684704", "🔗 Ver Mapa")</f>
        <v>🔗 Ver Mapa</v>
      </c>
    </row>
    <row r="12761" spans="1:12" ht="43.5" x14ac:dyDescent="0.35">
      <c r="A12761" s="5" t="s">
        <v>98</v>
      </c>
      <c r="B12761" s="5" t="s">
        <v>99</v>
      </c>
      <c r="C12761" s="5" t="s">
        <v>2557</v>
      </c>
      <c r="D12761" s="5" t="s">
        <v>14</v>
      </c>
      <c r="E12761" s="5" t="s">
        <v>16</v>
      </c>
      <c r="F12761" s="5" t="s">
        <v>19</v>
      </c>
      <c r="G12761" s="5" t="s">
        <v>2315</v>
      </c>
      <c r="H12761" s="5" t="s">
        <v>2558</v>
      </c>
      <c r="I12761" s="5" t="s">
        <v>31</v>
      </c>
      <c r="J12761" s="5">
        <v>17.455176580513999</v>
      </c>
      <c r="K12761" s="5">
        <v>-97.284945266118996</v>
      </c>
      <c r="L12761" s="5" t="str">
        <f>HYPERLINK("https://maps.google.com/?q=17.4551765805141,-97.284945266119394", "🔗 Ver Mapa")</f>
        <v>🔗 Ver Mapa</v>
      </c>
    </row>
    <row r="12762" spans="1:12" ht="43.5" x14ac:dyDescent="0.35">
      <c r="A12762" s="6" t="s">
        <v>98</v>
      </c>
      <c r="B12762" s="6" t="s">
        <v>99</v>
      </c>
      <c r="C12762" s="6" t="s">
        <v>2557</v>
      </c>
      <c r="D12762" s="6" t="s">
        <v>14</v>
      </c>
      <c r="E12762" s="6" t="s">
        <v>16</v>
      </c>
      <c r="F12762" s="6" t="s">
        <v>19</v>
      </c>
      <c r="G12762" s="6" t="s">
        <v>2315</v>
      </c>
      <c r="H12762" s="6" t="s">
        <v>2558</v>
      </c>
      <c r="I12762" s="6" t="s">
        <v>31</v>
      </c>
      <c r="J12762" s="6">
        <v>17.455768882744</v>
      </c>
      <c r="K12762" s="6">
        <v>-97.288558451045006</v>
      </c>
      <c r="L12762" s="6" t="str">
        <f>HYPERLINK("https://maps.google.com/?q=17.4557688827441,-97.288558451045105", "🔗 Ver Mapa")</f>
        <v>🔗 Ver Mapa</v>
      </c>
    </row>
    <row r="12763" spans="1:12" ht="43.5" x14ac:dyDescent="0.35">
      <c r="A12763" s="5" t="s">
        <v>98</v>
      </c>
      <c r="B12763" s="5" t="s">
        <v>99</v>
      </c>
      <c r="C12763" s="5" t="s">
        <v>2557</v>
      </c>
      <c r="D12763" s="5" t="s">
        <v>14</v>
      </c>
      <c r="E12763" s="5" t="s">
        <v>16</v>
      </c>
      <c r="F12763" s="5" t="s">
        <v>19</v>
      </c>
      <c r="G12763" s="5" t="s">
        <v>2315</v>
      </c>
      <c r="H12763" s="5" t="s">
        <v>2558</v>
      </c>
      <c r="I12763" s="5" t="s">
        <v>31</v>
      </c>
      <c r="J12763" s="5">
        <v>17.455910534752</v>
      </c>
      <c r="K12763" s="5">
        <v>-97.286740650420995</v>
      </c>
      <c r="L12763" s="5" t="str">
        <f>HYPERLINK("https://maps.google.com/?q=17.4559105347521,-97.286740650421095", "🔗 Ver Mapa")</f>
        <v>🔗 Ver Mapa</v>
      </c>
    </row>
    <row r="12764" spans="1:12" ht="43.5" x14ac:dyDescent="0.35">
      <c r="A12764" s="6" t="s">
        <v>98</v>
      </c>
      <c r="B12764" s="6" t="s">
        <v>99</v>
      </c>
      <c r="C12764" s="6" t="s">
        <v>2557</v>
      </c>
      <c r="D12764" s="6" t="s">
        <v>14</v>
      </c>
      <c r="E12764" s="6" t="s">
        <v>16</v>
      </c>
      <c r="F12764" s="6" t="s">
        <v>19</v>
      </c>
      <c r="G12764" s="6" t="s">
        <v>2315</v>
      </c>
      <c r="H12764" s="6" t="s">
        <v>2558</v>
      </c>
      <c r="I12764" s="6" t="s">
        <v>31</v>
      </c>
      <c r="J12764" s="6">
        <v>17.456097984715999</v>
      </c>
      <c r="K12764" s="6">
        <v>-97.284864092209006</v>
      </c>
      <c r="L12764" s="6" t="str">
        <f>HYPERLINK("https://maps.google.com/?q=17.4560979847159,-97.284864092209105", "🔗 Ver Mapa")</f>
        <v>🔗 Ver Mapa</v>
      </c>
    </row>
    <row r="12765" spans="1:12" ht="43.5" x14ac:dyDescent="0.35">
      <c r="A12765" s="5" t="s">
        <v>98</v>
      </c>
      <c r="B12765" s="5" t="s">
        <v>99</v>
      </c>
      <c r="C12765" s="5" t="s">
        <v>2557</v>
      </c>
      <c r="D12765" s="5" t="s">
        <v>14</v>
      </c>
      <c r="E12765" s="5" t="s">
        <v>16</v>
      </c>
      <c r="F12765" s="5" t="s">
        <v>19</v>
      </c>
      <c r="G12765" s="5" t="s">
        <v>2315</v>
      </c>
      <c r="H12765" s="5" t="s">
        <v>2558</v>
      </c>
      <c r="I12765" s="5" t="s">
        <v>31</v>
      </c>
      <c r="J12765" s="5">
        <v>17.456213125525998</v>
      </c>
      <c r="K12765" s="5">
        <v>-97.286004031041003</v>
      </c>
      <c r="L12765" s="5" t="str">
        <f>HYPERLINK("https://maps.google.com/?q=17.4562131255255,-97.286004031040605", "🔗 Ver Mapa")</f>
        <v>🔗 Ver Mapa</v>
      </c>
    </row>
    <row r="12766" spans="1:12" ht="43.5" x14ac:dyDescent="0.35">
      <c r="A12766" s="6" t="s">
        <v>98</v>
      </c>
      <c r="B12766" s="6" t="s">
        <v>99</v>
      </c>
      <c r="C12766" s="6" t="s">
        <v>2557</v>
      </c>
      <c r="D12766" s="6" t="s">
        <v>14</v>
      </c>
      <c r="E12766" s="6" t="s">
        <v>16</v>
      </c>
      <c r="F12766" s="6" t="s">
        <v>19</v>
      </c>
      <c r="G12766" s="6" t="s">
        <v>2315</v>
      </c>
      <c r="H12766" s="6" t="s">
        <v>2558</v>
      </c>
      <c r="I12766" s="6" t="s">
        <v>31</v>
      </c>
      <c r="J12766" s="6">
        <v>17.456794576717002</v>
      </c>
      <c r="K12766" s="6">
        <v>-97.285979836568004</v>
      </c>
      <c r="L12766" s="6" t="str">
        <f>HYPERLINK("https://maps.google.com/?q=17.4567945767173,-97.285979836567805", "🔗 Ver Mapa")</f>
        <v>🔗 Ver Mapa</v>
      </c>
    </row>
    <row r="12767" spans="1:12" ht="43.5" x14ac:dyDescent="0.35">
      <c r="A12767" s="5" t="s">
        <v>98</v>
      </c>
      <c r="B12767" s="5" t="s">
        <v>99</v>
      </c>
      <c r="C12767" s="5" t="s">
        <v>2557</v>
      </c>
      <c r="D12767" s="5" t="s">
        <v>14</v>
      </c>
      <c r="E12767" s="5" t="s">
        <v>16</v>
      </c>
      <c r="F12767" s="5" t="s">
        <v>19</v>
      </c>
      <c r="G12767" s="5" t="s">
        <v>2315</v>
      </c>
      <c r="H12767" s="5" t="s">
        <v>2558</v>
      </c>
      <c r="I12767" s="5" t="s">
        <v>31</v>
      </c>
      <c r="J12767" s="5">
        <v>17.457405411412001</v>
      </c>
      <c r="K12767" s="5">
        <v>-97.289292184418002</v>
      </c>
      <c r="L12767" s="5" t="str">
        <f>HYPERLINK("https://maps.google.com/?q=17.4574054114115,-97.289292184417704", "🔗 Ver Mapa")</f>
        <v>🔗 Ver Mapa</v>
      </c>
    </row>
    <row r="12768" spans="1:12" ht="43.5" x14ac:dyDescent="0.35">
      <c r="A12768" s="6" t="s">
        <v>98</v>
      </c>
      <c r="B12768" s="6" t="s">
        <v>99</v>
      </c>
      <c r="C12768" s="6" t="s">
        <v>2557</v>
      </c>
      <c r="D12768" s="6" t="s">
        <v>14</v>
      </c>
      <c r="E12768" s="6" t="s">
        <v>16</v>
      </c>
      <c r="F12768" s="6" t="s">
        <v>19</v>
      </c>
      <c r="G12768" s="6" t="s">
        <v>2315</v>
      </c>
      <c r="H12768" s="6" t="s">
        <v>2558</v>
      </c>
      <c r="I12768" s="6" t="s">
        <v>31</v>
      </c>
      <c r="J12768" s="6">
        <v>17.457474876075</v>
      </c>
      <c r="K12768" s="6">
        <v>-97.288584980058999</v>
      </c>
      <c r="L12768" s="6" t="str">
        <f>HYPERLINK("https://maps.google.com/?q=17.4574748760754,-97.288584980059497", "🔗 Ver Mapa")</f>
        <v>🔗 Ver Mapa</v>
      </c>
    </row>
    <row r="12769" spans="1:12" ht="43.5" x14ac:dyDescent="0.35">
      <c r="A12769" s="5" t="s">
        <v>98</v>
      </c>
      <c r="B12769" s="5" t="s">
        <v>99</v>
      </c>
      <c r="C12769" s="5" t="s">
        <v>2557</v>
      </c>
      <c r="D12769" s="5" t="s">
        <v>14</v>
      </c>
      <c r="E12769" s="5" t="s">
        <v>16</v>
      </c>
      <c r="F12769" s="5" t="s">
        <v>19</v>
      </c>
      <c r="G12769" s="5" t="s">
        <v>2315</v>
      </c>
      <c r="H12769" s="5" t="s">
        <v>2558</v>
      </c>
      <c r="I12769" s="5" t="s">
        <v>31</v>
      </c>
      <c r="J12769" s="5">
        <v>17.457859984083999</v>
      </c>
      <c r="K12769" s="5">
        <v>-97.289030762267998</v>
      </c>
      <c r="L12769" s="5" t="str">
        <f>HYPERLINK("https://maps.google.com/?q=17.4578599840837,-97.289030762268496", "🔗 Ver Mapa")</f>
        <v>🔗 Ver Mapa</v>
      </c>
    </row>
    <row r="12770" spans="1:12" ht="43.5" x14ac:dyDescent="0.35">
      <c r="A12770" s="6" t="s">
        <v>73</v>
      </c>
      <c r="B12770" s="6" t="s">
        <v>74</v>
      </c>
      <c r="C12770" s="6" t="s">
        <v>2559</v>
      </c>
      <c r="D12770" s="6" t="s">
        <v>76</v>
      </c>
      <c r="E12770" s="6" t="s">
        <v>39</v>
      </c>
      <c r="F12770" s="6" t="s">
        <v>494</v>
      </c>
      <c r="G12770" s="6" t="s">
        <v>1074</v>
      </c>
      <c r="H12770" s="6" t="s">
        <v>2560</v>
      </c>
      <c r="I12770" s="6" t="s">
        <v>31</v>
      </c>
      <c r="J12770" s="6">
        <v>16.511904982994</v>
      </c>
      <c r="K12770" s="6">
        <v>-97.201627932587996</v>
      </c>
      <c r="L12770" s="6" t="str">
        <f>HYPERLINK("https://maps.google.com/?q=16.511904982993514,-97.20162793258821", "🔗 Ver Mapa")</f>
        <v>🔗 Ver Mapa</v>
      </c>
    </row>
    <row r="12771" spans="1:12" ht="43.5" x14ac:dyDescent="0.35">
      <c r="A12771" s="5" t="s">
        <v>73</v>
      </c>
      <c r="B12771" s="5" t="s">
        <v>74</v>
      </c>
      <c r="C12771" s="5" t="s">
        <v>2561</v>
      </c>
      <c r="D12771" s="5" t="s">
        <v>76</v>
      </c>
      <c r="E12771" s="5" t="s">
        <v>52</v>
      </c>
      <c r="F12771" s="5" t="s">
        <v>421</v>
      </c>
      <c r="G12771" s="5" t="s">
        <v>1922</v>
      </c>
      <c r="H12771" s="5" t="s">
        <v>1923</v>
      </c>
      <c r="I12771" s="5" t="s">
        <v>31</v>
      </c>
      <c r="J12771" s="5">
        <v>16.569899977626001</v>
      </c>
      <c r="K12771" s="5">
        <v>-96.556591991054006</v>
      </c>
      <c r="L12771" s="5" t="str">
        <f>HYPERLINK("https://maps.google.com/?q=16.56989997762603,-96.55659199105433", "🔗 Ver Mapa")</f>
        <v>🔗 Ver Mapa</v>
      </c>
    </row>
    <row r="12772" spans="1:12" ht="58" x14ac:dyDescent="0.35">
      <c r="A12772" s="6" t="s">
        <v>73</v>
      </c>
      <c r="B12772" s="6" t="s">
        <v>74</v>
      </c>
      <c r="C12772" s="6" t="s">
        <v>2562</v>
      </c>
      <c r="D12772" s="6" t="s">
        <v>76</v>
      </c>
      <c r="E12772" s="6" t="s">
        <v>39</v>
      </c>
      <c r="F12772" s="6" t="s">
        <v>494</v>
      </c>
      <c r="G12772" s="6" t="s">
        <v>1478</v>
      </c>
      <c r="H12772" s="6" t="s">
        <v>2563</v>
      </c>
      <c r="I12772" s="6" t="s">
        <v>31</v>
      </c>
      <c r="J12772" s="6">
        <v>16.523095039137999</v>
      </c>
      <c r="K12772" s="6">
        <v>-97.386337193065998</v>
      </c>
      <c r="L12772" s="6" t="str">
        <f>HYPERLINK("https://maps.google.com/?q=16.523095039137743,-97.38633719306581", "🔗 Ver Mapa")</f>
        <v>🔗 Ver Mapa</v>
      </c>
    </row>
    <row r="12773" spans="1:12" ht="43.5" x14ac:dyDescent="0.35">
      <c r="A12773" s="5" t="s">
        <v>297</v>
      </c>
      <c r="B12773" s="5" t="s">
        <v>298</v>
      </c>
      <c r="C12773" s="5" t="s">
        <v>2564</v>
      </c>
      <c r="D12773" s="5" t="s">
        <v>13</v>
      </c>
      <c r="E12773" s="5" t="s">
        <v>52</v>
      </c>
      <c r="F12773" s="5" t="s">
        <v>70</v>
      </c>
      <c r="G12773" s="5" t="s">
        <v>304</v>
      </c>
      <c r="H12773" s="5" t="s">
        <v>305</v>
      </c>
      <c r="I12773" s="5" t="s">
        <v>31</v>
      </c>
      <c r="J12773" s="5">
        <v>17.081247999999999</v>
      </c>
      <c r="K12773" s="5">
        <v>-96.749936000000005</v>
      </c>
      <c r="L12773" s="5" t="str">
        <f>HYPERLINK("https://maps.google.com/?q=17.081248,-96.74993600", "🔗 Ver Mapa")</f>
        <v>🔗 Ver Mapa</v>
      </c>
    </row>
    <row r="12774" spans="1:12" ht="43.5" x14ac:dyDescent="0.35">
      <c r="A12774" s="6" t="s">
        <v>73</v>
      </c>
      <c r="B12774" s="6" t="s">
        <v>74</v>
      </c>
      <c r="C12774" s="6" t="s">
        <v>2565</v>
      </c>
      <c r="D12774" s="6" t="s">
        <v>76</v>
      </c>
      <c r="E12774" s="6" t="s">
        <v>16</v>
      </c>
      <c r="F12774" s="6" t="s">
        <v>95</v>
      </c>
      <c r="G12774" s="6" t="s">
        <v>2152</v>
      </c>
      <c r="H12774" s="6" t="s">
        <v>2566</v>
      </c>
      <c r="I12774" s="6" t="s">
        <v>31</v>
      </c>
      <c r="J12774" s="6">
        <v>17.520349138943999</v>
      </c>
      <c r="K12774" s="6">
        <v>-97.677170320586001</v>
      </c>
      <c r="L12774" s="6" t="str">
        <f>HYPERLINK("https://maps.google.com/?q=17.520349138944376,-97.67717032058583", "🔗 Ver Mapa")</f>
        <v>🔗 Ver Mapa</v>
      </c>
    </row>
    <row r="12775" spans="1:12" ht="58" x14ac:dyDescent="0.35">
      <c r="A12775" s="5" t="s">
        <v>73</v>
      </c>
      <c r="B12775" s="5" t="s">
        <v>74</v>
      </c>
      <c r="C12775" s="5" t="s">
        <v>2567</v>
      </c>
      <c r="D12775" s="5" t="s">
        <v>76</v>
      </c>
      <c r="E12775" s="5" t="s">
        <v>110</v>
      </c>
      <c r="F12775" s="5" t="s">
        <v>126</v>
      </c>
      <c r="G12775" s="5" t="s">
        <v>986</v>
      </c>
      <c r="H12775" s="5" t="s">
        <v>987</v>
      </c>
      <c r="I12775" s="5" t="s">
        <v>31</v>
      </c>
      <c r="J12775" s="5">
        <v>17.952171660354001</v>
      </c>
      <c r="K12775" s="5">
        <v>-96.655626960958998</v>
      </c>
      <c r="L12775" s="5" t="str">
        <f>HYPERLINK("https://maps.google.com/?q=17.952171660354182,-96.65562696095886", "🔗 Ver Mapa")</f>
        <v>🔗 Ver Mapa</v>
      </c>
    </row>
    <row r="12776" spans="1:12" ht="43.5" x14ac:dyDescent="0.35">
      <c r="A12776" s="6" t="s">
        <v>73</v>
      </c>
      <c r="B12776" s="6" t="s">
        <v>74</v>
      </c>
      <c r="C12776" s="6" t="s">
        <v>2568</v>
      </c>
      <c r="D12776" s="6" t="s">
        <v>76</v>
      </c>
      <c r="E12776" s="6" t="s">
        <v>90</v>
      </c>
      <c r="F12776" s="6" t="s">
        <v>119</v>
      </c>
      <c r="G12776" s="6" t="s">
        <v>2172</v>
      </c>
      <c r="H12776" s="6" t="s">
        <v>2569</v>
      </c>
      <c r="I12776" s="6" t="s">
        <v>31</v>
      </c>
      <c r="J12776" s="6">
        <v>17.417945955414002</v>
      </c>
      <c r="K12776" s="6">
        <v>-96.353920897631994</v>
      </c>
      <c r="L12776" s="6" t="str">
        <f>HYPERLINK("https://maps.google.com/?q=17.417945955414496,-96.35392089763165", "🔗 Ver Mapa")</f>
        <v>🔗 Ver Mapa</v>
      </c>
    </row>
    <row r="12777" spans="1:12" ht="58" x14ac:dyDescent="0.35">
      <c r="A12777" s="5" t="s">
        <v>73</v>
      </c>
      <c r="B12777" s="5" t="s">
        <v>74</v>
      </c>
      <c r="C12777" s="5" t="s">
        <v>2570</v>
      </c>
      <c r="D12777" s="5" t="s">
        <v>76</v>
      </c>
      <c r="E12777" s="5" t="s">
        <v>16</v>
      </c>
      <c r="F12777" s="5" t="s">
        <v>21</v>
      </c>
      <c r="G12777" s="5" t="s">
        <v>1290</v>
      </c>
      <c r="H12777" s="5" t="s">
        <v>1827</v>
      </c>
      <c r="I12777" s="5" t="s">
        <v>31</v>
      </c>
      <c r="J12777" s="5">
        <v>17.138185152542999</v>
      </c>
      <c r="K12777" s="5">
        <v>-97.785058712139005</v>
      </c>
      <c r="L12777" s="5" t="str">
        <f>HYPERLINK("https://maps.google.com/?q=17.138185152543223,-97.78505871213896", "🔗 Ver Mapa")</f>
        <v>🔗 Ver Mapa</v>
      </c>
    </row>
    <row r="12778" spans="1:12" ht="43.5" x14ac:dyDescent="0.35">
      <c r="A12778" s="6" t="s">
        <v>73</v>
      </c>
      <c r="B12778" s="6" t="s">
        <v>74</v>
      </c>
      <c r="C12778" s="6" t="s">
        <v>2571</v>
      </c>
      <c r="D12778" s="6" t="s">
        <v>76</v>
      </c>
      <c r="E12778" s="6" t="s">
        <v>16</v>
      </c>
      <c r="F12778" s="6" t="s">
        <v>19</v>
      </c>
      <c r="G12778" s="6" t="s">
        <v>479</v>
      </c>
      <c r="H12778" s="6" t="s">
        <v>480</v>
      </c>
      <c r="I12778" s="6" t="s">
        <v>31</v>
      </c>
      <c r="J12778" s="6">
        <v>16.999069453813</v>
      </c>
      <c r="K12778" s="6">
        <v>-97.232808344706996</v>
      </c>
      <c r="L12778" s="6" t="str">
        <f>HYPERLINK("https://maps.google.com/?q=16.999069453812503,-97.2328083447066", "🔗 Ver Mapa")</f>
        <v>🔗 Ver Mapa</v>
      </c>
    </row>
    <row r="12779" spans="1:12" ht="58" x14ac:dyDescent="0.35">
      <c r="A12779" s="5" t="s">
        <v>73</v>
      </c>
      <c r="B12779" s="5" t="s">
        <v>74</v>
      </c>
      <c r="C12779" s="5" t="s">
        <v>2572</v>
      </c>
      <c r="D12779" s="5" t="s">
        <v>76</v>
      </c>
      <c r="E12779" s="5" t="s">
        <v>90</v>
      </c>
      <c r="F12779" s="5" t="s">
        <v>678</v>
      </c>
      <c r="G12779" s="5" t="s">
        <v>1896</v>
      </c>
      <c r="H12779" s="5" t="s">
        <v>1897</v>
      </c>
      <c r="I12779" s="5" t="s">
        <v>31</v>
      </c>
      <c r="J12779" s="5">
        <v>17.2695225965</v>
      </c>
      <c r="K12779" s="5">
        <v>-96.239621116981994</v>
      </c>
      <c r="L12779" s="5" t="str">
        <f>HYPERLINK("https://maps.google.com/?q=17.26952259650003,-96.23962111698238", "🔗 Ver Mapa")</f>
        <v>🔗 Ver Mapa</v>
      </c>
    </row>
    <row r="12780" spans="1:12" ht="58" x14ac:dyDescent="0.35">
      <c r="A12780" s="6" t="s">
        <v>73</v>
      </c>
      <c r="B12780" s="6" t="s">
        <v>74</v>
      </c>
      <c r="C12780" s="6" t="s">
        <v>2573</v>
      </c>
      <c r="D12780" s="6" t="s">
        <v>76</v>
      </c>
      <c r="E12780" s="6" t="s">
        <v>90</v>
      </c>
      <c r="F12780" s="6" t="s">
        <v>119</v>
      </c>
      <c r="G12780" s="6" t="s">
        <v>2574</v>
      </c>
      <c r="H12780" s="6" t="s">
        <v>2575</v>
      </c>
      <c r="I12780" s="6" t="s">
        <v>31</v>
      </c>
      <c r="J12780" s="6">
        <v>17.394552833685001</v>
      </c>
      <c r="K12780" s="6">
        <v>-96.612095360780998</v>
      </c>
      <c r="L12780" s="6" t="str">
        <f>HYPERLINK("https://maps.google.com/?q=17.39455283368536,-96.61209536078086", "🔗 Ver Mapa")</f>
        <v>🔗 Ver Mapa</v>
      </c>
    </row>
    <row r="12781" spans="1:12" ht="58" x14ac:dyDescent="0.35">
      <c r="A12781" s="5" t="s">
        <v>73</v>
      </c>
      <c r="B12781" s="5" t="s">
        <v>74</v>
      </c>
      <c r="C12781" s="5" t="s">
        <v>2576</v>
      </c>
      <c r="D12781" s="5" t="s">
        <v>76</v>
      </c>
      <c r="E12781" s="5" t="s">
        <v>17</v>
      </c>
      <c r="F12781" s="5" t="s">
        <v>59</v>
      </c>
      <c r="G12781" s="5" t="s">
        <v>982</v>
      </c>
      <c r="H12781" s="5" t="s">
        <v>1257</v>
      </c>
      <c r="I12781" s="5" t="s">
        <v>31</v>
      </c>
      <c r="J12781" s="5">
        <v>16.304344944381</v>
      </c>
      <c r="K12781" s="5">
        <v>-98.444757624581001</v>
      </c>
      <c r="L12781" s="5" t="str">
        <f>HYPERLINK("https://maps.google.com/?q=16.304344944380837,-98.44475762458072", "🔗 Ver Mapa")</f>
        <v>🔗 Ver Mapa</v>
      </c>
    </row>
    <row r="12782" spans="1:12" ht="58" x14ac:dyDescent="0.35">
      <c r="A12782" s="6" t="s">
        <v>73</v>
      </c>
      <c r="B12782" s="6" t="s">
        <v>74</v>
      </c>
      <c r="C12782" s="6" t="s">
        <v>2577</v>
      </c>
      <c r="D12782" s="6" t="s">
        <v>76</v>
      </c>
      <c r="E12782" s="6" t="s">
        <v>52</v>
      </c>
      <c r="F12782" s="6" t="s">
        <v>443</v>
      </c>
      <c r="G12782" s="6" t="s">
        <v>2266</v>
      </c>
      <c r="H12782" s="6" t="s">
        <v>2578</v>
      </c>
      <c r="I12782" s="6" t="s">
        <v>31</v>
      </c>
      <c r="J12782" s="6">
        <v>16.887266675585</v>
      </c>
      <c r="K12782" s="6">
        <v>-96.741188683489995</v>
      </c>
      <c r="L12782" s="6" t="str">
        <f>HYPERLINK("https://maps.google.com/?q=16.887266675584797,-96.74118868349007", "🔗 Ver Mapa")</f>
        <v>🔗 Ver Mapa</v>
      </c>
    </row>
    <row r="12783" spans="1:12" ht="29" x14ac:dyDescent="0.35">
      <c r="A12783" s="5" t="s">
        <v>107</v>
      </c>
      <c r="B12783" s="5" t="s">
        <v>108</v>
      </c>
      <c r="C12783" s="5" t="s">
        <v>2579</v>
      </c>
      <c r="D12783" s="5" t="s">
        <v>76</v>
      </c>
      <c r="E12783" s="5" t="s">
        <v>110</v>
      </c>
      <c r="F12783" s="5" t="s">
        <v>111</v>
      </c>
      <c r="G12783" s="5" t="s">
        <v>112</v>
      </c>
      <c r="H12783" s="5" t="s">
        <v>113</v>
      </c>
      <c r="I12783" s="5" t="s">
        <v>31</v>
      </c>
      <c r="J12783" s="5">
        <v>18.137295372941999</v>
      </c>
      <c r="K12783" s="5">
        <v>-97.094147025997003</v>
      </c>
      <c r="L12783" s="5" t="str">
        <f>HYPERLINK("https://maps.google.com/?q=18.137295372942447,-97.0941470259974", "🔗 Ver Mapa")</f>
        <v>🔗 Ver Mapa</v>
      </c>
    </row>
    <row r="12784" spans="1:12" ht="43.5" x14ac:dyDescent="0.35">
      <c r="A12784" s="6" t="s">
        <v>288</v>
      </c>
      <c r="B12784" s="6" t="s">
        <v>289</v>
      </c>
      <c r="C12784" s="6" t="s">
        <v>2580</v>
      </c>
      <c r="D12784" s="6" t="s">
        <v>414</v>
      </c>
      <c r="E12784" s="6" t="s">
        <v>90</v>
      </c>
      <c r="F12784" s="6" t="s">
        <v>678</v>
      </c>
      <c r="G12784" s="6" t="s">
        <v>1040</v>
      </c>
      <c r="H12784" s="6" t="s">
        <v>1041</v>
      </c>
      <c r="I12784" s="6" t="s">
        <v>31</v>
      </c>
      <c r="J12784" s="6">
        <v>17.252936999999999</v>
      </c>
      <c r="K12784" s="6">
        <v>-96.154692999999995</v>
      </c>
      <c r="L12784" s="6" t="str">
        <f>HYPERLINK("https://maps.google.com/?q=17.252937,-96.154693", "🔗 Ver Mapa")</f>
        <v>🔗 Ver Mapa</v>
      </c>
    </row>
    <row r="12785" spans="1:12" ht="58" x14ac:dyDescent="0.35">
      <c r="A12785" s="5" t="s">
        <v>288</v>
      </c>
      <c r="B12785" s="5" t="s">
        <v>289</v>
      </c>
      <c r="C12785" s="5" t="s">
        <v>2581</v>
      </c>
      <c r="D12785" s="5" t="s">
        <v>414</v>
      </c>
      <c r="E12785" s="5" t="s">
        <v>52</v>
      </c>
      <c r="F12785" s="5" t="s">
        <v>70</v>
      </c>
      <c r="G12785" s="5" t="s">
        <v>123</v>
      </c>
      <c r="H12785" s="5" t="s">
        <v>307</v>
      </c>
      <c r="I12785" s="5" t="s">
        <v>31</v>
      </c>
      <c r="J12785" s="5">
        <v>17.018337481936001</v>
      </c>
      <c r="K12785" s="5">
        <v>-96.720005542327996</v>
      </c>
      <c r="L12785" s="5" t="str">
        <f>HYPERLINK("https://maps.google.com/?q=17.018337481936143,-96.7200055423279", "🔗 Ver Mapa")</f>
        <v>🔗 Ver Mapa</v>
      </c>
    </row>
    <row r="12786" spans="1:12" ht="58" x14ac:dyDescent="0.35">
      <c r="A12786" s="6" t="s">
        <v>288</v>
      </c>
      <c r="B12786" s="6" t="s">
        <v>289</v>
      </c>
      <c r="C12786" s="6" t="s">
        <v>2581</v>
      </c>
      <c r="D12786" s="6" t="s">
        <v>414</v>
      </c>
      <c r="E12786" s="6" t="s">
        <v>52</v>
      </c>
      <c r="F12786" s="6" t="s">
        <v>70</v>
      </c>
      <c r="G12786" s="6" t="s">
        <v>123</v>
      </c>
      <c r="H12786" s="6" t="s">
        <v>307</v>
      </c>
      <c r="I12786" s="6" t="s">
        <v>31</v>
      </c>
      <c r="J12786" s="6">
        <v>17.019262000000001</v>
      </c>
      <c r="K12786" s="6" t="s">
        <v>2582</v>
      </c>
      <c r="L12786" s="6" t="str">
        <f>HYPERLINK("https://maps.google.com/?q=17.019262, -96.724385", "🔗 Ver Mapa")</f>
        <v>🔗 Ver Mapa</v>
      </c>
    </row>
    <row r="12787" spans="1:12" ht="58" x14ac:dyDescent="0.35">
      <c r="A12787" s="5" t="s">
        <v>288</v>
      </c>
      <c r="B12787" s="5" t="s">
        <v>289</v>
      </c>
      <c r="C12787" s="5" t="s">
        <v>2581</v>
      </c>
      <c r="D12787" s="5" t="s">
        <v>414</v>
      </c>
      <c r="E12787" s="5" t="s">
        <v>52</v>
      </c>
      <c r="F12787" s="5" t="s">
        <v>70</v>
      </c>
      <c r="G12787" s="5" t="s">
        <v>123</v>
      </c>
      <c r="H12787" s="5" t="s">
        <v>307</v>
      </c>
      <c r="I12787" s="5" t="s">
        <v>31</v>
      </c>
      <c r="J12787" s="5">
        <v>17.020119000000001</v>
      </c>
      <c r="K12787" s="5">
        <v>-96.728498999999999</v>
      </c>
      <c r="L12787" s="5" t="str">
        <f>HYPERLINK("https://maps.google.com/?q=17.020119,-96.728499", "🔗 Ver Mapa")</f>
        <v>🔗 Ver Mapa</v>
      </c>
    </row>
    <row r="12788" spans="1:12" ht="43.5" x14ac:dyDescent="0.35">
      <c r="A12788" s="6" t="s">
        <v>98</v>
      </c>
      <c r="B12788" s="6" t="s">
        <v>99</v>
      </c>
      <c r="C12788" s="6" t="s">
        <v>2583</v>
      </c>
      <c r="D12788" s="6" t="s">
        <v>14</v>
      </c>
      <c r="E12788" s="6" t="s">
        <v>17</v>
      </c>
      <c r="F12788" s="6" t="s">
        <v>46</v>
      </c>
      <c r="G12788" s="6" t="s">
        <v>47</v>
      </c>
      <c r="H12788" s="6" t="s">
        <v>796</v>
      </c>
      <c r="I12788" s="6" t="s">
        <v>31</v>
      </c>
      <c r="J12788" s="6">
        <v>16.233512999999999</v>
      </c>
      <c r="K12788" s="6">
        <v>-97.291972999999999</v>
      </c>
      <c r="L12788" s="6" t="str">
        <f>HYPERLINK("https://maps.google.com/?q=16.233513,-97.291972999999999", "🔗 Ver Mapa")</f>
        <v>🔗 Ver Mapa</v>
      </c>
    </row>
    <row r="12789" spans="1:12" ht="43.5" x14ac:dyDescent="0.35">
      <c r="A12789" s="5" t="s">
        <v>98</v>
      </c>
      <c r="B12789" s="5" t="s">
        <v>99</v>
      </c>
      <c r="C12789" s="5" t="s">
        <v>2583</v>
      </c>
      <c r="D12789" s="5" t="s">
        <v>14</v>
      </c>
      <c r="E12789" s="5" t="s">
        <v>17</v>
      </c>
      <c r="F12789" s="5" t="s">
        <v>46</v>
      </c>
      <c r="G12789" s="5" t="s">
        <v>47</v>
      </c>
      <c r="H12789" s="5" t="s">
        <v>796</v>
      </c>
      <c r="I12789" s="5" t="s">
        <v>31</v>
      </c>
      <c r="J12789" s="5">
        <v>16.233847238330998</v>
      </c>
      <c r="K12789" s="5">
        <v>-97.292252668732004</v>
      </c>
      <c r="L12789" s="5" t="str">
        <f>HYPERLINK("https://maps.google.com/?q=16.2338472383311,-97.292252668731706", "🔗 Ver Mapa")</f>
        <v>🔗 Ver Mapa</v>
      </c>
    </row>
    <row r="12790" spans="1:12" ht="43.5" x14ac:dyDescent="0.35">
      <c r="A12790" s="6" t="s">
        <v>98</v>
      </c>
      <c r="B12790" s="6" t="s">
        <v>99</v>
      </c>
      <c r="C12790" s="6" t="s">
        <v>2583</v>
      </c>
      <c r="D12790" s="6" t="s">
        <v>14</v>
      </c>
      <c r="E12790" s="6" t="s">
        <v>17</v>
      </c>
      <c r="F12790" s="6" t="s">
        <v>46</v>
      </c>
      <c r="G12790" s="6" t="s">
        <v>47</v>
      </c>
      <c r="H12790" s="6" t="s">
        <v>796</v>
      </c>
      <c r="I12790" s="6" t="s">
        <v>31</v>
      </c>
      <c r="J12790" s="6">
        <v>16.234148000000001</v>
      </c>
      <c r="K12790" s="6">
        <v>-97.291110000000003</v>
      </c>
      <c r="L12790" s="6" t="str">
        <f>HYPERLINK("https://maps.google.com/?q=16.234148,-97.291110000000003", "🔗 Ver Mapa")</f>
        <v>🔗 Ver Mapa</v>
      </c>
    </row>
    <row r="12791" spans="1:12" ht="43.5" x14ac:dyDescent="0.35">
      <c r="A12791" s="5" t="s">
        <v>98</v>
      </c>
      <c r="B12791" s="5" t="s">
        <v>99</v>
      </c>
      <c r="C12791" s="5" t="s">
        <v>2583</v>
      </c>
      <c r="D12791" s="5" t="s">
        <v>14</v>
      </c>
      <c r="E12791" s="5" t="s">
        <v>17</v>
      </c>
      <c r="F12791" s="5" t="s">
        <v>46</v>
      </c>
      <c r="G12791" s="5" t="s">
        <v>47</v>
      </c>
      <c r="H12791" s="5" t="s">
        <v>796</v>
      </c>
      <c r="I12791" s="5" t="s">
        <v>31</v>
      </c>
      <c r="J12791" s="5">
        <v>16.234314000000001</v>
      </c>
      <c r="K12791" s="5">
        <v>-97.292637228469999</v>
      </c>
      <c r="L12791" s="5" t="str">
        <f>HYPERLINK("https://maps.google.com/?q=16.234314,-97.2926372284698", "🔗 Ver Mapa")</f>
        <v>🔗 Ver Mapa</v>
      </c>
    </row>
    <row r="12792" spans="1:12" ht="43.5" x14ac:dyDescent="0.35">
      <c r="A12792" s="6" t="s">
        <v>98</v>
      </c>
      <c r="B12792" s="6" t="s">
        <v>99</v>
      </c>
      <c r="C12792" s="6" t="s">
        <v>2583</v>
      </c>
      <c r="D12792" s="6" t="s">
        <v>14</v>
      </c>
      <c r="E12792" s="6" t="s">
        <v>17</v>
      </c>
      <c r="F12792" s="6" t="s">
        <v>46</v>
      </c>
      <c r="G12792" s="6" t="s">
        <v>47</v>
      </c>
      <c r="H12792" s="6" t="s">
        <v>796</v>
      </c>
      <c r="I12792" s="6" t="s">
        <v>31</v>
      </c>
      <c r="J12792" s="6">
        <v>16.234727977287001</v>
      </c>
      <c r="K12792" s="6">
        <v>-97.293068060272006</v>
      </c>
      <c r="L12792" s="6" t="str">
        <f>HYPERLINK("https://maps.google.com/?q=16.2347279772875,-97.293068060272404", "🔗 Ver Mapa")</f>
        <v>🔗 Ver Mapa</v>
      </c>
    </row>
    <row r="12793" spans="1:12" ht="43.5" x14ac:dyDescent="0.35">
      <c r="A12793" s="5" t="s">
        <v>98</v>
      </c>
      <c r="B12793" s="5" t="s">
        <v>99</v>
      </c>
      <c r="C12793" s="5" t="s">
        <v>2583</v>
      </c>
      <c r="D12793" s="5" t="s">
        <v>14</v>
      </c>
      <c r="E12793" s="5" t="s">
        <v>17</v>
      </c>
      <c r="F12793" s="5" t="s">
        <v>46</v>
      </c>
      <c r="G12793" s="5" t="s">
        <v>47</v>
      </c>
      <c r="H12793" s="5" t="s">
        <v>796</v>
      </c>
      <c r="I12793" s="5" t="s">
        <v>31</v>
      </c>
      <c r="J12793" s="5">
        <v>16.235296999999999</v>
      </c>
      <c r="K12793" s="5">
        <v>-97.292591999999999</v>
      </c>
      <c r="L12793" s="5" t="str">
        <f>HYPERLINK("https://maps.google.com/?q=16.235297,-97.292591999999999", "🔗 Ver Mapa")</f>
        <v>🔗 Ver Mapa</v>
      </c>
    </row>
    <row r="12794" spans="1:12" ht="43.5" x14ac:dyDescent="0.35">
      <c r="A12794" s="6" t="s">
        <v>98</v>
      </c>
      <c r="B12794" s="6" t="s">
        <v>99</v>
      </c>
      <c r="C12794" s="6" t="s">
        <v>2583</v>
      </c>
      <c r="D12794" s="6" t="s">
        <v>14</v>
      </c>
      <c r="E12794" s="6" t="s">
        <v>17</v>
      </c>
      <c r="F12794" s="6" t="s">
        <v>46</v>
      </c>
      <c r="G12794" s="6" t="s">
        <v>47</v>
      </c>
      <c r="H12794" s="6" t="s">
        <v>796</v>
      </c>
      <c r="I12794" s="6" t="s">
        <v>31</v>
      </c>
      <c r="J12794" s="6">
        <v>16.235320000000002</v>
      </c>
      <c r="K12794" s="6">
        <v>-97.288240000000002</v>
      </c>
      <c r="L12794" s="6" t="str">
        <f>HYPERLINK("https://maps.google.com/?q=16.23532,-97.288240000000002", "🔗 Ver Mapa")</f>
        <v>🔗 Ver Mapa</v>
      </c>
    </row>
    <row r="12795" spans="1:12" ht="43.5" x14ac:dyDescent="0.35">
      <c r="A12795" s="5" t="s">
        <v>98</v>
      </c>
      <c r="B12795" s="5" t="s">
        <v>99</v>
      </c>
      <c r="C12795" s="5" t="s">
        <v>2583</v>
      </c>
      <c r="D12795" s="5" t="s">
        <v>14</v>
      </c>
      <c r="E12795" s="5" t="s">
        <v>17</v>
      </c>
      <c r="F12795" s="5" t="s">
        <v>46</v>
      </c>
      <c r="G12795" s="5" t="s">
        <v>47</v>
      </c>
      <c r="H12795" s="5" t="s">
        <v>796</v>
      </c>
      <c r="I12795" s="5" t="s">
        <v>31</v>
      </c>
      <c r="J12795" s="5">
        <v>16.23536</v>
      </c>
      <c r="K12795" s="5">
        <v>-97.292007999999996</v>
      </c>
      <c r="L12795" s="5" t="str">
        <f>HYPERLINK("https://maps.google.com/?q=16.23536,-97.292007999999996", "🔗 Ver Mapa")</f>
        <v>🔗 Ver Mapa</v>
      </c>
    </row>
    <row r="12796" spans="1:12" ht="43.5" x14ac:dyDescent="0.35">
      <c r="A12796" s="6" t="s">
        <v>98</v>
      </c>
      <c r="B12796" s="6" t="s">
        <v>99</v>
      </c>
      <c r="C12796" s="6" t="s">
        <v>2583</v>
      </c>
      <c r="D12796" s="6" t="s">
        <v>14</v>
      </c>
      <c r="E12796" s="6" t="s">
        <v>17</v>
      </c>
      <c r="F12796" s="6" t="s">
        <v>46</v>
      </c>
      <c r="G12796" s="6" t="s">
        <v>47</v>
      </c>
      <c r="H12796" s="6" t="s">
        <v>796</v>
      </c>
      <c r="I12796" s="6" t="s">
        <v>31</v>
      </c>
      <c r="J12796" s="6">
        <v>16.235873000000002</v>
      </c>
      <c r="K12796" s="6">
        <v>-97.292291000000006</v>
      </c>
      <c r="L12796" s="6" t="str">
        <f>HYPERLINK("https://maps.google.com/?q=16.235873,-97.292291000000006", "🔗 Ver Mapa")</f>
        <v>🔗 Ver Mapa</v>
      </c>
    </row>
    <row r="12797" spans="1:12" ht="43.5" x14ac:dyDescent="0.35">
      <c r="A12797" s="5" t="s">
        <v>98</v>
      </c>
      <c r="B12797" s="5" t="s">
        <v>99</v>
      </c>
      <c r="C12797" s="5" t="s">
        <v>2583</v>
      </c>
      <c r="D12797" s="5" t="s">
        <v>14</v>
      </c>
      <c r="E12797" s="5" t="s">
        <v>17</v>
      </c>
      <c r="F12797" s="5" t="s">
        <v>46</v>
      </c>
      <c r="G12797" s="5" t="s">
        <v>47</v>
      </c>
      <c r="H12797" s="5" t="s">
        <v>796</v>
      </c>
      <c r="I12797" s="5" t="s">
        <v>31</v>
      </c>
      <c r="J12797" s="5">
        <v>16.23659</v>
      </c>
      <c r="K12797" s="5">
        <v>-97.290218999999993</v>
      </c>
      <c r="L12797" s="5" t="str">
        <f>HYPERLINK("https://maps.google.com/?q=16.23659,-97.290218999999993", "🔗 Ver Mapa")</f>
        <v>🔗 Ver Mapa</v>
      </c>
    </row>
    <row r="12798" spans="1:12" ht="43.5" x14ac:dyDescent="0.35">
      <c r="A12798" s="6" t="s">
        <v>98</v>
      </c>
      <c r="B12798" s="6" t="s">
        <v>99</v>
      </c>
      <c r="C12798" s="6" t="s">
        <v>2584</v>
      </c>
      <c r="D12798" s="6" t="s">
        <v>14</v>
      </c>
      <c r="E12798" s="6" t="s">
        <v>17</v>
      </c>
      <c r="F12798" s="6" t="s">
        <v>46</v>
      </c>
      <c r="G12798" s="6" t="s">
        <v>47</v>
      </c>
      <c r="H12798" s="6" t="s">
        <v>2585</v>
      </c>
      <c r="I12798" s="6" t="s">
        <v>31</v>
      </c>
      <c r="J12798" s="6">
        <v>16.111709000000001</v>
      </c>
      <c r="K12798" s="6">
        <v>-97.290835000000001</v>
      </c>
      <c r="L12798" s="6" t="str">
        <f>HYPERLINK("https://maps.google.com/?q=16.111709,-97.290835000000001", "🔗 Ver Mapa")</f>
        <v>🔗 Ver Mapa</v>
      </c>
    </row>
    <row r="12799" spans="1:12" ht="43.5" x14ac:dyDescent="0.35">
      <c r="A12799" s="5" t="s">
        <v>98</v>
      </c>
      <c r="B12799" s="5" t="s">
        <v>99</v>
      </c>
      <c r="C12799" s="5" t="s">
        <v>2584</v>
      </c>
      <c r="D12799" s="5" t="s">
        <v>14</v>
      </c>
      <c r="E12799" s="5" t="s">
        <v>17</v>
      </c>
      <c r="F12799" s="5" t="s">
        <v>46</v>
      </c>
      <c r="G12799" s="5" t="s">
        <v>47</v>
      </c>
      <c r="H12799" s="5" t="s">
        <v>2585</v>
      </c>
      <c r="I12799" s="5" t="s">
        <v>31</v>
      </c>
      <c r="J12799" s="5">
        <v>16.111798</v>
      </c>
      <c r="K12799" s="5">
        <v>-97.289551000000003</v>
      </c>
      <c r="L12799" s="5" t="str">
        <f>HYPERLINK("https://maps.google.com/?q=16.111798,-97.289551000000003", "🔗 Ver Mapa")</f>
        <v>🔗 Ver Mapa</v>
      </c>
    </row>
    <row r="12800" spans="1:12" ht="43.5" x14ac:dyDescent="0.35">
      <c r="A12800" s="6" t="s">
        <v>98</v>
      </c>
      <c r="B12800" s="6" t="s">
        <v>99</v>
      </c>
      <c r="C12800" s="6" t="s">
        <v>2584</v>
      </c>
      <c r="D12800" s="6" t="s">
        <v>14</v>
      </c>
      <c r="E12800" s="6" t="s">
        <v>17</v>
      </c>
      <c r="F12800" s="6" t="s">
        <v>46</v>
      </c>
      <c r="G12800" s="6" t="s">
        <v>47</v>
      </c>
      <c r="H12800" s="6" t="s">
        <v>2585</v>
      </c>
      <c r="I12800" s="6" t="s">
        <v>31</v>
      </c>
      <c r="J12800" s="6">
        <v>16.111840000000001</v>
      </c>
      <c r="K12800" s="6">
        <v>-97.291079999999994</v>
      </c>
      <c r="L12800" s="6" t="str">
        <f>HYPERLINK("https://maps.google.com/?q=16.11184,-97.291079999999994", "🔗 Ver Mapa")</f>
        <v>🔗 Ver Mapa</v>
      </c>
    </row>
    <row r="12801" spans="1:12" ht="43.5" x14ac:dyDescent="0.35">
      <c r="A12801" s="5" t="s">
        <v>98</v>
      </c>
      <c r="B12801" s="5" t="s">
        <v>99</v>
      </c>
      <c r="C12801" s="5" t="s">
        <v>2584</v>
      </c>
      <c r="D12801" s="5" t="s">
        <v>14</v>
      </c>
      <c r="E12801" s="5" t="s">
        <v>17</v>
      </c>
      <c r="F12801" s="5" t="s">
        <v>46</v>
      </c>
      <c r="G12801" s="5" t="s">
        <v>47</v>
      </c>
      <c r="H12801" s="5" t="s">
        <v>2585</v>
      </c>
      <c r="I12801" s="5" t="s">
        <v>31</v>
      </c>
      <c r="J12801" s="5">
        <v>16.111858000000002</v>
      </c>
      <c r="K12801" s="5">
        <v>-97.288816999999995</v>
      </c>
      <c r="L12801" s="5" t="str">
        <f>HYPERLINK("https://maps.google.com/?q=16.111858,-97.288816999999995", "🔗 Ver Mapa")</f>
        <v>🔗 Ver Mapa</v>
      </c>
    </row>
    <row r="12802" spans="1:12" ht="43.5" x14ac:dyDescent="0.35">
      <c r="A12802" s="6" t="s">
        <v>98</v>
      </c>
      <c r="B12802" s="6" t="s">
        <v>99</v>
      </c>
      <c r="C12802" s="6" t="s">
        <v>2584</v>
      </c>
      <c r="D12802" s="6" t="s">
        <v>14</v>
      </c>
      <c r="E12802" s="6" t="s">
        <v>17</v>
      </c>
      <c r="F12802" s="6" t="s">
        <v>46</v>
      </c>
      <c r="G12802" s="6" t="s">
        <v>47</v>
      </c>
      <c r="H12802" s="6" t="s">
        <v>2585</v>
      </c>
      <c r="I12802" s="6" t="s">
        <v>31</v>
      </c>
      <c r="J12802" s="6">
        <v>16.111863</v>
      </c>
      <c r="K12802" s="6">
        <v>-97.290047999999999</v>
      </c>
      <c r="L12802" s="6" t="str">
        <f>HYPERLINK("https://maps.google.com/?q=16.111863,-97.290047999999999", "🔗 Ver Mapa")</f>
        <v>🔗 Ver Mapa</v>
      </c>
    </row>
    <row r="12803" spans="1:12" ht="43.5" x14ac:dyDescent="0.35">
      <c r="A12803" s="5" t="s">
        <v>98</v>
      </c>
      <c r="B12803" s="5" t="s">
        <v>99</v>
      </c>
      <c r="C12803" s="5" t="s">
        <v>2584</v>
      </c>
      <c r="D12803" s="5" t="s">
        <v>14</v>
      </c>
      <c r="E12803" s="5" t="s">
        <v>17</v>
      </c>
      <c r="F12803" s="5" t="s">
        <v>46</v>
      </c>
      <c r="G12803" s="5" t="s">
        <v>47</v>
      </c>
      <c r="H12803" s="5" t="s">
        <v>2585</v>
      </c>
      <c r="I12803" s="5" t="s">
        <v>31</v>
      </c>
      <c r="J12803" s="5">
        <v>16.112672</v>
      </c>
      <c r="K12803" s="5">
        <v>-97.290458999999998</v>
      </c>
      <c r="L12803" s="5" t="str">
        <f>HYPERLINK("https://maps.google.com/?q=16.112672,-97.290458999999998", "🔗 Ver Mapa")</f>
        <v>🔗 Ver Mapa</v>
      </c>
    </row>
    <row r="12804" spans="1:12" ht="43.5" x14ac:dyDescent="0.35">
      <c r="A12804" s="6" t="s">
        <v>98</v>
      </c>
      <c r="B12804" s="6" t="s">
        <v>99</v>
      </c>
      <c r="C12804" s="6" t="s">
        <v>2584</v>
      </c>
      <c r="D12804" s="6" t="s">
        <v>14</v>
      </c>
      <c r="E12804" s="6" t="s">
        <v>17</v>
      </c>
      <c r="F12804" s="6" t="s">
        <v>46</v>
      </c>
      <c r="G12804" s="6" t="s">
        <v>47</v>
      </c>
      <c r="H12804" s="6" t="s">
        <v>2585</v>
      </c>
      <c r="I12804" s="6" t="s">
        <v>31</v>
      </c>
      <c r="J12804" s="6">
        <v>16.113873000000002</v>
      </c>
      <c r="K12804" s="6">
        <v>-97.298475999999994</v>
      </c>
      <c r="L12804" s="6" t="str">
        <f>HYPERLINK("https://maps.google.com/?q=16.113873,-97.298475999999994", "🔗 Ver Mapa")</f>
        <v>🔗 Ver Mapa</v>
      </c>
    </row>
    <row r="12805" spans="1:12" ht="43.5" x14ac:dyDescent="0.35">
      <c r="A12805" s="5" t="s">
        <v>98</v>
      </c>
      <c r="B12805" s="5" t="s">
        <v>99</v>
      </c>
      <c r="C12805" s="5" t="s">
        <v>2584</v>
      </c>
      <c r="D12805" s="5" t="s">
        <v>14</v>
      </c>
      <c r="E12805" s="5" t="s">
        <v>17</v>
      </c>
      <c r="F12805" s="5" t="s">
        <v>46</v>
      </c>
      <c r="G12805" s="5" t="s">
        <v>47</v>
      </c>
      <c r="H12805" s="5" t="s">
        <v>2585</v>
      </c>
      <c r="I12805" s="5" t="s">
        <v>31</v>
      </c>
      <c r="J12805" s="5">
        <v>16.114379199999998</v>
      </c>
      <c r="K12805" s="5">
        <v>-97.299315800000002</v>
      </c>
      <c r="L12805" s="5" t="str">
        <f>HYPERLINK("https://maps.google.com/?q=16.1143792,-97.299315800000002", "🔗 Ver Mapa")</f>
        <v>🔗 Ver Mapa</v>
      </c>
    </row>
    <row r="12806" spans="1:12" ht="43.5" x14ac:dyDescent="0.35">
      <c r="A12806" s="6" t="s">
        <v>98</v>
      </c>
      <c r="B12806" s="6" t="s">
        <v>99</v>
      </c>
      <c r="C12806" s="6" t="s">
        <v>2584</v>
      </c>
      <c r="D12806" s="6" t="s">
        <v>14</v>
      </c>
      <c r="E12806" s="6" t="s">
        <v>17</v>
      </c>
      <c r="F12806" s="6" t="s">
        <v>46</v>
      </c>
      <c r="G12806" s="6" t="s">
        <v>47</v>
      </c>
      <c r="H12806" s="6" t="s">
        <v>2585</v>
      </c>
      <c r="I12806" s="6" t="s">
        <v>31</v>
      </c>
      <c r="J12806" s="6">
        <v>16.114763</v>
      </c>
      <c r="K12806" s="6">
        <v>-97.298393000000004</v>
      </c>
      <c r="L12806" s="6" t="str">
        <f>HYPERLINK("https://maps.google.com/?q=16.114763,-97.298393000000004", "🔗 Ver Mapa")</f>
        <v>🔗 Ver Mapa</v>
      </c>
    </row>
    <row r="12807" spans="1:12" ht="43.5" x14ac:dyDescent="0.35">
      <c r="A12807" s="5" t="s">
        <v>98</v>
      </c>
      <c r="B12807" s="5" t="s">
        <v>99</v>
      </c>
      <c r="C12807" s="5" t="s">
        <v>2584</v>
      </c>
      <c r="D12807" s="5" t="s">
        <v>14</v>
      </c>
      <c r="E12807" s="5" t="s">
        <v>17</v>
      </c>
      <c r="F12807" s="5" t="s">
        <v>46</v>
      </c>
      <c r="G12807" s="5" t="s">
        <v>47</v>
      </c>
      <c r="H12807" s="5" t="s">
        <v>2585</v>
      </c>
      <c r="I12807" s="5" t="s">
        <v>31</v>
      </c>
      <c r="J12807" s="5">
        <v>16.115029</v>
      </c>
      <c r="K12807" s="5">
        <v>-97.298118000000002</v>
      </c>
      <c r="L12807" s="5" t="str">
        <f>HYPERLINK("https://maps.google.com/?q=16.115029,-97.298118000000002", "🔗 Ver Mapa")</f>
        <v>🔗 Ver Mapa</v>
      </c>
    </row>
    <row r="12808" spans="1:12" ht="43.5" x14ac:dyDescent="0.35">
      <c r="A12808" s="6" t="s">
        <v>98</v>
      </c>
      <c r="B12808" s="6" t="s">
        <v>99</v>
      </c>
      <c r="C12808" s="6" t="s">
        <v>2586</v>
      </c>
      <c r="D12808" s="6" t="s">
        <v>14</v>
      </c>
      <c r="E12808" s="6" t="s">
        <v>16</v>
      </c>
      <c r="F12808" s="6" t="s">
        <v>409</v>
      </c>
      <c r="G12808" s="6" t="s">
        <v>2261</v>
      </c>
      <c r="H12808" s="6" t="s">
        <v>2587</v>
      </c>
      <c r="I12808" s="6" t="s">
        <v>31</v>
      </c>
      <c r="J12808" s="6">
        <v>17.847062449673999</v>
      </c>
      <c r="K12808" s="6">
        <v>-97.431798953373004</v>
      </c>
      <c r="L12808" s="6" t="str">
        <f>HYPERLINK("https://maps.google.com/?q=17.8470624496741,-97.431798953373004", "🔗 Ver Mapa")</f>
        <v>🔗 Ver Mapa</v>
      </c>
    </row>
    <row r="12809" spans="1:12" ht="43.5" x14ac:dyDescent="0.35">
      <c r="A12809" s="5" t="s">
        <v>98</v>
      </c>
      <c r="B12809" s="5" t="s">
        <v>99</v>
      </c>
      <c r="C12809" s="5" t="s">
        <v>2586</v>
      </c>
      <c r="D12809" s="5" t="s">
        <v>14</v>
      </c>
      <c r="E12809" s="5" t="s">
        <v>16</v>
      </c>
      <c r="F12809" s="5" t="s">
        <v>409</v>
      </c>
      <c r="G12809" s="5" t="s">
        <v>2261</v>
      </c>
      <c r="H12809" s="5" t="s">
        <v>2587</v>
      </c>
      <c r="I12809" s="5" t="s">
        <v>31</v>
      </c>
      <c r="J12809" s="5">
        <v>17.847250471481999</v>
      </c>
      <c r="K12809" s="5">
        <v>-97.433064999999999</v>
      </c>
      <c r="L12809" s="5" t="str">
        <f>HYPERLINK("https://maps.google.com/?q=17.8472504714817,-97.433064999999999", "🔗 Ver Mapa")</f>
        <v>🔗 Ver Mapa</v>
      </c>
    </row>
    <row r="12810" spans="1:12" ht="43.5" x14ac:dyDescent="0.35">
      <c r="A12810" s="6" t="s">
        <v>98</v>
      </c>
      <c r="B12810" s="6" t="s">
        <v>99</v>
      </c>
      <c r="C12810" s="6" t="s">
        <v>2586</v>
      </c>
      <c r="D12810" s="6" t="s">
        <v>14</v>
      </c>
      <c r="E12810" s="6" t="s">
        <v>16</v>
      </c>
      <c r="F12810" s="6" t="s">
        <v>409</v>
      </c>
      <c r="G12810" s="6" t="s">
        <v>2261</v>
      </c>
      <c r="H12810" s="6" t="s">
        <v>2587</v>
      </c>
      <c r="I12810" s="6" t="s">
        <v>31</v>
      </c>
      <c r="J12810" s="6">
        <v>17.847284487499</v>
      </c>
      <c r="K12810" s="6">
        <v>-97.442961945004996</v>
      </c>
      <c r="L12810" s="6" t="str">
        <f>HYPERLINK("https://maps.google.com/?q=17.8472844874992,-97.442961945005194", "🔗 Ver Mapa")</f>
        <v>🔗 Ver Mapa</v>
      </c>
    </row>
    <row r="12811" spans="1:12" ht="43.5" x14ac:dyDescent="0.35">
      <c r="A12811" s="5" t="s">
        <v>98</v>
      </c>
      <c r="B12811" s="5" t="s">
        <v>99</v>
      </c>
      <c r="C12811" s="5" t="s">
        <v>2586</v>
      </c>
      <c r="D12811" s="5" t="s">
        <v>14</v>
      </c>
      <c r="E12811" s="5" t="s">
        <v>16</v>
      </c>
      <c r="F12811" s="5" t="s">
        <v>409</v>
      </c>
      <c r="G12811" s="5" t="s">
        <v>2261</v>
      </c>
      <c r="H12811" s="5" t="s">
        <v>2587</v>
      </c>
      <c r="I12811" s="5" t="s">
        <v>31</v>
      </c>
      <c r="J12811" s="5">
        <v>17.847370468691999</v>
      </c>
      <c r="K12811" s="5">
        <v>-97.431302788677996</v>
      </c>
      <c r="L12811" s="5" t="str">
        <f>HYPERLINK("https://maps.google.com/?q=17.8473704686917,-97.431302788677698", "🔗 Ver Mapa")</f>
        <v>🔗 Ver Mapa</v>
      </c>
    </row>
    <row r="12812" spans="1:12" ht="43.5" x14ac:dyDescent="0.35">
      <c r="A12812" s="6" t="s">
        <v>98</v>
      </c>
      <c r="B12812" s="6" t="s">
        <v>99</v>
      </c>
      <c r="C12812" s="6" t="s">
        <v>2586</v>
      </c>
      <c r="D12812" s="6" t="s">
        <v>14</v>
      </c>
      <c r="E12812" s="6" t="s">
        <v>16</v>
      </c>
      <c r="F12812" s="6" t="s">
        <v>409</v>
      </c>
      <c r="G12812" s="6" t="s">
        <v>2261</v>
      </c>
      <c r="H12812" s="6" t="s">
        <v>2587</v>
      </c>
      <c r="I12812" s="6" t="s">
        <v>31</v>
      </c>
      <c r="J12812" s="6">
        <v>17.847481163434001</v>
      </c>
      <c r="K12812" s="6">
        <v>-97.430693883258996</v>
      </c>
      <c r="L12812" s="6" t="str">
        <f>HYPERLINK("https://maps.google.com/?q=17.8474811634338,-97.430693883259195", "🔗 Ver Mapa")</f>
        <v>🔗 Ver Mapa</v>
      </c>
    </row>
    <row r="12813" spans="1:12" ht="43.5" x14ac:dyDescent="0.35">
      <c r="A12813" s="5" t="s">
        <v>98</v>
      </c>
      <c r="B12813" s="5" t="s">
        <v>99</v>
      </c>
      <c r="C12813" s="5" t="s">
        <v>2586</v>
      </c>
      <c r="D12813" s="5" t="s">
        <v>14</v>
      </c>
      <c r="E12813" s="5" t="s">
        <v>16</v>
      </c>
      <c r="F12813" s="5" t="s">
        <v>409</v>
      </c>
      <c r="G12813" s="5" t="s">
        <v>2261</v>
      </c>
      <c r="H12813" s="5" t="s">
        <v>2587</v>
      </c>
      <c r="I12813" s="5" t="s">
        <v>31</v>
      </c>
      <c r="J12813" s="5">
        <v>17.847532790294</v>
      </c>
      <c r="K12813" s="5">
        <v>-97.442081177909998</v>
      </c>
      <c r="L12813" s="5" t="str">
        <f>HYPERLINK("https://maps.google.com/?q=17.8475327902944,-97.442081177909898", "🔗 Ver Mapa")</f>
        <v>🔗 Ver Mapa</v>
      </c>
    </row>
    <row r="12814" spans="1:12" ht="43.5" x14ac:dyDescent="0.35">
      <c r="A12814" s="6" t="s">
        <v>98</v>
      </c>
      <c r="B12814" s="6" t="s">
        <v>99</v>
      </c>
      <c r="C12814" s="6" t="s">
        <v>2586</v>
      </c>
      <c r="D12814" s="6" t="s">
        <v>14</v>
      </c>
      <c r="E12814" s="6" t="s">
        <v>16</v>
      </c>
      <c r="F12814" s="6" t="s">
        <v>409</v>
      </c>
      <c r="G12814" s="6" t="s">
        <v>2261</v>
      </c>
      <c r="H12814" s="6" t="s">
        <v>2587</v>
      </c>
      <c r="I12814" s="6" t="s">
        <v>31</v>
      </c>
      <c r="J12814" s="6">
        <v>17.847733662187999</v>
      </c>
      <c r="K12814" s="6">
        <v>-97.439334635582</v>
      </c>
      <c r="L12814" s="6" t="str">
        <f>HYPERLINK("https://maps.google.com/?q=17.8477336621882,-97.439334635582", "🔗 Ver Mapa")</f>
        <v>🔗 Ver Mapa</v>
      </c>
    </row>
    <row r="12815" spans="1:12" ht="43.5" x14ac:dyDescent="0.35">
      <c r="A12815" s="5" t="s">
        <v>98</v>
      </c>
      <c r="B12815" s="5" t="s">
        <v>99</v>
      </c>
      <c r="C12815" s="5" t="s">
        <v>2586</v>
      </c>
      <c r="D12815" s="5" t="s">
        <v>14</v>
      </c>
      <c r="E12815" s="5" t="s">
        <v>16</v>
      </c>
      <c r="F12815" s="5" t="s">
        <v>409</v>
      </c>
      <c r="G12815" s="5" t="s">
        <v>2261</v>
      </c>
      <c r="H12815" s="5" t="s">
        <v>2587</v>
      </c>
      <c r="I12815" s="5" t="s">
        <v>31</v>
      </c>
      <c r="J12815" s="5">
        <v>17.848334922357999</v>
      </c>
      <c r="K12815" s="5">
        <v>-97.433547769634004</v>
      </c>
      <c r="L12815" s="5" t="str">
        <f>HYPERLINK("https://maps.google.com/?q=17.8483349223583,-97.433547769634103", "🔗 Ver Mapa")</f>
        <v>🔗 Ver Mapa</v>
      </c>
    </row>
    <row r="12816" spans="1:12" ht="43.5" x14ac:dyDescent="0.35">
      <c r="A12816" s="6" t="s">
        <v>98</v>
      </c>
      <c r="B12816" s="6" t="s">
        <v>99</v>
      </c>
      <c r="C12816" s="6" t="s">
        <v>2586</v>
      </c>
      <c r="D12816" s="6" t="s">
        <v>14</v>
      </c>
      <c r="E12816" s="6" t="s">
        <v>16</v>
      </c>
      <c r="F12816" s="6" t="s">
        <v>409</v>
      </c>
      <c r="G12816" s="6" t="s">
        <v>2261</v>
      </c>
      <c r="H12816" s="6" t="s">
        <v>2587</v>
      </c>
      <c r="I12816" s="6" t="s">
        <v>31</v>
      </c>
      <c r="J12816" s="6">
        <v>17.848477343464001</v>
      </c>
      <c r="K12816" s="6">
        <v>-97.431069542328004</v>
      </c>
      <c r="L12816" s="6" t="str">
        <f>HYPERLINK("https://maps.google.com/?q=17.848477343464,-97.431069542327904", "🔗 Ver Mapa")</f>
        <v>🔗 Ver Mapa</v>
      </c>
    </row>
    <row r="12817" spans="1:12" ht="43.5" x14ac:dyDescent="0.35">
      <c r="A12817" s="5" t="s">
        <v>98</v>
      </c>
      <c r="B12817" s="5" t="s">
        <v>99</v>
      </c>
      <c r="C12817" s="5" t="s">
        <v>2586</v>
      </c>
      <c r="D12817" s="5" t="s">
        <v>14</v>
      </c>
      <c r="E12817" s="5" t="s">
        <v>16</v>
      </c>
      <c r="F12817" s="5" t="s">
        <v>409</v>
      </c>
      <c r="G12817" s="5" t="s">
        <v>2261</v>
      </c>
      <c r="H12817" s="5" t="s">
        <v>2587</v>
      </c>
      <c r="I12817" s="5" t="s">
        <v>31</v>
      </c>
      <c r="J12817" s="5">
        <v>17.849172837577001</v>
      </c>
      <c r="K12817" s="5">
        <v>-97.445183481376006</v>
      </c>
      <c r="L12817" s="5" t="str">
        <f>HYPERLINK("https://maps.google.com/?q=17.8491728375766,-97.445183481375693", "🔗 Ver Mapa")</f>
        <v>🔗 Ver Mapa</v>
      </c>
    </row>
    <row r="12818" spans="1:12" ht="43.5" x14ac:dyDescent="0.35">
      <c r="A12818" s="6" t="s">
        <v>98</v>
      </c>
      <c r="B12818" s="6" t="s">
        <v>99</v>
      </c>
      <c r="C12818" s="6" t="s">
        <v>2586</v>
      </c>
      <c r="D12818" s="6" t="s">
        <v>14</v>
      </c>
      <c r="E12818" s="6" t="s">
        <v>16</v>
      </c>
      <c r="F12818" s="6" t="s">
        <v>409</v>
      </c>
      <c r="G12818" s="6" t="s">
        <v>2261</v>
      </c>
      <c r="H12818" s="6" t="s">
        <v>2587</v>
      </c>
      <c r="I12818" s="6" t="s">
        <v>31</v>
      </c>
      <c r="J12818" s="6">
        <v>17.849318684191001</v>
      </c>
      <c r="K12818" s="6">
        <v>-97.445402084655996</v>
      </c>
      <c r="L12818" s="6" t="str">
        <f>HYPERLINK("https://maps.google.com/?q=17.8493186841909,-97.445402084655797", "🔗 Ver Mapa")</f>
        <v>🔗 Ver Mapa</v>
      </c>
    </row>
    <row r="12819" spans="1:12" ht="43.5" x14ac:dyDescent="0.35">
      <c r="A12819" s="5" t="s">
        <v>98</v>
      </c>
      <c r="B12819" s="5" t="s">
        <v>99</v>
      </c>
      <c r="C12819" s="5" t="s">
        <v>2586</v>
      </c>
      <c r="D12819" s="5" t="s">
        <v>14</v>
      </c>
      <c r="E12819" s="5" t="s">
        <v>16</v>
      </c>
      <c r="F12819" s="5" t="s">
        <v>409</v>
      </c>
      <c r="G12819" s="5" t="s">
        <v>2261</v>
      </c>
      <c r="H12819" s="5" t="s">
        <v>2587</v>
      </c>
      <c r="I12819" s="5" t="s">
        <v>31</v>
      </c>
      <c r="J12819" s="5">
        <v>17.849343896604001</v>
      </c>
      <c r="K12819" s="5">
        <v>-97.438289953373001</v>
      </c>
      <c r="L12819" s="5" t="str">
        <f>HYPERLINK("https://maps.google.com/?q=17.8493438966044,-97.438289953373499", "🔗 Ver Mapa")</f>
        <v>🔗 Ver Mapa</v>
      </c>
    </row>
    <row r="12820" spans="1:12" ht="43.5" x14ac:dyDescent="0.35">
      <c r="A12820" s="6" t="s">
        <v>98</v>
      </c>
      <c r="B12820" s="6" t="s">
        <v>99</v>
      </c>
      <c r="C12820" s="6" t="s">
        <v>2586</v>
      </c>
      <c r="D12820" s="6" t="s">
        <v>14</v>
      </c>
      <c r="E12820" s="6" t="s">
        <v>16</v>
      </c>
      <c r="F12820" s="6" t="s">
        <v>409</v>
      </c>
      <c r="G12820" s="6" t="s">
        <v>2261</v>
      </c>
      <c r="H12820" s="6" t="s">
        <v>2587</v>
      </c>
      <c r="I12820" s="6" t="s">
        <v>31</v>
      </c>
      <c r="J12820" s="6">
        <v>17.850717554625</v>
      </c>
      <c r="K12820" s="6">
        <v>-97.433847936175994</v>
      </c>
      <c r="L12820" s="6" t="str">
        <f>HYPERLINK("https://maps.google.com/?q=17.8507175546246,-97.433847936176306", "🔗 Ver Mapa")</f>
        <v>🔗 Ver Mapa</v>
      </c>
    </row>
    <row r="12821" spans="1:12" ht="43.5" x14ac:dyDescent="0.35">
      <c r="A12821" s="5" t="s">
        <v>98</v>
      </c>
      <c r="B12821" s="5" t="s">
        <v>99</v>
      </c>
      <c r="C12821" s="5" t="s">
        <v>2586</v>
      </c>
      <c r="D12821" s="5" t="s">
        <v>14</v>
      </c>
      <c r="E12821" s="5" t="s">
        <v>16</v>
      </c>
      <c r="F12821" s="5" t="s">
        <v>409</v>
      </c>
      <c r="G12821" s="5" t="s">
        <v>2261</v>
      </c>
      <c r="H12821" s="5" t="s">
        <v>2587</v>
      </c>
      <c r="I12821" s="5" t="s">
        <v>31</v>
      </c>
      <c r="J12821" s="5">
        <v>17.851294812839001</v>
      </c>
      <c r="K12821" s="5">
        <v>-97.438747813492</v>
      </c>
      <c r="L12821" s="5" t="str">
        <f>HYPERLINK("https://maps.google.com/?q=17.8512948128393,-97.4387478134921", "🔗 Ver Mapa")</f>
        <v>🔗 Ver Mapa</v>
      </c>
    </row>
    <row r="12822" spans="1:12" ht="43.5" x14ac:dyDescent="0.35">
      <c r="A12822" s="6" t="s">
        <v>98</v>
      </c>
      <c r="B12822" s="6" t="s">
        <v>99</v>
      </c>
      <c r="C12822" s="6" t="s">
        <v>2586</v>
      </c>
      <c r="D12822" s="6" t="s">
        <v>14</v>
      </c>
      <c r="E12822" s="6" t="s">
        <v>16</v>
      </c>
      <c r="F12822" s="6" t="s">
        <v>409</v>
      </c>
      <c r="G12822" s="6" t="s">
        <v>2261</v>
      </c>
      <c r="H12822" s="6" t="s">
        <v>2587</v>
      </c>
      <c r="I12822" s="6" t="s">
        <v>31</v>
      </c>
      <c r="J12822" s="6">
        <v>17.851952941507999</v>
      </c>
      <c r="K12822" s="6">
        <v>-97.438083131282994</v>
      </c>
      <c r="L12822" s="6" t="str">
        <f>HYPERLINK("https://maps.google.com/?q=17.8519529415078,-97.438083131283094", "🔗 Ver Mapa")</f>
        <v>🔗 Ver Mapa</v>
      </c>
    </row>
    <row r="12823" spans="1:12" ht="43.5" x14ac:dyDescent="0.35">
      <c r="A12823" s="5" t="s">
        <v>98</v>
      </c>
      <c r="B12823" s="5" t="s">
        <v>99</v>
      </c>
      <c r="C12823" s="5" t="s">
        <v>2586</v>
      </c>
      <c r="D12823" s="5" t="s">
        <v>14</v>
      </c>
      <c r="E12823" s="5" t="s">
        <v>16</v>
      </c>
      <c r="F12823" s="5" t="s">
        <v>409</v>
      </c>
      <c r="G12823" s="5" t="s">
        <v>2261</v>
      </c>
      <c r="H12823" s="5" t="s">
        <v>2587</v>
      </c>
      <c r="I12823" s="5" t="s">
        <v>31</v>
      </c>
      <c r="J12823" s="5">
        <v>17.852811813121999</v>
      </c>
      <c r="K12823" s="5">
        <v>-97.442522224537001</v>
      </c>
      <c r="L12823" s="5" t="str">
        <f>HYPERLINK("https://maps.google.com/?q=17.8528118131225,-97.442522224536901", "🔗 Ver Mapa")</f>
        <v>🔗 Ver Mapa</v>
      </c>
    </row>
    <row r="12824" spans="1:12" ht="43.5" x14ac:dyDescent="0.35">
      <c r="A12824" s="6" t="s">
        <v>98</v>
      </c>
      <c r="B12824" s="6" t="s">
        <v>99</v>
      </c>
      <c r="C12824" s="6" t="s">
        <v>2586</v>
      </c>
      <c r="D12824" s="6" t="s">
        <v>14</v>
      </c>
      <c r="E12824" s="6" t="s">
        <v>16</v>
      </c>
      <c r="F12824" s="6" t="s">
        <v>409</v>
      </c>
      <c r="G12824" s="6" t="s">
        <v>2261</v>
      </c>
      <c r="H12824" s="6" t="s">
        <v>2587</v>
      </c>
      <c r="I12824" s="6" t="s">
        <v>31</v>
      </c>
      <c r="J12824" s="6">
        <v>17.854402408114002</v>
      </c>
      <c r="K12824" s="6">
        <v>-97.436044271163993</v>
      </c>
      <c r="L12824" s="6" t="str">
        <f>HYPERLINK("https://maps.google.com/?q=17.8544024081144,-97.436044271163894", "🔗 Ver Mapa")</f>
        <v>🔗 Ver Mapa</v>
      </c>
    </row>
    <row r="12825" spans="1:12" ht="43.5" x14ac:dyDescent="0.35">
      <c r="A12825" s="5" t="s">
        <v>98</v>
      </c>
      <c r="B12825" s="5" t="s">
        <v>99</v>
      </c>
      <c r="C12825" s="5" t="s">
        <v>2586</v>
      </c>
      <c r="D12825" s="5" t="s">
        <v>14</v>
      </c>
      <c r="E12825" s="5" t="s">
        <v>16</v>
      </c>
      <c r="F12825" s="5" t="s">
        <v>409</v>
      </c>
      <c r="G12825" s="5" t="s">
        <v>2261</v>
      </c>
      <c r="H12825" s="5" t="s">
        <v>2587</v>
      </c>
      <c r="I12825" s="5" t="s">
        <v>31</v>
      </c>
      <c r="J12825" s="5">
        <v>17.855174578658001</v>
      </c>
      <c r="K12825" s="5">
        <v>-97.437843224537005</v>
      </c>
      <c r="L12825" s="5" t="str">
        <f>HYPERLINK("https://maps.google.com/?q=17.8551745786581,-97.437843224536905", "🔗 Ver Mapa")</f>
        <v>🔗 Ver Mapa</v>
      </c>
    </row>
    <row r="12826" spans="1:12" ht="43.5" x14ac:dyDescent="0.35">
      <c r="A12826" s="6" t="s">
        <v>98</v>
      </c>
      <c r="B12826" s="6" t="s">
        <v>99</v>
      </c>
      <c r="C12826" s="6" t="s">
        <v>2586</v>
      </c>
      <c r="D12826" s="6" t="s">
        <v>14</v>
      </c>
      <c r="E12826" s="6" t="s">
        <v>16</v>
      </c>
      <c r="F12826" s="6" t="s">
        <v>409</v>
      </c>
      <c r="G12826" s="6" t="s">
        <v>2261</v>
      </c>
      <c r="H12826" s="6" t="s">
        <v>2587</v>
      </c>
      <c r="I12826" s="6" t="s">
        <v>31</v>
      </c>
      <c r="J12826" s="6">
        <v>17.857193048991999</v>
      </c>
      <c r="K12826" s="6">
        <v>-97.440611457672006</v>
      </c>
      <c r="L12826" s="6" t="str">
        <f>HYPERLINK("https://maps.google.com/?q=17.857193048992,-97.440611457672105", "🔗 Ver Mapa")</f>
        <v>🔗 Ver Mapa</v>
      </c>
    </row>
    <row r="12827" spans="1:12" ht="43.5" x14ac:dyDescent="0.35">
      <c r="A12827" s="5" t="s">
        <v>98</v>
      </c>
      <c r="B12827" s="5" t="s">
        <v>99</v>
      </c>
      <c r="C12827" s="5" t="s">
        <v>2586</v>
      </c>
      <c r="D12827" s="5" t="s">
        <v>14</v>
      </c>
      <c r="E12827" s="5" t="s">
        <v>16</v>
      </c>
      <c r="F12827" s="5" t="s">
        <v>409</v>
      </c>
      <c r="G12827" s="5" t="s">
        <v>2261</v>
      </c>
      <c r="H12827" s="5" t="s">
        <v>2587</v>
      </c>
      <c r="I12827" s="5" t="s">
        <v>31</v>
      </c>
      <c r="J12827" s="5">
        <v>17.857330025917999</v>
      </c>
      <c r="K12827" s="5">
        <v>-97.432982364417995</v>
      </c>
      <c r="L12827" s="5" t="str">
        <f>HYPERLINK("https://maps.google.com/?q=17.857330025918,-97.432982364417995", "🔗 Ver Mapa")</f>
        <v>🔗 Ver Mapa</v>
      </c>
    </row>
    <row r="12828" spans="1:12" ht="43.5" x14ac:dyDescent="0.35">
      <c r="A12828" s="6" t="s">
        <v>98</v>
      </c>
      <c r="B12828" s="6" t="s">
        <v>99</v>
      </c>
      <c r="C12828" s="6" t="s">
        <v>2588</v>
      </c>
      <c r="D12828" s="6" t="s">
        <v>14</v>
      </c>
      <c r="E12828" s="6" t="s">
        <v>16</v>
      </c>
      <c r="F12828" s="6" t="s">
        <v>95</v>
      </c>
      <c r="G12828" s="6" t="s">
        <v>2152</v>
      </c>
      <c r="H12828" s="6" t="s">
        <v>2566</v>
      </c>
      <c r="I12828" s="6" t="s">
        <v>31</v>
      </c>
      <c r="J12828" s="6">
        <v>17.513769</v>
      </c>
      <c r="K12828" s="6">
        <v>-97.683481</v>
      </c>
      <c r="L12828" s="6" t="str">
        <f>HYPERLINK("https://maps.google.com/?q=17.513769,-97.683481", "🔗 Ver Mapa")</f>
        <v>🔗 Ver Mapa</v>
      </c>
    </row>
    <row r="12829" spans="1:12" ht="43.5" x14ac:dyDescent="0.35">
      <c r="A12829" s="5" t="s">
        <v>98</v>
      </c>
      <c r="B12829" s="5" t="s">
        <v>99</v>
      </c>
      <c r="C12829" s="5" t="s">
        <v>2588</v>
      </c>
      <c r="D12829" s="5" t="s">
        <v>14</v>
      </c>
      <c r="E12829" s="5" t="s">
        <v>16</v>
      </c>
      <c r="F12829" s="5" t="s">
        <v>95</v>
      </c>
      <c r="G12829" s="5" t="s">
        <v>2152</v>
      </c>
      <c r="H12829" s="5" t="s">
        <v>2566</v>
      </c>
      <c r="I12829" s="5" t="s">
        <v>31</v>
      </c>
      <c r="J12829" s="5">
        <v>17.514256</v>
      </c>
      <c r="K12829" s="5">
        <v>-97.683124000000007</v>
      </c>
      <c r="L12829" s="5" t="str">
        <f>HYPERLINK("https://maps.google.com/?q=17.514256,-97.683124000000007", "🔗 Ver Mapa")</f>
        <v>🔗 Ver Mapa</v>
      </c>
    </row>
    <row r="12830" spans="1:12" ht="43.5" x14ac:dyDescent="0.35">
      <c r="A12830" s="6" t="s">
        <v>98</v>
      </c>
      <c r="B12830" s="6" t="s">
        <v>99</v>
      </c>
      <c r="C12830" s="6" t="s">
        <v>2588</v>
      </c>
      <c r="D12830" s="6" t="s">
        <v>14</v>
      </c>
      <c r="E12830" s="6" t="s">
        <v>16</v>
      </c>
      <c r="F12830" s="6" t="s">
        <v>95</v>
      </c>
      <c r="G12830" s="6" t="s">
        <v>2152</v>
      </c>
      <c r="H12830" s="6" t="s">
        <v>2566</v>
      </c>
      <c r="I12830" s="6" t="s">
        <v>31</v>
      </c>
      <c r="J12830" s="6">
        <v>17.51427</v>
      </c>
      <c r="K12830" s="6">
        <v>-97.68526</v>
      </c>
      <c r="L12830" s="6" t="str">
        <f>HYPERLINK("https://maps.google.com/?q=17.51427,-97.68526", "🔗 Ver Mapa")</f>
        <v>🔗 Ver Mapa</v>
      </c>
    </row>
    <row r="12831" spans="1:12" ht="43.5" x14ac:dyDescent="0.35">
      <c r="A12831" s="5" t="s">
        <v>98</v>
      </c>
      <c r="B12831" s="5" t="s">
        <v>99</v>
      </c>
      <c r="C12831" s="5" t="s">
        <v>2588</v>
      </c>
      <c r="D12831" s="5" t="s">
        <v>14</v>
      </c>
      <c r="E12831" s="5" t="s">
        <v>16</v>
      </c>
      <c r="F12831" s="5" t="s">
        <v>95</v>
      </c>
      <c r="G12831" s="5" t="s">
        <v>2152</v>
      </c>
      <c r="H12831" s="5" t="s">
        <v>2566</v>
      </c>
      <c r="I12831" s="5" t="s">
        <v>31</v>
      </c>
      <c r="J12831" s="5">
        <v>17.514474</v>
      </c>
      <c r="K12831" s="5">
        <v>-97.685840999999996</v>
      </c>
      <c r="L12831" s="5" t="str">
        <f>HYPERLINK("https://maps.google.com/?q=17.514474,-97.685840999999996", "🔗 Ver Mapa")</f>
        <v>🔗 Ver Mapa</v>
      </c>
    </row>
    <row r="12832" spans="1:12" ht="43.5" x14ac:dyDescent="0.35">
      <c r="A12832" s="6" t="s">
        <v>98</v>
      </c>
      <c r="B12832" s="6" t="s">
        <v>99</v>
      </c>
      <c r="C12832" s="6" t="s">
        <v>2588</v>
      </c>
      <c r="D12832" s="6" t="s">
        <v>14</v>
      </c>
      <c r="E12832" s="6" t="s">
        <v>16</v>
      </c>
      <c r="F12832" s="6" t="s">
        <v>95</v>
      </c>
      <c r="G12832" s="6" t="s">
        <v>2152</v>
      </c>
      <c r="H12832" s="6" t="s">
        <v>2566</v>
      </c>
      <c r="I12832" s="6" t="s">
        <v>31</v>
      </c>
      <c r="J12832" s="6">
        <v>17.514728999999999</v>
      </c>
      <c r="K12832" s="6">
        <v>-97.681116000000003</v>
      </c>
      <c r="L12832" s="6" t="str">
        <f>HYPERLINK("https://maps.google.com/?q=17.514729,-97.681116000000003", "🔗 Ver Mapa")</f>
        <v>🔗 Ver Mapa</v>
      </c>
    </row>
    <row r="12833" spans="1:12" ht="43.5" x14ac:dyDescent="0.35">
      <c r="A12833" s="5" t="s">
        <v>98</v>
      </c>
      <c r="B12833" s="5" t="s">
        <v>99</v>
      </c>
      <c r="C12833" s="5" t="s">
        <v>2588</v>
      </c>
      <c r="D12833" s="5" t="s">
        <v>14</v>
      </c>
      <c r="E12833" s="5" t="s">
        <v>16</v>
      </c>
      <c r="F12833" s="5" t="s">
        <v>95</v>
      </c>
      <c r="G12833" s="5" t="s">
        <v>2152</v>
      </c>
      <c r="H12833" s="5" t="s">
        <v>2566</v>
      </c>
      <c r="I12833" s="5" t="s">
        <v>31</v>
      </c>
      <c r="J12833" s="5">
        <v>17.514876000000001</v>
      </c>
      <c r="K12833" s="5">
        <v>-97.682978000000006</v>
      </c>
      <c r="L12833" s="5" t="str">
        <f>HYPERLINK("https://maps.google.com/?q=17.514876,-97.682978000000006", "🔗 Ver Mapa")</f>
        <v>🔗 Ver Mapa</v>
      </c>
    </row>
    <row r="12834" spans="1:12" ht="43.5" x14ac:dyDescent="0.35">
      <c r="A12834" s="6" t="s">
        <v>98</v>
      </c>
      <c r="B12834" s="6" t="s">
        <v>99</v>
      </c>
      <c r="C12834" s="6" t="s">
        <v>2588</v>
      </c>
      <c r="D12834" s="6" t="s">
        <v>14</v>
      </c>
      <c r="E12834" s="6" t="s">
        <v>16</v>
      </c>
      <c r="F12834" s="6" t="s">
        <v>95</v>
      </c>
      <c r="G12834" s="6" t="s">
        <v>2152</v>
      </c>
      <c r="H12834" s="6" t="s">
        <v>2566</v>
      </c>
      <c r="I12834" s="6" t="s">
        <v>31</v>
      </c>
      <c r="J12834" s="6">
        <v>17.515408999999998</v>
      </c>
      <c r="K12834" s="6">
        <v>-97.682570999999996</v>
      </c>
      <c r="L12834" s="6" t="str">
        <f>HYPERLINK("https://maps.google.com/?q=17.515409,-97.682570999999996", "🔗 Ver Mapa")</f>
        <v>🔗 Ver Mapa</v>
      </c>
    </row>
    <row r="12835" spans="1:12" ht="43.5" x14ac:dyDescent="0.35">
      <c r="A12835" s="5" t="s">
        <v>98</v>
      </c>
      <c r="B12835" s="5" t="s">
        <v>99</v>
      </c>
      <c r="C12835" s="5" t="s">
        <v>2588</v>
      </c>
      <c r="D12835" s="5" t="s">
        <v>14</v>
      </c>
      <c r="E12835" s="5" t="s">
        <v>16</v>
      </c>
      <c r="F12835" s="5" t="s">
        <v>95</v>
      </c>
      <c r="G12835" s="5" t="s">
        <v>2152</v>
      </c>
      <c r="H12835" s="5" t="s">
        <v>2566</v>
      </c>
      <c r="I12835" s="5" t="s">
        <v>31</v>
      </c>
      <c r="J12835" s="5">
        <v>17.515505000000001</v>
      </c>
      <c r="K12835" s="5">
        <v>-97.681291999999999</v>
      </c>
      <c r="L12835" s="5" t="str">
        <f>HYPERLINK("https://maps.google.com/?q=17.515505,-97.681291999999999", "🔗 Ver Mapa")</f>
        <v>🔗 Ver Mapa</v>
      </c>
    </row>
    <row r="12836" spans="1:12" ht="43.5" x14ac:dyDescent="0.35">
      <c r="A12836" s="6" t="s">
        <v>98</v>
      </c>
      <c r="B12836" s="6" t="s">
        <v>99</v>
      </c>
      <c r="C12836" s="6" t="s">
        <v>2588</v>
      </c>
      <c r="D12836" s="6" t="s">
        <v>14</v>
      </c>
      <c r="E12836" s="6" t="s">
        <v>16</v>
      </c>
      <c r="F12836" s="6" t="s">
        <v>95</v>
      </c>
      <c r="G12836" s="6" t="s">
        <v>2152</v>
      </c>
      <c r="H12836" s="6" t="s">
        <v>2566</v>
      </c>
      <c r="I12836" s="6" t="s">
        <v>31</v>
      </c>
      <c r="J12836" s="6">
        <v>17.515827560000002</v>
      </c>
      <c r="K12836" s="6">
        <v>-97.681192999999993</v>
      </c>
      <c r="L12836" s="6" t="str">
        <f>HYPERLINK("https://maps.google.com/?q=17.51582756,-97.681192999999993", "🔗 Ver Mapa")</f>
        <v>🔗 Ver Mapa</v>
      </c>
    </row>
    <row r="12837" spans="1:12" ht="43.5" x14ac:dyDescent="0.35">
      <c r="A12837" s="5" t="s">
        <v>98</v>
      </c>
      <c r="B12837" s="5" t="s">
        <v>99</v>
      </c>
      <c r="C12837" s="5" t="s">
        <v>2588</v>
      </c>
      <c r="D12837" s="5" t="s">
        <v>14</v>
      </c>
      <c r="E12837" s="5" t="s">
        <v>16</v>
      </c>
      <c r="F12837" s="5" t="s">
        <v>95</v>
      </c>
      <c r="G12837" s="5" t="s">
        <v>2152</v>
      </c>
      <c r="H12837" s="5" t="s">
        <v>2566</v>
      </c>
      <c r="I12837" s="5" t="s">
        <v>31</v>
      </c>
      <c r="J12837" s="5">
        <v>17.516231000000001</v>
      </c>
      <c r="K12837" s="5">
        <v>-97.684843000000001</v>
      </c>
      <c r="L12837" s="5" t="str">
        <f>HYPERLINK("https://maps.google.com/?q=17.516231,-97.684843000000001", "🔗 Ver Mapa")</f>
        <v>🔗 Ver Mapa</v>
      </c>
    </row>
    <row r="12838" spans="1:12" ht="43.5" x14ac:dyDescent="0.35">
      <c r="A12838" s="6" t="s">
        <v>98</v>
      </c>
      <c r="B12838" s="6" t="s">
        <v>99</v>
      </c>
      <c r="C12838" s="6" t="s">
        <v>2588</v>
      </c>
      <c r="D12838" s="6" t="s">
        <v>14</v>
      </c>
      <c r="E12838" s="6" t="s">
        <v>16</v>
      </c>
      <c r="F12838" s="6" t="s">
        <v>95</v>
      </c>
      <c r="G12838" s="6" t="s">
        <v>2152</v>
      </c>
      <c r="H12838" s="6" t="s">
        <v>2566</v>
      </c>
      <c r="I12838" s="6" t="s">
        <v>31</v>
      </c>
      <c r="J12838" s="6">
        <v>17.516406910000001</v>
      </c>
      <c r="K12838" s="6">
        <v>-97.678798610000001</v>
      </c>
      <c r="L12838" s="6" t="str">
        <f>HYPERLINK("https://maps.google.com/?q=17.51640691,-97.678798610000001", "🔗 Ver Mapa")</f>
        <v>🔗 Ver Mapa</v>
      </c>
    </row>
    <row r="12839" spans="1:12" ht="43.5" x14ac:dyDescent="0.35">
      <c r="A12839" s="5" t="s">
        <v>98</v>
      </c>
      <c r="B12839" s="5" t="s">
        <v>99</v>
      </c>
      <c r="C12839" s="5" t="s">
        <v>2588</v>
      </c>
      <c r="D12839" s="5" t="s">
        <v>14</v>
      </c>
      <c r="E12839" s="5" t="s">
        <v>16</v>
      </c>
      <c r="F12839" s="5" t="s">
        <v>95</v>
      </c>
      <c r="G12839" s="5" t="s">
        <v>2152</v>
      </c>
      <c r="H12839" s="5" t="s">
        <v>2566</v>
      </c>
      <c r="I12839" s="5" t="s">
        <v>31</v>
      </c>
      <c r="J12839" s="5">
        <v>17.516666000000001</v>
      </c>
      <c r="K12839" s="5">
        <v>-97.681325999999999</v>
      </c>
      <c r="L12839" s="5" t="str">
        <f>HYPERLINK("https://maps.google.com/?q=17.516666,-97.681325999999999", "🔗 Ver Mapa")</f>
        <v>🔗 Ver Mapa</v>
      </c>
    </row>
    <row r="12840" spans="1:12" ht="43.5" x14ac:dyDescent="0.35">
      <c r="A12840" s="6" t="s">
        <v>98</v>
      </c>
      <c r="B12840" s="6" t="s">
        <v>99</v>
      </c>
      <c r="C12840" s="6" t="s">
        <v>2588</v>
      </c>
      <c r="D12840" s="6" t="s">
        <v>14</v>
      </c>
      <c r="E12840" s="6" t="s">
        <v>16</v>
      </c>
      <c r="F12840" s="6" t="s">
        <v>95</v>
      </c>
      <c r="G12840" s="6" t="s">
        <v>2152</v>
      </c>
      <c r="H12840" s="6" t="s">
        <v>2566</v>
      </c>
      <c r="I12840" s="6" t="s">
        <v>31</v>
      </c>
      <c r="J12840" s="6">
        <v>17.516673999999998</v>
      </c>
      <c r="K12840" s="6">
        <v>-97.680802</v>
      </c>
      <c r="L12840" s="6" t="str">
        <f>HYPERLINK("https://maps.google.com/?q=17.516674,-97.680802", "🔗 Ver Mapa")</f>
        <v>🔗 Ver Mapa</v>
      </c>
    </row>
    <row r="12841" spans="1:12" ht="43.5" x14ac:dyDescent="0.35">
      <c r="A12841" s="5" t="s">
        <v>98</v>
      </c>
      <c r="B12841" s="5" t="s">
        <v>99</v>
      </c>
      <c r="C12841" s="5" t="s">
        <v>2588</v>
      </c>
      <c r="D12841" s="5" t="s">
        <v>14</v>
      </c>
      <c r="E12841" s="5" t="s">
        <v>16</v>
      </c>
      <c r="F12841" s="5" t="s">
        <v>95</v>
      </c>
      <c r="G12841" s="5" t="s">
        <v>2152</v>
      </c>
      <c r="H12841" s="5" t="s">
        <v>2566</v>
      </c>
      <c r="I12841" s="5" t="s">
        <v>31</v>
      </c>
      <c r="J12841" s="5">
        <v>17.516681999999999</v>
      </c>
      <c r="K12841" s="5">
        <v>-97.686283000000003</v>
      </c>
      <c r="L12841" s="5" t="str">
        <f>HYPERLINK("https://maps.google.com/?q=17.516682,-97.686283000000003", "🔗 Ver Mapa")</f>
        <v>🔗 Ver Mapa</v>
      </c>
    </row>
    <row r="12842" spans="1:12" ht="43.5" x14ac:dyDescent="0.35">
      <c r="A12842" s="6" t="s">
        <v>98</v>
      </c>
      <c r="B12842" s="6" t="s">
        <v>99</v>
      </c>
      <c r="C12842" s="6" t="s">
        <v>2588</v>
      </c>
      <c r="D12842" s="6" t="s">
        <v>14</v>
      </c>
      <c r="E12842" s="6" t="s">
        <v>16</v>
      </c>
      <c r="F12842" s="6" t="s">
        <v>95</v>
      </c>
      <c r="G12842" s="6" t="s">
        <v>2152</v>
      </c>
      <c r="H12842" s="6" t="s">
        <v>2566</v>
      </c>
      <c r="I12842" s="6" t="s">
        <v>31</v>
      </c>
      <c r="J12842" s="6">
        <v>17.516738279999998</v>
      </c>
      <c r="K12842" s="6">
        <v>-97.681405420000004</v>
      </c>
      <c r="L12842" s="6" t="str">
        <f>HYPERLINK("https://maps.google.com/?q=17.51673828,-97.681405420000004", "🔗 Ver Mapa")</f>
        <v>🔗 Ver Mapa</v>
      </c>
    </row>
    <row r="12843" spans="1:12" ht="43.5" x14ac:dyDescent="0.35">
      <c r="A12843" s="5" t="s">
        <v>98</v>
      </c>
      <c r="B12843" s="5" t="s">
        <v>99</v>
      </c>
      <c r="C12843" s="5" t="s">
        <v>2588</v>
      </c>
      <c r="D12843" s="5" t="s">
        <v>14</v>
      </c>
      <c r="E12843" s="5" t="s">
        <v>16</v>
      </c>
      <c r="F12843" s="5" t="s">
        <v>95</v>
      </c>
      <c r="G12843" s="5" t="s">
        <v>2152</v>
      </c>
      <c r="H12843" s="5" t="s">
        <v>2566</v>
      </c>
      <c r="I12843" s="5" t="s">
        <v>31</v>
      </c>
      <c r="J12843" s="5">
        <v>17.516951379999998</v>
      </c>
      <c r="K12843" s="5">
        <v>-97.686751310000005</v>
      </c>
      <c r="L12843" s="5" t="str">
        <f>HYPERLINK("https://maps.google.com/?q=17.51695138,-97.686751310000005", "🔗 Ver Mapa")</f>
        <v>🔗 Ver Mapa</v>
      </c>
    </row>
    <row r="12844" spans="1:12" ht="43.5" x14ac:dyDescent="0.35">
      <c r="A12844" s="6" t="s">
        <v>98</v>
      </c>
      <c r="B12844" s="6" t="s">
        <v>99</v>
      </c>
      <c r="C12844" s="6" t="s">
        <v>2588</v>
      </c>
      <c r="D12844" s="6" t="s">
        <v>14</v>
      </c>
      <c r="E12844" s="6" t="s">
        <v>16</v>
      </c>
      <c r="F12844" s="6" t="s">
        <v>95</v>
      </c>
      <c r="G12844" s="6" t="s">
        <v>2152</v>
      </c>
      <c r="H12844" s="6" t="s">
        <v>2566</v>
      </c>
      <c r="I12844" s="6" t="s">
        <v>31</v>
      </c>
      <c r="J12844" s="6">
        <v>17.517050999999999</v>
      </c>
      <c r="K12844" s="6">
        <v>-97.686391999999998</v>
      </c>
      <c r="L12844" s="6" t="str">
        <f>HYPERLINK("https://maps.google.com/?q=17.517051,-97.686391999999998", "🔗 Ver Mapa")</f>
        <v>🔗 Ver Mapa</v>
      </c>
    </row>
    <row r="12845" spans="1:12" ht="43.5" x14ac:dyDescent="0.35">
      <c r="A12845" s="5" t="s">
        <v>98</v>
      </c>
      <c r="B12845" s="5" t="s">
        <v>99</v>
      </c>
      <c r="C12845" s="5" t="s">
        <v>2588</v>
      </c>
      <c r="D12845" s="5" t="s">
        <v>14</v>
      </c>
      <c r="E12845" s="5" t="s">
        <v>16</v>
      </c>
      <c r="F12845" s="5" t="s">
        <v>95</v>
      </c>
      <c r="G12845" s="5" t="s">
        <v>2152</v>
      </c>
      <c r="H12845" s="5" t="s">
        <v>2566</v>
      </c>
      <c r="I12845" s="5" t="s">
        <v>31</v>
      </c>
      <c r="J12845" s="5">
        <v>17.517106900000002</v>
      </c>
      <c r="K12845" s="5">
        <v>-97.680659009999999</v>
      </c>
      <c r="L12845" s="5" t="str">
        <f>HYPERLINK("https://maps.google.com/?q=17.5171069,-97.680659009999999", "🔗 Ver Mapa")</f>
        <v>🔗 Ver Mapa</v>
      </c>
    </row>
    <row r="12846" spans="1:12" ht="43.5" x14ac:dyDescent="0.35">
      <c r="A12846" s="6" t="s">
        <v>98</v>
      </c>
      <c r="B12846" s="6" t="s">
        <v>99</v>
      </c>
      <c r="C12846" s="6" t="s">
        <v>2588</v>
      </c>
      <c r="D12846" s="6" t="s">
        <v>14</v>
      </c>
      <c r="E12846" s="6" t="s">
        <v>16</v>
      </c>
      <c r="F12846" s="6" t="s">
        <v>95</v>
      </c>
      <c r="G12846" s="6" t="s">
        <v>2152</v>
      </c>
      <c r="H12846" s="6" t="s">
        <v>2566</v>
      </c>
      <c r="I12846" s="6" t="s">
        <v>31</v>
      </c>
      <c r="J12846" s="6">
        <v>17.517132</v>
      </c>
      <c r="K12846" s="6">
        <v>-97.680577999999997</v>
      </c>
      <c r="L12846" s="6" t="str">
        <f>HYPERLINK("https://maps.google.com/?q=17.517132,-97.680577999999997", "🔗 Ver Mapa")</f>
        <v>🔗 Ver Mapa</v>
      </c>
    </row>
    <row r="12847" spans="1:12" ht="43.5" x14ac:dyDescent="0.35">
      <c r="A12847" s="5" t="s">
        <v>98</v>
      </c>
      <c r="B12847" s="5" t="s">
        <v>99</v>
      </c>
      <c r="C12847" s="5" t="s">
        <v>2588</v>
      </c>
      <c r="D12847" s="5" t="s">
        <v>14</v>
      </c>
      <c r="E12847" s="5" t="s">
        <v>16</v>
      </c>
      <c r="F12847" s="5" t="s">
        <v>95</v>
      </c>
      <c r="G12847" s="5" t="s">
        <v>2152</v>
      </c>
      <c r="H12847" s="5" t="s">
        <v>2566</v>
      </c>
      <c r="I12847" s="5" t="s">
        <v>31</v>
      </c>
      <c r="J12847" s="5">
        <v>17.517144999999999</v>
      </c>
      <c r="K12847" s="5">
        <v>-97.682443000000006</v>
      </c>
      <c r="L12847" s="5" t="str">
        <f>HYPERLINK("https://maps.google.com/?q=17.517145,-97.682443000000006", "🔗 Ver Mapa")</f>
        <v>🔗 Ver Mapa</v>
      </c>
    </row>
    <row r="12848" spans="1:12" ht="43.5" x14ac:dyDescent="0.35">
      <c r="A12848" s="6" t="s">
        <v>98</v>
      </c>
      <c r="B12848" s="6" t="s">
        <v>99</v>
      </c>
      <c r="C12848" s="6" t="s">
        <v>2588</v>
      </c>
      <c r="D12848" s="6" t="s">
        <v>14</v>
      </c>
      <c r="E12848" s="6" t="s">
        <v>16</v>
      </c>
      <c r="F12848" s="6" t="s">
        <v>95</v>
      </c>
      <c r="G12848" s="6" t="s">
        <v>2152</v>
      </c>
      <c r="H12848" s="6" t="s">
        <v>2566</v>
      </c>
      <c r="I12848" s="6" t="s">
        <v>31</v>
      </c>
      <c r="J12848" s="6">
        <v>17.517145849999999</v>
      </c>
      <c r="K12848" s="6">
        <v>-97.684855200000001</v>
      </c>
      <c r="L12848" s="6" t="str">
        <f>HYPERLINK("https://maps.google.com/?q=17.51714585,-97.684855200000001", "🔗 Ver Mapa")</f>
        <v>🔗 Ver Mapa</v>
      </c>
    </row>
    <row r="12849" spans="1:12" ht="43.5" x14ac:dyDescent="0.35">
      <c r="A12849" s="5" t="s">
        <v>98</v>
      </c>
      <c r="B12849" s="5" t="s">
        <v>99</v>
      </c>
      <c r="C12849" s="5" t="s">
        <v>2588</v>
      </c>
      <c r="D12849" s="5" t="s">
        <v>14</v>
      </c>
      <c r="E12849" s="5" t="s">
        <v>16</v>
      </c>
      <c r="F12849" s="5" t="s">
        <v>95</v>
      </c>
      <c r="G12849" s="5" t="s">
        <v>2152</v>
      </c>
      <c r="H12849" s="5" t="s">
        <v>2566</v>
      </c>
      <c r="I12849" s="5" t="s">
        <v>31</v>
      </c>
      <c r="J12849" s="5">
        <v>17.517219000000001</v>
      </c>
      <c r="K12849" s="5">
        <v>-97.685934000000003</v>
      </c>
      <c r="L12849" s="5" t="str">
        <f>HYPERLINK("https://maps.google.com/?q=17.517219,-97.685934000000003", "🔗 Ver Mapa")</f>
        <v>🔗 Ver Mapa</v>
      </c>
    </row>
    <row r="12850" spans="1:12" ht="43.5" x14ac:dyDescent="0.35">
      <c r="A12850" s="6" t="s">
        <v>98</v>
      </c>
      <c r="B12850" s="6" t="s">
        <v>99</v>
      </c>
      <c r="C12850" s="6" t="s">
        <v>2588</v>
      </c>
      <c r="D12850" s="6" t="s">
        <v>14</v>
      </c>
      <c r="E12850" s="6" t="s">
        <v>16</v>
      </c>
      <c r="F12850" s="6" t="s">
        <v>95</v>
      </c>
      <c r="G12850" s="6" t="s">
        <v>2152</v>
      </c>
      <c r="H12850" s="6" t="s">
        <v>2566</v>
      </c>
      <c r="I12850" s="6" t="s">
        <v>31</v>
      </c>
      <c r="J12850" s="6">
        <v>17.517275999999999</v>
      </c>
      <c r="K12850" s="6">
        <v>-97.681674999999998</v>
      </c>
      <c r="L12850" s="6" t="str">
        <f>HYPERLINK("https://maps.google.com/?q=17.517276,-97.681674999999998", "🔗 Ver Mapa")</f>
        <v>🔗 Ver Mapa</v>
      </c>
    </row>
    <row r="12851" spans="1:12" ht="43.5" x14ac:dyDescent="0.35">
      <c r="A12851" s="5" t="s">
        <v>98</v>
      </c>
      <c r="B12851" s="5" t="s">
        <v>99</v>
      </c>
      <c r="C12851" s="5" t="s">
        <v>2588</v>
      </c>
      <c r="D12851" s="5" t="s">
        <v>14</v>
      </c>
      <c r="E12851" s="5" t="s">
        <v>16</v>
      </c>
      <c r="F12851" s="5" t="s">
        <v>95</v>
      </c>
      <c r="G12851" s="5" t="s">
        <v>2152</v>
      </c>
      <c r="H12851" s="5" t="s">
        <v>2566</v>
      </c>
      <c r="I12851" s="5" t="s">
        <v>31</v>
      </c>
      <c r="J12851" s="5">
        <v>17.517420999999999</v>
      </c>
      <c r="K12851" s="5">
        <v>-97.686892999999998</v>
      </c>
      <c r="L12851" s="5" t="str">
        <f>HYPERLINK("https://maps.google.com/?q=17.517421,-97.686892999999998", "🔗 Ver Mapa")</f>
        <v>🔗 Ver Mapa</v>
      </c>
    </row>
    <row r="12852" spans="1:12" ht="43.5" x14ac:dyDescent="0.35">
      <c r="A12852" s="6" t="s">
        <v>98</v>
      </c>
      <c r="B12852" s="6" t="s">
        <v>99</v>
      </c>
      <c r="C12852" s="6" t="s">
        <v>2588</v>
      </c>
      <c r="D12852" s="6" t="s">
        <v>14</v>
      </c>
      <c r="E12852" s="6" t="s">
        <v>16</v>
      </c>
      <c r="F12852" s="6" t="s">
        <v>95</v>
      </c>
      <c r="G12852" s="6" t="s">
        <v>2152</v>
      </c>
      <c r="H12852" s="6" t="s">
        <v>2566</v>
      </c>
      <c r="I12852" s="6" t="s">
        <v>31</v>
      </c>
      <c r="J12852" s="6">
        <v>17.517475000000001</v>
      </c>
      <c r="K12852" s="6">
        <v>-97.682302000000007</v>
      </c>
      <c r="L12852" s="6" t="str">
        <f>HYPERLINK("https://maps.google.com/?q=17.517475,-97.682302000000007", "🔗 Ver Mapa")</f>
        <v>🔗 Ver Mapa</v>
      </c>
    </row>
    <row r="12853" spans="1:12" ht="43.5" x14ac:dyDescent="0.35">
      <c r="A12853" s="5" t="s">
        <v>98</v>
      </c>
      <c r="B12853" s="5" t="s">
        <v>99</v>
      </c>
      <c r="C12853" s="5" t="s">
        <v>2588</v>
      </c>
      <c r="D12853" s="5" t="s">
        <v>14</v>
      </c>
      <c r="E12853" s="5" t="s">
        <v>16</v>
      </c>
      <c r="F12853" s="5" t="s">
        <v>95</v>
      </c>
      <c r="G12853" s="5" t="s">
        <v>2152</v>
      </c>
      <c r="H12853" s="5" t="s">
        <v>2566</v>
      </c>
      <c r="I12853" s="5" t="s">
        <v>31</v>
      </c>
      <c r="J12853" s="5">
        <v>17.517489000000001</v>
      </c>
      <c r="K12853" s="5">
        <v>-97.686555999999996</v>
      </c>
      <c r="L12853" s="5" t="str">
        <f>HYPERLINK("https://maps.google.com/?q=17.517489,-97.686555999999996", "🔗 Ver Mapa")</f>
        <v>🔗 Ver Mapa</v>
      </c>
    </row>
    <row r="12854" spans="1:12" ht="43.5" x14ac:dyDescent="0.35">
      <c r="A12854" s="6" t="s">
        <v>98</v>
      </c>
      <c r="B12854" s="6" t="s">
        <v>99</v>
      </c>
      <c r="C12854" s="6" t="s">
        <v>2588</v>
      </c>
      <c r="D12854" s="6" t="s">
        <v>14</v>
      </c>
      <c r="E12854" s="6" t="s">
        <v>16</v>
      </c>
      <c r="F12854" s="6" t="s">
        <v>95</v>
      </c>
      <c r="G12854" s="6" t="s">
        <v>2152</v>
      </c>
      <c r="H12854" s="6" t="s">
        <v>2566</v>
      </c>
      <c r="I12854" s="6" t="s">
        <v>31</v>
      </c>
      <c r="J12854" s="6">
        <v>17.517547</v>
      </c>
      <c r="K12854" s="6">
        <v>-97.684656000000004</v>
      </c>
      <c r="L12854" s="6" t="str">
        <f>HYPERLINK("https://maps.google.com/?q=17.517547,-97.684656000000004", "🔗 Ver Mapa")</f>
        <v>🔗 Ver Mapa</v>
      </c>
    </row>
    <row r="12855" spans="1:12" ht="43.5" x14ac:dyDescent="0.35">
      <c r="A12855" s="5" t="s">
        <v>98</v>
      </c>
      <c r="B12855" s="5" t="s">
        <v>99</v>
      </c>
      <c r="C12855" s="5" t="s">
        <v>2588</v>
      </c>
      <c r="D12855" s="5" t="s">
        <v>14</v>
      </c>
      <c r="E12855" s="5" t="s">
        <v>16</v>
      </c>
      <c r="F12855" s="5" t="s">
        <v>95</v>
      </c>
      <c r="G12855" s="5" t="s">
        <v>2152</v>
      </c>
      <c r="H12855" s="5" t="s">
        <v>2566</v>
      </c>
      <c r="I12855" s="5" t="s">
        <v>31</v>
      </c>
      <c r="J12855" s="5">
        <v>17.517548999999999</v>
      </c>
      <c r="K12855" s="5">
        <v>-97.689238000000003</v>
      </c>
      <c r="L12855" s="5" t="str">
        <f>HYPERLINK("https://maps.google.com/?q=17.517549,-97.689238000000003", "🔗 Ver Mapa")</f>
        <v>🔗 Ver Mapa</v>
      </c>
    </row>
    <row r="12856" spans="1:12" ht="43.5" x14ac:dyDescent="0.35">
      <c r="A12856" s="6" t="s">
        <v>98</v>
      </c>
      <c r="B12856" s="6" t="s">
        <v>99</v>
      </c>
      <c r="C12856" s="6" t="s">
        <v>2588</v>
      </c>
      <c r="D12856" s="6" t="s">
        <v>14</v>
      </c>
      <c r="E12856" s="6" t="s">
        <v>16</v>
      </c>
      <c r="F12856" s="6" t="s">
        <v>95</v>
      </c>
      <c r="G12856" s="6" t="s">
        <v>2152</v>
      </c>
      <c r="H12856" s="6" t="s">
        <v>2566</v>
      </c>
      <c r="I12856" s="6" t="s">
        <v>31</v>
      </c>
      <c r="J12856" s="6">
        <v>17.51765</v>
      </c>
      <c r="K12856" s="6">
        <v>-97.681203999999994</v>
      </c>
      <c r="L12856" s="6" t="str">
        <f>HYPERLINK("https://maps.google.com/?q=17.51765,-97.681203999999994", "🔗 Ver Mapa")</f>
        <v>🔗 Ver Mapa</v>
      </c>
    </row>
    <row r="12857" spans="1:12" ht="43.5" x14ac:dyDescent="0.35">
      <c r="A12857" s="5" t="s">
        <v>98</v>
      </c>
      <c r="B12857" s="5" t="s">
        <v>99</v>
      </c>
      <c r="C12857" s="5" t="s">
        <v>2588</v>
      </c>
      <c r="D12857" s="5" t="s">
        <v>14</v>
      </c>
      <c r="E12857" s="5" t="s">
        <v>16</v>
      </c>
      <c r="F12857" s="5" t="s">
        <v>95</v>
      </c>
      <c r="G12857" s="5" t="s">
        <v>2152</v>
      </c>
      <c r="H12857" s="5" t="s">
        <v>2566</v>
      </c>
      <c r="I12857" s="5" t="s">
        <v>31</v>
      </c>
      <c r="J12857" s="5">
        <v>17.517651000000001</v>
      </c>
      <c r="K12857" s="5">
        <v>-97.683143999999999</v>
      </c>
      <c r="L12857" s="5" t="str">
        <f>HYPERLINK("https://maps.google.com/?q=17.517651,-97.683143999999999", "🔗 Ver Mapa")</f>
        <v>🔗 Ver Mapa</v>
      </c>
    </row>
    <row r="12858" spans="1:12" ht="43.5" x14ac:dyDescent="0.35">
      <c r="A12858" s="6" t="s">
        <v>98</v>
      </c>
      <c r="B12858" s="6" t="s">
        <v>99</v>
      </c>
      <c r="C12858" s="6" t="s">
        <v>2588</v>
      </c>
      <c r="D12858" s="6" t="s">
        <v>14</v>
      </c>
      <c r="E12858" s="6" t="s">
        <v>16</v>
      </c>
      <c r="F12858" s="6" t="s">
        <v>95</v>
      </c>
      <c r="G12858" s="6" t="s">
        <v>2152</v>
      </c>
      <c r="H12858" s="6" t="s">
        <v>2566</v>
      </c>
      <c r="I12858" s="6" t="s">
        <v>31</v>
      </c>
      <c r="J12858" s="6">
        <v>17.517821000000001</v>
      </c>
      <c r="K12858" s="6">
        <v>-97.686459999999997</v>
      </c>
      <c r="L12858" s="6" t="str">
        <f>HYPERLINK("https://maps.google.com/?q=17.517821,-97.686459999999997", "🔗 Ver Mapa")</f>
        <v>🔗 Ver Mapa</v>
      </c>
    </row>
    <row r="12859" spans="1:12" ht="43.5" x14ac:dyDescent="0.35">
      <c r="A12859" s="5" t="s">
        <v>98</v>
      </c>
      <c r="B12859" s="5" t="s">
        <v>99</v>
      </c>
      <c r="C12859" s="5" t="s">
        <v>2588</v>
      </c>
      <c r="D12859" s="5" t="s">
        <v>14</v>
      </c>
      <c r="E12859" s="5" t="s">
        <v>16</v>
      </c>
      <c r="F12859" s="5" t="s">
        <v>95</v>
      </c>
      <c r="G12859" s="5" t="s">
        <v>2152</v>
      </c>
      <c r="H12859" s="5" t="s">
        <v>2566</v>
      </c>
      <c r="I12859" s="5" t="s">
        <v>31</v>
      </c>
      <c r="J12859" s="5">
        <v>17.517982</v>
      </c>
      <c r="K12859" s="5">
        <v>-97.685884000000001</v>
      </c>
      <c r="L12859" s="5" t="str">
        <f>HYPERLINK("https://maps.google.com/?q=17.517982,-97.685884000000001", "🔗 Ver Mapa")</f>
        <v>🔗 Ver Mapa</v>
      </c>
    </row>
    <row r="12860" spans="1:12" ht="43.5" x14ac:dyDescent="0.35">
      <c r="A12860" s="6" t="s">
        <v>98</v>
      </c>
      <c r="B12860" s="6" t="s">
        <v>99</v>
      </c>
      <c r="C12860" s="6" t="s">
        <v>2588</v>
      </c>
      <c r="D12860" s="6" t="s">
        <v>14</v>
      </c>
      <c r="E12860" s="6" t="s">
        <v>16</v>
      </c>
      <c r="F12860" s="6" t="s">
        <v>95</v>
      </c>
      <c r="G12860" s="6" t="s">
        <v>2152</v>
      </c>
      <c r="H12860" s="6" t="s">
        <v>2566</v>
      </c>
      <c r="I12860" s="6" t="s">
        <v>31</v>
      </c>
      <c r="J12860" s="6">
        <v>17.518153999999999</v>
      </c>
      <c r="K12860" s="6">
        <v>-97.687132000000005</v>
      </c>
      <c r="L12860" s="6" t="str">
        <f>HYPERLINK("https://maps.google.com/?q=17.518154,-97.687132000000005", "🔗 Ver Mapa")</f>
        <v>🔗 Ver Mapa</v>
      </c>
    </row>
    <row r="12861" spans="1:12" ht="43.5" x14ac:dyDescent="0.35">
      <c r="A12861" s="5" t="s">
        <v>98</v>
      </c>
      <c r="B12861" s="5" t="s">
        <v>99</v>
      </c>
      <c r="C12861" s="5" t="s">
        <v>2588</v>
      </c>
      <c r="D12861" s="5" t="s">
        <v>14</v>
      </c>
      <c r="E12861" s="5" t="s">
        <v>16</v>
      </c>
      <c r="F12861" s="5" t="s">
        <v>95</v>
      </c>
      <c r="G12861" s="5" t="s">
        <v>2152</v>
      </c>
      <c r="H12861" s="5" t="s">
        <v>2566</v>
      </c>
      <c r="I12861" s="5" t="s">
        <v>31</v>
      </c>
      <c r="J12861" s="5">
        <v>17.518158</v>
      </c>
      <c r="K12861" s="5">
        <v>-97.687389999999994</v>
      </c>
      <c r="L12861" s="5" t="str">
        <f>HYPERLINK("https://maps.google.com/?q=17.518158,-97.687389999999994", "🔗 Ver Mapa")</f>
        <v>🔗 Ver Mapa</v>
      </c>
    </row>
    <row r="12862" spans="1:12" ht="43.5" x14ac:dyDescent="0.35">
      <c r="A12862" s="6" t="s">
        <v>98</v>
      </c>
      <c r="B12862" s="6" t="s">
        <v>99</v>
      </c>
      <c r="C12862" s="6" t="s">
        <v>2588</v>
      </c>
      <c r="D12862" s="6" t="s">
        <v>14</v>
      </c>
      <c r="E12862" s="6" t="s">
        <v>16</v>
      </c>
      <c r="F12862" s="6" t="s">
        <v>95</v>
      </c>
      <c r="G12862" s="6" t="s">
        <v>2152</v>
      </c>
      <c r="H12862" s="6" t="s">
        <v>2566</v>
      </c>
      <c r="I12862" s="6" t="s">
        <v>31</v>
      </c>
      <c r="J12862" s="6">
        <v>17.518176</v>
      </c>
      <c r="K12862" s="6">
        <v>-97.680567999999994</v>
      </c>
      <c r="L12862" s="6" t="str">
        <f>HYPERLINK("https://maps.google.com/?q=17.518176,-97.680567999999994", "🔗 Ver Mapa")</f>
        <v>🔗 Ver Mapa</v>
      </c>
    </row>
    <row r="12863" spans="1:12" ht="43.5" x14ac:dyDescent="0.35">
      <c r="A12863" s="5" t="s">
        <v>98</v>
      </c>
      <c r="B12863" s="5" t="s">
        <v>99</v>
      </c>
      <c r="C12863" s="5" t="s">
        <v>2588</v>
      </c>
      <c r="D12863" s="5" t="s">
        <v>14</v>
      </c>
      <c r="E12863" s="5" t="s">
        <v>16</v>
      </c>
      <c r="F12863" s="5" t="s">
        <v>95</v>
      </c>
      <c r="G12863" s="5" t="s">
        <v>2152</v>
      </c>
      <c r="H12863" s="5" t="s">
        <v>2566</v>
      </c>
      <c r="I12863" s="5" t="s">
        <v>31</v>
      </c>
      <c r="J12863" s="5">
        <v>17.518204000000001</v>
      </c>
      <c r="K12863" s="5">
        <v>-97.686440000000005</v>
      </c>
      <c r="L12863" s="5" t="str">
        <f>HYPERLINK("https://maps.google.com/?q=17.518204,-97.686440000000005", "🔗 Ver Mapa")</f>
        <v>🔗 Ver Mapa</v>
      </c>
    </row>
    <row r="12864" spans="1:12" ht="43.5" x14ac:dyDescent="0.35">
      <c r="A12864" s="6" t="s">
        <v>98</v>
      </c>
      <c r="B12864" s="6" t="s">
        <v>99</v>
      </c>
      <c r="C12864" s="6" t="s">
        <v>2588</v>
      </c>
      <c r="D12864" s="6" t="s">
        <v>14</v>
      </c>
      <c r="E12864" s="6" t="s">
        <v>16</v>
      </c>
      <c r="F12864" s="6" t="s">
        <v>95</v>
      </c>
      <c r="G12864" s="6" t="s">
        <v>2152</v>
      </c>
      <c r="H12864" s="6" t="s">
        <v>2566</v>
      </c>
      <c r="I12864" s="6" t="s">
        <v>31</v>
      </c>
      <c r="J12864" s="6">
        <v>17.518297</v>
      </c>
      <c r="K12864" s="6">
        <v>-97.680555999999996</v>
      </c>
      <c r="L12864" s="6" t="str">
        <f>HYPERLINK("https://maps.google.com/?q=17.518297,-97.680555999999996", "🔗 Ver Mapa")</f>
        <v>🔗 Ver Mapa</v>
      </c>
    </row>
    <row r="12865" spans="1:12" ht="43.5" x14ac:dyDescent="0.35">
      <c r="A12865" s="5" t="s">
        <v>98</v>
      </c>
      <c r="B12865" s="5" t="s">
        <v>99</v>
      </c>
      <c r="C12865" s="5" t="s">
        <v>2588</v>
      </c>
      <c r="D12865" s="5" t="s">
        <v>14</v>
      </c>
      <c r="E12865" s="5" t="s">
        <v>16</v>
      </c>
      <c r="F12865" s="5" t="s">
        <v>95</v>
      </c>
      <c r="G12865" s="5" t="s">
        <v>2152</v>
      </c>
      <c r="H12865" s="5" t="s">
        <v>2566</v>
      </c>
      <c r="I12865" s="5" t="s">
        <v>31</v>
      </c>
      <c r="J12865" s="5">
        <v>17.518432000000001</v>
      </c>
      <c r="K12865" s="5">
        <v>-97.680811000000006</v>
      </c>
      <c r="L12865" s="5" t="str">
        <f>HYPERLINK("https://maps.google.com/?q=17.518432,-97.680811000000006", "🔗 Ver Mapa")</f>
        <v>🔗 Ver Mapa</v>
      </c>
    </row>
    <row r="12866" spans="1:12" ht="43.5" x14ac:dyDescent="0.35">
      <c r="A12866" s="6" t="s">
        <v>98</v>
      </c>
      <c r="B12866" s="6" t="s">
        <v>99</v>
      </c>
      <c r="C12866" s="6" t="s">
        <v>2588</v>
      </c>
      <c r="D12866" s="6" t="s">
        <v>14</v>
      </c>
      <c r="E12866" s="6" t="s">
        <v>16</v>
      </c>
      <c r="F12866" s="6" t="s">
        <v>95</v>
      </c>
      <c r="G12866" s="6" t="s">
        <v>2152</v>
      </c>
      <c r="H12866" s="6" t="s">
        <v>2566</v>
      </c>
      <c r="I12866" s="6" t="s">
        <v>31</v>
      </c>
      <c r="J12866" s="6">
        <v>17.518473719999999</v>
      </c>
      <c r="K12866" s="6">
        <v>-97.681868069999993</v>
      </c>
      <c r="L12866" s="6" t="str">
        <f>HYPERLINK("https://maps.google.com/?q=17.51847372,-97.681868069999993", "🔗 Ver Mapa")</f>
        <v>🔗 Ver Mapa</v>
      </c>
    </row>
    <row r="12867" spans="1:12" ht="43.5" x14ac:dyDescent="0.35">
      <c r="A12867" s="5" t="s">
        <v>98</v>
      </c>
      <c r="B12867" s="5" t="s">
        <v>99</v>
      </c>
      <c r="C12867" s="5" t="s">
        <v>2588</v>
      </c>
      <c r="D12867" s="5" t="s">
        <v>14</v>
      </c>
      <c r="E12867" s="5" t="s">
        <v>16</v>
      </c>
      <c r="F12867" s="5" t="s">
        <v>95</v>
      </c>
      <c r="G12867" s="5" t="s">
        <v>2152</v>
      </c>
      <c r="H12867" s="5" t="s">
        <v>2566</v>
      </c>
      <c r="I12867" s="5" t="s">
        <v>31</v>
      </c>
      <c r="J12867" s="5">
        <v>17.518505999999999</v>
      </c>
      <c r="K12867" s="5">
        <v>-97.680047999999999</v>
      </c>
      <c r="L12867" s="5" t="str">
        <f>HYPERLINK("https://maps.google.com/?q=17.518506,-97.680047999999999", "🔗 Ver Mapa")</f>
        <v>🔗 Ver Mapa</v>
      </c>
    </row>
    <row r="12868" spans="1:12" ht="43.5" x14ac:dyDescent="0.35">
      <c r="A12868" s="6" t="s">
        <v>98</v>
      </c>
      <c r="B12868" s="6" t="s">
        <v>99</v>
      </c>
      <c r="C12868" s="6" t="s">
        <v>2588</v>
      </c>
      <c r="D12868" s="6" t="s">
        <v>14</v>
      </c>
      <c r="E12868" s="6" t="s">
        <v>16</v>
      </c>
      <c r="F12868" s="6" t="s">
        <v>95</v>
      </c>
      <c r="G12868" s="6" t="s">
        <v>2152</v>
      </c>
      <c r="H12868" s="6" t="s">
        <v>2566</v>
      </c>
      <c r="I12868" s="6" t="s">
        <v>31</v>
      </c>
      <c r="J12868" s="6">
        <v>17.518573</v>
      </c>
      <c r="K12868" s="6">
        <v>-97.682958999999997</v>
      </c>
      <c r="L12868" s="6" t="str">
        <f>HYPERLINK("https://maps.google.com/?q=17.518573,-97.682958999999997", "🔗 Ver Mapa")</f>
        <v>🔗 Ver Mapa</v>
      </c>
    </row>
    <row r="12869" spans="1:12" ht="43.5" x14ac:dyDescent="0.35">
      <c r="A12869" s="5" t="s">
        <v>98</v>
      </c>
      <c r="B12869" s="5" t="s">
        <v>99</v>
      </c>
      <c r="C12869" s="5" t="s">
        <v>2588</v>
      </c>
      <c r="D12869" s="5" t="s">
        <v>14</v>
      </c>
      <c r="E12869" s="5" t="s">
        <v>16</v>
      </c>
      <c r="F12869" s="5" t="s">
        <v>95</v>
      </c>
      <c r="G12869" s="5" t="s">
        <v>2152</v>
      </c>
      <c r="H12869" s="5" t="s">
        <v>2566</v>
      </c>
      <c r="I12869" s="5" t="s">
        <v>31</v>
      </c>
      <c r="J12869" s="5">
        <v>17.518736000000001</v>
      </c>
      <c r="K12869" s="5">
        <v>-97.681365999999997</v>
      </c>
      <c r="L12869" s="5" t="str">
        <f>HYPERLINK("https://maps.google.com/?q=17.518736,-97.681365999999997", "🔗 Ver Mapa")</f>
        <v>🔗 Ver Mapa</v>
      </c>
    </row>
    <row r="12870" spans="1:12" ht="43.5" x14ac:dyDescent="0.35">
      <c r="A12870" s="6" t="s">
        <v>98</v>
      </c>
      <c r="B12870" s="6" t="s">
        <v>99</v>
      </c>
      <c r="C12870" s="6" t="s">
        <v>2588</v>
      </c>
      <c r="D12870" s="6" t="s">
        <v>14</v>
      </c>
      <c r="E12870" s="6" t="s">
        <v>16</v>
      </c>
      <c r="F12870" s="6" t="s">
        <v>95</v>
      </c>
      <c r="G12870" s="6" t="s">
        <v>2152</v>
      </c>
      <c r="H12870" s="6" t="s">
        <v>2566</v>
      </c>
      <c r="I12870" s="6" t="s">
        <v>31</v>
      </c>
      <c r="J12870" s="6">
        <v>17.519019</v>
      </c>
      <c r="K12870" s="6">
        <v>-97.685715000000002</v>
      </c>
      <c r="L12870" s="6" t="str">
        <f>HYPERLINK("https://maps.google.com/?q=17.519019,-97.685715000000002", "🔗 Ver Mapa")</f>
        <v>🔗 Ver Mapa</v>
      </c>
    </row>
    <row r="12871" spans="1:12" ht="43.5" x14ac:dyDescent="0.35">
      <c r="A12871" s="5" t="s">
        <v>98</v>
      </c>
      <c r="B12871" s="5" t="s">
        <v>99</v>
      </c>
      <c r="C12871" s="5" t="s">
        <v>2588</v>
      </c>
      <c r="D12871" s="5" t="s">
        <v>14</v>
      </c>
      <c r="E12871" s="5" t="s">
        <v>16</v>
      </c>
      <c r="F12871" s="5" t="s">
        <v>95</v>
      </c>
      <c r="G12871" s="5" t="s">
        <v>2152</v>
      </c>
      <c r="H12871" s="5" t="s">
        <v>2566</v>
      </c>
      <c r="I12871" s="5" t="s">
        <v>31</v>
      </c>
      <c r="J12871" s="5">
        <v>17.51923</v>
      </c>
      <c r="K12871" s="5">
        <v>-97.679051999999999</v>
      </c>
      <c r="L12871" s="5" t="str">
        <f>HYPERLINK("https://maps.google.com/?q=17.51923,-97.679051999999999", "🔗 Ver Mapa")</f>
        <v>🔗 Ver Mapa</v>
      </c>
    </row>
    <row r="12872" spans="1:12" ht="43.5" x14ac:dyDescent="0.35">
      <c r="A12872" s="6" t="s">
        <v>98</v>
      </c>
      <c r="B12872" s="6" t="s">
        <v>99</v>
      </c>
      <c r="C12872" s="6" t="s">
        <v>2588</v>
      </c>
      <c r="D12872" s="6" t="s">
        <v>14</v>
      </c>
      <c r="E12872" s="6" t="s">
        <v>16</v>
      </c>
      <c r="F12872" s="6" t="s">
        <v>95</v>
      </c>
      <c r="G12872" s="6" t="s">
        <v>2152</v>
      </c>
      <c r="H12872" s="6" t="s">
        <v>2566</v>
      </c>
      <c r="I12872" s="6" t="s">
        <v>31</v>
      </c>
      <c r="J12872" s="6">
        <v>17.519348000000001</v>
      </c>
      <c r="K12872" s="6">
        <v>-97.684194000000005</v>
      </c>
      <c r="L12872" s="6" t="str">
        <f>HYPERLINK("https://maps.google.com/?q=17.519348,-97.684194000000005", "🔗 Ver Mapa")</f>
        <v>🔗 Ver Mapa</v>
      </c>
    </row>
    <row r="12873" spans="1:12" ht="43.5" x14ac:dyDescent="0.35">
      <c r="A12873" s="5" t="s">
        <v>98</v>
      </c>
      <c r="B12873" s="5" t="s">
        <v>99</v>
      </c>
      <c r="C12873" s="5" t="s">
        <v>2588</v>
      </c>
      <c r="D12873" s="5" t="s">
        <v>14</v>
      </c>
      <c r="E12873" s="5" t="s">
        <v>16</v>
      </c>
      <c r="F12873" s="5" t="s">
        <v>95</v>
      </c>
      <c r="G12873" s="5" t="s">
        <v>2152</v>
      </c>
      <c r="H12873" s="5" t="s">
        <v>2566</v>
      </c>
      <c r="I12873" s="5" t="s">
        <v>31</v>
      </c>
      <c r="J12873" s="5">
        <v>17.519447</v>
      </c>
      <c r="K12873" s="5">
        <v>-97.683766000000006</v>
      </c>
      <c r="L12873" s="5" t="str">
        <f>HYPERLINK("https://maps.google.com/?q=17.519447,-97.683766000000006", "🔗 Ver Mapa")</f>
        <v>🔗 Ver Mapa</v>
      </c>
    </row>
    <row r="12874" spans="1:12" ht="43.5" x14ac:dyDescent="0.35">
      <c r="A12874" s="6" t="s">
        <v>98</v>
      </c>
      <c r="B12874" s="6" t="s">
        <v>99</v>
      </c>
      <c r="C12874" s="6" t="s">
        <v>2588</v>
      </c>
      <c r="D12874" s="6" t="s">
        <v>14</v>
      </c>
      <c r="E12874" s="6" t="s">
        <v>16</v>
      </c>
      <c r="F12874" s="6" t="s">
        <v>95</v>
      </c>
      <c r="G12874" s="6" t="s">
        <v>2152</v>
      </c>
      <c r="H12874" s="6" t="s">
        <v>2566</v>
      </c>
      <c r="I12874" s="6" t="s">
        <v>31</v>
      </c>
      <c r="J12874" s="6">
        <v>17.519465</v>
      </c>
      <c r="K12874" s="6">
        <v>-97.683874000000003</v>
      </c>
      <c r="L12874" s="6" t="str">
        <f>HYPERLINK("https://maps.google.com/?q=17.519465,-97.683874000000003", "🔗 Ver Mapa")</f>
        <v>🔗 Ver Mapa</v>
      </c>
    </row>
    <row r="12875" spans="1:12" ht="43.5" x14ac:dyDescent="0.35">
      <c r="A12875" s="5" t="s">
        <v>98</v>
      </c>
      <c r="B12875" s="5" t="s">
        <v>99</v>
      </c>
      <c r="C12875" s="5" t="s">
        <v>2588</v>
      </c>
      <c r="D12875" s="5" t="s">
        <v>14</v>
      </c>
      <c r="E12875" s="5" t="s">
        <v>16</v>
      </c>
      <c r="F12875" s="5" t="s">
        <v>95</v>
      </c>
      <c r="G12875" s="5" t="s">
        <v>2152</v>
      </c>
      <c r="H12875" s="5" t="s">
        <v>2566</v>
      </c>
      <c r="I12875" s="5" t="s">
        <v>31</v>
      </c>
      <c r="J12875" s="5">
        <v>17.519643909999999</v>
      </c>
      <c r="K12875" s="5">
        <v>-97.681352410000002</v>
      </c>
      <c r="L12875" s="5" t="str">
        <f>HYPERLINK("https://maps.google.com/?q=17.51964391,-97.681352410000002", "🔗 Ver Mapa")</f>
        <v>🔗 Ver Mapa</v>
      </c>
    </row>
    <row r="12876" spans="1:12" ht="43.5" x14ac:dyDescent="0.35">
      <c r="A12876" s="6" t="s">
        <v>98</v>
      </c>
      <c r="B12876" s="6" t="s">
        <v>99</v>
      </c>
      <c r="C12876" s="6" t="s">
        <v>2588</v>
      </c>
      <c r="D12876" s="6" t="s">
        <v>14</v>
      </c>
      <c r="E12876" s="6" t="s">
        <v>16</v>
      </c>
      <c r="F12876" s="6" t="s">
        <v>95</v>
      </c>
      <c r="G12876" s="6" t="s">
        <v>2152</v>
      </c>
      <c r="H12876" s="6" t="s">
        <v>2566</v>
      </c>
      <c r="I12876" s="6" t="s">
        <v>31</v>
      </c>
      <c r="J12876" s="6">
        <v>17.520385999999998</v>
      </c>
      <c r="K12876" s="6">
        <v>-97.679361</v>
      </c>
      <c r="L12876" s="6" t="str">
        <f>HYPERLINK("https://maps.google.com/?q=17.520386,-97.679361", "🔗 Ver Mapa")</f>
        <v>🔗 Ver Mapa</v>
      </c>
    </row>
    <row r="12877" spans="1:12" ht="43.5" x14ac:dyDescent="0.35">
      <c r="A12877" s="5" t="s">
        <v>98</v>
      </c>
      <c r="B12877" s="5" t="s">
        <v>99</v>
      </c>
      <c r="C12877" s="5" t="s">
        <v>2588</v>
      </c>
      <c r="D12877" s="5" t="s">
        <v>14</v>
      </c>
      <c r="E12877" s="5" t="s">
        <v>16</v>
      </c>
      <c r="F12877" s="5" t="s">
        <v>95</v>
      </c>
      <c r="G12877" s="5" t="s">
        <v>2152</v>
      </c>
      <c r="H12877" s="5" t="s">
        <v>2566</v>
      </c>
      <c r="I12877" s="5" t="s">
        <v>31</v>
      </c>
      <c r="J12877" s="5">
        <v>17.52164934</v>
      </c>
      <c r="K12877" s="5">
        <v>-97.68296067</v>
      </c>
      <c r="L12877" s="5" t="str">
        <f>HYPERLINK("https://maps.google.com/?q=17.52164934,-97.68296067", "🔗 Ver Mapa")</f>
        <v>🔗 Ver Mapa</v>
      </c>
    </row>
    <row r="12878" spans="1:12" ht="43.5" x14ac:dyDescent="0.35">
      <c r="A12878" s="6" t="s">
        <v>98</v>
      </c>
      <c r="B12878" s="6" t="s">
        <v>99</v>
      </c>
      <c r="C12878" s="6" t="s">
        <v>2589</v>
      </c>
      <c r="D12878" s="6" t="s">
        <v>14</v>
      </c>
      <c r="E12878" s="6" t="s">
        <v>39</v>
      </c>
      <c r="F12878" s="6" t="s">
        <v>494</v>
      </c>
      <c r="G12878" s="6" t="s">
        <v>664</v>
      </c>
      <c r="H12878" s="6" t="s">
        <v>2590</v>
      </c>
      <c r="I12878" s="6" t="s">
        <v>31</v>
      </c>
      <c r="J12878" s="6">
        <v>16.534042270629001</v>
      </c>
      <c r="K12878" s="6">
        <v>-97.493929159193002</v>
      </c>
      <c r="L12878" s="6" t="str">
        <f>HYPERLINK("https://maps.google.com/?q=16.5340422706287,-97.4939291591933", "🔗 Ver Mapa")</f>
        <v>🔗 Ver Mapa</v>
      </c>
    </row>
    <row r="12879" spans="1:12" ht="43.5" x14ac:dyDescent="0.35">
      <c r="A12879" s="5" t="s">
        <v>98</v>
      </c>
      <c r="B12879" s="5" t="s">
        <v>99</v>
      </c>
      <c r="C12879" s="5" t="s">
        <v>2589</v>
      </c>
      <c r="D12879" s="5" t="s">
        <v>14</v>
      </c>
      <c r="E12879" s="5" t="s">
        <v>39</v>
      </c>
      <c r="F12879" s="5" t="s">
        <v>494</v>
      </c>
      <c r="G12879" s="5" t="s">
        <v>664</v>
      </c>
      <c r="H12879" s="5" t="s">
        <v>2590</v>
      </c>
      <c r="I12879" s="5" t="s">
        <v>31</v>
      </c>
      <c r="J12879" s="5">
        <v>16.534768</v>
      </c>
      <c r="K12879" s="5">
        <v>-97.4957165</v>
      </c>
      <c r="L12879" s="5" t="str">
        <f>HYPERLINK("https://maps.google.com/?q=16.534768,-97.4957165", "🔗 Ver Mapa")</f>
        <v>🔗 Ver Mapa</v>
      </c>
    </row>
    <row r="12880" spans="1:12" ht="43.5" x14ac:dyDescent="0.35">
      <c r="A12880" s="6" t="s">
        <v>98</v>
      </c>
      <c r="B12880" s="6" t="s">
        <v>99</v>
      </c>
      <c r="C12880" s="6" t="s">
        <v>2589</v>
      </c>
      <c r="D12880" s="6" t="s">
        <v>14</v>
      </c>
      <c r="E12880" s="6" t="s">
        <v>39</v>
      </c>
      <c r="F12880" s="6" t="s">
        <v>494</v>
      </c>
      <c r="G12880" s="6" t="s">
        <v>664</v>
      </c>
      <c r="H12880" s="6" t="s">
        <v>2590</v>
      </c>
      <c r="I12880" s="6" t="s">
        <v>31</v>
      </c>
      <c r="J12880" s="6">
        <v>16.534866099999999</v>
      </c>
      <c r="K12880" s="6">
        <v>-97.495955300000006</v>
      </c>
      <c r="L12880" s="6" t="str">
        <f>HYPERLINK("https://maps.google.com/?q=16.5348661,-97.495955300000006", "🔗 Ver Mapa")</f>
        <v>🔗 Ver Mapa</v>
      </c>
    </row>
    <row r="12881" spans="1:12" ht="43.5" x14ac:dyDescent="0.35">
      <c r="A12881" s="5" t="s">
        <v>98</v>
      </c>
      <c r="B12881" s="5" t="s">
        <v>99</v>
      </c>
      <c r="C12881" s="5" t="s">
        <v>2591</v>
      </c>
      <c r="D12881" s="5" t="s">
        <v>14</v>
      </c>
      <c r="E12881" s="5" t="s">
        <v>39</v>
      </c>
      <c r="F12881" s="5" t="s">
        <v>494</v>
      </c>
      <c r="G12881" s="5" t="s">
        <v>664</v>
      </c>
      <c r="H12881" s="5" t="s">
        <v>2592</v>
      </c>
      <c r="I12881" s="5" t="s">
        <v>31</v>
      </c>
      <c r="J12881" s="5">
        <v>16.511865</v>
      </c>
      <c r="K12881" s="5">
        <v>-97.467629000000002</v>
      </c>
      <c r="L12881" s="5" t="str">
        <f>HYPERLINK("https://maps.google.com/?q=16.511865,-97.467629000000002", "🔗 Ver Mapa")</f>
        <v>🔗 Ver Mapa</v>
      </c>
    </row>
    <row r="12882" spans="1:12" ht="43.5" x14ac:dyDescent="0.35">
      <c r="A12882" s="6" t="s">
        <v>98</v>
      </c>
      <c r="B12882" s="6" t="s">
        <v>99</v>
      </c>
      <c r="C12882" s="6" t="s">
        <v>2591</v>
      </c>
      <c r="D12882" s="6" t="s">
        <v>14</v>
      </c>
      <c r="E12882" s="6" t="s">
        <v>39</v>
      </c>
      <c r="F12882" s="6" t="s">
        <v>494</v>
      </c>
      <c r="G12882" s="6" t="s">
        <v>664</v>
      </c>
      <c r="H12882" s="6" t="s">
        <v>2592</v>
      </c>
      <c r="I12882" s="6" t="s">
        <v>31</v>
      </c>
      <c r="J12882" s="6">
        <v>16.513874000000001</v>
      </c>
      <c r="K12882" s="6">
        <v>-97.465052</v>
      </c>
      <c r="L12882" s="6" t="str">
        <f>HYPERLINK("https://maps.google.com/?q=16.513874,-97.465052", "🔗 Ver Mapa")</f>
        <v>🔗 Ver Mapa</v>
      </c>
    </row>
    <row r="12883" spans="1:12" ht="43.5" x14ac:dyDescent="0.35">
      <c r="A12883" s="5" t="s">
        <v>98</v>
      </c>
      <c r="B12883" s="5" t="s">
        <v>99</v>
      </c>
      <c r="C12883" s="5" t="s">
        <v>2591</v>
      </c>
      <c r="D12883" s="5" t="s">
        <v>14</v>
      </c>
      <c r="E12883" s="5" t="s">
        <v>39</v>
      </c>
      <c r="F12883" s="5" t="s">
        <v>494</v>
      </c>
      <c r="G12883" s="5" t="s">
        <v>664</v>
      </c>
      <c r="H12883" s="5" t="s">
        <v>2592</v>
      </c>
      <c r="I12883" s="5" t="s">
        <v>31</v>
      </c>
      <c r="J12883" s="5">
        <v>16.515756</v>
      </c>
      <c r="K12883" s="5">
        <v>-97.470297000000002</v>
      </c>
      <c r="L12883" s="5" t="str">
        <f>HYPERLINK("https://maps.google.com/?q=16.515756,-97.470297000000002", "🔗 Ver Mapa")</f>
        <v>🔗 Ver Mapa</v>
      </c>
    </row>
    <row r="12884" spans="1:12" ht="43.5" x14ac:dyDescent="0.35">
      <c r="A12884" s="6" t="s">
        <v>98</v>
      </c>
      <c r="B12884" s="6" t="s">
        <v>99</v>
      </c>
      <c r="C12884" s="6" t="s">
        <v>2591</v>
      </c>
      <c r="D12884" s="6" t="s">
        <v>14</v>
      </c>
      <c r="E12884" s="6" t="s">
        <v>39</v>
      </c>
      <c r="F12884" s="6" t="s">
        <v>494</v>
      </c>
      <c r="G12884" s="6" t="s">
        <v>664</v>
      </c>
      <c r="H12884" s="6" t="s">
        <v>2592</v>
      </c>
      <c r="I12884" s="6" t="s">
        <v>31</v>
      </c>
      <c r="J12884" s="6">
        <v>16.516003000000001</v>
      </c>
      <c r="K12884" s="6">
        <v>-97.470766999999995</v>
      </c>
      <c r="L12884" s="6" t="str">
        <f>HYPERLINK("https://maps.google.com/?q=16.516003,-97.470766999999995", "🔗 Ver Mapa")</f>
        <v>🔗 Ver Mapa</v>
      </c>
    </row>
    <row r="12885" spans="1:12" ht="43.5" x14ac:dyDescent="0.35">
      <c r="A12885" s="5" t="s">
        <v>98</v>
      </c>
      <c r="B12885" s="5" t="s">
        <v>99</v>
      </c>
      <c r="C12885" s="5" t="s">
        <v>2593</v>
      </c>
      <c r="D12885" s="5" t="s">
        <v>14</v>
      </c>
      <c r="E12885" s="5" t="s">
        <v>39</v>
      </c>
      <c r="F12885" s="5" t="s">
        <v>494</v>
      </c>
      <c r="G12885" s="5" t="s">
        <v>664</v>
      </c>
      <c r="H12885" s="5" t="s">
        <v>2594</v>
      </c>
      <c r="I12885" s="5" t="s">
        <v>31</v>
      </c>
      <c r="J12885" s="5">
        <v>16.517151999999999</v>
      </c>
      <c r="K12885" s="5">
        <v>-97.466988999999998</v>
      </c>
      <c r="L12885" s="5" t="str">
        <f>HYPERLINK("https://maps.google.com/?q=16.517152,-97.466988999999998", "🔗 Ver Mapa")</f>
        <v>🔗 Ver Mapa</v>
      </c>
    </row>
    <row r="12886" spans="1:12" ht="43.5" x14ac:dyDescent="0.35">
      <c r="A12886" s="6" t="s">
        <v>98</v>
      </c>
      <c r="B12886" s="6" t="s">
        <v>99</v>
      </c>
      <c r="C12886" s="6" t="s">
        <v>2593</v>
      </c>
      <c r="D12886" s="6" t="s">
        <v>14</v>
      </c>
      <c r="E12886" s="6" t="s">
        <v>39</v>
      </c>
      <c r="F12886" s="6" t="s">
        <v>494</v>
      </c>
      <c r="G12886" s="6" t="s">
        <v>664</v>
      </c>
      <c r="H12886" s="6" t="s">
        <v>2594</v>
      </c>
      <c r="I12886" s="6" t="s">
        <v>31</v>
      </c>
      <c r="J12886" s="6">
        <v>16.518170324507</v>
      </c>
      <c r="K12886" s="6">
        <v>-97.467168708003996</v>
      </c>
      <c r="L12886" s="6" t="str">
        <f>HYPERLINK("https://maps.google.com/?q=16.5181703245066,-97.4671687080041", "🔗 Ver Mapa")</f>
        <v>🔗 Ver Mapa</v>
      </c>
    </row>
    <row r="12887" spans="1:12" ht="43.5" x14ac:dyDescent="0.35">
      <c r="A12887" s="5" t="s">
        <v>98</v>
      </c>
      <c r="B12887" s="5" t="s">
        <v>99</v>
      </c>
      <c r="C12887" s="5" t="s">
        <v>2593</v>
      </c>
      <c r="D12887" s="5" t="s">
        <v>14</v>
      </c>
      <c r="E12887" s="5" t="s">
        <v>39</v>
      </c>
      <c r="F12887" s="5" t="s">
        <v>494</v>
      </c>
      <c r="G12887" s="5" t="s">
        <v>664</v>
      </c>
      <c r="H12887" s="5" t="s">
        <v>2594</v>
      </c>
      <c r="I12887" s="5" t="s">
        <v>31</v>
      </c>
      <c r="J12887" s="5">
        <v>16.523206999999999</v>
      </c>
      <c r="K12887" s="5">
        <v>-97.463838999999993</v>
      </c>
      <c r="L12887" s="5" t="str">
        <f>HYPERLINK("https://maps.google.com/?q=16.523207,-97.463838999999993", "🔗 Ver Mapa")</f>
        <v>🔗 Ver Mapa</v>
      </c>
    </row>
    <row r="12888" spans="1:12" ht="43.5" x14ac:dyDescent="0.35">
      <c r="A12888" s="6" t="s">
        <v>98</v>
      </c>
      <c r="B12888" s="6" t="s">
        <v>99</v>
      </c>
      <c r="C12888" s="6" t="s">
        <v>2593</v>
      </c>
      <c r="D12888" s="6" t="s">
        <v>14</v>
      </c>
      <c r="E12888" s="6" t="s">
        <v>39</v>
      </c>
      <c r="F12888" s="6" t="s">
        <v>494</v>
      </c>
      <c r="G12888" s="6" t="s">
        <v>664</v>
      </c>
      <c r="H12888" s="6" t="s">
        <v>2594</v>
      </c>
      <c r="I12888" s="6" t="s">
        <v>31</v>
      </c>
      <c r="J12888" s="6">
        <v>16.523814999999999</v>
      </c>
      <c r="K12888" s="6">
        <v>-97.467652000000001</v>
      </c>
      <c r="L12888" s="6" t="str">
        <f>HYPERLINK("https://maps.google.com/?q=16.523815,-97.467652000000001", "🔗 Ver Mapa")</f>
        <v>🔗 Ver Mapa</v>
      </c>
    </row>
    <row r="12889" spans="1:12" ht="43.5" x14ac:dyDescent="0.35">
      <c r="A12889" s="5" t="s">
        <v>98</v>
      </c>
      <c r="B12889" s="5" t="s">
        <v>99</v>
      </c>
      <c r="C12889" s="5" t="s">
        <v>2595</v>
      </c>
      <c r="D12889" s="5" t="s">
        <v>14</v>
      </c>
      <c r="E12889" s="5" t="s">
        <v>39</v>
      </c>
      <c r="F12889" s="5" t="s">
        <v>494</v>
      </c>
      <c r="G12889" s="5" t="s">
        <v>664</v>
      </c>
      <c r="H12889" s="5" t="s">
        <v>2596</v>
      </c>
      <c r="I12889" s="5" t="s">
        <v>31</v>
      </c>
      <c r="J12889" s="5">
        <v>16.532508</v>
      </c>
      <c r="K12889" s="5">
        <v>-97.443521000000004</v>
      </c>
      <c r="L12889" s="5" t="str">
        <f>HYPERLINK("https://maps.google.com/?q=16.532508,-97.443521000000004", "🔗 Ver Mapa")</f>
        <v>🔗 Ver Mapa</v>
      </c>
    </row>
    <row r="12890" spans="1:12" ht="43.5" x14ac:dyDescent="0.35">
      <c r="A12890" s="6" t="s">
        <v>98</v>
      </c>
      <c r="B12890" s="6" t="s">
        <v>99</v>
      </c>
      <c r="C12890" s="6" t="s">
        <v>2595</v>
      </c>
      <c r="D12890" s="6" t="s">
        <v>14</v>
      </c>
      <c r="E12890" s="6" t="s">
        <v>39</v>
      </c>
      <c r="F12890" s="6" t="s">
        <v>494</v>
      </c>
      <c r="G12890" s="6" t="s">
        <v>664</v>
      </c>
      <c r="H12890" s="6" t="s">
        <v>2596</v>
      </c>
      <c r="I12890" s="6" t="s">
        <v>31</v>
      </c>
      <c r="J12890" s="6">
        <v>16.532858999999998</v>
      </c>
      <c r="K12890" s="6">
        <v>-97.444291000000007</v>
      </c>
      <c r="L12890" s="6" t="str">
        <f>HYPERLINK("https://maps.google.com/?q=16.532859,-97.444291000000007", "🔗 Ver Mapa")</f>
        <v>🔗 Ver Mapa</v>
      </c>
    </row>
    <row r="12891" spans="1:12" ht="43.5" x14ac:dyDescent="0.35">
      <c r="A12891" s="5" t="s">
        <v>98</v>
      </c>
      <c r="B12891" s="5" t="s">
        <v>99</v>
      </c>
      <c r="C12891" s="5" t="s">
        <v>2595</v>
      </c>
      <c r="D12891" s="5" t="s">
        <v>14</v>
      </c>
      <c r="E12891" s="5" t="s">
        <v>39</v>
      </c>
      <c r="F12891" s="5" t="s">
        <v>494</v>
      </c>
      <c r="G12891" s="5" t="s">
        <v>664</v>
      </c>
      <c r="H12891" s="5" t="s">
        <v>2596</v>
      </c>
      <c r="I12891" s="5" t="s">
        <v>31</v>
      </c>
      <c r="J12891" s="5">
        <v>16.533213</v>
      </c>
      <c r="K12891" s="5">
        <v>-97.443477000000001</v>
      </c>
      <c r="L12891" s="5" t="str">
        <f>HYPERLINK("https://maps.google.com/?q=16.533213,-97.443477000000001", "🔗 Ver Mapa")</f>
        <v>🔗 Ver Mapa</v>
      </c>
    </row>
    <row r="12892" spans="1:12" ht="43.5" x14ac:dyDescent="0.35">
      <c r="A12892" s="6" t="s">
        <v>98</v>
      </c>
      <c r="B12892" s="6" t="s">
        <v>99</v>
      </c>
      <c r="C12892" s="6" t="s">
        <v>2595</v>
      </c>
      <c r="D12892" s="6" t="s">
        <v>14</v>
      </c>
      <c r="E12892" s="6" t="s">
        <v>39</v>
      </c>
      <c r="F12892" s="6" t="s">
        <v>494</v>
      </c>
      <c r="G12892" s="6" t="s">
        <v>664</v>
      </c>
      <c r="H12892" s="6" t="s">
        <v>2596</v>
      </c>
      <c r="I12892" s="6" t="s">
        <v>31</v>
      </c>
      <c r="J12892" s="6">
        <v>16.533314000000001</v>
      </c>
      <c r="K12892" s="6">
        <v>-97.441702000000006</v>
      </c>
      <c r="L12892" s="6" t="str">
        <f>HYPERLINK("https://maps.google.com/?q=16.533314,-97.441702000000006", "🔗 Ver Mapa")</f>
        <v>🔗 Ver Mapa</v>
      </c>
    </row>
    <row r="12893" spans="1:12" ht="43.5" x14ac:dyDescent="0.35">
      <c r="A12893" s="5" t="s">
        <v>98</v>
      </c>
      <c r="B12893" s="5" t="s">
        <v>99</v>
      </c>
      <c r="C12893" s="5" t="s">
        <v>2595</v>
      </c>
      <c r="D12893" s="5" t="s">
        <v>14</v>
      </c>
      <c r="E12893" s="5" t="s">
        <v>39</v>
      </c>
      <c r="F12893" s="5" t="s">
        <v>494</v>
      </c>
      <c r="G12893" s="5" t="s">
        <v>664</v>
      </c>
      <c r="H12893" s="5" t="s">
        <v>2596</v>
      </c>
      <c r="I12893" s="5" t="s">
        <v>31</v>
      </c>
      <c r="J12893" s="5">
        <v>16.537509</v>
      </c>
      <c r="K12893" s="5">
        <v>-97.440849</v>
      </c>
      <c r="L12893" s="5" t="str">
        <f>HYPERLINK("https://maps.google.com/?q=16.537509,-97.440849", "🔗 Ver Mapa")</f>
        <v>🔗 Ver Mapa</v>
      </c>
    </row>
    <row r="12894" spans="1:12" ht="43.5" x14ac:dyDescent="0.35">
      <c r="A12894" s="6" t="s">
        <v>98</v>
      </c>
      <c r="B12894" s="6" t="s">
        <v>99</v>
      </c>
      <c r="C12894" s="6" t="s">
        <v>2597</v>
      </c>
      <c r="D12894" s="6" t="s">
        <v>14</v>
      </c>
      <c r="E12894" s="6" t="s">
        <v>39</v>
      </c>
      <c r="F12894" s="6" t="s">
        <v>494</v>
      </c>
      <c r="G12894" s="6" t="s">
        <v>664</v>
      </c>
      <c r="H12894" s="6" t="s">
        <v>2598</v>
      </c>
      <c r="I12894" s="6" t="s">
        <v>31</v>
      </c>
      <c r="J12894" s="6">
        <v>16.504639000000001</v>
      </c>
      <c r="K12894" s="6">
        <v>-97.513403999999994</v>
      </c>
      <c r="L12894" s="6" t="str">
        <f>HYPERLINK("https://maps.google.com/?q=16.504639,-97.513403999999994", "🔗 Ver Mapa")</f>
        <v>🔗 Ver Mapa</v>
      </c>
    </row>
    <row r="12895" spans="1:12" ht="43.5" x14ac:dyDescent="0.35">
      <c r="A12895" s="5" t="s">
        <v>98</v>
      </c>
      <c r="B12895" s="5" t="s">
        <v>99</v>
      </c>
      <c r="C12895" s="5" t="s">
        <v>2597</v>
      </c>
      <c r="D12895" s="5" t="s">
        <v>14</v>
      </c>
      <c r="E12895" s="5" t="s">
        <v>39</v>
      </c>
      <c r="F12895" s="5" t="s">
        <v>494</v>
      </c>
      <c r="G12895" s="5" t="s">
        <v>664</v>
      </c>
      <c r="H12895" s="5" t="s">
        <v>2598</v>
      </c>
      <c r="I12895" s="5" t="s">
        <v>31</v>
      </c>
      <c r="J12895" s="5">
        <v>16.504875999999999</v>
      </c>
      <c r="K12895" s="5">
        <v>-97.510748000000007</v>
      </c>
      <c r="L12895" s="5" t="str">
        <f>HYPERLINK("https://maps.google.com/?q=16.504876,-97.510748000000007", "🔗 Ver Mapa")</f>
        <v>🔗 Ver Mapa</v>
      </c>
    </row>
    <row r="12896" spans="1:12" ht="43.5" x14ac:dyDescent="0.35">
      <c r="A12896" s="6" t="s">
        <v>98</v>
      </c>
      <c r="B12896" s="6" t="s">
        <v>99</v>
      </c>
      <c r="C12896" s="6" t="s">
        <v>2597</v>
      </c>
      <c r="D12896" s="6" t="s">
        <v>14</v>
      </c>
      <c r="E12896" s="6" t="s">
        <v>39</v>
      </c>
      <c r="F12896" s="6" t="s">
        <v>494</v>
      </c>
      <c r="G12896" s="6" t="s">
        <v>664</v>
      </c>
      <c r="H12896" s="6" t="s">
        <v>2598</v>
      </c>
      <c r="I12896" s="6" t="s">
        <v>31</v>
      </c>
      <c r="J12896" s="6">
        <v>16.505105</v>
      </c>
      <c r="K12896" s="6">
        <v>-97.513056000000006</v>
      </c>
      <c r="L12896" s="6" t="str">
        <f>HYPERLINK("https://maps.google.com/?q=16.505105,-97.513056000000006", "🔗 Ver Mapa")</f>
        <v>🔗 Ver Mapa</v>
      </c>
    </row>
    <row r="12897" spans="1:12" ht="43.5" x14ac:dyDescent="0.35">
      <c r="A12897" s="5" t="s">
        <v>98</v>
      </c>
      <c r="B12897" s="5" t="s">
        <v>99</v>
      </c>
      <c r="C12897" s="5" t="s">
        <v>2597</v>
      </c>
      <c r="D12897" s="5" t="s">
        <v>14</v>
      </c>
      <c r="E12897" s="5" t="s">
        <v>39</v>
      </c>
      <c r="F12897" s="5" t="s">
        <v>494</v>
      </c>
      <c r="G12897" s="5" t="s">
        <v>664</v>
      </c>
      <c r="H12897" s="5" t="s">
        <v>2598</v>
      </c>
      <c r="I12897" s="5" t="s">
        <v>31</v>
      </c>
      <c r="J12897" s="5">
        <v>16.505292000000001</v>
      </c>
      <c r="K12897" s="5">
        <v>-97.511588000000003</v>
      </c>
      <c r="L12897" s="5" t="str">
        <f>HYPERLINK("https://maps.google.com/?q=16.505292,-97.511588000000003", "🔗 Ver Mapa")</f>
        <v>🔗 Ver Mapa</v>
      </c>
    </row>
    <row r="12898" spans="1:12" ht="43.5" x14ac:dyDescent="0.35">
      <c r="A12898" s="6" t="s">
        <v>98</v>
      </c>
      <c r="B12898" s="6" t="s">
        <v>99</v>
      </c>
      <c r="C12898" s="6" t="s">
        <v>2597</v>
      </c>
      <c r="D12898" s="6" t="s">
        <v>14</v>
      </c>
      <c r="E12898" s="6" t="s">
        <v>39</v>
      </c>
      <c r="F12898" s="6" t="s">
        <v>494</v>
      </c>
      <c r="G12898" s="6" t="s">
        <v>664</v>
      </c>
      <c r="H12898" s="6" t="s">
        <v>2598</v>
      </c>
      <c r="I12898" s="6" t="s">
        <v>31</v>
      </c>
      <c r="J12898" s="6">
        <v>16.505676999999999</v>
      </c>
      <c r="K12898" s="6">
        <v>-97.509546</v>
      </c>
      <c r="L12898" s="6" t="str">
        <f>HYPERLINK("https://maps.google.com/?q=16.505677,-97.509546", "🔗 Ver Mapa")</f>
        <v>🔗 Ver Mapa</v>
      </c>
    </row>
    <row r="12899" spans="1:12" ht="43.5" x14ac:dyDescent="0.35">
      <c r="A12899" s="5" t="s">
        <v>98</v>
      </c>
      <c r="B12899" s="5" t="s">
        <v>99</v>
      </c>
      <c r="C12899" s="5" t="s">
        <v>2597</v>
      </c>
      <c r="D12899" s="5" t="s">
        <v>14</v>
      </c>
      <c r="E12899" s="5" t="s">
        <v>39</v>
      </c>
      <c r="F12899" s="5" t="s">
        <v>494</v>
      </c>
      <c r="G12899" s="5" t="s">
        <v>664</v>
      </c>
      <c r="H12899" s="5" t="s">
        <v>2598</v>
      </c>
      <c r="I12899" s="5" t="s">
        <v>31</v>
      </c>
      <c r="J12899" s="5">
        <v>16.505998000000002</v>
      </c>
      <c r="K12899" s="5">
        <v>-97.517892000000003</v>
      </c>
      <c r="L12899" s="5" t="str">
        <f>HYPERLINK("https://maps.google.com/?q=16.505998,-97.517892000000003", "🔗 Ver Mapa")</f>
        <v>🔗 Ver Mapa</v>
      </c>
    </row>
    <row r="12900" spans="1:12" ht="43.5" x14ac:dyDescent="0.35">
      <c r="A12900" s="6" t="s">
        <v>98</v>
      </c>
      <c r="B12900" s="6" t="s">
        <v>99</v>
      </c>
      <c r="C12900" s="6" t="s">
        <v>2597</v>
      </c>
      <c r="D12900" s="6" t="s">
        <v>14</v>
      </c>
      <c r="E12900" s="6" t="s">
        <v>39</v>
      </c>
      <c r="F12900" s="6" t="s">
        <v>494</v>
      </c>
      <c r="G12900" s="6" t="s">
        <v>664</v>
      </c>
      <c r="H12900" s="6" t="s">
        <v>2598</v>
      </c>
      <c r="I12900" s="6" t="s">
        <v>31</v>
      </c>
      <c r="J12900" s="6">
        <v>16.508880999999999</v>
      </c>
      <c r="K12900" s="6">
        <v>-97.517188000000004</v>
      </c>
      <c r="L12900" s="6" t="str">
        <f>HYPERLINK("https://maps.google.com/?q=16.508881,-97.517188000000004", "🔗 Ver Mapa")</f>
        <v>🔗 Ver Mapa</v>
      </c>
    </row>
    <row r="12901" spans="1:12" ht="43.5" x14ac:dyDescent="0.35">
      <c r="A12901" s="5" t="s">
        <v>98</v>
      </c>
      <c r="B12901" s="5" t="s">
        <v>99</v>
      </c>
      <c r="C12901" s="5" t="s">
        <v>2597</v>
      </c>
      <c r="D12901" s="5" t="s">
        <v>14</v>
      </c>
      <c r="E12901" s="5" t="s">
        <v>39</v>
      </c>
      <c r="F12901" s="5" t="s">
        <v>494</v>
      </c>
      <c r="G12901" s="5" t="s">
        <v>664</v>
      </c>
      <c r="H12901" s="5" t="s">
        <v>2598</v>
      </c>
      <c r="I12901" s="5" t="s">
        <v>31</v>
      </c>
      <c r="J12901" s="5">
        <v>16.514139</v>
      </c>
      <c r="K12901" s="5">
        <v>-97.514368000000005</v>
      </c>
      <c r="L12901" s="5" t="str">
        <f>HYPERLINK("https://maps.google.com/?q=16.514139,-97.514368000000005", "🔗 Ver Mapa")</f>
        <v>🔗 Ver Mapa</v>
      </c>
    </row>
    <row r="12902" spans="1:12" ht="43.5" x14ac:dyDescent="0.35">
      <c r="A12902" s="6" t="s">
        <v>98</v>
      </c>
      <c r="B12902" s="6" t="s">
        <v>99</v>
      </c>
      <c r="C12902" s="6" t="s">
        <v>2597</v>
      </c>
      <c r="D12902" s="6" t="s">
        <v>14</v>
      </c>
      <c r="E12902" s="6" t="s">
        <v>39</v>
      </c>
      <c r="F12902" s="6" t="s">
        <v>494</v>
      </c>
      <c r="G12902" s="6" t="s">
        <v>664</v>
      </c>
      <c r="H12902" s="6" t="s">
        <v>2598</v>
      </c>
      <c r="I12902" s="6" t="s">
        <v>31</v>
      </c>
      <c r="J12902" s="6">
        <v>16.514731999999999</v>
      </c>
      <c r="K12902" s="6">
        <v>-97.513375999999994</v>
      </c>
      <c r="L12902" s="6" t="str">
        <f>HYPERLINK("https://maps.google.com/?q=16.514732,-97.513375999999994", "🔗 Ver Mapa")</f>
        <v>🔗 Ver Mapa</v>
      </c>
    </row>
    <row r="12903" spans="1:12" ht="43.5" x14ac:dyDescent="0.35">
      <c r="A12903" s="5" t="s">
        <v>98</v>
      </c>
      <c r="B12903" s="5" t="s">
        <v>99</v>
      </c>
      <c r="C12903" s="5" t="s">
        <v>2597</v>
      </c>
      <c r="D12903" s="5" t="s">
        <v>14</v>
      </c>
      <c r="E12903" s="5" t="s">
        <v>39</v>
      </c>
      <c r="F12903" s="5" t="s">
        <v>494</v>
      </c>
      <c r="G12903" s="5" t="s">
        <v>664</v>
      </c>
      <c r="H12903" s="5" t="s">
        <v>2598</v>
      </c>
      <c r="I12903" s="5" t="s">
        <v>31</v>
      </c>
      <c r="J12903" s="5">
        <v>16.514844</v>
      </c>
      <c r="K12903" s="5">
        <v>-97.513582</v>
      </c>
      <c r="L12903" s="5" t="str">
        <f>HYPERLINK("https://maps.google.com/?q=16.514844,-97.513582", "🔗 Ver Mapa")</f>
        <v>🔗 Ver Mapa</v>
      </c>
    </row>
    <row r="12904" spans="1:12" ht="43.5" x14ac:dyDescent="0.35">
      <c r="A12904" s="6" t="s">
        <v>98</v>
      </c>
      <c r="B12904" s="6" t="s">
        <v>99</v>
      </c>
      <c r="C12904" s="6" t="s">
        <v>2599</v>
      </c>
      <c r="D12904" s="6" t="s">
        <v>14</v>
      </c>
      <c r="E12904" s="6" t="s">
        <v>39</v>
      </c>
      <c r="F12904" s="6" t="s">
        <v>494</v>
      </c>
      <c r="G12904" s="6" t="s">
        <v>664</v>
      </c>
      <c r="H12904" s="6" t="s">
        <v>2600</v>
      </c>
      <c r="I12904" s="6" t="s">
        <v>31</v>
      </c>
      <c r="J12904" s="6">
        <v>16.478349300000001</v>
      </c>
      <c r="K12904" s="6">
        <v>-97.477118000000004</v>
      </c>
      <c r="L12904" s="6" t="str">
        <f>HYPERLINK("https://maps.google.com/?q=16.4783493,-97.477118000000004", "🔗 Ver Mapa")</f>
        <v>🔗 Ver Mapa</v>
      </c>
    </row>
    <row r="12905" spans="1:12" ht="43.5" x14ac:dyDescent="0.35">
      <c r="A12905" s="5" t="s">
        <v>98</v>
      </c>
      <c r="B12905" s="5" t="s">
        <v>99</v>
      </c>
      <c r="C12905" s="5" t="s">
        <v>2599</v>
      </c>
      <c r="D12905" s="5" t="s">
        <v>14</v>
      </c>
      <c r="E12905" s="5" t="s">
        <v>39</v>
      </c>
      <c r="F12905" s="5" t="s">
        <v>494</v>
      </c>
      <c r="G12905" s="5" t="s">
        <v>664</v>
      </c>
      <c r="H12905" s="5" t="s">
        <v>2600</v>
      </c>
      <c r="I12905" s="5" t="s">
        <v>31</v>
      </c>
      <c r="J12905" s="5">
        <v>16.478657999999999</v>
      </c>
      <c r="K12905" s="5">
        <v>-97.477245999999994</v>
      </c>
      <c r="L12905" s="5" t="str">
        <f>HYPERLINK("https://maps.google.com/?q=16.478658,-97.477245999999994", "🔗 Ver Mapa")</f>
        <v>🔗 Ver Mapa</v>
      </c>
    </row>
    <row r="12906" spans="1:12" ht="43.5" x14ac:dyDescent="0.35">
      <c r="A12906" s="6" t="s">
        <v>98</v>
      </c>
      <c r="B12906" s="6" t="s">
        <v>99</v>
      </c>
      <c r="C12906" s="6" t="s">
        <v>2599</v>
      </c>
      <c r="D12906" s="6" t="s">
        <v>14</v>
      </c>
      <c r="E12906" s="6" t="s">
        <v>39</v>
      </c>
      <c r="F12906" s="6" t="s">
        <v>494</v>
      </c>
      <c r="G12906" s="6" t="s">
        <v>664</v>
      </c>
      <c r="H12906" s="6" t="s">
        <v>2600</v>
      </c>
      <c r="I12906" s="6" t="s">
        <v>31</v>
      </c>
      <c r="J12906" s="6">
        <v>16.479709</v>
      </c>
      <c r="K12906" s="6">
        <v>-97.477155999999994</v>
      </c>
      <c r="L12906" s="6" t="str">
        <f>HYPERLINK("https://maps.google.com/?q=16.479709,-97.477155999999994", "🔗 Ver Mapa")</f>
        <v>🔗 Ver Mapa</v>
      </c>
    </row>
    <row r="12907" spans="1:12" ht="43.5" x14ac:dyDescent="0.35">
      <c r="A12907" s="5" t="s">
        <v>98</v>
      </c>
      <c r="B12907" s="5" t="s">
        <v>99</v>
      </c>
      <c r="C12907" s="5" t="s">
        <v>2599</v>
      </c>
      <c r="D12907" s="5" t="s">
        <v>14</v>
      </c>
      <c r="E12907" s="5" t="s">
        <v>39</v>
      </c>
      <c r="F12907" s="5" t="s">
        <v>494</v>
      </c>
      <c r="G12907" s="5" t="s">
        <v>664</v>
      </c>
      <c r="H12907" s="5" t="s">
        <v>2600</v>
      </c>
      <c r="I12907" s="5" t="s">
        <v>31</v>
      </c>
      <c r="J12907" s="5">
        <v>16.479775</v>
      </c>
      <c r="K12907" s="5">
        <v>-97.478066999999996</v>
      </c>
      <c r="L12907" s="5" t="str">
        <f>HYPERLINK("https://maps.google.com/?q=16.479775,-97.478066999999996", "🔗 Ver Mapa")</f>
        <v>🔗 Ver Mapa</v>
      </c>
    </row>
    <row r="12908" spans="1:12" ht="43.5" x14ac:dyDescent="0.35">
      <c r="A12908" s="6" t="s">
        <v>98</v>
      </c>
      <c r="B12908" s="6" t="s">
        <v>99</v>
      </c>
      <c r="C12908" s="6" t="s">
        <v>2599</v>
      </c>
      <c r="D12908" s="6" t="s">
        <v>14</v>
      </c>
      <c r="E12908" s="6" t="s">
        <v>39</v>
      </c>
      <c r="F12908" s="6" t="s">
        <v>494</v>
      </c>
      <c r="G12908" s="6" t="s">
        <v>664</v>
      </c>
      <c r="H12908" s="6" t="s">
        <v>2600</v>
      </c>
      <c r="I12908" s="6" t="s">
        <v>31</v>
      </c>
      <c r="J12908" s="6">
        <v>16.479938000000001</v>
      </c>
      <c r="K12908" s="6">
        <v>-97.476296000000005</v>
      </c>
      <c r="L12908" s="6" t="str">
        <f>HYPERLINK("https://maps.google.com/?q=16.479938,-97.476296000000005", "🔗 Ver Mapa")</f>
        <v>🔗 Ver Mapa</v>
      </c>
    </row>
    <row r="12909" spans="1:12" ht="43.5" x14ac:dyDescent="0.35">
      <c r="A12909" s="5" t="s">
        <v>98</v>
      </c>
      <c r="B12909" s="5" t="s">
        <v>99</v>
      </c>
      <c r="C12909" s="5" t="s">
        <v>2599</v>
      </c>
      <c r="D12909" s="5" t="s">
        <v>14</v>
      </c>
      <c r="E12909" s="5" t="s">
        <v>39</v>
      </c>
      <c r="F12909" s="5" t="s">
        <v>494</v>
      </c>
      <c r="G12909" s="5" t="s">
        <v>664</v>
      </c>
      <c r="H12909" s="5" t="s">
        <v>2600</v>
      </c>
      <c r="I12909" s="5" t="s">
        <v>31</v>
      </c>
      <c r="J12909" s="5">
        <v>16.479976000000001</v>
      </c>
      <c r="K12909" s="5">
        <v>-97.479178000000005</v>
      </c>
      <c r="L12909" s="5" t="str">
        <f>HYPERLINK("https://maps.google.com/?q=16.479976,-97.479178000000005", "🔗 Ver Mapa")</f>
        <v>🔗 Ver Mapa</v>
      </c>
    </row>
    <row r="12910" spans="1:12" ht="43.5" x14ac:dyDescent="0.35">
      <c r="A12910" s="6" t="s">
        <v>98</v>
      </c>
      <c r="B12910" s="6" t="s">
        <v>99</v>
      </c>
      <c r="C12910" s="6" t="s">
        <v>2599</v>
      </c>
      <c r="D12910" s="6" t="s">
        <v>14</v>
      </c>
      <c r="E12910" s="6" t="s">
        <v>39</v>
      </c>
      <c r="F12910" s="6" t="s">
        <v>494</v>
      </c>
      <c r="G12910" s="6" t="s">
        <v>664</v>
      </c>
      <c r="H12910" s="6" t="s">
        <v>2600</v>
      </c>
      <c r="I12910" s="6" t="s">
        <v>31</v>
      </c>
      <c r="J12910" s="6">
        <v>16.480084900000001</v>
      </c>
      <c r="K12910" s="6">
        <v>-97.479174</v>
      </c>
      <c r="L12910" s="6" t="str">
        <f>HYPERLINK("https://maps.google.com/?q=16.4800849,-97.479174", "🔗 Ver Mapa")</f>
        <v>🔗 Ver Mapa</v>
      </c>
    </row>
    <row r="12911" spans="1:12" ht="43.5" x14ac:dyDescent="0.35">
      <c r="A12911" s="5" t="s">
        <v>98</v>
      </c>
      <c r="B12911" s="5" t="s">
        <v>99</v>
      </c>
      <c r="C12911" s="5" t="s">
        <v>2599</v>
      </c>
      <c r="D12911" s="5" t="s">
        <v>14</v>
      </c>
      <c r="E12911" s="5" t="s">
        <v>39</v>
      </c>
      <c r="F12911" s="5" t="s">
        <v>494</v>
      </c>
      <c r="G12911" s="5" t="s">
        <v>664</v>
      </c>
      <c r="H12911" s="5" t="s">
        <v>2600</v>
      </c>
      <c r="I12911" s="5" t="s">
        <v>31</v>
      </c>
      <c r="J12911" s="5">
        <v>16.480585999999999</v>
      </c>
      <c r="K12911" s="5">
        <v>-97.478829000000005</v>
      </c>
      <c r="L12911" s="5" t="str">
        <f>HYPERLINK("https://maps.google.com/?q=16.480586,-97.478829000000005", "🔗 Ver Mapa")</f>
        <v>🔗 Ver Mapa</v>
      </c>
    </row>
    <row r="12912" spans="1:12" ht="43.5" x14ac:dyDescent="0.35">
      <c r="A12912" s="6" t="s">
        <v>98</v>
      </c>
      <c r="B12912" s="6" t="s">
        <v>99</v>
      </c>
      <c r="C12912" s="6" t="s">
        <v>2599</v>
      </c>
      <c r="D12912" s="6" t="s">
        <v>14</v>
      </c>
      <c r="E12912" s="6" t="s">
        <v>39</v>
      </c>
      <c r="F12912" s="6" t="s">
        <v>494</v>
      </c>
      <c r="G12912" s="6" t="s">
        <v>664</v>
      </c>
      <c r="H12912" s="6" t="s">
        <v>2600</v>
      </c>
      <c r="I12912" s="6" t="s">
        <v>31</v>
      </c>
      <c r="J12912" s="6">
        <v>16.481495899999999</v>
      </c>
      <c r="K12912" s="6">
        <v>-97.478970000000004</v>
      </c>
      <c r="L12912" s="6" t="str">
        <f>HYPERLINK("https://maps.google.com/?q=16.4814959,-97.478970000000004", "🔗 Ver Mapa")</f>
        <v>🔗 Ver Mapa</v>
      </c>
    </row>
    <row r="12913" spans="1:12" ht="43.5" x14ac:dyDescent="0.35">
      <c r="A12913" s="5" t="s">
        <v>98</v>
      </c>
      <c r="B12913" s="5" t="s">
        <v>99</v>
      </c>
      <c r="C12913" s="5" t="s">
        <v>2599</v>
      </c>
      <c r="D12913" s="5" t="s">
        <v>14</v>
      </c>
      <c r="E12913" s="5" t="s">
        <v>39</v>
      </c>
      <c r="F12913" s="5" t="s">
        <v>494</v>
      </c>
      <c r="G12913" s="5" t="s">
        <v>664</v>
      </c>
      <c r="H12913" s="5" t="s">
        <v>2600</v>
      </c>
      <c r="I12913" s="5" t="s">
        <v>31</v>
      </c>
      <c r="J12913" s="5">
        <v>16.481587600000001</v>
      </c>
      <c r="K12913" s="5">
        <v>-97.476889</v>
      </c>
      <c r="L12913" s="5" t="str">
        <f>HYPERLINK("https://maps.google.com/?q=16.4815876,-97.476889", "🔗 Ver Mapa")</f>
        <v>🔗 Ver Mapa</v>
      </c>
    </row>
    <row r="12914" spans="1:12" ht="43.5" x14ac:dyDescent="0.35">
      <c r="A12914" s="6" t="s">
        <v>98</v>
      </c>
      <c r="B12914" s="6" t="s">
        <v>99</v>
      </c>
      <c r="C12914" s="6" t="s">
        <v>2601</v>
      </c>
      <c r="D12914" s="6" t="s">
        <v>14</v>
      </c>
      <c r="E12914" s="6" t="s">
        <v>39</v>
      </c>
      <c r="F12914" s="6" t="s">
        <v>494</v>
      </c>
      <c r="G12914" s="6" t="s">
        <v>664</v>
      </c>
      <c r="H12914" s="6" t="s">
        <v>2602</v>
      </c>
      <c r="I12914" s="6" t="s">
        <v>31</v>
      </c>
      <c r="J12914" s="6">
        <v>16.527949</v>
      </c>
      <c r="K12914" s="6">
        <v>-97.523032999999998</v>
      </c>
      <c r="L12914" s="6" t="str">
        <f>HYPERLINK("https://maps.google.com/?q=16.527949,-97.523032999999998", "🔗 Ver Mapa")</f>
        <v>🔗 Ver Mapa</v>
      </c>
    </row>
    <row r="12915" spans="1:12" ht="43.5" x14ac:dyDescent="0.35">
      <c r="A12915" s="5" t="s">
        <v>98</v>
      </c>
      <c r="B12915" s="5" t="s">
        <v>99</v>
      </c>
      <c r="C12915" s="5" t="s">
        <v>2601</v>
      </c>
      <c r="D12915" s="5" t="s">
        <v>14</v>
      </c>
      <c r="E12915" s="5" t="s">
        <v>39</v>
      </c>
      <c r="F12915" s="5" t="s">
        <v>494</v>
      </c>
      <c r="G12915" s="5" t="s">
        <v>664</v>
      </c>
      <c r="H12915" s="5" t="s">
        <v>2602</v>
      </c>
      <c r="I12915" s="5" t="s">
        <v>31</v>
      </c>
      <c r="J12915" s="5">
        <v>16.533069000000001</v>
      </c>
      <c r="K12915" s="5">
        <v>-97.522957000000005</v>
      </c>
      <c r="L12915" s="5" t="str">
        <f>HYPERLINK("https://maps.google.com/?q=16.533069,-97.522957000000005", "🔗 Ver Mapa")</f>
        <v>🔗 Ver Mapa</v>
      </c>
    </row>
    <row r="12916" spans="1:12" ht="43.5" x14ac:dyDescent="0.35">
      <c r="A12916" s="6" t="s">
        <v>98</v>
      </c>
      <c r="B12916" s="6" t="s">
        <v>99</v>
      </c>
      <c r="C12916" s="6" t="s">
        <v>2601</v>
      </c>
      <c r="D12916" s="6" t="s">
        <v>14</v>
      </c>
      <c r="E12916" s="6" t="s">
        <v>39</v>
      </c>
      <c r="F12916" s="6" t="s">
        <v>494</v>
      </c>
      <c r="G12916" s="6" t="s">
        <v>664</v>
      </c>
      <c r="H12916" s="6" t="s">
        <v>2602</v>
      </c>
      <c r="I12916" s="6" t="s">
        <v>31</v>
      </c>
      <c r="J12916" s="6">
        <v>16.533702000000002</v>
      </c>
      <c r="K12916" s="6">
        <v>-97.524304999999998</v>
      </c>
      <c r="L12916" s="6" t="str">
        <f>HYPERLINK("https://maps.google.com/?q=16.533702,-97.524304999999998", "🔗 Ver Mapa")</f>
        <v>🔗 Ver Mapa</v>
      </c>
    </row>
    <row r="12917" spans="1:12" ht="43.5" x14ac:dyDescent="0.35">
      <c r="A12917" s="5" t="s">
        <v>98</v>
      </c>
      <c r="B12917" s="5" t="s">
        <v>99</v>
      </c>
      <c r="C12917" s="5" t="s">
        <v>2601</v>
      </c>
      <c r="D12917" s="5" t="s">
        <v>14</v>
      </c>
      <c r="E12917" s="5" t="s">
        <v>39</v>
      </c>
      <c r="F12917" s="5" t="s">
        <v>494</v>
      </c>
      <c r="G12917" s="5" t="s">
        <v>664</v>
      </c>
      <c r="H12917" s="5" t="s">
        <v>2602</v>
      </c>
      <c r="I12917" s="5" t="s">
        <v>31</v>
      </c>
      <c r="J12917" s="5">
        <v>16.534504999999999</v>
      </c>
      <c r="K12917" s="5">
        <v>-97.525998000000001</v>
      </c>
      <c r="L12917" s="5" t="str">
        <f>HYPERLINK("https://maps.google.com/?q=16.534505,-97.525998000000001", "🔗 Ver Mapa")</f>
        <v>🔗 Ver Mapa</v>
      </c>
    </row>
    <row r="12918" spans="1:12" ht="43.5" x14ac:dyDescent="0.35">
      <c r="A12918" s="6" t="s">
        <v>98</v>
      </c>
      <c r="B12918" s="6" t="s">
        <v>99</v>
      </c>
      <c r="C12918" s="6" t="s">
        <v>2601</v>
      </c>
      <c r="D12918" s="6" t="s">
        <v>14</v>
      </c>
      <c r="E12918" s="6" t="s">
        <v>39</v>
      </c>
      <c r="F12918" s="6" t="s">
        <v>494</v>
      </c>
      <c r="G12918" s="6" t="s">
        <v>664</v>
      </c>
      <c r="H12918" s="6" t="s">
        <v>2602</v>
      </c>
      <c r="I12918" s="6" t="s">
        <v>31</v>
      </c>
      <c r="J12918" s="6">
        <v>16.536342999999999</v>
      </c>
      <c r="K12918" s="6">
        <v>-97.526381999999998</v>
      </c>
      <c r="L12918" s="6" t="str">
        <f>HYPERLINK("https://maps.google.com/?q=16.536343,-97.526381999999998", "🔗 Ver Mapa")</f>
        <v>🔗 Ver Mapa</v>
      </c>
    </row>
    <row r="12919" spans="1:12" ht="43.5" x14ac:dyDescent="0.35">
      <c r="A12919" s="5" t="s">
        <v>98</v>
      </c>
      <c r="B12919" s="5" t="s">
        <v>99</v>
      </c>
      <c r="C12919" s="5" t="s">
        <v>2601</v>
      </c>
      <c r="D12919" s="5" t="s">
        <v>14</v>
      </c>
      <c r="E12919" s="5" t="s">
        <v>39</v>
      </c>
      <c r="F12919" s="5" t="s">
        <v>494</v>
      </c>
      <c r="G12919" s="5" t="s">
        <v>664</v>
      </c>
      <c r="H12919" s="5" t="s">
        <v>2602</v>
      </c>
      <c r="I12919" s="5" t="s">
        <v>31</v>
      </c>
      <c r="J12919" s="5">
        <v>16.536756</v>
      </c>
      <c r="K12919" s="5">
        <v>-97.526212000000001</v>
      </c>
      <c r="L12919" s="5" t="str">
        <f>HYPERLINK("https://maps.google.com/?q=16.536756,-97.526212000000001", "🔗 Ver Mapa")</f>
        <v>🔗 Ver Mapa</v>
      </c>
    </row>
    <row r="12920" spans="1:12" ht="43.5" x14ac:dyDescent="0.35">
      <c r="A12920" s="6" t="s">
        <v>98</v>
      </c>
      <c r="B12920" s="6" t="s">
        <v>99</v>
      </c>
      <c r="C12920" s="6" t="s">
        <v>2601</v>
      </c>
      <c r="D12920" s="6" t="s">
        <v>14</v>
      </c>
      <c r="E12920" s="6" t="s">
        <v>39</v>
      </c>
      <c r="F12920" s="6" t="s">
        <v>494</v>
      </c>
      <c r="G12920" s="6" t="s">
        <v>664</v>
      </c>
      <c r="H12920" s="6" t="s">
        <v>2602</v>
      </c>
      <c r="I12920" s="6" t="s">
        <v>31</v>
      </c>
      <c r="J12920" s="6">
        <v>16.536888000000001</v>
      </c>
      <c r="K12920" s="6">
        <v>-97.526353</v>
      </c>
      <c r="L12920" s="6" t="str">
        <f>HYPERLINK("https://maps.google.com/?q=16.536888,-97.526353", "🔗 Ver Mapa")</f>
        <v>🔗 Ver Mapa</v>
      </c>
    </row>
    <row r="12921" spans="1:12" ht="43.5" x14ac:dyDescent="0.35">
      <c r="A12921" s="5" t="s">
        <v>98</v>
      </c>
      <c r="B12921" s="5" t="s">
        <v>99</v>
      </c>
      <c r="C12921" s="5" t="s">
        <v>2601</v>
      </c>
      <c r="D12921" s="5" t="s">
        <v>14</v>
      </c>
      <c r="E12921" s="5" t="s">
        <v>39</v>
      </c>
      <c r="F12921" s="5" t="s">
        <v>494</v>
      </c>
      <c r="G12921" s="5" t="s">
        <v>664</v>
      </c>
      <c r="H12921" s="5" t="s">
        <v>2602</v>
      </c>
      <c r="I12921" s="5" t="s">
        <v>31</v>
      </c>
      <c r="J12921" s="5">
        <v>16.537510999999999</v>
      </c>
      <c r="K12921" s="5">
        <v>-97.530091999999996</v>
      </c>
      <c r="L12921" s="5" t="str">
        <f>HYPERLINK("https://maps.google.com/?q=16.537511,-97.530091999999996", "🔗 Ver Mapa")</f>
        <v>🔗 Ver Mapa</v>
      </c>
    </row>
    <row r="12922" spans="1:12" ht="43.5" x14ac:dyDescent="0.35">
      <c r="A12922" s="6" t="s">
        <v>98</v>
      </c>
      <c r="B12922" s="6" t="s">
        <v>99</v>
      </c>
      <c r="C12922" s="6" t="s">
        <v>2601</v>
      </c>
      <c r="D12922" s="6" t="s">
        <v>14</v>
      </c>
      <c r="E12922" s="6" t="s">
        <v>39</v>
      </c>
      <c r="F12922" s="6" t="s">
        <v>494</v>
      </c>
      <c r="G12922" s="6" t="s">
        <v>664</v>
      </c>
      <c r="H12922" s="6" t="s">
        <v>2602</v>
      </c>
      <c r="I12922" s="6" t="s">
        <v>31</v>
      </c>
      <c r="J12922" s="6">
        <v>16.538328</v>
      </c>
      <c r="K12922" s="6">
        <v>-97.530105000000006</v>
      </c>
      <c r="L12922" s="6" t="str">
        <f>HYPERLINK("https://maps.google.com/?q=16.538328,-97.530105000000006", "🔗 Ver Mapa")</f>
        <v>🔗 Ver Mapa</v>
      </c>
    </row>
    <row r="12923" spans="1:12" ht="43.5" x14ac:dyDescent="0.35">
      <c r="A12923" s="5" t="s">
        <v>98</v>
      </c>
      <c r="B12923" s="5" t="s">
        <v>99</v>
      </c>
      <c r="C12923" s="5" t="s">
        <v>2601</v>
      </c>
      <c r="D12923" s="5" t="s">
        <v>14</v>
      </c>
      <c r="E12923" s="5" t="s">
        <v>39</v>
      </c>
      <c r="F12923" s="5" t="s">
        <v>494</v>
      </c>
      <c r="G12923" s="5" t="s">
        <v>664</v>
      </c>
      <c r="H12923" s="5" t="s">
        <v>2602</v>
      </c>
      <c r="I12923" s="5" t="s">
        <v>31</v>
      </c>
      <c r="J12923" s="5">
        <v>16.538364000000001</v>
      </c>
      <c r="K12923" s="5">
        <v>-97.529981100000001</v>
      </c>
      <c r="L12923" s="5" t="str">
        <f>HYPERLINK("https://maps.google.com/?q=16.538364,-97.529981100000001", "🔗 Ver Mapa")</f>
        <v>🔗 Ver Mapa</v>
      </c>
    </row>
    <row r="12924" spans="1:12" ht="43.5" x14ac:dyDescent="0.35">
      <c r="A12924" s="6" t="s">
        <v>98</v>
      </c>
      <c r="B12924" s="6" t="s">
        <v>99</v>
      </c>
      <c r="C12924" s="6" t="s">
        <v>2601</v>
      </c>
      <c r="D12924" s="6" t="s">
        <v>14</v>
      </c>
      <c r="E12924" s="6" t="s">
        <v>39</v>
      </c>
      <c r="F12924" s="6" t="s">
        <v>494</v>
      </c>
      <c r="G12924" s="6" t="s">
        <v>664</v>
      </c>
      <c r="H12924" s="6" t="s">
        <v>2602</v>
      </c>
      <c r="I12924" s="6" t="s">
        <v>31</v>
      </c>
      <c r="J12924" s="6">
        <v>16.538727000000002</v>
      </c>
      <c r="K12924" s="6">
        <v>-97.529561999999999</v>
      </c>
      <c r="L12924" s="6" t="str">
        <f>HYPERLINK("https://maps.google.com/?q=16.538727,-97.529561999999999", "🔗 Ver Mapa")</f>
        <v>🔗 Ver Mapa</v>
      </c>
    </row>
    <row r="12925" spans="1:12" ht="43.5" x14ac:dyDescent="0.35">
      <c r="A12925" s="5" t="s">
        <v>98</v>
      </c>
      <c r="B12925" s="5" t="s">
        <v>99</v>
      </c>
      <c r="C12925" s="5" t="s">
        <v>2603</v>
      </c>
      <c r="D12925" s="5" t="s">
        <v>14</v>
      </c>
      <c r="E12925" s="5" t="s">
        <v>39</v>
      </c>
      <c r="F12925" s="5" t="s">
        <v>494</v>
      </c>
      <c r="G12925" s="5" t="s">
        <v>664</v>
      </c>
      <c r="H12925" s="5" t="s">
        <v>2604</v>
      </c>
      <c r="I12925" s="5" t="s">
        <v>31</v>
      </c>
      <c r="J12925" s="5">
        <v>16.556431</v>
      </c>
      <c r="K12925" s="5">
        <v>-97.409811899999994</v>
      </c>
      <c r="L12925" s="5" t="str">
        <f>HYPERLINK("https://maps.google.com/?q=16.556431,-97.409811899999994", "🔗 Ver Mapa")</f>
        <v>🔗 Ver Mapa</v>
      </c>
    </row>
    <row r="12926" spans="1:12" ht="43.5" x14ac:dyDescent="0.35">
      <c r="A12926" s="6" t="s">
        <v>98</v>
      </c>
      <c r="B12926" s="6" t="s">
        <v>99</v>
      </c>
      <c r="C12926" s="6" t="s">
        <v>2603</v>
      </c>
      <c r="D12926" s="6" t="s">
        <v>14</v>
      </c>
      <c r="E12926" s="6" t="s">
        <v>39</v>
      </c>
      <c r="F12926" s="6" t="s">
        <v>494</v>
      </c>
      <c r="G12926" s="6" t="s">
        <v>664</v>
      </c>
      <c r="H12926" s="6" t="s">
        <v>2604</v>
      </c>
      <c r="I12926" s="6" t="s">
        <v>31</v>
      </c>
      <c r="J12926" s="6">
        <v>16.556781999999998</v>
      </c>
      <c r="K12926" s="6">
        <v>-97.409972999999994</v>
      </c>
      <c r="L12926" s="6" t="str">
        <f>HYPERLINK("https://maps.google.com/?q=16.556782,-97.409972999999994", "🔗 Ver Mapa")</f>
        <v>🔗 Ver Mapa</v>
      </c>
    </row>
    <row r="12927" spans="1:12" ht="43.5" x14ac:dyDescent="0.35">
      <c r="A12927" s="5" t="s">
        <v>98</v>
      </c>
      <c r="B12927" s="5" t="s">
        <v>99</v>
      </c>
      <c r="C12927" s="5" t="s">
        <v>2603</v>
      </c>
      <c r="D12927" s="5" t="s">
        <v>14</v>
      </c>
      <c r="E12927" s="5" t="s">
        <v>39</v>
      </c>
      <c r="F12927" s="5" t="s">
        <v>494</v>
      </c>
      <c r="G12927" s="5" t="s">
        <v>664</v>
      </c>
      <c r="H12927" s="5" t="s">
        <v>2604</v>
      </c>
      <c r="I12927" s="5" t="s">
        <v>31</v>
      </c>
      <c r="J12927" s="5">
        <v>16.557514999999999</v>
      </c>
      <c r="K12927" s="5">
        <v>-97.410329000000004</v>
      </c>
      <c r="L12927" s="5" t="str">
        <f>HYPERLINK("https://maps.google.com/?q=16.557515,-97.410329000000004", "🔗 Ver Mapa")</f>
        <v>🔗 Ver Mapa</v>
      </c>
    </row>
    <row r="12928" spans="1:12" ht="43.5" x14ac:dyDescent="0.35">
      <c r="A12928" s="6" t="s">
        <v>98</v>
      </c>
      <c r="B12928" s="6" t="s">
        <v>99</v>
      </c>
      <c r="C12928" s="6" t="s">
        <v>2603</v>
      </c>
      <c r="D12928" s="6" t="s">
        <v>14</v>
      </c>
      <c r="E12928" s="6" t="s">
        <v>39</v>
      </c>
      <c r="F12928" s="6" t="s">
        <v>494</v>
      </c>
      <c r="G12928" s="6" t="s">
        <v>664</v>
      </c>
      <c r="H12928" s="6" t="s">
        <v>2604</v>
      </c>
      <c r="I12928" s="6" t="s">
        <v>31</v>
      </c>
      <c r="J12928" s="6">
        <v>16.557982800000001</v>
      </c>
      <c r="K12928" s="6">
        <v>-97.410569800000005</v>
      </c>
      <c r="L12928" s="6" t="str">
        <f>HYPERLINK("https://maps.google.com/?q=16.5579828,-97.410569800000005", "🔗 Ver Mapa")</f>
        <v>🔗 Ver Mapa</v>
      </c>
    </row>
    <row r="12929" spans="1:12" ht="43.5" x14ac:dyDescent="0.35">
      <c r="A12929" s="5" t="s">
        <v>98</v>
      </c>
      <c r="B12929" s="5" t="s">
        <v>99</v>
      </c>
      <c r="C12929" s="5" t="s">
        <v>2603</v>
      </c>
      <c r="D12929" s="5" t="s">
        <v>14</v>
      </c>
      <c r="E12929" s="5" t="s">
        <v>39</v>
      </c>
      <c r="F12929" s="5" t="s">
        <v>494</v>
      </c>
      <c r="G12929" s="5" t="s">
        <v>664</v>
      </c>
      <c r="H12929" s="5" t="s">
        <v>2604</v>
      </c>
      <c r="I12929" s="5" t="s">
        <v>31</v>
      </c>
      <c r="J12929" s="5">
        <v>16.558164000000001</v>
      </c>
      <c r="K12929" s="5">
        <v>-97.410950999999997</v>
      </c>
      <c r="L12929" s="5" t="str">
        <f>HYPERLINK("https://maps.google.com/?q=16.558164,-97.410950999999997", "🔗 Ver Mapa")</f>
        <v>🔗 Ver Mapa</v>
      </c>
    </row>
    <row r="12930" spans="1:12" ht="43.5" x14ac:dyDescent="0.35">
      <c r="A12930" s="6" t="s">
        <v>98</v>
      </c>
      <c r="B12930" s="6" t="s">
        <v>99</v>
      </c>
      <c r="C12930" s="6" t="s">
        <v>2603</v>
      </c>
      <c r="D12930" s="6" t="s">
        <v>14</v>
      </c>
      <c r="E12930" s="6" t="s">
        <v>39</v>
      </c>
      <c r="F12930" s="6" t="s">
        <v>494</v>
      </c>
      <c r="G12930" s="6" t="s">
        <v>664</v>
      </c>
      <c r="H12930" s="6" t="s">
        <v>2604</v>
      </c>
      <c r="I12930" s="6" t="s">
        <v>31</v>
      </c>
      <c r="J12930" s="6">
        <v>16.558333999999999</v>
      </c>
      <c r="K12930" s="6">
        <v>-97.410910000000001</v>
      </c>
      <c r="L12930" s="6" t="str">
        <f>HYPERLINK("https://maps.google.com/?q=16.558334,-97.410910000000001", "🔗 Ver Mapa")</f>
        <v>🔗 Ver Mapa</v>
      </c>
    </row>
    <row r="12931" spans="1:12" ht="43.5" x14ac:dyDescent="0.35">
      <c r="A12931" s="5" t="s">
        <v>98</v>
      </c>
      <c r="B12931" s="5" t="s">
        <v>99</v>
      </c>
      <c r="C12931" s="5" t="s">
        <v>2603</v>
      </c>
      <c r="D12931" s="5" t="s">
        <v>14</v>
      </c>
      <c r="E12931" s="5" t="s">
        <v>39</v>
      </c>
      <c r="F12931" s="5" t="s">
        <v>494</v>
      </c>
      <c r="G12931" s="5" t="s">
        <v>664</v>
      </c>
      <c r="H12931" s="5" t="s">
        <v>2604</v>
      </c>
      <c r="I12931" s="5" t="s">
        <v>31</v>
      </c>
      <c r="J12931" s="5">
        <v>16.558817999999999</v>
      </c>
      <c r="K12931" s="5">
        <v>-97.410709999999995</v>
      </c>
      <c r="L12931" s="5" t="str">
        <f>HYPERLINK("https://maps.google.com/?q=16.558818,-97.410709999999995", "🔗 Ver Mapa")</f>
        <v>🔗 Ver Mapa</v>
      </c>
    </row>
    <row r="12932" spans="1:12" ht="43.5" x14ac:dyDescent="0.35">
      <c r="A12932" s="6" t="s">
        <v>98</v>
      </c>
      <c r="B12932" s="6" t="s">
        <v>99</v>
      </c>
      <c r="C12932" s="6" t="s">
        <v>2603</v>
      </c>
      <c r="D12932" s="6" t="s">
        <v>14</v>
      </c>
      <c r="E12932" s="6" t="s">
        <v>39</v>
      </c>
      <c r="F12932" s="6" t="s">
        <v>494</v>
      </c>
      <c r="G12932" s="6" t="s">
        <v>664</v>
      </c>
      <c r="H12932" s="6" t="s">
        <v>2604</v>
      </c>
      <c r="I12932" s="6" t="s">
        <v>31</v>
      </c>
      <c r="J12932" s="6">
        <v>16.558972000000001</v>
      </c>
      <c r="K12932" s="6">
        <v>-97.411578000000006</v>
      </c>
      <c r="L12932" s="6" t="str">
        <f>HYPERLINK("https://maps.google.com/?q=16.558972,-97.411578000000006", "🔗 Ver Mapa")</f>
        <v>🔗 Ver Mapa</v>
      </c>
    </row>
    <row r="12933" spans="1:12" ht="43.5" x14ac:dyDescent="0.35">
      <c r="A12933" s="5" t="s">
        <v>98</v>
      </c>
      <c r="B12933" s="5" t="s">
        <v>99</v>
      </c>
      <c r="C12933" s="5" t="s">
        <v>2603</v>
      </c>
      <c r="D12933" s="5" t="s">
        <v>14</v>
      </c>
      <c r="E12933" s="5" t="s">
        <v>39</v>
      </c>
      <c r="F12933" s="5" t="s">
        <v>494</v>
      </c>
      <c r="G12933" s="5" t="s">
        <v>664</v>
      </c>
      <c r="H12933" s="5" t="s">
        <v>2604</v>
      </c>
      <c r="I12933" s="5" t="s">
        <v>31</v>
      </c>
      <c r="J12933" s="5">
        <v>16.558973000000002</v>
      </c>
      <c r="K12933" s="5">
        <v>-97.410850999999994</v>
      </c>
      <c r="L12933" s="5" t="str">
        <f>HYPERLINK("https://maps.google.com/?q=16.558973,-97.410850999999994", "🔗 Ver Mapa")</f>
        <v>🔗 Ver Mapa</v>
      </c>
    </row>
    <row r="12934" spans="1:12" ht="43.5" x14ac:dyDescent="0.35">
      <c r="A12934" s="6" t="s">
        <v>98</v>
      </c>
      <c r="B12934" s="6" t="s">
        <v>99</v>
      </c>
      <c r="C12934" s="6" t="s">
        <v>2603</v>
      </c>
      <c r="D12934" s="6" t="s">
        <v>14</v>
      </c>
      <c r="E12934" s="6" t="s">
        <v>39</v>
      </c>
      <c r="F12934" s="6" t="s">
        <v>494</v>
      </c>
      <c r="G12934" s="6" t="s">
        <v>664</v>
      </c>
      <c r="H12934" s="6" t="s">
        <v>2604</v>
      </c>
      <c r="I12934" s="6" t="s">
        <v>31</v>
      </c>
      <c r="J12934" s="6">
        <v>16.559024000000001</v>
      </c>
      <c r="K12934" s="6">
        <v>-97.409525000000002</v>
      </c>
      <c r="L12934" s="6" t="str">
        <f>HYPERLINK("https://maps.google.com/?q=16.559024,-97.409525000000002", "🔗 Ver Mapa")</f>
        <v>🔗 Ver Mapa</v>
      </c>
    </row>
    <row r="12935" spans="1:12" ht="43.5" x14ac:dyDescent="0.35">
      <c r="A12935" s="5" t="s">
        <v>98</v>
      </c>
      <c r="B12935" s="5" t="s">
        <v>99</v>
      </c>
      <c r="C12935" s="5" t="s">
        <v>2603</v>
      </c>
      <c r="D12935" s="5" t="s">
        <v>14</v>
      </c>
      <c r="E12935" s="5" t="s">
        <v>39</v>
      </c>
      <c r="F12935" s="5" t="s">
        <v>494</v>
      </c>
      <c r="G12935" s="5" t="s">
        <v>664</v>
      </c>
      <c r="H12935" s="5" t="s">
        <v>2604</v>
      </c>
      <c r="I12935" s="5" t="s">
        <v>31</v>
      </c>
      <c r="J12935" s="5">
        <v>16.559656</v>
      </c>
      <c r="K12935" s="5">
        <v>-97.411634000000006</v>
      </c>
      <c r="L12935" s="5" t="str">
        <f>HYPERLINK("https://maps.google.com/?q=16.559656,-97.411634000000006", "🔗 Ver Mapa")</f>
        <v>🔗 Ver Mapa</v>
      </c>
    </row>
    <row r="12936" spans="1:12" ht="43.5" x14ac:dyDescent="0.35">
      <c r="A12936" s="6" t="s">
        <v>98</v>
      </c>
      <c r="B12936" s="6" t="s">
        <v>99</v>
      </c>
      <c r="C12936" s="6" t="s">
        <v>2605</v>
      </c>
      <c r="D12936" s="6" t="s">
        <v>14</v>
      </c>
      <c r="E12936" s="6" t="s">
        <v>39</v>
      </c>
      <c r="F12936" s="6" t="s">
        <v>494</v>
      </c>
      <c r="G12936" s="6" t="s">
        <v>664</v>
      </c>
      <c r="H12936" s="6" t="s">
        <v>2606</v>
      </c>
      <c r="I12936" s="6" t="s">
        <v>31</v>
      </c>
      <c r="J12936" s="6">
        <v>16.538630999999999</v>
      </c>
      <c r="K12936" s="6">
        <v>-97.548610999999994</v>
      </c>
      <c r="L12936" s="6" t="str">
        <f>HYPERLINK("https://maps.google.com/?q=16.538631,-97.548610999999994", "🔗 Ver Mapa")</f>
        <v>🔗 Ver Mapa</v>
      </c>
    </row>
    <row r="12937" spans="1:12" ht="43.5" x14ac:dyDescent="0.35">
      <c r="A12937" s="5" t="s">
        <v>98</v>
      </c>
      <c r="B12937" s="5" t="s">
        <v>99</v>
      </c>
      <c r="C12937" s="5" t="s">
        <v>2605</v>
      </c>
      <c r="D12937" s="5" t="s">
        <v>14</v>
      </c>
      <c r="E12937" s="5" t="s">
        <v>39</v>
      </c>
      <c r="F12937" s="5" t="s">
        <v>494</v>
      </c>
      <c r="G12937" s="5" t="s">
        <v>664</v>
      </c>
      <c r="H12937" s="5" t="s">
        <v>2606</v>
      </c>
      <c r="I12937" s="5" t="s">
        <v>31</v>
      </c>
      <c r="J12937" s="5">
        <v>16.543009000000001</v>
      </c>
      <c r="K12937" s="5">
        <v>-97.547246999999999</v>
      </c>
      <c r="L12937" s="5" t="str">
        <f>HYPERLINK("https://maps.google.com/?q=16.543009,-97.547246999999999", "🔗 Ver Mapa")</f>
        <v>🔗 Ver Mapa</v>
      </c>
    </row>
    <row r="12938" spans="1:12" ht="43.5" x14ac:dyDescent="0.35">
      <c r="A12938" s="6" t="s">
        <v>98</v>
      </c>
      <c r="B12938" s="6" t="s">
        <v>99</v>
      </c>
      <c r="C12938" s="6" t="s">
        <v>2605</v>
      </c>
      <c r="D12938" s="6" t="s">
        <v>14</v>
      </c>
      <c r="E12938" s="6" t="s">
        <v>39</v>
      </c>
      <c r="F12938" s="6" t="s">
        <v>494</v>
      </c>
      <c r="G12938" s="6" t="s">
        <v>664</v>
      </c>
      <c r="H12938" s="6" t="s">
        <v>2606</v>
      </c>
      <c r="I12938" s="6" t="s">
        <v>31</v>
      </c>
      <c r="J12938" s="6">
        <v>16.543506000000001</v>
      </c>
      <c r="K12938" s="6">
        <v>-97.547241</v>
      </c>
      <c r="L12938" s="6" t="str">
        <f>HYPERLINK("https://maps.google.com/?q=16.543506,-97.547241", "🔗 Ver Mapa")</f>
        <v>🔗 Ver Mapa</v>
      </c>
    </row>
    <row r="12939" spans="1:12" ht="43.5" x14ac:dyDescent="0.35">
      <c r="A12939" s="5" t="s">
        <v>98</v>
      </c>
      <c r="B12939" s="5" t="s">
        <v>99</v>
      </c>
      <c r="C12939" s="5" t="s">
        <v>2605</v>
      </c>
      <c r="D12939" s="5" t="s">
        <v>14</v>
      </c>
      <c r="E12939" s="5" t="s">
        <v>39</v>
      </c>
      <c r="F12939" s="5" t="s">
        <v>494</v>
      </c>
      <c r="G12939" s="5" t="s">
        <v>664</v>
      </c>
      <c r="H12939" s="5" t="s">
        <v>2606</v>
      </c>
      <c r="I12939" s="5" t="s">
        <v>31</v>
      </c>
      <c r="J12939" s="5">
        <v>16.543790999999999</v>
      </c>
      <c r="K12939" s="5">
        <v>-97.544517999999997</v>
      </c>
      <c r="L12939" s="5" t="str">
        <f>HYPERLINK("https://maps.google.com/?q=16.543791,-97.544517999999997", "🔗 Ver Mapa")</f>
        <v>🔗 Ver Mapa</v>
      </c>
    </row>
    <row r="12940" spans="1:12" ht="43.5" x14ac:dyDescent="0.35">
      <c r="A12940" s="6" t="s">
        <v>98</v>
      </c>
      <c r="B12940" s="6" t="s">
        <v>99</v>
      </c>
      <c r="C12940" s="6" t="s">
        <v>2605</v>
      </c>
      <c r="D12940" s="6" t="s">
        <v>14</v>
      </c>
      <c r="E12940" s="6" t="s">
        <v>39</v>
      </c>
      <c r="F12940" s="6" t="s">
        <v>494</v>
      </c>
      <c r="G12940" s="6" t="s">
        <v>664</v>
      </c>
      <c r="H12940" s="6" t="s">
        <v>2606</v>
      </c>
      <c r="I12940" s="6" t="s">
        <v>31</v>
      </c>
      <c r="J12940" s="6">
        <v>16.544284000000001</v>
      </c>
      <c r="K12940" s="6">
        <v>-97.549092999999999</v>
      </c>
      <c r="L12940" s="6" t="str">
        <f>HYPERLINK("https://maps.google.com/?q=16.544284,-97.549092999999999", "🔗 Ver Mapa")</f>
        <v>🔗 Ver Mapa</v>
      </c>
    </row>
    <row r="12941" spans="1:12" ht="43.5" x14ac:dyDescent="0.35">
      <c r="A12941" s="5" t="s">
        <v>98</v>
      </c>
      <c r="B12941" s="5" t="s">
        <v>99</v>
      </c>
      <c r="C12941" s="5" t="s">
        <v>2605</v>
      </c>
      <c r="D12941" s="5" t="s">
        <v>14</v>
      </c>
      <c r="E12941" s="5" t="s">
        <v>39</v>
      </c>
      <c r="F12941" s="5" t="s">
        <v>494</v>
      </c>
      <c r="G12941" s="5" t="s">
        <v>664</v>
      </c>
      <c r="H12941" s="5" t="s">
        <v>2606</v>
      </c>
      <c r="I12941" s="5" t="s">
        <v>31</v>
      </c>
      <c r="J12941" s="5">
        <v>16.544508</v>
      </c>
      <c r="K12941" s="5">
        <v>-97.548278999999994</v>
      </c>
      <c r="L12941" s="5" t="str">
        <f>HYPERLINK("https://maps.google.com/?q=16.544508,-97.548278999999994", "🔗 Ver Mapa")</f>
        <v>🔗 Ver Mapa</v>
      </c>
    </row>
    <row r="12942" spans="1:12" ht="43.5" x14ac:dyDescent="0.35">
      <c r="A12942" s="6" t="s">
        <v>98</v>
      </c>
      <c r="B12942" s="6" t="s">
        <v>99</v>
      </c>
      <c r="C12942" s="6" t="s">
        <v>2605</v>
      </c>
      <c r="D12942" s="6" t="s">
        <v>14</v>
      </c>
      <c r="E12942" s="6" t="s">
        <v>39</v>
      </c>
      <c r="F12942" s="6" t="s">
        <v>494</v>
      </c>
      <c r="G12942" s="6" t="s">
        <v>664</v>
      </c>
      <c r="H12942" s="6" t="s">
        <v>2606</v>
      </c>
      <c r="I12942" s="6" t="s">
        <v>31</v>
      </c>
      <c r="J12942" s="6">
        <v>16.54514</v>
      </c>
      <c r="K12942" s="6">
        <v>-97.544872999999995</v>
      </c>
      <c r="L12942" s="6" t="str">
        <f>HYPERLINK("https://maps.google.com/?q=16.54514,-97.544872999999995", "🔗 Ver Mapa")</f>
        <v>🔗 Ver Mapa</v>
      </c>
    </row>
    <row r="12943" spans="1:12" ht="43.5" x14ac:dyDescent="0.35">
      <c r="A12943" s="5" t="s">
        <v>98</v>
      </c>
      <c r="B12943" s="5" t="s">
        <v>99</v>
      </c>
      <c r="C12943" s="5" t="s">
        <v>2605</v>
      </c>
      <c r="D12943" s="5" t="s">
        <v>14</v>
      </c>
      <c r="E12943" s="5" t="s">
        <v>39</v>
      </c>
      <c r="F12943" s="5" t="s">
        <v>494</v>
      </c>
      <c r="G12943" s="5" t="s">
        <v>664</v>
      </c>
      <c r="H12943" s="5" t="s">
        <v>2606</v>
      </c>
      <c r="I12943" s="5" t="s">
        <v>31</v>
      </c>
      <c r="J12943" s="5">
        <v>16.5454872</v>
      </c>
      <c r="K12943" s="5">
        <v>-97.544218299999997</v>
      </c>
      <c r="L12943" s="5" t="str">
        <f>HYPERLINK("https://maps.google.com/?q=16.5454872,-97.544218299999997", "🔗 Ver Mapa")</f>
        <v>🔗 Ver Mapa</v>
      </c>
    </row>
    <row r="12944" spans="1:12" ht="43.5" x14ac:dyDescent="0.35">
      <c r="A12944" s="6" t="s">
        <v>98</v>
      </c>
      <c r="B12944" s="6" t="s">
        <v>99</v>
      </c>
      <c r="C12944" s="6" t="s">
        <v>2605</v>
      </c>
      <c r="D12944" s="6" t="s">
        <v>14</v>
      </c>
      <c r="E12944" s="6" t="s">
        <v>39</v>
      </c>
      <c r="F12944" s="6" t="s">
        <v>494</v>
      </c>
      <c r="G12944" s="6" t="s">
        <v>664</v>
      </c>
      <c r="H12944" s="6" t="s">
        <v>2606</v>
      </c>
      <c r="I12944" s="6" t="s">
        <v>31</v>
      </c>
      <c r="J12944" s="6">
        <v>16.545634</v>
      </c>
      <c r="K12944" s="6">
        <v>-97.544224</v>
      </c>
      <c r="L12944" s="6" t="str">
        <f>HYPERLINK("https://maps.google.com/?q=16.545634,-97.544224", "🔗 Ver Mapa")</f>
        <v>🔗 Ver Mapa</v>
      </c>
    </row>
    <row r="12945" spans="1:12" ht="43.5" x14ac:dyDescent="0.35">
      <c r="A12945" s="5" t="s">
        <v>98</v>
      </c>
      <c r="B12945" s="5" t="s">
        <v>99</v>
      </c>
      <c r="C12945" s="5" t="s">
        <v>2605</v>
      </c>
      <c r="D12945" s="5" t="s">
        <v>14</v>
      </c>
      <c r="E12945" s="5" t="s">
        <v>39</v>
      </c>
      <c r="F12945" s="5" t="s">
        <v>494</v>
      </c>
      <c r="G12945" s="5" t="s">
        <v>664</v>
      </c>
      <c r="H12945" s="5" t="s">
        <v>2606</v>
      </c>
      <c r="I12945" s="5" t="s">
        <v>31</v>
      </c>
      <c r="J12945" s="5">
        <v>16.545943999999999</v>
      </c>
      <c r="K12945" s="5">
        <v>-97.545997999999997</v>
      </c>
      <c r="L12945" s="5" t="str">
        <f>HYPERLINK("https://maps.google.com/?q=16.545944,-97.545997999999997", "🔗 Ver Mapa")</f>
        <v>🔗 Ver Mapa</v>
      </c>
    </row>
    <row r="12946" spans="1:12" ht="43.5" x14ac:dyDescent="0.35">
      <c r="A12946" s="6" t="s">
        <v>98</v>
      </c>
      <c r="B12946" s="6" t="s">
        <v>99</v>
      </c>
      <c r="C12946" s="6" t="s">
        <v>2605</v>
      </c>
      <c r="D12946" s="6" t="s">
        <v>14</v>
      </c>
      <c r="E12946" s="6" t="s">
        <v>39</v>
      </c>
      <c r="F12946" s="6" t="s">
        <v>494</v>
      </c>
      <c r="G12946" s="6" t="s">
        <v>664</v>
      </c>
      <c r="H12946" s="6" t="s">
        <v>2606</v>
      </c>
      <c r="I12946" s="6" t="s">
        <v>31</v>
      </c>
      <c r="J12946" s="6">
        <v>16.546496999999999</v>
      </c>
      <c r="K12946" s="6">
        <v>-97.547188000000006</v>
      </c>
      <c r="L12946" s="6" t="str">
        <f>HYPERLINK("https://maps.google.com/?q=16.546497,-97.547188000000006", "🔗 Ver Mapa")</f>
        <v>🔗 Ver Mapa</v>
      </c>
    </row>
    <row r="12947" spans="1:12" ht="43.5" x14ac:dyDescent="0.35">
      <c r="A12947" s="5" t="s">
        <v>98</v>
      </c>
      <c r="B12947" s="5" t="s">
        <v>99</v>
      </c>
      <c r="C12947" s="5" t="s">
        <v>2607</v>
      </c>
      <c r="D12947" s="5" t="s">
        <v>14</v>
      </c>
      <c r="E12947" s="5" t="s">
        <v>39</v>
      </c>
      <c r="F12947" s="5" t="s">
        <v>494</v>
      </c>
      <c r="G12947" s="5" t="s">
        <v>664</v>
      </c>
      <c r="H12947" s="5" t="s">
        <v>667</v>
      </c>
      <c r="I12947" s="5" t="s">
        <v>31</v>
      </c>
      <c r="J12947" s="5">
        <v>16.542345000000001</v>
      </c>
      <c r="K12947" s="5">
        <v>-97.501592000000002</v>
      </c>
      <c r="L12947" s="5" t="str">
        <f>HYPERLINK("https://maps.google.com/?q=16.542345,-97.501592000000002", "🔗 Ver Mapa")</f>
        <v>🔗 Ver Mapa</v>
      </c>
    </row>
    <row r="12948" spans="1:12" ht="43.5" x14ac:dyDescent="0.35">
      <c r="A12948" s="6" t="s">
        <v>98</v>
      </c>
      <c r="B12948" s="6" t="s">
        <v>99</v>
      </c>
      <c r="C12948" s="6" t="s">
        <v>2607</v>
      </c>
      <c r="D12948" s="6" t="s">
        <v>14</v>
      </c>
      <c r="E12948" s="6" t="s">
        <v>39</v>
      </c>
      <c r="F12948" s="6" t="s">
        <v>494</v>
      </c>
      <c r="G12948" s="6" t="s">
        <v>664</v>
      </c>
      <c r="H12948" s="6" t="s">
        <v>667</v>
      </c>
      <c r="I12948" s="6" t="s">
        <v>31</v>
      </c>
      <c r="J12948" s="6">
        <v>16.542411999999999</v>
      </c>
      <c r="K12948" s="6">
        <v>-97.501669000000007</v>
      </c>
      <c r="L12948" s="6" t="str">
        <f>HYPERLINK("https://maps.google.com/?q=16.542412,-97.501669000000007", "🔗 Ver Mapa")</f>
        <v>🔗 Ver Mapa</v>
      </c>
    </row>
    <row r="12949" spans="1:12" ht="43.5" x14ac:dyDescent="0.35">
      <c r="A12949" s="5" t="s">
        <v>98</v>
      </c>
      <c r="B12949" s="5" t="s">
        <v>99</v>
      </c>
      <c r="C12949" s="5" t="s">
        <v>2607</v>
      </c>
      <c r="D12949" s="5" t="s">
        <v>14</v>
      </c>
      <c r="E12949" s="5" t="s">
        <v>39</v>
      </c>
      <c r="F12949" s="5" t="s">
        <v>494</v>
      </c>
      <c r="G12949" s="5" t="s">
        <v>664</v>
      </c>
      <c r="H12949" s="5" t="s">
        <v>667</v>
      </c>
      <c r="I12949" s="5" t="s">
        <v>31</v>
      </c>
      <c r="J12949" s="5">
        <v>16.542429899999998</v>
      </c>
      <c r="K12949" s="5">
        <v>-97.501568000000006</v>
      </c>
      <c r="L12949" s="5" t="str">
        <f>HYPERLINK("https://maps.google.com/?q=16.5424299,-97.501568000000006", "🔗 Ver Mapa")</f>
        <v>🔗 Ver Mapa</v>
      </c>
    </row>
    <row r="12950" spans="1:12" ht="43.5" x14ac:dyDescent="0.35">
      <c r="A12950" s="6" t="s">
        <v>98</v>
      </c>
      <c r="B12950" s="6" t="s">
        <v>99</v>
      </c>
      <c r="C12950" s="6" t="s">
        <v>2607</v>
      </c>
      <c r="D12950" s="6" t="s">
        <v>14</v>
      </c>
      <c r="E12950" s="6" t="s">
        <v>39</v>
      </c>
      <c r="F12950" s="6" t="s">
        <v>494</v>
      </c>
      <c r="G12950" s="6" t="s">
        <v>664</v>
      </c>
      <c r="H12950" s="6" t="s">
        <v>667</v>
      </c>
      <c r="I12950" s="6" t="s">
        <v>31</v>
      </c>
      <c r="J12950" s="6">
        <v>16.546994000000002</v>
      </c>
      <c r="K12950" s="6">
        <v>-97.507895000000005</v>
      </c>
      <c r="L12950" s="6" t="str">
        <f>HYPERLINK("https://maps.google.com/?q=16.546994,-97.507895000000005", "🔗 Ver Mapa")</f>
        <v>🔗 Ver Mapa</v>
      </c>
    </row>
    <row r="12951" spans="1:12" ht="43.5" x14ac:dyDescent="0.35">
      <c r="A12951" s="5" t="s">
        <v>98</v>
      </c>
      <c r="B12951" s="5" t="s">
        <v>99</v>
      </c>
      <c r="C12951" s="5" t="s">
        <v>2607</v>
      </c>
      <c r="D12951" s="5" t="s">
        <v>14</v>
      </c>
      <c r="E12951" s="5" t="s">
        <v>39</v>
      </c>
      <c r="F12951" s="5" t="s">
        <v>494</v>
      </c>
      <c r="G12951" s="5" t="s">
        <v>664</v>
      </c>
      <c r="H12951" s="5" t="s">
        <v>667</v>
      </c>
      <c r="I12951" s="5" t="s">
        <v>31</v>
      </c>
      <c r="J12951" s="5">
        <v>16.547574000000001</v>
      </c>
      <c r="K12951" s="5">
        <v>-97.505002000000005</v>
      </c>
      <c r="L12951" s="5" t="str">
        <f>HYPERLINK("https://maps.google.com/?q=16.547574,-97.505002000000005", "🔗 Ver Mapa")</f>
        <v>🔗 Ver Mapa</v>
      </c>
    </row>
    <row r="12952" spans="1:12" ht="43.5" x14ac:dyDescent="0.35">
      <c r="A12952" s="6" t="s">
        <v>98</v>
      </c>
      <c r="B12952" s="6" t="s">
        <v>99</v>
      </c>
      <c r="C12952" s="6" t="s">
        <v>2607</v>
      </c>
      <c r="D12952" s="6" t="s">
        <v>14</v>
      </c>
      <c r="E12952" s="6" t="s">
        <v>39</v>
      </c>
      <c r="F12952" s="6" t="s">
        <v>494</v>
      </c>
      <c r="G12952" s="6" t="s">
        <v>664</v>
      </c>
      <c r="H12952" s="6" t="s">
        <v>667</v>
      </c>
      <c r="I12952" s="6" t="s">
        <v>31</v>
      </c>
      <c r="J12952" s="6">
        <v>16.549102999999999</v>
      </c>
      <c r="K12952" s="6">
        <v>-97.507339999999999</v>
      </c>
      <c r="L12952" s="6" t="str">
        <f>HYPERLINK("https://maps.google.com/?q=16.549103,-97.507339999999999", "🔗 Ver Mapa")</f>
        <v>🔗 Ver Mapa</v>
      </c>
    </row>
    <row r="12953" spans="1:12" ht="43.5" x14ac:dyDescent="0.35">
      <c r="A12953" s="5" t="s">
        <v>98</v>
      </c>
      <c r="B12953" s="5" t="s">
        <v>99</v>
      </c>
      <c r="C12953" s="5" t="s">
        <v>2607</v>
      </c>
      <c r="D12953" s="5" t="s">
        <v>14</v>
      </c>
      <c r="E12953" s="5" t="s">
        <v>39</v>
      </c>
      <c r="F12953" s="5" t="s">
        <v>494</v>
      </c>
      <c r="G12953" s="5" t="s">
        <v>664</v>
      </c>
      <c r="H12953" s="5" t="s">
        <v>667</v>
      </c>
      <c r="I12953" s="5" t="s">
        <v>31</v>
      </c>
      <c r="J12953" s="5">
        <v>16.549199000000002</v>
      </c>
      <c r="K12953" s="5">
        <v>-97.506602999999998</v>
      </c>
      <c r="L12953" s="5" t="str">
        <f>HYPERLINK("https://maps.google.com/?q=16.549199,-97.506602999999998", "🔗 Ver Mapa")</f>
        <v>🔗 Ver Mapa</v>
      </c>
    </row>
    <row r="12954" spans="1:12" ht="43.5" x14ac:dyDescent="0.35">
      <c r="A12954" s="6" t="s">
        <v>98</v>
      </c>
      <c r="B12954" s="6" t="s">
        <v>99</v>
      </c>
      <c r="C12954" s="6" t="s">
        <v>2607</v>
      </c>
      <c r="D12954" s="6" t="s">
        <v>14</v>
      </c>
      <c r="E12954" s="6" t="s">
        <v>39</v>
      </c>
      <c r="F12954" s="6" t="s">
        <v>494</v>
      </c>
      <c r="G12954" s="6" t="s">
        <v>664</v>
      </c>
      <c r="H12954" s="6" t="s">
        <v>667</v>
      </c>
      <c r="I12954" s="6" t="s">
        <v>31</v>
      </c>
      <c r="J12954" s="6">
        <v>16.551102</v>
      </c>
      <c r="K12954" s="6">
        <v>-97.500612000000004</v>
      </c>
      <c r="L12954" s="6" t="str">
        <f>HYPERLINK("https://maps.google.com/?q=16.551102,-97.500612000000004", "🔗 Ver Mapa")</f>
        <v>🔗 Ver Mapa</v>
      </c>
    </row>
    <row r="12955" spans="1:12" ht="43.5" x14ac:dyDescent="0.35">
      <c r="A12955" s="5" t="s">
        <v>98</v>
      </c>
      <c r="B12955" s="5" t="s">
        <v>99</v>
      </c>
      <c r="C12955" s="5" t="s">
        <v>2607</v>
      </c>
      <c r="D12955" s="5" t="s">
        <v>14</v>
      </c>
      <c r="E12955" s="5" t="s">
        <v>39</v>
      </c>
      <c r="F12955" s="5" t="s">
        <v>494</v>
      </c>
      <c r="G12955" s="5" t="s">
        <v>664</v>
      </c>
      <c r="H12955" s="5" t="s">
        <v>667</v>
      </c>
      <c r="I12955" s="5" t="s">
        <v>31</v>
      </c>
      <c r="J12955" s="5">
        <v>16.551314999999999</v>
      </c>
      <c r="K12955" s="5">
        <v>-97.495947000000001</v>
      </c>
      <c r="L12955" s="5" t="str">
        <f>HYPERLINK("https://maps.google.com/?q=16.551315,-97.495947000000001", "🔗 Ver Mapa")</f>
        <v>🔗 Ver Mapa</v>
      </c>
    </row>
    <row r="12956" spans="1:12" ht="43.5" x14ac:dyDescent="0.35">
      <c r="A12956" s="6" t="s">
        <v>98</v>
      </c>
      <c r="B12956" s="6" t="s">
        <v>99</v>
      </c>
      <c r="C12956" s="6" t="s">
        <v>2607</v>
      </c>
      <c r="D12956" s="6" t="s">
        <v>14</v>
      </c>
      <c r="E12956" s="6" t="s">
        <v>39</v>
      </c>
      <c r="F12956" s="6" t="s">
        <v>494</v>
      </c>
      <c r="G12956" s="6" t="s">
        <v>664</v>
      </c>
      <c r="H12956" s="6" t="s">
        <v>667</v>
      </c>
      <c r="I12956" s="6" t="s">
        <v>31</v>
      </c>
      <c r="J12956" s="6">
        <v>16.5517255</v>
      </c>
      <c r="K12956" s="6">
        <v>-97.500053800000003</v>
      </c>
      <c r="L12956" s="6" t="str">
        <f>HYPERLINK("https://maps.google.com/?q=16.5517255,-97.500053800000003", "🔗 Ver Mapa")</f>
        <v>🔗 Ver Mapa</v>
      </c>
    </row>
    <row r="12957" spans="1:12" ht="43.5" x14ac:dyDescent="0.35">
      <c r="A12957" s="5" t="s">
        <v>98</v>
      </c>
      <c r="B12957" s="5" t="s">
        <v>99</v>
      </c>
      <c r="C12957" s="5" t="s">
        <v>2607</v>
      </c>
      <c r="D12957" s="5" t="s">
        <v>14</v>
      </c>
      <c r="E12957" s="5" t="s">
        <v>39</v>
      </c>
      <c r="F12957" s="5" t="s">
        <v>494</v>
      </c>
      <c r="G12957" s="5" t="s">
        <v>664</v>
      </c>
      <c r="H12957" s="5" t="s">
        <v>667</v>
      </c>
      <c r="I12957" s="5" t="s">
        <v>31</v>
      </c>
      <c r="J12957" s="5">
        <v>16.557267</v>
      </c>
      <c r="K12957" s="5">
        <v>-97.505806000000007</v>
      </c>
      <c r="L12957" s="5" t="str">
        <f>HYPERLINK("https://maps.google.com/?q=16.557267,-97.505806000000007", "🔗 Ver Mapa")</f>
        <v>🔗 Ver Mapa</v>
      </c>
    </row>
    <row r="12958" spans="1:12" ht="43.5" x14ac:dyDescent="0.35">
      <c r="A12958" s="6" t="s">
        <v>98</v>
      </c>
      <c r="B12958" s="6" t="s">
        <v>99</v>
      </c>
      <c r="C12958" s="6" t="s">
        <v>2608</v>
      </c>
      <c r="D12958" s="6" t="s">
        <v>14</v>
      </c>
      <c r="E12958" s="6" t="s">
        <v>39</v>
      </c>
      <c r="F12958" s="6" t="s">
        <v>494</v>
      </c>
      <c r="G12958" s="6" t="s">
        <v>664</v>
      </c>
      <c r="H12958" s="6" t="s">
        <v>2609</v>
      </c>
      <c r="I12958" s="6" t="s">
        <v>31</v>
      </c>
      <c r="J12958" s="6">
        <v>16.506159</v>
      </c>
      <c r="K12958" s="6">
        <v>-97.483226000000002</v>
      </c>
      <c r="L12958" s="6" t="str">
        <f>HYPERLINK("https://maps.google.com/?q=16.506159,-97.483226000000002", "🔗 Ver Mapa")</f>
        <v>🔗 Ver Mapa</v>
      </c>
    </row>
    <row r="12959" spans="1:12" ht="43.5" x14ac:dyDescent="0.35">
      <c r="A12959" s="5" t="s">
        <v>98</v>
      </c>
      <c r="B12959" s="5" t="s">
        <v>99</v>
      </c>
      <c r="C12959" s="5" t="s">
        <v>2608</v>
      </c>
      <c r="D12959" s="5" t="s">
        <v>14</v>
      </c>
      <c r="E12959" s="5" t="s">
        <v>39</v>
      </c>
      <c r="F12959" s="5" t="s">
        <v>494</v>
      </c>
      <c r="G12959" s="5" t="s">
        <v>664</v>
      </c>
      <c r="H12959" s="5" t="s">
        <v>2609</v>
      </c>
      <c r="I12959" s="5" t="s">
        <v>31</v>
      </c>
      <c r="J12959" s="5">
        <v>16.508026000000001</v>
      </c>
      <c r="K12959" s="5">
        <v>-97.482558999999995</v>
      </c>
      <c r="L12959" s="5" t="str">
        <f>HYPERLINK("https://maps.google.com/?q=16.508026,-97.482558999999995", "🔗 Ver Mapa")</f>
        <v>🔗 Ver Mapa</v>
      </c>
    </row>
    <row r="12960" spans="1:12" ht="43.5" x14ac:dyDescent="0.35">
      <c r="A12960" s="6" t="s">
        <v>98</v>
      </c>
      <c r="B12960" s="6" t="s">
        <v>99</v>
      </c>
      <c r="C12960" s="6" t="s">
        <v>2608</v>
      </c>
      <c r="D12960" s="6" t="s">
        <v>14</v>
      </c>
      <c r="E12960" s="6" t="s">
        <v>39</v>
      </c>
      <c r="F12960" s="6" t="s">
        <v>494</v>
      </c>
      <c r="G12960" s="6" t="s">
        <v>664</v>
      </c>
      <c r="H12960" s="6" t="s">
        <v>2609</v>
      </c>
      <c r="I12960" s="6" t="s">
        <v>31</v>
      </c>
      <c r="J12960" s="6">
        <v>16.508861</v>
      </c>
      <c r="K12960" s="6">
        <v>-97.481059000000002</v>
      </c>
      <c r="L12960" s="6" t="str">
        <f>HYPERLINK("https://maps.google.com/?q=16.508861,-97.481059000000002", "🔗 Ver Mapa")</f>
        <v>🔗 Ver Mapa</v>
      </c>
    </row>
    <row r="12961" spans="1:12" ht="43.5" x14ac:dyDescent="0.35">
      <c r="A12961" s="5" t="s">
        <v>98</v>
      </c>
      <c r="B12961" s="5" t="s">
        <v>99</v>
      </c>
      <c r="C12961" s="5" t="s">
        <v>2608</v>
      </c>
      <c r="D12961" s="5" t="s">
        <v>14</v>
      </c>
      <c r="E12961" s="5" t="s">
        <v>39</v>
      </c>
      <c r="F12961" s="5" t="s">
        <v>494</v>
      </c>
      <c r="G12961" s="5" t="s">
        <v>664</v>
      </c>
      <c r="H12961" s="5" t="s">
        <v>2609</v>
      </c>
      <c r="I12961" s="5" t="s">
        <v>31</v>
      </c>
      <c r="J12961" s="5">
        <v>16.508866000000001</v>
      </c>
      <c r="K12961" s="5">
        <v>-97.481553000000005</v>
      </c>
      <c r="L12961" s="5" t="str">
        <f>HYPERLINK("https://maps.google.com/?q=16.508866,-97.481553000000005", "🔗 Ver Mapa")</f>
        <v>🔗 Ver Mapa</v>
      </c>
    </row>
    <row r="12962" spans="1:12" ht="43.5" x14ac:dyDescent="0.35">
      <c r="A12962" s="6" t="s">
        <v>98</v>
      </c>
      <c r="B12962" s="6" t="s">
        <v>99</v>
      </c>
      <c r="C12962" s="6" t="s">
        <v>2608</v>
      </c>
      <c r="D12962" s="6" t="s">
        <v>14</v>
      </c>
      <c r="E12962" s="6" t="s">
        <v>39</v>
      </c>
      <c r="F12962" s="6" t="s">
        <v>494</v>
      </c>
      <c r="G12962" s="6" t="s">
        <v>664</v>
      </c>
      <c r="H12962" s="6" t="s">
        <v>2609</v>
      </c>
      <c r="I12962" s="6" t="s">
        <v>31</v>
      </c>
      <c r="J12962" s="6">
        <v>16.509315000000001</v>
      </c>
      <c r="K12962" s="6">
        <v>-97.477040000000002</v>
      </c>
      <c r="L12962" s="6" t="str">
        <f>HYPERLINK("https://maps.google.com/?q=16.509315,-97.477040000000002", "🔗 Ver Mapa")</f>
        <v>🔗 Ver Mapa</v>
      </c>
    </row>
    <row r="12963" spans="1:12" ht="43.5" x14ac:dyDescent="0.35">
      <c r="A12963" s="5" t="s">
        <v>98</v>
      </c>
      <c r="B12963" s="5" t="s">
        <v>99</v>
      </c>
      <c r="C12963" s="5" t="s">
        <v>2608</v>
      </c>
      <c r="D12963" s="5" t="s">
        <v>14</v>
      </c>
      <c r="E12963" s="5" t="s">
        <v>39</v>
      </c>
      <c r="F12963" s="5" t="s">
        <v>494</v>
      </c>
      <c r="G12963" s="5" t="s">
        <v>664</v>
      </c>
      <c r="H12963" s="5" t="s">
        <v>2609</v>
      </c>
      <c r="I12963" s="5" t="s">
        <v>31</v>
      </c>
      <c r="J12963" s="5">
        <v>16.509343999999999</v>
      </c>
      <c r="K12963" s="5">
        <v>-97.479893000000004</v>
      </c>
      <c r="L12963" s="5" t="str">
        <f>HYPERLINK("https://maps.google.com/?q=16.509344,-97.479893000000004", "🔗 Ver Mapa")</f>
        <v>🔗 Ver Mapa</v>
      </c>
    </row>
    <row r="12964" spans="1:12" ht="43.5" x14ac:dyDescent="0.35">
      <c r="A12964" s="6" t="s">
        <v>98</v>
      </c>
      <c r="B12964" s="6" t="s">
        <v>99</v>
      </c>
      <c r="C12964" s="6" t="s">
        <v>2608</v>
      </c>
      <c r="D12964" s="6" t="s">
        <v>14</v>
      </c>
      <c r="E12964" s="6" t="s">
        <v>39</v>
      </c>
      <c r="F12964" s="6" t="s">
        <v>494</v>
      </c>
      <c r="G12964" s="6" t="s">
        <v>664</v>
      </c>
      <c r="H12964" s="6" t="s">
        <v>2609</v>
      </c>
      <c r="I12964" s="6" t="s">
        <v>31</v>
      </c>
      <c r="J12964" s="6">
        <v>16.509660499999999</v>
      </c>
      <c r="K12964" s="6">
        <v>-97.479064600000001</v>
      </c>
      <c r="L12964" s="6" t="str">
        <f>HYPERLINK("https://maps.google.com/?q=16.5096605,-97.479064600000001", "🔗 Ver Mapa")</f>
        <v>🔗 Ver Mapa</v>
      </c>
    </row>
    <row r="12965" spans="1:12" ht="43.5" x14ac:dyDescent="0.35">
      <c r="A12965" s="5" t="s">
        <v>98</v>
      </c>
      <c r="B12965" s="5" t="s">
        <v>99</v>
      </c>
      <c r="C12965" s="5" t="s">
        <v>2608</v>
      </c>
      <c r="D12965" s="5" t="s">
        <v>14</v>
      </c>
      <c r="E12965" s="5" t="s">
        <v>39</v>
      </c>
      <c r="F12965" s="5" t="s">
        <v>494</v>
      </c>
      <c r="G12965" s="5" t="s">
        <v>664</v>
      </c>
      <c r="H12965" s="5" t="s">
        <v>2609</v>
      </c>
      <c r="I12965" s="5" t="s">
        <v>31</v>
      </c>
      <c r="J12965" s="5">
        <v>16.510287999999999</v>
      </c>
      <c r="K12965" s="5">
        <v>-97.484770800000007</v>
      </c>
      <c r="L12965" s="5" t="str">
        <f>HYPERLINK("https://maps.google.com/?q=16.510288,-97.484770800000007", "🔗 Ver Mapa")</f>
        <v>🔗 Ver Mapa</v>
      </c>
    </row>
    <row r="12966" spans="1:12" ht="43.5" x14ac:dyDescent="0.35">
      <c r="A12966" s="6" t="s">
        <v>98</v>
      </c>
      <c r="B12966" s="6" t="s">
        <v>99</v>
      </c>
      <c r="C12966" s="6" t="s">
        <v>2608</v>
      </c>
      <c r="D12966" s="6" t="s">
        <v>14</v>
      </c>
      <c r="E12966" s="6" t="s">
        <v>39</v>
      </c>
      <c r="F12966" s="6" t="s">
        <v>494</v>
      </c>
      <c r="G12966" s="6" t="s">
        <v>664</v>
      </c>
      <c r="H12966" s="6" t="s">
        <v>2609</v>
      </c>
      <c r="I12966" s="6" t="s">
        <v>31</v>
      </c>
      <c r="J12966" s="6">
        <v>16.510439000000002</v>
      </c>
      <c r="K12966" s="6">
        <v>-97.485135999999997</v>
      </c>
      <c r="L12966" s="6" t="str">
        <f>HYPERLINK("https://maps.google.com/?q=16.510439,-97.485135999999997", "🔗 Ver Mapa")</f>
        <v>🔗 Ver Mapa</v>
      </c>
    </row>
    <row r="12967" spans="1:12" ht="43.5" x14ac:dyDescent="0.35">
      <c r="A12967" s="5" t="s">
        <v>98</v>
      </c>
      <c r="B12967" s="5" t="s">
        <v>99</v>
      </c>
      <c r="C12967" s="5" t="s">
        <v>2608</v>
      </c>
      <c r="D12967" s="5" t="s">
        <v>14</v>
      </c>
      <c r="E12967" s="5" t="s">
        <v>39</v>
      </c>
      <c r="F12967" s="5" t="s">
        <v>494</v>
      </c>
      <c r="G12967" s="5" t="s">
        <v>664</v>
      </c>
      <c r="H12967" s="5" t="s">
        <v>2609</v>
      </c>
      <c r="I12967" s="5" t="s">
        <v>31</v>
      </c>
      <c r="J12967" s="5">
        <v>16.510646999999999</v>
      </c>
      <c r="K12967" s="5">
        <v>-97.476078000000001</v>
      </c>
      <c r="L12967" s="5" t="str">
        <f>HYPERLINK("https://maps.google.com/?q=16.510647,-97.476078000000001", "🔗 Ver Mapa")</f>
        <v>🔗 Ver Mapa</v>
      </c>
    </row>
    <row r="12968" spans="1:12" ht="43.5" x14ac:dyDescent="0.35">
      <c r="A12968" s="6" t="s">
        <v>98</v>
      </c>
      <c r="B12968" s="6" t="s">
        <v>99</v>
      </c>
      <c r="C12968" s="6" t="s">
        <v>2608</v>
      </c>
      <c r="D12968" s="6" t="s">
        <v>14</v>
      </c>
      <c r="E12968" s="6" t="s">
        <v>39</v>
      </c>
      <c r="F12968" s="6" t="s">
        <v>494</v>
      </c>
      <c r="G12968" s="6" t="s">
        <v>664</v>
      </c>
      <c r="H12968" s="6" t="s">
        <v>2609</v>
      </c>
      <c r="I12968" s="6" t="s">
        <v>31</v>
      </c>
      <c r="J12968" s="6">
        <v>16.510860999999998</v>
      </c>
      <c r="K12968" s="6">
        <v>-97.484821999999994</v>
      </c>
      <c r="L12968" s="6" t="str">
        <f>HYPERLINK("https://maps.google.com/?q=16.510861,-97.484821999999994", "🔗 Ver Mapa")</f>
        <v>🔗 Ver Mapa</v>
      </c>
    </row>
    <row r="12969" spans="1:12" ht="43.5" x14ac:dyDescent="0.35">
      <c r="A12969" s="5" t="s">
        <v>98</v>
      </c>
      <c r="B12969" s="5" t="s">
        <v>99</v>
      </c>
      <c r="C12969" s="5" t="s">
        <v>2608</v>
      </c>
      <c r="D12969" s="5" t="s">
        <v>14</v>
      </c>
      <c r="E12969" s="5" t="s">
        <v>39</v>
      </c>
      <c r="F12969" s="5" t="s">
        <v>494</v>
      </c>
      <c r="G12969" s="5" t="s">
        <v>664</v>
      </c>
      <c r="H12969" s="5" t="s">
        <v>2609</v>
      </c>
      <c r="I12969" s="5" t="s">
        <v>31</v>
      </c>
      <c r="J12969" s="5">
        <v>16.511043999999998</v>
      </c>
      <c r="K12969" s="5">
        <v>-97.481262999999998</v>
      </c>
      <c r="L12969" s="5" t="str">
        <f>HYPERLINK("https://maps.google.com/?q=16.511044,-97.481262999999998", "🔗 Ver Mapa")</f>
        <v>🔗 Ver Mapa</v>
      </c>
    </row>
    <row r="12970" spans="1:12" ht="43.5" x14ac:dyDescent="0.35">
      <c r="A12970" s="6" t="s">
        <v>98</v>
      </c>
      <c r="B12970" s="6" t="s">
        <v>99</v>
      </c>
      <c r="C12970" s="6" t="s">
        <v>2610</v>
      </c>
      <c r="D12970" s="6" t="s">
        <v>14</v>
      </c>
      <c r="E12970" s="6" t="s">
        <v>39</v>
      </c>
      <c r="F12970" s="6" t="s">
        <v>494</v>
      </c>
      <c r="G12970" s="6" t="s">
        <v>664</v>
      </c>
      <c r="H12970" s="6" t="s">
        <v>2611</v>
      </c>
      <c r="I12970" s="6" t="s">
        <v>31</v>
      </c>
      <c r="J12970" s="6">
        <v>16.50703</v>
      </c>
      <c r="K12970" s="6">
        <v>-97.460971999999998</v>
      </c>
      <c r="L12970" s="6" t="str">
        <f>HYPERLINK("https://maps.google.com/?q=16.50703,-97.460971999999998", "🔗 Ver Mapa")</f>
        <v>🔗 Ver Mapa</v>
      </c>
    </row>
    <row r="12971" spans="1:12" ht="43.5" x14ac:dyDescent="0.35">
      <c r="A12971" s="5" t="s">
        <v>98</v>
      </c>
      <c r="B12971" s="5" t="s">
        <v>99</v>
      </c>
      <c r="C12971" s="5" t="s">
        <v>2610</v>
      </c>
      <c r="D12971" s="5" t="s">
        <v>14</v>
      </c>
      <c r="E12971" s="5" t="s">
        <v>39</v>
      </c>
      <c r="F12971" s="5" t="s">
        <v>494</v>
      </c>
      <c r="G12971" s="5" t="s">
        <v>664</v>
      </c>
      <c r="H12971" s="5" t="s">
        <v>2611</v>
      </c>
      <c r="I12971" s="5" t="s">
        <v>31</v>
      </c>
      <c r="J12971" s="5">
        <v>16.508351999999999</v>
      </c>
      <c r="K12971" s="5">
        <v>-97.461212000000003</v>
      </c>
      <c r="L12971" s="5" t="str">
        <f>HYPERLINK("https://maps.google.com/?q=16.508352,-97.461212000000003", "🔗 Ver Mapa")</f>
        <v>🔗 Ver Mapa</v>
      </c>
    </row>
    <row r="12972" spans="1:12" ht="43.5" x14ac:dyDescent="0.35">
      <c r="A12972" s="6" t="s">
        <v>98</v>
      </c>
      <c r="B12972" s="6" t="s">
        <v>99</v>
      </c>
      <c r="C12972" s="6" t="s">
        <v>2610</v>
      </c>
      <c r="D12972" s="6" t="s">
        <v>14</v>
      </c>
      <c r="E12972" s="6" t="s">
        <v>39</v>
      </c>
      <c r="F12972" s="6" t="s">
        <v>494</v>
      </c>
      <c r="G12972" s="6" t="s">
        <v>664</v>
      </c>
      <c r="H12972" s="6" t="s">
        <v>2611</v>
      </c>
      <c r="I12972" s="6" t="s">
        <v>31</v>
      </c>
      <c r="J12972" s="6">
        <v>16.508797000000001</v>
      </c>
      <c r="K12972" s="6">
        <v>-97.456593999999996</v>
      </c>
      <c r="L12972" s="6" t="str">
        <f>HYPERLINK("https://maps.google.com/?q=16.508797,-97.456593999999996", "🔗 Ver Mapa")</f>
        <v>🔗 Ver Mapa</v>
      </c>
    </row>
    <row r="12973" spans="1:12" ht="43.5" x14ac:dyDescent="0.35">
      <c r="A12973" s="5" t="s">
        <v>98</v>
      </c>
      <c r="B12973" s="5" t="s">
        <v>99</v>
      </c>
      <c r="C12973" s="5" t="s">
        <v>2610</v>
      </c>
      <c r="D12973" s="5" t="s">
        <v>14</v>
      </c>
      <c r="E12973" s="5" t="s">
        <v>39</v>
      </c>
      <c r="F12973" s="5" t="s">
        <v>494</v>
      </c>
      <c r="G12973" s="5" t="s">
        <v>664</v>
      </c>
      <c r="H12973" s="5" t="s">
        <v>2611</v>
      </c>
      <c r="I12973" s="5" t="s">
        <v>31</v>
      </c>
      <c r="J12973" s="5">
        <v>16.509577400000001</v>
      </c>
      <c r="K12973" s="5">
        <v>-97.459359800000001</v>
      </c>
      <c r="L12973" s="5" t="str">
        <f>HYPERLINK("https://maps.google.com/?q=16.5095774,-97.459359800000001", "🔗 Ver Mapa")</f>
        <v>🔗 Ver Mapa</v>
      </c>
    </row>
    <row r="12974" spans="1:12" ht="43.5" x14ac:dyDescent="0.35">
      <c r="A12974" s="6" t="s">
        <v>98</v>
      </c>
      <c r="B12974" s="6" t="s">
        <v>99</v>
      </c>
      <c r="C12974" s="6" t="s">
        <v>2610</v>
      </c>
      <c r="D12974" s="6" t="s">
        <v>14</v>
      </c>
      <c r="E12974" s="6" t="s">
        <v>39</v>
      </c>
      <c r="F12974" s="6" t="s">
        <v>494</v>
      </c>
      <c r="G12974" s="6" t="s">
        <v>664</v>
      </c>
      <c r="H12974" s="6" t="s">
        <v>2611</v>
      </c>
      <c r="I12974" s="6" t="s">
        <v>31</v>
      </c>
      <c r="J12974" s="6">
        <v>16.509654999999999</v>
      </c>
      <c r="K12974" s="6">
        <v>-97.457436000000001</v>
      </c>
      <c r="L12974" s="6" t="str">
        <f>HYPERLINK("https://maps.google.com/?q=16.509655,-97.457436000000001", "🔗 Ver Mapa")</f>
        <v>🔗 Ver Mapa</v>
      </c>
    </row>
    <row r="12975" spans="1:12" ht="43.5" x14ac:dyDescent="0.35">
      <c r="A12975" s="5" t="s">
        <v>98</v>
      </c>
      <c r="B12975" s="5" t="s">
        <v>99</v>
      </c>
      <c r="C12975" s="5" t="s">
        <v>2610</v>
      </c>
      <c r="D12975" s="5" t="s">
        <v>14</v>
      </c>
      <c r="E12975" s="5" t="s">
        <v>39</v>
      </c>
      <c r="F12975" s="5" t="s">
        <v>494</v>
      </c>
      <c r="G12975" s="5" t="s">
        <v>664</v>
      </c>
      <c r="H12975" s="5" t="s">
        <v>2611</v>
      </c>
      <c r="I12975" s="5" t="s">
        <v>31</v>
      </c>
      <c r="J12975" s="5">
        <v>16.510364200000001</v>
      </c>
      <c r="K12975" s="5">
        <v>-97.456928899999994</v>
      </c>
      <c r="L12975" s="5" t="str">
        <f>HYPERLINK("https://maps.google.com/?q=16.5103642,-97.456928899999994", "🔗 Ver Mapa")</f>
        <v>🔗 Ver Mapa</v>
      </c>
    </row>
    <row r="12976" spans="1:12" ht="43.5" x14ac:dyDescent="0.35">
      <c r="A12976" s="6" t="s">
        <v>98</v>
      </c>
      <c r="B12976" s="6" t="s">
        <v>99</v>
      </c>
      <c r="C12976" s="6" t="s">
        <v>2610</v>
      </c>
      <c r="D12976" s="6" t="s">
        <v>14</v>
      </c>
      <c r="E12976" s="6" t="s">
        <v>39</v>
      </c>
      <c r="F12976" s="6" t="s">
        <v>494</v>
      </c>
      <c r="G12976" s="6" t="s">
        <v>664</v>
      </c>
      <c r="H12976" s="6" t="s">
        <v>2611</v>
      </c>
      <c r="I12976" s="6" t="s">
        <v>31</v>
      </c>
      <c r="J12976" s="6">
        <v>16.511044999999999</v>
      </c>
      <c r="K12976" s="6">
        <v>-97.453880999999996</v>
      </c>
      <c r="L12976" s="6" t="str">
        <f>HYPERLINK("https://maps.google.com/?q=16.511045,-97.453880999999996", "🔗 Ver Mapa")</f>
        <v>🔗 Ver Mapa</v>
      </c>
    </row>
    <row r="12977" spans="1:12" ht="43.5" x14ac:dyDescent="0.35">
      <c r="A12977" s="5" t="s">
        <v>98</v>
      </c>
      <c r="B12977" s="5" t="s">
        <v>99</v>
      </c>
      <c r="C12977" s="5" t="s">
        <v>2610</v>
      </c>
      <c r="D12977" s="5" t="s">
        <v>14</v>
      </c>
      <c r="E12977" s="5" t="s">
        <v>39</v>
      </c>
      <c r="F12977" s="5" t="s">
        <v>494</v>
      </c>
      <c r="G12977" s="5" t="s">
        <v>664</v>
      </c>
      <c r="H12977" s="5" t="s">
        <v>2611</v>
      </c>
      <c r="I12977" s="5" t="s">
        <v>31</v>
      </c>
      <c r="J12977" s="5">
        <v>16.511330000000001</v>
      </c>
      <c r="K12977" s="5">
        <v>-97.452213999999998</v>
      </c>
      <c r="L12977" s="5" t="str">
        <f>HYPERLINK("https://maps.google.com/?q=16.51133,-97.452213999999998", "🔗 Ver Mapa")</f>
        <v>🔗 Ver Mapa</v>
      </c>
    </row>
    <row r="12978" spans="1:12" ht="43.5" x14ac:dyDescent="0.35">
      <c r="A12978" s="6" t="s">
        <v>98</v>
      </c>
      <c r="B12978" s="6" t="s">
        <v>99</v>
      </c>
      <c r="C12978" s="6" t="s">
        <v>2610</v>
      </c>
      <c r="D12978" s="6" t="s">
        <v>14</v>
      </c>
      <c r="E12978" s="6" t="s">
        <v>39</v>
      </c>
      <c r="F12978" s="6" t="s">
        <v>494</v>
      </c>
      <c r="G12978" s="6" t="s">
        <v>664</v>
      </c>
      <c r="H12978" s="6" t="s">
        <v>2611</v>
      </c>
      <c r="I12978" s="6" t="s">
        <v>31</v>
      </c>
      <c r="J12978" s="6">
        <v>16.511420000000001</v>
      </c>
      <c r="K12978" s="6">
        <v>-97.453508999999997</v>
      </c>
      <c r="L12978" s="6" t="str">
        <f>HYPERLINK("https://maps.google.com/?q=16.51142,-97.453508999999997", "🔗 Ver Mapa")</f>
        <v>🔗 Ver Mapa</v>
      </c>
    </row>
    <row r="12979" spans="1:12" ht="43.5" x14ac:dyDescent="0.35">
      <c r="A12979" s="5" t="s">
        <v>98</v>
      </c>
      <c r="B12979" s="5" t="s">
        <v>99</v>
      </c>
      <c r="C12979" s="5" t="s">
        <v>2610</v>
      </c>
      <c r="D12979" s="5" t="s">
        <v>14</v>
      </c>
      <c r="E12979" s="5" t="s">
        <v>39</v>
      </c>
      <c r="F12979" s="5" t="s">
        <v>494</v>
      </c>
      <c r="G12979" s="5" t="s">
        <v>664</v>
      </c>
      <c r="H12979" s="5" t="s">
        <v>2611</v>
      </c>
      <c r="I12979" s="5" t="s">
        <v>31</v>
      </c>
      <c r="J12979" s="5">
        <v>16.511548999999999</v>
      </c>
      <c r="K12979" s="5">
        <v>-97.453267999999994</v>
      </c>
      <c r="L12979" s="5" t="str">
        <f>HYPERLINK("https://maps.google.com/?q=16.511549,-97.453267999999994", "🔗 Ver Mapa")</f>
        <v>🔗 Ver Mapa</v>
      </c>
    </row>
    <row r="12980" spans="1:12" ht="43.5" x14ac:dyDescent="0.35">
      <c r="A12980" s="6" t="s">
        <v>98</v>
      </c>
      <c r="B12980" s="6" t="s">
        <v>99</v>
      </c>
      <c r="C12980" s="6" t="s">
        <v>2610</v>
      </c>
      <c r="D12980" s="6" t="s">
        <v>14</v>
      </c>
      <c r="E12980" s="6" t="s">
        <v>39</v>
      </c>
      <c r="F12980" s="6" t="s">
        <v>494</v>
      </c>
      <c r="G12980" s="6" t="s">
        <v>664</v>
      </c>
      <c r="H12980" s="6" t="s">
        <v>2611</v>
      </c>
      <c r="I12980" s="6" t="s">
        <v>31</v>
      </c>
      <c r="J12980" s="6">
        <v>16.512108999999999</v>
      </c>
      <c r="K12980" s="6">
        <v>-97.452899000000002</v>
      </c>
      <c r="L12980" s="6" t="str">
        <f>HYPERLINK("https://maps.google.com/?q=16.512109,-97.452899000000002", "🔗 Ver Mapa")</f>
        <v>🔗 Ver Mapa</v>
      </c>
    </row>
    <row r="12981" spans="1:12" ht="43.5" x14ac:dyDescent="0.35">
      <c r="A12981" s="5" t="s">
        <v>98</v>
      </c>
      <c r="B12981" s="5" t="s">
        <v>99</v>
      </c>
      <c r="C12981" s="5" t="s">
        <v>2610</v>
      </c>
      <c r="D12981" s="5" t="s">
        <v>14</v>
      </c>
      <c r="E12981" s="5" t="s">
        <v>39</v>
      </c>
      <c r="F12981" s="5" t="s">
        <v>494</v>
      </c>
      <c r="G12981" s="5" t="s">
        <v>664</v>
      </c>
      <c r="H12981" s="5" t="s">
        <v>2611</v>
      </c>
      <c r="I12981" s="5" t="s">
        <v>31</v>
      </c>
      <c r="J12981" s="5">
        <v>16.512945999999999</v>
      </c>
      <c r="K12981" s="5">
        <v>-97.455867999999995</v>
      </c>
      <c r="L12981" s="5" t="str">
        <f>HYPERLINK("https://maps.google.com/?q=16.512946,-97.455867999999995", "🔗 Ver Mapa")</f>
        <v>🔗 Ver Mapa</v>
      </c>
    </row>
    <row r="12982" spans="1:12" ht="43.5" x14ac:dyDescent="0.35">
      <c r="A12982" s="6" t="s">
        <v>98</v>
      </c>
      <c r="B12982" s="6" t="s">
        <v>99</v>
      </c>
      <c r="C12982" s="6" t="s">
        <v>2610</v>
      </c>
      <c r="D12982" s="6" t="s">
        <v>14</v>
      </c>
      <c r="E12982" s="6" t="s">
        <v>39</v>
      </c>
      <c r="F12982" s="6" t="s">
        <v>494</v>
      </c>
      <c r="G12982" s="6" t="s">
        <v>664</v>
      </c>
      <c r="H12982" s="6" t="s">
        <v>2611</v>
      </c>
      <c r="I12982" s="6" t="s">
        <v>31</v>
      </c>
      <c r="J12982" s="6">
        <v>16.513093000000001</v>
      </c>
      <c r="K12982" s="6">
        <v>-97.454749000000007</v>
      </c>
      <c r="L12982" s="6" t="str">
        <f>HYPERLINK("https://maps.google.com/?q=16.513093,-97.454749000000007", "🔗 Ver Mapa")</f>
        <v>🔗 Ver Mapa</v>
      </c>
    </row>
    <row r="12983" spans="1:12" ht="43.5" x14ac:dyDescent="0.35">
      <c r="A12983" s="5" t="s">
        <v>98</v>
      </c>
      <c r="B12983" s="5" t="s">
        <v>99</v>
      </c>
      <c r="C12983" s="5" t="s">
        <v>2610</v>
      </c>
      <c r="D12983" s="5" t="s">
        <v>14</v>
      </c>
      <c r="E12983" s="5" t="s">
        <v>39</v>
      </c>
      <c r="F12983" s="5" t="s">
        <v>494</v>
      </c>
      <c r="G12983" s="5" t="s">
        <v>664</v>
      </c>
      <c r="H12983" s="5" t="s">
        <v>2611</v>
      </c>
      <c r="I12983" s="5" t="s">
        <v>31</v>
      </c>
      <c r="J12983" s="5">
        <v>16.51341</v>
      </c>
      <c r="K12983" s="5">
        <v>-97.453603999999999</v>
      </c>
      <c r="L12983" s="5" t="str">
        <f>HYPERLINK("https://maps.google.com/?q=16.51341,-97.453603999999999", "🔗 Ver Mapa")</f>
        <v>🔗 Ver Mapa</v>
      </c>
    </row>
    <row r="12984" spans="1:12" ht="43.5" x14ac:dyDescent="0.35">
      <c r="A12984" s="6" t="s">
        <v>98</v>
      </c>
      <c r="B12984" s="6" t="s">
        <v>99</v>
      </c>
      <c r="C12984" s="6" t="s">
        <v>2612</v>
      </c>
      <c r="D12984" s="6" t="s">
        <v>14</v>
      </c>
      <c r="E12984" s="6" t="s">
        <v>39</v>
      </c>
      <c r="F12984" s="6" t="s">
        <v>494</v>
      </c>
      <c r="G12984" s="6" t="s">
        <v>664</v>
      </c>
      <c r="H12984" s="6" t="s">
        <v>2613</v>
      </c>
      <c r="I12984" s="6" t="s">
        <v>31</v>
      </c>
      <c r="J12984" s="6">
        <v>16.500358299999998</v>
      </c>
      <c r="K12984" s="6">
        <v>-97.555604000000002</v>
      </c>
      <c r="L12984" s="6" t="str">
        <f>HYPERLINK("https://maps.google.com/?q=16.5003583,-97.555604000000002", "🔗 Ver Mapa")</f>
        <v>🔗 Ver Mapa</v>
      </c>
    </row>
    <row r="12985" spans="1:12" ht="43.5" x14ac:dyDescent="0.35">
      <c r="A12985" s="5" t="s">
        <v>98</v>
      </c>
      <c r="B12985" s="5" t="s">
        <v>99</v>
      </c>
      <c r="C12985" s="5" t="s">
        <v>2612</v>
      </c>
      <c r="D12985" s="5" t="s">
        <v>14</v>
      </c>
      <c r="E12985" s="5" t="s">
        <v>39</v>
      </c>
      <c r="F12985" s="5" t="s">
        <v>494</v>
      </c>
      <c r="G12985" s="5" t="s">
        <v>664</v>
      </c>
      <c r="H12985" s="5" t="s">
        <v>2613</v>
      </c>
      <c r="I12985" s="5" t="s">
        <v>31</v>
      </c>
      <c r="J12985" s="5">
        <v>16.500566970000001</v>
      </c>
      <c r="K12985" s="5">
        <v>-97.555985120000003</v>
      </c>
      <c r="L12985" s="5" t="str">
        <f>HYPERLINK("https://maps.google.com/?q=16.50056697,-97.555985120000003", "🔗 Ver Mapa")</f>
        <v>🔗 Ver Mapa</v>
      </c>
    </row>
    <row r="12986" spans="1:12" ht="43.5" x14ac:dyDescent="0.35">
      <c r="A12986" s="6" t="s">
        <v>98</v>
      </c>
      <c r="B12986" s="6" t="s">
        <v>99</v>
      </c>
      <c r="C12986" s="6" t="s">
        <v>2612</v>
      </c>
      <c r="D12986" s="6" t="s">
        <v>14</v>
      </c>
      <c r="E12986" s="6" t="s">
        <v>39</v>
      </c>
      <c r="F12986" s="6" t="s">
        <v>494</v>
      </c>
      <c r="G12986" s="6" t="s">
        <v>664</v>
      </c>
      <c r="H12986" s="6" t="s">
        <v>2613</v>
      </c>
      <c r="I12986" s="6" t="s">
        <v>31</v>
      </c>
      <c r="J12986" s="6">
        <v>16.500855300000001</v>
      </c>
      <c r="K12986" s="6">
        <v>-97.557571499999995</v>
      </c>
      <c r="L12986" s="6" t="str">
        <f>HYPERLINK("https://maps.google.com/?q=16.5008553,-97.557571499999995", "🔗 Ver Mapa")</f>
        <v>🔗 Ver Mapa</v>
      </c>
    </row>
    <row r="12987" spans="1:12" ht="43.5" x14ac:dyDescent="0.35">
      <c r="A12987" s="5" t="s">
        <v>98</v>
      </c>
      <c r="B12987" s="5" t="s">
        <v>99</v>
      </c>
      <c r="C12987" s="5" t="s">
        <v>2612</v>
      </c>
      <c r="D12987" s="5" t="s">
        <v>14</v>
      </c>
      <c r="E12987" s="5" t="s">
        <v>39</v>
      </c>
      <c r="F12987" s="5" t="s">
        <v>494</v>
      </c>
      <c r="G12987" s="5" t="s">
        <v>664</v>
      </c>
      <c r="H12987" s="5" t="s">
        <v>2613</v>
      </c>
      <c r="I12987" s="5" t="s">
        <v>31</v>
      </c>
      <c r="J12987" s="5">
        <v>16.501299450000001</v>
      </c>
      <c r="K12987" s="5">
        <v>-97.556993599999998</v>
      </c>
      <c r="L12987" s="5" t="str">
        <f>HYPERLINK("https://maps.google.com/?q=16.50129945,-97.556993599999998", "🔗 Ver Mapa")</f>
        <v>🔗 Ver Mapa</v>
      </c>
    </row>
    <row r="12988" spans="1:12" ht="43.5" x14ac:dyDescent="0.35">
      <c r="A12988" s="6" t="s">
        <v>98</v>
      </c>
      <c r="B12988" s="6" t="s">
        <v>99</v>
      </c>
      <c r="C12988" s="6" t="s">
        <v>2612</v>
      </c>
      <c r="D12988" s="6" t="s">
        <v>14</v>
      </c>
      <c r="E12988" s="6" t="s">
        <v>39</v>
      </c>
      <c r="F12988" s="6" t="s">
        <v>494</v>
      </c>
      <c r="G12988" s="6" t="s">
        <v>664</v>
      </c>
      <c r="H12988" s="6" t="s">
        <v>2613</v>
      </c>
      <c r="I12988" s="6" t="s">
        <v>31</v>
      </c>
      <c r="J12988" s="6">
        <v>16.501341100000001</v>
      </c>
      <c r="K12988" s="6">
        <v>-97.557932899999997</v>
      </c>
      <c r="L12988" s="6" t="str">
        <f>HYPERLINK("https://maps.google.com/?q=16.5013411,-97.557932899999997", "🔗 Ver Mapa")</f>
        <v>🔗 Ver Mapa</v>
      </c>
    </row>
    <row r="12989" spans="1:12" ht="43.5" x14ac:dyDescent="0.35">
      <c r="A12989" s="5" t="s">
        <v>98</v>
      </c>
      <c r="B12989" s="5" t="s">
        <v>99</v>
      </c>
      <c r="C12989" s="5" t="s">
        <v>2612</v>
      </c>
      <c r="D12989" s="5" t="s">
        <v>14</v>
      </c>
      <c r="E12989" s="5" t="s">
        <v>39</v>
      </c>
      <c r="F12989" s="5" t="s">
        <v>494</v>
      </c>
      <c r="G12989" s="5" t="s">
        <v>664</v>
      </c>
      <c r="H12989" s="5" t="s">
        <v>2613</v>
      </c>
      <c r="I12989" s="5" t="s">
        <v>31</v>
      </c>
      <c r="J12989" s="5">
        <v>16.5013814</v>
      </c>
      <c r="K12989" s="5">
        <v>-97.555182200000004</v>
      </c>
      <c r="L12989" s="5" t="str">
        <f>HYPERLINK("https://maps.google.com/?q=16.5013814,-97.555182200000004", "🔗 Ver Mapa")</f>
        <v>🔗 Ver Mapa</v>
      </c>
    </row>
    <row r="12990" spans="1:12" ht="43.5" x14ac:dyDescent="0.35">
      <c r="A12990" s="6" t="s">
        <v>98</v>
      </c>
      <c r="B12990" s="6" t="s">
        <v>99</v>
      </c>
      <c r="C12990" s="6" t="s">
        <v>2612</v>
      </c>
      <c r="D12990" s="6" t="s">
        <v>14</v>
      </c>
      <c r="E12990" s="6" t="s">
        <v>39</v>
      </c>
      <c r="F12990" s="6" t="s">
        <v>494</v>
      </c>
      <c r="G12990" s="6" t="s">
        <v>664</v>
      </c>
      <c r="H12990" s="6" t="s">
        <v>2613</v>
      </c>
      <c r="I12990" s="6" t="s">
        <v>31</v>
      </c>
      <c r="J12990" s="6">
        <v>16.5015228</v>
      </c>
      <c r="K12990" s="6">
        <v>-97.558543099999994</v>
      </c>
      <c r="L12990" s="6" t="str">
        <f>HYPERLINK("https://maps.google.com/?q=16.5015228,-97.558543099999994", "🔗 Ver Mapa")</f>
        <v>🔗 Ver Mapa</v>
      </c>
    </row>
    <row r="12991" spans="1:12" ht="43.5" x14ac:dyDescent="0.35">
      <c r="A12991" s="5" t="s">
        <v>98</v>
      </c>
      <c r="B12991" s="5" t="s">
        <v>99</v>
      </c>
      <c r="C12991" s="5" t="s">
        <v>2612</v>
      </c>
      <c r="D12991" s="5" t="s">
        <v>14</v>
      </c>
      <c r="E12991" s="5" t="s">
        <v>39</v>
      </c>
      <c r="F12991" s="5" t="s">
        <v>494</v>
      </c>
      <c r="G12991" s="5" t="s">
        <v>664</v>
      </c>
      <c r="H12991" s="5" t="s">
        <v>2613</v>
      </c>
      <c r="I12991" s="5" t="s">
        <v>31</v>
      </c>
      <c r="J12991" s="5">
        <v>16.5016386</v>
      </c>
      <c r="K12991" s="5">
        <v>-97.555429599999997</v>
      </c>
      <c r="L12991" s="5" t="str">
        <f>HYPERLINK("https://maps.google.com/?q=16.5016386,-97.555429599999997", "🔗 Ver Mapa")</f>
        <v>🔗 Ver Mapa</v>
      </c>
    </row>
    <row r="12992" spans="1:12" ht="43.5" x14ac:dyDescent="0.35">
      <c r="A12992" s="6" t="s">
        <v>98</v>
      </c>
      <c r="B12992" s="6" t="s">
        <v>99</v>
      </c>
      <c r="C12992" s="6" t="s">
        <v>2612</v>
      </c>
      <c r="D12992" s="6" t="s">
        <v>14</v>
      </c>
      <c r="E12992" s="6" t="s">
        <v>39</v>
      </c>
      <c r="F12992" s="6" t="s">
        <v>494</v>
      </c>
      <c r="G12992" s="6" t="s">
        <v>664</v>
      </c>
      <c r="H12992" s="6" t="s">
        <v>2613</v>
      </c>
      <c r="I12992" s="6" t="s">
        <v>31</v>
      </c>
      <c r="J12992" s="6">
        <v>16.501875399999999</v>
      </c>
      <c r="K12992" s="6">
        <v>-97.556219499999997</v>
      </c>
      <c r="L12992" s="6" t="str">
        <f>HYPERLINK("https://maps.google.com/?q=16.5018754,-97.556219499999997", "🔗 Ver Mapa")</f>
        <v>🔗 Ver Mapa</v>
      </c>
    </row>
    <row r="12993" spans="1:12" ht="43.5" x14ac:dyDescent="0.35">
      <c r="A12993" s="5" t="s">
        <v>98</v>
      </c>
      <c r="B12993" s="5" t="s">
        <v>99</v>
      </c>
      <c r="C12993" s="5" t="s">
        <v>2612</v>
      </c>
      <c r="D12993" s="5" t="s">
        <v>14</v>
      </c>
      <c r="E12993" s="5" t="s">
        <v>39</v>
      </c>
      <c r="F12993" s="5" t="s">
        <v>494</v>
      </c>
      <c r="G12993" s="5" t="s">
        <v>664</v>
      </c>
      <c r="H12993" s="5" t="s">
        <v>2613</v>
      </c>
      <c r="I12993" s="5" t="s">
        <v>31</v>
      </c>
      <c r="J12993" s="5">
        <v>16.502011499999998</v>
      </c>
      <c r="K12993" s="5">
        <v>-97.557916300000002</v>
      </c>
      <c r="L12993" s="5" t="str">
        <f>HYPERLINK("https://maps.google.com/?q=16.5020115,-97.557916300000002", "🔗 Ver Mapa")</f>
        <v>🔗 Ver Mapa</v>
      </c>
    </row>
    <row r="12994" spans="1:12" ht="43.5" x14ac:dyDescent="0.35">
      <c r="A12994" s="6" t="s">
        <v>98</v>
      </c>
      <c r="B12994" s="6" t="s">
        <v>99</v>
      </c>
      <c r="C12994" s="6" t="s">
        <v>2612</v>
      </c>
      <c r="D12994" s="6" t="s">
        <v>14</v>
      </c>
      <c r="E12994" s="6" t="s">
        <v>39</v>
      </c>
      <c r="F12994" s="6" t="s">
        <v>494</v>
      </c>
      <c r="G12994" s="6" t="s">
        <v>664</v>
      </c>
      <c r="H12994" s="6" t="s">
        <v>2613</v>
      </c>
      <c r="I12994" s="6" t="s">
        <v>31</v>
      </c>
      <c r="J12994" s="6">
        <v>16.502092000000001</v>
      </c>
      <c r="K12994" s="6">
        <v>-97.555619399999998</v>
      </c>
      <c r="L12994" s="6" t="str">
        <f>HYPERLINK("https://maps.google.com/?q=16.502092,-97.555619399999998", "🔗 Ver Mapa")</f>
        <v>🔗 Ver Mapa</v>
      </c>
    </row>
    <row r="12995" spans="1:12" ht="43.5" x14ac:dyDescent="0.35">
      <c r="A12995" s="5" t="s">
        <v>98</v>
      </c>
      <c r="B12995" s="5" t="s">
        <v>99</v>
      </c>
      <c r="C12995" s="5" t="s">
        <v>2612</v>
      </c>
      <c r="D12995" s="5" t="s">
        <v>14</v>
      </c>
      <c r="E12995" s="5" t="s">
        <v>39</v>
      </c>
      <c r="F12995" s="5" t="s">
        <v>494</v>
      </c>
      <c r="G12995" s="5" t="s">
        <v>664</v>
      </c>
      <c r="H12995" s="5" t="s">
        <v>2613</v>
      </c>
      <c r="I12995" s="5" t="s">
        <v>31</v>
      </c>
      <c r="J12995" s="5">
        <v>16.502184100000001</v>
      </c>
      <c r="K12995" s="5">
        <v>-97.558238099999997</v>
      </c>
      <c r="L12995" s="5" t="str">
        <f>HYPERLINK("https://maps.google.com/?q=16.5021841,-97.558238099999997", "🔗 Ver Mapa")</f>
        <v>🔗 Ver Mapa</v>
      </c>
    </row>
    <row r="12996" spans="1:12" ht="43.5" x14ac:dyDescent="0.35">
      <c r="A12996" s="6" t="s">
        <v>98</v>
      </c>
      <c r="B12996" s="6" t="s">
        <v>99</v>
      </c>
      <c r="C12996" s="6" t="s">
        <v>2612</v>
      </c>
      <c r="D12996" s="6" t="s">
        <v>14</v>
      </c>
      <c r="E12996" s="6" t="s">
        <v>39</v>
      </c>
      <c r="F12996" s="6" t="s">
        <v>494</v>
      </c>
      <c r="G12996" s="6" t="s">
        <v>664</v>
      </c>
      <c r="H12996" s="6" t="s">
        <v>2613</v>
      </c>
      <c r="I12996" s="6" t="s">
        <v>31</v>
      </c>
      <c r="J12996" s="6">
        <v>16.502355999999999</v>
      </c>
      <c r="K12996" s="6">
        <v>-97.555161999999996</v>
      </c>
      <c r="L12996" s="6" t="str">
        <f>HYPERLINK("https://maps.google.com/?q=16.502356,-97.555161999999996", "🔗 Ver Mapa")</f>
        <v>🔗 Ver Mapa</v>
      </c>
    </row>
    <row r="12997" spans="1:12" ht="43.5" x14ac:dyDescent="0.35">
      <c r="A12997" s="5" t="s">
        <v>98</v>
      </c>
      <c r="B12997" s="5" t="s">
        <v>99</v>
      </c>
      <c r="C12997" s="5" t="s">
        <v>2612</v>
      </c>
      <c r="D12997" s="5" t="s">
        <v>14</v>
      </c>
      <c r="E12997" s="5" t="s">
        <v>39</v>
      </c>
      <c r="F12997" s="5" t="s">
        <v>494</v>
      </c>
      <c r="G12997" s="5" t="s">
        <v>664</v>
      </c>
      <c r="H12997" s="5" t="s">
        <v>2613</v>
      </c>
      <c r="I12997" s="5" t="s">
        <v>31</v>
      </c>
      <c r="J12997" s="5">
        <v>16.502406799999999</v>
      </c>
      <c r="K12997" s="5">
        <v>-97.556161099999997</v>
      </c>
      <c r="L12997" s="5" t="str">
        <f>HYPERLINK("https://maps.google.com/?q=16.5024068,-97.556161099999997", "🔗 Ver Mapa")</f>
        <v>🔗 Ver Mapa</v>
      </c>
    </row>
    <row r="12998" spans="1:12" ht="43.5" x14ac:dyDescent="0.35">
      <c r="A12998" s="6" t="s">
        <v>98</v>
      </c>
      <c r="B12998" s="6" t="s">
        <v>99</v>
      </c>
      <c r="C12998" s="6" t="s">
        <v>2612</v>
      </c>
      <c r="D12998" s="6" t="s">
        <v>14</v>
      </c>
      <c r="E12998" s="6" t="s">
        <v>39</v>
      </c>
      <c r="F12998" s="6" t="s">
        <v>494</v>
      </c>
      <c r="G12998" s="6" t="s">
        <v>664</v>
      </c>
      <c r="H12998" s="6" t="s">
        <v>2613</v>
      </c>
      <c r="I12998" s="6" t="s">
        <v>31</v>
      </c>
      <c r="J12998" s="6">
        <v>16.502439800000001</v>
      </c>
      <c r="K12998" s="6">
        <v>-97.557668000000007</v>
      </c>
      <c r="L12998" s="6" t="str">
        <f>HYPERLINK("https://maps.google.com/?q=16.5024398,-97.557668000000007", "🔗 Ver Mapa")</f>
        <v>🔗 Ver Mapa</v>
      </c>
    </row>
    <row r="12999" spans="1:12" ht="43.5" x14ac:dyDescent="0.35">
      <c r="A12999" s="5" t="s">
        <v>98</v>
      </c>
      <c r="B12999" s="5" t="s">
        <v>99</v>
      </c>
      <c r="C12999" s="5" t="s">
        <v>2612</v>
      </c>
      <c r="D12999" s="5" t="s">
        <v>14</v>
      </c>
      <c r="E12999" s="5" t="s">
        <v>39</v>
      </c>
      <c r="F12999" s="5" t="s">
        <v>494</v>
      </c>
      <c r="G12999" s="5" t="s">
        <v>664</v>
      </c>
      <c r="H12999" s="5" t="s">
        <v>2613</v>
      </c>
      <c r="I12999" s="5" t="s">
        <v>31</v>
      </c>
      <c r="J12999" s="5">
        <v>16.502570500000001</v>
      </c>
      <c r="K12999" s="5">
        <v>-97.559318399999995</v>
      </c>
      <c r="L12999" s="5" t="str">
        <f>HYPERLINK("https://maps.google.com/?q=16.5025705,-97.559318399999995", "🔗 Ver Mapa")</f>
        <v>🔗 Ver Mapa</v>
      </c>
    </row>
    <row r="13000" spans="1:12" ht="43.5" x14ac:dyDescent="0.35">
      <c r="A13000" s="6" t="s">
        <v>98</v>
      </c>
      <c r="B13000" s="6" t="s">
        <v>99</v>
      </c>
      <c r="C13000" s="6" t="s">
        <v>2612</v>
      </c>
      <c r="D13000" s="6" t="s">
        <v>14</v>
      </c>
      <c r="E13000" s="6" t="s">
        <v>39</v>
      </c>
      <c r="F13000" s="6" t="s">
        <v>494</v>
      </c>
      <c r="G13000" s="6" t="s">
        <v>664</v>
      </c>
      <c r="H13000" s="6" t="s">
        <v>2613</v>
      </c>
      <c r="I13000" s="6" t="s">
        <v>31</v>
      </c>
      <c r="J13000" s="6">
        <v>16.502633100000001</v>
      </c>
      <c r="K13000" s="6">
        <v>-97.5554889</v>
      </c>
      <c r="L13000" s="6" t="str">
        <f>HYPERLINK("https://maps.google.com/?q=16.5026331,-97.5554889", "🔗 Ver Mapa")</f>
        <v>🔗 Ver Mapa</v>
      </c>
    </row>
    <row r="13001" spans="1:12" ht="43.5" x14ac:dyDescent="0.35">
      <c r="A13001" s="5" t="s">
        <v>98</v>
      </c>
      <c r="B13001" s="5" t="s">
        <v>99</v>
      </c>
      <c r="C13001" s="5" t="s">
        <v>2612</v>
      </c>
      <c r="D13001" s="5" t="s">
        <v>14</v>
      </c>
      <c r="E13001" s="5" t="s">
        <v>39</v>
      </c>
      <c r="F13001" s="5" t="s">
        <v>494</v>
      </c>
      <c r="G13001" s="5" t="s">
        <v>664</v>
      </c>
      <c r="H13001" s="5" t="s">
        <v>2613</v>
      </c>
      <c r="I13001" s="5" t="s">
        <v>31</v>
      </c>
      <c r="J13001" s="5">
        <v>16.502704600000001</v>
      </c>
      <c r="K13001" s="5">
        <v>-97.556322699999996</v>
      </c>
      <c r="L13001" s="5" t="str">
        <f>HYPERLINK("https://maps.google.com/?q=16.5027046,-97.556322699999996", "🔗 Ver Mapa")</f>
        <v>🔗 Ver Mapa</v>
      </c>
    </row>
    <row r="13002" spans="1:12" ht="43.5" x14ac:dyDescent="0.35">
      <c r="A13002" s="6" t="s">
        <v>98</v>
      </c>
      <c r="B13002" s="6" t="s">
        <v>99</v>
      </c>
      <c r="C13002" s="6" t="s">
        <v>2612</v>
      </c>
      <c r="D13002" s="6" t="s">
        <v>14</v>
      </c>
      <c r="E13002" s="6" t="s">
        <v>39</v>
      </c>
      <c r="F13002" s="6" t="s">
        <v>494</v>
      </c>
      <c r="G13002" s="6" t="s">
        <v>664</v>
      </c>
      <c r="H13002" s="6" t="s">
        <v>2613</v>
      </c>
      <c r="I13002" s="6" t="s">
        <v>31</v>
      </c>
      <c r="J13002" s="6">
        <v>16.502883799999999</v>
      </c>
      <c r="K13002" s="6">
        <v>-97.558965099999995</v>
      </c>
      <c r="L13002" s="6" t="str">
        <f>HYPERLINK("https://maps.google.com/?q=16.5028838,-97.558965099999995", "🔗 Ver Mapa")</f>
        <v>🔗 Ver Mapa</v>
      </c>
    </row>
    <row r="13003" spans="1:12" ht="43.5" x14ac:dyDescent="0.35">
      <c r="A13003" s="5" t="s">
        <v>98</v>
      </c>
      <c r="B13003" s="5" t="s">
        <v>99</v>
      </c>
      <c r="C13003" s="5" t="s">
        <v>2612</v>
      </c>
      <c r="D13003" s="5" t="s">
        <v>14</v>
      </c>
      <c r="E13003" s="5" t="s">
        <v>39</v>
      </c>
      <c r="F13003" s="5" t="s">
        <v>494</v>
      </c>
      <c r="G13003" s="5" t="s">
        <v>664</v>
      </c>
      <c r="H13003" s="5" t="s">
        <v>2613</v>
      </c>
      <c r="I13003" s="5" t="s">
        <v>31</v>
      </c>
      <c r="J13003" s="5">
        <v>16.5029988</v>
      </c>
      <c r="K13003" s="5">
        <v>-97.559075000000007</v>
      </c>
      <c r="L13003" s="5" t="str">
        <f>HYPERLINK("https://maps.google.com/?q=16.5029988,-97.559075000000007", "🔗 Ver Mapa")</f>
        <v>🔗 Ver Mapa</v>
      </c>
    </row>
    <row r="13004" spans="1:12" ht="43.5" x14ac:dyDescent="0.35">
      <c r="A13004" s="6" t="s">
        <v>98</v>
      </c>
      <c r="B13004" s="6" t="s">
        <v>99</v>
      </c>
      <c r="C13004" s="6" t="s">
        <v>2612</v>
      </c>
      <c r="D13004" s="6" t="s">
        <v>14</v>
      </c>
      <c r="E13004" s="6" t="s">
        <v>39</v>
      </c>
      <c r="F13004" s="6" t="s">
        <v>494</v>
      </c>
      <c r="G13004" s="6" t="s">
        <v>664</v>
      </c>
      <c r="H13004" s="6" t="s">
        <v>2613</v>
      </c>
      <c r="I13004" s="6" t="s">
        <v>31</v>
      </c>
      <c r="J13004" s="6">
        <v>16.503086100000001</v>
      </c>
      <c r="K13004" s="6">
        <v>-97.557032300000003</v>
      </c>
      <c r="L13004" s="6" t="str">
        <f>HYPERLINK("https://maps.google.com/?q=16.5030861,-97.557032300000003", "🔗 Ver Mapa")</f>
        <v>🔗 Ver Mapa</v>
      </c>
    </row>
    <row r="13005" spans="1:12" ht="43.5" x14ac:dyDescent="0.35">
      <c r="A13005" s="5" t="s">
        <v>98</v>
      </c>
      <c r="B13005" s="5" t="s">
        <v>99</v>
      </c>
      <c r="C13005" s="5" t="s">
        <v>2612</v>
      </c>
      <c r="D13005" s="5" t="s">
        <v>14</v>
      </c>
      <c r="E13005" s="5" t="s">
        <v>39</v>
      </c>
      <c r="F13005" s="5" t="s">
        <v>494</v>
      </c>
      <c r="G13005" s="5" t="s">
        <v>664</v>
      </c>
      <c r="H13005" s="5" t="s">
        <v>2613</v>
      </c>
      <c r="I13005" s="5" t="s">
        <v>31</v>
      </c>
      <c r="J13005" s="5">
        <v>16.503229699999999</v>
      </c>
      <c r="K13005" s="5">
        <v>-97.557350700000001</v>
      </c>
      <c r="L13005" s="5" t="str">
        <f>HYPERLINK("https://maps.google.com/?q=16.5032297,-97.557350700000001", "🔗 Ver Mapa")</f>
        <v>🔗 Ver Mapa</v>
      </c>
    </row>
    <row r="13006" spans="1:12" ht="43.5" x14ac:dyDescent="0.35">
      <c r="A13006" s="6" t="s">
        <v>98</v>
      </c>
      <c r="B13006" s="6" t="s">
        <v>99</v>
      </c>
      <c r="C13006" s="6" t="s">
        <v>2612</v>
      </c>
      <c r="D13006" s="6" t="s">
        <v>14</v>
      </c>
      <c r="E13006" s="6" t="s">
        <v>39</v>
      </c>
      <c r="F13006" s="6" t="s">
        <v>494</v>
      </c>
      <c r="G13006" s="6" t="s">
        <v>664</v>
      </c>
      <c r="H13006" s="6" t="s">
        <v>2613</v>
      </c>
      <c r="I13006" s="6" t="s">
        <v>31</v>
      </c>
      <c r="J13006" s="6">
        <v>16.5033727</v>
      </c>
      <c r="K13006" s="6">
        <v>-97.560510199999996</v>
      </c>
      <c r="L13006" s="6" t="str">
        <f>HYPERLINK("https://maps.google.com/?q=16.5033727,-97.560510199999996", "🔗 Ver Mapa")</f>
        <v>🔗 Ver Mapa</v>
      </c>
    </row>
    <row r="13007" spans="1:12" ht="43.5" x14ac:dyDescent="0.35">
      <c r="A13007" s="5" t="s">
        <v>98</v>
      </c>
      <c r="B13007" s="5" t="s">
        <v>99</v>
      </c>
      <c r="C13007" s="5" t="s">
        <v>2612</v>
      </c>
      <c r="D13007" s="5" t="s">
        <v>14</v>
      </c>
      <c r="E13007" s="5" t="s">
        <v>39</v>
      </c>
      <c r="F13007" s="5" t="s">
        <v>494</v>
      </c>
      <c r="G13007" s="5" t="s">
        <v>664</v>
      </c>
      <c r="H13007" s="5" t="s">
        <v>2613</v>
      </c>
      <c r="I13007" s="5" t="s">
        <v>31</v>
      </c>
      <c r="J13007" s="5">
        <v>16.503551600000002</v>
      </c>
      <c r="K13007" s="5">
        <v>-97.557626299999995</v>
      </c>
      <c r="L13007" s="5" t="str">
        <f>HYPERLINK("https://maps.google.com/?q=16.5035516,-97.557626299999995", "🔗 Ver Mapa")</f>
        <v>🔗 Ver Mapa</v>
      </c>
    </row>
    <row r="13008" spans="1:12" ht="43.5" x14ac:dyDescent="0.35">
      <c r="A13008" s="6" t="s">
        <v>98</v>
      </c>
      <c r="B13008" s="6" t="s">
        <v>99</v>
      </c>
      <c r="C13008" s="6" t="s">
        <v>2612</v>
      </c>
      <c r="D13008" s="6" t="s">
        <v>14</v>
      </c>
      <c r="E13008" s="6" t="s">
        <v>39</v>
      </c>
      <c r="F13008" s="6" t="s">
        <v>494</v>
      </c>
      <c r="G13008" s="6" t="s">
        <v>664</v>
      </c>
      <c r="H13008" s="6" t="s">
        <v>2613</v>
      </c>
      <c r="I13008" s="6" t="s">
        <v>31</v>
      </c>
      <c r="J13008" s="6">
        <v>16.5037418</v>
      </c>
      <c r="K13008" s="6">
        <v>-97.557563599999995</v>
      </c>
      <c r="L13008" s="6" t="str">
        <f>HYPERLINK("https://maps.google.com/?q=16.5037418,-97.557563599999995", "🔗 Ver Mapa")</f>
        <v>🔗 Ver Mapa</v>
      </c>
    </row>
    <row r="13009" spans="1:12" ht="43.5" x14ac:dyDescent="0.35">
      <c r="A13009" s="5" t="s">
        <v>98</v>
      </c>
      <c r="B13009" s="5" t="s">
        <v>99</v>
      </c>
      <c r="C13009" s="5" t="s">
        <v>2612</v>
      </c>
      <c r="D13009" s="5" t="s">
        <v>14</v>
      </c>
      <c r="E13009" s="5" t="s">
        <v>39</v>
      </c>
      <c r="F13009" s="5" t="s">
        <v>494</v>
      </c>
      <c r="G13009" s="5" t="s">
        <v>664</v>
      </c>
      <c r="H13009" s="5" t="s">
        <v>2613</v>
      </c>
      <c r="I13009" s="5" t="s">
        <v>31</v>
      </c>
      <c r="J13009" s="5">
        <v>16.503899499999999</v>
      </c>
      <c r="K13009" s="5">
        <v>-97.558021999999994</v>
      </c>
      <c r="L13009" s="5" t="str">
        <f>HYPERLINK("https://maps.google.com/?q=16.5038995,-97.558021999999994", "🔗 Ver Mapa")</f>
        <v>🔗 Ver Mapa</v>
      </c>
    </row>
    <row r="13010" spans="1:12" ht="43.5" x14ac:dyDescent="0.35">
      <c r="A13010" s="6" t="s">
        <v>98</v>
      </c>
      <c r="B13010" s="6" t="s">
        <v>99</v>
      </c>
      <c r="C13010" s="6" t="s">
        <v>2612</v>
      </c>
      <c r="D13010" s="6" t="s">
        <v>14</v>
      </c>
      <c r="E13010" s="6" t="s">
        <v>39</v>
      </c>
      <c r="F13010" s="6" t="s">
        <v>494</v>
      </c>
      <c r="G13010" s="6" t="s">
        <v>664</v>
      </c>
      <c r="H13010" s="6" t="s">
        <v>2613</v>
      </c>
      <c r="I13010" s="6" t="s">
        <v>31</v>
      </c>
      <c r="J13010" s="6">
        <v>16.503957799999998</v>
      </c>
      <c r="K13010" s="6">
        <v>-97.557001799999995</v>
      </c>
      <c r="L13010" s="6" t="str">
        <f>HYPERLINK("https://maps.google.com/?q=16.5039578,-97.557001799999995", "🔗 Ver Mapa")</f>
        <v>🔗 Ver Mapa</v>
      </c>
    </row>
    <row r="13011" spans="1:12" ht="43.5" x14ac:dyDescent="0.35">
      <c r="A13011" s="5" t="s">
        <v>98</v>
      </c>
      <c r="B13011" s="5" t="s">
        <v>99</v>
      </c>
      <c r="C13011" s="5" t="s">
        <v>2612</v>
      </c>
      <c r="D13011" s="5" t="s">
        <v>14</v>
      </c>
      <c r="E13011" s="5" t="s">
        <v>39</v>
      </c>
      <c r="F13011" s="5" t="s">
        <v>494</v>
      </c>
      <c r="G13011" s="5" t="s">
        <v>664</v>
      </c>
      <c r="H13011" s="5" t="s">
        <v>2613</v>
      </c>
      <c r="I13011" s="5" t="s">
        <v>31</v>
      </c>
      <c r="J13011" s="5">
        <v>16.5040218</v>
      </c>
      <c r="K13011" s="5">
        <v>-97.558339700000005</v>
      </c>
      <c r="L13011" s="5" t="str">
        <f>HYPERLINK("https://maps.google.com/?q=16.5040218,-97.558339700000005", "🔗 Ver Mapa")</f>
        <v>🔗 Ver Mapa</v>
      </c>
    </row>
    <row r="13012" spans="1:12" ht="43.5" x14ac:dyDescent="0.35">
      <c r="A13012" s="6" t="s">
        <v>98</v>
      </c>
      <c r="B13012" s="6" t="s">
        <v>99</v>
      </c>
      <c r="C13012" s="6" t="s">
        <v>2612</v>
      </c>
      <c r="D13012" s="6" t="s">
        <v>14</v>
      </c>
      <c r="E13012" s="6" t="s">
        <v>39</v>
      </c>
      <c r="F13012" s="6" t="s">
        <v>494</v>
      </c>
      <c r="G13012" s="6" t="s">
        <v>664</v>
      </c>
      <c r="H13012" s="6" t="s">
        <v>2613</v>
      </c>
      <c r="I13012" s="6" t="s">
        <v>31</v>
      </c>
      <c r="J13012" s="6">
        <v>16.504160200000001</v>
      </c>
      <c r="K13012" s="6">
        <v>-97.554892899999999</v>
      </c>
      <c r="L13012" s="6" t="str">
        <f>HYPERLINK("https://maps.google.com/?q=16.5041602,-97.554892899999999", "🔗 Ver Mapa")</f>
        <v>🔗 Ver Mapa</v>
      </c>
    </row>
    <row r="13013" spans="1:12" ht="43.5" x14ac:dyDescent="0.35">
      <c r="A13013" s="5" t="s">
        <v>98</v>
      </c>
      <c r="B13013" s="5" t="s">
        <v>99</v>
      </c>
      <c r="C13013" s="5" t="s">
        <v>2612</v>
      </c>
      <c r="D13013" s="5" t="s">
        <v>14</v>
      </c>
      <c r="E13013" s="5" t="s">
        <v>39</v>
      </c>
      <c r="F13013" s="5" t="s">
        <v>494</v>
      </c>
      <c r="G13013" s="5" t="s">
        <v>664</v>
      </c>
      <c r="H13013" s="5" t="s">
        <v>2613</v>
      </c>
      <c r="I13013" s="5" t="s">
        <v>31</v>
      </c>
      <c r="J13013" s="5">
        <v>16.504266900000001</v>
      </c>
      <c r="K13013" s="5">
        <v>-97.557000000000002</v>
      </c>
      <c r="L13013" s="5" t="str">
        <f>HYPERLINK("https://maps.google.com/?q=16.5042669,-97.557000000000002", "🔗 Ver Mapa")</f>
        <v>🔗 Ver Mapa</v>
      </c>
    </row>
    <row r="13014" spans="1:12" ht="43.5" x14ac:dyDescent="0.35">
      <c r="A13014" s="6" t="s">
        <v>98</v>
      </c>
      <c r="B13014" s="6" t="s">
        <v>99</v>
      </c>
      <c r="C13014" s="6" t="s">
        <v>2612</v>
      </c>
      <c r="D13014" s="6" t="s">
        <v>14</v>
      </c>
      <c r="E13014" s="6" t="s">
        <v>39</v>
      </c>
      <c r="F13014" s="6" t="s">
        <v>494</v>
      </c>
      <c r="G13014" s="6" t="s">
        <v>664</v>
      </c>
      <c r="H13014" s="6" t="s">
        <v>2613</v>
      </c>
      <c r="I13014" s="6" t="s">
        <v>31</v>
      </c>
      <c r="J13014" s="6">
        <v>16.504324100000002</v>
      </c>
      <c r="K13014" s="6">
        <v>-97.554555500000006</v>
      </c>
      <c r="L13014" s="6" t="str">
        <f>HYPERLINK("https://maps.google.com/?q=16.5043241,-97.554555500000006", "🔗 Ver Mapa")</f>
        <v>🔗 Ver Mapa</v>
      </c>
    </row>
    <row r="13015" spans="1:12" ht="43.5" x14ac:dyDescent="0.35">
      <c r="A13015" s="5" t="s">
        <v>98</v>
      </c>
      <c r="B13015" s="5" t="s">
        <v>99</v>
      </c>
      <c r="C13015" s="5" t="s">
        <v>2612</v>
      </c>
      <c r="D13015" s="5" t="s">
        <v>14</v>
      </c>
      <c r="E13015" s="5" t="s">
        <v>39</v>
      </c>
      <c r="F13015" s="5" t="s">
        <v>494</v>
      </c>
      <c r="G13015" s="5" t="s">
        <v>664</v>
      </c>
      <c r="H13015" s="5" t="s">
        <v>2613</v>
      </c>
      <c r="I13015" s="5" t="s">
        <v>31</v>
      </c>
      <c r="J13015" s="5">
        <v>16.504487350000002</v>
      </c>
      <c r="K13015" s="5">
        <v>-97.556742799999995</v>
      </c>
      <c r="L13015" s="5" t="str">
        <f>HYPERLINK("https://maps.google.com/?q=16.50448735,-97.556742799999995", "🔗 Ver Mapa")</f>
        <v>🔗 Ver Mapa</v>
      </c>
    </row>
    <row r="13016" spans="1:12" ht="43.5" x14ac:dyDescent="0.35">
      <c r="A13016" s="6" t="s">
        <v>98</v>
      </c>
      <c r="B13016" s="6" t="s">
        <v>99</v>
      </c>
      <c r="C13016" s="6" t="s">
        <v>2612</v>
      </c>
      <c r="D13016" s="6" t="s">
        <v>14</v>
      </c>
      <c r="E13016" s="6" t="s">
        <v>39</v>
      </c>
      <c r="F13016" s="6" t="s">
        <v>494</v>
      </c>
      <c r="G13016" s="6" t="s">
        <v>664</v>
      </c>
      <c r="H13016" s="6" t="s">
        <v>2613</v>
      </c>
      <c r="I13016" s="6" t="s">
        <v>31</v>
      </c>
      <c r="J13016" s="6">
        <v>16.504574999999999</v>
      </c>
      <c r="K13016" s="6">
        <v>-97.555367000000004</v>
      </c>
      <c r="L13016" s="6" t="str">
        <f>HYPERLINK("https://maps.google.com/?q=16.504575,-97.555367000000004", "🔗 Ver Mapa")</f>
        <v>🔗 Ver Mapa</v>
      </c>
    </row>
    <row r="13017" spans="1:12" ht="43.5" x14ac:dyDescent="0.35">
      <c r="A13017" s="5" t="s">
        <v>98</v>
      </c>
      <c r="B13017" s="5" t="s">
        <v>99</v>
      </c>
      <c r="C13017" s="5" t="s">
        <v>2612</v>
      </c>
      <c r="D13017" s="5" t="s">
        <v>14</v>
      </c>
      <c r="E13017" s="5" t="s">
        <v>39</v>
      </c>
      <c r="F13017" s="5" t="s">
        <v>494</v>
      </c>
      <c r="G13017" s="5" t="s">
        <v>664</v>
      </c>
      <c r="H13017" s="5" t="s">
        <v>2613</v>
      </c>
      <c r="I13017" s="5" t="s">
        <v>31</v>
      </c>
      <c r="J13017" s="5">
        <v>16.504815860000001</v>
      </c>
      <c r="K13017" s="5">
        <v>-97.557101200000005</v>
      </c>
      <c r="L13017" s="5" t="str">
        <f>HYPERLINK("https://maps.google.com/?q=16.50481586,-97.557101200000005", "🔗 Ver Mapa")</f>
        <v>🔗 Ver Mapa</v>
      </c>
    </row>
    <row r="13018" spans="1:12" ht="43.5" x14ac:dyDescent="0.35">
      <c r="A13018" s="6" t="s">
        <v>98</v>
      </c>
      <c r="B13018" s="6" t="s">
        <v>99</v>
      </c>
      <c r="C13018" s="6" t="s">
        <v>2612</v>
      </c>
      <c r="D13018" s="6" t="s">
        <v>14</v>
      </c>
      <c r="E13018" s="6" t="s">
        <v>39</v>
      </c>
      <c r="F13018" s="6" t="s">
        <v>494</v>
      </c>
      <c r="G13018" s="6" t="s">
        <v>664</v>
      </c>
      <c r="H13018" s="6" t="s">
        <v>2613</v>
      </c>
      <c r="I13018" s="6" t="s">
        <v>31</v>
      </c>
      <c r="J13018" s="6">
        <v>16.5050326</v>
      </c>
      <c r="K13018" s="6">
        <v>-97.555158030000001</v>
      </c>
      <c r="L13018" s="6" t="str">
        <f>HYPERLINK("https://maps.google.com/?q=16.5050326,-97.555158030000001", "🔗 Ver Mapa")</f>
        <v>🔗 Ver Mapa</v>
      </c>
    </row>
    <row r="13019" spans="1:12" ht="43.5" x14ac:dyDescent="0.35">
      <c r="A13019" s="5" t="s">
        <v>98</v>
      </c>
      <c r="B13019" s="5" t="s">
        <v>99</v>
      </c>
      <c r="C13019" s="5" t="s">
        <v>2612</v>
      </c>
      <c r="D13019" s="5" t="s">
        <v>14</v>
      </c>
      <c r="E13019" s="5" t="s">
        <v>39</v>
      </c>
      <c r="F13019" s="5" t="s">
        <v>494</v>
      </c>
      <c r="G13019" s="5" t="s">
        <v>664</v>
      </c>
      <c r="H13019" s="5" t="s">
        <v>2613</v>
      </c>
      <c r="I13019" s="5" t="s">
        <v>31</v>
      </c>
      <c r="J13019" s="5">
        <v>16.505170289999999</v>
      </c>
      <c r="K13019" s="5">
        <v>-97.557307800000004</v>
      </c>
      <c r="L13019" s="5" t="str">
        <f>HYPERLINK("https://maps.google.com/?q=16.50517029,-97.557307800000004", "🔗 Ver Mapa")</f>
        <v>🔗 Ver Mapa</v>
      </c>
    </row>
    <row r="13020" spans="1:12" ht="43.5" x14ac:dyDescent="0.35">
      <c r="A13020" s="6" t="s">
        <v>98</v>
      </c>
      <c r="B13020" s="6" t="s">
        <v>99</v>
      </c>
      <c r="C13020" s="6" t="s">
        <v>2612</v>
      </c>
      <c r="D13020" s="6" t="s">
        <v>14</v>
      </c>
      <c r="E13020" s="6" t="s">
        <v>39</v>
      </c>
      <c r="F13020" s="6" t="s">
        <v>494</v>
      </c>
      <c r="G13020" s="6" t="s">
        <v>664</v>
      </c>
      <c r="H13020" s="6" t="s">
        <v>2613</v>
      </c>
      <c r="I13020" s="6" t="s">
        <v>31</v>
      </c>
      <c r="J13020" s="6">
        <v>16.505285400000002</v>
      </c>
      <c r="K13020" s="6">
        <v>-97.5580389</v>
      </c>
      <c r="L13020" s="6" t="str">
        <f>HYPERLINK("https://maps.google.com/?q=16.5052854,-97.5580389", "🔗 Ver Mapa")</f>
        <v>🔗 Ver Mapa</v>
      </c>
    </row>
    <row r="13021" spans="1:12" ht="43.5" x14ac:dyDescent="0.35">
      <c r="A13021" s="5" t="s">
        <v>98</v>
      </c>
      <c r="B13021" s="5" t="s">
        <v>99</v>
      </c>
      <c r="C13021" s="5" t="s">
        <v>2612</v>
      </c>
      <c r="D13021" s="5" t="s">
        <v>14</v>
      </c>
      <c r="E13021" s="5" t="s">
        <v>39</v>
      </c>
      <c r="F13021" s="5" t="s">
        <v>494</v>
      </c>
      <c r="G13021" s="5" t="s">
        <v>664</v>
      </c>
      <c r="H13021" s="5" t="s">
        <v>2613</v>
      </c>
      <c r="I13021" s="5" t="s">
        <v>31</v>
      </c>
      <c r="J13021" s="5">
        <v>16.505378199999999</v>
      </c>
      <c r="K13021" s="5">
        <v>-97.556824700000007</v>
      </c>
      <c r="L13021" s="5" t="str">
        <f>HYPERLINK("https://maps.google.com/?q=16.5053782,-97.556824700000007", "🔗 Ver Mapa")</f>
        <v>🔗 Ver Mapa</v>
      </c>
    </row>
    <row r="13022" spans="1:12" ht="43.5" x14ac:dyDescent="0.35">
      <c r="A13022" s="6" t="s">
        <v>98</v>
      </c>
      <c r="B13022" s="6" t="s">
        <v>99</v>
      </c>
      <c r="C13022" s="6" t="s">
        <v>2612</v>
      </c>
      <c r="D13022" s="6" t="s">
        <v>14</v>
      </c>
      <c r="E13022" s="6" t="s">
        <v>39</v>
      </c>
      <c r="F13022" s="6" t="s">
        <v>494</v>
      </c>
      <c r="G13022" s="6" t="s">
        <v>664</v>
      </c>
      <c r="H13022" s="6" t="s">
        <v>2613</v>
      </c>
      <c r="I13022" s="6" t="s">
        <v>31</v>
      </c>
      <c r="J13022" s="6">
        <v>16.505471799999999</v>
      </c>
      <c r="K13022" s="6">
        <v>-97.555564700000005</v>
      </c>
      <c r="L13022" s="6" t="str">
        <f>HYPERLINK("https://maps.google.com/?q=16.5054718,-97.555564700000005", "🔗 Ver Mapa")</f>
        <v>🔗 Ver Mapa</v>
      </c>
    </row>
    <row r="13023" spans="1:12" ht="43.5" x14ac:dyDescent="0.35">
      <c r="A13023" s="5" t="s">
        <v>98</v>
      </c>
      <c r="B13023" s="5" t="s">
        <v>99</v>
      </c>
      <c r="C13023" s="5" t="s">
        <v>2612</v>
      </c>
      <c r="D13023" s="5" t="s">
        <v>14</v>
      </c>
      <c r="E13023" s="5" t="s">
        <v>39</v>
      </c>
      <c r="F13023" s="5" t="s">
        <v>494</v>
      </c>
      <c r="G13023" s="5" t="s">
        <v>664</v>
      </c>
      <c r="H13023" s="5" t="s">
        <v>2613</v>
      </c>
      <c r="I13023" s="5" t="s">
        <v>31</v>
      </c>
      <c r="J13023" s="5">
        <v>16.505620100000002</v>
      </c>
      <c r="K13023" s="5">
        <v>-97.556816900000001</v>
      </c>
      <c r="L13023" s="5" t="str">
        <f>HYPERLINK("https://maps.google.com/?q=16.5056201,-97.556816900000001", "🔗 Ver Mapa")</f>
        <v>🔗 Ver Mapa</v>
      </c>
    </row>
    <row r="13024" spans="1:12" ht="43.5" x14ac:dyDescent="0.35">
      <c r="A13024" s="6" t="s">
        <v>98</v>
      </c>
      <c r="B13024" s="6" t="s">
        <v>99</v>
      </c>
      <c r="C13024" s="6" t="s">
        <v>2612</v>
      </c>
      <c r="D13024" s="6" t="s">
        <v>14</v>
      </c>
      <c r="E13024" s="6" t="s">
        <v>39</v>
      </c>
      <c r="F13024" s="6" t="s">
        <v>494</v>
      </c>
      <c r="G13024" s="6" t="s">
        <v>664</v>
      </c>
      <c r="H13024" s="6" t="s">
        <v>2613</v>
      </c>
      <c r="I13024" s="6" t="s">
        <v>31</v>
      </c>
      <c r="J13024" s="6">
        <v>16.505827400000001</v>
      </c>
      <c r="K13024" s="6">
        <v>-97.553993599999998</v>
      </c>
      <c r="L13024" s="6" t="str">
        <f>HYPERLINK("https://maps.google.com/?q=16.5058274,-97.553993599999998", "🔗 Ver Mapa")</f>
        <v>🔗 Ver Mapa</v>
      </c>
    </row>
    <row r="13025" spans="1:12" ht="43.5" x14ac:dyDescent="0.35">
      <c r="A13025" s="5" t="s">
        <v>98</v>
      </c>
      <c r="B13025" s="5" t="s">
        <v>99</v>
      </c>
      <c r="C13025" s="5" t="s">
        <v>2612</v>
      </c>
      <c r="D13025" s="5" t="s">
        <v>14</v>
      </c>
      <c r="E13025" s="5" t="s">
        <v>39</v>
      </c>
      <c r="F13025" s="5" t="s">
        <v>494</v>
      </c>
      <c r="G13025" s="5" t="s">
        <v>664</v>
      </c>
      <c r="H13025" s="5" t="s">
        <v>2613</v>
      </c>
      <c r="I13025" s="5" t="s">
        <v>31</v>
      </c>
      <c r="J13025" s="5">
        <v>16.506032999999999</v>
      </c>
      <c r="K13025" s="5">
        <v>-97.560884999999999</v>
      </c>
      <c r="L13025" s="5" t="str">
        <f>HYPERLINK("https://maps.google.com/?q=16.506033,-97.560884999999999", "🔗 Ver Mapa")</f>
        <v>🔗 Ver Mapa</v>
      </c>
    </row>
    <row r="13026" spans="1:12" ht="43.5" x14ac:dyDescent="0.35">
      <c r="A13026" s="6" t="s">
        <v>98</v>
      </c>
      <c r="B13026" s="6" t="s">
        <v>99</v>
      </c>
      <c r="C13026" s="6" t="s">
        <v>2612</v>
      </c>
      <c r="D13026" s="6" t="s">
        <v>14</v>
      </c>
      <c r="E13026" s="6" t="s">
        <v>39</v>
      </c>
      <c r="F13026" s="6" t="s">
        <v>494</v>
      </c>
      <c r="G13026" s="6" t="s">
        <v>664</v>
      </c>
      <c r="H13026" s="6" t="s">
        <v>2613</v>
      </c>
      <c r="I13026" s="6" t="s">
        <v>31</v>
      </c>
      <c r="J13026" s="6">
        <v>16.506203500000002</v>
      </c>
      <c r="K13026" s="6">
        <v>-97.554268199999996</v>
      </c>
      <c r="L13026" s="6" t="str">
        <f>HYPERLINK("https://maps.google.com/?q=16.5062035,-97.554268199999996", "🔗 Ver Mapa")</f>
        <v>🔗 Ver Mapa</v>
      </c>
    </row>
    <row r="13027" spans="1:12" ht="43.5" x14ac:dyDescent="0.35">
      <c r="A13027" s="5" t="s">
        <v>98</v>
      </c>
      <c r="B13027" s="5" t="s">
        <v>99</v>
      </c>
      <c r="C13027" s="5" t="s">
        <v>2612</v>
      </c>
      <c r="D13027" s="5" t="s">
        <v>14</v>
      </c>
      <c r="E13027" s="5" t="s">
        <v>39</v>
      </c>
      <c r="F13027" s="5" t="s">
        <v>494</v>
      </c>
      <c r="G13027" s="5" t="s">
        <v>664</v>
      </c>
      <c r="H13027" s="5" t="s">
        <v>2613</v>
      </c>
      <c r="I13027" s="5" t="s">
        <v>31</v>
      </c>
      <c r="J13027" s="5">
        <v>16.506335400000001</v>
      </c>
      <c r="K13027" s="5">
        <v>-97.560321000000002</v>
      </c>
      <c r="L13027" s="5" t="str">
        <f>HYPERLINK("https://maps.google.com/?q=16.5063354,-97.560321000000002", "🔗 Ver Mapa")</f>
        <v>🔗 Ver Mapa</v>
      </c>
    </row>
    <row r="13028" spans="1:12" ht="43.5" x14ac:dyDescent="0.35">
      <c r="A13028" s="6" t="s">
        <v>98</v>
      </c>
      <c r="B13028" s="6" t="s">
        <v>99</v>
      </c>
      <c r="C13028" s="6" t="s">
        <v>2612</v>
      </c>
      <c r="D13028" s="6" t="s">
        <v>14</v>
      </c>
      <c r="E13028" s="6" t="s">
        <v>39</v>
      </c>
      <c r="F13028" s="6" t="s">
        <v>494</v>
      </c>
      <c r="G13028" s="6" t="s">
        <v>664</v>
      </c>
      <c r="H13028" s="6" t="s">
        <v>2613</v>
      </c>
      <c r="I13028" s="6" t="s">
        <v>31</v>
      </c>
      <c r="J13028" s="6">
        <v>16.506416099999999</v>
      </c>
      <c r="K13028" s="6">
        <v>-97.553817800000004</v>
      </c>
      <c r="L13028" s="6" t="str">
        <f>HYPERLINK("https://maps.google.com/?q=16.5064161,-97.553817800000004", "🔗 Ver Mapa")</f>
        <v>🔗 Ver Mapa</v>
      </c>
    </row>
    <row r="13029" spans="1:12" ht="43.5" x14ac:dyDescent="0.35">
      <c r="A13029" s="5" t="s">
        <v>98</v>
      </c>
      <c r="B13029" s="5" t="s">
        <v>99</v>
      </c>
      <c r="C13029" s="5" t="s">
        <v>2612</v>
      </c>
      <c r="D13029" s="5" t="s">
        <v>14</v>
      </c>
      <c r="E13029" s="5" t="s">
        <v>39</v>
      </c>
      <c r="F13029" s="5" t="s">
        <v>494</v>
      </c>
      <c r="G13029" s="5" t="s">
        <v>664</v>
      </c>
      <c r="H13029" s="5" t="s">
        <v>2613</v>
      </c>
      <c r="I13029" s="5" t="s">
        <v>31</v>
      </c>
      <c r="J13029" s="5">
        <v>16.506724899999998</v>
      </c>
      <c r="K13029" s="5">
        <v>-97.554365000000004</v>
      </c>
      <c r="L13029" s="5" t="str">
        <f>HYPERLINK("https://maps.google.com/?q=16.5067249,-97.554365000000004", "🔗 Ver Mapa")</f>
        <v>🔗 Ver Mapa</v>
      </c>
    </row>
    <row r="13030" spans="1:12" ht="43.5" x14ac:dyDescent="0.35">
      <c r="A13030" s="6" t="s">
        <v>98</v>
      </c>
      <c r="B13030" s="6" t="s">
        <v>99</v>
      </c>
      <c r="C13030" s="6" t="s">
        <v>2614</v>
      </c>
      <c r="D13030" s="6" t="s">
        <v>14</v>
      </c>
      <c r="E13030" s="6" t="s">
        <v>39</v>
      </c>
      <c r="F13030" s="6" t="s">
        <v>494</v>
      </c>
      <c r="G13030" s="6" t="s">
        <v>664</v>
      </c>
      <c r="H13030" s="6" t="s">
        <v>2615</v>
      </c>
      <c r="I13030" s="6" t="s">
        <v>31</v>
      </c>
      <c r="J13030" s="6">
        <v>16.560827199999999</v>
      </c>
      <c r="K13030" s="6">
        <v>-97.540189100000006</v>
      </c>
      <c r="L13030" s="6" t="str">
        <f>HYPERLINK("https://maps.google.com/?q=16.5608272,-97.540189100000006", "🔗 Ver Mapa")</f>
        <v>🔗 Ver Mapa</v>
      </c>
    </row>
    <row r="13031" spans="1:12" ht="43.5" x14ac:dyDescent="0.35">
      <c r="A13031" s="5" t="s">
        <v>98</v>
      </c>
      <c r="B13031" s="5" t="s">
        <v>99</v>
      </c>
      <c r="C13031" s="5" t="s">
        <v>2614</v>
      </c>
      <c r="D13031" s="5" t="s">
        <v>14</v>
      </c>
      <c r="E13031" s="5" t="s">
        <v>39</v>
      </c>
      <c r="F13031" s="5" t="s">
        <v>494</v>
      </c>
      <c r="G13031" s="5" t="s">
        <v>664</v>
      </c>
      <c r="H13031" s="5" t="s">
        <v>2615</v>
      </c>
      <c r="I13031" s="5" t="s">
        <v>31</v>
      </c>
      <c r="J13031" s="5">
        <v>16.560970699999999</v>
      </c>
      <c r="K13031" s="5">
        <v>-97.539889799999997</v>
      </c>
      <c r="L13031" s="5" t="str">
        <f>HYPERLINK("https://maps.google.com/?q=16.5609707,-97.539889799999997", "🔗 Ver Mapa")</f>
        <v>🔗 Ver Mapa</v>
      </c>
    </row>
    <row r="13032" spans="1:12" ht="43.5" x14ac:dyDescent="0.35">
      <c r="A13032" s="6" t="s">
        <v>98</v>
      </c>
      <c r="B13032" s="6" t="s">
        <v>99</v>
      </c>
      <c r="C13032" s="6" t="s">
        <v>2614</v>
      </c>
      <c r="D13032" s="6" t="s">
        <v>14</v>
      </c>
      <c r="E13032" s="6" t="s">
        <v>39</v>
      </c>
      <c r="F13032" s="6" t="s">
        <v>494</v>
      </c>
      <c r="G13032" s="6" t="s">
        <v>664</v>
      </c>
      <c r="H13032" s="6" t="s">
        <v>2615</v>
      </c>
      <c r="I13032" s="6" t="s">
        <v>31</v>
      </c>
      <c r="J13032" s="6">
        <v>16.561059100000001</v>
      </c>
      <c r="K13032" s="6">
        <v>-97.540055600000002</v>
      </c>
      <c r="L13032" s="6" t="str">
        <f>HYPERLINK("https://maps.google.com/?q=16.5610591,-97.540055600000002", "🔗 Ver Mapa")</f>
        <v>🔗 Ver Mapa</v>
      </c>
    </row>
    <row r="13033" spans="1:12" ht="43.5" x14ac:dyDescent="0.35">
      <c r="A13033" s="5" t="s">
        <v>98</v>
      </c>
      <c r="B13033" s="5" t="s">
        <v>99</v>
      </c>
      <c r="C13033" s="5" t="s">
        <v>2614</v>
      </c>
      <c r="D13033" s="5" t="s">
        <v>14</v>
      </c>
      <c r="E13033" s="5" t="s">
        <v>39</v>
      </c>
      <c r="F13033" s="5" t="s">
        <v>494</v>
      </c>
      <c r="G13033" s="5" t="s">
        <v>664</v>
      </c>
      <c r="H13033" s="5" t="s">
        <v>2615</v>
      </c>
      <c r="I13033" s="5" t="s">
        <v>31</v>
      </c>
      <c r="J13033" s="5">
        <v>16.561135</v>
      </c>
      <c r="K13033" s="5">
        <v>-97.540538999999995</v>
      </c>
      <c r="L13033" s="5" t="str">
        <f>HYPERLINK("https://maps.google.com/?q=16.561135,-97.540538999999995", "🔗 Ver Mapa")</f>
        <v>🔗 Ver Mapa</v>
      </c>
    </row>
    <row r="13034" spans="1:12" ht="43.5" x14ac:dyDescent="0.35">
      <c r="A13034" s="6" t="s">
        <v>98</v>
      </c>
      <c r="B13034" s="6" t="s">
        <v>99</v>
      </c>
      <c r="C13034" s="6" t="s">
        <v>2614</v>
      </c>
      <c r="D13034" s="6" t="s">
        <v>14</v>
      </c>
      <c r="E13034" s="6" t="s">
        <v>39</v>
      </c>
      <c r="F13034" s="6" t="s">
        <v>494</v>
      </c>
      <c r="G13034" s="6" t="s">
        <v>664</v>
      </c>
      <c r="H13034" s="6" t="s">
        <v>2615</v>
      </c>
      <c r="I13034" s="6" t="s">
        <v>31</v>
      </c>
      <c r="J13034" s="6">
        <v>16.561157600000001</v>
      </c>
      <c r="K13034" s="6">
        <v>-97.541139999999999</v>
      </c>
      <c r="L13034" s="6" t="str">
        <f>HYPERLINK("https://maps.google.com/?q=16.5611576,-97.541139999999999", "🔗 Ver Mapa")</f>
        <v>🔗 Ver Mapa</v>
      </c>
    </row>
    <row r="13035" spans="1:12" ht="43.5" x14ac:dyDescent="0.35">
      <c r="A13035" s="5" t="s">
        <v>98</v>
      </c>
      <c r="B13035" s="5" t="s">
        <v>99</v>
      </c>
      <c r="C13035" s="5" t="s">
        <v>2614</v>
      </c>
      <c r="D13035" s="5" t="s">
        <v>14</v>
      </c>
      <c r="E13035" s="5" t="s">
        <v>39</v>
      </c>
      <c r="F13035" s="5" t="s">
        <v>494</v>
      </c>
      <c r="G13035" s="5" t="s">
        <v>664</v>
      </c>
      <c r="H13035" s="5" t="s">
        <v>2615</v>
      </c>
      <c r="I13035" s="5" t="s">
        <v>31</v>
      </c>
      <c r="J13035" s="5">
        <v>16.561170199999999</v>
      </c>
      <c r="K13035" s="5">
        <v>-97.540476699999999</v>
      </c>
      <c r="L13035" s="5" t="str">
        <f>HYPERLINK("https://maps.google.com/?q=16.5611702,-97.540476699999999", "🔗 Ver Mapa")</f>
        <v>🔗 Ver Mapa</v>
      </c>
    </row>
    <row r="13036" spans="1:12" ht="43.5" x14ac:dyDescent="0.35">
      <c r="A13036" s="6" t="s">
        <v>98</v>
      </c>
      <c r="B13036" s="6" t="s">
        <v>99</v>
      </c>
      <c r="C13036" s="6" t="s">
        <v>2614</v>
      </c>
      <c r="D13036" s="6" t="s">
        <v>14</v>
      </c>
      <c r="E13036" s="6" t="s">
        <v>39</v>
      </c>
      <c r="F13036" s="6" t="s">
        <v>494</v>
      </c>
      <c r="G13036" s="6" t="s">
        <v>664</v>
      </c>
      <c r="H13036" s="6" t="s">
        <v>2615</v>
      </c>
      <c r="I13036" s="6" t="s">
        <v>31</v>
      </c>
      <c r="J13036" s="6">
        <v>16.5612019</v>
      </c>
      <c r="K13036" s="6">
        <v>-97.541503800000001</v>
      </c>
      <c r="L13036" s="6" t="str">
        <f>HYPERLINK("https://maps.google.com/?q=16.5612019,-97.541503800000001", "🔗 Ver Mapa")</f>
        <v>🔗 Ver Mapa</v>
      </c>
    </row>
    <row r="13037" spans="1:12" ht="43.5" x14ac:dyDescent="0.35">
      <c r="A13037" s="5" t="s">
        <v>98</v>
      </c>
      <c r="B13037" s="5" t="s">
        <v>99</v>
      </c>
      <c r="C13037" s="5" t="s">
        <v>2614</v>
      </c>
      <c r="D13037" s="5" t="s">
        <v>14</v>
      </c>
      <c r="E13037" s="5" t="s">
        <v>39</v>
      </c>
      <c r="F13037" s="5" t="s">
        <v>494</v>
      </c>
      <c r="G13037" s="5" t="s">
        <v>664</v>
      </c>
      <c r="H13037" s="5" t="s">
        <v>2615</v>
      </c>
      <c r="I13037" s="5" t="s">
        <v>31</v>
      </c>
      <c r="J13037" s="5">
        <v>16.561346799999999</v>
      </c>
      <c r="K13037" s="5">
        <v>-97.541234579999994</v>
      </c>
      <c r="L13037" s="5" t="str">
        <f>HYPERLINK("https://maps.google.com/?q=16.5613468,-97.541234579999994", "🔗 Ver Mapa")</f>
        <v>🔗 Ver Mapa</v>
      </c>
    </row>
    <row r="13038" spans="1:12" ht="43.5" x14ac:dyDescent="0.35">
      <c r="A13038" s="6" t="s">
        <v>98</v>
      </c>
      <c r="B13038" s="6" t="s">
        <v>99</v>
      </c>
      <c r="C13038" s="6" t="s">
        <v>2614</v>
      </c>
      <c r="D13038" s="6" t="s">
        <v>14</v>
      </c>
      <c r="E13038" s="6" t="s">
        <v>39</v>
      </c>
      <c r="F13038" s="6" t="s">
        <v>494</v>
      </c>
      <c r="G13038" s="6" t="s">
        <v>664</v>
      </c>
      <c r="H13038" s="6" t="s">
        <v>2615</v>
      </c>
      <c r="I13038" s="6" t="s">
        <v>31</v>
      </c>
      <c r="J13038" s="6">
        <v>16.561390299999999</v>
      </c>
      <c r="K13038" s="6">
        <v>-97.540622999999997</v>
      </c>
      <c r="L13038" s="6" t="str">
        <f>HYPERLINK("https://maps.google.com/?q=16.5613903,-97.540622999999997", "🔗 Ver Mapa")</f>
        <v>🔗 Ver Mapa</v>
      </c>
    </row>
    <row r="13039" spans="1:12" ht="43.5" x14ac:dyDescent="0.35">
      <c r="A13039" s="5" t="s">
        <v>98</v>
      </c>
      <c r="B13039" s="5" t="s">
        <v>99</v>
      </c>
      <c r="C13039" s="5" t="s">
        <v>2614</v>
      </c>
      <c r="D13039" s="5" t="s">
        <v>14</v>
      </c>
      <c r="E13039" s="5" t="s">
        <v>39</v>
      </c>
      <c r="F13039" s="5" t="s">
        <v>494</v>
      </c>
      <c r="G13039" s="5" t="s">
        <v>664</v>
      </c>
      <c r="H13039" s="5" t="s">
        <v>2615</v>
      </c>
      <c r="I13039" s="5" t="s">
        <v>31</v>
      </c>
      <c r="J13039" s="5">
        <v>16.5614414</v>
      </c>
      <c r="K13039" s="5">
        <v>-97.528608700000007</v>
      </c>
      <c r="L13039" s="5" t="str">
        <f>HYPERLINK("https://maps.google.com/?q=16.5614414,-97.528608700000007", "🔗 Ver Mapa")</f>
        <v>🔗 Ver Mapa</v>
      </c>
    </row>
    <row r="13040" spans="1:12" ht="43.5" x14ac:dyDescent="0.35">
      <c r="A13040" s="6" t="s">
        <v>98</v>
      </c>
      <c r="B13040" s="6" t="s">
        <v>99</v>
      </c>
      <c r="C13040" s="6" t="s">
        <v>2614</v>
      </c>
      <c r="D13040" s="6" t="s">
        <v>14</v>
      </c>
      <c r="E13040" s="6" t="s">
        <v>39</v>
      </c>
      <c r="F13040" s="6" t="s">
        <v>494</v>
      </c>
      <c r="G13040" s="6" t="s">
        <v>664</v>
      </c>
      <c r="H13040" s="6" t="s">
        <v>2615</v>
      </c>
      <c r="I13040" s="6" t="s">
        <v>31</v>
      </c>
      <c r="J13040" s="6">
        <v>16.5615354</v>
      </c>
      <c r="K13040" s="6">
        <v>-97.540250700000001</v>
      </c>
      <c r="L13040" s="6" t="str">
        <f>HYPERLINK("https://maps.google.com/?q=16.5615354,-97.540250700000001", "🔗 Ver Mapa")</f>
        <v>🔗 Ver Mapa</v>
      </c>
    </row>
    <row r="13041" spans="1:12" ht="43.5" x14ac:dyDescent="0.35">
      <c r="A13041" s="5" t="s">
        <v>98</v>
      </c>
      <c r="B13041" s="5" t="s">
        <v>99</v>
      </c>
      <c r="C13041" s="5" t="s">
        <v>2614</v>
      </c>
      <c r="D13041" s="5" t="s">
        <v>14</v>
      </c>
      <c r="E13041" s="5" t="s">
        <v>39</v>
      </c>
      <c r="F13041" s="5" t="s">
        <v>494</v>
      </c>
      <c r="G13041" s="5" t="s">
        <v>664</v>
      </c>
      <c r="H13041" s="5" t="s">
        <v>2615</v>
      </c>
      <c r="I13041" s="5" t="s">
        <v>31</v>
      </c>
      <c r="J13041" s="5">
        <v>16.561746200000002</v>
      </c>
      <c r="K13041" s="5">
        <v>-97.539339799999993</v>
      </c>
      <c r="L13041" s="5" t="str">
        <f>HYPERLINK("https://maps.google.com/?q=16.5617462,-97.539339799999993", "🔗 Ver Mapa")</f>
        <v>🔗 Ver Mapa</v>
      </c>
    </row>
    <row r="13042" spans="1:12" ht="43.5" x14ac:dyDescent="0.35">
      <c r="A13042" s="6" t="s">
        <v>98</v>
      </c>
      <c r="B13042" s="6" t="s">
        <v>99</v>
      </c>
      <c r="C13042" s="6" t="s">
        <v>2614</v>
      </c>
      <c r="D13042" s="6" t="s">
        <v>14</v>
      </c>
      <c r="E13042" s="6" t="s">
        <v>39</v>
      </c>
      <c r="F13042" s="6" t="s">
        <v>494</v>
      </c>
      <c r="G13042" s="6" t="s">
        <v>664</v>
      </c>
      <c r="H13042" s="6" t="s">
        <v>2615</v>
      </c>
      <c r="I13042" s="6" t="s">
        <v>31</v>
      </c>
      <c r="J13042" s="6">
        <v>16.561925899999999</v>
      </c>
      <c r="K13042" s="6">
        <v>-97.538934299999994</v>
      </c>
      <c r="L13042" s="6" t="str">
        <f>HYPERLINK("https://maps.google.com/?q=16.5619259,-97.538934299999994", "🔗 Ver Mapa")</f>
        <v>🔗 Ver Mapa</v>
      </c>
    </row>
    <row r="13043" spans="1:12" ht="43.5" x14ac:dyDescent="0.35">
      <c r="A13043" s="5" t="s">
        <v>98</v>
      </c>
      <c r="B13043" s="5" t="s">
        <v>99</v>
      </c>
      <c r="C13043" s="5" t="s">
        <v>2614</v>
      </c>
      <c r="D13043" s="5" t="s">
        <v>14</v>
      </c>
      <c r="E13043" s="5" t="s">
        <v>39</v>
      </c>
      <c r="F13043" s="5" t="s">
        <v>494</v>
      </c>
      <c r="G13043" s="5" t="s">
        <v>664</v>
      </c>
      <c r="H13043" s="5" t="s">
        <v>2615</v>
      </c>
      <c r="I13043" s="5" t="s">
        <v>31</v>
      </c>
      <c r="J13043" s="5">
        <v>16.5619537</v>
      </c>
      <c r="K13043" s="5">
        <v>-97.528613539999995</v>
      </c>
      <c r="L13043" s="5" t="str">
        <f>HYPERLINK("https://maps.google.com/?q=16.5619537,-97.528613539999995", "🔗 Ver Mapa")</f>
        <v>🔗 Ver Mapa</v>
      </c>
    </row>
    <row r="13044" spans="1:12" ht="43.5" x14ac:dyDescent="0.35">
      <c r="A13044" s="6" t="s">
        <v>98</v>
      </c>
      <c r="B13044" s="6" t="s">
        <v>99</v>
      </c>
      <c r="C13044" s="6" t="s">
        <v>2614</v>
      </c>
      <c r="D13044" s="6" t="s">
        <v>14</v>
      </c>
      <c r="E13044" s="6" t="s">
        <v>39</v>
      </c>
      <c r="F13044" s="6" t="s">
        <v>494</v>
      </c>
      <c r="G13044" s="6" t="s">
        <v>664</v>
      </c>
      <c r="H13044" s="6" t="s">
        <v>2615</v>
      </c>
      <c r="I13044" s="6" t="s">
        <v>31</v>
      </c>
      <c r="J13044" s="6">
        <v>16.561981670000002</v>
      </c>
      <c r="K13044" s="6">
        <v>-97.538845899999998</v>
      </c>
      <c r="L13044" s="6" t="str">
        <f>HYPERLINK("https://maps.google.com/?q=16.56198167,-97.538845899999998", "🔗 Ver Mapa")</f>
        <v>🔗 Ver Mapa</v>
      </c>
    </row>
    <row r="13045" spans="1:12" ht="43.5" x14ac:dyDescent="0.35">
      <c r="A13045" s="5" t="s">
        <v>98</v>
      </c>
      <c r="B13045" s="5" t="s">
        <v>99</v>
      </c>
      <c r="C13045" s="5" t="s">
        <v>2614</v>
      </c>
      <c r="D13045" s="5" t="s">
        <v>14</v>
      </c>
      <c r="E13045" s="5" t="s">
        <v>39</v>
      </c>
      <c r="F13045" s="5" t="s">
        <v>494</v>
      </c>
      <c r="G13045" s="5" t="s">
        <v>664</v>
      </c>
      <c r="H13045" s="5" t="s">
        <v>2615</v>
      </c>
      <c r="I13045" s="5" t="s">
        <v>31</v>
      </c>
      <c r="J13045" s="5">
        <v>16.562035860000002</v>
      </c>
      <c r="K13045" s="5">
        <v>-97.531314899999998</v>
      </c>
      <c r="L13045" s="5" t="str">
        <f>HYPERLINK("https://maps.google.com/?q=16.56203586,-97.531314899999998", "🔗 Ver Mapa")</f>
        <v>🔗 Ver Mapa</v>
      </c>
    </row>
    <row r="13046" spans="1:12" ht="43.5" x14ac:dyDescent="0.35">
      <c r="A13046" s="6" t="s">
        <v>98</v>
      </c>
      <c r="B13046" s="6" t="s">
        <v>99</v>
      </c>
      <c r="C13046" s="6" t="s">
        <v>2614</v>
      </c>
      <c r="D13046" s="6" t="s">
        <v>14</v>
      </c>
      <c r="E13046" s="6" t="s">
        <v>39</v>
      </c>
      <c r="F13046" s="6" t="s">
        <v>494</v>
      </c>
      <c r="G13046" s="6" t="s">
        <v>664</v>
      </c>
      <c r="H13046" s="6" t="s">
        <v>2615</v>
      </c>
      <c r="I13046" s="6" t="s">
        <v>31</v>
      </c>
      <c r="J13046" s="6">
        <v>16.562065499999999</v>
      </c>
      <c r="K13046" s="6">
        <v>-97.539948899999999</v>
      </c>
      <c r="L13046" s="6" t="str">
        <f>HYPERLINK("https://maps.google.com/?q=16.5620655,-97.539948899999999", "🔗 Ver Mapa")</f>
        <v>🔗 Ver Mapa</v>
      </c>
    </row>
    <row r="13047" spans="1:12" ht="43.5" x14ac:dyDescent="0.35">
      <c r="A13047" s="5" t="s">
        <v>98</v>
      </c>
      <c r="B13047" s="5" t="s">
        <v>99</v>
      </c>
      <c r="C13047" s="5" t="s">
        <v>2614</v>
      </c>
      <c r="D13047" s="5" t="s">
        <v>14</v>
      </c>
      <c r="E13047" s="5" t="s">
        <v>39</v>
      </c>
      <c r="F13047" s="5" t="s">
        <v>494</v>
      </c>
      <c r="G13047" s="5" t="s">
        <v>664</v>
      </c>
      <c r="H13047" s="5" t="s">
        <v>2615</v>
      </c>
      <c r="I13047" s="5" t="s">
        <v>31</v>
      </c>
      <c r="J13047" s="5">
        <v>16.562066099999999</v>
      </c>
      <c r="K13047" s="5">
        <v>-97.539478799999998</v>
      </c>
      <c r="L13047" s="5" t="str">
        <f>HYPERLINK("https://maps.google.com/?q=16.5620661,-97.539478799999998", "🔗 Ver Mapa")</f>
        <v>🔗 Ver Mapa</v>
      </c>
    </row>
    <row r="13048" spans="1:12" ht="43.5" x14ac:dyDescent="0.35">
      <c r="A13048" s="6" t="s">
        <v>98</v>
      </c>
      <c r="B13048" s="6" t="s">
        <v>99</v>
      </c>
      <c r="C13048" s="6" t="s">
        <v>2614</v>
      </c>
      <c r="D13048" s="6" t="s">
        <v>14</v>
      </c>
      <c r="E13048" s="6" t="s">
        <v>39</v>
      </c>
      <c r="F13048" s="6" t="s">
        <v>494</v>
      </c>
      <c r="G13048" s="6" t="s">
        <v>664</v>
      </c>
      <c r="H13048" s="6" t="s">
        <v>2615</v>
      </c>
      <c r="I13048" s="6" t="s">
        <v>31</v>
      </c>
      <c r="J13048" s="6">
        <v>16.562066999999999</v>
      </c>
      <c r="K13048" s="6">
        <v>-97.530978500000003</v>
      </c>
      <c r="L13048" s="6" t="str">
        <f>HYPERLINK("https://maps.google.com/?q=16.562067,-97.530978500000003", "🔗 Ver Mapa")</f>
        <v>🔗 Ver Mapa</v>
      </c>
    </row>
    <row r="13049" spans="1:12" ht="43.5" x14ac:dyDescent="0.35">
      <c r="A13049" s="5" t="s">
        <v>98</v>
      </c>
      <c r="B13049" s="5" t="s">
        <v>99</v>
      </c>
      <c r="C13049" s="5" t="s">
        <v>2614</v>
      </c>
      <c r="D13049" s="5" t="s">
        <v>14</v>
      </c>
      <c r="E13049" s="5" t="s">
        <v>39</v>
      </c>
      <c r="F13049" s="5" t="s">
        <v>494</v>
      </c>
      <c r="G13049" s="5" t="s">
        <v>664</v>
      </c>
      <c r="H13049" s="5" t="s">
        <v>2615</v>
      </c>
      <c r="I13049" s="5" t="s">
        <v>31</v>
      </c>
      <c r="J13049" s="5">
        <v>16.562098500000001</v>
      </c>
      <c r="K13049" s="5">
        <v>-97.530244300000007</v>
      </c>
      <c r="L13049" s="5" t="str">
        <f>HYPERLINK("https://maps.google.com/?q=16.5620985,-97.530244300000007", "🔗 Ver Mapa")</f>
        <v>🔗 Ver Mapa</v>
      </c>
    </row>
    <row r="13050" spans="1:12" ht="43.5" x14ac:dyDescent="0.35">
      <c r="A13050" s="6" t="s">
        <v>98</v>
      </c>
      <c r="B13050" s="6" t="s">
        <v>99</v>
      </c>
      <c r="C13050" s="6" t="s">
        <v>2614</v>
      </c>
      <c r="D13050" s="6" t="s">
        <v>14</v>
      </c>
      <c r="E13050" s="6" t="s">
        <v>39</v>
      </c>
      <c r="F13050" s="6" t="s">
        <v>494</v>
      </c>
      <c r="G13050" s="6" t="s">
        <v>664</v>
      </c>
      <c r="H13050" s="6" t="s">
        <v>2615</v>
      </c>
      <c r="I13050" s="6" t="s">
        <v>31</v>
      </c>
      <c r="J13050" s="6">
        <v>16.5621562</v>
      </c>
      <c r="K13050" s="6">
        <v>-97.540541000000005</v>
      </c>
      <c r="L13050" s="6" t="str">
        <f>HYPERLINK("https://maps.google.com/?q=16.5621562,-97.540541000000005", "🔗 Ver Mapa")</f>
        <v>🔗 Ver Mapa</v>
      </c>
    </row>
    <row r="13051" spans="1:12" ht="43.5" x14ac:dyDescent="0.35">
      <c r="A13051" s="5" t="s">
        <v>98</v>
      </c>
      <c r="B13051" s="5" t="s">
        <v>99</v>
      </c>
      <c r="C13051" s="5" t="s">
        <v>2614</v>
      </c>
      <c r="D13051" s="5" t="s">
        <v>14</v>
      </c>
      <c r="E13051" s="5" t="s">
        <v>39</v>
      </c>
      <c r="F13051" s="5" t="s">
        <v>494</v>
      </c>
      <c r="G13051" s="5" t="s">
        <v>664</v>
      </c>
      <c r="H13051" s="5" t="s">
        <v>2615</v>
      </c>
      <c r="I13051" s="5" t="s">
        <v>31</v>
      </c>
      <c r="J13051" s="5">
        <v>16.562258400000001</v>
      </c>
      <c r="K13051" s="5">
        <v>-97.533723499999994</v>
      </c>
      <c r="L13051" s="5" t="str">
        <f>HYPERLINK("https://maps.google.com/?q=16.5622584,-97.533723499999994", "🔗 Ver Mapa")</f>
        <v>🔗 Ver Mapa</v>
      </c>
    </row>
    <row r="13052" spans="1:12" ht="43.5" x14ac:dyDescent="0.35">
      <c r="A13052" s="6" t="s">
        <v>98</v>
      </c>
      <c r="B13052" s="6" t="s">
        <v>99</v>
      </c>
      <c r="C13052" s="6" t="s">
        <v>2614</v>
      </c>
      <c r="D13052" s="6" t="s">
        <v>14</v>
      </c>
      <c r="E13052" s="6" t="s">
        <v>39</v>
      </c>
      <c r="F13052" s="6" t="s">
        <v>494</v>
      </c>
      <c r="G13052" s="6" t="s">
        <v>664</v>
      </c>
      <c r="H13052" s="6" t="s">
        <v>2615</v>
      </c>
      <c r="I13052" s="6" t="s">
        <v>31</v>
      </c>
      <c r="J13052" s="6">
        <v>16.5623945</v>
      </c>
      <c r="K13052" s="6">
        <v>-97.528568530000001</v>
      </c>
      <c r="L13052" s="6" t="str">
        <f>HYPERLINK("https://maps.google.com/?q=16.5623945,-97.528568530000001", "🔗 Ver Mapa")</f>
        <v>🔗 Ver Mapa</v>
      </c>
    </row>
    <row r="13053" spans="1:12" ht="43.5" x14ac:dyDescent="0.35">
      <c r="A13053" s="5" t="s">
        <v>98</v>
      </c>
      <c r="B13053" s="5" t="s">
        <v>99</v>
      </c>
      <c r="C13053" s="5" t="s">
        <v>2614</v>
      </c>
      <c r="D13053" s="5" t="s">
        <v>14</v>
      </c>
      <c r="E13053" s="5" t="s">
        <v>39</v>
      </c>
      <c r="F13053" s="5" t="s">
        <v>494</v>
      </c>
      <c r="G13053" s="5" t="s">
        <v>664</v>
      </c>
      <c r="H13053" s="5" t="s">
        <v>2615</v>
      </c>
      <c r="I13053" s="5" t="s">
        <v>31</v>
      </c>
      <c r="J13053" s="5">
        <v>16.562427499999998</v>
      </c>
      <c r="K13053" s="5">
        <v>-97.534193000000002</v>
      </c>
      <c r="L13053" s="5" t="str">
        <f>HYPERLINK("https://maps.google.com/?q=16.5624275,-97.534193000000002", "🔗 Ver Mapa")</f>
        <v>🔗 Ver Mapa</v>
      </c>
    </row>
    <row r="13054" spans="1:12" ht="43.5" x14ac:dyDescent="0.35">
      <c r="A13054" s="6" t="s">
        <v>98</v>
      </c>
      <c r="B13054" s="6" t="s">
        <v>99</v>
      </c>
      <c r="C13054" s="6" t="s">
        <v>2614</v>
      </c>
      <c r="D13054" s="6" t="s">
        <v>14</v>
      </c>
      <c r="E13054" s="6" t="s">
        <v>39</v>
      </c>
      <c r="F13054" s="6" t="s">
        <v>494</v>
      </c>
      <c r="G13054" s="6" t="s">
        <v>664</v>
      </c>
      <c r="H13054" s="6" t="s">
        <v>2615</v>
      </c>
      <c r="I13054" s="6" t="s">
        <v>31</v>
      </c>
      <c r="J13054" s="6">
        <v>16.562429999999999</v>
      </c>
      <c r="K13054" s="6">
        <v>-97.531300999999999</v>
      </c>
      <c r="L13054" s="6" t="str">
        <f>HYPERLINK("https://maps.google.com/?q=16.56243,-97.531300999999999", "🔗 Ver Mapa")</f>
        <v>🔗 Ver Mapa</v>
      </c>
    </row>
    <row r="13055" spans="1:12" ht="43.5" x14ac:dyDescent="0.35">
      <c r="A13055" s="5" t="s">
        <v>98</v>
      </c>
      <c r="B13055" s="5" t="s">
        <v>99</v>
      </c>
      <c r="C13055" s="5" t="s">
        <v>2614</v>
      </c>
      <c r="D13055" s="5" t="s">
        <v>14</v>
      </c>
      <c r="E13055" s="5" t="s">
        <v>39</v>
      </c>
      <c r="F13055" s="5" t="s">
        <v>494</v>
      </c>
      <c r="G13055" s="5" t="s">
        <v>664</v>
      </c>
      <c r="H13055" s="5" t="s">
        <v>2615</v>
      </c>
      <c r="I13055" s="5" t="s">
        <v>31</v>
      </c>
      <c r="J13055" s="5">
        <v>16.562563000000001</v>
      </c>
      <c r="K13055" s="5">
        <v>-97.534687399999996</v>
      </c>
      <c r="L13055" s="5" t="str">
        <f>HYPERLINK("https://maps.google.com/?q=16.562563,-97.534687399999996", "🔗 Ver Mapa")</f>
        <v>🔗 Ver Mapa</v>
      </c>
    </row>
    <row r="13056" spans="1:12" ht="43.5" x14ac:dyDescent="0.35">
      <c r="A13056" s="6" t="s">
        <v>98</v>
      </c>
      <c r="B13056" s="6" t="s">
        <v>99</v>
      </c>
      <c r="C13056" s="6" t="s">
        <v>2614</v>
      </c>
      <c r="D13056" s="6" t="s">
        <v>14</v>
      </c>
      <c r="E13056" s="6" t="s">
        <v>39</v>
      </c>
      <c r="F13056" s="6" t="s">
        <v>494</v>
      </c>
      <c r="G13056" s="6" t="s">
        <v>664</v>
      </c>
      <c r="H13056" s="6" t="s">
        <v>2615</v>
      </c>
      <c r="I13056" s="6" t="s">
        <v>31</v>
      </c>
      <c r="J13056" s="6">
        <v>16.562605999999999</v>
      </c>
      <c r="K13056" s="6">
        <v>-97.534823500000002</v>
      </c>
      <c r="L13056" s="6" t="str">
        <f>HYPERLINK("https://maps.google.com/?q=16.562606,-97.534823500000002", "🔗 Ver Mapa")</f>
        <v>🔗 Ver Mapa</v>
      </c>
    </row>
    <row r="13057" spans="1:12" ht="43.5" x14ac:dyDescent="0.35">
      <c r="A13057" s="5" t="s">
        <v>98</v>
      </c>
      <c r="B13057" s="5" t="s">
        <v>99</v>
      </c>
      <c r="C13057" s="5" t="s">
        <v>2614</v>
      </c>
      <c r="D13057" s="5" t="s">
        <v>14</v>
      </c>
      <c r="E13057" s="5" t="s">
        <v>39</v>
      </c>
      <c r="F13057" s="5" t="s">
        <v>494</v>
      </c>
      <c r="G13057" s="5" t="s">
        <v>664</v>
      </c>
      <c r="H13057" s="5" t="s">
        <v>2615</v>
      </c>
      <c r="I13057" s="5" t="s">
        <v>31</v>
      </c>
      <c r="J13057" s="5">
        <v>16.562611199999999</v>
      </c>
      <c r="K13057" s="5">
        <v>-97.529353999999998</v>
      </c>
      <c r="L13057" s="5" t="str">
        <f>HYPERLINK("https://maps.google.com/?q=16.5626112,-97.529353999999998", "🔗 Ver Mapa")</f>
        <v>🔗 Ver Mapa</v>
      </c>
    </row>
    <row r="13058" spans="1:12" ht="43.5" x14ac:dyDescent="0.35">
      <c r="A13058" s="6" t="s">
        <v>98</v>
      </c>
      <c r="B13058" s="6" t="s">
        <v>99</v>
      </c>
      <c r="C13058" s="6" t="s">
        <v>2614</v>
      </c>
      <c r="D13058" s="6" t="s">
        <v>14</v>
      </c>
      <c r="E13058" s="6" t="s">
        <v>39</v>
      </c>
      <c r="F13058" s="6" t="s">
        <v>494</v>
      </c>
      <c r="G13058" s="6" t="s">
        <v>664</v>
      </c>
      <c r="H13058" s="6" t="s">
        <v>2615</v>
      </c>
      <c r="I13058" s="6" t="s">
        <v>31</v>
      </c>
      <c r="J13058" s="6">
        <v>16.5626277</v>
      </c>
      <c r="K13058" s="6">
        <v>-97.539375800000002</v>
      </c>
      <c r="L13058" s="6" t="str">
        <f>HYPERLINK("https://maps.google.com/?q=16.5626277,-97.539375800000002", "🔗 Ver Mapa")</f>
        <v>🔗 Ver Mapa</v>
      </c>
    </row>
    <row r="13059" spans="1:12" ht="43.5" x14ac:dyDescent="0.35">
      <c r="A13059" s="5" t="s">
        <v>98</v>
      </c>
      <c r="B13059" s="5" t="s">
        <v>99</v>
      </c>
      <c r="C13059" s="5" t="s">
        <v>2614</v>
      </c>
      <c r="D13059" s="5" t="s">
        <v>14</v>
      </c>
      <c r="E13059" s="5" t="s">
        <v>39</v>
      </c>
      <c r="F13059" s="5" t="s">
        <v>494</v>
      </c>
      <c r="G13059" s="5" t="s">
        <v>664</v>
      </c>
      <c r="H13059" s="5" t="s">
        <v>2615</v>
      </c>
      <c r="I13059" s="5" t="s">
        <v>31</v>
      </c>
      <c r="J13059" s="5">
        <v>16.562724599999999</v>
      </c>
      <c r="K13059" s="5">
        <v>-97.539390699999998</v>
      </c>
      <c r="L13059" s="5" t="str">
        <f>HYPERLINK("https://maps.google.com/?q=16.5627246,-97.539390699999998", "🔗 Ver Mapa")</f>
        <v>🔗 Ver Mapa</v>
      </c>
    </row>
    <row r="13060" spans="1:12" ht="43.5" x14ac:dyDescent="0.35">
      <c r="A13060" s="6" t="s">
        <v>98</v>
      </c>
      <c r="B13060" s="6" t="s">
        <v>99</v>
      </c>
      <c r="C13060" s="6" t="s">
        <v>2614</v>
      </c>
      <c r="D13060" s="6" t="s">
        <v>14</v>
      </c>
      <c r="E13060" s="6" t="s">
        <v>39</v>
      </c>
      <c r="F13060" s="6" t="s">
        <v>494</v>
      </c>
      <c r="G13060" s="6" t="s">
        <v>664</v>
      </c>
      <c r="H13060" s="6" t="s">
        <v>2615</v>
      </c>
      <c r="I13060" s="6" t="s">
        <v>31</v>
      </c>
      <c r="J13060" s="6">
        <v>16.562756100000001</v>
      </c>
      <c r="K13060" s="6">
        <v>-97.529949999999999</v>
      </c>
      <c r="L13060" s="6" t="str">
        <f>HYPERLINK("https://maps.google.com/?q=16.5627561,-97.529949999999999", "🔗 Ver Mapa")</f>
        <v>🔗 Ver Mapa</v>
      </c>
    </row>
    <row r="13061" spans="1:12" ht="43.5" x14ac:dyDescent="0.35">
      <c r="A13061" s="5" t="s">
        <v>98</v>
      </c>
      <c r="B13061" s="5" t="s">
        <v>99</v>
      </c>
      <c r="C13061" s="5" t="s">
        <v>2614</v>
      </c>
      <c r="D13061" s="5" t="s">
        <v>14</v>
      </c>
      <c r="E13061" s="5" t="s">
        <v>39</v>
      </c>
      <c r="F13061" s="5" t="s">
        <v>494</v>
      </c>
      <c r="G13061" s="5" t="s">
        <v>664</v>
      </c>
      <c r="H13061" s="5" t="s">
        <v>2615</v>
      </c>
      <c r="I13061" s="5" t="s">
        <v>31</v>
      </c>
      <c r="J13061" s="5">
        <v>16.562764000000001</v>
      </c>
      <c r="K13061" s="5">
        <v>-97.535499299999998</v>
      </c>
      <c r="L13061" s="5" t="str">
        <f>HYPERLINK("https://maps.google.com/?q=16.562764,-97.535499299999998", "🔗 Ver Mapa")</f>
        <v>🔗 Ver Mapa</v>
      </c>
    </row>
    <row r="13062" spans="1:12" ht="43.5" x14ac:dyDescent="0.35">
      <c r="A13062" s="6" t="s">
        <v>98</v>
      </c>
      <c r="B13062" s="6" t="s">
        <v>99</v>
      </c>
      <c r="C13062" s="6" t="s">
        <v>2614</v>
      </c>
      <c r="D13062" s="6" t="s">
        <v>14</v>
      </c>
      <c r="E13062" s="6" t="s">
        <v>39</v>
      </c>
      <c r="F13062" s="6" t="s">
        <v>494</v>
      </c>
      <c r="G13062" s="6" t="s">
        <v>664</v>
      </c>
      <c r="H13062" s="6" t="s">
        <v>2615</v>
      </c>
      <c r="I13062" s="6" t="s">
        <v>31</v>
      </c>
      <c r="J13062" s="6">
        <v>16.5628137</v>
      </c>
      <c r="K13062" s="6">
        <v>-97.536947799999993</v>
      </c>
      <c r="L13062" s="6" t="str">
        <f>HYPERLINK("https://maps.google.com/?q=16.5628137,-97.536947799999993", "🔗 Ver Mapa")</f>
        <v>🔗 Ver Mapa</v>
      </c>
    </row>
    <row r="13063" spans="1:12" ht="43.5" x14ac:dyDescent="0.35">
      <c r="A13063" s="5" t="s">
        <v>98</v>
      </c>
      <c r="B13063" s="5" t="s">
        <v>99</v>
      </c>
      <c r="C13063" s="5" t="s">
        <v>2614</v>
      </c>
      <c r="D13063" s="5" t="s">
        <v>14</v>
      </c>
      <c r="E13063" s="5" t="s">
        <v>39</v>
      </c>
      <c r="F13063" s="5" t="s">
        <v>494</v>
      </c>
      <c r="G13063" s="5" t="s">
        <v>664</v>
      </c>
      <c r="H13063" s="5" t="s">
        <v>2615</v>
      </c>
      <c r="I13063" s="5" t="s">
        <v>31</v>
      </c>
      <c r="J13063" s="5">
        <v>16.562872899999999</v>
      </c>
      <c r="K13063" s="5">
        <v>-97.533528419999996</v>
      </c>
      <c r="L13063" s="5" t="str">
        <f>HYPERLINK("https://maps.google.com/?q=16.5628729,-97.533528419999996", "🔗 Ver Mapa")</f>
        <v>🔗 Ver Mapa</v>
      </c>
    </row>
    <row r="13064" spans="1:12" ht="43.5" x14ac:dyDescent="0.35">
      <c r="A13064" s="6" t="s">
        <v>98</v>
      </c>
      <c r="B13064" s="6" t="s">
        <v>99</v>
      </c>
      <c r="C13064" s="6" t="s">
        <v>2614</v>
      </c>
      <c r="D13064" s="6" t="s">
        <v>14</v>
      </c>
      <c r="E13064" s="6" t="s">
        <v>39</v>
      </c>
      <c r="F13064" s="6" t="s">
        <v>494</v>
      </c>
      <c r="G13064" s="6" t="s">
        <v>664</v>
      </c>
      <c r="H13064" s="6" t="s">
        <v>2615</v>
      </c>
      <c r="I13064" s="6" t="s">
        <v>31</v>
      </c>
      <c r="J13064" s="6">
        <v>16.562917299999999</v>
      </c>
      <c r="K13064" s="6">
        <v>-97.531846999999999</v>
      </c>
      <c r="L13064" s="6" t="str">
        <f>HYPERLINK("https://maps.google.com/?q=16.5629173,-97.531846999999999", "🔗 Ver Mapa")</f>
        <v>🔗 Ver Mapa</v>
      </c>
    </row>
    <row r="13065" spans="1:12" ht="43.5" x14ac:dyDescent="0.35">
      <c r="A13065" s="5" t="s">
        <v>98</v>
      </c>
      <c r="B13065" s="5" t="s">
        <v>99</v>
      </c>
      <c r="C13065" s="5" t="s">
        <v>2614</v>
      </c>
      <c r="D13065" s="5" t="s">
        <v>14</v>
      </c>
      <c r="E13065" s="5" t="s">
        <v>39</v>
      </c>
      <c r="F13065" s="5" t="s">
        <v>494</v>
      </c>
      <c r="G13065" s="5" t="s">
        <v>664</v>
      </c>
      <c r="H13065" s="5" t="s">
        <v>2615</v>
      </c>
      <c r="I13065" s="5" t="s">
        <v>31</v>
      </c>
      <c r="J13065" s="5">
        <v>16.562923300000001</v>
      </c>
      <c r="K13065" s="5">
        <v>-97.539459500000007</v>
      </c>
      <c r="L13065" s="5" t="str">
        <f>HYPERLINK("https://maps.google.com/?q=16.5629233,-97.539459500000007", "🔗 Ver Mapa")</f>
        <v>🔗 Ver Mapa</v>
      </c>
    </row>
    <row r="13066" spans="1:12" ht="43.5" x14ac:dyDescent="0.35">
      <c r="A13066" s="6" t="s">
        <v>98</v>
      </c>
      <c r="B13066" s="6" t="s">
        <v>99</v>
      </c>
      <c r="C13066" s="6" t="s">
        <v>2614</v>
      </c>
      <c r="D13066" s="6" t="s">
        <v>14</v>
      </c>
      <c r="E13066" s="6" t="s">
        <v>39</v>
      </c>
      <c r="F13066" s="6" t="s">
        <v>494</v>
      </c>
      <c r="G13066" s="6" t="s">
        <v>664</v>
      </c>
      <c r="H13066" s="6" t="s">
        <v>2615</v>
      </c>
      <c r="I13066" s="6" t="s">
        <v>31</v>
      </c>
      <c r="J13066" s="6">
        <v>16.562986469999998</v>
      </c>
      <c r="K13066" s="6">
        <v>-97.531682399999994</v>
      </c>
      <c r="L13066" s="6" t="str">
        <f>HYPERLINK("https://maps.google.com/?q=16.56298647,-97.531682399999994", "🔗 Ver Mapa")</f>
        <v>🔗 Ver Mapa</v>
      </c>
    </row>
    <row r="13067" spans="1:12" ht="43.5" x14ac:dyDescent="0.35">
      <c r="A13067" s="5" t="s">
        <v>98</v>
      </c>
      <c r="B13067" s="5" t="s">
        <v>99</v>
      </c>
      <c r="C13067" s="5" t="s">
        <v>2614</v>
      </c>
      <c r="D13067" s="5" t="s">
        <v>14</v>
      </c>
      <c r="E13067" s="5" t="s">
        <v>39</v>
      </c>
      <c r="F13067" s="5" t="s">
        <v>494</v>
      </c>
      <c r="G13067" s="5" t="s">
        <v>664</v>
      </c>
      <c r="H13067" s="5" t="s">
        <v>2615</v>
      </c>
      <c r="I13067" s="5" t="s">
        <v>31</v>
      </c>
      <c r="J13067" s="5">
        <v>16.562988099999998</v>
      </c>
      <c r="K13067" s="5">
        <v>-97.540610099999995</v>
      </c>
      <c r="L13067" s="5" t="str">
        <f>HYPERLINK("https://maps.google.com/?q=16.5629881,-97.540610099999995", "🔗 Ver Mapa")</f>
        <v>🔗 Ver Mapa</v>
      </c>
    </row>
    <row r="13068" spans="1:12" ht="43.5" x14ac:dyDescent="0.35">
      <c r="A13068" s="6" t="s">
        <v>98</v>
      </c>
      <c r="B13068" s="6" t="s">
        <v>99</v>
      </c>
      <c r="C13068" s="6" t="s">
        <v>2614</v>
      </c>
      <c r="D13068" s="6" t="s">
        <v>14</v>
      </c>
      <c r="E13068" s="6" t="s">
        <v>39</v>
      </c>
      <c r="F13068" s="6" t="s">
        <v>494</v>
      </c>
      <c r="G13068" s="6" t="s">
        <v>664</v>
      </c>
      <c r="H13068" s="6" t="s">
        <v>2615</v>
      </c>
      <c r="I13068" s="6" t="s">
        <v>31</v>
      </c>
      <c r="J13068" s="6">
        <v>16.563089399999999</v>
      </c>
      <c r="K13068" s="6">
        <v>-97.540506100000002</v>
      </c>
      <c r="L13068" s="6" t="str">
        <f>HYPERLINK("https://maps.google.com/?q=16.5630894,-97.540506100000002", "🔗 Ver Mapa")</f>
        <v>🔗 Ver Mapa</v>
      </c>
    </row>
    <row r="13069" spans="1:12" ht="43.5" x14ac:dyDescent="0.35">
      <c r="A13069" s="5" t="s">
        <v>98</v>
      </c>
      <c r="B13069" s="5" t="s">
        <v>99</v>
      </c>
      <c r="C13069" s="5" t="s">
        <v>2614</v>
      </c>
      <c r="D13069" s="5" t="s">
        <v>14</v>
      </c>
      <c r="E13069" s="5" t="s">
        <v>39</v>
      </c>
      <c r="F13069" s="5" t="s">
        <v>494</v>
      </c>
      <c r="G13069" s="5" t="s">
        <v>664</v>
      </c>
      <c r="H13069" s="5" t="s">
        <v>2615</v>
      </c>
      <c r="I13069" s="5" t="s">
        <v>31</v>
      </c>
      <c r="J13069" s="5">
        <v>16.563180800000001</v>
      </c>
      <c r="K13069" s="5">
        <v>-97.529460700000001</v>
      </c>
      <c r="L13069" s="5" t="str">
        <f>HYPERLINK("https://maps.google.com/?q=16.5631808,-97.529460700000001", "🔗 Ver Mapa")</f>
        <v>🔗 Ver Mapa</v>
      </c>
    </row>
    <row r="13070" spans="1:12" ht="43.5" x14ac:dyDescent="0.35">
      <c r="A13070" s="6" t="s">
        <v>98</v>
      </c>
      <c r="B13070" s="6" t="s">
        <v>99</v>
      </c>
      <c r="C13070" s="6" t="s">
        <v>2614</v>
      </c>
      <c r="D13070" s="6" t="s">
        <v>14</v>
      </c>
      <c r="E13070" s="6" t="s">
        <v>39</v>
      </c>
      <c r="F13070" s="6" t="s">
        <v>494</v>
      </c>
      <c r="G13070" s="6" t="s">
        <v>664</v>
      </c>
      <c r="H13070" s="6" t="s">
        <v>2615</v>
      </c>
      <c r="I13070" s="6" t="s">
        <v>31</v>
      </c>
      <c r="J13070" s="6">
        <v>16.5633506</v>
      </c>
      <c r="K13070" s="6">
        <v>-97.529559199999994</v>
      </c>
      <c r="L13070" s="6" t="str">
        <f>HYPERLINK("https://maps.google.com/?q=16.5633506,-97.529559199999994", "🔗 Ver Mapa")</f>
        <v>🔗 Ver Mapa</v>
      </c>
    </row>
    <row r="13071" spans="1:12" ht="43.5" x14ac:dyDescent="0.35">
      <c r="A13071" s="5" t="s">
        <v>98</v>
      </c>
      <c r="B13071" s="5" t="s">
        <v>99</v>
      </c>
      <c r="C13071" s="5" t="s">
        <v>2614</v>
      </c>
      <c r="D13071" s="5" t="s">
        <v>14</v>
      </c>
      <c r="E13071" s="5" t="s">
        <v>39</v>
      </c>
      <c r="F13071" s="5" t="s">
        <v>494</v>
      </c>
      <c r="G13071" s="5" t="s">
        <v>664</v>
      </c>
      <c r="H13071" s="5" t="s">
        <v>2615</v>
      </c>
      <c r="I13071" s="5" t="s">
        <v>31</v>
      </c>
      <c r="J13071" s="5">
        <v>16.563367</v>
      </c>
      <c r="K13071" s="5">
        <v>-97.538702900000004</v>
      </c>
      <c r="L13071" s="5" t="str">
        <f>HYPERLINK("https://maps.google.com/?q=16.563367,-97.538702900000004", "🔗 Ver Mapa")</f>
        <v>🔗 Ver Mapa</v>
      </c>
    </row>
    <row r="13072" spans="1:12" ht="43.5" x14ac:dyDescent="0.35">
      <c r="A13072" s="6" t="s">
        <v>98</v>
      </c>
      <c r="B13072" s="6" t="s">
        <v>99</v>
      </c>
      <c r="C13072" s="6" t="s">
        <v>2614</v>
      </c>
      <c r="D13072" s="6" t="s">
        <v>14</v>
      </c>
      <c r="E13072" s="6" t="s">
        <v>39</v>
      </c>
      <c r="F13072" s="6" t="s">
        <v>494</v>
      </c>
      <c r="G13072" s="6" t="s">
        <v>664</v>
      </c>
      <c r="H13072" s="6" t="s">
        <v>2615</v>
      </c>
      <c r="I13072" s="6" t="s">
        <v>31</v>
      </c>
      <c r="J13072" s="6">
        <v>16.563449500000001</v>
      </c>
      <c r="K13072" s="6">
        <v>-97.536378299999996</v>
      </c>
      <c r="L13072" s="6" t="str">
        <f>HYPERLINK("https://maps.google.com/?q=16.5634495,-97.536378299999996", "🔗 Ver Mapa")</f>
        <v>🔗 Ver Mapa</v>
      </c>
    </row>
    <row r="13073" spans="1:12" ht="43.5" x14ac:dyDescent="0.35">
      <c r="A13073" s="5" t="s">
        <v>98</v>
      </c>
      <c r="B13073" s="5" t="s">
        <v>99</v>
      </c>
      <c r="C13073" s="5" t="s">
        <v>2614</v>
      </c>
      <c r="D13073" s="5" t="s">
        <v>14</v>
      </c>
      <c r="E13073" s="5" t="s">
        <v>39</v>
      </c>
      <c r="F13073" s="5" t="s">
        <v>494</v>
      </c>
      <c r="G13073" s="5" t="s">
        <v>664</v>
      </c>
      <c r="H13073" s="5" t="s">
        <v>2615</v>
      </c>
      <c r="I13073" s="5" t="s">
        <v>31</v>
      </c>
      <c r="J13073" s="5">
        <v>16.563710499999999</v>
      </c>
      <c r="K13073" s="5">
        <v>-97.533848699999993</v>
      </c>
      <c r="L13073" s="5" t="str">
        <f>HYPERLINK("https://maps.google.com/?q=16.5637105,-97.533848699999993", "🔗 Ver Mapa")</f>
        <v>🔗 Ver Mapa</v>
      </c>
    </row>
    <row r="13074" spans="1:12" ht="43.5" x14ac:dyDescent="0.35">
      <c r="A13074" s="6" t="s">
        <v>98</v>
      </c>
      <c r="B13074" s="6" t="s">
        <v>99</v>
      </c>
      <c r="C13074" s="6" t="s">
        <v>2614</v>
      </c>
      <c r="D13074" s="6" t="s">
        <v>14</v>
      </c>
      <c r="E13074" s="6" t="s">
        <v>39</v>
      </c>
      <c r="F13074" s="6" t="s">
        <v>494</v>
      </c>
      <c r="G13074" s="6" t="s">
        <v>664</v>
      </c>
      <c r="H13074" s="6" t="s">
        <v>2615</v>
      </c>
      <c r="I13074" s="6" t="s">
        <v>31</v>
      </c>
      <c r="J13074" s="6">
        <v>16.563740599999999</v>
      </c>
      <c r="K13074" s="6">
        <v>-97.536322900000002</v>
      </c>
      <c r="L13074" s="6" t="str">
        <f>HYPERLINK("https://maps.google.com/?q=16.5637406,-97.536322900000002", "🔗 Ver Mapa")</f>
        <v>🔗 Ver Mapa</v>
      </c>
    </row>
    <row r="13075" spans="1:12" ht="43.5" x14ac:dyDescent="0.35">
      <c r="A13075" s="5" t="s">
        <v>98</v>
      </c>
      <c r="B13075" s="5" t="s">
        <v>99</v>
      </c>
      <c r="C13075" s="5" t="s">
        <v>2614</v>
      </c>
      <c r="D13075" s="5" t="s">
        <v>14</v>
      </c>
      <c r="E13075" s="5" t="s">
        <v>39</v>
      </c>
      <c r="F13075" s="5" t="s">
        <v>494</v>
      </c>
      <c r="G13075" s="5" t="s">
        <v>664</v>
      </c>
      <c r="H13075" s="5" t="s">
        <v>2615</v>
      </c>
      <c r="I13075" s="5" t="s">
        <v>31</v>
      </c>
      <c r="J13075" s="5">
        <v>16.563756000000001</v>
      </c>
      <c r="K13075" s="5">
        <v>-97.535972299999997</v>
      </c>
      <c r="L13075" s="5" t="str">
        <f>HYPERLINK("https://maps.google.com/?q=16.563756,-97.535972299999997", "🔗 Ver Mapa")</f>
        <v>🔗 Ver Mapa</v>
      </c>
    </row>
    <row r="13076" spans="1:12" ht="43.5" x14ac:dyDescent="0.35">
      <c r="A13076" s="6" t="s">
        <v>98</v>
      </c>
      <c r="B13076" s="6" t="s">
        <v>99</v>
      </c>
      <c r="C13076" s="6" t="s">
        <v>2614</v>
      </c>
      <c r="D13076" s="6" t="s">
        <v>14</v>
      </c>
      <c r="E13076" s="6" t="s">
        <v>39</v>
      </c>
      <c r="F13076" s="6" t="s">
        <v>494</v>
      </c>
      <c r="G13076" s="6" t="s">
        <v>664</v>
      </c>
      <c r="H13076" s="6" t="s">
        <v>2615</v>
      </c>
      <c r="I13076" s="6" t="s">
        <v>31</v>
      </c>
      <c r="J13076" s="6">
        <v>16.563786799999999</v>
      </c>
      <c r="K13076" s="6">
        <v>-97.535301000000004</v>
      </c>
      <c r="L13076" s="6" t="str">
        <f>HYPERLINK("https://maps.google.com/?q=16.5637868,-97.535301000000004", "🔗 Ver Mapa")</f>
        <v>🔗 Ver Mapa</v>
      </c>
    </row>
    <row r="13077" spans="1:12" ht="43.5" x14ac:dyDescent="0.35">
      <c r="A13077" s="5" t="s">
        <v>98</v>
      </c>
      <c r="B13077" s="5" t="s">
        <v>99</v>
      </c>
      <c r="C13077" s="5" t="s">
        <v>2614</v>
      </c>
      <c r="D13077" s="5" t="s">
        <v>14</v>
      </c>
      <c r="E13077" s="5" t="s">
        <v>39</v>
      </c>
      <c r="F13077" s="5" t="s">
        <v>494</v>
      </c>
      <c r="G13077" s="5" t="s">
        <v>664</v>
      </c>
      <c r="H13077" s="5" t="s">
        <v>2615</v>
      </c>
      <c r="I13077" s="5" t="s">
        <v>31</v>
      </c>
      <c r="J13077" s="5">
        <v>16.563817199999999</v>
      </c>
      <c r="K13077" s="5">
        <v>-97.535806500000007</v>
      </c>
      <c r="L13077" s="5" t="str">
        <f>HYPERLINK("https://maps.google.com/?q=16.5638172,-97.535806500000007", "🔗 Ver Mapa")</f>
        <v>🔗 Ver Mapa</v>
      </c>
    </row>
    <row r="13078" spans="1:12" ht="43.5" x14ac:dyDescent="0.35">
      <c r="A13078" s="6" t="s">
        <v>98</v>
      </c>
      <c r="B13078" s="6" t="s">
        <v>99</v>
      </c>
      <c r="C13078" s="6" t="s">
        <v>2614</v>
      </c>
      <c r="D13078" s="6" t="s">
        <v>14</v>
      </c>
      <c r="E13078" s="6" t="s">
        <v>39</v>
      </c>
      <c r="F13078" s="6" t="s">
        <v>494</v>
      </c>
      <c r="G13078" s="6" t="s">
        <v>664</v>
      </c>
      <c r="H13078" s="6" t="s">
        <v>2615</v>
      </c>
      <c r="I13078" s="6" t="s">
        <v>31</v>
      </c>
      <c r="J13078" s="6">
        <v>16.5640155</v>
      </c>
      <c r="K13078" s="6">
        <v>-97.5357992</v>
      </c>
      <c r="L13078" s="6" t="str">
        <f>HYPERLINK("https://maps.google.com/?q=16.5640155,-97.5357992", "🔗 Ver Mapa")</f>
        <v>🔗 Ver Mapa</v>
      </c>
    </row>
    <row r="13079" spans="1:12" ht="43.5" x14ac:dyDescent="0.35">
      <c r="A13079" s="5" t="s">
        <v>98</v>
      </c>
      <c r="B13079" s="5" t="s">
        <v>99</v>
      </c>
      <c r="C13079" s="5" t="s">
        <v>2614</v>
      </c>
      <c r="D13079" s="5" t="s">
        <v>14</v>
      </c>
      <c r="E13079" s="5" t="s">
        <v>39</v>
      </c>
      <c r="F13079" s="5" t="s">
        <v>494</v>
      </c>
      <c r="G13079" s="5" t="s">
        <v>664</v>
      </c>
      <c r="H13079" s="5" t="s">
        <v>2615</v>
      </c>
      <c r="I13079" s="5" t="s">
        <v>31</v>
      </c>
      <c r="J13079" s="5">
        <v>16.564043699999999</v>
      </c>
      <c r="K13079" s="5">
        <v>-97.535398200000003</v>
      </c>
      <c r="L13079" s="5" t="str">
        <f>HYPERLINK("https://maps.google.com/?q=16.5640437,-97.535398200000003", "🔗 Ver Mapa")</f>
        <v>🔗 Ver Mapa</v>
      </c>
    </row>
    <row r="13080" spans="1:12" ht="43.5" x14ac:dyDescent="0.35">
      <c r="A13080" s="6" t="s">
        <v>98</v>
      </c>
      <c r="B13080" s="6" t="s">
        <v>99</v>
      </c>
      <c r="C13080" s="6" t="s">
        <v>2614</v>
      </c>
      <c r="D13080" s="6" t="s">
        <v>14</v>
      </c>
      <c r="E13080" s="6" t="s">
        <v>39</v>
      </c>
      <c r="F13080" s="6" t="s">
        <v>494</v>
      </c>
      <c r="G13080" s="6" t="s">
        <v>664</v>
      </c>
      <c r="H13080" s="6" t="s">
        <v>2615</v>
      </c>
      <c r="I13080" s="6" t="s">
        <v>31</v>
      </c>
      <c r="J13080" s="6">
        <v>16.564101000000001</v>
      </c>
      <c r="K13080" s="6">
        <v>-97.529640299999997</v>
      </c>
      <c r="L13080" s="6" t="str">
        <f>HYPERLINK("https://maps.google.com/?q=16.564101,-97.529640299999997", "🔗 Ver Mapa")</f>
        <v>🔗 Ver Mapa</v>
      </c>
    </row>
    <row r="13081" spans="1:12" ht="43.5" x14ac:dyDescent="0.35">
      <c r="A13081" s="5" t="s">
        <v>98</v>
      </c>
      <c r="B13081" s="5" t="s">
        <v>99</v>
      </c>
      <c r="C13081" s="5" t="s">
        <v>2614</v>
      </c>
      <c r="D13081" s="5" t="s">
        <v>14</v>
      </c>
      <c r="E13081" s="5" t="s">
        <v>39</v>
      </c>
      <c r="F13081" s="5" t="s">
        <v>494</v>
      </c>
      <c r="G13081" s="5" t="s">
        <v>664</v>
      </c>
      <c r="H13081" s="5" t="s">
        <v>2615</v>
      </c>
      <c r="I13081" s="5" t="s">
        <v>31</v>
      </c>
      <c r="J13081" s="5">
        <v>16.5641596</v>
      </c>
      <c r="K13081" s="5">
        <v>-97.535097800000003</v>
      </c>
      <c r="L13081" s="5" t="str">
        <f>HYPERLINK("https://maps.google.com/?q=16.5641596,-97.535097800000003", "🔗 Ver Mapa")</f>
        <v>🔗 Ver Mapa</v>
      </c>
    </row>
    <row r="13082" spans="1:12" ht="43.5" x14ac:dyDescent="0.35">
      <c r="A13082" s="6" t="s">
        <v>98</v>
      </c>
      <c r="B13082" s="6" t="s">
        <v>99</v>
      </c>
      <c r="C13082" s="6" t="s">
        <v>2614</v>
      </c>
      <c r="D13082" s="6" t="s">
        <v>14</v>
      </c>
      <c r="E13082" s="6" t="s">
        <v>39</v>
      </c>
      <c r="F13082" s="6" t="s">
        <v>494</v>
      </c>
      <c r="G13082" s="6" t="s">
        <v>664</v>
      </c>
      <c r="H13082" s="6" t="s">
        <v>2615</v>
      </c>
      <c r="I13082" s="6" t="s">
        <v>31</v>
      </c>
      <c r="J13082" s="6">
        <v>16.564187100000002</v>
      </c>
      <c r="K13082" s="6">
        <v>-97.536467200000004</v>
      </c>
      <c r="L13082" s="6" t="str">
        <f>HYPERLINK("https://maps.google.com/?q=16.5641871,-97.536467200000004", "🔗 Ver Mapa")</f>
        <v>🔗 Ver Mapa</v>
      </c>
    </row>
    <row r="13083" spans="1:12" ht="43.5" x14ac:dyDescent="0.35">
      <c r="A13083" s="5" t="s">
        <v>98</v>
      </c>
      <c r="B13083" s="5" t="s">
        <v>99</v>
      </c>
      <c r="C13083" s="5" t="s">
        <v>2614</v>
      </c>
      <c r="D13083" s="5" t="s">
        <v>14</v>
      </c>
      <c r="E13083" s="5" t="s">
        <v>39</v>
      </c>
      <c r="F13083" s="5" t="s">
        <v>494</v>
      </c>
      <c r="G13083" s="5" t="s">
        <v>664</v>
      </c>
      <c r="H13083" s="5" t="s">
        <v>2615</v>
      </c>
      <c r="I13083" s="5" t="s">
        <v>31</v>
      </c>
      <c r="J13083" s="5">
        <v>16.564202300000002</v>
      </c>
      <c r="K13083" s="5">
        <v>-97.537195699999998</v>
      </c>
      <c r="L13083" s="5" t="str">
        <f>HYPERLINK("https://maps.google.com/?q=16.5642023,-97.537195699999998", "🔗 Ver Mapa")</f>
        <v>🔗 Ver Mapa</v>
      </c>
    </row>
    <row r="13084" spans="1:12" ht="43.5" x14ac:dyDescent="0.35">
      <c r="A13084" s="6" t="s">
        <v>98</v>
      </c>
      <c r="B13084" s="6" t="s">
        <v>99</v>
      </c>
      <c r="C13084" s="6" t="s">
        <v>2614</v>
      </c>
      <c r="D13084" s="6" t="s">
        <v>14</v>
      </c>
      <c r="E13084" s="6" t="s">
        <v>39</v>
      </c>
      <c r="F13084" s="6" t="s">
        <v>494</v>
      </c>
      <c r="G13084" s="6" t="s">
        <v>664</v>
      </c>
      <c r="H13084" s="6" t="s">
        <v>2615</v>
      </c>
      <c r="I13084" s="6" t="s">
        <v>31</v>
      </c>
      <c r="J13084" s="6">
        <v>16.5642648</v>
      </c>
      <c r="K13084" s="6">
        <v>-97.529747900000004</v>
      </c>
      <c r="L13084" s="6" t="str">
        <f>HYPERLINK("https://maps.google.com/?q=16.5642648,-97.529747900000004", "🔗 Ver Mapa")</f>
        <v>🔗 Ver Mapa</v>
      </c>
    </row>
    <row r="13085" spans="1:12" ht="43.5" x14ac:dyDescent="0.35">
      <c r="A13085" s="5" t="s">
        <v>98</v>
      </c>
      <c r="B13085" s="5" t="s">
        <v>99</v>
      </c>
      <c r="C13085" s="5" t="s">
        <v>2614</v>
      </c>
      <c r="D13085" s="5" t="s">
        <v>14</v>
      </c>
      <c r="E13085" s="5" t="s">
        <v>39</v>
      </c>
      <c r="F13085" s="5" t="s">
        <v>494</v>
      </c>
      <c r="G13085" s="5" t="s">
        <v>664</v>
      </c>
      <c r="H13085" s="5" t="s">
        <v>2615</v>
      </c>
      <c r="I13085" s="5" t="s">
        <v>31</v>
      </c>
      <c r="J13085" s="5">
        <v>16.5642715</v>
      </c>
      <c r="K13085" s="5">
        <v>-97.529473800000005</v>
      </c>
      <c r="L13085" s="5" t="str">
        <f>HYPERLINK("https://maps.google.com/?q=16.5642715,-97.529473800000005", "🔗 Ver Mapa")</f>
        <v>🔗 Ver Mapa</v>
      </c>
    </row>
    <row r="13086" spans="1:12" ht="43.5" x14ac:dyDescent="0.35">
      <c r="A13086" s="6" t="s">
        <v>98</v>
      </c>
      <c r="B13086" s="6" t="s">
        <v>99</v>
      </c>
      <c r="C13086" s="6" t="s">
        <v>2614</v>
      </c>
      <c r="D13086" s="6" t="s">
        <v>14</v>
      </c>
      <c r="E13086" s="6" t="s">
        <v>39</v>
      </c>
      <c r="F13086" s="6" t="s">
        <v>494</v>
      </c>
      <c r="G13086" s="6" t="s">
        <v>664</v>
      </c>
      <c r="H13086" s="6" t="s">
        <v>2615</v>
      </c>
      <c r="I13086" s="6" t="s">
        <v>31</v>
      </c>
      <c r="J13086" s="6">
        <v>16.564317899999999</v>
      </c>
      <c r="K13086" s="6">
        <v>-97.529962499999996</v>
      </c>
      <c r="L13086" s="6" t="str">
        <f>HYPERLINK("https://maps.google.com/?q=16.5643179,-97.529962499999996", "🔗 Ver Mapa")</f>
        <v>🔗 Ver Mapa</v>
      </c>
    </row>
    <row r="13087" spans="1:12" ht="43.5" x14ac:dyDescent="0.35">
      <c r="A13087" s="5" t="s">
        <v>98</v>
      </c>
      <c r="B13087" s="5" t="s">
        <v>99</v>
      </c>
      <c r="C13087" s="5" t="s">
        <v>2614</v>
      </c>
      <c r="D13087" s="5" t="s">
        <v>14</v>
      </c>
      <c r="E13087" s="5" t="s">
        <v>39</v>
      </c>
      <c r="F13087" s="5" t="s">
        <v>494</v>
      </c>
      <c r="G13087" s="5" t="s">
        <v>664</v>
      </c>
      <c r="H13087" s="5" t="s">
        <v>2615</v>
      </c>
      <c r="I13087" s="5" t="s">
        <v>31</v>
      </c>
      <c r="J13087" s="5">
        <v>16.5643405</v>
      </c>
      <c r="K13087" s="5">
        <v>-97.530359300000001</v>
      </c>
      <c r="L13087" s="5" t="str">
        <f>HYPERLINK("https://maps.google.com/?q=16.5643405,-97.530359300000001", "🔗 Ver Mapa")</f>
        <v>🔗 Ver Mapa</v>
      </c>
    </row>
    <row r="13088" spans="1:12" ht="43.5" x14ac:dyDescent="0.35">
      <c r="A13088" s="6" t="s">
        <v>98</v>
      </c>
      <c r="B13088" s="6" t="s">
        <v>99</v>
      </c>
      <c r="C13088" s="6" t="s">
        <v>2614</v>
      </c>
      <c r="D13088" s="6" t="s">
        <v>14</v>
      </c>
      <c r="E13088" s="6" t="s">
        <v>39</v>
      </c>
      <c r="F13088" s="6" t="s">
        <v>494</v>
      </c>
      <c r="G13088" s="6" t="s">
        <v>664</v>
      </c>
      <c r="H13088" s="6" t="s">
        <v>2615</v>
      </c>
      <c r="I13088" s="6" t="s">
        <v>31</v>
      </c>
      <c r="J13088" s="6">
        <v>16.564347999999999</v>
      </c>
      <c r="K13088" s="6">
        <v>-97.530907999999997</v>
      </c>
      <c r="L13088" s="6" t="str">
        <f>HYPERLINK("https://maps.google.com/?q=16.564348,-97.530907999999997", "🔗 Ver Mapa")</f>
        <v>🔗 Ver Mapa</v>
      </c>
    </row>
    <row r="13089" spans="1:12" ht="43.5" x14ac:dyDescent="0.35">
      <c r="A13089" s="5" t="s">
        <v>98</v>
      </c>
      <c r="B13089" s="5" t="s">
        <v>99</v>
      </c>
      <c r="C13089" s="5" t="s">
        <v>2614</v>
      </c>
      <c r="D13089" s="5" t="s">
        <v>14</v>
      </c>
      <c r="E13089" s="5" t="s">
        <v>39</v>
      </c>
      <c r="F13089" s="5" t="s">
        <v>494</v>
      </c>
      <c r="G13089" s="5" t="s">
        <v>664</v>
      </c>
      <c r="H13089" s="5" t="s">
        <v>2615</v>
      </c>
      <c r="I13089" s="5" t="s">
        <v>31</v>
      </c>
      <c r="J13089" s="5">
        <v>16.564375699999999</v>
      </c>
      <c r="K13089" s="5">
        <v>-97.529445699999997</v>
      </c>
      <c r="L13089" s="5" t="str">
        <f>HYPERLINK("https://maps.google.com/?q=16.5643757,-97.529445699999997", "🔗 Ver Mapa")</f>
        <v>🔗 Ver Mapa</v>
      </c>
    </row>
    <row r="13090" spans="1:12" ht="43.5" x14ac:dyDescent="0.35">
      <c r="A13090" s="6" t="s">
        <v>98</v>
      </c>
      <c r="B13090" s="6" t="s">
        <v>99</v>
      </c>
      <c r="C13090" s="6" t="s">
        <v>2614</v>
      </c>
      <c r="D13090" s="6" t="s">
        <v>14</v>
      </c>
      <c r="E13090" s="6" t="s">
        <v>39</v>
      </c>
      <c r="F13090" s="6" t="s">
        <v>494</v>
      </c>
      <c r="G13090" s="6" t="s">
        <v>664</v>
      </c>
      <c r="H13090" s="6" t="s">
        <v>2615</v>
      </c>
      <c r="I13090" s="6" t="s">
        <v>31</v>
      </c>
      <c r="J13090" s="6">
        <v>16.56449289</v>
      </c>
      <c r="K13090" s="6">
        <v>-97.536087199999997</v>
      </c>
      <c r="L13090" s="6" t="str">
        <f>HYPERLINK("https://maps.google.com/?q=16.56449289,-97.536087199999997", "🔗 Ver Mapa")</f>
        <v>🔗 Ver Mapa</v>
      </c>
    </row>
    <row r="13091" spans="1:12" ht="43.5" x14ac:dyDescent="0.35">
      <c r="A13091" s="5" t="s">
        <v>98</v>
      </c>
      <c r="B13091" s="5" t="s">
        <v>99</v>
      </c>
      <c r="C13091" s="5" t="s">
        <v>2614</v>
      </c>
      <c r="D13091" s="5" t="s">
        <v>14</v>
      </c>
      <c r="E13091" s="5" t="s">
        <v>39</v>
      </c>
      <c r="F13091" s="5" t="s">
        <v>494</v>
      </c>
      <c r="G13091" s="5" t="s">
        <v>664</v>
      </c>
      <c r="H13091" s="5" t="s">
        <v>2615</v>
      </c>
      <c r="I13091" s="5" t="s">
        <v>31</v>
      </c>
      <c r="J13091" s="5">
        <v>16.564502099999999</v>
      </c>
      <c r="K13091" s="5">
        <v>-97.531750560000006</v>
      </c>
      <c r="L13091" s="5" t="str">
        <f>HYPERLINK("https://maps.google.com/?q=16.5645021,-97.531750560000006", "🔗 Ver Mapa")</f>
        <v>🔗 Ver Mapa</v>
      </c>
    </row>
    <row r="13092" spans="1:12" ht="43.5" x14ac:dyDescent="0.35">
      <c r="A13092" s="6" t="s">
        <v>98</v>
      </c>
      <c r="B13092" s="6" t="s">
        <v>99</v>
      </c>
      <c r="C13092" s="6" t="s">
        <v>2614</v>
      </c>
      <c r="D13092" s="6" t="s">
        <v>14</v>
      </c>
      <c r="E13092" s="6" t="s">
        <v>39</v>
      </c>
      <c r="F13092" s="6" t="s">
        <v>494</v>
      </c>
      <c r="G13092" s="6" t="s">
        <v>664</v>
      </c>
      <c r="H13092" s="6" t="s">
        <v>2615</v>
      </c>
      <c r="I13092" s="6" t="s">
        <v>31</v>
      </c>
      <c r="J13092" s="6">
        <v>16.564591</v>
      </c>
      <c r="K13092" s="6">
        <v>-97.537138400000003</v>
      </c>
      <c r="L13092" s="6" t="str">
        <f>HYPERLINK("https://maps.google.com/?q=16.564591,-97.537138400000003", "🔗 Ver Mapa")</f>
        <v>🔗 Ver Mapa</v>
      </c>
    </row>
    <row r="13093" spans="1:12" ht="43.5" x14ac:dyDescent="0.35">
      <c r="A13093" s="5" t="s">
        <v>98</v>
      </c>
      <c r="B13093" s="5" t="s">
        <v>99</v>
      </c>
      <c r="C13093" s="5" t="s">
        <v>2614</v>
      </c>
      <c r="D13093" s="5" t="s">
        <v>14</v>
      </c>
      <c r="E13093" s="5" t="s">
        <v>39</v>
      </c>
      <c r="F13093" s="5" t="s">
        <v>494</v>
      </c>
      <c r="G13093" s="5" t="s">
        <v>664</v>
      </c>
      <c r="H13093" s="5" t="s">
        <v>2615</v>
      </c>
      <c r="I13093" s="5" t="s">
        <v>31</v>
      </c>
      <c r="J13093" s="5">
        <v>16.564608499999999</v>
      </c>
      <c r="K13093" s="5">
        <v>-97.535416299999994</v>
      </c>
      <c r="L13093" s="5" t="str">
        <f>HYPERLINK("https://maps.google.com/?q=16.5646085,-97.535416299999994", "🔗 Ver Mapa")</f>
        <v>🔗 Ver Mapa</v>
      </c>
    </row>
    <row r="13094" spans="1:12" ht="43.5" x14ac:dyDescent="0.35">
      <c r="A13094" s="6" t="s">
        <v>98</v>
      </c>
      <c r="B13094" s="6" t="s">
        <v>99</v>
      </c>
      <c r="C13094" s="6" t="s">
        <v>2614</v>
      </c>
      <c r="D13094" s="6" t="s">
        <v>14</v>
      </c>
      <c r="E13094" s="6" t="s">
        <v>39</v>
      </c>
      <c r="F13094" s="6" t="s">
        <v>494</v>
      </c>
      <c r="G13094" s="6" t="s">
        <v>664</v>
      </c>
      <c r="H13094" s="6" t="s">
        <v>2615</v>
      </c>
      <c r="I13094" s="6" t="s">
        <v>31</v>
      </c>
      <c r="J13094" s="6">
        <v>16.5646545</v>
      </c>
      <c r="K13094" s="6">
        <v>-97.529364000000001</v>
      </c>
      <c r="L13094" s="6" t="str">
        <f>HYPERLINK("https://maps.google.com/?q=16.5646545,-97.529364000000001", "🔗 Ver Mapa")</f>
        <v>🔗 Ver Mapa</v>
      </c>
    </row>
    <row r="13095" spans="1:12" ht="43.5" x14ac:dyDescent="0.35">
      <c r="A13095" s="5" t="s">
        <v>98</v>
      </c>
      <c r="B13095" s="5" t="s">
        <v>99</v>
      </c>
      <c r="C13095" s="5" t="s">
        <v>2614</v>
      </c>
      <c r="D13095" s="5" t="s">
        <v>14</v>
      </c>
      <c r="E13095" s="5" t="s">
        <v>39</v>
      </c>
      <c r="F13095" s="5" t="s">
        <v>494</v>
      </c>
      <c r="G13095" s="5" t="s">
        <v>664</v>
      </c>
      <c r="H13095" s="5" t="s">
        <v>2615</v>
      </c>
      <c r="I13095" s="5" t="s">
        <v>31</v>
      </c>
      <c r="J13095" s="5">
        <v>16.564685099999998</v>
      </c>
      <c r="K13095" s="5">
        <v>-97.532388699999998</v>
      </c>
      <c r="L13095" s="5" t="str">
        <f>HYPERLINK("https://maps.google.com/?q=16.5646851,-97.532388699999998", "🔗 Ver Mapa")</f>
        <v>🔗 Ver Mapa</v>
      </c>
    </row>
    <row r="13096" spans="1:12" ht="43.5" x14ac:dyDescent="0.35">
      <c r="A13096" s="6" t="s">
        <v>98</v>
      </c>
      <c r="B13096" s="6" t="s">
        <v>99</v>
      </c>
      <c r="C13096" s="6" t="s">
        <v>2614</v>
      </c>
      <c r="D13096" s="6" t="s">
        <v>14</v>
      </c>
      <c r="E13096" s="6" t="s">
        <v>39</v>
      </c>
      <c r="F13096" s="6" t="s">
        <v>494</v>
      </c>
      <c r="G13096" s="6" t="s">
        <v>664</v>
      </c>
      <c r="H13096" s="6" t="s">
        <v>2615</v>
      </c>
      <c r="I13096" s="6" t="s">
        <v>31</v>
      </c>
      <c r="J13096" s="6">
        <v>16.564794599999999</v>
      </c>
      <c r="K13096" s="6">
        <v>-97.536946599999993</v>
      </c>
      <c r="L13096" s="6" t="str">
        <f>HYPERLINK("https://maps.google.com/?q=16.5647946,-97.536946599999993", "🔗 Ver Mapa")</f>
        <v>🔗 Ver Mapa</v>
      </c>
    </row>
    <row r="13097" spans="1:12" ht="43.5" x14ac:dyDescent="0.35">
      <c r="A13097" s="5" t="s">
        <v>98</v>
      </c>
      <c r="B13097" s="5" t="s">
        <v>99</v>
      </c>
      <c r="C13097" s="5" t="s">
        <v>2614</v>
      </c>
      <c r="D13097" s="5" t="s">
        <v>14</v>
      </c>
      <c r="E13097" s="5" t="s">
        <v>39</v>
      </c>
      <c r="F13097" s="5" t="s">
        <v>494</v>
      </c>
      <c r="G13097" s="5" t="s">
        <v>664</v>
      </c>
      <c r="H13097" s="5" t="s">
        <v>2615</v>
      </c>
      <c r="I13097" s="5" t="s">
        <v>31</v>
      </c>
      <c r="J13097" s="5">
        <v>16.564994299999999</v>
      </c>
      <c r="K13097" s="5">
        <v>-97.529407399999997</v>
      </c>
      <c r="L13097" s="5" t="str">
        <f>HYPERLINK("https://maps.google.com/?q=16.5649943,-97.529407399999997", "🔗 Ver Mapa")</f>
        <v>🔗 Ver Mapa</v>
      </c>
    </row>
    <row r="13098" spans="1:12" ht="43.5" x14ac:dyDescent="0.35">
      <c r="A13098" s="6" t="s">
        <v>98</v>
      </c>
      <c r="B13098" s="6" t="s">
        <v>99</v>
      </c>
      <c r="C13098" s="6" t="s">
        <v>2614</v>
      </c>
      <c r="D13098" s="6" t="s">
        <v>14</v>
      </c>
      <c r="E13098" s="6" t="s">
        <v>39</v>
      </c>
      <c r="F13098" s="6" t="s">
        <v>494</v>
      </c>
      <c r="G13098" s="6" t="s">
        <v>664</v>
      </c>
      <c r="H13098" s="6" t="s">
        <v>2615</v>
      </c>
      <c r="I13098" s="6" t="s">
        <v>31</v>
      </c>
      <c r="J13098" s="6">
        <v>16.565079099999998</v>
      </c>
      <c r="K13098" s="6">
        <v>-97.531530599999996</v>
      </c>
      <c r="L13098" s="6" t="str">
        <f>HYPERLINK("https://maps.google.com/?q=16.5650791,-97.531530599999996", "🔗 Ver Mapa")</f>
        <v>🔗 Ver Mapa</v>
      </c>
    </row>
    <row r="13099" spans="1:12" ht="43.5" x14ac:dyDescent="0.35">
      <c r="A13099" s="5" t="s">
        <v>98</v>
      </c>
      <c r="B13099" s="5" t="s">
        <v>99</v>
      </c>
      <c r="C13099" s="5" t="s">
        <v>2614</v>
      </c>
      <c r="D13099" s="5" t="s">
        <v>14</v>
      </c>
      <c r="E13099" s="5" t="s">
        <v>39</v>
      </c>
      <c r="F13099" s="5" t="s">
        <v>494</v>
      </c>
      <c r="G13099" s="5" t="s">
        <v>664</v>
      </c>
      <c r="H13099" s="5" t="s">
        <v>2615</v>
      </c>
      <c r="I13099" s="5" t="s">
        <v>31</v>
      </c>
      <c r="J13099" s="5">
        <v>16.565117399999998</v>
      </c>
      <c r="K13099" s="5">
        <v>-97.538145600000007</v>
      </c>
      <c r="L13099" s="5" t="str">
        <f>HYPERLINK("https://maps.google.com/?q=16.5651174,-97.538145600000007", "🔗 Ver Mapa")</f>
        <v>🔗 Ver Mapa</v>
      </c>
    </row>
    <row r="13100" spans="1:12" ht="43.5" x14ac:dyDescent="0.35">
      <c r="A13100" s="6" t="s">
        <v>98</v>
      </c>
      <c r="B13100" s="6" t="s">
        <v>99</v>
      </c>
      <c r="C13100" s="6" t="s">
        <v>2614</v>
      </c>
      <c r="D13100" s="6" t="s">
        <v>14</v>
      </c>
      <c r="E13100" s="6" t="s">
        <v>39</v>
      </c>
      <c r="F13100" s="6" t="s">
        <v>494</v>
      </c>
      <c r="G13100" s="6" t="s">
        <v>664</v>
      </c>
      <c r="H13100" s="6" t="s">
        <v>2615</v>
      </c>
      <c r="I13100" s="6" t="s">
        <v>31</v>
      </c>
      <c r="J13100" s="6">
        <v>16.565167299999999</v>
      </c>
      <c r="K13100" s="6">
        <v>-97.535159100000001</v>
      </c>
      <c r="L13100" s="6" t="str">
        <f>HYPERLINK("https://maps.google.com/?q=16.5651673,-97.535159100000001", "🔗 Ver Mapa")</f>
        <v>🔗 Ver Mapa</v>
      </c>
    </row>
    <row r="13101" spans="1:12" ht="43.5" x14ac:dyDescent="0.35">
      <c r="A13101" s="5" t="s">
        <v>98</v>
      </c>
      <c r="B13101" s="5" t="s">
        <v>99</v>
      </c>
      <c r="C13101" s="5" t="s">
        <v>2614</v>
      </c>
      <c r="D13101" s="5" t="s">
        <v>14</v>
      </c>
      <c r="E13101" s="5" t="s">
        <v>39</v>
      </c>
      <c r="F13101" s="5" t="s">
        <v>494</v>
      </c>
      <c r="G13101" s="5" t="s">
        <v>664</v>
      </c>
      <c r="H13101" s="5" t="s">
        <v>2615</v>
      </c>
      <c r="I13101" s="5" t="s">
        <v>31</v>
      </c>
      <c r="J13101" s="5">
        <v>16.565268799999998</v>
      </c>
      <c r="K13101" s="5">
        <v>-97.5318118</v>
      </c>
      <c r="L13101" s="5" t="str">
        <f>HYPERLINK("https://maps.google.com/?q=16.5652688,-97.5318118", "🔗 Ver Mapa")</f>
        <v>🔗 Ver Mapa</v>
      </c>
    </row>
    <row r="13102" spans="1:12" ht="43.5" x14ac:dyDescent="0.35">
      <c r="A13102" s="6" t="s">
        <v>98</v>
      </c>
      <c r="B13102" s="6" t="s">
        <v>99</v>
      </c>
      <c r="C13102" s="6" t="s">
        <v>2614</v>
      </c>
      <c r="D13102" s="6" t="s">
        <v>14</v>
      </c>
      <c r="E13102" s="6" t="s">
        <v>39</v>
      </c>
      <c r="F13102" s="6" t="s">
        <v>494</v>
      </c>
      <c r="G13102" s="6" t="s">
        <v>664</v>
      </c>
      <c r="H13102" s="6" t="s">
        <v>2615</v>
      </c>
      <c r="I13102" s="6" t="s">
        <v>31</v>
      </c>
      <c r="J13102" s="6">
        <v>16.565386799999999</v>
      </c>
      <c r="K13102" s="6">
        <v>-97.531784569999999</v>
      </c>
      <c r="L13102" s="6" t="str">
        <f>HYPERLINK("https://maps.google.com/?q=16.5653868,-97.531784569999999", "🔗 Ver Mapa")</f>
        <v>🔗 Ver Mapa</v>
      </c>
    </row>
    <row r="13103" spans="1:12" ht="43.5" x14ac:dyDescent="0.35">
      <c r="A13103" s="5" t="s">
        <v>98</v>
      </c>
      <c r="B13103" s="5" t="s">
        <v>99</v>
      </c>
      <c r="C13103" s="5" t="s">
        <v>2614</v>
      </c>
      <c r="D13103" s="5" t="s">
        <v>14</v>
      </c>
      <c r="E13103" s="5" t="s">
        <v>39</v>
      </c>
      <c r="F13103" s="5" t="s">
        <v>494</v>
      </c>
      <c r="G13103" s="5" t="s">
        <v>664</v>
      </c>
      <c r="H13103" s="5" t="s">
        <v>2615</v>
      </c>
      <c r="I13103" s="5" t="s">
        <v>31</v>
      </c>
      <c r="J13103" s="5">
        <v>16.565401399999999</v>
      </c>
      <c r="K13103" s="5">
        <v>-97.537902799999998</v>
      </c>
      <c r="L13103" s="5" t="str">
        <f>HYPERLINK("https://maps.google.com/?q=16.5654014,-97.537902799999998", "🔗 Ver Mapa")</f>
        <v>🔗 Ver Mapa</v>
      </c>
    </row>
    <row r="13104" spans="1:12" ht="43.5" x14ac:dyDescent="0.35">
      <c r="A13104" s="6" t="s">
        <v>98</v>
      </c>
      <c r="B13104" s="6" t="s">
        <v>99</v>
      </c>
      <c r="C13104" s="6" t="s">
        <v>2614</v>
      </c>
      <c r="D13104" s="6" t="s">
        <v>14</v>
      </c>
      <c r="E13104" s="6" t="s">
        <v>39</v>
      </c>
      <c r="F13104" s="6" t="s">
        <v>494</v>
      </c>
      <c r="G13104" s="6" t="s">
        <v>664</v>
      </c>
      <c r="H13104" s="6" t="s">
        <v>2615</v>
      </c>
      <c r="I13104" s="6" t="s">
        <v>31</v>
      </c>
      <c r="J13104" s="6">
        <v>16.565453000000002</v>
      </c>
      <c r="K13104" s="6">
        <v>-97.533929000000001</v>
      </c>
      <c r="L13104" s="6" t="str">
        <f>HYPERLINK("https://maps.google.com/?q=16.565453,-97.533929000000001", "🔗 Ver Mapa")</f>
        <v>🔗 Ver Mapa</v>
      </c>
    </row>
    <row r="13105" spans="1:12" ht="43.5" x14ac:dyDescent="0.35">
      <c r="A13105" s="5" t="s">
        <v>98</v>
      </c>
      <c r="B13105" s="5" t="s">
        <v>99</v>
      </c>
      <c r="C13105" s="5" t="s">
        <v>2614</v>
      </c>
      <c r="D13105" s="5" t="s">
        <v>14</v>
      </c>
      <c r="E13105" s="5" t="s">
        <v>39</v>
      </c>
      <c r="F13105" s="5" t="s">
        <v>494</v>
      </c>
      <c r="G13105" s="5" t="s">
        <v>664</v>
      </c>
      <c r="H13105" s="5" t="s">
        <v>2615</v>
      </c>
      <c r="I13105" s="5" t="s">
        <v>31</v>
      </c>
      <c r="J13105" s="5">
        <v>16.565551899999999</v>
      </c>
      <c r="K13105" s="5">
        <v>-97.534100300000006</v>
      </c>
      <c r="L13105" s="5" t="str">
        <f>HYPERLINK("https://maps.google.com/?q=16.5655519,-97.534100300000006", "🔗 Ver Mapa")</f>
        <v>🔗 Ver Mapa</v>
      </c>
    </row>
    <row r="13106" spans="1:12" ht="43.5" x14ac:dyDescent="0.35">
      <c r="A13106" s="6" t="s">
        <v>98</v>
      </c>
      <c r="B13106" s="6" t="s">
        <v>99</v>
      </c>
      <c r="C13106" s="6" t="s">
        <v>2614</v>
      </c>
      <c r="D13106" s="6" t="s">
        <v>14</v>
      </c>
      <c r="E13106" s="6" t="s">
        <v>39</v>
      </c>
      <c r="F13106" s="6" t="s">
        <v>494</v>
      </c>
      <c r="G13106" s="6" t="s">
        <v>664</v>
      </c>
      <c r="H13106" s="6" t="s">
        <v>2615</v>
      </c>
      <c r="I13106" s="6" t="s">
        <v>31</v>
      </c>
      <c r="J13106" s="6">
        <v>16.565614</v>
      </c>
      <c r="K13106" s="6">
        <v>-97.537526999999997</v>
      </c>
      <c r="L13106" s="6" t="str">
        <f>HYPERLINK("https://maps.google.com/?q=16.565614,-97.537526999999997", "🔗 Ver Mapa")</f>
        <v>🔗 Ver Mapa</v>
      </c>
    </row>
    <row r="13107" spans="1:12" ht="43.5" x14ac:dyDescent="0.35">
      <c r="A13107" s="5" t="s">
        <v>98</v>
      </c>
      <c r="B13107" s="5" t="s">
        <v>99</v>
      </c>
      <c r="C13107" s="5" t="s">
        <v>2614</v>
      </c>
      <c r="D13107" s="5" t="s">
        <v>14</v>
      </c>
      <c r="E13107" s="5" t="s">
        <v>39</v>
      </c>
      <c r="F13107" s="5" t="s">
        <v>494</v>
      </c>
      <c r="G13107" s="5" t="s">
        <v>664</v>
      </c>
      <c r="H13107" s="5" t="s">
        <v>2615</v>
      </c>
      <c r="I13107" s="5" t="s">
        <v>31</v>
      </c>
      <c r="J13107" s="5">
        <v>16.565686299999999</v>
      </c>
      <c r="K13107" s="5">
        <v>-97.534285800000006</v>
      </c>
      <c r="L13107" s="5" t="str">
        <f>HYPERLINK("https://maps.google.com/?q=16.5656863,-97.534285800000006", "🔗 Ver Mapa")</f>
        <v>🔗 Ver Mapa</v>
      </c>
    </row>
    <row r="13108" spans="1:12" ht="43.5" x14ac:dyDescent="0.35">
      <c r="A13108" s="6" t="s">
        <v>98</v>
      </c>
      <c r="B13108" s="6" t="s">
        <v>99</v>
      </c>
      <c r="C13108" s="6" t="s">
        <v>2614</v>
      </c>
      <c r="D13108" s="6" t="s">
        <v>14</v>
      </c>
      <c r="E13108" s="6" t="s">
        <v>39</v>
      </c>
      <c r="F13108" s="6" t="s">
        <v>494</v>
      </c>
      <c r="G13108" s="6" t="s">
        <v>664</v>
      </c>
      <c r="H13108" s="6" t="s">
        <v>2615</v>
      </c>
      <c r="I13108" s="6" t="s">
        <v>31</v>
      </c>
      <c r="J13108" s="6">
        <v>16.565716999999999</v>
      </c>
      <c r="K13108" s="6">
        <v>-97.536572000000007</v>
      </c>
      <c r="L13108" s="6" t="str">
        <f>HYPERLINK("https://maps.google.com/?q=16.565717,-97.536572000000007", "🔗 Ver Mapa")</f>
        <v>🔗 Ver Mapa</v>
      </c>
    </row>
    <row r="13109" spans="1:12" ht="43.5" x14ac:dyDescent="0.35">
      <c r="A13109" s="5" t="s">
        <v>98</v>
      </c>
      <c r="B13109" s="5" t="s">
        <v>99</v>
      </c>
      <c r="C13109" s="5" t="s">
        <v>2614</v>
      </c>
      <c r="D13109" s="5" t="s">
        <v>14</v>
      </c>
      <c r="E13109" s="5" t="s">
        <v>39</v>
      </c>
      <c r="F13109" s="5" t="s">
        <v>494</v>
      </c>
      <c r="G13109" s="5" t="s">
        <v>664</v>
      </c>
      <c r="H13109" s="5" t="s">
        <v>2615</v>
      </c>
      <c r="I13109" s="5" t="s">
        <v>31</v>
      </c>
      <c r="J13109" s="5">
        <v>16.565807199999998</v>
      </c>
      <c r="K13109" s="5">
        <v>-97.537547900000007</v>
      </c>
      <c r="L13109" s="5" t="str">
        <f>HYPERLINK("https://maps.google.com/?q=16.5658072,-97.537547900000007", "🔗 Ver Mapa")</f>
        <v>🔗 Ver Mapa</v>
      </c>
    </row>
    <row r="13110" spans="1:12" ht="43.5" x14ac:dyDescent="0.35">
      <c r="A13110" s="6" t="s">
        <v>98</v>
      </c>
      <c r="B13110" s="6" t="s">
        <v>99</v>
      </c>
      <c r="C13110" s="6" t="s">
        <v>2614</v>
      </c>
      <c r="D13110" s="6" t="s">
        <v>14</v>
      </c>
      <c r="E13110" s="6" t="s">
        <v>39</v>
      </c>
      <c r="F13110" s="6" t="s">
        <v>494</v>
      </c>
      <c r="G13110" s="6" t="s">
        <v>664</v>
      </c>
      <c r="H13110" s="6" t="s">
        <v>2615</v>
      </c>
      <c r="I13110" s="6" t="s">
        <v>31</v>
      </c>
      <c r="J13110" s="6">
        <v>16.565867799999999</v>
      </c>
      <c r="K13110" s="6">
        <v>-97.534843899999998</v>
      </c>
      <c r="L13110" s="6" t="str">
        <f>HYPERLINK("https://maps.google.com/?q=16.5658678,-97.534843899999998", "🔗 Ver Mapa")</f>
        <v>🔗 Ver Mapa</v>
      </c>
    </row>
    <row r="13111" spans="1:12" ht="43.5" x14ac:dyDescent="0.35">
      <c r="A13111" s="5" t="s">
        <v>98</v>
      </c>
      <c r="B13111" s="5" t="s">
        <v>99</v>
      </c>
      <c r="C13111" s="5" t="s">
        <v>2614</v>
      </c>
      <c r="D13111" s="5" t="s">
        <v>14</v>
      </c>
      <c r="E13111" s="5" t="s">
        <v>39</v>
      </c>
      <c r="F13111" s="5" t="s">
        <v>494</v>
      </c>
      <c r="G13111" s="5" t="s">
        <v>664</v>
      </c>
      <c r="H13111" s="5" t="s">
        <v>2615</v>
      </c>
      <c r="I13111" s="5" t="s">
        <v>31</v>
      </c>
      <c r="J13111" s="5">
        <v>16.565881999999998</v>
      </c>
      <c r="K13111" s="5">
        <v>-97.534224399999999</v>
      </c>
      <c r="L13111" s="5" t="str">
        <f>HYPERLINK("https://maps.google.com/?q=16.565882,-97.534224399999999", "🔗 Ver Mapa")</f>
        <v>🔗 Ver Mapa</v>
      </c>
    </row>
    <row r="13112" spans="1:12" ht="43.5" x14ac:dyDescent="0.35">
      <c r="A13112" s="6" t="s">
        <v>98</v>
      </c>
      <c r="B13112" s="6" t="s">
        <v>99</v>
      </c>
      <c r="C13112" s="6" t="s">
        <v>2614</v>
      </c>
      <c r="D13112" s="6" t="s">
        <v>14</v>
      </c>
      <c r="E13112" s="6" t="s">
        <v>39</v>
      </c>
      <c r="F13112" s="6" t="s">
        <v>494</v>
      </c>
      <c r="G13112" s="6" t="s">
        <v>664</v>
      </c>
      <c r="H13112" s="6" t="s">
        <v>2615</v>
      </c>
      <c r="I13112" s="6" t="s">
        <v>31</v>
      </c>
      <c r="J13112" s="6">
        <v>16.5659308</v>
      </c>
      <c r="K13112" s="6">
        <v>-97.534943999999996</v>
      </c>
      <c r="L13112" s="6" t="str">
        <f>HYPERLINK("https://maps.google.com/?q=16.5659308,-97.534943999999996", "🔗 Ver Mapa")</f>
        <v>🔗 Ver Mapa</v>
      </c>
    </row>
    <row r="13113" spans="1:12" ht="43.5" x14ac:dyDescent="0.35">
      <c r="A13113" s="5" t="s">
        <v>98</v>
      </c>
      <c r="B13113" s="5" t="s">
        <v>99</v>
      </c>
      <c r="C13113" s="5" t="s">
        <v>2614</v>
      </c>
      <c r="D13113" s="5" t="s">
        <v>14</v>
      </c>
      <c r="E13113" s="5" t="s">
        <v>39</v>
      </c>
      <c r="F13113" s="5" t="s">
        <v>494</v>
      </c>
      <c r="G13113" s="5" t="s">
        <v>664</v>
      </c>
      <c r="H13113" s="5" t="s">
        <v>2615</v>
      </c>
      <c r="I13113" s="5" t="s">
        <v>31</v>
      </c>
      <c r="J13113" s="5">
        <v>16.565973499999998</v>
      </c>
      <c r="K13113" s="5">
        <v>-97.537848100000005</v>
      </c>
      <c r="L13113" s="5" t="str">
        <f>HYPERLINK("https://maps.google.com/?q=16.5659735,-97.537848100000005", "🔗 Ver Mapa")</f>
        <v>🔗 Ver Mapa</v>
      </c>
    </row>
    <row r="13114" spans="1:12" ht="43.5" x14ac:dyDescent="0.35">
      <c r="A13114" s="6" t="s">
        <v>98</v>
      </c>
      <c r="B13114" s="6" t="s">
        <v>99</v>
      </c>
      <c r="C13114" s="6" t="s">
        <v>2614</v>
      </c>
      <c r="D13114" s="6" t="s">
        <v>14</v>
      </c>
      <c r="E13114" s="6" t="s">
        <v>39</v>
      </c>
      <c r="F13114" s="6" t="s">
        <v>494</v>
      </c>
      <c r="G13114" s="6" t="s">
        <v>664</v>
      </c>
      <c r="H13114" s="6" t="s">
        <v>2615</v>
      </c>
      <c r="I13114" s="6" t="s">
        <v>31</v>
      </c>
      <c r="J13114" s="6">
        <v>16.565996999999999</v>
      </c>
      <c r="K13114" s="6">
        <v>-97.535301099999998</v>
      </c>
      <c r="L13114" s="6" t="str">
        <f>HYPERLINK("https://maps.google.com/?q=16.565997,-97.535301099999998", "🔗 Ver Mapa")</f>
        <v>🔗 Ver Mapa</v>
      </c>
    </row>
    <row r="13115" spans="1:12" ht="43.5" x14ac:dyDescent="0.35">
      <c r="A13115" s="5" t="s">
        <v>98</v>
      </c>
      <c r="B13115" s="5" t="s">
        <v>99</v>
      </c>
      <c r="C13115" s="5" t="s">
        <v>2614</v>
      </c>
      <c r="D13115" s="5" t="s">
        <v>14</v>
      </c>
      <c r="E13115" s="5" t="s">
        <v>39</v>
      </c>
      <c r="F13115" s="5" t="s">
        <v>494</v>
      </c>
      <c r="G13115" s="5" t="s">
        <v>664</v>
      </c>
      <c r="H13115" s="5" t="s">
        <v>2615</v>
      </c>
      <c r="I13115" s="5" t="s">
        <v>31</v>
      </c>
      <c r="J13115" s="5">
        <v>16.566092099999999</v>
      </c>
      <c r="K13115" s="5">
        <v>-97.537812799999998</v>
      </c>
      <c r="L13115" s="5" t="str">
        <f>HYPERLINK("https://maps.google.com/?q=16.5660921,-97.537812799999998", "🔗 Ver Mapa")</f>
        <v>🔗 Ver Mapa</v>
      </c>
    </row>
    <row r="13116" spans="1:12" ht="43.5" x14ac:dyDescent="0.35">
      <c r="A13116" s="6" t="s">
        <v>98</v>
      </c>
      <c r="B13116" s="6" t="s">
        <v>99</v>
      </c>
      <c r="C13116" s="6" t="s">
        <v>2614</v>
      </c>
      <c r="D13116" s="6" t="s">
        <v>14</v>
      </c>
      <c r="E13116" s="6" t="s">
        <v>39</v>
      </c>
      <c r="F13116" s="6" t="s">
        <v>494</v>
      </c>
      <c r="G13116" s="6" t="s">
        <v>664</v>
      </c>
      <c r="H13116" s="6" t="s">
        <v>2615</v>
      </c>
      <c r="I13116" s="6" t="s">
        <v>31</v>
      </c>
      <c r="J13116" s="6">
        <v>16.566116000000001</v>
      </c>
      <c r="K13116" s="6">
        <v>-97.536929999999998</v>
      </c>
      <c r="L13116" s="6" t="str">
        <f>HYPERLINK("https://maps.google.com/?q=16.566116,-97.536929999999998", "🔗 Ver Mapa")</f>
        <v>🔗 Ver Mapa</v>
      </c>
    </row>
    <row r="13117" spans="1:12" ht="43.5" x14ac:dyDescent="0.35">
      <c r="A13117" s="5" t="s">
        <v>98</v>
      </c>
      <c r="B13117" s="5" t="s">
        <v>99</v>
      </c>
      <c r="C13117" s="5" t="s">
        <v>2614</v>
      </c>
      <c r="D13117" s="5" t="s">
        <v>14</v>
      </c>
      <c r="E13117" s="5" t="s">
        <v>39</v>
      </c>
      <c r="F13117" s="5" t="s">
        <v>494</v>
      </c>
      <c r="G13117" s="5" t="s">
        <v>664</v>
      </c>
      <c r="H13117" s="5" t="s">
        <v>2615</v>
      </c>
      <c r="I13117" s="5" t="s">
        <v>31</v>
      </c>
      <c r="J13117" s="5">
        <v>16.566225599999999</v>
      </c>
      <c r="K13117" s="5">
        <v>-97.537445500000004</v>
      </c>
      <c r="L13117" s="5" t="str">
        <f>HYPERLINK("https://maps.google.com/?q=16.5662256,-97.537445500000004", "🔗 Ver Mapa")</f>
        <v>🔗 Ver Mapa</v>
      </c>
    </row>
    <row r="13118" spans="1:12" ht="43.5" x14ac:dyDescent="0.35">
      <c r="A13118" s="6" t="s">
        <v>98</v>
      </c>
      <c r="B13118" s="6" t="s">
        <v>99</v>
      </c>
      <c r="C13118" s="6" t="s">
        <v>2614</v>
      </c>
      <c r="D13118" s="6" t="s">
        <v>14</v>
      </c>
      <c r="E13118" s="6" t="s">
        <v>39</v>
      </c>
      <c r="F13118" s="6" t="s">
        <v>494</v>
      </c>
      <c r="G13118" s="6" t="s">
        <v>664</v>
      </c>
      <c r="H13118" s="6" t="s">
        <v>2615</v>
      </c>
      <c r="I13118" s="6" t="s">
        <v>31</v>
      </c>
      <c r="J13118" s="6">
        <v>16.56633944</v>
      </c>
      <c r="K13118" s="6">
        <v>-97.532206400000007</v>
      </c>
      <c r="L13118" s="6" t="str">
        <f>HYPERLINK("https://maps.google.com/?q=16.56633944,-97.532206400000007", "🔗 Ver Mapa")</f>
        <v>🔗 Ver Mapa</v>
      </c>
    </row>
    <row r="13119" spans="1:12" ht="43.5" x14ac:dyDescent="0.35">
      <c r="A13119" s="5" t="s">
        <v>98</v>
      </c>
      <c r="B13119" s="5" t="s">
        <v>99</v>
      </c>
      <c r="C13119" s="5" t="s">
        <v>2614</v>
      </c>
      <c r="D13119" s="5" t="s">
        <v>14</v>
      </c>
      <c r="E13119" s="5" t="s">
        <v>39</v>
      </c>
      <c r="F13119" s="5" t="s">
        <v>494</v>
      </c>
      <c r="G13119" s="5" t="s">
        <v>664</v>
      </c>
      <c r="H13119" s="5" t="s">
        <v>2615</v>
      </c>
      <c r="I13119" s="5" t="s">
        <v>31</v>
      </c>
      <c r="J13119" s="5">
        <v>16.567210200000002</v>
      </c>
      <c r="K13119" s="5">
        <v>-97.537885299999999</v>
      </c>
      <c r="L13119" s="5" t="str">
        <f>HYPERLINK("https://maps.google.com/?q=16.5672102,-97.537885299999999", "🔗 Ver Mapa")</f>
        <v>🔗 Ver Mapa</v>
      </c>
    </row>
    <row r="13120" spans="1:12" ht="43.5" x14ac:dyDescent="0.35">
      <c r="A13120" s="6" t="s">
        <v>98</v>
      </c>
      <c r="B13120" s="6" t="s">
        <v>99</v>
      </c>
      <c r="C13120" s="6" t="s">
        <v>2614</v>
      </c>
      <c r="D13120" s="6" t="s">
        <v>14</v>
      </c>
      <c r="E13120" s="6" t="s">
        <v>39</v>
      </c>
      <c r="F13120" s="6" t="s">
        <v>494</v>
      </c>
      <c r="G13120" s="6" t="s">
        <v>664</v>
      </c>
      <c r="H13120" s="6" t="s">
        <v>2615</v>
      </c>
      <c r="I13120" s="6" t="s">
        <v>31</v>
      </c>
      <c r="J13120" s="6">
        <v>16.567357000000001</v>
      </c>
      <c r="K13120" s="6">
        <v>-97.533771000000002</v>
      </c>
      <c r="L13120" s="6" t="str">
        <f>HYPERLINK("https://maps.google.com/?q=16.567357,-97.533771000000002", "🔗 Ver Mapa")</f>
        <v>🔗 Ver Mapa</v>
      </c>
    </row>
    <row r="13121" spans="1:12" ht="43.5" x14ac:dyDescent="0.35">
      <c r="A13121" s="5" t="s">
        <v>98</v>
      </c>
      <c r="B13121" s="5" t="s">
        <v>99</v>
      </c>
      <c r="C13121" s="5" t="s">
        <v>2614</v>
      </c>
      <c r="D13121" s="5" t="s">
        <v>14</v>
      </c>
      <c r="E13121" s="5" t="s">
        <v>39</v>
      </c>
      <c r="F13121" s="5" t="s">
        <v>494</v>
      </c>
      <c r="G13121" s="5" t="s">
        <v>664</v>
      </c>
      <c r="H13121" s="5" t="s">
        <v>2615</v>
      </c>
      <c r="I13121" s="5" t="s">
        <v>31</v>
      </c>
      <c r="J13121" s="5">
        <v>16.5675524</v>
      </c>
      <c r="K13121" s="5">
        <v>-97.533371900000006</v>
      </c>
      <c r="L13121" s="5" t="str">
        <f>HYPERLINK("https://maps.google.com/?q=16.5675524,-97.533371900000006", "🔗 Ver Mapa")</f>
        <v>🔗 Ver Mapa</v>
      </c>
    </row>
    <row r="13122" spans="1:12" ht="43.5" x14ac:dyDescent="0.35">
      <c r="A13122" s="6" t="s">
        <v>98</v>
      </c>
      <c r="B13122" s="6" t="s">
        <v>99</v>
      </c>
      <c r="C13122" s="6" t="s">
        <v>2614</v>
      </c>
      <c r="D13122" s="6" t="s">
        <v>14</v>
      </c>
      <c r="E13122" s="6" t="s">
        <v>39</v>
      </c>
      <c r="F13122" s="6" t="s">
        <v>494</v>
      </c>
      <c r="G13122" s="6" t="s">
        <v>664</v>
      </c>
      <c r="H13122" s="6" t="s">
        <v>2615</v>
      </c>
      <c r="I13122" s="6" t="s">
        <v>31</v>
      </c>
      <c r="J13122" s="6">
        <v>16.5677752</v>
      </c>
      <c r="K13122" s="6">
        <v>-97.535632800000002</v>
      </c>
      <c r="L13122" s="6" t="str">
        <f>HYPERLINK("https://maps.google.com/?q=16.5677752,-97.535632800000002", "🔗 Ver Mapa")</f>
        <v>🔗 Ver Mapa</v>
      </c>
    </row>
    <row r="13123" spans="1:12" ht="43.5" x14ac:dyDescent="0.35">
      <c r="A13123" s="5" t="s">
        <v>98</v>
      </c>
      <c r="B13123" s="5" t="s">
        <v>99</v>
      </c>
      <c r="C13123" s="5" t="s">
        <v>2614</v>
      </c>
      <c r="D13123" s="5" t="s">
        <v>14</v>
      </c>
      <c r="E13123" s="5" t="s">
        <v>39</v>
      </c>
      <c r="F13123" s="5" t="s">
        <v>494</v>
      </c>
      <c r="G13123" s="5" t="s">
        <v>664</v>
      </c>
      <c r="H13123" s="5" t="s">
        <v>2615</v>
      </c>
      <c r="I13123" s="5" t="s">
        <v>31</v>
      </c>
      <c r="J13123" s="5">
        <v>16.568050499999998</v>
      </c>
      <c r="K13123" s="5">
        <v>-97.535354100000006</v>
      </c>
      <c r="L13123" s="5" t="str">
        <f>HYPERLINK("https://maps.google.com/?q=16.5680505,-97.535354100000006", "🔗 Ver Mapa")</f>
        <v>🔗 Ver Mapa</v>
      </c>
    </row>
    <row r="13124" spans="1:12" ht="43.5" x14ac:dyDescent="0.35">
      <c r="A13124" s="6" t="s">
        <v>98</v>
      </c>
      <c r="B13124" s="6" t="s">
        <v>99</v>
      </c>
      <c r="C13124" s="6" t="s">
        <v>2614</v>
      </c>
      <c r="D13124" s="6" t="s">
        <v>14</v>
      </c>
      <c r="E13124" s="6" t="s">
        <v>39</v>
      </c>
      <c r="F13124" s="6" t="s">
        <v>494</v>
      </c>
      <c r="G13124" s="6" t="s">
        <v>664</v>
      </c>
      <c r="H13124" s="6" t="s">
        <v>2615</v>
      </c>
      <c r="I13124" s="6" t="s">
        <v>31</v>
      </c>
      <c r="J13124" s="6">
        <v>16.568147499999998</v>
      </c>
      <c r="K13124" s="6">
        <v>-97.537462289999993</v>
      </c>
      <c r="L13124" s="6" t="str">
        <f>HYPERLINK("https://maps.google.com/?q=16.5681475,-97.537462289999993", "🔗 Ver Mapa")</f>
        <v>🔗 Ver Mapa</v>
      </c>
    </row>
    <row r="13125" spans="1:12" ht="43.5" x14ac:dyDescent="0.35">
      <c r="A13125" s="5" t="s">
        <v>98</v>
      </c>
      <c r="B13125" s="5" t="s">
        <v>99</v>
      </c>
      <c r="C13125" s="5" t="s">
        <v>2614</v>
      </c>
      <c r="D13125" s="5" t="s">
        <v>14</v>
      </c>
      <c r="E13125" s="5" t="s">
        <v>39</v>
      </c>
      <c r="F13125" s="5" t="s">
        <v>494</v>
      </c>
      <c r="G13125" s="5" t="s">
        <v>664</v>
      </c>
      <c r="H13125" s="5" t="s">
        <v>2615</v>
      </c>
      <c r="I13125" s="5" t="s">
        <v>31</v>
      </c>
      <c r="J13125" s="5">
        <v>16.568192499999999</v>
      </c>
      <c r="K13125" s="5">
        <v>-97.531188400000005</v>
      </c>
      <c r="L13125" s="5" t="str">
        <f>HYPERLINK("https://maps.google.com/?q=16.5681925,-97.531188400000005", "🔗 Ver Mapa")</f>
        <v>🔗 Ver Mapa</v>
      </c>
    </row>
    <row r="13126" spans="1:12" ht="43.5" x14ac:dyDescent="0.35">
      <c r="A13126" s="6" t="s">
        <v>98</v>
      </c>
      <c r="B13126" s="6" t="s">
        <v>99</v>
      </c>
      <c r="C13126" s="6" t="s">
        <v>2614</v>
      </c>
      <c r="D13126" s="6" t="s">
        <v>14</v>
      </c>
      <c r="E13126" s="6" t="s">
        <v>39</v>
      </c>
      <c r="F13126" s="6" t="s">
        <v>494</v>
      </c>
      <c r="G13126" s="6" t="s">
        <v>664</v>
      </c>
      <c r="H13126" s="6" t="s">
        <v>2615</v>
      </c>
      <c r="I13126" s="6" t="s">
        <v>31</v>
      </c>
      <c r="J13126" s="6">
        <v>16.568356999999999</v>
      </c>
      <c r="K13126" s="6">
        <v>-97.535117499999998</v>
      </c>
      <c r="L13126" s="6" t="str">
        <f>HYPERLINK("https://maps.google.com/?q=16.568357,-97.535117499999998", "🔗 Ver Mapa")</f>
        <v>🔗 Ver Mapa</v>
      </c>
    </row>
    <row r="13127" spans="1:12" ht="43.5" x14ac:dyDescent="0.35">
      <c r="A13127" s="5" t="s">
        <v>98</v>
      </c>
      <c r="B13127" s="5" t="s">
        <v>99</v>
      </c>
      <c r="C13127" s="5" t="s">
        <v>2614</v>
      </c>
      <c r="D13127" s="5" t="s">
        <v>14</v>
      </c>
      <c r="E13127" s="5" t="s">
        <v>39</v>
      </c>
      <c r="F13127" s="5" t="s">
        <v>494</v>
      </c>
      <c r="G13127" s="5" t="s">
        <v>664</v>
      </c>
      <c r="H13127" s="5" t="s">
        <v>2615</v>
      </c>
      <c r="I13127" s="5" t="s">
        <v>31</v>
      </c>
      <c r="J13127" s="5">
        <v>16.568404999999998</v>
      </c>
      <c r="K13127" s="5">
        <v>-97.535377999999994</v>
      </c>
      <c r="L13127" s="5" t="str">
        <f>HYPERLINK("https://maps.google.com/?q=16.568405,-97.535377999999994", "🔗 Ver Mapa")</f>
        <v>🔗 Ver Mapa</v>
      </c>
    </row>
    <row r="13128" spans="1:12" ht="43.5" x14ac:dyDescent="0.35">
      <c r="A13128" s="6" t="s">
        <v>98</v>
      </c>
      <c r="B13128" s="6" t="s">
        <v>99</v>
      </c>
      <c r="C13128" s="6" t="s">
        <v>2616</v>
      </c>
      <c r="D13128" s="6" t="s">
        <v>14</v>
      </c>
      <c r="E13128" s="6" t="s">
        <v>90</v>
      </c>
      <c r="F13128" s="6" t="s">
        <v>119</v>
      </c>
      <c r="G13128" s="6" t="s">
        <v>2617</v>
      </c>
      <c r="H13128" s="6" t="s">
        <v>2618</v>
      </c>
      <c r="I13128" s="6" t="s">
        <v>31</v>
      </c>
      <c r="J13128" s="6">
        <v>17.184303847723001</v>
      </c>
      <c r="K13128" s="6">
        <v>-96.513934516532998</v>
      </c>
      <c r="L13128" s="6" t="str">
        <f>HYPERLINK("https://maps.google.com/?q=17.184303847723,-96.513934516532998", "🔗 Ver Mapa")</f>
        <v>🔗 Ver Mapa</v>
      </c>
    </row>
    <row r="13129" spans="1:12" ht="43.5" x14ac:dyDescent="0.35">
      <c r="A13129" s="5" t="s">
        <v>98</v>
      </c>
      <c r="B13129" s="5" t="s">
        <v>99</v>
      </c>
      <c r="C13129" s="5" t="s">
        <v>2616</v>
      </c>
      <c r="D13129" s="5" t="s">
        <v>14</v>
      </c>
      <c r="E13129" s="5" t="s">
        <v>90</v>
      </c>
      <c r="F13129" s="5" t="s">
        <v>119</v>
      </c>
      <c r="G13129" s="5" t="s">
        <v>2617</v>
      </c>
      <c r="H13129" s="5" t="s">
        <v>2618</v>
      </c>
      <c r="I13129" s="5" t="s">
        <v>31</v>
      </c>
      <c r="J13129" s="5">
        <v>17.184662626405</v>
      </c>
      <c r="K13129" s="5">
        <v>-96.512487215939004</v>
      </c>
      <c r="L13129" s="5" t="str">
        <f>HYPERLINK("https://maps.google.com/?q=17.1846626264053,-96.512487215938606", "🔗 Ver Mapa")</f>
        <v>🔗 Ver Mapa</v>
      </c>
    </row>
    <row r="13130" spans="1:12" ht="43.5" x14ac:dyDescent="0.35">
      <c r="A13130" s="6" t="s">
        <v>98</v>
      </c>
      <c r="B13130" s="6" t="s">
        <v>99</v>
      </c>
      <c r="C13130" s="6" t="s">
        <v>2616</v>
      </c>
      <c r="D13130" s="6" t="s">
        <v>14</v>
      </c>
      <c r="E13130" s="6" t="s">
        <v>90</v>
      </c>
      <c r="F13130" s="6" t="s">
        <v>119</v>
      </c>
      <c r="G13130" s="6" t="s">
        <v>2617</v>
      </c>
      <c r="H13130" s="6" t="s">
        <v>2618</v>
      </c>
      <c r="I13130" s="6" t="s">
        <v>31</v>
      </c>
      <c r="J13130" s="6">
        <v>17.184825658196999</v>
      </c>
      <c r="K13130" s="6">
        <v>-96.514300559524997</v>
      </c>
      <c r="L13130" s="6" t="str">
        <f>HYPERLINK("https://maps.google.com/?q=17.1848256581974,-96.5143005595245", "🔗 Ver Mapa")</f>
        <v>🔗 Ver Mapa</v>
      </c>
    </row>
    <row r="13131" spans="1:12" ht="43.5" x14ac:dyDescent="0.35">
      <c r="A13131" s="5" t="s">
        <v>98</v>
      </c>
      <c r="B13131" s="5" t="s">
        <v>99</v>
      </c>
      <c r="C13131" s="5" t="s">
        <v>2616</v>
      </c>
      <c r="D13131" s="5" t="s">
        <v>14</v>
      </c>
      <c r="E13131" s="5" t="s">
        <v>90</v>
      </c>
      <c r="F13131" s="5" t="s">
        <v>119</v>
      </c>
      <c r="G13131" s="5" t="s">
        <v>2617</v>
      </c>
      <c r="H13131" s="5" t="s">
        <v>2618</v>
      </c>
      <c r="I13131" s="5" t="s">
        <v>31</v>
      </c>
      <c r="J13131" s="5">
        <v>17.184859996772001</v>
      </c>
      <c r="K13131" s="5">
        <v>-96.514525833169998</v>
      </c>
      <c r="L13131" s="5" t="str">
        <f>HYPERLINK("https://maps.google.com/?q=17.1848599967719,-96.514525833169898", "🔗 Ver Mapa")</f>
        <v>🔗 Ver Mapa</v>
      </c>
    </row>
    <row r="13132" spans="1:12" ht="43.5" x14ac:dyDescent="0.35">
      <c r="A13132" s="6" t="s">
        <v>98</v>
      </c>
      <c r="B13132" s="6" t="s">
        <v>99</v>
      </c>
      <c r="C13132" s="6" t="s">
        <v>2616</v>
      </c>
      <c r="D13132" s="6" t="s">
        <v>14</v>
      </c>
      <c r="E13132" s="6" t="s">
        <v>90</v>
      </c>
      <c r="F13132" s="6" t="s">
        <v>119</v>
      </c>
      <c r="G13132" s="6" t="s">
        <v>2617</v>
      </c>
      <c r="H13132" s="6" t="s">
        <v>2618</v>
      </c>
      <c r="I13132" s="6" t="s">
        <v>31</v>
      </c>
      <c r="J13132" s="6">
        <v>17.184878315302999</v>
      </c>
      <c r="K13132" s="6">
        <v>-96.514733233135004</v>
      </c>
      <c r="L13132" s="6" t="str">
        <f>HYPERLINK("https://maps.google.com/?q=17.1848783153026,-96.514733233135203", "🔗 Ver Mapa")</f>
        <v>🔗 Ver Mapa</v>
      </c>
    </row>
    <row r="13133" spans="1:12" ht="43.5" x14ac:dyDescent="0.35">
      <c r="A13133" s="5" t="s">
        <v>98</v>
      </c>
      <c r="B13133" s="5" t="s">
        <v>99</v>
      </c>
      <c r="C13133" s="5" t="s">
        <v>2616</v>
      </c>
      <c r="D13133" s="5" t="s">
        <v>14</v>
      </c>
      <c r="E13133" s="5" t="s">
        <v>90</v>
      </c>
      <c r="F13133" s="5" t="s">
        <v>119</v>
      </c>
      <c r="G13133" s="5" t="s">
        <v>2617</v>
      </c>
      <c r="H13133" s="5" t="s">
        <v>2618</v>
      </c>
      <c r="I13133" s="5" t="s">
        <v>31</v>
      </c>
      <c r="J13133" s="5">
        <v>17.185220157768001</v>
      </c>
      <c r="K13133" s="5">
        <v>-96.513419463789006</v>
      </c>
      <c r="L13133" s="5" t="str">
        <f>HYPERLINK("https://maps.google.com/?q=17.1852201577681,-96.513419463789006", "🔗 Ver Mapa")</f>
        <v>🔗 Ver Mapa</v>
      </c>
    </row>
    <row r="13134" spans="1:12" ht="43.5" x14ac:dyDescent="0.35">
      <c r="A13134" s="6" t="s">
        <v>98</v>
      </c>
      <c r="B13134" s="6" t="s">
        <v>99</v>
      </c>
      <c r="C13134" s="6" t="s">
        <v>2616</v>
      </c>
      <c r="D13134" s="6" t="s">
        <v>14</v>
      </c>
      <c r="E13134" s="6" t="s">
        <v>90</v>
      </c>
      <c r="F13134" s="6" t="s">
        <v>119</v>
      </c>
      <c r="G13134" s="6" t="s">
        <v>2617</v>
      </c>
      <c r="H13134" s="6" t="s">
        <v>2618</v>
      </c>
      <c r="I13134" s="6" t="s">
        <v>31</v>
      </c>
      <c r="J13134" s="6">
        <v>17.185447127614001</v>
      </c>
      <c r="K13134" s="6">
        <v>-96.513622474868995</v>
      </c>
      <c r="L13134" s="6" t="str">
        <f>HYPERLINK("https://maps.google.com/?q=17.1854471276142,-96.513622474868697", "🔗 Ver Mapa")</f>
        <v>🔗 Ver Mapa</v>
      </c>
    </row>
    <row r="13135" spans="1:12" ht="43.5" x14ac:dyDescent="0.35">
      <c r="A13135" s="5" t="s">
        <v>98</v>
      </c>
      <c r="B13135" s="5" t="s">
        <v>99</v>
      </c>
      <c r="C13135" s="5" t="s">
        <v>2616</v>
      </c>
      <c r="D13135" s="5" t="s">
        <v>14</v>
      </c>
      <c r="E13135" s="5" t="s">
        <v>90</v>
      </c>
      <c r="F13135" s="5" t="s">
        <v>119</v>
      </c>
      <c r="G13135" s="5" t="s">
        <v>2617</v>
      </c>
      <c r="H13135" s="5" t="s">
        <v>2618</v>
      </c>
      <c r="I13135" s="5" t="s">
        <v>31</v>
      </c>
      <c r="J13135" s="5">
        <v>17.185683409568998</v>
      </c>
      <c r="K13135" s="5">
        <v>-96.513373860119003</v>
      </c>
      <c r="L13135" s="5" t="str">
        <f>HYPERLINK("https://maps.google.com/?q=17.1856834095686,-96.513373860118804", "🔗 Ver Mapa")</f>
        <v>🔗 Ver Mapa</v>
      </c>
    </row>
    <row r="13136" spans="1:12" ht="43.5" x14ac:dyDescent="0.35">
      <c r="A13136" s="6" t="s">
        <v>98</v>
      </c>
      <c r="B13136" s="6" t="s">
        <v>99</v>
      </c>
      <c r="C13136" s="6" t="s">
        <v>2616</v>
      </c>
      <c r="D13136" s="6" t="s">
        <v>14</v>
      </c>
      <c r="E13136" s="6" t="s">
        <v>90</v>
      </c>
      <c r="F13136" s="6" t="s">
        <v>119</v>
      </c>
      <c r="G13136" s="6" t="s">
        <v>2617</v>
      </c>
      <c r="H13136" s="6" t="s">
        <v>2618</v>
      </c>
      <c r="I13136" s="6" t="s">
        <v>31</v>
      </c>
      <c r="J13136" s="6">
        <v>17.186165255035998</v>
      </c>
      <c r="K13136" s="6">
        <v>-96.512932985285005</v>
      </c>
      <c r="L13136" s="6" t="str">
        <f>HYPERLINK("https://maps.google.com/?q=17.1861652550357,-96.512932985284806", "🔗 Ver Mapa")</f>
        <v>🔗 Ver Mapa</v>
      </c>
    </row>
    <row r="13137" spans="1:12" ht="43.5" x14ac:dyDescent="0.35">
      <c r="A13137" s="5" t="s">
        <v>98</v>
      </c>
      <c r="B13137" s="5" t="s">
        <v>99</v>
      </c>
      <c r="C13137" s="5" t="s">
        <v>2616</v>
      </c>
      <c r="D13137" s="5" t="s">
        <v>14</v>
      </c>
      <c r="E13137" s="5" t="s">
        <v>90</v>
      </c>
      <c r="F13137" s="5" t="s">
        <v>119</v>
      </c>
      <c r="G13137" s="5" t="s">
        <v>2617</v>
      </c>
      <c r="H13137" s="5" t="s">
        <v>2618</v>
      </c>
      <c r="I13137" s="5" t="s">
        <v>31</v>
      </c>
      <c r="J13137" s="5">
        <v>17.186169219408001</v>
      </c>
      <c r="K13137" s="5">
        <v>-96.512808830688002</v>
      </c>
      <c r="L13137" s="5" t="str">
        <f>HYPERLINK("https://maps.google.com/?q=17.1861692194077,-96.5128088306884", "🔗 Ver Mapa")</f>
        <v>🔗 Ver Mapa</v>
      </c>
    </row>
    <row r="13138" spans="1:12" ht="43.5" x14ac:dyDescent="0.35">
      <c r="A13138" s="6" t="s">
        <v>98</v>
      </c>
      <c r="B13138" s="6" t="s">
        <v>99</v>
      </c>
      <c r="C13138" s="6" t="s">
        <v>2616</v>
      </c>
      <c r="D13138" s="6" t="s">
        <v>14</v>
      </c>
      <c r="E13138" s="6" t="s">
        <v>90</v>
      </c>
      <c r="F13138" s="6" t="s">
        <v>119</v>
      </c>
      <c r="G13138" s="6" t="s">
        <v>2617</v>
      </c>
      <c r="H13138" s="6" t="s">
        <v>2618</v>
      </c>
      <c r="I13138" s="6" t="s">
        <v>31</v>
      </c>
      <c r="J13138" s="6">
        <v>17.186470159033998</v>
      </c>
      <c r="K13138" s="6">
        <v>-96.514351115938993</v>
      </c>
      <c r="L13138" s="6" t="str">
        <f>HYPERLINK("https://maps.google.com/?q=17.1864701590339,-96.514351115938595", "🔗 Ver Mapa")</f>
        <v>🔗 Ver Mapa</v>
      </c>
    </row>
    <row r="13139" spans="1:12" ht="43.5" x14ac:dyDescent="0.35">
      <c r="A13139" s="5" t="s">
        <v>98</v>
      </c>
      <c r="B13139" s="5" t="s">
        <v>99</v>
      </c>
      <c r="C13139" s="5" t="s">
        <v>2616</v>
      </c>
      <c r="D13139" s="5" t="s">
        <v>14</v>
      </c>
      <c r="E13139" s="5" t="s">
        <v>90</v>
      </c>
      <c r="F13139" s="5" t="s">
        <v>119</v>
      </c>
      <c r="G13139" s="5" t="s">
        <v>2617</v>
      </c>
      <c r="H13139" s="5" t="s">
        <v>2618</v>
      </c>
      <c r="I13139" s="5" t="s">
        <v>31</v>
      </c>
      <c r="J13139" s="5">
        <v>17.186898222989999</v>
      </c>
      <c r="K13139" s="5">
        <v>-96.513790868716995</v>
      </c>
      <c r="L13139" s="5" t="str">
        <f>HYPERLINK("https://maps.google.com/?q=17.1868982229902,-96.513790868717194", "🔗 Ver Mapa")</f>
        <v>🔗 Ver Mapa</v>
      </c>
    </row>
    <row r="13140" spans="1:12" ht="43.5" x14ac:dyDescent="0.35">
      <c r="A13140" s="6" t="s">
        <v>98</v>
      </c>
      <c r="B13140" s="6" t="s">
        <v>99</v>
      </c>
      <c r="C13140" s="6" t="s">
        <v>2616</v>
      </c>
      <c r="D13140" s="6" t="s">
        <v>14</v>
      </c>
      <c r="E13140" s="6" t="s">
        <v>90</v>
      </c>
      <c r="F13140" s="6" t="s">
        <v>119</v>
      </c>
      <c r="G13140" s="6" t="s">
        <v>2617</v>
      </c>
      <c r="H13140" s="6" t="s">
        <v>2618</v>
      </c>
      <c r="I13140" s="6" t="s">
        <v>31</v>
      </c>
      <c r="J13140" s="6">
        <v>17.187369344701999</v>
      </c>
      <c r="K13140" s="6">
        <v>-96.514009506780994</v>
      </c>
      <c r="L13140" s="6" t="str">
        <f>HYPERLINK("https://maps.google.com/?q=17.1873693447017,-96.514009506780596", "🔗 Ver Mapa")</f>
        <v>🔗 Ver Mapa</v>
      </c>
    </row>
    <row r="13141" spans="1:12" ht="43.5" x14ac:dyDescent="0.35">
      <c r="A13141" s="5" t="s">
        <v>98</v>
      </c>
      <c r="B13141" s="5" t="s">
        <v>99</v>
      </c>
      <c r="C13141" s="5" t="s">
        <v>2616</v>
      </c>
      <c r="D13141" s="5" t="s">
        <v>14</v>
      </c>
      <c r="E13141" s="5" t="s">
        <v>90</v>
      </c>
      <c r="F13141" s="5" t="s">
        <v>119</v>
      </c>
      <c r="G13141" s="5" t="s">
        <v>2617</v>
      </c>
      <c r="H13141" s="5" t="s">
        <v>2618</v>
      </c>
      <c r="I13141" s="5" t="s">
        <v>31</v>
      </c>
      <c r="J13141" s="5">
        <v>17.188504691529999</v>
      </c>
      <c r="K13141" s="5">
        <v>-96.513635498989998</v>
      </c>
      <c r="L13141" s="5" t="str">
        <f>HYPERLINK("https://maps.google.com/?q=17.1885046915304,-96.513635498989899", "🔗 Ver Mapa")</f>
        <v>🔗 Ver Mapa</v>
      </c>
    </row>
    <row r="13142" spans="1:12" ht="43.5" x14ac:dyDescent="0.35">
      <c r="A13142" s="6" t="s">
        <v>98</v>
      </c>
      <c r="B13142" s="6" t="s">
        <v>99</v>
      </c>
      <c r="C13142" s="6" t="s">
        <v>2616</v>
      </c>
      <c r="D13142" s="6" t="s">
        <v>14</v>
      </c>
      <c r="E13142" s="6" t="s">
        <v>90</v>
      </c>
      <c r="F13142" s="6" t="s">
        <v>119</v>
      </c>
      <c r="G13142" s="6" t="s">
        <v>2617</v>
      </c>
      <c r="H13142" s="6" t="s">
        <v>2618</v>
      </c>
      <c r="I13142" s="6" t="s">
        <v>31</v>
      </c>
      <c r="J13142" s="6">
        <v>17.188767321196998</v>
      </c>
      <c r="K13142" s="6">
        <v>-96.513622148479001</v>
      </c>
      <c r="L13142" s="6" t="str">
        <f>HYPERLINK("https://maps.google.com/?q=17.1887673211965,-96.513622148479399", "🔗 Ver Mapa")</f>
        <v>🔗 Ver Mapa</v>
      </c>
    </row>
    <row r="13143" spans="1:12" ht="43.5" x14ac:dyDescent="0.35">
      <c r="A13143" s="5" t="s">
        <v>98</v>
      </c>
      <c r="B13143" s="5" t="s">
        <v>99</v>
      </c>
      <c r="C13143" s="5" t="s">
        <v>2616</v>
      </c>
      <c r="D13143" s="5" t="s">
        <v>14</v>
      </c>
      <c r="E13143" s="5" t="s">
        <v>90</v>
      </c>
      <c r="F13143" s="5" t="s">
        <v>119</v>
      </c>
      <c r="G13143" s="5" t="s">
        <v>2617</v>
      </c>
      <c r="H13143" s="5" t="s">
        <v>2618</v>
      </c>
      <c r="I13143" s="5" t="s">
        <v>31</v>
      </c>
      <c r="J13143" s="5">
        <v>17.189405089784</v>
      </c>
      <c r="K13143" s="5">
        <v>-96.513335804893998</v>
      </c>
      <c r="L13143" s="5" t="str">
        <f>HYPERLINK("https://maps.google.com/?q=17.1894050897837,-96.513335804893501", "🔗 Ver Mapa")</f>
        <v>🔗 Ver Mapa</v>
      </c>
    </row>
    <row r="13144" spans="1:12" ht="43.5" x14ac:dyDescent="0.35">
      <c r="A13144" s="6" t="s">
        <v>98</v>
      </c>
      <c r="B13144" s="6" t="s">
        <v>99</v>
      </c>
      <c r="C13144" s="6" t="s">
        <v>2616</v>
      </c>
      <c r="D13144" s="6" t="s">
        <v>14</v>
      </c>
      <c r="E13144" s="6" t="s">
        <v>90</v>
      </c>
      <c r="F13144" s="6" t="s">
        <v>119</v>
      </c>
      <c r="G13144" s="6" t="s">
        <v>2617</v>
      </c>
      <c r="H13144" s="6" t="s">
        <v>2618</v>
      </c>
      <c r="I13144" s="6" t="s">
        <v>31</v>
      </c>
      <c r="J13144" s="6">
        <v>17.190162651449999</v>
      </c>
      <c r="K13144" s="6">
        <v>-96.514312203705003</v>
      </c>
      <c r="L13144" s="6" t="str">
        <f>HYPERLINK("https://maps.google.com/?q=17.1901626514502,-96.514312203704804", "🔗 Ver Mapa")</f>
        <v>🔗 Ver Mapa</v>
      </c>
    </row>
    <row r="13145" spans="1:12" ht="43.5" x14ac:dyDescent="0.35">
      <c r="A13145" s="5" t="s">
        <v>98</v>
      </c>
      <c r="B13145" s="5" t="s">
        <v>99</v>
      </c>
      <c r="C13145" s="5" t="s">
        <v>2616</v>
      </c>
      <c r="D13145" s="5" t="s">
        <v>14</v>
      </c>
      <c r="E13145" s="5" t="s">
        <v>90</v>
      </c>
      <c r="F13145" s="5" t="s">
        <v>119</v>
      </c>
      <c r="G13145" s="5" t="s">
        <v>2617</v>
      </c>
      <c r="H13145" s="5" t="s">
        <v>2618</v>
      </c>
      <c r="I13145" s="5" t="s">
        <v>31</v>
      </c>
      <c r="J13145" s="5">
        <v>17.190510630182001</v>
      </c>
      <c r="K13145" s="5">
        <v>-96.514941195106999</v>
      </c>
      <c r="L13145" s="5" t="str">
        <f>HYPERLINK("https://maps.google.com/?q=17.190510630182,-96.514941195106502", "🔗 Ver Mapa")</f>
        <v>🔗 Ver Mapa</v>
      </c>
    </row>
    <row r="13146" spans="1:12" ht="43.5" x14ac:dyDescent="0.35">
      <c r="A13146" s="6" t="s">
        <v>98</v>
      </c>
      <c r="B13146" s="6" t="s">
        <v>99</v>
      </c>
      <c r="C13146" s="6" t="s">
        <v>2616</v>
      </c>
      <c r="D13146" s="6" t="s">
        <v>14</v>
      </c>
      <c r="E13146" s="6" t="s">
        <v>90</v>
      </c>
      <c r="F13146" s="6" t="s">
        <v>119</v>
      </c>
      <c r="G13146" s="6" t="s">
        <v>2617</v>
      </c>
      <c r="H13146" s="6" t="s">
        <v>2618</v>
      </c>
      <c r="I13146" s="6" t="s">
        <v>31</v>
      </c>
      <c r="J13146" s="6">
        <v>17.190723377007998</v>
      </c>
      <c r="K13146" s="6">
        <v>-96.514354069941007</v>
      </c>
      <c r="L13146" s="6" t="str">
        <f>HYPERLINK("https://maps.google.com/?q=17.1907233770081,-96.514354069940595", "🔗 Ver Mapa")</f>
        <v>🔗 Ver Mapa</v>
      </c>
    </row>
    <row r="13147" spans="1:12" ht="43.5" x14ac:dyDescent="0.35">
      <c r="A13147" s="5" t="s">
        <v>98</v>
      </c>
      <c r="B13147" s="5" t="s">
        <v>99</v>
      </c>
      <c r="C13147" s="5" t="s">
        <v>2616</v>
      </c>
      <c r="D13147" s="5" t="s">
        <v>14</v>
      </c>
      <c r="E13147" s="5" t="s">
        <v>90</v>
      </c>
      <c r="F13147" s="5" t="s">
        <v>119</v>
      </c>
      <c r="G13147" s="5" t="s">
        <v>2617</v>
      </c>
      <c r="H13147" s="5" t="s">
        <v>2618</v>
      </c>
      <c r="I13147" s="5" t="s">
        <v>31</v>
      </c>
      <c r="J13147" s="5">
        <v>17.190908221497999</v>
      </c>
      <c r="K13147" s="5">
        <v>-96.516823304403005</v>
      </c>
      <c r="L13147" s="5" t="str">
        <f>HYPERLINK("https://maps.google.com/?q=17.1909082214985,-96.516823304403104", "🔗 Ver Mapa")</f>
        <v>🔗 Ver Mapa</v>
      </c>
    </row>
    <row r="13148" spans="1:12" ht="43.5" x14ac:dyDescent="0.35">
      <c r="A13148" s="6" t="s">
        <v>98</v>
      </c>
      <c r="B13148" s="6" t="s">
        <v>99</v>
      </c>
      <c r="C13148" s="6" t="s">
        <v>2619</v>
      </c>
      <c r="D13148" s="6" t="s">
        <v>14</v>
      </c>
      <c r="E13148" s="6" t="s">
        <v>39</v>
      </c>
      <c r="F13148" s="6" t="s">
        <v>494</v>
      </c>
      <c r="G13148" s="6" t="s">
        <v>571</v>
      </c>
      <c r="H13148" s="6" t="s">
        <v>572</v>
      </c>
      <c r="I13148" s="6" t="s">
        <v>31</v>
      </c>
      <c r="J13148" s="6">
        <v>0</v>
      </c>
      <c r="K13148" s="6">
        <v>-97.013182402447001</v>
      </c>
      <c r="L13148" s="6" t="str">
        <f>HYPERLINK("https://maps.google.com/?q=0,-97.013182402446702", "🔗 Ver Mapa")</f>
        <v>🔗 Ver Mapa</v>
      </c>
    </row>
    <row r="13149" spans="1:12" ht="43.5" x14ac:dyDescent="0.35">
      <c r="A13149" s="5" t="s">
        <v>98</v>
      </c>
      <c r="B13149" s="5" t="s">
        <v>99</v>
      </c>
      <c r="C13149" s="5" t="s">
        <v>2619</v>
      </c>
      <c r="D13149" s="5" t="s">
        <v>14</v>
      </c>
      <c r="E13149" s="5" t="s">
        <v>39</v>
      </c>
      <c r="F13149" s="5" t="s">
        <v>494</v>
      </c>
      <c r="G13149" s="5" t="s">
        <v>571</v>
      </c>
      <c r="H13149" s="5" t="s">
        <v>572</v>
      </c>
      <c r="I13149" s="5" t="s">
        <v>31</v>
      </c>
      <c r="J13149" s="5">
        <v>0</v>
      </c>
      <c r="K13149" s="5">
        <v>-97.011358659473004</v>
      </c>
      <c r="L13149" s="5" t="str">
        <f>HYPERLINK("https://maps.google.com/?q=0,-97.011358659472506", "🔗 Ver Mapa")</f>
        <v>🔗 Ver Mapa</v>
      </c>
    </row>
    <row r="13150" spans="1:12" ht="43.5" x14ac:dyDescent="0.35">
      <c r="A13150" s="6" t="s">
        <v>98</v>
      </c>
      <c r="B13150" s="6" t="s">
        <v>99</v>
      </c>
      <c r="C13150" s="6" t="s">
        <v>2619</v>
      </c>
      <c r="D13150" s="6" t="s">
        <v>14</v>
      </c>
      <c r="E13150" s="6" t="s">
        <v>39</v>
      </c>
      <c r="F13150" s="6" t="s">
        <v>494</v>
      </c>
      <c r="G13150" s="6" t="s">
        <v>571</v>
      </c>
      <c r="H13150" s="6" t="s">
        <v>572</v>
      </c>
      <c r="I13150" s="6" t="s">
        <v>31</v>
      </c>
      <c r="J13150" s="6">
        <v>0</v>
      </c>
      <c r="K13150" s="6">
        <v>-97.018309148710998</v>
      </c>
      <c r="L13150" s="6" t="str">
        <f>HYPERLINK("https://maps.google.com/?q=0,-97.018309148711495", "🔗 Ver Mapa")</f>
        <v>🔗 Ver Mapa</v>
      </c>
    </row>
    <row r="13151" spans="1:12" ht="43.5" x14ac:dyDescent="0.35">
      <c r="A13151" s="5" t="s">
        <v>98</v>
      </c>
      <c r="B13151" s="5" t="s">
        <v>99</v>
      </c>
      <c r="C13151" s="5" t="s">
        <v>2619</v>
      </c>
      <c r="D13151" s="5" t="s">
        <v>14</v>
      </c>
      <c r="E13151" s="5" t="s">
        <v>39</v>
      </c>
      <c r="F13151" s="5" t="s">
        <v>494</v>
      </c>
      <c r="G13151" s="5" t="s">
        <v>571</v>
      </c>
      <c r="H13151" s="5" t="s">
        <v>572</v>
      </c>
      <c r="I13151" s="5" t="s">
        <v>31</v>
      </c>
      <c r="J13151" s="5">
        <v>0</v>
      </c>
      <c r="K13151" s="5" t="s">
        <v>2620</v>
      </c>
      <c r="L13151" s="5" t="str">
        <f>HYPERLINK("https://maps.google.com/?q=0, -97.02014830307589", "🔗 Ver Mapa")</f>
        <v>🔗 Ver Mapa</v>
      </c>
    </row>
    <row r="13152" spans="1:12" ht="43.5" x14ac:dyDescent="0.35">
      <c r="A13152" s="6" t="s">
        <v>98</v>
      </c>
      <c r="B13152" s="6" t="s">
        <v>99</v>
      </c>
      <c r="C13152" s="6" t="s">
        <v>2619</v>
      </c>
      <c r="D13152" s="6" t="s">
        <v>14</v>
      </c>
      <c r="E13152" s="6" t="s">
        <v>39</v>
      </c>
      <c r="F13152" s="6" t="s">
        <v>494</v>
      </c>
      <c r="G13152" s="6" t="s">
        <v>571</v>
      </c>
      <c r="H13152" s="6" t="s">
        <v>572</v>
      </c>
      <c r="I13152" s="6" t="s">
        <v>31</v>
      </c>
      <c r="J13152" s="6">
        <v>0</v>
      </c>
      <c r="K13152" s="6" t="s">
        <v>2621</v>
      </c>
      <c r="L13152" s="6" t="str">
        <f>HYPERLINK("https://maps.google.com/?q=0, -97.02031057729852", "🔗 Ver Mapa")</f>
        <v>🔗 Ver Mapa</v>
      </c>
    </row>
    <row r="13153" spans="1:12" ht="43.5" x14ac:dyDescent="0.35">
      <c r="A13153" s="5" t="s">
        <v>98</v>
      </c>
      <c r="B13153" s="5" t="s">
        <v>99</v>
      </c>
      <c r="C13153" s="5" t="s">
        <v>2619</v>
      </c>
      <c r="D13153" s="5" t="s">
        <v>14</v>
      </c>
      <c r="E13153" s="5" t="s">
        <v>39</v>
      </c>
      <c r="F13153" s="5" t="s">
        <v>494</v>
      </c>
      <c r="G13153" s="5" t="s">
        <v>571</v>
      </c>
      <c r="H13153" s="5" t="s">
        <v>572</v>
      </c>
      <c r="I13153" s="5" t="s">
        <v>31</v>
      </c>
      <c r="J13153" s="5">
        <v>16.559698566996001</v>
      </c>
      <c r="K13153" s="5">
        <v>-97.004249447746005</v>
      </c>
      <c r="L13153" s="5" t="str">
        <f>HYPERLINK("https://maps.google.com/?q=16.5596985669956,-97.004249447746403", "🔗 Ver Mapa")</f>
        <v>🔗 Ver Mapa</v>
      </c>
    </row>
    <row r="13154" spans="1:12" ht="43.5" x14ac:dyDescent="0.35">
      <c r="A13154" s="6" t="s">
        <v>98</v>
      </c>
      <c r="B13154" s="6" t="s">
        <v>99</v>
      </c>
      <c r="C13154" s="6" t="s">
        <v>2619</v>
      </c>
      <c r="D13154" s="6" t="s">
        <v>14</v>
      </c>
      <c r="E13154" s="6" t="s">
        <v>39</v>
      </c>
      <c r="F13154" s="6" t="s">
        <v>494</v>
      </c>
      <c r="G13154" s="6" t="s">
        <v>571</v>
      </c>
      <c r="H13154" s="6" t="s">
        <v>572</v>
      </c>
      <c r="I13154" s="6" t="s">
        <v>31</v>
      </c>
      <c r="J13154" s="6">
        <v>16.559807195615999</v>
      </c>
      <c r="K13154" s="6">
        <v>-97.004170995386005</v>
      </c>
      <c r="L13154" s="6" t="str">
        <f>HYPERLINK("https://maps.google.com/?q=16.559807195616,-97.004170995386303", "🔗 Ver Mapa")</f>
        <v>🔗 Ver Mapa</v>
      </c>
    </row>
    <row r="13155" spans="1:12" ht="43.5" x14ac:dyDescent="0.35">
      <c r="A13155" s="5" t="s">
        <v>98</v>
      </c>
      <c r="B13155" s="5" t="s">
        <v>99</v>
      </c>
      <c r="C13155" s="5" t="s">
        <v>2619</v>
      </c>
      <c r="D13155" s="5" t="s">
        <v>14</v>
      </c>
      <c r="E13155" s="5" t="s">
        <v>39</v>
      </c>
      <c r="F13155" s="5" t="s">
        <v>494</v>
      </c>
      <c r="G13155" s="5" t="s">
        <v>571</v>
      </c>
      <c r="H13155" s="5" t="s">
        <v>572</v>
      </c>
      <c r="I13155" s="5" t="s">
        <v>31</v>
      </c>
      <c r="J13155" s="5">
        <v>16.562324169863999</v>
      </c>
      <c r="K13155" s="5">
        <v>-97.008993460926007</v>
      </c>
      <c r="L13155" s="5" t="str">
        <f>HYPERLINK("https://maps.google.com/?q=16.5623241698642,-97.008993460926206", "🔗 Ver Mapa")</f>
        <v>🔗 Ver Mapa</v>
      </c>
    </row>
    <row r="13156" spans="1:12" ht="43.5" x14ac:dyDescent="0.35">
      <c r="A13156" s="6" t="s">
        <v>98</v>
      </c>
      <c r="B13156" s="6" t="s">
        <v>99</v>
      </c>
      <c r="C13156" s="6" t="s">
        <v>2619</v>
      </c>
      <c r="D13156" s="6" t="s">
        <v>14</v>
      </c>
      <c r="E13156" s="6" t="s">
        <v>39</v>
      </c>
      <c r="F13156" s="6" t="s">
        <v>494</v>
      </c>
      <c r="G13156" s="6" t="s">
        <v>571</v>
      </c>
      <c r="H13156" s="6" t="s">
        <v>572</v>
      </c>
      <c r="I13156" s="6" t="s">
        <v>31</v>
      </c>
      <c r="J13156" s="6">
        <v>16.564158155495999</v>
      </c>
      <c r="K13156" s="6">
        <v>-97.010268673610994</v>
      </c>
      <c r="L13156" s="6" t="str">
        <f>HYPERLINK("https://maps.google.com/?q=16.5641581554961,-97.010268673610696", "🔗 Ver Mapa")</f>
        <v>🔗 Ver Mapa</v>
      </c>
    </row>
    <row r="13157" spans="1:12" ht="43.5" x14ac:dyDescent="0.35">
      <c r="A13157" s="5" t="s">
        <v>98</v>
      </c>
      <c r="B13157" s="5" t="s">
        <v>99</v>
      </c>
      <c r="C13157" s="5" t="s">
        <v>2619</v>
      </c>
      <c r="D13157" s="5" t="s">
        <v>14</v>
      </c>
      <c r="E13157" s="5" t="s">
        <v>39</v>
      </c>
      <c r="F13157" s="5" t="s">
        <v>494</v>
      </c>
      <c r="G13157" s="5" t="s">
        <v>571</v>
      </c>
      <c r="H13157" s="5" t="s">
        <v>572</v>
      </c>
      <c r="I13157" s="5" t="s">
        <v>31</v>
      </c>
      <c r="J13157" s="5">
        <v>16.564298602200999</v>
      </c>
      <c r="K13157" s="5">
        <v>-97.010125246984003</v>
      </c>
      <c r="L13157" s="5" t="str">
        <f>HYPERLINK("https://maps.google.com/?q=16.5642986022014,-97.010125246983705", "🔗 Ver Mapa")</f>
        <v>🔗 Ver Mapa</v>
      </c>
    </row>
    <row r="13158" spans="1:12" ht="43.5" x14ac:dyDescent="0.35">
      <c r="A13158" s="6" t="s">
        <v>98</v>
      </c>
      <c r="B13158" s="6" t="s">
        <v>99</v>
      </c>
      <c r="C13158" s="6" t="s">
        <v>2619</v>
      </c>
      <c r="D13158" s="6" t="s">
        <v>14</v>
      </c>
      <c r="E13158" s="6" t="s">
        <v>39</v>
      </c>
      <c r="F13158" s="6" t="s">
        <v>494</v>
      </c>
      <c r="G13158" s="6" t="s">
        <v>571</v>
      </c>
      <c r="H13158" s="6" t="s">
        <v>572</v>
      </c>
      <c r="I13158" s="6" t="s">
        <v>31</v>
      </c>
      <c r="J13158" s="6">
        <v>16.564486442669001</v>
      </c>
      <c r="K13158" s="6">
        <v>-97.010599050118998</v>
      </c>
      <c r="L13158" s="6" t="str">
        <f>HYPERLINK("https://maps.google.com/?q=16.5644864426686,-97.010599050118898", "🔗 Ver Mapa")</f>
        <v>🔗 Ver Mapa</v>
      </c>
    </row>
    <row r="13159" spans="1:12" ht="43.5" x14ac:dyDescent="0.35">
      <c r="A13159" s="5" t="s">
        <v>98</v>
      </c>
      <c r="B13159" s="5" t="s">
        <v>99</v>
      </c>
      <c r="C13159" s="5" t="s">
        <v>2619</v>
      </c>
      <c r="D13159" s="5" t="s">
        <v>14</v>
      </c>
      <c r="E13159" s="5" t="s">
        <v>39</v>
      </c>
      <c r="F13159" s="5" t="s">
        <v>494</v>
      </c>
      <c r="G13159" s="5" t="s">
        <v>571</v>
      </c>
      <c r="H13159" s="5" t="s">
        <v>572</v>
      </c>
      <c r="I13159" s="5" t="s">
        <v>31</v>
      </c>
      <c r="J13159" s="5">
        <v>16.565129172829</v>
      </c>
      <c r="K13159" s="5">
        <v>-97.009935879796998</v>
      </c>
      <c r="L13159" s="5" t="str">
        <f>HYPERLINK("https://maps.google.com/?q=16.565129172829,-97.009935879796799", "🔗 Ver Mapa")</f>
        <v>🔗 Ver Mapa</v>
      </c>
    </row>
    <row r="13160" spans="1:12" ht="43.5" x14ac:dyDescent="0.35">
      <c r="A13160" s="6" t="s">
        <v>98</v>
      </c>
      <c r="B13160" s="6" t="s">
        <v>99</v>
      </c>
      <c r="C13160" s="6" t="s">
        <v>2619</v>
      </c>
      <c r="D13160" s="6" t="s">
        <v>14</v>
      </c>
      <c r="E13160" s="6" t="s">
        <v>39</v>
      </c>
      <c r="F13160" s="6" t="s">
        <v>494</v>
      </c>
      <c r="G13160" s="6" t="s">
        <v>571</v>
      </c>
      <c r="H13160" s="6" t="s">
        <v>572</v>
      </c>
      <c r="I13160" s="6" t="s">
        <v>31</v>
      </c>
      <c r="J13160" s="6">
        <v>16.565796072402001</v>
      </c>
      <c r="K13160" s="6">
        <v>-97.013859230307006</v>
      </c>
      <c r="L13160" s="6" t="str">
        <f>HYPERLINK("https://maps.google.com/?q=16.565796072402,-97.013859230307006", "🔗 Ver Mapa")</f>
        <v>🔗 Ver Mapa</v>
      </c>
    </row>
    <row r="13161" spans="1:12" ht="43.5" x14ac:dyDescent="0.35">
      <c r="A13161" s="5" t="s">
        <v>98</v>
      </c>
      <c r="B13161" s="5" t="s">
        <v>99</v>
      </c>
      <c r="C13161" s="5" t="s">
        <v>2619</v>
      </c>
      <c r="D13161" s="5" t="s">
        <v>14</v>
      </c>
      <c r="E13161" s="5" t="s">
        <v>39</v>
      </c>
      <c r="F13161" s="5" t="s">
        <v>494</v>
      </c>
      <c r="G13161" s="5" t="s">
        <v>571</v>
      </c>
      <c r="H13161" s="5" t="s">
        <v>572</v>
      </c>
      <c r="I13161" s="5" t="s">
        <v>31</v>
      </c>
      <c r="J13161" s="5">
        <v>16.565903336996001</v>
      </c>
      <c r="K13161" s="5">
        <v>-97.013837203704995</v>
      </c>
      <c r="L13161" s="5" t="str">
        <f>HYPERLINK("https://maps.google.com/?q=16.5659033369958,-97.013837203704796", "🔗 Ver Mapa")</f>
        <v>🔗 Ver Mapa</v>
      </c>
    </row>
    <row r="13162" spans="1:12" ht="43.5" x14ac:dyDescent="0.35">
      <c r="A13162" s="6" t="s">
        <v>98</v>
      </c>
      <c r="B13162" s="6" t="s">
        <v>99</v>
      </c>
      <c r="C13162" s="6" t="s">
        <v>2619</v>
      </c>
      <c r="D13162" s="6" t="s">
        <v>14</v>
      </c>
      <c r="E13162" s="6" t="s">
        <v>39</v>
      </c>
      <c r="F13162" s="6" t="s">
        <v>494</v>
      </c>
      <c r="G13162" s="6" t="s">
        <v>571</v>
      </c>
      <c r="H13162" s="6" t="s">
        <v>572</v>
      </c>
      <c r="I13162" s="6" t="s">
        <v>31</v>
      </c>
      <c r="J13162" s="6">
        <v>16.566663735883001</v>
      </c>
      <c r="K13162" s="6">
        <v>-97.014063077385003</v>
      </c>
      <c r="L13162" s="6" t="str">
        <f>HYPERLINK("https://maps.google.com/?q=16.5666637358828,-97.014063077384805", "🔗 Ver Mapa")</f>
        <v>🔗 Ver Mapa</v>
      </c>
    </row>
    <row r="13163" spans="1:12" ht="43.5" x14ac:dyDescent="0.35">
      <c r="A13163" s="5" t="s">
        <v>98</v>
      </c>
      <c r="B13163" s="5" t="s">
        <v>99</v>
      </c>
      <c r="C13163" s="5" t="s">
        <v>2619</v>
      </c>
      <c r="D13163" s="5" t="s">
        <v>14</v>
      </c>
      <c r="E13163" s="5" t="s">
        <v>39</v>
      </c>
      <c r="F13163" s="5" t="s">
        <v>494</v>
      </c>
      <c r="G13163" s="5" t="s">
        <v>571</v>
      </c>
      <c r="H13163" s="5" t="s">
        <v>572</v>
      </c>
      <c r="I13163" s="5" t="s">
        <v>31</v>
      </c>
      <c r="J13163" s="5">
        <v>16.566925982834</v>
      </c>
      <c r="K13163" s="5">
        <v>-97.015327055225001</v>
      </c>
      <c r="L13163" s="5" t="str">
        <f>HYPERLINK("https://maps.google.com/?q=16.5669259828343,-97.015327055225299", "🔗 Ver Mapa")</f>
        <v>🔗 Ver Mapa</v>
      </c>
    </row>
    <row r="13164" spans="1:12" ht="43.5" x14ac:dyDescent="0.35">
      <c r="A13164" s="6" t="s">
        <v>98</v>
      </c>
      <c r="B13164" s="6" t="s">
        <v>99</v>
      </c>
      <c r="C13164" s="6" t="s">
        <v>2619</v>
      </c>
      <c r="D13164" s="6" t="s">
        <v>14</v>
      </c>
      <c r="E13164" s="6" t="s">
        <v>39</v>
      </c>
      <c r="F13164" s="6" t="s">
        <v>494</v>
      </c>
      <c r="G13164" s="6" t="s">
        <v>571</v>
      </c>
      <c r="H13164" s="6" t="s">
        <v>572</v>
      </c>
      <c r="I13164" s="6" t="s">
        <v>31</v>
      </c>
      <c r="J13164" s="6">
        <v>16.567252683336001</v>
      </c>
      <c r="K13164" s="6">
        <v>-97.015187549071996</v>
      </c>
      <c r="L13164" s="6" t="str">
        <f>HYPERLINK("https://maps.google.com/?q=16.5672526833362,-97.015187549071598", "🔗 Ver Mapa")</f>
        <v>🔗 Ver Mapa</v>
      </c>
    </row>
    <row r="13165" spans="1:12" ht="43.5" x14ac:dyDescent="0.35">
      <c r="A13165" s="5" t="s">
        <v>98</v>
      </c>
      <c r="B13165" s="5" t="s">
        <v>99</v>
      </c>
      <c r="C13165" s="5" t="s">
        <v>2619</v>
      </c>
      <c r="D13165" s="5" t="s">
        <v>14</v>
      </c>
      <c r="E13165" s="5" t="s">
        <v>39</v>
      </c>
      <c r="F13165" s="5" t="s">
        <v>494</v>
      </c>
      <c r="G13165" s="5" t="s">
        <v>571</v>
      </c>
      <c r="H13165" s="5" t="s">
        <v>572</v>
      </c>
      <c r="I13165" s="5" t="s">
        <v>31</v>
      </c>
      <c r="J13165" s="5">
        <v>16.567387144870001</v>
      </c>
      <c r="K13165" s="5" t="s">
        <v>2622</v>
      </c>
      <c r="L13165" s="5" t="str">
        <f>HYPERLINK("https://maps.google.com/?q=16.5673871448698, -97.01402067491361", "🔗 Ver Mapa")</f>
        <v>🔗 Ver Mapa</v>
      </c>
    </row>
    <row r="13166" spans="1:12" ht="43.5" x14ac:dyDescent="0.35">
      <c r="A13166" s="6" t="s">
        <v>98</v>
      </c>
      <c r="B13166" s="6" t="s">
        <v>99</v>
      </c>
      <c r="C13166" s="6" t="s">
        <v>2619</v>
      </c>
      <c r="D13166" s="6" t="s">
        <v>14</v>
      </c>
      <c r="E13166" s="6" t="s">
        <v>39</v>
      </c>
      <c r="F13166" s="6" t="s">
        <v>494</v>
      </c>
      <c r="G13166" s="6" t="s">
        <v>571</v>
      </c>
      <c r="H13166" s="6" t="s">
        <v>572</v>
      </c>
      <c r="I13166" s="6" t="s">
        <v>31</v>
      </c>
      <c r="J13166" s="6">
        <v>16.567565289733</v>
      </c>
      <c r="K13166" s="6">
        <v>-97.011245976568006</v>
      </c>
      <c r="L13166" s="6" t="str">
        <f>HYPERLINK("https://maps.google.com/?q=16.5675652897333,-97.011245976567594", "🔗 Ver Mapa")</f>
        <v>🔗 Ver Mapa</v>
      </c>
    </row>
    <row r="13167" spans="1:12" ht="43.5" x14ac:dyDescent="0.35">
      <c r="A13167" s="5" t="s">
        <v>98</v>
      </c>
      <c r="B13167" s="5" t="s">
        <v>99</v>
      </c>
      <c r="C13167" s="5" t="s">
        <v>2619</v>
      </c>
      <c r="D13167" s="5" t="s">
        <v>14</v>
      </c>
      <c r="E13167" s="5" t="s">
        <v>39</v>
      </c>
      <c r="F13167" s="5" t="s">
        <v>494</v>
      </c>
      <c r="G13167" s="5" t="s">
        <v>571</v>
      </c>
      <c r="H13167" s="5" t="s">
        <v>572</v>
      </c>
      <c r="I13167" s="5" t="s">
        <v>31</v>
      </c>
      <c r="J13167" s="5">
        <v>16.567608038846998</v>
      </c>
      <c r="K13167" s="5">
        <v>-97.012711220900997</v>
      </c>
      <c r="L13167" s="5" t="str">
        <f>HYPERLINK("https://maps.google.com/?q=16.5676080388465,-97.012711220901394", "🔗 Ver Mapa")</f>
        <v>🔗 Ver Mapa</v>
      </c>
    </row>
    <row r="13168" spans="1:12" ht="43.5" x14ac:dyDescent="0.35">
      <c r="A13168" s="6" t="s">
        <v>98</v>
      </c>
      <c r="B13168" s="6" t="s">
        <v>99</v>
      </c>
      <c r="C13168" s="6" t="s">
        <v>2619</v>
      </c>
      <c r="D13168" s="6" t="s">
        <v>14</v>
      </c>
      <c r="E13168" s="6" t="s">
        <v>39</v>
      </c>
      <c r="F13168" s="6" t="s">
        <v>494</v>
      </c>
      <c r="G13168" s="6" t="s">
        <v>571</v>
      </c>
      <c r="H13168" s="6" t="s">
        <v>572</v>
      </c>
      <c r="I13168" s="6" t="s">
        <v>31</v>
      </c>
      <c r="J13168" s="6">
        <v>16.567685973033999</v>
      </c>
      <c r="K13168" s="6">
        <v>-97.011670944537002</v>
      </c>
      <c r="L13168" s="6" t="str">
        <f>HYPERLINK("https://maps.google.com/?q=16.5676859730338,-97.011670944536903", "🔗 Ver Mapa")</f>
        <v>🔗 Ver Mapa</v>
      </c>
    </row>
    <row r="13169" spans="1:12" ht="43.5" x14ac:dyDescent="0.35">
      <c r="A13169" s="5" t="s">
        <v>98</v>
      </c>
      <c r="B13169" s="5" t="s">
        <v>99</v>
      </c>
      <c r="C13169" s="5" t="s">
        <v>2619</v>
      </c>
      <c r="D13169" s="5" t="s">
        <v>14</v>
      </c>
      <c r="E13169" s="5" t="s">
        <v>39</v>
      </c>
      <c r="F13169" s="5" t="s">
        <v>494</v>
      </c>
      <c r="G13169" s="5" t="s">
        <v>571</v>
      </c>
      <c r="H13169" s="5" t="s">
        <v>572</v>
      </c>
      <c r="I13169" s="5" t="s">
        <v>31</v>
      </c>
      <c r="J13169" s="5">
        <v>16.567970766321999</v>
      </c>
      <c r="K13169" s="5">
        <v>-97.016749841673999</v>
      </c>
      <c r="L13169" s="5" t="str">
        <f>HYPERLINK("https://maps.google.com/?q=16.5679707663221,-97.016749841674098", "🔗 Ver Mapa")</f>
        <v>🔗 Ver Mapa</v>
      </c>
    </row>
    <row r="13170" spans="1:12" ht="43.5" x14ac:dyDescent="0.35">
      <c r="A13170" s="6" t="s">
        <v>98</v>
      </c>
      <c r="B13170" s="6" t="s">
        <v>99</v>
      </c>
      <c r="C13170" s="6" t="s">
        <v>2619</v>
      </c>
      <c r="D13170" s="6" t="s">
        <v>14</v>
      </c>
      <c r="E13170" s="6" t="s">
        <v>39</v>
      </c>
      <c r="F13170" s="6" t="s">
        <v>494</v>
      </c>
      <c r="G13170" s="6" t="s">
        <v>571</v>
      </c>
      <c r="H13170" s="6" t="s">
        <v>572</v>
      </c>
      <c r="I13170" s="6" t="s">
        <v>31</v>
      </c>
      <c r="J13170" s="6">
        <v>16.568348937380001</v>
      </c>
      <c r="K13170" s="6">
        <v>-97.021612415660996</v>
      </c>
      <c r="L13170" s="6" t="str">
        <f>HYPERLINK("https://maps.google.com/?q=16.5683489373797,-97.021612415661195", "🔗 Ver Mapa")</f>
        <v>🔗 Ver Mapa</v>
      </c>
    </row>
    <row r="13171" spans="1:12" ht="43.5" x14ac:dyDescent="0.35">
      <c r="A13171" s="5" t="s">
        <v>98</v>
      </c>
      <c r="B13171" s="5" t="s">
        <v>99</v>
      </c>
      <c r="C13171" s="5" t="s">
        <v>2619</v>
      </c>
      <c r="D13171" s="5" t="s">
        <v>14</v>
      </c>
      <c r="E13171" s="5" t="s">
        <v>39</v>
      </c>
      <c r="F13171" s="5" t="s">
        <v>494</v>
      </c>
      <c r="G13171" s="5" t="s">
        <v>571</v>
      </c>
      <c r="H13171" s="5" t="s">
        <v>572</v>
      </c>
      <c r="I13171" s="5" t="s">
        <v>31</v>
      </c>
      <c r="J13171" s="5">
        <v>16.568350796602001</v>
      </c>
      <c r="K13171" s="5">
        <v>-97.009683798801007</v>
      </c>
      <c r="L13171" s="5" t="str">
        <f>HYPERLINK("https://maps.google.com/?q=16.5683507966025,-97.009683798801404", "🔗 Ver Mapa")</f>
        <v>🔗 Ver Mapa</v>
      </c>
    </row>
    <row r="13172" spans="1:12" ht="43.5" x14ac:dyDescent="0.35">
      <c r="A13172" s="6" t="s">
        <v>98</v>
      </c>
      <c r="B13172" s="6" t="s">
        <v>99</v>
      </c>
      <c r="C13172" s="6" t="s">
        <v>2619</v>
      </c>
      <c r="D13172" s="6" t="s">
        <v>14</v>
      </c>
      <c r="E13172" s="6" t="s">
        <v>39</v>
      </c>
      <c r="F13172" s="6" t="s">
        <v>494</v>
      </c>
      <c r="G13172" s="6" t="s">
        <v>571</v>
      </c>
      <c r="H13172" s="6" t="s">
        <v>572</v>
      </c>
      <c r="I13172" s="6" t="s">
        <v>31</v>
      </c>
      <c r="J13172" s="6">
        <v>16.568538567824</v>
      </c>
      <c r="K13172" s="6">
        <v>-97.016249618895998</v>
      </c>
      <c r="L13172" s="6" t="str">
        <f>HYPERLINK("https://maps.google.com/?q=16.5685385678239,-97.0162496188955", "🔗 Ver Mapa")</f>
        <v>🔗 Ver Mapa</v>
      </c>
    </row>
    <row r="13173" spans="1:12" ht="43.5" x14ac:dyDescent="0.35">
      <c r="A13173" s="5" t="s">
        <v>98</v>
      </c>
      <c r="B13173" s="5" t="s">
        <v>99</v>
      </c>
      <c r="C13173" s="5" t="s">
        <v>2619</v>
      </c>
      <c r="D13173" s="5" t="s">
        <v>14</v>
      </c>
      <c r="E13173" s="5" t="s">
        <v>39</v>
      </c>
      <c r="F13173" s="5" t="s">
        <v>494</v>
      </c>
      <c r="G13173" s="5" t="s">
        <v>571</v>
      </c>
      <c r="H13173" s="5" t="s">
        <v>572</v>
      </c>
      <c r="I13173" s="5" t="s">
        <v>31</v>
      </c>
      <c r="J13173" s="5">
        <v>16.568573039657998</v>
      </c>
      <c r="K13173" s="5">
        <v>-97.011265163195006</v>
      </c>
      <c r="L13173" s="5" t="str">
        <f>HYPERLINK("https://maps.google.com/?q=16.5685730396583,-97.011265163194594", "🔗 Ver Mapa")</f>
        <v>🔗 Ver Mapa</v>
      </c>
    </row>
    <row r="13174" spans="1:12" ht="43.5" x14ac:dyDescent="0.35">
      <c r="A13174" s="6" t="s">
        <v>98</v>
      </c>
      <c r="B13174" s="6" t="s">
        <v>99</v>
      </c>
      <c r="C13174" s="6" t="s">
        <v>2619</v>
      </c>
      <c r="D13174" s="6" t="s">
        <v>14</v>
      </c>
      <c r="E13174" s="6" t="s">
        <v>39</v>
      </c>
      <c r="F13174" s="6" t="s">
        <v>494</v>
      </c>
      <c r="G13174" s="6" t="s">
        <v>571</v>
      </c>
      <c r="H13174" s="6" t="s">
        <v>572</v>
      </c>
      <c r="I13174" s="6" t="s">
        <v>31</v>
      </c>
      <c r="J13174" s="6">
        <v>16.569004959314</v>
      </c>
      <c r="K13174" s="6">
        <v>-97.020774805244002</v>
      </c>
      <c r="L13174" s="6" t="str">
        <f>HYPERLINK("https://maps.google.com/?q=16.5690049593144,-97.020774805243505", "🔗 Ver Mapa")</f>
        <v>🔗 Ver Mapa</v>
      </c>
    </row>
    <row r="13175" spans="1:12" ht="43.5" x14ac:dyDescent="0.35">
      <c r="A13175" s="5" t="s">
        <v>98</v>
      </c>
      <c r="B13175" s="5" t="s">
        <v>99</v>
      </c>
      <c r="C13175" s="5" t="s">
        <v>2619</v>
      </c>
      <c r="D13175" s="5" t="s">
        <v>14</v>
      </c>
      <c r="E13175" s="5" t="s">
        <v>39</v>
      </c>
      <c r="F13175" s="5" t="s">
        <v>494</v>
      </c>
      <c r="G13175" s="5" t="s">
        <v>571</v>
      </c>
      <c r="H13175" s="5" t="s">
        <v>572</v>
      </c>
      <c r="I13175" s="5" t="s">
        <v>31</v>
      </c>
      <c r="J13175" s="5">
        <v>16.569191700200001</v>
      </c>
      <c r="K13175" s="5">
        <v>-97.014059955251994</v>
      </c>
      <c r="L13175" s="5" t="str">
        <f>HYPERLINK("https://maps.google.com/?q=16.5691917001995,-97.014059955252307", "🔗 Ver Mapa")</f>
        <v>🔗 Ver Mapa</v>
      </c>
    </row>
    <row r="13176" spans="1:12" ht="43.5" x14ac:dyDescent="0.35">
      <c r="A13176" s="6" t="s">
        <v>98</v>
      </c>
      <c r="B13176" s="6" t="s">
        <v>99</v>
      </c>
      <c r="C13176" s="6" t="s">
        <v>2619</v>
      </c>
      <c r="D13176" s="6" t="s">
        <v>14</v>
      </c>
      <c r="E13176" s="6" t="s">
        <v>39</v>
      </c>
      <c r="F13176" s="6" t="s">
        <v>494</v>
      </c>
      <c r="G13176" s="6" t="s">
        <v>571</v>
      </c>
      <c r="H13176" s="6" t="s">
        <v>572</v>
      </c>
      <c r="I13176" s="6" t="s">
        <v>31</v>
      </c>
      <c r="J13176" s="6">
        <v>16.569395194936</v>
      </c>
      <c r="K13176" s="6">
        <v>-97.012146527612998</v>
      </c>
      <c r="L13176" s="6" t="str">
        <f>HYPERLINK("https://maps.google.com/?q=16.5693951949359,-97.0121465276127", "🔗 Ver Mapa")</f>
        <v>🔗 Ver Mapa</v>
      </c>
    </row>
    <row r="13177" spans="1:12" ht="43.5" x14ac:dyDescent="0.35">
      <c r="A13177" s="5" t="s">
        <v>98</v>
      </c>
      <c r="B13177" s="5" t="s">
        <v>99</v>
      </c>
      <c r="C13177" s="5" t="s">
        <v>2619</v>
      </c>
      <c r="D13177" s="5" t="s">
        <v>14</v>
      </c>
      <c r="E13177" s="5" t="s">
        <v>39</v>
      </c>
      <c r="F13177" s="5" t="s">
        <v>494</v>
      </c>
      <c r="G13177" s="5" t="s">
        <v>571</v>
      </c>
      <c r="H13177" s="5" t="s">
        <v>572</v>
      </c>
      <c r="I13177" s="5" t="s">
        <v>31</v>
      </c>
      <c r="J13177" s="5">
        <v>16.569468875628999</v>
      </c>
      <c r="K13177" s="5">
        <v>-97.007118160713006</v>
      </c>
      <c r="L13177" s="5" t="str">
        <f>HYPERLINK("https://maps.google.com/?q=16.5694688756292,-97.007118160713205", "🔗 Ver Mapa")</f>
        <v>🔗 Ver Mapa</v>
      </c>
    </row>
    <row r="13178" spans="1:12" ht="43.5" x14ac:dyDescent="0.35">
      <c r="A13178" s="6" t="s">
        <v>98</v>
      </c>
      <c r="B13178" s="6" t="s">
        <v>99</v>
      </c>
      <c r="C13178" s="6" t="s">
        <v>2619</v>
      </c>
      <c r="D13178" s="6" t="s">
        <v>14</v>
      </c>
      <c r="E13178" s="6" t="s">
        <v>39</v>
      </c>
      <c r="F13178" s="6" t="s">
        <v>494</v>
      </c>
      <c r="G13178" s="6" t="s">
        <v>571</v>
      </c>
      <c r="H13178" s="6" t="s">
        <v>572</v>
      </c>
      <c r="I13178" s="6" t="s">
        <v>31</v>
      </c>
      <c r="J13178" s="6">
        <v>16.569764429660001</v>
      </c>
      <c r="K13178" s="6">
        <v>-97.009326212879998</v>
      </c>
      <c r="L13178" s="6" t="str">
        <f>HYPERLINK("https://maps.google.com/?q=16.5697644296602,-97.009326212880097", "🔗 Ver Mapa")</f>
        <v>🔗 Ver Mapa</v>
      </c>
    </row>
    <row r="13179" spans="1:12" ht="43.5" x14ac:dyDescent="0.35">
      <c r="A13179" s="5" t="s">
        <v>98</v>
      </c>
      <c r="B13179" s="5" t="s">
        <v>99</v>
      </c>
      <c r="C13179" s="5" t="s">
        <v>2619</v>
      </c>
      <c r="D13179" s="5" t="s">
        <v>14</v>
      </c>
      <c r="E13179" s="5" t="s">
        <v>39</v>
      </c>
      <c r="F13179" s="5" t="s">
        <v>494</v>
      </c>
      <c r="G13179" s="5" t="s">
        <v>571</v>
      </c>
      <c r="H13179" s="5" t="s">
        <v>572</v>
      </c>
      <c r="I13179" s="5" t="s">
        <v>31</v>
      </c>
      <c r="J13179" s="5">
        <v>16.569929985539002</v>
      </c>
      <c r="K13179" s="5">
        <v>-97.009356073253997</v>
      </c>
      <c r="L13179" s="5" t="str">
        <f>HYPERLINK("https://maps.google.com/?q=16.5699299855385,-97.009356073254096", "🔗 Ver Mapa")</f>
        <v>🔗 Ver Mapa</v>
      </c>
    </row>
    <row r="13180" spans="1:12" ht="43.5" x14ac:dyDescent="0.35">
      <c r="A13180" s="6" t="s">
        <v>98</v>
      </c>
      <c r="B13180" s="6" t="s">
        <v>99</v>
      </c>
      <c r="C13180" s="6" t="s">
        <v>2619</v>
      </c>
      <c r="D13180" s="6" t="s">
        <v>14</v>
      </c>
      <c r="E13180" s="6" t="s">
        <v>39</v>
      </c>
      <c r="F13180" s="6" t="s">
        <v>494</v>
      </c>
      <c r="G13180" s="6" t="s">
        <v>571</v>
      </c>
      <c r="H13180" s="6" t="s">
        <v>572</v>
      </c>
      <c r="I13180" s="6" t="s">
        <v>31</v>
      </c>
      <c r="J13180" s="6">
        <v>16.57001527109</v>
      </c>
      <c r="K13180" s="6">
        <v>-97.011978473669998</v>
      </c>
      <c r="L13180" s="6" t="str">
        <f>HYPERLINK("https://maps.google.com/?q=16.5700152710904,-97.011978473670197", "🔗 Ver Mapa")</f>
        <v>🔗 Ver Mapa</v>
      </c>
    </row>
    <row r="13181" spans="1:12" ht="43.5" x14ac:dyDescent="0.35">
      <c r="A13181" s="5" t="s">
        <v>98</v>
      </c>
      <c r="B13181" s="5" t="s">
        <v>99</v>
      </c>
      <c r="C13181" s="5" t="s">
        <v>2619</v>
      </c>
      <c r="D13181" s="5" t="s">
        <v>14</v>
      </c>
      <c r="E13181" s="5" t="s">
        <v>39</v>
      </c>
      <c r="F13181" s="5" t="s">
        <v>494</v>
      </c>
      <c r="G13181" s="5" t="s">
        <v>571</v>
      </c>
      <c r="H13181" s="5" t="s">
        <v>572</v>
      </c>
      <c r="I13181" s="5" t="s">
        <v>31</v>
      </c>
      <c r="J13181" s="5">
        <v>16.570042306845</v>
      </c>
      <c r="K13181" s="5">
        <v>-97.013733154595997</v>
      </c>
      <c r="L13181" s="5" t="str">
        <f>HYPERLINK("https://maps.google.com/?q=16.5700423068451,-97.013733154596295", "🔗 Ver Mapa")</f>
        <v>🔗 Ver Mapa</v>
      </c>
    </row>
    <row r="13182" spans="1:12" ht="43.5" x14ac:dyDescent="0.35">
      <c r="A13182" s="6" t="s">
        <v>98</v>
      </c>
      <c r="B13182" s="6" t="s">
        <v>99</v>
      </c>
      <c r="C13182" s="6" t="s">
        <v>2619</v>
      </c>
      <c r="D13182" s="6" t="s">
        <v>14</v>
      </c>
      <c r="E13182" s="6" t="s">
        <v>39</v>
      </c>
      <c r="F13182" s="6" t="s">
        <v>494</v>
      </c>
      <c r="G13182" s="6" t="s">
        <v>571</v>
      </c>
      <c r="H13182" s="6" t="s">
        <v>572</v>
      </c>
      <c r="I13182" s="6" t="s">
        <v>31</v>
      </c>
      <c r="J13182" s="6">
        <v>16.570181767059999</v>
      </c>
      <c r="K13182" s="6">
        <v>-97.011979687053</v>
      </c>
      <c r="L13182" s="6" t="str">
        <f>HYPERLINK("https://maps.google.com/?q=16.5701817670601,-97.011979687052602", "🔗 Ver Mapa")</f>
        <v>🔗 Ver Mapa</v>
      </c>
    </row>
    <row r="13183" spans="1:12" ht="43.5" x14ac:dyDescent="0.35">
      <c r="A13183" s="5" t="s">
        <v>98</v>
      </c>
      <c r="B13183" s="5" t="s">
        <v>99</v>
      </c>
      <c r="C13183" s="5" t="s">
        <v>2619</v>
      </c>
      <c r="D13183" s="5" t="s">
        <v>14</v>
      </c>
      <c r="E13183" s="5" t="s">
        <v>39</v>
      </c>
      <c r="F13183" s="5" t="s">
        <v>494</v>
      </c>
      <c r="G13183" s="5" t="s">
        <v>571</v>
      </c>
      <c r="H13183" s="5" t="s">
        <v>572</v>
      </c>
      <c r="I13183" s="5" t="s">
        <v>31</v>
      </c>
      <c r="J13183" s="5">
        <v>16.570750577723999</v>
      </c>
      <c r="K13183" s="5">
        <v>-97.013069533730004</v>
      </c>
      <c r="L13183" s="5" t="str">
        <f>HYPERLINK("https://maps.google.com/?q=16.5707505777235,-97.013069533729606", "🔗 Ver Mapa")</f>
        <v>🔗 Ver Mapa</v>
      </c>
    </row>
    <row r="13184" spans="1:12" ht="43.5" x14ac:dyDescent="0.35">
      <c r="A13184" s="6" t="s">
        <v>98</v>
      </c>
      <c r="B13184" s="6" t="s">
        <v>99</v>
      </c>
      <c r="C13184" s="6" t="s">
        <v>2619</v>
      </c>
      <c r="D13184" s="6" t="s">
        <v>14</v>
      </c>
      <c r="E13184" s="6" t="s">
        <v>39</v>
      </c>
      <c r="F13184" s="6" t="s">
        <v>494</v>
      </c>
      <c r="G13184" s="6" t="s">
        <v>571</v>
      </c>
      <c r="H13184" s="6" t="s">
        <v>572</v>
      </c>
      <c r="I13184" s="6" t="s">
        <v>31</v>
      </c>
      <c r="J13184" s="6">
        <v>16.571878773641998</v>
      </c>
      <c r="K13184" s="6">
        <v>-97.011488746609999</v>
      </c>
      <c r="L13184" s="6" t="str">
        <f>HYPERLINK("https://maps.google.com/?q=16.5718787736417,-97.0114887466097", "🔗 Ver Mapa")</f>
        <v>🔗 Ver Mapa</v>
      </c>
    </row>
    <row r="13185" spans="1:12" ht="43.5" x14ac:dyDescent="0.35">
      <c r="A13185" s="5" t="s">
        <v>98</v>
      </c>
      <c r="B13185" s="5" t="s">
        <v>99</v>
      </c>
      <c r="C13185" s="5" t="s">
        <v>2619</v>
      </c>
      <c r="D13185" s="5" t="s">
        <v>14</v>
      </c>
      <c r="E13185" s="5" t="s">
        <v>39</v>
      </c>
      <c r="F13185" s="5" t="s">
        <v>494</v>
      </c>
      <c r="G13185" s="5" t="s">
        <v>571</v>
      </c>
      <c r="H13185" s="5" t="s">
        <v>572</v>
      </c>
      <c r="I13185" s="5" t="s">
        <v>31</v>
      </c>
      <c r="J13185" s="5">
        <v>16.571888519567999</v>
      </c>
      <c r="K13185" s="5">
        <v>-97.010400807779007</v>
      </c>
      <c r="L13185" s="5" t="str">
        <f>HYPERLINK("https://maps.google.com/?q=16.5718885195685,-97.010400807778694", "🔗 Ver Mapa")</f>
        <v>🔗 Ver Mapa</v>
      </c>
    </row>
    <row r="13186" spans="1:12" ht="43.5" x14ac:dyDescent="0.35">
      <c r="A13186" s="6" t="s">
        <v>98</v>
      </c>
      <c r="B13186" s="6" t="s">
        <v>99</v>
      </c>
      <c r="C13186" s="6" t="s">
        <v>2619</v>
      </c>
      <c r="D13186" s="6" t="s">
        <v>14</v>
      </c>
      <c r="E13186" s="6" t="s">
        <v>39</v>
      </c>
      <c r="F13186" s="6" t="s">
        <v>494</v>
      </c>
      <c r="G13186" s="6" t="s">
        <v>571</v>
      </c>
      <c r="H13186" s="6" t="s">
        <v>572</v>
      </c>
      <c r="I13186" s="6" t="s">
        <v>31</v>
      </c>
      <c r="J13186" s="6">
        <v>16.572023524734998</v>
      </c>
      <c r="K13186" s="6">
        <v>-97.017015766865001</v>
      </c>
      <c r="L13186" s="6" t="str">
        <f>HYPERLINK("https://maps.google.com/?q=16.5720235247346,-97.017015766864702", "🔗 Ver Mapa")</f>
        <v>🔗 Ver Mapa</v>
      </c>
    </row>
    <row r="13187" spans="1:12" ht="43.5" x14ac:dyDescent="0.35">
      <c r="A13187" s="5" t="s">
        <v>98</v>
      </c>
      <c r="B13187" s="5" t="s">
        <v>99</v>
      </c>
      <c r="C13187" s="5" t="s">
        <v>2619</v>
      </c>
      <c r="D13187" s="5" t="s">
        <v>14</v>
      </c>
      <c r="E13187" s="5" t="s">
        <v>39</v>
      </c>
      <c r="F13187" s="5" t="s">
        <v>494</v>
      </c>
      <c r="G13187" s="5" t="s">
        <v>571</v>
      </c>
      <c r="H13187" s="5" t="s">
        <v>572</v>
      </c>
      <c r="I13187" s="5" t="s">
        <v>31</v>
      </c>
      <c r="J13187" s="5">
        <v>16.572253446001</v>
      </c>
      <c r="K13187" s="5">
        <v>-97.012414616968996</v>
      </c>
      <c r="L13187" s="5" t="str">
        <f>HYPERLINK("https://maps.google.com/?q=16.5722534460007,-97.012414616968698", "🔗 Ver Mapa")</f>
        <v>🔗 Ver Mapa</v>
      </c>
    </row>
    <row r="13188" spans="1:12" ht="43.5" x14ac:dyDescent="0.35">
      <c r="A13188" s="6" t="s">
        <v>98</v>
      </c>
      <c r="B13188" s="6" t="s">
        <v>99</v>
      </c>
      <c r="C13188" s="6" t="s">
        <v>2619</v>
      </c>
      <c r="D13188" s="6" t="s">
        <v>14</v>
      </c>
      <c r="E13188" s="6" t="s">
        <v>39</v>
      </c>
      <c r="F13188" s="6" t="s">
        <v>494</v>
      </c>
      <c r="G13188" s="6" t="s">
        <v>571</v>
      </c>
      <c r="H13188" s="6" t="s">
        <v>572</v>
      </c>
      <c r="I13188" s="6" t="s">
        <v>31</v>
      </c>
      <c r="J13188" s="6">
        <v>16.572277617295001</v>
      </c>
      <c r="K13188" s="6">
        <v>-97.011776884816996</v>
      </c>
      <c r="L13188" s="6" t="str">
        <f>HYPERLINK("https://maps.google.com/?q=16.5722776172954,-97.011776884817294", "🔗 Ver Mapa")</f>
        <v>🔗 Ver Mapa</v>
      </c>
    </row>
    <row r="13189" spans="1:12" ht="43.5" x14ac:dyDescent="0.35">
      <c r="A13189" s="5" t="s">
        <v>98</v>
      </c>
      <c r="B13189" s="5" t="s">
        <v>99</v>
      </c>
      <c r="C13189" s="5" t="s">
        <v>2619</v>
      </c>
      <c r="D13189" s="5" t="s">
        <v>14</v>
      </c>
      <c r="E13189" s="5" t="s">
        <v>39</v>
      </c>
      <c r="F13189" s="5" t="s">
        <v>494</v>
      </c>
      <c r="G13189" s="5" t="s">
        <v>571</v>
      </c>
      <c r="H13189" s="5" t="s">
        <v>572</v>
      </c>
      <c r="I13189" s="5" t="s">
        <v>31</v>
      </c>
      <c r="J13189" s="5">
        <v>16.57234577382</v>
      </c>
      <c r="K13189" s="5">
        <v>-97.012876361996007</v>
      </c>
      <c r="L13189" s="5" t="str">
        <f>HYPERLINK("https://maps.google.com/?q=16.5723457738196,-97.012876361996106", "🔗 Ver Mapa")</f>
        <v>🔗 Ver Mapa</v>
      </c>
    </row>
    <row r="13190" spans="1:12" ht="43.5" x14ac:dyDescent="0.35">
      <c r="A13190" s="6" t="s">
        <v>98</v>
      </c>
      <c r="B13190" s="6" t="s">
        <v>99</v>
      </c>
      <c r="C13190" s="6" t="s">
        <v>2619</v>
      </c>
      <c r="D13190" s="6" t="s">
        <v>14</v>
      </c>
      <c r="E13190" s="6" t="s">
        <v>39</v>
      </c>
      <c r="F13190" s="6" t="s">
        <v>494</v>
      </c>
      <c r="G13190" s="6" t="s">
        <v>571</v>
      </c>
      <c r="H13190" s="6" t="s">
        <v>572</v>
      </c>
      <c r="I13190" s="6" t="s">
        <v>31</v>
      </c>
      <c r="J13190" s="6">
        <v>16.572501692067</v>
      </c>
      <c r="K13190" s="6">
        <v>-97.017538797623004</v>
      </c>
      <c r="L13190" s="6" t="str">
        <f>HYPERLINK("https://maps.google.com/?q=16.5725016920669,-97.017538797622905", "🔗 Ver Mapa")</f>
        <v>🔗 Ver Mapa</v>
      </c>
    </row>
    <row r="13191" spans="1:12" ht="43.5" x14ac:dyDescent="0.35">
      <c r="A13191" s="5" t="s">
        <v>98</v>
      </c>
      <c r="B13191" s="5" t="s">
        <v>99</v>
      </c>
      <c r="C13191" s="5" t="s">
        <v>2619</v>
      </c>
      <c r="D13191" s="5" t="s">
        <v>14</v>
      </c>
      <c r="E13191" s="5" t="s">
        <v>39</v>
      </c>
      <c r="F13191" s="5" t="s">
        <v>494</v>
      </c>
      <c r="G13191" s="5" t="s">
        <v>571</v>
      </c>
      <c r="H13191" s="5" t="s">
        <v>572</v>
      </c>
      <c r="I13191" s="5" t="s">
        <v>31</v>
      </c>
      <c r="J13191" s="5">
        <v>16.572645705981</v>
      </c>
      <c r="K13191" s="5">
        <v>-97.017630373016004</v>
      </c>
      <c r="L13191" s="5" t="str">
        <f>HYPERLINK("https://maps.google.com/?q=16.5726457059807,-97.017630373016402", "🔗 Ver Mapa")</f>
        <v>🔗 Ver Mapa</v>
      </c>
    </row>
    <row r="13192" spans="1:12" ht="43.5" x14ac:dyDescent="0.35">
      <c r="A13192" s="6" t="s">
        <v>98</v>
      </c>
      <c r="B13192" s="6" t="s">
        <v>99</v>
      </c>
      <c r="C13192" s="6" t="s">
        <v>2619</v>
      </c>
      <c r="D13192" s="6" t="s">
        <v>14</v>
      </c>
      <c r="E13192" s="6" t="s">
        <v>39</v>
      </c>
      <c r="F13192" s="6" t="s">
        <v>494</v>
      </c>
      <c r="G13192" s="6" t="s">
        <v>571</v>
      </c>
      <c r="H13192" s="6" t="s">
        <v>572</v>
      </c>
      <c r="I13192" s="6" t="s">
        <v>31</v>
      </c>
      <c r="J13192" s="6">
        <v>16.572853421510999</v>
      </c>
      <c r="K13192" s="6">
        <v>-97.018014045163994</v>
      </c>
      <c r="L13192" s="6" t="str">
        <f>HYPERLINK("https://maps.google.com/?q=16.5728534215113,-97.018014045163895", "🔗 Ver Mapa")</f>
        <v>🔗 Ver Mapa</v>
      </c>
    </row>
    <row r="13193" spans="1:12" ht="43.5" x14ac:dyDescent="0.35">
      <c r="A13193" s="5" t="s">
        <v>98</v>
      </c>
      <c r="B13193" s="5" t="s">
        <v>99</v>
      </c>
      <c r="C13193" s="5" t="s">
        <v>2619</v>
      </c>
      <c r="D13193" s="5" t="s">
        <v>14</v>
      </c>
      <c r="E13193" s="5" t="s">
        <v>39</v>
      </c>
      <c r="F13193" s="5" t="s">
        <v>494</v>
      </c>
      <c r="G13193" s="5" t="s">
        <v>571</v>
      </c>
      <c r="H13193" s="5" t="s">
        <v>572</v>
      </c>
      <c r="I13193" s="5" t="s">
        <v>31</v>
      </c>
      <c r="J13193" s="5">
        <v>16.573767007194</v>
      </c>
      <c r="K13193" s="5">
        <v>-97.008366069849004</v>
      </c>
      <c r="L13193" s="5" t="str">
        <f>HYPERLINK("https://maps.google.com/?q=16.5737670071938,-97.008366069849103", "🔗 Ver Mapa")</f>
        <v>🔗 Ver Mapa</v>
      </c>
    </row>
    <row r="13194" spans="1:12" ht="43.5" x14ac:dyDescent="0.35">
      <c r="A13194" s="6" t="s">
        <v>98</v>
      </c>
      <c r="B13194" s="6" t="s">
        <v>99</v>
      </c>
      <c r="C13194" s="6" t="s">
        <v>2619</v>
      </c>
      <c r="D13194" s="6" t="s">
        <v>14</v>
      </c>
      <c r="E13194" s="6" t="s">
        <v>39</v>
      </c>
      <c r="F13194" s="6" t="s">
        <v>494</v>
      </c>
      <c r="G13194" s="6" t="s">
        <v>571</v>
      </c>
      <c r="H13194" s="6" t="s">
        <v>572</v>
      </c>
      <c r="I13194" s="6" t="s">
        <v>31</v>
      </c>
      <c r="J13194" s="6">
        <v>16.574981439401</v>
      </c>
      <c r="K13194" s="6">
        <v>-97.019414711639001</v>
      </c>
      <c r="L13194" s="6" t="str">
        <f>HYPERLINK("https://maps.google.com/?q=16.574981439401,-97.019414711639499", "🔗 Ver Mapa")</f>
        <v>🔗 Ver Mapa</v>
      </c>
    </row>
    <row r="13195" spans="1:12" ht="43.5" x14ac:dyDescent="0.35">
      <c r="A13195" s="5" t="s">
        <v>98</v>
      </c>
      <c r="B13195" s="5" t="s">
        <v>99</v>
      </c>
      <c r="C13195" s="5" t="s">
        <v>2619</v>
      </c>
      <c r="D13195" s="5" t="s">
        <v>14</v>
      </c>
      <c r="E13195" s="5" t="s">
        <v>39</v>
      </c>
      <c r="F13195" s="5" t="s">
        <v>494</v>
      </c>
      <c r="G13195" s="5" t="s">
        <v>571</v>
      </c>
      <c r="H13195" s="5" t="s">
        <v>572</v>
      </c>
      <c r="I13195" s="5" t="s">
        <v>31</v>
      </c>
      <c r="J13195" s="5">
        <v>16.575002818057001</v>
      </c>
      <c r="K13195" s="5">
        <v>-97.018981381792003</v>
      </c>
      <c r="L13195" s="5" t="str">
        <f>HYPERLINK("https://maps.google.com/?q=16.5750028180567,-97.0189813817924", "🔗 Ver Mapa")</f>
        <v>🔗 Ver Mapa</v>
      </c>
    </row>
    <row r="13196" spans="1:12" ht="43.5" x14ac:dyDescent="0.35">
      <c r="A13196" s="6" t="s">
        <v>98</v>
      </c>
      <c r="B13196" s="6" t="s">
        <v>99</v>
      </c>
      <c r="C13196" s="6" t="s">
        <v>2619</v>
      </c>
      <c r="D13196" s="6" t="s">
        <v>14</v>
      </c>
      <c r="E13196" s="6" t="s">
        <v>39</v>
      </c>
      <c r="F13196" s="6" t="s">
        <v>494</v>
      </c>
      <c r="G13196" s="6" t="s">
        <v>571</v>
      </c>
      <c r="H13196" s="6" t="s">
        <v>572</v>
      </c>
      <c r="I13196" s="6" t="s">
        <v>31</v>
      </c>
      <c r="J13196" s="6">
        <v>16.575512432067001</v>
      </c>
      <c r="K13196" s="6">
        <v>-97.018356790178998</v>
      </c>
      <c r="L13196" s="6" t="str">
        <f>HYPERLINK("https://maps.google.com/?q=16.5755124320669,-97.018356790178501", "🔗 Ver Mapa")</f>
        <v>🔗 Ver Mapa</v>
      </c>
    </row>
    <row r="13197" spans="1:12" ht="43.5" x14ac:dyDescent="0.35">
      <c r="A13197" s="5" t="s">
        <v>98</v>
      </c>
      <c r="B13197" s="5" t="s">
        <v>99</v>
      </c>
      <c r="C13197" s="5" t="s">
        <v>2619</v>
      </c>
      <c r="D13197" s="5" t="s">
        <v>14</v>
      </c>
      <c r="E13197" s="5" t="s">
        <v>39</v>
      </c>
      <c r="F13197" s="5" t="s">
        <v>494</v>
      </c>
      <c r="G13197" s="5" t="s">
        <v>571</v>
      </c>
      <c r="H13197" s="5" t="s">
        <v>572</v>
      </c>
      <c r="I13197" s="5" t="s">
        <v>31</v>
      </c>
      <c r="J13197" s="5">
        <v>16.578492233527001</v>
      </c>
      <c r="K13197" s="5">
        <v>-97.012089980781994</v>
      </c>
      <c r="L13197" s="5" t="str">
        <f>HYPERLINK("https://maps.google.com/?q=16.5784922335266,-97.012089980781795", "🔗 Ver Mapa")</f>
        <v>🔗 Ver Mapa</v>
      </c>
    </row>
    <row r="13198" spans="1:12" ht="43.5" x14ac:dyDescent="0.35">
      <c r="A13198" s="6" t="s">
        <v>98</v>
      </c>
      <c r="B13198" s="6" t="s">
        <v>99</v>
      </c>
      <c r="C13198" s="6" t="s">
        <v>2623</v>
      </c>
      <c r="D13198" s="6" t="s">
        <v>14</v>
      </c>
      <c r="E13198" s="6" t="s">
        <v>16</v>
      </c>
      <c r="F13198" s="6" t="s">
        <v>19</v>
      </c>
      <c r="G13198" s="6" t="s">
        <v>1423</v>
      </c>
      <c r="H13198" s="6" t="s">
        <v>1424</v>
      </c>
      <c r="I13198" s="6" t="s">
        <v>31</v>
      </c>
      <c r="J13198" s="6">
        <v>17.335259002491</v>
      </c>
      <c r="K13198" s="6">
        <v>-97.368610093824003</v>
      </c>
      <c r="L13198" s="6" t="str">
        <f>HYPERLINK("https://maps.google.com/?q=17.335259002491,-97.368610093823605", "🔗 Ver Mapa")</f>
        <v>🔗 Ver Mapa</v>
      </c>
    </row>
    <row r="13199" spans="1:12" ht="43.5" x14ac:dyDescent="0.35">
      <c r="A13199" s="5" t="s">
        <v>98</v>
      </c>
      <c r="B13199" s="5" t="s">
        <v>99</v>
      </c>
      <c r="C13199" s="5" t="s">
        <v>2623</v>
      </c>
      <c r="D13199" s="5" t="s">
        <v>14</v>
      </c>
      <c r="E13199" s="5" t="s">
        <v>16</v>
      </c>
      <c r="F13199" s="5" t="s">
        <v>19</v>
      </c>
      <c r="G13199" s="5" t="s">
        <v>1423</v>
      </c>
      <c r="H13199" s="5" t="s">
        <v>1424</v>
      </c>
      <c r="I13199" s="5" t="s">
        <v>31</v>
      </c>
      <c r="J13199" s="5">
        <v>17.335321193433</v>
      </c>
      <c r="K13199" s="5">
        <v>-97.375941015462999</v>
      </c>
      <c r="L13199" s="5" t="str">
        <f>HYPERLINK("https://maps.google.com/?q=17.3353211934332,-97.375941015463098", "🔗 Ver Mapa")</f>
        <v>🔗 Ver Mapa</v>
      </c>
    </row>
    <row r="13200" spans="1:12" ht="43.5" x14ac:dyDescent="0.35">
      <c r="A13200" s="6" t="s">
        <v>98</v>
      </c>
      <c r="B13200" s="6" t="s">
        <v>99</v>
      </c>
      <c r="C13200" s="6" t="s">
        <v>2623</v>
      </c>
      <c r="D13200" s="6" t="s">
        <v>14</v>
      </c>
      <c r="E13200" s="6" t="s">
        <v>16</v>
      </c>
      <c r="F13200" s="6" t="s">
        <v>19</v>
      </c>
      <c r="G13200" s="6" t="s">
        <v>1423</v>
      </c>
      <c r="H13200" s="6" t="s">
        <v>1424</v>
      </c>
      <c r="I13200" s="6" t="s">
        <v>31</v>
      </c>
      <c r="J13200" s="6">
        <v>17.335416229728999</v>
      </c>
      <c r="K13200" s="6">
        <v>-97.373640455463004</v>
      </c>
      <c r="L13200" s="6" t="str">
        <f>HYPERLINK("https://maps.google.com/?q=17.3354162297291,-97.373640455463004", "🔗 Ver Mapa")</f>
        <v>🔗 Ver Mapa</v>
      </c>
    </row>
    <row r="13201" spans="1:12" ht="43.5" x14ac:dyDescent="0.35">
      <c r="A13201" s="5" t="s">
        <v>98</v>
      </c>
      <c r="B13201" s="5" t="s">
        <v>99</v>
      </c>
      <c r="C13201" s="5" t="s">
        <v>2623</v>
      </c>
      <c r="D13201" s="5" t="s">
        <v>14</v>
      </c>
      <c r="E13201" s="5" t="s">
        <v>16</v>
      </c>
      <c r="F13201" s="5" t="s">
        <v>19</v>
      </c>
      <c r="G13201" s="5" t="s">
        <v>1423</v>
      </c>
      <c r="H13201" s="5" t="s">
        <v>1424</v>
      </c>
      <c r="I13201" s="5" t="s">
        <v>31</v>
      </c>
      <c r="J13201" s="5">
        <v>17.335422000000001</v>
      </c>
      <c r="K13201" s="5">
        <v>-97.374084999999994</v>
      </c>
      <c r="L13201" s="5" t="str">
        <f>HYPERLINK("https://maps.google.com/?q=17.335422,-97.374084999999994", "🔗 Ver Mapa")</f>
        <v>🔗 Ver Mapa</v>
      </c>
    </row>
    <row r="13202" spans="1:12" ht="43.5" x14ac:dyDescent="0.35">
      <c r="A13202" s="6" t="s">
        <v>98</v>
      </c>
      <c r="B13202" s="6" t="s">
        <v>99</v>
      </c>
      <c r="C13202" s="6" t="s">
        <v>2623</v>
      </c>
      <c r="D13202" s="6" t="s">
        <v>14</v>
      </c>
      <c r="E13202" s="6" t="s">
        <v>16</v>
      </c>
      <c r="F13202" s="6" t="s">
        <v>19</v>
      </c>
      <c r="G13202" s="6" t="s">
        <v>1423</v>
      </c>
      <c r="H13202" s="6" t="s">
        <v>1424</v>
      </c>
      <c r="I13202" s="6" t="s">
        <v>31</v>
      </c>
      <c r="J13202" s="6">
        <v>17.335564708008999</v>
      </c>
      <c r="K13202" s="6">
        <v>-97.373062044920999</v>
      </c>
      <c r="L13202" s="6" t="str">
        <f>HYPERLINK("https://maps.google.com/?q=17.3355647080085,-97.3730620449208", "🔗 Ver Mapa")</f>
        <v>🔗 Ver Mapa</v>
      </c>
    </row>
    <row r="13203" spans="1:12" ht="43.5" x14ac:dyDescent="0.35">
      <c r="A13203" s="5" t="s">
        <v>98</v>
      </c>
      <c r="B13203" s="5" t="s">
        <v>99</v>
      </c>
      <c r="C13203" s="5" t="s">
        <v>2623</v>
      </c>
      <c r="D13203" s="5" t="s">
        <v>14</v>
      </c>
      <c r="E13203" s="5" t="s">
        <v>16</v>
      </c>
      <c r="F13203" s="5" t="s">
        <v>19</v>
      </c>
      <c r="G13203" s="5" t="s">
        <v>1423</v>
      </c>
      <c r="H13203" s="5" t="s">
        <v>1424</v>
      </c>
      <c r="I13203" s="5" t="s">
        <v>31</v>
      </c>
      <c r="J13203" s="5">
        <v>17.335885770419999</v>
      </c>
      <c r="K13203" s="5">
        <v>-97.367340224537003</v>
      </c>
      <c r="L13203" s="5" t="str">
        <f>HYPERLINK("https://maps.google.com/?q=17.3358857704198,-97.367340224536903", "🔗 Ver Mapa")</f>
        <v>🔗 Ver Mapa</v>
      </c>
    </row>
    <row r="13204" spans="1:12" ht="43.5" x14ac:dyDescent="0.35">
      <c r="A13204" s="6" t="s">
        <v>98</v>
      </c>
      <c r="B13204" s="6" t="s">
        <v>99</v>
      </c>
      <c r="C13204" s="6" t="s">
        <v>2623</v>
      </c>
      <c r="D13204" s="6" t="s">
        <v>14</v>
      </c>
      <c r="E13204" s="6" t="s">
        <v>16</v>
      </c>
      <c r="F13204" s="6" t="s">
        <v>19</v>
      </c>
      <c r="G13204" s="6" t="s">
        <v>1423</v>
      </c>
      <c r="H13204" s="6" t="s">
        <v>1424</v>
      </c>
      <c r="I13204" s="6" t="s">
        <v>31</v>
      </c>
      <c r="J13204" s="6">
        <v>17.336081597210999</v>
      </c>
      <c r="K13204" s="6">
        <v>-97.375922868716998</v>
      </c>
      <c r="L13204" s="6" t="str">
        <f>HYPERLINK("https://maps.google.com/?q=17.3360815972108,-97.375922868717197", "🔗 Ver Mapa")</f>
        <v>🔗 Ver Mapa</v>
      </c>
    </row>
    <row r="13205" spans="1:12" ht="43.5" x14ac:dyDescent="0.35">
      <c r="A13205" s="5" t="s">
        <v>98</v>
      </c>
      <c r="B13205" s="5" t="s">
        <v>99</v>
      </c>
      <c r="C13205" s="5" t="s">
        <v>2623</v>
      </c>
      <c r="D13205" s="5" t="s">
        <v>14</v>
      </c>
      <c r="E13205" s="5" t="s">
        <v>16</v>
      </c>
      <c r="F13205" s="5" t="s">
        <v>19</v>
      </c>
      <c r="G13205" s="5" t="s">
        <v>1423</v>
      </c>
      <c r="H13205" s="5" t="s">
        <v>1424</v>
      </c>
      <c r="I13205" s="5" t="s">
        <v>31</v>
      </c>
      <c r="J13205" s="5">
        <v>17.336551379665</v>
      </c>
      <c r="K13205" s="5">
        <v>-97.369914471103996</v>
      </c>
      <c r="L13205" s="5" t="str">
        <f>HYPERLINK("https://maps.google.com/?q=17.3365513796646,-97.369914471104494", "🔗 Ver Mapa")</f>
        <v>🔗 Ver Mapa</v>
      </c>
    </row>
    <row r="13206" spans="1:12" ht="43.5" x14ac:dyDescent="0.35">
      <c r="A13206" s="6" t="s">
        <v>98</v>
      </c>
      <c r="B13206" s="6" t="s">
        <v>99</v>
      </c>
      <c r="C13206" s="6" t="s">
        <v>2623</v>
      </c>
      <c r="D13206" s="6" t="s">
        <v>14</v>
      </c>
      <c r="E13206" s="6" t="s">
        <v>16</v>
      </c>
      <c r="F13206" s="6" t="s">
        <v>19</v>
      </c>
      <c r="G13206" s="6" t="s">
        <v>1423</v>
      </c>
      <c r="H13206" s="6" t="s">
        <v>1424</v>
      </c>
      <c r="I13206" s="6" t="s">
        <v>31</v>
      </c>
      <c r="J13206" s="6">
        <v>17.336628999999999</v>
      </c>
      <c r="K13206" s="6">
        <v>-97.365714999999994</v>
      </c>
      <c r="L13206" s="6" t="str">
        <f>HYPERLINK("https://maps.google.com/?q=17.336629,-97.365714999999994", "🔗 Ver Mapa")</f>
        <v>🔗 Ver Mapa</v>
      </c>
    </row>
    <row r="13207" spans="1:12" ht="43.5" x14ac:dyDescent="0.35">
      <c r="A13207" s="5" t="s">
        <v>98</v>
      </c>
      <c r="B13207" s="5" t="s">
        <v>99</v>
      </c>
      <c r="C13207" s="5" t="s">
        <v>2623</v>
      </c>
      <c r="D13207" s="5" t="s">
        <v>14</v>
      </c>
      <c r="E13207" s="5" t="s">
        <v>16</v>
      </c>
      <c r="F13207" s="5" t="s">
        <v>19</v>
      </c>
      <c r="G13207" s="5" t="s">
        <v>1423</v>
      </c>
      <c r="H13207" s="5" t="s">
        <v>1424</v>
      </c>
      <c r="I13207" s="5" t="s">
        <v>31</v>
      </c>
      <c r="J13207" s="5">
        <v>17.33738408088</v>
      </c>
      <c r="K13207" s="5">
        <v>-97.375673353135994</v>
      </c>
      <c r="L13207" s="5" t="str">
        <f>HYPERLINK("https://maps.google.com/?q=17.3373840808803,-97.375673353136094", "🔗 Ver Mapa")</f>
        <v>🔗 Ver Mapa</v>
      </c>
    </row>
    <row r="13208" spans="1:12" ht="43.5" x14ac:dyDescent="0.35">
      <c r="A13208" s="6" t="s">
        <v>98</v>
      </c>
      <c r="B13208" s="6" t="s">
        <v>99</v>
      </c>
      <c r="C13208" s="6" t="s">
        <v>2623</v>
      </c>
      <c r="D13208" s="6" t="s">
        <v>14</v>
      </c>
      <c r="E13208" s="6" t="s">
        <v>16</v>
      </c>
      <c r="F13208" s="6" t="s">
        <v>19</v>
      </c>
      <c r="G13208" s="6" t="s">
        <v>1423</v>
      </c>
      <c r="H13208" s="6" t="s">
        <v>1424</v>
      </c>
      <c r="I13208" s="6" t="s">
        <v>31</v>
      </c>
      <c r="J13208" s="6">
        <v>17.339442116189002</v>
      </c>
      <c r="K13208" s="6">
        <v>-97.386869700637007</v>
      </c>
      <c r="L13208" s="6" t="str">
        <f>HYPERLINK("https://maps.google.com/?q=17.3394421161894,-97.386869700637007", "🔗 Ver Mapa")</f>
        <v>🔗 Ver Mapa</v>
      </c>
    </row>
    <row r="13209" spans="1:12" ht="43.5" x14ac:dyDescent="0.35">
      <c r="A13209" s="5" t="s">
        <v>98</v>
      </c>
      <c r="B13209" s="5" t="s">
        <v>99</v>
      </c>
      <c r="C13209" s="5" t="s">
        <v>2623</v>
      </c>
      <c r="D13209" s="5" t="s">
        <v>14</v>
      </c>
      <c r="E13209" s="5" t="s">
        <v>16</v>
      </c>
      <c r="F13209" s="5" t="s">
        <v>19</v>
      </c>
      <c r="G13209" s="5" t="s">
        <v>1423</v>
      </c>
      <c r="H13209" s="5" t="s">
        <v>1424</v>
      </c>
      <c r="I13209" s="5" t="s">
        <v>31</v>
      </c>
      <c r="J13209" s="5">
        <v>17.340007256905</v>
      </c>
      <c r="K13209" s="5">
        <v>-97.378965887201005</v>
      </c>
      <c r="L13209" s="5" t="str">
        <f>HYPERLINK("https://maps.google.com/?q=17.3400072569052,-97.378965887200593", "🔗 Ver Mapa")</f>
        <v>🔗 Ver Mapa</v>
      </c>
    </row>
    <row r="13210" spans="1:12" ht="43.5" x14ac:dyDescent="0.35">
      <c r="A13210" s="6" t="s">
        <v>98</v>
      </c>
      <c r="B13210" s="6" t="s">
        <v>99</v>
      </c>
      <c r="C13210" s="6" t="s">
        <v>2623</v>
      </c>
      <c r="D13210" s="6" t="s">
        <v>14</v>
      </c>
      <c r="E13210" s="6" t="s">
        <v>16</v>
      </c>
      <c r="F13210" s="6" t="s">
        <v>19</v>
      </c>
      <c r="G13210" s="6" t="s">
        <v>1423</v>
      </c>
      <c r="H13210" s="6" t="s">
        <v>1424</v>
      </c>
      <c r="I13210" s="6" t="s">
        <v>31</v>
      </c>
      <c r="J13210" s="6">
        <v>17.340534014077001</v>
      </c>
      <c r="K13210" s="6">
        <v>-97.384451703040995</v>
      </c>
      <c r="L13210" s="6" t="str">
        <f>HYPERLINK("https://maps.google.com/?q=17.3405340140772,-97.384451703041094", "🔗 Ver Mapa")</f>
        <v>🔗 Ver Mapa</v>
      </c>
    </row>
    <row r="13211" spans="1:12" ht="43.5" x14ac:dyDescent="0.35">
      <c r="A13211" s="5" t="s">
        <v>98</v>
      </c>
      <c r="B13211" s="5" t="s">
        <v>99</v>
      </c>
      <c r="C13211" s="5" t="s">
        <v>2623</v>
      </c>
      <c r="D13211" s="5" t="s">
        <v>14</v>
      </c>
      <c r="E13211" s="5" t="s">
        <v>16</v>
      </c>
      <c r="F13211" s="5" t="s">
        <v>19</v>
      </c>
      <c r="G13211" s="5" t="s">
        <v>1423</v>
      </c>
      <c r="H13211" s="5" t="s">
        <v>1424</v>
      </c>
      <c r="I13211" s="5" t="s">
        <v>31</v>
      </c>
      <c r="J13211" s="5">
        <v>17.340618947193001</v>
      </c>
      <c r="K13211" s="5">
        <v>-97.384696359532001</v>
      </c>
      <c r="L13211" s="5" t="str">
        <f>HYPERLINK("https://maps.google.com/?q=17.3406189471926,-97.384696359532199", "🔗 Ver Mapa")</f>
        <v>🔗 Ver Mapa</v>
      </c>
    </row>
    <row r="13212" spans="1:12" ht="43.5" x14ac:dyDescent="0.35">
      <c r="A13212" s="6" t="s">
        <v>98</v>
      </c>
      <c r="B13212" s="6" t="s">
        <v>99</v>
      </c>
      <c r="C13212" s="6" t="s">
        <v>2623</v>
      </c>
      <c r="D13212" s="6" t="s">
        <v>14</v>
      </c>
      <c r="E13212" s="6" t="s">
        <v>16</v>
      </c>
      <c r="F13212" s="6" t="s">
        <v>19</v>
      </c>
      <c r="G13212" s="6" t="s">
        <v>1423</v>
      </c>
      <c r="H13212" s="6" t="s">
        <v>1424</v>
      </c>
      <c r="I13212" s="6" t="s">
        <v>31</v>
      </c>
      <c r="J13212" s="6">
        <v>17.340774795685</v>
      </c>
      <c r="K13212" s="6">
        <v>-97.388660215344004</v>
      </c>
      <c r="L13212" s="6" t="str">
        <f>HYPERLINK("https://maps.google.com/?q=17.340774795685,-97.388660215344302", "🔗 Ver Mapa")</f>
        <v>🔗 Ver Mapa</v>
      </c>
    </row>
    <row r="13213" spans="1:12" ht="43.5" x14ac:dyDescent="0.35">
      <c r="A13213" s="5" t="s">
        <v>98</v>
      </c>
      <c r="B13213" s="5" t="s">
        <v>99</v>
      </c>
      <c r="C13213" s="5" t="s">
        <v>2623</v>
      </c>
      <c r="D13213" s="5" t="s">
        <v>14</v>
      </c>
      <c r="E13213" s="5" t="s">
        <v>16</v>
      </c>
      <c r="F13213" s="5" t="s">
        <v>19</v>
      </c>
      <c r="G13213" s="5" t="s">
        <v>1423</v>
      </c>
      <c r="H13213" s="5" t="s">
        <v>1424</v>
      </c>
      <c r="I13213" s="5" t="s">
        <v>31</v>
      </c>
      <c r="J13213" s="5">
        <v>17.341633253876001</v>
      </c>
      <c r="K13213" s="5">
        <v>-97.371906609880995</v>
      </c>
      <c r="L13213" s="5" t="str">
        <f>HYPERLINK("https://maps.google.com/?q=17.3416332538764,-97.371906609881094", "🔗 Ver Mapa")</f>
        <v>🔗 Ver Mapa</v>
      </c>
    </row>
    <row r="13214" spans="1:12" ht="43.5" x14ac:dyDescent="0.35">
      <c r="A13214" s="6" t="s">
        <v>98</v>
      </c>
      <c r="B13214" s="6" t="s">
        <v>99</v>
      </c>
      <c r="C13214" s="6" t="s">
        <v>2623</v>
      </c>
      <c r="D13214" s="6" t="s">
        <v>14</v>
      </c>
      <c r="E13214" s="6" t="s">
        <v>16</v>
      </c>
      <c r="F13214" s="6" t="s">
        <v>19</v>
      </c>
      <c r="G13214" s="6" t="s">
        <v>1423</v>
      </c>
      <c r="H13214" s="6" t="s">
        <v>1424</v>
      </c>
      <c r="I13214" s="6" t="s">
        <v>31</v>
      </c>
      <c r="J13214" s="6">
        <v>17.341771307116002</v>
      </c>
      <c r="K13214" s="6">
        <v>-97.379474700635996</v>
      </c>
      <c r="L13214" s="6" t="str">
        <f>HYPERLINK("https://maps.google.com/?q=17.3417713071162,-97.379474700636493", "🔗 Ver Mapa")</f>
        <v>🔗 Ver Mapa</v>
      </c>
    </row>
    <row r="13215" spans="1:12" ht="43.5" x14ac:dyDescent="0.35">
      <c r="A13215" s="5" t="s">
        <v>98</v>
      </c>
      <c r="B13215" s="5" t="s">
        <v>99</v>
      </c>
      <c r="C13215" s="5" t="s">
        <v>2623</v>
      </c>
      <c r="D13215" s="5" t="s">
        <v>14</v>
      </c>
      <c r="E13215" s="5" t="s">
        <v>16</v>
      </c>
      <c r="F13215" s="5" t="s">
        <v>19</v>
      </c>
      <c r="G13215" s="5" t="s">
        <v>1423</v>
      </c>
      <c r="H13215" s="5" t="s">
        <v>1424</v>
      </c>
      <c r="I13215" s="5" t="s">
        <v>31</v>
      </c>
      <c r="J13215" s="5">
        <v>17.342046472827001</v>
      </c>
      <c r="K13215" s="5">
        <v>-97.377505804299005</v>
      </c>
      <c r="L13215" s="5" t="str">
        <f>HYPERLINK("https://maps.google.com/?q=17.3420464728271,-97.377505804299204", "🔗 Ver Mapa")</f>
        <v>🔗 Ver Mapa</v>
      </c>
    </row>
    <row r="13216" spans="1:12" ht="43.5" x14ac:dyDescent="0.35">
      <c r="A13216" s="6" t="s">
        <v>98</v>
      </c>
      <c r="B13216" s="6" t="s">
        <v>99</v>
      </c>
      <c r="C13216" s="6" t="s">
        <v>2623</v>
      </c>
      <c r="D13216" s="6" t="s">
        <v>14</v>
      </c>
      <c r="E13216" s="6" t="s">
        <v>16</v>
      </c>
      <c r="F13216" s="6" t="s">
        <v>19</v>
      </c>
      <c r="G13216" s="6" t="s">
        <v>1423</v>
      </c>
      <c r="H13216" s="6" t="s">
        <v>1424</v>
      </c>
      <c r="I13216" s="6" t="s">
        <v>31</v>
      </c>
      <c r="J13216" s="6">
        <v>17.342069481418999</v>
      </c>
      <c r="K13216" s="6">
        <v>-97.377559597553002</v>
      </c>
      <c r="L13216" s="6" t="str">
        <f>HYPERLINK("https://maps.google.com/?q=17.3420694814188,-97.377559597553201", "🔗 Ver Mapa")</f>
        <v>🔗 Ver Mapa</v>
      </c>
    </row>
    <row r="13217" spans="1:12" ht="43.5" x14ac:dyDescent="0.35">
      <c r="A13217" s="5" t="s">
        <v>98</v>
      </c>
      <c r="B13217" s="5" t="s">
        <v>99</v>
      </c>
      <c r="C13217" s="5" t="s">
        <v>2623</v>
      </c>
      <c r="D13217" s="5" t="s">
        <v>14</v>
      </c>
      <c r="E13217" s="5" t="s">
        <v>16</v>
      </c>
      <c r="F13217" s="5" t="s">
        <v>19</v>
      </c>
      <c r="G13217" s="5" t="s">
        <v>1423</v>
      </c>
      <c r="H13217" s="5" t="s">
        <v>1424</v>
      </c>
      <c r="I13217" s="5" t="s">
        <v>31</v>
      </c>
      <c r="J13217" s="5">
        <v>17.343179943746001</v>
      </c>
      <c r="K13217" s="5">
        <v>-97.381239171619001</v>
      </c>
      <c r="L13217" s="5" t="str">
        <f>HYPERLINK("https://maps.google.com/?q=17.3431799437455,-97.381239171619299", "🔗 Ver Mapa")</f>
        <v>🔗 Ver Mapa</v>
      </c>
    </row>
    <row r="13218" spans="1:12" ht="43.5" x14ac:dyDescent="0.35">
      <c r="A13218" s="6" t="s">
        <v>98</v>
      </c>
      <c r="B13218" s="6" t="s">
        <v>99</v>
      </c>
      <c r="C13218" s="6" t="s">
        <v>2623</v>
      </c>
      <c r="D13218" s="6" t="s">
        <v>14</v>
      </c>
      <c r="E13218" s="6" t="s">
        <v>16</v>
      </c>
      <c r="F13218" s="6" t="s">
        <v>19</v>
      </c>
      <c r="G13218" s="6" t="s">
        <v>1423</v>
      </c>
      <c r="H13218" s="6" t="s">
        <v>1424</v>
      </c>
      <c r="I13218" s="6" t="s">
        <v>31</v>
      </c>
      <c r="J13218" s="6">
        <v>17.343282010684</v>
      </c>
      <c r="K13218" s="6">
        <v>-97.381182547731001</v>
      </c>
      <c r="L13218" s="6" t="str">
        <f>HYPERLINK("https://maps.google.com/?q=17.343282010684,-97.381182547731498", "🔗 Ver Mapa")</f>
        <v>🔗 Ver Mapa</v>
      </c>
    </row>
    <row r="13219" spans="1:12" ht="43.5" x14ac:dyDescent="0.35">
      <c r="A13219" s="5" t="s">
        <v>98</v>
      </c>
      <c r="B13219" s="5" t="s">
        <v>99</v>
      </c>
      <c r="C13219" s="5" t="s">
        <v>2623</v>
      </c>
      <c r="D13219" s="5" t="s">
        <v>14</v>
      </c>
      <c r="E13219" s="5" t="s">
        <v>16</v>
      </c>
      <c r="F13219" s="5" t="s">
        <v>19</v>
      </c>
      <c r="G13219" s="5" t="s">
        <v>1423</v>
      </c>
      <c r="H13219" s="5" t="s">
        <v>1424</v>
      </c>
      <c r="I13219" s="5" t="s">
        <v>31</v>
      </c>
      <c r="J13219" s="5">
        <v>17.343366247039999</v>
      </c>
      <c r="K13219" s="5">
        <v>-97.371482177708003</v>
      </c>
      <c r="L13219" s="5" t="str">
        <f>HYPERLINK("https://maps.google.com/?q=17.3433662470402,-97.371482177707705", "🔗 Ver Mapa")</f>
        <v>🔗 Ver Mapa</v>
      </c>
    </row>
    <row r="13220" spans="1:12" ht="43.5" x14ac:dyDescent="0.35">
      <c r="A13220" s="6" t="s">
        <v>98</v>
      </c>
      <c r="B13220" s="6" t="s">
        <v>99</v>
      </c>
      <c r="C13220" s="6" t="s">
        <v>2623</v>
      </c>
      <c r="D13220" s="6" t="s">
        <v>14</v>
      </c>
      <c r="E13220" s="6" t="s">
        <v>16</v>
      </c>
      <c r="F13220" s="6" t="s">
        <v>19</v>
      </c>
      <c r="G13220" s="6" t="s">
        <v>1423</v>
      </c>
      <c r="H13220" s="6" t="s">
        <v>1424</v>
      </c>
      <c r="I13220" s="6" t="s">
        <v>31</v>
      </c>
      <c r="J13220" s="6">
        <v>17.344009952558999</v>
      </c>
      <c r="K13220" s="6">
        <v>-97.369902172387</v>
      </c>
      <c r="L13220" s="6" t="str">
        <f>HYPERLINK("https://maps.google.com/?q=17.3440099525591,-97.369902172387299", "🔗 Ver Mapa")</f>
        <v>🔗 Ver Mapa</v>
      </c>
    </row>
    <row r="13221" spans="1:12" ht="43.5" x14ac:dyDescent="0.35">
      <c r="A13221" s="5" t="s">
        <v>98</v>
      </c>
      <c r="B13221" s="5" t="s">
        <v>99</v>
      </c>
      <c r="C13221" s="5" t="s">
        <v>2623</v>
      </c>
      <c r="D13221" s="5" t="s">
        <v>14</v>
      </c>
      <c r="E13221" s="5" t="s">
        <v>16</v>
      </c>
      <c r="F13221" s="5" t="s">
        <v>19</v>
      </c>
      <c r="G13221" s="5" t="s">
        <v>1423</v>
      </c>
      <c r="H13221" s="5" t="s">
        <v>1424</v>
      </c>
      <c r="I13221" s="5" t="s">
        <v>31</v>
      </c>
      <c r="J13221" s="5">
        <v>17.344846312270001</v>
      </c>
      <c r="K13221" s="5">
        <v>-97.384565806046993</v>
      </c>
      <c r="L13221" s="5" t="str">
        <f>HYPERLINK("https://maps.google.com/?q=17.3448463122702,-97.384565806047405", "🔗 Ver Mapa")</f>
        <v>🔗 Ver Mapa</v>
      </c>
    </row>
    <row r="13222" spans="1:12" ht="43.5" x14ac:dyDescent="0.35">
      <c r="A13222" s="6" t="s">
        <v>98</v>
      </c>
      <c r="B13222" s="6" t="s">
        <v>99</v>
      </c>
      <c r="C13222" s="6" t="s">
        <v>2623</v>
      </c>
      <c r="D13222" s="6" t="s">
        <v>14</v>
      </c>
      <c r="E13222" s="6" t="s">
        <v>16</v>
      </c>
      <c r="F13222" s="6" t="s">
        <v>19</v>
      </c>
      <c r="G13222" s="6" t="s">
        <v>1423</v>
      </c>
      <c r="H13222" s="6" t="s">
        <v>1424</v>
      </c>
      <c r="I13222" s="6" t="s">
        <v>31</v>
      </c>
      <c r="J13222" s="6">
        <v>17.344878117183999</v>
      </c>
      <c r="K13222" s="6">
        <v>-97.372726366337005</v>
      </c>
      <c r="L13222" s="6" t="str">
        <f>HYPERLINK("https://maps.google.com/?q=17.3448781171837,-97.372726366336707", "🔗 Ver Mapa")</f>
        <v>🔗 Ver Mapa</v>
      </c>
    </row>
    <row r="13223" spans="1:12" ht="43.5" x14ac:dyDescent="0.35">
      <c r="A13223" s="5" t="s">
        <v>98</v>
      </c>
      <c r="B13223" s="5" t="s">
        <v>99</v>
      </c>
      <c r="C13223" s="5" t="s">
        <v>2623</v>
      </c>
      <c r="D13223" s="5" t="s">
        <v>14</v>
      </c>
      <c r="E13223" s="5" t="s">
        <v>16</v>
      </c>
      <c r="F13223" s="5" t="s">
        <v>19</v>
      </c>
      <c r="G13223" s="5" t="s">
        <v>1423</v>
      </c>
      <c r="H13223" s="5" t="s">
        <v>1424</v>
      </c>
      <c r="I13223" s="5" t="s">
        <v>31</v>
      </c>
      <c r="J13223" s="5">
        <v>17.345727949000999</v>
      </c>
      <c r="K13223" s="5">
        <v>-97.374242169881001</v>
      </c>
      <c r="L13223" s="5" t="str">
        <f>HYPERLINK("https://maps.google.com/?q=17.3457279490012,-97.3742421698811", "🔗 Ver Mapa")</f>
        <v>🔗 Ver Mapa</v>
      </c>
    </row>
    <row r="13224" spans="1:12" ht="43.5" x14ac:dyDescent="0.35">
      <c r="A13224" s="6" t="s">
        <v>98</v>
      </c>
      <c r="B13224" s="6" t="s">
        <v>99</v>
      </c>
      <c r="C13224" s="6" t="s">
        <v>2623</v>
      </c>
      <c r="D13224" s="6" t="s">
        <v>14</v>
      </c>
      <c r="E13224" s="6" t="s">
        <v>16</v>
      </c>
      <c r="F13224" s="6" t="s">
        <v>19</v>
      </c>
      <c r="G13224" s="6" t="s">
        <v>1423</v>
      </c>
      <c r="H13224" s="6" t="s">
        <v>1424</v>
      </c>
      <c r="I13224" s="6" t="s">
        <v>31</v>
      </c>
      <c r="J13224" s="6">
        <v>17.345777627867001</v>
      </c>
      <c r="K13224" s="6">
        <v>-97.385751030083</v>
      </c>
      <c r="L13224" s="6" t="str">
        <f>HYPERLINK("https://maps.google.com/?q=17.3457776278666,-97.385751030083497", "🔗 Ver Mapa")</f>
        <v>🔗 Ver Mapa</v>
      </c>
    </row>
    <row r="13225" spans="1:12" ht="43.5" x14ac:dyDescent="0.35">
      <c r="A13225" s="5" t="s">
        <v>98</v>
      </c>
      <c r="B13225" s="5" t="s">
        <v>99</v>
      </c>
      <c r="C13225" s="5" t="s">
        <v>2623</v>
      </c>
      <c r="D13225" s="5" t="s">
        <v>14</v>
      </c>
      <c r="E13225" s="5" t="s">
        <v>16</v>
      </c>
      <c r="F13225" s="5" t="s">
        <v>19</v>
      </c>
      <c r="G13225" s="5" t="s">
        <v>1423</v>
      </c>
      <c r="H13225" s="5" t="s">
        <v>1424</v>
      </c>
      <c r="I13225" s="5" t="s">
        <v>31</v>
      </c>
      <c r="J13225" s="5">
        <v>17.346672324754</v>
      </c>
      <c r="K13225" s="5">
        <v>-97.369095008597995</v>
      </c>
      <c r="L13225" s="5" t="str">
        <f>HYPERLINK("https://maps.google.com/?q=17.3466723247541,-97.369095008598293", "🔗 Ver Mapa")</f>
        <v>🔗 Ver Mapa</v>
      </c>
    </row>
    <row r="13226" spans="1:12" ht="43.5" x14ac:dyDescent="0.35">
      <c r="A13226" s="6" t="s">
        <v>98</v>
      </c>
      <c r="B13226" s="6" t="s">
        <v>99</v>
      </c>
      <c r="C13226" s="6" t="s">
        <v>2623</v>
      </c>
      <c r="D13226" s="6" t="s">
        <v>14</v>
      </c>
      <c r="E13226" s="6" t="s">
        <v>16</v>
      </c>
      <c r="F13226" s="6" t="s">
        <v>19</v>
      </c>
      <c r="G13226" s="6" t="s">
        <v>1423</v>
      </c>
      <c r="H13226" s="6" t="s">
        <v>1424</v>
      </c>
      <c r="I13226" s="6" t="s">
        <v>31</v>
      </c>
      <c r="J13226" s="6">
        <v>17.346767764525001</v>
      </c>
      <c r="K13226" s="6">
        <v>-97.385139798777004</v>
      </c>
      <c r="L13226" s="6" t="str">
        <f>HYPERLINK("https://maps.google.com/?q=17.346767764525,-97.385139798776606", "🔗 Ver Mapa")</f>
        <v>🔗 Ver Mapa</v>
      </c>
    </row>
    <row r="13227" spans="1:12" ht="43.5" x14ac:dyDescent="0.35">
      <c r="A13227" s="5" t="s">
        <v>98</v>
      </c>
      <c r="B13227" s="5" t="s">
        <v>99</v>
      </c>
      <c r="C13227" s="5" t="s">
        <v>2623</v>
      </c>
      <c r="D13227" s="5" t="s">
        <v>14</v>
      </c>
      <c r="E13227" s="5" t="s">
        <v>16</v>
      </c>
      <c r="F13227" s="5" t="s">
        <v>19</v>
      </c>
      <c r="G13227" s="5" t="s">
        <v>1423</v>
      </c>
      <c r="H13227" s="5" t="s">
        <v>1424</v>
      </c>
      <c r="I13227" s="5" t="s">
        <v>31</v>
      </c>
      <c r="J13227" s="5">
        <v>17.349614293079</v>
      </c>
      <c r="K13227" s="5">
        <v>-97.365294082922006</v>
      </c>
      <c r="L13227" s="5" t="str">
        <f>HYPERLINK("https://maps.google.com/?q=17.3496142930792,-97.365294082922304", "🔗 Ver Mapa")</f>
        <v>🔗 Ver Mapa</v>
      </c>
    </row>
    <row r="13228" spans="1:12" ht="43.5" x14ac:dyDescent="0.35">
      <c r="A13228" s="6" t="s">
        <v>98</v>
      </c>
      <c r="B13228" s="6" t="s">
        <v>99</v>
      </c>
      <c r="C13228" s="6" t="s">
        <v>2624</v>
      </c>
      <c r="D13228" s="6" t="s">
        <v>14</v>
      </c>
      <c r="E13228" s="6" t="s">
        <v>52</v>
      </c>
      <c r="F13228" s="6" t="s">
        <v>83</v>
      </c>
      <c r="G13228" s="6" t="s">
        <v>1683</v>
      </c>
      <c r="H13228" s="6" t="s">
        <v>1684</v>
      </c>
      <c r="I13228" s="6" t="s">
        <v>31</v>
      </c>
      <c r="J13228" s="6">
        <v>17.137831233164999</v>
      </c>
      <c r="K13228" s="6">
        <v>-96.753309476599995</v>
      </c>
      <c r="L13228" s="6" t="str">
        <f>HYPERLINK("https://maps.google.com/?q=17.137831233165,-96.753309476600094", "🔗 Ver Mapa")</f>
        <v>🔗 Ver Mapa</v>
      </c>
    </row>
    <row r="13229" spans="1:12" ht="43.5" x14ac:dyDescent="0.35">
      <c r="A13229" s="5" t="s">
        <v>98</v>
      </c>
      <c r="B13229" s="5" t="s">
        <v>99</v>
      </c>
      <c r="C13229" s="5" t="s">
        <v>2624</v>
      </c>
      <c r="D13229" s="5" t="s">
        <v>14</v>
      </c>
      <c r="E13229" s="5" t="s">
        <v>52</v>
      </c>
      <c r="F13229" s="5" t="s">
        <v>83</v>
      </c>
      <c r="G13229" s="5" t="s">
        <v>1683</v>
      </c>
      <c r="H13229" s="5" t="s">
        <v>1684</v>
      </c>
      <c r="I13229" s="5" t="s">
        <v>31</v>
      </c>
      <c r="J13229" s="5">
        <v>17.137904283676001</v>
      </c>
      <c r="K13229" s="5">
        <v>-96.753468394579002</v>
      </c>
      <c r="L13229" s="5" t="str">
        <f>HYPERLINK("https://maps.google.com/?q=17.1379042836757,-96.753468394579002", "🔗 Ver Mapa")</f>
        <v>🔗 Ver Mapa</v>
      </c>
    </row>
    <row r="13230" spans="1:12" ht="43.5" x14ac:dyDescent="0.35">
      <c r="A13230" s="6" t="s">
        <v>98</v>
      </c>
      <c r="B13230" s="6" t="s">
        <v>99</v>
      </c>
      <c r="C13230" s="6" t="s">
        <v>2624</v>
      </c>
      <c r="D13230" s="6" t="s">
        <v>14</v>
      </c>
      <c r="E13230" s="6" t="s">
        <v>52</v>
      </c>
      <c r="F13230" s="6" t="s">
        <v>83</v>
      </c>
      <c r="G13230" s="6" t="s">
        <v>1683</v>
      </c>
      <c r="H13230" s="6" t="s">
        <v>1684</v>
      </c>
      <c r="I13230" s="6" t="s">
        <v>31</v>
      </c>
      <c r="J13230" s="6">
        <v>17.137945642129001</v>
      </c>
      <c r="K13230" s="6">
        <v>-96.753109583458993</v>
      </c>
      <c r="L13230" s="6" t="str">
        <f>HYPERLINK("https://maps.google.com/?q=17.1379456421289,-96.753109583458894", "🔗 Ver Mapa")</f>
        <v>🔗 Ver Mapa</v>
      </c>
    </row>
    <row r="13231" spans="1:12" ht="43.5" x14ac:dyDescent="0.35">
      <c r="A13231" s="5" t="s">
        <v>98</v>
      </c>
      <c r="B13231" s="5" t="s">
        <v>99</v>
      </c>
      <c r="C13231" s="5" t="s">
        <v>2624</v>
      </c>
      <c r="D13231" s="5" t="s">
        <v>14</v>
      </c>
      <c r="E13231" s="5" t="s">
        <v>52</v>
      </c>
      <c r="F13231" s="5" t="s">
        <v>83</v>
      </c>
      <c r="G13231" s="5" t="s">
        <v>1683</v>
      </c>
      <c r="H13231" s="5" t="s">
        <v>1684</v>
      </c>
      <c r="I13231" s="5" t="s">
        <v>31</v>
      </c>
      <c r="J13231" s="5">
        <v>17.138205774138001</v>
      </c>
      <c r="K13231" s="5">
        <v>-96.753170332514998</v>
      </c>
      <c r="L13231" s="5" t="str">
        <f>HYPERLINK("https://maps.google.com/?q=17.1382057741382,-96.753170332514898", "🔗 Ver Mapa")</f>
        <v>🔗 Ver Mapa</v>
      </c>
    </row>
    <row r="13232" spans="1:12" ht="43.5" x14ac:dyDescent="0.35">
      <c r="A13232" s="6" t="s">
        <v>98</v>
      </c>
      <c r="B13232" s="6" t="s">
        <v>99</v>
      </c>
      <c r="C13232" s="6" t="s">
        <v>2624</v>
      </c>
      <c r="D13232" s="6" t="s">
        <v>14</v>
      </c>
      <c r="E13232" s="6" t="s">
        <v>52</v>
      </c>
      <c r="F13232" s="6" t="s">
        <v>83</v>
      </c>
      <c r="G13232" s="6" t="s">
        <v>1683</v>
      </c>
      <c r="H13232" s="6" t="s">
        <v>1684</v>
      </c>
      <c r="I13232" s="6" t="s">
        <v>31</v>
      </c>
      <c r="J13232" s="6">
        <v>17.138252890924999</v>
      </c>
      <c r="K13232" s="6">
        <v>-96.749926177790996</v>
      </c>
      <c r="L13232" s="6" t="str">
        <f>HYPERLINK("https://maps.google.com/?q=17.1382528909253,-96.749926177790996", "🔗 Ver Mapa")</f>
        <v>🔗 Ver Mapa</v>
      </c>
    </row>
    <row r="13233" spans="1:12" ht="43.5" x14ac:dyDescent="0.35">
      <c r="A13233" s="5" t="s">
        <v>98</v>
      </c>
      <c r="B13233" s="5" t="s">
        <v>99</v>
      </c>
      <c r="C13233" s="5" t="s">
        <v>2624</v>
      </c>
      <c r="D13233" s="5" t="s">
        <v>14</v>
      </c>
      <c r="E13233" s="5" t="s">
        <v>52</v>
      </c>
      <c r="F13233" s="5" t="s">
        <v>83</v>
      </c>
      <c r="G13233" s="5" t="s">
        <v>1683</v>
      </c>
      <c r="H13233" s="5" t="s">
        <v>1684</v>
      </c>
      <c r="I13233" s="5" t="s">
        <v>31</v>
      </c>
      <c r="J13233" s="5">
        <v>17.139114422134</v>
      </c>
      <c r="K13233" s="5">
        <v>-96.750855698622999</v>
      </c>
      <c r="L13233" s="5" t="str">
        <f>HYPERLINK("https://maps.google.com/?q=17.139114422134,-96.7508556986231", "🔗 Ver Mapa")</f>
        <v>🔗 Ver Mapa</v>
      </c>
    </row>
    <row r="13234" spans="1:12" ht="43.5" x14ac:dyDescent="0.35">
      <c r="A13234" s="6" t="s">
        <v>98</v>
      </c>
      <c r="B13234" s="6" t="s">
        <v>99</v>
      </c>
      <c r="C13234" s="6" t="s">
        <v>2624</v>
      </c>
      <c r="D13234" s="6" t="s">
        <v>14</v>
      </c>
      <c r="E13234" s="6" t="s">
        <v>52</v>
      </c>
      <c r="F13234" s="6" t="s">
        <v>83</v>
      </c>
      <c r="G13234" s="6" t="s">
        <v>1683</v>
      </c>
      <c r="H13234" s="6" t="s">
        <v>1684</v>
      </c>
      <c r="I13234" s="6" t="s">
        <v>31</v>
      </c>
      <c r="J13234" s="6">
        <v>17.139382265390999</v>
      </c>
      <c r="K13234" s="6">
        <v>-96.750771210785999</v>
      </c>
      <c r="L13234" s="6" t="str">
        <f>HYPERLINK("https://maps.google.com/?q=17.139382265391,-96.750771210785999", "🔗 Ver Mapa")</f>
        <v>🔗 Ver Mapa</v>
      </c>
    </row>
    <row r="13235" spans="1:12" ht="43.5" x14ac:dyDescent="0.35">
      <c r="A13235" s="5" t="s">
        <v>98</v>
      </c>
      <c r="B13235" s="5" t="s">
        <v>99</v>
      </c>
      <c r="C13235" s="5" t="s">
        <v>2624</v>
      </c>
      <c r="D13235" s="5" t="s">
        <v>14</v>
      </c>
      <c r="E13235" s="5" t="s">
        <v>52</v>
      </c>
      <c r="F13235" s="5" t="s">
        <v>83</v>
      </c>
      <c r="G13235" s="5" t="s">
        <v>1683</v>
      </c>
      <c r="H13235" s="5" t="s">
        <v>1684</v>
      </c>
      <c r="I13235" s="5" t="s">
        <v>31</v>
      </c>
      <c r="J13235" s="5">
        <v>17.139422991747999</v>
      </c>
      <c r="K13235" s="5">
        <v>-96.750988485139999</v>
      </c>
      <c r="L13235" s="5" t="str">
        <f>HYPERLINK("https://maps.google.com/?q=17.1394229917479,-96.750988485139899", "🔗 Ver Mapa")</f>
        <v>🔗 Ver Mapa</v>
      </c>
    </row>
    <row r="13236" spans="1:12" ht="43.5" x14ac:dyDescent="0.35">
      <c r="A13236" s="6" t="s">
        <v>98</v>
      </c>
      <c r="B13236" s="6" t="s">
        <v>99</v>
      </c>
      <c r="C13236" s="6" t="s">
        <v>2624</v>
      </c>
      <c r="D13236" s="6" t="s">
        <v>14</v>
      </c>
      <c r="E13236" s="6" t="s">
        <v>52</v>
      </c>
      <c r="F13236" s="6" t="s">
        <v>83</v>
      </c>
      <c r="G13236" s="6" t="s">
        <v>1683</v>
      </c>
      <c r="H13236" s="6" t="s">
        <v>1684</v>
      </c>
      <c r="I13236" s="6" t="s">
        <v>31</v>
      </c>
      <c r="J13236" s="6">
        <v>17.139523307232</v>
      </c>
      <c r="K13236" s="6">
        <v>-96.750580851045001</v>
      </c>
      <c r="L13236" s="6" t="str">
        <f>HYPERLINK("https://maps.google.com/?q=17.1395233072317,-96.7505808510451", "🔗 Ver Mapa")</f>
        <v>🔗 Ver Mapa</v>
      </c>
    </row>
    <row r="13237" spans="1:12" ht="43.5" x14ac:dyDescent="0.35">
      <c r="A13237" s="5" t="s">
        <v>98</v>
      </c>
      <c r="B13237" s="5" t="s">
        <v>99</v>
      </c>
      <c r="C13237" s="5" t="s">
        <v>2624</v>
      </c>
      <c r="D13237" s="5" t="s">
        <v>14</v>
      </c>
      <c r="E13237" s="5" t="s">
        <v>52</v>
      </c>
      <c r="F13237" s="5" t="s">
        <v>83</v>
      </c>
      <c r="G13237" s="5" t="s">
        <v>1683</v>
      </c>
      <c r="H13237" s="5" t="s">
        <v>1684</v>
      </c>
      <c r="I13237" s="5" t="s">
        <v>31</v>
      </c>
      <c r="J13237" s="5">
        <v>17.139790544482999</v>
      </c>
      <c r="K13237" s="5">
        <v>-96.750883056193999</v>
      </c>
      <c r="L13237" s="5" t="str">
        <f>HYPERLINK("https://maps.google.com/?q=17.1397905444834,-96.7508830561937", "🔗 Ver Mapa")</f>
        <v>🔗 Ver Mapa</v>
      </c>
    </row>
    <row r="13238" spans="1:12" ht="43.5" x14ac:dyDescent="0.35">
      <c r="A13238" s="6" t="s">
        <v>98</v>
      </c>
      <c r="B13238" s="6" t="s">
        <v>99</v>
      </c>
      <c r="C13238" s="6" t="s">
        <v>2624</v>
      </c>
      <c r="D13238" s="6" t="s">
        <v>14</v>
      </c>
      <c r="E13238" s="6" t="s">
        <v>52</v>
      </c>
      <c r="F13238" s="6" t="s">
        <v>83</v>
      </c>
      <c r="G13238" s="6" t="s">
        <v>1683</v>
      </c>
      <c r="H13238" s="6" t="s">
        <v>1684</v>
      </c>
      <c r="I13238" s="6" t="s">
        <v>31</v>
      </c>
      <c r="J13238" s="6">
        <v>17.140186112948999</v>
      </c>
      <c r="K13238" s="6">
        <v>-96.750889715583995</v>
      </c>
      <c r="L13238" s="6" t="str">
        <f>HYPERLINK("https://maps.google.com/?q=17.140186112949,-96.750889715583995", "🔗 Ver Mapa")</f>
        <v>🔗 Ver Mapa</v>
      </c>
    </row>
    <row r="13239" spans="1:12" ht="43.5" x14ac:dyDescent="0.35">
      <c r="A13239" s="5" t="s">
        <v>98</v>
      </c>
      <c r="B13239" s="5" t="s">
        <v>99</v>
      </c>
      <c r="C13239" s="5" t="s">
        <v>2624</v>
      </c>
      <c r="D13239" s="5" t="s">
        <v>14</v>
      </c>
      <c r="E13239" s="5" t="s">
        <v>52</v>
      </c>
      <c r="F13239" s="5" t="s">
        <v>83</v>
      </c>
      <c r="G13239" s="5" t="s">
        <v>1683</v>
      </c>
      <c r="H13239" s="5" t="s">
        <v>1684</v>
      </c>
      <c r="I13239" s="5" t="s">
        <v>31</v>
      </c>
      <c r="J13239" s="5">
        <v>17.140309462710999</v>
      </c>
      <c r="K13239" s="5">
        <v>-96.750885877423002</v>
      </c>
      <c r="L13239" s="5" t="str">
        <f>HYPERLINK("https://maps.google.com/?q=17.1403094627114,-96.750885877423102", "🔗 Ver Mapa")</f>
        <v>🔗 Ver Mapa</v>
      </c>
    </row>
    <row r="13240" spans="1:12" ht="43.5" x14ac:dyDescent="0.35">
      <c r="A13240" s="6" t="s">
        <v>98</v>
      </c>
      <c r="B13240" s="6" t="s">
        <v>99</v>
      </c>
      <c r="C13240" s="6" t="s">
        <v>2624</v>
      </c>
      <c r="D13240" s="6" t="s">
        <v>14</v>
      </c>
      <c r="E13240" s="6" t="s">
        <v>52</v>
      </c>
      <c r="F13240" s="6" t="s">
        <v>83</v>
      </c>
      <c r="G13240" s="6" t="s">
        <v>1683</v>
      </c>
      <c r="H13240" s="6" t="s">
        <v>1684</v>
      </c>
      <c r="I13240" s="6" t="s">
        <v>31</v>
      </c>
      <c r="J13240" s="6">
        <v>17.140351214692</v>
      </c>
      <c r="K13240" s="6">
        <v>-96.751184120608997</v>
      </c>
      <c r="L13240" s="6" t="str">
        <f>HYPERLINK("https://maps.google.com/?q=17.1403512146919,-96.751184120608599", "🔗 Ver Mapa")</f>
        <v>🔗 Ver Mapa</v>
      </c>
    </row>
    <row r="13241" spans="1:12" ht="43.5" x14ac:dyDescent="0.35">
      <c r="A13241" s="5" t="s">
        <v>98</v>
      </c>
      <c r="B13241" s="5" t="s">
        <v>99</v>
      </c>
      <c r="C13241" s="5" t="s">
        <v>2624</v>
      </c>
      <c r="D13241" s="5" t="s">
        <v>14</v>
      </c>
      <c r="E13241" s="5" t="s">
        <v>52</v>
      </c>
      <c r="F13241" s="5" t="s">
        <v>83</v>
      </c>
      <c r="G13241" s="5" t="s">
        <v>1683</v>
      </c>
      <c r="H13241" s="5" t="s">
        <v>1684</v>
      </c>
      <c r="I13241" s="5" t="s">
        <v>31</v>
      </c>
      <c r="J13241" s="5">
        <v>17.141536725839</v>
      </c>
      <c r="K13241" s="5">
        <v>-96.749842333372996</v>
      </c>
      <c r="L13241" s="5" t="str">
        <f>HYPERLINK("https://maps.google.com/?q=17.141536725839,-96.749842333372996", "🔗 Ver Mapa")</f>
        <v>🔗 Ver Mapa</v>
      </c>
    </row>
    <row r="13242" spans="1:12" ht="43.5" x14ac:dyDescent="0.35">
      <c r="A13242" s="6" t="s">
        <v>98</v>
      </c>
      <c r="B13242" s="6" t="s">
        <v>99</v>
      </c>
      <c r="C13242" s="6" t="s">
        <v>2624</v>
      </c>
      <c r="D13242" s="6" t="s">
        <v>14</v>
      </c>
      <c r="E13242" s="6" t="s">
        <v>52</v>
      </c>
      <c r="F13242" s="6" t="s">
        <v>83</v>
      </c>
      <c r="G13242" s="6" t="s">
        <v>1683</v>
      </c>
      <c r="H13242" s="6" t="s">
        <v>1684</v>
      </c>
      <c r="I13242" s="6" t="s">
        <v>31</v>
      </c>
      <c r="J13242" s="6">
        <v>17.142954531486001</v>
      </c>
      <c r="K13242" s="6">
        <v>-96.757149472150004</v>
      </c>
      <c r="L13242" s="6" t="str">
        <f>HYPERLINK("https://maps.google.com/?q=17.142954531486,-96.757149472149607", "🔗 Ver Mapa")</f>
        <v>🔗 Ver Mapa</v>
      </c>
    </row>
    <row r="13243" spans="1:12" ht="43.5" x14ac:dyDescent="0.35">
      <c r="A13243" s="5" t="s">
        <v>98</v>
      </c>
      <c r="B13243" s="5" t="s">
        <v>99</v>
      </c>
      <c r="C13243" s="5" t="s">
        <v>2624</v>
      </c>
      <c r="D13243" s="5" t="s">
        <v>14</v>
      </c>
      <c r="E13243" s="5" t="s">
        <v>52</v>
      </c>
      <c r="F13243" s="5" t="s">
        <v>83</v>
      </c>
      <c r="G13243" s="5" t="s">
        <v>1683</v>
      </c>
      <c r="H13243" s="5" t="s">
        <v>1684</v>
      </c>
      <c r="I13243" s="5" t="s">
        <v>31</v>
      </c>
      <c r="J13243" s="5">
        <v>17.142998743014001</v>
      </c>
      <c r="K13243" s="5">
        <v>-96.756954337910003</v>
      </c>
      <c r="L13243" s="5" t="str">
        <f>HYPERLINK("https://maps.google.com/?q=17.1429987430141,-96.756954337909903", "🔗 Ver Mapa")</f>
        <v>🔗 Ver Mapa</v>
      </c>
    </row>
    <row r="13244" spans="1:12" ht="43.5" x14ac:dyDescent="0.35">
      <c r="A13244" s="6" t="s">
        <v>98</v>
      </c>
      <c r="B13244" s="6" t="s">
        <v>99</v>
      </c>
      <c r="C13244" s="6" t="s">
        <v>2624</v>
      </c>
      <c r="D13244" s="6" t="s">
        <v>14</v>
      </c>
      <c r="E13244" s="6" t="s">
        <v>52</v>
      </c>
      <c r="F13244" s="6" t="s">
        <v>83</v>
      </c>
      <c r="G13244" s="6" t="s">
        <v>1683</v>
      </c>
      <c r="H13244" s="6" t="s">
        <v>1684</v>
      </c>
      <c r="I13244" s="6" t="s">
        <v>31</v>
      </c>
      <c r="J13244" s="6">
        <v>17.145715233672998</v>
      </c>
      <c r="K13244" s="6">
        <v>-96.759955487791004</v>
      </c>
      <c r="L13244" s="6" t="str">
        <f>HYPERLINK("https://maps.google.com/?q=17.1457152336728,-96.759955487791004", "🔗 Ver Mapa")</f>
        <v>🔗 Ver Mapa</v>
      </c>
    </row>
    <row r="13245" spans="1:12" ht="43.5" x14ac:dyDescent="0.35">
      <c r="A13245" s="5" t="s">
        <v>98</v>
      </c>
      <c r="B13245" s="5" t="s">
        <v>99</v>
      </c>
      <c r="C13245" s="5" t="s">
        <v>2624</v>
      </c>
      <c r="D13245" s="5" t="s">
        <v>14</v>
      </c>
      <c r="E13245" s="5" t="s">
        <v>52</v>
      </c>
      <c r="F13245" s="5" t="s">
        <v>83</v>
      </c>
      <c r="G13245" s="5" t="s">
        <v>1683</v>
      </c>
      <c r="H13245" s="5" t="s">
        <v>1684</v>
      </c>
      <c r="I13245" s="5" t="s">
        <v>31</v>
      </c>
      <c r="J13245" s="5">
        <v>17.146574780232999</v>
      </c>
      <c r="K13245" s="5">
        <v>-96.763558355523003</v>
      </c>
      <c r="L13245" s="5" t="str">
        <f>HYPERLINK("https://maps.google.com/?q=17.1465747802332,-96.763558355522505", "🔗 Ver Mapa")</f>
        <v>🔗 Ver Mapa</v>
      </c>
    </row>
    <row r="13246" spans="1:12" ht="43.5" x14ac:dyDescent="0.35">
      <c r="A13246" s="6" t="s">
        <v>98</v>
      </c>
      <c r="B13246" s="6" t="s">
        <v>99</v>
      </c>
      <c r="C13246" s="6" t="s">
        <v>2624</v>
      </c>
      <c r="D13246" s="6" t="s">
        <v>14</v>
      </c>
      <c r="E13246" s="6" t="s">
        <v>52</v>
      </c>
      <c r="F13246" s="6" t="s">
        <v>83</v>
      </c>
      <c r="G13246" s="6" t="s">
        <v>1683</v>
      </c>
      <c r="H13246" s="6" t="s">
        <v>1684</v>
      </c>
      <c r="I13246" s="6" t="s">
        <v>31</v>
      </c>
      <c r="J13246" s="6">
        <v>17.146731468753</v>
      </c>
      <c r="K13246" s="6">
        <v>-96.760586475029996</v>
      </c>
      <c r="L13246" s="6" t="str">
        <f>HYPERLINK("https://maps.google.com/?q=17.1467314687534,-96.760586475029697", "🔗 Ver Mapa")</f>
        <v>🔗 Ver Mapa</v>
      </c>
    </row>
    <row r="13247" spans="1:12" ht="43.5" x14ac:dyDescent="0.35">
      <c r="A13247" s="5" t="s">
        <v>98</v>
      </c>
      <c r="B13247" s="5" t="s">
        <v>99</v>
      </c>
      <c r="C13247" s="5" t="s">
        <v>2624</v>
      </c>
      <c r="D13247" s="5" t="s">
        <v>14</v>
      </c>
      <c r="E13247" s="5" t="s">
        <v>52</v>
      </c>
      <c r="F13247" s="5" t="s">
        <v>83</v>
      </c>
      <c r="G13247" s="5" t="s">
        <v>1683</v>
      </c>
      <c r="H13247" s="5" t="s">
        <v>1684</v>
      </c>
      <c r="I13247" s="5" t="s">
        <v>31</v>
      </c>
      <c r="J13247" s="5">
        <v>17.147181267625001</v>
      </c>
      <c r="K13247" s="5">
        <v>-96.760234436865005</v>
      </c>
      <c r="L13247" s="5" t="str">
        <f>HYPERLINK("https://maps.google.com/?q=17.1471812676246,-96.760234436864806", "🔗 Ver Mapa")</f>
        <v>🔗 Ver Mapa</v>
      </c>
    </row>
    <row r="13248" spans="1:12" ht="43.5" x14ac:dyDescent="0.35">
      <c r="A13248" s="6" t="s">
        <v>98</v>
      </c>
      <c r="B13248" s="6" t="s">
        <v>99</v>
      </c>
      <c r="C13248" s="6" t="s">
        <v>2624</v>
      </c>
      <c r="D13248" s="6" t="s">
        <v>14</v>
      </c>
      <c r="E13248" s="6" t="s">
        <v>52</v>
      </c>
      <c r="F13248" s="6" t="s">
        <v>83</v>
      </c>
      <c r="G13248" s="6" t="s">
        <v>1683</v>
      </c>
      <c r="H13248" s="6" t="s">
        <v>1684</v>
      </c>
      <c r="I13248" s="6" t="s">
        <v>31</v>
      </c>
      <c r="J13248" s="6">
        <v>17.147877119065001</v>
      </c>
      <c r="K13248" s="6">
        <v>-96.758618398029</v>
      </c>
      <c r="L13248" s="6" t="str">
        <f>HYPERLINK("https://maps.google.com/?q=17.1478771190651,-96.758618398028702", "🔗 Ver Mapa")</f>
        <v>🔗 Ver Mapa</v>
      </c>
    </row>
    <row r="13249" spans="1:12" ht="43.5" x14ac:dyDescent="0.35">
      <c r="A13249" s="5" t="s">
        <v>98</v>
      </c>
      <c r="B13249" s="5" t="s">
        <v>99</v>
      </c>
      <c r="C13249" s="5" t="s">
        <v>2624</v>
      </c>
      <c r="D13249" s="5" t="s">
        <v>14</v>
      </c>
      <c r="E13249" s="5" t="s">
        <v>52</v>
      </c>
      <c r="F13249" s="5" t="s">
        <v>83</v>
      </c>
      <c r="G13249" s="5" t="s">
        <v>1683</v>
      </c>
      <c r="H13249" s="5" t="s">
        <v>1684</v>
      </c>
      <c r="I13249" s="5" t="s">
        <v>31</v>
      </c>
      <c r="J13249" s="5">
        <v>17.147995943519</v>
      </c>
      <c r="K13249" s="5">
        <v>-96.760070434358994</v>
      </c>
      <c r="L13249" s="5" t="str">
        <f>HYPERLINK("https://maps.google.com/?q=17.1479959435191,-96.760070434358596", "🔗 Ver Mapa")</f>
        <v>🔗 Ver Mapa</v>
      </c>
    </row>
    <row r="13250" spans="1:12" ht="43.5" x14ac:dyDescent="0.35">
      <c r="A13250" s="6" t="s">
        <v>98</v>
      </c>
      <c r="B13250" s="6" t="s">
        <v>99</v>
      </c>
      <c r="C13250" s="6" t="s">
        <v>2624</v>
      </c>
      <c r="D13250" s="6" t="s">
        <v>14</v>
      </c>
      <c r="E13250" s="6" t="s">
        <v>52</v>
      </c>
      <c r="F13250" s="6" t="s">
        <v>83</v>
      </c>
      <c r="G13250" s="6" t="s">
        <v>1683</v>
      </c>
      <c r="H13250" s="6" t="s">
        <v>1684</v>
      </c>
      <c r="I13250" s="6" t="s">
        <v>31</v>
      </c>
      <c r="J13250" s="6">
        <v>17.148168526664001</v>
      </c>
      <c r="K13250" s="6">
        <v>-96.743794182491001</v>
      </c>
      <c r="L13250" s="6" t="str">
        <f>HYPERLINK("https://maps.google.com/?q=17.1481685266642,-96.7437941824912", "🔗 Ver Mapa")</f>
        <v>🔗 Ver Mapa</v>
      </c>
    </row>
    <row r="13251" spans="1:12" ht="43.5" x14ac:dyDescent="0.35">
      <c r="A13251" s="5" t="s">
        <v>98</v>
      </c>
      <c r="B13251" s="5" t="s">
        <v>99</v>
      </c>
      <c r="C13251" s="5" t="s">
        <v>2624</v>
      </c>
      <c r="D13251" s="5" t="s">
        <v>14</v>
      </c>
      <c r="E13251" s="5" t="s">
        <v>52</v>
      </c>
      <c r="F13251" s="5" t="s">
        <v>83</v>
      </c>
      <c r="G13251" s="5" t="s">
        <v>1683</v>
      </c>
      <c r="H13251" s="5" t="s">
        <v>1684</v>
      </c>
      <c r="I13251" s="5" t="s">
        <v>31</v>
      </c>
      <c r="J13251" s="5">
        <v>17.148328192676999</v>
      </c>
      <c r="K13251" s="5">
        <v>-96.763878883431005</v>
      </c>
      <c r="L13251" s="5" t="str">
        <f>HYPERLINK("https://maps.google.com/?q=17.1483281926772,-96.763878883430706", "🔗 Ver Mapa")</f>
        <v>🔗 Ver Mapa</v>
      </c>
    </row>
    <row r="13252" spans="1:12" ht="43.5" x14ac:dyDescent="0.35">
      <c r="A13252" s="6" t="s">
        <v>98</v>
      </c>
      <c r="B13252" s="6" t="s">
        <v>99</v>
      </c>
      <c r="C13252" s="6" t="s">
        <v>2624</v>
      </c>
      <c r="D13252" s="6" t="s">
        <v>14</v>
      </c>
      <c r="E13252" s="6" t="s">
        <v>52</v>
      </c>
      <c r="F13252" s="6" t="s">
        <v>83</v>
      </c>
      <c r="G13252" s="6" t="s">
        <v>1683</v>
      </c>
      <c r="H13252" s="6" t="s">
        <v>1684</v>
      </c>
      <c r="I13252" s="6" t="s">
        <v>31</v>
      </c>
      <c r="J13252" s="6">
        <v>17.148864767138001</v>
      </c>
      <c r="K13252" s="6">
        <v>-96.744237006687001</v>
      </c>
      <c r="L13252" s="6" t="str">
        <f>HYPERLINK("https://maps.google.com/?q=17.1488647671384,-96.744237006686504", "🔗 Ver Mapa")</f>
        <v>🔗 Ver Mapa</v>
      </c>
    </row>
    <row r="13253" spans="1:12" ht="43.5" x14ac:dyDescent="0.35">
      <c r="A13253" s="5" t="s">
        <v>98</v>
      </c>
      <c r="B13253" s="5" t="s">
        <v>99</v>
      </c>
      <c r="C13253" s="5" t="s">
        <v>2624</v>
      </c>
      <c r="D13253" s="5" t="s">
        <v>14</v>
      </c>
      <c r="E13253" s="5" t="s">
        <v>52</v>
      </c>
      <c r="F13253" s="5" t="s">
        <v>83</v>
      </c>
      <c r="G13253" s="5" t="s">
        <v>1683</v>
      </c>
      <c r="H13253" s="5" t="s">
        <v>1684</v>
      </c>
      <c r="I13253" s="5" t="s">
        <v>31</v>
      </c>
      <c r="J13253" s="5">
        <v>17.15125643467</v>
      </c>
      <c r="K13253" s="5">
        <v>-96.757199502701994</v>
      </c>
      <c r="L13253" s="5" t="str">
        <f>HYPERLINK("https://maps.google.com/?q=17.1512564346697,-96.757199502701795", "🔗 Ver Mapa")</f>
        <v>🔗 Ver Mapa</v>
      </c>
    </row>
    <row r="13254" spans="1:12" ht="43.5" x14ac:dyDescent="0.35">
      <c r="A13254" s="6" t="s">
        <v>98</v>
      </c>
      <c r="B13254" s="6" t="s">
        <v>99</v>
      </c>
      <c r="C13254" s="6" t="s">
        <v>2624</v>
      </c>
      <c r="D13254" s="6" t="s">
        <v>14</v>
      </c>
      <c r="E13254" s="6" t="s">
        <v>52</v>
      </c>
      <c r="F13254" s="6" t="s">
        <v>83</v>
      </c>
      <c r="G13254" s="6" t="s">
        <v>1683</v>
      </c>
      <c r="H13254" s="6" t="s">
        <v>1684</v>
      </c>
      <c r="I13254" s="6" t="s">
        <v>31</v>
      </c>
      <c r="J13254" s="6">
        <v>17.152560895308</v>
      </c>
      <c r="K13254" s="6">
        <v>-96.745662354095998</v>
      </c>
      <c r="L13254" s="6" t="str">
        <f>HYPERLINK("https://maps.google.com/?q=17.1525608953077,-96.745662354096098", "🔗 Ver Mapa")</f>
        <v>🔗 Ver Mapa</v>
      </c>
    </row>
    <row r="13255" spans="1:12" ht="43.5" x14ac:dyDescent="0.35">
      <c r="A13255" s="5" t="s">
        <v>98</v>
      </c>
      <c r="B13255" s="5" t="s">
        <v>99</v>
      </c>
      <c r="C13255" s="5" t="s">
        <v>2624</v>
      </c>
      <c r="D13255" s="5" t="s">
        <v>14</v>
      </c>
      <c r="E13255" s="5" t="s">
        <v>52</v>
      </c>
      <c r="F13255" s="5" t="s">
        <v>83</v>
      </c>
      <c r="G13255" s="5" t="s">
        <v>1683</v>
      </c>
      <c r="H13255" s="5" t="s">
        <v>1684</v>
      </c>
      <c r="I13255" s="5" t="s">
        <v>31</v>
      </c>
      <c r="J13255" s="5">
        <v>17.152793563966998</v>
      </c>
      <c r="K13255" s="5">
        <v>-96.747517144417998</v>
      </c>
      <c r="L13255" s="5" t="str">
        <f>HYPERLINK("https://maps.google.com/?q=17.1527935639671,-96.747517144417998", "🔗 Ver Mapa")</f>
        <v>🔗 Ver Mapa</v>
      </c>
    </row>
    <row r="13256" spans="1:12" ht="43.5" x14ac:dyDescent="0.35">
      <c r="A13256" s="6" t="s">
        <v>98</v>
      </c>
      <c r="B13256" s="6" t="s">
        <v>99</v>
      </c>
      <c r="C13256" s="6" t="s">
        <v>2624</v>
      </c>
      <c r="D13256" s="6" t="s">
        <v>14</v>
      </c>
      <c r="E13256" s="6" t="s">
        <v>52</v>
      </c>
      <c r="F13256" s="6" t="s">
        <v>83</v>
      </c>
      <c r="G13256" s="6" t="s">
        <v>1683</v>
      </c>
      <c r="H13256" s="6" t="s">
        <v>1684</v>
      </c>
      <c r="I13256" s="6" t="s">
        <v>31</v>
      </c>
      <c r="J13256" s="6">
        <v>17.153172146161001</v>
      </c>
      <c r="K13256" s="6">
        <v>-96.746995409448004</v>
      </c>
      <c r="L13256" s="6" t="str">
        <f>HYPERLINK("https://maps.google.com/?q=17.1531721461605,-96.746995409447706", "🔗 Ver Mapa")</f>
        <v>🔗 Ver Mapa</v>
      </c>
    </row>
    <row r="13257" spans="1:12" ht="43.5" x14ac:dyDescent="0.35">
      <c r="A13257" s="5" t="s">
        <v>98</v>
      </c>
      <c r="B13257" s="5" t="s">
        <v>99</v>
      </c>
      <c r="C13257" s="5" t="s">
        <v>2624</v>
      </c>
      <c r="D13257" s="5" t="s">
        <v>14</v>
      </c>
      <c r="E13257" s="5" t="s">
        <v>52</v>
      </c>
      <c r="F13257" s="5" t="s">
        <v>83</v>
      </c>
      <c r="G13257" s="5" t="s">
        <v>1683</v>
      </c>
      <c r="H13257" s="5" t="s">
        <v>1684</v>
      </c>
      <c r="I13257" s="5" t="s">
        <v>31</v>
      </c>
      <c r="J13257" s="5">
        <v>17.153283666699</v>
      </c>
      <c r="K13257" s="5">
        <v>-96.747058009388994</v>
      </c>
      <c r="L13257" s="5" t="str">
        <f>HYPERLINK("https://maps.google.com/?q=17.1532836666994,-96.747058009389406", "🔗 Ver Mapa")</f>
        <v>🔗 Ver Mapa</v>
      </c>
    </row>
    <row r="13258" spans="1:12" ht="43.5" x14ac:dyDescent="0.35">
      <c r="A13258" s="6" t="s">
        <v>98</v>
      </c>
      <c r="B13258" s="6" t="s">
        <v>99</v>
      </c>
      <c r="C13258" s="6" t="s">
        <v>2624</v>
      </c>
      <c r="D13258" s="6" t="s">
        <v>14</v>
      </c>
      <c r="E13258" s="6" t="s">
        <v>52</v>
      </c>
      <c r="F13258" s="6" t="s">
        <v>83</v>
      </c>
      <c r="G13258" s="6" t="s">
        <v>1683</v>
      </c>
      <c r="H13258" s="6" t="s">
        <v>1684</v>
      </c>
      <c r="I13258" s="6" t="s">
        <v>31</v>
      </c>
      <c r="J13258" s="6">
        <v>17.153574211449001</v>
      </c>
      <c r="K13258" s="6">
        <v>-96.744605580889001</v>
      </c>
      <c r="L13258" s="6" t="str">
        <f>HYPERLINK("https://maps.google.com/?q=17.1535742114494,-96.7446055808892", "🔗 Ver Mapa")</f>
        <v>🔗 Ver Mapa</v>
      </c>
    </row>
    <row r="13259" spans="1:12" ht="43.5" x14ac:dyDescent="0.35">
      <c r="A13259" s="5" t="s">
        <v>98</v>
      </c>
      <c r="B13259" s="5" t="s">
        <v>99</v>
      </c>
      <c r="C13259" s="5" t="s">
        <v>2624</v>
      </c>
      <c r="D13259" s="5" t="s">
        <v>14</v>
      </c>
      <c r="E13259" s="5" t="s">
        <v>52</v>
      </c>
      <c r="F13259" s="5" t="s">
        <v>83</v>
      </c>
      <c r="G13259" s="5" t="s">
        <v>1683</v>
      </c>
      <c r="H13259" s="5" t="s">
        <v>1684</v>
      </c>
      <c r="I13259" s="5" t="s">
        <v>31</v>
      </c>
      <c r="J13259" s="5">
        <v>17.153705876541</v>
      </c>
      <c r="K13259" s="5">
        <v>-96.747069175047002</v>
      </c>
      <c r="L13259" s="5" t="str">
        <f>HYPERLINK("https://maps.google.com/?q=17.1537058765407,-96.747069175047002", "🔗 Ver Mapa")</f>
        <v>🔗 Ver Mapa</v>
      </c>
    </row>
    <row r="13260" spans="1:12" ht="43.5" x14ac:dyDescent="0.35">
      <c r="A13260" s="6" t="s">
        <v>98</v>
      </c>
      <c r="B13260" s="6" t="s">
        <v>99</v>
      </c>
      <c r="C13260" s="6" t="s">
        <v>2624</v>
      </c>
      <c r="D13260" s="6" t="s">
        <v>14</v>
      </c>
      <c r="E13260" s="6" t="s">
        <v>52</v>
      </c>
      <c r="F13260" s="6" t="s">
        <v>83</v>
      </c>
      <c r="G13260" s="6" t="s">
        <v>1683</v>
      </c>
      <c r="H13260" s="6" t="s">
        <v>1684</v>
      </c>
      <c r="I13260" s="6" t="s">
        <v>31</v>
      </c>
      <c r="J13260" s="6">
        <v>17.153781806076999</v>
      </c>
      <c r="K13260" s="6">
        <v>-96.744354794347004</v>
      </c>
      <c r="L13260" s="6" t="str">
        <f>HYPERLINK("https://maps.google.com/?q=17.1537818060767,-96.744354794346506", "🔗 Ver Mapa")</f>
        <v>🔗 Ver Mapa</v>
      </c>
    </row>
    <row r="13261" spans="1:12" ht="43.5" x14ac:dyDescent="0.35">
      <c r="A13261" s="5" t="s">
        <v>98</v>
      </c>
      <c r="B13261" s="5" t="s">
        <v>99</v>
      </c>
      <c r="C13261" s="5" t="s">
        <v>2624</v>
      </c>
      <c r="D13261" s="5" t="s">
        <v>14</v>
      </c>
      <c r="E13261" s="5" t="s">
        <v>52</v>
      </c>
      <c r="F13261" s="5" t="s">
        <v>83</v>
      </c>
      <c r="G13261" s="5" t="s">
        <v>1683</v>
      </c>
      <c r="H13261" s="5" t="s">
        <v>1684</v>
      </c>
      <c r="I13261" s="5" t="s">
        <v>31</v>
      </c>
      <c r="J13261" s="5">
        <v>17.153809997922</v>
      </c>
      <c r="K13261" s="5">
        <v>-96.744472140990993</v>
      </c>
      <c r="L13261" s="5" t="str">
        <f>HYPERLINK("https://maps.google.com/?q=17.1538099979218,-96.744472140990894", "🔗 Ver Mapa")</f>
        <v>🔗 Ver Mapa</v>
      </c>
    </row>
    <row r="13262" spans="1:12" ht="43.5" x14ac:dyDescent="0.35">
      <c r="A13262" s="6" t="s">
        <v>98</v>
      </c>
      <c r="B13262" s="6" t="s">
        <v>99</v>
      </c>
      <c r="C13262" s="6" t="s">
        <v>2624</v>
      </c>
      <c r="D13262" s="6" t="s">
        <v>14</v>
      </c>
      <c r="E13262" s="6" t="s">
        <v>52</v>
      </c>
      <c r="F13262" s="6" t="s">
        <v>83</v>
      </c>
      <c r="G13262" s="6" t="s">
        <v>1683</v>
      </c>
      <c r="H13262" s="6" t="s">
        <v>1684</v>
      </c>
      <c r="I13262" s="6" t="s">
        <v>31</v>
      </c>
      <c r="J13262" s="6">
        <v>17.154530515289</v>
      </c>
      <c r="K13262" s="6">
        <v>-96.745694944220006</v>
      </c>
      <c r="L13262" s="6" t="str">
        <f>HYPERLINK("https://maps.google.com/?q=17.1545305152891,-96.745694944220006", "🔗 Ver Mapa")</f>
        <v>🔗 Ver Mapa</v>
      </c>
    </row>
    <row r="13263" spans="1:12" ht="43.5" x14ac:dyDescent="0.35">
      <c r="A13263" s="5" t="s">
        <v>98</v>
      </c>
      <c r="B13263" s="5" t="s">
        <v>99</v>
      </c>
      <c r="C13263" s="5" t="s">
        <v>2624</v>
      </c>
      <c r="D13263" s="5" t="s">
        <v>14</v>
      </c>
      <c r="E13263" s="5" t="s">
        <v>52</v>
      </c>
      <c r="F13263" s="5" t="s">
        <v>83</v>
      </c>
      <c r="G13263" s="5" t="s">
        <v>1683</v>
      </c>
      <c r="H13263" s="5" t="s">
        <v>1684</v>
      </c>
      <c r="I13263" s="5" t="s">
        <v>31</v>
      </c>
      <c r="J13263" s="5">
        <v>17.154767729642</v>
      </c>
      <c r="K13263" s="5">
        <v>-96.745224523312999</v>
      </c>
      <c r="L13263" s="5" t="str">
        <f>HYPERLINK("https://maps.google.com/?q=17.1547677296422,-96.745224523313496", "🔗 Ver Mapa")</f>
        <v>🔗 Ver Mapa</v>
      </c>
    </row>
    <row r="13264" spans="1:12" ht="43.5" x14ac:dyDescent="0.35">
      <c r="A13264" s="6" t="s">
        <v>98</v>
      </c>
      <c r="B13264" s="6" t="s">
        <v>99</v>
      </c>
      <c r="C13264" s="6" t="s">
        <v>2624</v>
      </c>
      <c r="D13264" s="6" t="s">
        <v>14</v>
      </c>
      <c r="E13264" s="6" t="s">
        <v>52</v>
      </c>
      <c r="F13264" s="6" t="s">
        <v>83</v>
      </c>
      <c r="G13264" s="6" t="s">
        <v>1683</v>
      </c>
      <c r="H13264" s="6" t="s">
        <v>1684</v>
      </c>
      <c r="I13264" s="6" t="s">
        <v>31</v>
      </c>
      <c r="J13264" s="6">
        <v>17.156761823989001</v>
      </c>
      <c r="K13264" s="6">
        <v>-96.746162017103003</v>
      </c>
      <c r="L13264" s="6" t="str">
        <f>HYPERLINK("https://maps.google.com/?q=17.1567618239886,-96.746162017102606", "🔗 Ver Mapa")</f>
        <v>🔗 Ver Mapa</v>
      </c>
    </row>
    <row r="13265" spans="1:12" ht="43.5" x14ac:dyDescent="0.35">
      <c r="A13265" s="5" t="s">
        <v>98</v>
      </c>
      <c r="B13265" s="5" t="s">
        <v>99</v>
      </c>
      <c r="C13265" s="5" t="s">
        <v>2624</v>
      </c>
      <c r="D13265" s="5" t="s">
        <v>14</v>
      </c>
      <c r="E13265" s="5" t="s">
        <v>52</v>
      </c>
      <c r="F13265" s="5" t="s">
        <v>83</v>
      </c>
      <c r="G13265" s="5" t="s">
        <v>1683</v>
      </c>
      <c r="H13265" s="5" t="s">
        <v>1684</v>
      </c>
      <c r="I13265" s="5" t="s">
        <v>31</v>
      </c>
      <c r="J13265" s="5">
        <v>17.158194047106001</v>
      </c>
      <c r="K13265" s="5">
        <v>-96.746535656746005</v>
      </c>
      <c r="L13265" s="5" t="str">
        <f>HYPERLINK("https://maps.google.com/?q=17.1581940471064,-96.746535656745905", "🔗 Ver Mapa")</f>
        <v>🔗 Ver Mapa</v>
      </c>
    </row>
    <row r="13266" spans="1:12" ht="43.5" x14ac:dyDescent="0.35">
      <c r="A13266" s="6" t="s">
        <v>98</v>
      </c>
      <c r="B13266" s="6" t="s">
        <v>99</v>
      </c>
      <c r="C13266" s="6" t="s">
        <v>2624</v>
      </c>
      <c r="D13266" s="6" t="s">
        <v>14</v>
      </c>
      <c r="E13266" s="6" t="s">
        <v>52</v>
      </c>
      <c r="F13266" s="6" t="s">
        <v>83</v>
      </c>
      <c r="G13266" s="6" t="s">
        <v>1683</v>
      </c>
      <c r="H13266" s="6" t="s">
        <v>1684</v>
      </c>
      <c r="I13266" s="6" t="s">
        <v>31</v>
      </c>
      <c r="J13266" s="6">
        <v>17.158612941280001</v>
      </c>
      <c r="K13266" s="6">
        <v>-96.746023886627</v>
      </c>
      <c r="L13266" s="6" t="str">
        <f>HYPERLINK("https://maps.google.com/?q=17.1586129412802,-96.7460238866271", "🔗 Ver Mapa")</f>
        <v>🔗 Ver Mapa</v>
      </c>
    </row>
    <row r="13267" spans="1:12" ht="43.5" x14ac:dyDescent="0.35">
      <c r="A13267" s="5" t="s">
        <v>98</v>
      </c>
      <c r="B13267" s="5" t="s">
        <v>99</v>
      </c>
      <c r="C13267" s="5" t="s">
        <v>2624</v>
      </c>
      <c r="D13267" s="5" t="s">
        <v>14</v>
      </c>
      <c r="E13267" s="5" t="s">
        <v>52</v>
      </c>
      <c r="F13267" s="5" t="s">
        <v>83</v>
      </c>
      <c r="G13267" s="5" t="s">
        <v>1683</v>
      </c>
      <c r="H13267" s="5" t="s">
        <v>1684</v>
      </c>
      <c r="I13267" s="5" t="s">
        <v>31</v>
      </c>
      <c r="J13267" s="5">
        <v>17.158726100435</v>
      </c>
      <c r="K13267" s="5">
        <v>-96.745878052113</v>
      </c>
      <c r="L13267" s="5" t="str">
        <f>HYPERLINK("https://maps.google.com/?q=17.1587261004353,-96.745878052113198", "🔗 Ver Mapa")</f>
        <v>🔗 Ver Mapa</v>
      </c>
    </row>
    <row r="13268" spans="1:12" ht="43.5" x14ac:dyDescent="0.35">
      <c r="A13268" s="6" t="s">
        <v>98</v>
      </c>
      <c r="B13268" s="6" t="s">
        <v>99</v>
      </c>
      <c r="C13268" s="6" t="s">
        <v>2625</v>
      </c>
      <c r="D13268" s="6" t="s">
        <v>14</v>
      </c>
      <c r="E13268" s="6" t="s">
        <v>39</v>
      </c>
      <c r="F13268" s="6" t="s">
        <v>353</v>
      </c>
      <c r="G13268" s="6" t="s">
        <v>1353</v>
      </c>
      <c r="H13268" s="6" t="s">
        <v>2626</v>
      </c>
      <c r="I13268" s="6" t="s">
        <v>31</v>
      </c>
      <c r="J13268" s="6">
        <v>16.121829043209001</v>
      </c>
      <c r="K13268" s="6">
        <v>-96.319772624202002</v>
      </c>
      <c r="L13268" s="6" t="str">
        <f>HYPERLINK("https://maps.google.com/?q=16.121829043209,-96.3197726242017", "🔗 Ver Mapa")</f>
        <v>🔗 Ver Mapa</v>
      </c>
    </row>
    <row r="13269" spans="1:12" ht="43.5" x14ac:dyDescent="0.35">
      <c r="A13269" s="5" t="s">
        <v>98</v>
      </c>
      <c r="B13269" s="5" t="s">
        <v>99</v>
      </c>
      <c r="C13269" s="5" t="s">
        <v>2627</v>
      </c>
      <c r="D13269" s="5" t="s">
        <v>14</v>
      </c>
      <c r="E13269" s="5" t="s">
        <v>39</v>
      </c>
      <c r="F13269" s="5" t="s">
        <v>353</v>
      </c>
      <c r="G13269" s="5" t="s">
        <v>1353</v>
      </c>
      <c r="H13269" s="5" t="s">
        <v>2628</v>
      </c>
      <c r="I13269" s="5" t="s">
        <v>31</v>
      </c>
      <c r="J13269" s="5">
        <v>16.109705845236999</v>
      </c>
      <c r="K13269" s="5">
        <v>-96.319015623924003</v>
      </c>
      <c r="L13269" s="5" t="str">
        <f>HYPERLINK("https://maps.google.com/?q=16.1097058452366,-96.319015623923505", "🔗 Ver Mapa")</f>
        <v>🔗 Ver Mapa</v>
      </c>
    </row>
    <row r="13270" spans="1:12" ht="43.5" x14ac:dyDescent="0.35">
      <c r="A13270" s="6" t="s">
        <v>98</v>
      </c>
      <c r="B13270" s="6" t="s">
        <v>99</v>
      </c>
      <c r="C13270" s="6" t="s">
        <v>2627</v>
      </c>
      <c r="D13270" s="6" t="s">
        <v>14</v>
      </c>
      <c r="E13270" s="6" t="s">
        <v>39</v>
      </c>
      <c r="F13270" s="6" t="s">
        <v>353</v>
      </c>
      <c r="G13270" s="6" t="s">
        <v>1353</v>
      </c>
      <c r="H13270" s="6" t="s">
        <v>2628</v>
      </c>
      <c r="I13270" s="6" t="s">
        <v>31</v>
      </c>
      <c r="J13270" s="6">
        <v>16.109967406121999</v>
      </c>
      <c r="K13270" s="6">
        <v>-96.318780940729994</v>
      </c>
      <c r="L13270" s="6" t="str">
        <f>HYPERLINK("https://maps.google.com/?q=16.1099674061218,-96.318780940730406", "🔗 Ver Mapa")</f>
        <v>🔗 Ver Mapa</v>
      </c>
    </row>
    <row r="13271" spans="1:12" ht="43.5" x14ac:dyDescent="0.35">
      <c r="A13271" s="5" t="s">
        <v>98</v>
      </c>
      <c r="B13271" s="5" t="s">
        <v>99</v>
      </c>
      <c r="C13271" s="5" t="s">
        <v>2627</v>
      </c>
      <c r="D13271" s="5" t="s">
        <v>14</v>
      </c>
      <c r="E13271" s="5" t="s">
        <v>39</v>
      </c>
      <c r="F13271" s="5" t="s">
        <v>353</v>
      </c>
      <c r="G13271" s="5" t="s">
        <v>1353</v>
      </c>
      <c r="H13271" s="5" t="s">
        <v>2628</v>
      </c>
      <c r="I13271" s="5" t="s">
        <v>31</v>
      </c>
      <c r="J13271" s="5">
        <v>16.110071762494002</v>
      </c>
      <c r="K13271" s="5">
        <v>-96.315441580411999</v>
      </c>
      <c r="L13271" s="5" t="str">
        <f>HYPERLINK("https://maps.google.com/?q=16.1100717624937,-96.315441580412298", "🔗 Ver Mapa")</f>
        <v>🔗 Ver Mapa</v>
      </c>
    </row>
    <row r="13272" spans="1:12" ht="43.5" x14ac:dyDescent="0.35">
      <c r="A13272" s="6" t="s">
        <v>98</v>
      </c>
      <c r="B13272" s="6" t="s">
        <v>99</v>
      </c>
      <c r="C13272" s="6" t="s">
        <v>2629</v>
      </c>
      <c r="D13272" s="6" t="s">
        <v>14</v>
      </c>
      <c r="E13272" s="6" t="s">
        <v>39</v>
      </c>
      <c r="F13272" s="6" t="s">
        <v>353</v>
      </c>
      <c r="G13272" s="6" t="s">
        <v>1353</v>
      </c>
      <c r="H13272" s="6" t="s">
        <v>2411</v>
      </c>
      <c r="I13272" s="6" t="s">
        <v>31</v>
      </c>
      <c r="J13272" s="6">
        <v>16.131515636699</v>
      </c>
      <c r="K13272" s="6">
        <v>-96.375815402794004</v>
      </c>
      <c r="L13272" s="6" t="str">
        <f>HYPERLINK("https://maps.google.com/?q=16.131515636699,-96.375815402794203", "🔗 Ver Mapa")</f>
        <v>🔗 Ver Mapa</v>
      </c>
    </row>
    <row r="13273" spans="1:12" ht="43.5" x14ac:dyDescent="0.35">
      <c r="A13273" s="5" t="s">
        <v>98</v>
      </c>
      <c r="B13273" s="5" t="s">
        <v>99</v>
      </c>
      <c r="C13273" s="5" t="s">
        <v>2629</v>
      </c>
      <c r="D13273" s="5" t="s">
        <v>14</v>
      </c>
      <c r="E13273" s="5" t="s">
        <v>39</v>
      </c>
      <c r="F13273" s="5" t="s">
        <v>353</v>
      </c>
      <c r="G13273" s="5" t="s">
        <v>1353</v>
      </c>
      <c r="H13273" s="5" t="s">
        <v>2411</v>
      </c>
      <c r="I13273" s="5" t="s">
        <v>31</v>
      </c>
      <c r="J13273" s="5">
        <v>16.13162900711</v>
      </c>
      <c r="K13273" s="5">
        <v>-96.375509630965993</v>
      </c>
      <c r="L13273" s="5" t="str">
        <f>HYPERLINK("https://maps.google.com/?q=16.1316290071098,-96.375509630966405", "🔗 Ver Mapa")</f>
        <v>🔗 Ver Mapa</v>
      </c>
    </row>
    <row r="13274" spans="1:12" ht="43.5" x14ac:dyDescent="0.35">
      <c r="A13274" s="6" t="s">
        <v>98</v>
      </c>
      <c r="B13274" s="6" t="s">
        <v>99</v>
      </c>
      <c r="C13274" s="6" t="s">
        <v>2629</v>
      </c>
      <c r="D13274" s="6" t="s">
        <v>14</v>
      </c>
      <c r="E13274" s="6" t="s">
        <v>39</v>
      </c>
      <c r="F13274" s="6" t="s">
        <v>353</v>
      </c>
      <c r="G13274" s="6" t="s">
        <v>1353</v>
      </c>
      <c r="H13274" s="6" t="s">
        <v>2411</v>
      </c>
      <c r="I13274" s="6" t="s">
        <v>31</v>
      </c>
      <c r="J13274" s="6">
        <v>16.131747530652</v>
      </c>
      <c r="K13274" s="6">
        <v>-96.375455986785994</v>
      </c>
      <c r="L13274" s="6" t="str">
        <f>HYPERLINK("https://maps.google.com/?q=16.1317475306516,-96.375455986786093", "🔗 Ver Mapa")</f>
        <v>🔗 Ver Mapa</v>
      </c>
    </row>
    <row r="13275" spans="1:12" ht="43.5" x14ac:dyDescent="0.35">
      <c r="A13275" s="5" t="s">
        <v>98</v>
      </c>
      <c r="B13275" s="5" t="s">
        <v>99</v>
      </c>
      <c r="C13275" s="5" t="s">
        <v>2629</v>
      </c>
      <c r="D13275" s="5" t="s">
        <v>14</v>
      </c>
      <c r="E13275" s="5" t="s">
        <v>39</v>
      </c>
      <c r="F13275" s="5" t="s">
        <v>353</v>
      </c>
      <c r="G13275" s="5" t="s">
        <v>1353</v>
      </c>
      <c r="H13275" s="5" t="s">
        <v>2411</v>
      </c>
      <c r="I13275" s="5" t="s">
        <v>31</v>
      </c>
      <c r="J13275" s="5">
        <v>16.132080879714</v>
      </c>
      <c r="K13275" s="5">
        <v>-96.370398832866996</v>
      </c>
      <c r="L13275" s="5" t="str">
        <f>HYPERLINK("https://maps.google.com/?q=16.1320808797136,-96.370398832867096", "🔗 Ver Mapa")</f>
        <v>🔗 Ver Mapa</v>
      </c>
    </row>
    <row r="13276" spans="1:12" ht="43.5" x14ac:dyDescent="0.35">
      <c r="A13276" s="6" t="s">
        <v>98</v>
      </c>
      <c r="B13276" s="6" t="s">
        <v>99</v>
      </c>
      <c r="C13276" s="6" t="s">
        <v>2629</v>
      </c>
      <c r="D13276" s="6" t="s">
        <v>14</v>
      </c>
      <c r="E13276" s="6" t="s">
        <v>39</v>
      </c>
      <c r="F13276" s="6" t="s">
        <v>353</v>
      </c>
      <c r="G13276" s="6" t="s">
        <v>1353</v>
      </c>
      <c r="H13276" s="6" t="s">
        <v>2411</v>
      </c>
      <c r="I13276" s="6" t="s">
        <v>31</v>
      </c>
      <c r="J13276" s="6">
        <v>16.132664797404001</v>
      </c>
      <c r="K13276" s="6">
        <v>-96.375193130303003</v>
      </c>
      <c r="L13276" s="6" t="str">
        <f>HYPERLINK("https://maps.google.com/?q=16.1326647974037,-96.375193130302605", "🔗 Ver Mapa")</f>
        <v>🔗 Ver Mapa</v>
      </c>
    </row>
    <row r="13277" spans="1:12" ht="43.5" x14ac:dyDescent="0.35">
      <c r="A13277" s="5" t="s">
        <v>98</v>
      </c>
      <c r="B13277" s="5" t="s">
        <v>99</v>
      </c>
      <c r="C13277" s="5" t="s">
        <v>2629</v>
      </c>
      <c r="D13277" s="5" t="s">
        <v>14</v>
      </c>
      <c r="E13277" s="5" t="s">
        <v>39</v>
      </c>
      <c r="F13277" s="5" t="s">
        <v>353</v>
      </c>
      <c r="G13277" s="5" t="s">
        <v>1353</v>
      </c>
      <c r="H13277" s="5" t="s">
        <v>2411</v>
      </c>
      <c r="I13277" s="5" t="s">
        <v>31</v>
      </c>
      <c r="J13277" s="5">
        <v>16.133203606230001</v>
      </c>
      <c r="K13277" s="5">
        <v>-96.372287131630003</v>
      </c>
      <c r="L13277" s="5" t="str">
        <f>HYPERLINK("https://maps.google.com/?q=16.1332036062305,-96.372287131630301", "🔗 Ver Mapa")</f>
        <v>🔗 Ver Mapa</v>
      </c>
    </row>
    <row r="13278" spans="1:12" ht="43.5" x14ac:dyDescent="0.35">
      <c r="A13278" s="6" t="s">
        <v>98</v>
      </c>
      <c r="B13278" s="6" t="s">
        <v>99</v>
      </c>
      <c r="C13278" s="6" t="s">
        <v>2629</v>
      </c>
      <c r="D13278" s="6" t="s">
        <v>14</v>
      </c>
      <c r="E13278" s="6" t="s">
        <v>39</v>
      </c>
      <c r="F13278" s="6" t="s">
        <v>353</v>
      </c>
      <c r="G13278" s="6" t="s">
        <v>1353</v>
      </c>
      <c r="H13278" s="6" t="s">
        <v>2411</v>
      </c>
      <c r="I13278" s="6" t="s">
        <v>31</v>
      </c>
      <c r="J13278" s="6">
        <v>16.133275750429998</v>
      </c>
      <c r="K13278" s="6">
        <v>-96.371031857811005</v>
      </c>
      <c r="L13278" s="6" t="str">
        <f>HYPERLINK("https://maps.google.com/?q=16.1332757504301,-96.371031857811104", "🔗 Ver Mapa")</f>
        <v>🔗 Ver Mapa</v>
      </c>
    </row>
    <row r="13279" spans="1:12" ht="43.5" x14ac:dyDescent="0.35">
      <c r="A13279" s="5" t="s">
        <v>98</v>
      </c>
      <c r="B13279" s="5" t="s">
        <v>99</v>
      </c>
      <c r="C13279" s="5" t="s">
        <v>2629</v>
      </c>
      <c r="D13279" s="5" t="s">
        <v>14</v>
      </c>
      <c r="E13279" s="5" t="s">
        <v>39</v>
      </c>
      <c r="F13279" s="5" t="s">
        <v>353</v>
      </c>
      <c r="G13279" s="5" t="s">
        <v>1353</v>
      </c>
      <c r="H13279" s="5" t="s">
        <v>2411</v>
      </c>
      <c r="I13279" s="5" t="s">
        <v>31</v>
      </c>
      <c r="J13279" s="5">
        <v>16.134177550707999</v>
      </c>
      <c r="K13279" s="5">
        <v>-96.367231167637001</v>
      </c>
      <c r="L13279" s="5" t="str">
        <f>HYPERLINK("https://maps.google.com/?q=16.1341775507077,-96.367231167636703", "🔗 Ver Mapa")</f>
        <v>🔗 Ver Mapa</v>
      </c>
    </row>
    <row r="13280" spans="1:12" ht="43.5" x14ac:dyDescent="0.35">
      <c r="A13280" s="6" t="s">
        <v>98</v>
      </c>
      <c r="B13280" s="6" t="s">
        <v>99</v>
      </c>
      <c r="C13280" s="6" t="s">
        <v>2629</v>
      </c>
      <c r="D13280" s="6" t="s">
        <v>14</v>
      </c>
      <c r="E13280" s="6" t="s">
        <v>39</v>
      </c>
      <c r="F13280" s="6" t="s">
        <v>353</v>
      </c>
      <c r="G13280" s="6" t="s">
        <v>1353</v>
      </c>
      <c r="H13280" s="6" t="s">
        <v>2411</v>
      </c>
      <c r="I13280" s="6" t="s">
        <v>31</v>
      </c>
      <c r="J13280" s="6">
        <v>16.134561155646999</v>
      </c>
      <c r="K13280" s="6">
        <v>-96.373653542328</v>
      </c>
      <c r="L13280" s="6" t="str">
        <f>HYPERLINK("https://maps.google.com/?q=16.1345611556473,-96.373653542327901", "🔗 Ver Mapa")</f>
        <v>🔗 Ver Mapa</v>
      </c>
    </row>
    <row r="13281" spans="1:12" ht="43.5" x14ac:dyDescent="0.35">
      <c r="A13281" s="5" t="s">
        <v>98</v>
      </c>
      <c r="B13281" s="5" t="s">
        <v>99</v>
      </c>
      <c r="C13281" s="5" t="s">
        <v>2629</v>
      </c>
      <c r="D13281" s="5" t="s">
        <v>14</v>
      </c>
      <c r="E13281" s="5" t="s">
        <v>39</v>
      </c>
      <c r="F13281" s="5" t="s">
        <v>353</v>
      </c>
      <c r="G13281" s="5" t="s">
        <v>1353</v>
      </c>
      <c r="H13281" s="5" t="s">
        <v>2411</v>
      </c>
      <c r="I13281" s="5" t="s">
        <v>31</v>
      </c>
      <c r="J13281" s="5">
        <v>16.135153763875</v>
      </c>
      <c r="K13281" s="5">
        <v>-96.376507412720002</v>
      </c>
      <c r="L13281" s="5" t="str">
        <f>HYPERLINK("https://maps.google.com/?q=16.1351537638749,-96.376507412720102", "🔗 Ver Mapa")</f>
        <v>🔗 Ver Mapa</v>
      </c>
    </row>
    <row r="13282" spans="1:12" ht="43.5" x14ac:dyDescent="0.35">
      <c r="A13282" s="6" t="s">
        <v>98</v>
      </c>
      <c r="B13282" s="6" t="s">
        <v>99</v>
      </c>
      <c r="C13282" s="6" t="s">
        <v>2629</v>
      </c>
      <c r="D13282" s="6" t="s">
        <v>14</v>
      </c>
      <c r="E13282" s="6" t="s">
        <v>39</v>
      </c>
      <c r="F13282" s="6" t="s">
        <v>353</v>
      </c>
      <c r="G13282" s="6" t="s">
        <v>1353</v>
      </c>
      <c r="H13282" s="6" t="s">
        <v>2411</v>
      </c>
      <c r="I13282" s="6" t="s">
        <v>31</v>
      </c>
      <c r="J13282" s="6">
        <v>16.135261979098999</v>
      </c>
      <c r="K13282" s="6">
        <v>-96.374962460326998</v>
      </c>
      <c r="L13282" s="6" t="str">
        <f>HYPERLINK("https://maps.google.com/?q=16.1352619790989,-96.374962460327296", "🔗 Ver Mapa")</f>
        <v>🔗 Ver Mapa</v>
      </c>
    </row>
    <row r="13283" spans="1:12" ht="43.5" x14ac:dyDescent="0.35">
      <c r="A13283" s="5" t="s">
        <v>98</v>
      </c>
      <c r="B13283" s="5" t="s">
        <v>99</v>
      </c>
      <c r="C13283" s="5" t="s">
        <v>2629</v>
      </c>
      <c r="D13283" s="5" t="s">
        <v>14</v>
      </c>
      <c r="E13283" s="5" t="s">
        <v>39</v>
      </c>
      <c r="F13283" s="5" t="s">
        <v>353</v>
      </c>
      <c r="G13283" s="5" t="s">
        <v>1353</v>
      </c>
      <c r="H13283" s="5" t="s">
        <v>2411</v>
      </c>
      <c r="I13283" s="5" t="s">
        <v>31</v>
      </c>
      <c r="J13283" s="5">
        <v>16.139487479705</v>
      </c>
      <c r="K13283" s="5">
        <v>-96.374120246697004</v>
      </c>
      <c r="L13283" s="5" t="str">
        <f>HYPERLINK("https://maps.google.com/?q=16.1394874797052,-96.374120246696506", "🔗 Ver Mapa")</f>
        <v>🔗 Ver Mapa</v>
      </c>
    </row>
    <row r="13284" spans="1:12" ht="43.5" x14ac:dyDescent="0.35">
      <c r="A13284" s="6" t="s">
        <v>98</v>
      </c>
      <c r="B13284" s="6" t="s">
        <v>99</v>
      </c>
      <c r="C13284" s="6" t="s">
        <v>2630</v>
      </c>
      <c r="D13284" s="6" t="s">
        <v>14</v>
      </c>
      <c r="E13284" s="6" t="s">
        <v>39</v>
      </c>
      <c r="F13284" s="6" t="s">
        <v>353</v>
      </c>
      <c r="G13284" s="6" t="s">
        <v>1353</v>
      </c>
      <c r="H13284" s="6" t="s">
        <v>2631</v>
      </c>
      <c r="I13284" s="6" t="s">
        <v>31</v>
      </c>
      <c r="J13284" s="6">
        <v>16.128367105881999</v>
      </c>
      <c r="K13284" s="6">
        <v>-96.329112050000006</v>
      </c>
      <c r="L13284" s="6" t="str">
        <f>HYPERLINK("https://maps.google.com/?q=16.1283671058816,-96.329112050000404", "🔗 Ver Mapa")</f>
        <v>🔗 Ver Mapa</v>
      </c>
    </row>
    <row r="13285" spans="1:12" ht="43.5" x14ac:dyDescent="0.35">
      <c r="A13285" s="5" t="s">
        <v>98</v>
      </c>
      <c r="B13285" s="5" t="s">
        <v>99</v>
      </c>
      <c r="C13285" s="5" t="s">
        <v>2630</v>
      </c>
      <c r="D13285" s="5" t="s">
        <v>14</v>
      </c>
      <c r="E13285" s="5" t="s">
        <v>39</v>
      </c>
      <c r="F13285" s="5" t="s">
        <v>353</v>
      </c>
      <c r="G13285" s="5" t="s">
        <v>1353</v>
      </c>
      <c r="H13285" s="5" t="s">
        <v>2631</v>
      </c>
      <c r="I13285" s="5" t="s">
        <v>31</v>
      </c>
      <c r="J13285" s="5">
        <v>16.129537264210001</v>
      </c>
      <c r="K13285" s="5">
        <v>-96.330369037791002</v>
      </c>
      <c r="L13285" s="5" t="str">
        <f>HYPERLINK("https://maps.google.com/?q=16.1295372642102,-96.330369037791399", "🔗 Ver Mapa")</f>
        <v>🔗 Ver Mapa</v>
      </c>
    </row>
    <row r="13286" spans="1:12" ht="43.5" x14ac:dyDescent="0.35">
      <c r="A13286" s="6" t="s">
        <v>98</v>
      </c>
      <c r="B13286" s="6" t="s">
        <v>99</v>
      </c>
      <c r="C13286" s="6" t="s">
        <v>2630</v>
      </c>
      <c r="D13286" s="6" t="s">
        <v>14</v>
      </c>
      <c r="E13286" s="6" t="s">
        <v>39</v>
      </c>
      <c r="F13286" s="6" t="s">
        <v>353</v>
      </c>
      <c r="G13286" s="6" t="s">
        <v>1353</v>
      </c>
      <c r="H13286" s="6" t="s">
        <v>2631</v>
      </c>
      <c r="I13286" s="6" t="s">
        <v>31</v>
      </c>
      <c r="J13286" s="6">
        <v>16.129759804950002</v>
      </c>
      <c r="K13286" s="6">
        <v>-96.327374904929997</v>
      </c>
      <c r="L13286" s="6" t="str">
        <f>HYPERLINK("https://maps.google.com/?q=16.1297598049497,-96.327374904930096", "🔗 Ver Mapa")</f>
        <v>🔗 Ver Mapa</v>
      </c>
    </row>
    <row r="13287" spans="1:12" ht="43.5" x14ac:dyDescent="0.35">
      <c r="A13287" s="5" t="s">
        <v>98</v>
      </c>
      <c r="B13287" s="5" t="s">
        <v>99</v>
      </c>
      <c r="C13287" s="5" t="s">
        <v>2630</v>
      </c>
      <c r="D13287" s="5" t="s">
        <v>14</v>
      </c>
      <c r="E13287" s="5" t="s">
        <v>39</v>
      </c>
      <c r="F13287" s="5" t="s">
        <v>353</v>
      </c>
      <c r="G13287" s="5" t="s">
        <v>1353</v>
      </c>
      <c r="H13287" s="5" t="s">
        <v>2631</v>
      </c>
      <c r="I13287" s="5" t="s">
        <v>31</v>
      </c>
      <c r="J13287" s="5">
        <v>16.130132642524</v>
      </c>
      <c r="K13287" s="5">
        <v>-96.327267708896002</v>
      </c>
      <c r="L13287" s="5" t="str">
        <f>HYPERLINK("https://maps.google.com/?q=16.1301326425237,-96.327267708895803", "🔗 Ver Mapa")</f>
        <v>🔗 Ver Mapa</v>
      </c>
    </row>
    <row r="13288" spans="1:12" ht="43.5" x14ac:dyDescent="0.35">
      <c r="A13288" s="6" t="s">
        <v>98</v>
      </c>
      <c r="B13288" s="6" t="s">
        <v>99</v>
      </c>
      <c r="C13288" s="6" t="s">
        <v>2630</v>
      </c>
      <c r="D13288" s="6" t="s">
        <v>14</v>
      </c>
      <c r="E13288" s="6" t="s">
        <v>39</v>
      </c>
      <c r="F13288" s="6" t="s">
        <v>353</v>
      </c>
      <c r="G13288" s="6" t="s">
        <v>1353</v>
      </c>
      <c r="H13288" s="6" t="s">
        <v>2631</v>
      </c>
      <c r="I13288" s="6" t="s">
        <v>31</v>
      </c>
      <c r="J13288" s="6">
        <v>16.130343290831998</v>
      </c>
      <c r="K13288" s="6">
        <v>-96.328164976687006</v>
      </c>
      <c r="L13288" s="6" t="str">
        <f>HYPERLINK("https://maps.google.com/?q=16.1303432908319,-96.328164976687006", "🔗 Ver Mapa")</f>
        <v>🔗 Ver Mapa</v>
      </c>
    </row>
    <row r="13289" spans="1:12" ht="43.5" x14ac:dyDescent="0.35">
      <c r="A13289" s="5" t="s">
        <v>98</v>
      </c>
      <c r="B13289" s="5" t="s">
        <v>99</v>
      </c>
      <c r="C13289" s="5" t="s">
        <v>2630</v>
      </c>
      <c r="D13289" s="5" t="s">
        <v>14</v>
      </c>
      <c r="E13289" s="5" t="s">
        <v>39</v>
      </c>
      <c r="F13289" s="5" t="s">
        <v>353</v>
      </c>
      <c r="G13289" s="5" t="s">
        <v>1353</v>
      </c>
      <c r="H13289" s="5" t="s">
        <v>2631</v>
      </c>
      <c r="I13289" s="5" t="s">
        <v>31</v>
      </c>
      <c r="J13289" s="5">
        <v>16.130383780831998</v>
      </c>
      <c r="K13289" s="5">
        <v>-96.328445817791007</v>
      </c>
      <c r="L13289" s="5" t="str">
        <f>HYPERLINK("https://maps.google.com/?q=16.1303837808317,-96.328445817791305", "🔗 Ver Mapa")</f>
        <v>🔗 Ver Mapa</v>
      </c>
    </row>
    <row r="13290" spans="1:12" ht="43.5" x14ac:dyDescent="0.35">
      <c r="A13290" s="6" t="s">
        <v>98</v>
      </c>
      <c r="B13290" s="6" t="s">
        <v>99</v>
      </c>
      <c r="C13290" s="6" t="s">
        <v>2630</v>
      </c>
      <c r="D13290" s="6" t="s">
        <v>14</v>
      </c>
      <c r="E13290" s="6" t="s">
        <v>39</v>
      </c>
      <c r="F13290" s="6" t="s">
        <v>353</v>
      </c>
      <c r="G13290" s="6" t="s">
        <v>1353</v>
      </c>
      <c r="H13290" s="6" t="s">
        <v>2631</v>
      </c>
      <c r="I13290" s="6" t="s">
        <v>31</v>
      </c>
      <c r="J13290" s="6">
        <v>16.130490950831</v>
      </c>
      <c r="K13290" s="6">
        <v>-96.327830078896</v>
      </c>
      <c r="L13290" s="6" t="str">
        <f>HYPERLINK("https://maps.google.com/?q=16.1304909508309,-96.327830078896", "🔗 Ver Mapa")</f>
        <v>🔗 Ver Mapa</v>
      </c>
    </row>
    <row r="13291" spans="1:12" ht="43.5" x14ac:dyDescent="0.35">
      <c r="A13291" s="5" t="s">
        <v>98</v>
      </c>
      <c r="B13291" s="5" t="s">
        <v>99</v>
      </c>
      <c r="C13291" s="5" t="s">
        <v>2630</v>
      </c>
      <c r="D13291" s="5" t="s">
        <v>14</v>
      </c>
      <c r="E13291" s="5" t="s">
        <v>39</v>
      </c>
      <c r="F13291" s="5" t="s">
        <v>353</v>
      </c>
      <c r="G13291" s="5" t="s">
        <v>1353</v>
      </c>
      <c r="H13291" s="5" t="s">
        <v>2631</v>
      </c>
      <c r="I13291" s="5" t="s">
        <v>31</v>
      </c>
      <c r="J13291" s="5">
        <v>16.130766315913</v>
      </c>
      <c r="K13291" s="5">
        <v>-96.330447826687006</v>
      </c>
      <c r="L13291" s="5" t="str">
        <f>HYPERLINK("https://maps.google.com/?q=16.1307663159131,-96.330447826686793", "🔗 Ver Mapa")</f>
        <v>🔗 Ver Mapa</v>
      </c>
    </row>
    <row r="13292" spans="1:12" ht="43.5" x14ac:dyDescent="0.35">
      <c r="A13292" s="6" t="s">
        <v>98</v>
      </c>
      <c r="B13292" s="6" t="s">
        <v>99</v>
      </c>
      <c r="C13292" s="6" t="s">
        <v>2630</v>
      </c>
      <c r="D13292" s="6" t="s">
        <v>14</v>
      </c>
      <c r="E13292" s="6" t="s">
        <v>39</v>
      </c>
      <c r="F13292" s="6" t="s">
        <v>353</v>
      </c>
      <c r="G13292" s="6" t="s">
        <v>1353</v>
      </c>
      <c r="H13292" s="6" t="s">
        <v>2631</v>
      </c>
      <c r="I13292" s="6" t="s">
        <v>31</v>
      </c>
      <c r="J13292" s="6">
        <v>16.130830907439002</v>
      </c>
      <c r="K13292" s="6">
        <v>-96.331851596687002</v>
      </c>
      <c r="L13292" s="6" t="str">
        <f>HYPERLINK("https://maps.google.com/?q=16.1308309074387,-96.331851596686903", "🔗 Ver Mapa")</f>
        <v>🔗 Ver Mapa</v>
      </c>
    </row>
    <row r="13293" spans="1:12" ht="43.5" x14ac:dyDescent="0.35">
      <c r="A13293" s="5" t="s">
        <v>98</v>
      </c>
      <c r="B13293" s="5" t="s">
        <v>99</v>
      </c>
      <c r="C13293" s="5" t="s">
        <v>2630</v>
      </c>
      <c r="D13293" s="5" t="s">
        <v>14</v>
      </c>
      <c r="E13293" s="5" t="s">
        <v>39</v>
      </c>
      <c r="F13293" s="5" t="s">
        <v>353</v>
      </c>
      <c r="G13293" s="5" t="s">
        <v>1353</v>
      </c>
      <c r="H13293" s="5" t="s">
        <v>2631</v>
      </c>
      <c r="I13293" s="5" t="s">
        <v>31</v>
      </c>
      <c r="J13293" s="5">
        <v>16.130933957610999</v>
      </c>
      <c r="K13293" s="5">
        <v>-96.328710316686994</v>
      </c>
      <c r="L13293" s="5" t="str">
        <f>HYPERLINK("https://maps.google.com/?q=16.1309339576111,-96.328710316686895", "🔗 Ver Mapa")</f>
        <v>🔗 Ver Mapa</v>
      </c>
    </row>
    <row r="13294" spans="1:12" ht="43.5" x14ac:dyDescent="0.35">
      <c r="A13294" s="6" t="s">
        <v>98</v>
      </c>
      <c r="B13294" s="6" t="s">
        <v>99</v>
      </c>
      <c r="C13294" s="6" t="s">
        <v>2630</v>
      </c>
      <c r="D13294" s="6" t="s">
        <v>14</v>
      </c>
      <c r="E13294" s="6" t="s">
        <v>39</v>
      </c>
      <c r="F13294" s="6" t="s">
        <v>353</v>
      </c>
      <c r="G13294" s="6" t="s">
        <v>1353</v>
      </c>
      <c r="H13294" s="6" t="s">
        <v>2631</v>
      </c>
      <c r="I13294" s="6" t="s">
        <v>31</v>
      </c>
      <c r="J13294" s="6">
        <v>16.130972265564999</v>
      </c>
      <c r="K13294" s="6">
        <v>-96.328032519999994</v>
      </c>
      <c r="L13294" s="6" t="str">
        <f>HYPERLINK("https://maps.google.com/?q=16.1309722655646,-96.328032519999994", "🔗 Ver Mapa")</f>
        <v>🔗 Ver Mapa</v>
      </c>
    </row>
    <row r="13295" spans="1:12" ht="43.5" x14ac:dyDescent="0.35">
      <c r="A13295" s="5" t="s">
        <v>98</v>
      </c>
      <c r="B13295" s="5" t="s">
        <v>99</v>
      </c>
      <c r="C13295" s="5" t="s">
        <v>2630</v>
      </c>
      <c r="D13295" s="5" t="s">
        <v>14</v>
      </c>
      <c r="E13295" s="5" t="s">
        <v>39</v>
      </c>
      <c r="F13295" s="5" t="s">
        <v>353</v>
      </c>
      <c r="G13295" s="5" t="s">
        <v>1353</v>
      </c>
      <c r="H13295" s="5" t="s">
        <v>2631</v>
      </c>
      <c r="I13295" s="5" t="s">
        <v>31</v>
      </c>
      <c r="J13295" s="5">
        <v>16.131013589308999</v>
      </c>
      <c r="K13295" s="5">
        <v>-96.328756460001003</v>
      </c>
      <c r="L13295" s="5" t="str">
        <f>HYPERLINK("https://maps.google.com/?q=16.1310135893089,-96.328756460000506", "🔗 Ver Mapa")</f>
        <v>🔗 Ver Mapa</v>
      </c>
    </row>
    <row r="13296" spans="1:12" ht="43.5" x14ac:dyDescent="0.35">
      <c r="A13296" s="6" t="s">
        <v>98</v>
      </c>
      <c r="B13296" s="6" t="s">
        <v>99</v>
      </c>
      <c r="C13296" s="6" t="s">
        <v>2630</v>
      </c>
      <c r="D13296" s="6" t="s">
        <v>14</v>
      </c>
      <c r="E13296" s="6" t="s">
        <v>39</v>
      </c>
      <c r="F13296" s="6" t="s">
        <v>353</v>
      </c>
      <c r="G13296" s="6" t="s">
        <v>1353</v>
      </c>
      <c r="H13296" s="6" t="s">
        <v>2631</v>
      </c>
      <c r="I13296" s="6" t="s">
        <v>31</v>
      </c>
      <c r="J13296" s="6">
        <v>16.131058314219999</v>
      </c>
      <c r="K13296" s="6">
        <v>-96.331461048896003</v>
      </c>
      <c r="L13296" s="6" t="str">
        <f>HYPERLINK("https://maps.google.com/?q=16.1310583142205,-96.331461048895505", "🔗 Ver Mapa")</f>
        <v>🔗 Ver Mapa</v>
      </c>
    </row>
    <row r="13297" spans="1:12" ht="43.5" x14ac:dyDescent="0.35">
      <c r="A13297" s="5" t="s">
        <v>98</v>
      </c>
      <c r="B13297" s="5" t="s">
        <v>99</v>
      </c>
      <c r="C13297" s="5" t="s">
        <v>2630</v>
      </c>
      <c r="D13297" s="5" t="s">
        <v>14</v>
      </c>
      <c r="E13297" s="5" t="s">
        <v>39</v>
      </c>
      <c r="F13297" s="5" t="s">
        <v>353</v>
      </c>
      <c r="G13297" s="5" t="s">
        <v>1353</v>
      </c>
      <c r="H13297" s="5" t="s">
        <v>2631</v>
      </c>
      <c r="I13297" s="5" t="s">
        <v>31</v>
      </c>
      <c r="J13297" s="5">
        <v>16.131597604224002</v>
      </c>
      <c r="K13297" s="5">
        <v>-96.329395146687006</v>
      </c>
      <c r="L13297" s="5" t="str">
        <f>HYPERLINK("https://maps.google.com/?q=16.131597604224,-96.329395146687006", "🔗 Ver Mapa")</f>
        <v>🔗 Ver Mapa</v>
      </c>
    </row>
    <row r="13298" spans="1:12" ht="43.5" x14ac:dyDescent="0.35">
      <c r="A13298" s="6" t="s">
        <v>98</v>
      </c>
      <c r="B13298" s="6" t="s">
        <v>99</v>
      </c>
      <c r="C13298" s="6" t="s">
        <v>2630</v>
      </c>
      <c r="D13298" s="6" t="s">
        <v>14</v>
      </c>
      <c r="E13298" s="6" t="s">
        <v>39</v>
      </c>
      <c r="F13298" s="6" t="s">
        <v>353</v>
      </c>
      <c r="G13298" s="6" t="s">
        <v>1353</v>
      </c>
      <c r="H13298" s="6" t="s">
        <v>2631</v>
      </c>
      <c r="I13298" s="6" t="s">
        <v>31</v>
      </c>
      <c r="J13298" s="6">
        <v>16.131882290821999</v>
      </c>
      <c r="K13298" s="6">
        <v>-96.330415341104995</v>
      </c>
      <c r="L13298" s="6" t="str">
        <f>HYPERLINK("https://maps.google.com/?q=16.1318822908221,-96.330415341104896", "🔗 Ver Mapa")</f>
        <v>🔗 Ver Mapa</v>
      </c>
    </row>
    <row r="13299" spans="1:12" ht="43.5" x14ac:dyDescent="0.35">
      <c r="A13299" s="5" t="s">
        <v>98</v>
      </c>
      <c r="B13299" s="5" t="s">
        <v>99</v>
      </c>
      <c r="C13299" s="5" t="s">
        <v>2630</v>
      </c>
      <c r="D13299" s="5" t="s">
        <v>14</v>
      </c>
      <c r="E13299" s="5" t="s">
        <v>39</v>
      </c>
      <c r="F13299" s="5" t="s">
        <v>353</v>
      </c>
      <c r="G13299" s="5" t="s">
        <v>1353</v>
      </c>
      <c r="H13299" s="5" t="s">
        <v>2631</v>
      </c>
      <c r="I13299" s="5" t="s">
        <v>31</v>
      </c>
      <c r="J13299" s="5">
        <v>16.132300764229001</v>
      </c>
      <c r="K13299" s="5">
        <v>-96.327375921105002</v>
      </c>
      <c r="L13299" s="5" t="str">
        <f>HYPERLINK("https://maps.google.com/?q=16.1323007642286,-96.327375921105002", "🔗 Ver Mapa")</f>
        <v>🔗 Ver Mapa</v>
      </c>
    </row>
    <row r="13300" spans="1:12" ht="43.5" x14ac:dyDescent="0.35">
      <c r="A13300" s="6" t="s">
        <v>98</v>
      </c>
      <c r="B13300" s="6" t="s">
        <v>99</v>
      </c>
      <c r="C13300" s="6" t="s">
        <v>2630</v>
      </c>
      <c r="D13300" s="6" t="s">
        <v>14</v>
      </c>
      <c r="E13300" s="6" t="s">
        <v>39</v>
      </c>
      <c r="F13300" s="6" t="s">
        <v>353</v>
      </c>
      <c r="G13300" s="6" t="s">
        <v>1353</v>
      </c>
      <c r="H13300" s="6" t="s">
        <v>2631</v>
      </c>
      <c r="I13300" s="6" t="s">
        <v>31</v>
      </c>
      <c r="J13300" s="6">
        <v>16.132328922524</v>
      </c>
      <c r="K13300" s="6">
        <v>-96.332976204478001</v>
      </c>
      <c r="L13300" s="6" t="str">
        <f>HYPERLINK("https://maps.google.com/?q=16.1323289225241,-96.332976204477802", "🔗 Ver Mapa")</f>
        <v>🔗 Ver Mapa</v>
      </c>
    </row>
    <row r="13301" spans="1:12" ht="43.5" x14ac:dyDescent="0.35">
      <c r="A13301" s="5" t="s">
        <v>98</v>
      </c>
      <c r="B13301" s="5" t="s">
        <v>99</v>
      </c>
      <c r="C13301" s="5" t="s">
        <v>2630</v>
      </c>
      <c r="D13301" s="5" t="s">
        <v>14</v>
      </c>
      <c r="E13301" s="5" t="s">
        <v>39</v>
      </c>
      <c r="F13301" s="5" t="s">
        <v>353</v>
      </c>
      <c r="G13301" s="5" t="s">
        <v>1353</v>
      </c>
      <c r="H13301" s="5" t="s">
        <v>2631</v>
      </c>
      <c r="I13301" s="5" t="s">
        <v>31</v>
      </c>
      <c r="J13301" s="5">
        <v>16.132700280817001</v>
      </c>
      <c r="K13301" s="5">
        <v>-96.327929639999994</v>
      </c>
      <c r="L13301" s="5" t="str">
        <f>HYPERLINK("https://maps.google.com/?q=16.132700280817,-96.327929640000207", "🔗 Ver Mapa")</f>
        <v>🔗 Ver Mapa</v>
      </c>
    </row>
    <row r="13302" spans="1:12" ht="43.5" x14ac:dyDescent="0.35">
      <c r="A13302" s="6" t="s">
        <v>98</v>
      </c>
      <c r="B13302" s="6" t="s">
        <v>99</v>
      </c>
      <c r="C13302" s="6" t="s">
        <v>2630</v>
      </c>
      <c r="D13302" s="6" t="s">
        <v>14</v>
      </c>
      <c r="E13302" s="6" t="s">
        <v>39</v>
      </c>
      <c r="F13302" s="6" t="s">
        <v>353</v>
      </c>
      <c r="G13302" s="6" t="s">
        <v>1353</v>
      </c>
      <c r="H13302" s="6" t="s">
        <v>2631</v>
      </c>
      <c r="I13302" s="6" t="s">
        <v>31</v>
      </c>
      <c r="J13302" s="6">
        <v>16.132764017401001</v>
      </c>
      <c r="K13302" s="6">
        <v>-96.327739557792</v>
      </c>
      <c r="L13302" s="6" t="str">
        <f>HYPERLINK("https://maps.google.com/?q=16.1327640174013,-96.327739557791503", "🔗 Ver Mapa")</f>
        <v>🔗 Ver Mapa</v>
      </c>
    </row>
    <row r="13303" spans="1:12" ht="43.5" x14ac:dyDescent="0.35">
      <c r="A13303" s="5" t="s">
        <v>98</v>
      </c>
      <c r="B13303" s="5" t="s">
        <v>99</v>
      </c>
      <c r="C13303" s="5" t="s">
        <v>2630</v>
      </c>
      <c r="D13303" s="5" t="s">
        <v>14</v>
      </c>
      <c r="E13303" s="5" t="s">
        <v>39</v>
      </c>
      <c r="F13303" s="5" t="s">
        <v>353</v>
      </c>
      <c r="G13303" s="5" t="s">
        <v>1353</v>
      </c>
      <c r="H13303" s="5" t="s">
        <v>2631</v>
      </c>
      <c r="I13303" s="5" t="s">
        <v>31</v>
      </c>
      <c r="J13303" s="5">
        <v>16.132768665939999</v>
      </c>
      <c r="K13303" s="5">
        <v>-96.325351722209007</v>
      </c>
      <c r="L13303" s="5" t="str">
        <f>HYPERLINK("https://maps.google.com/?q=16.1327686659395,-96.325351722209007", "🔗 Ver Mapa")</f>
        <v>🔗 Ver Mapa</v>
      </c>
    </row>
    <row r="13304" spans="1:12" ht="43.5" x14ac:dyDescent="0.35">
      <c r="A13304" s="6" t="s">
        <v>98</v>
      </c>
      <c r="B13304" s="6" t="s">
        <v>99</v>
      </c>
      <c r="C13304" s="6" t="s">
        <v>2630</v>
      </c>
      <c r="D13304" s="6" t="s">
        <v>14</v>
      </c>
      <c r="E13304" s="6" t="s">
        <v>39</v>
      </c>
      <c r="F13304" s="6" t="s">
        <v>353</v>
      </c>
      <c r="G13304" s="6" t="s">
        <v>1353</v>
      </c>
      <c r="H13304" s="6" t="s">
        <v>2631</v>
      </c>
      <c r="I13304" s="6" t="s">
        <v>31</v>
      </c>
      <c r="J13304" s="6">
        <v>16.133115617394001</v>
      </c>
      <c r="K13304" s="6">
        <v>-96.328351941104998</v>
      </c>
      <c r="L13304" s="6" t="str">
        <f>HYPERLINK("https://maps.google.com/?q=16.1331156173945,-96.3283519411047", "🔗 Ver Mapa")</f>
        <v>🔗 Ver Mapa</v>
      </c>
    </row>
    <row r="13305" spans="1:12" ht="43.5" x14ac:dyDescent="0.35">
      <c r="A13305" s="5" t="s">
        <v>98</v>
      </c>
      <c r="B13305" s="5" t="s">
        <v>99</v>
      </c>
      <c r="C13305" s="5" t="s">
        <v>2630</v>
      </c>
      <c r="D13305" s="5" t="s">
        <v>14</v>
      </c>
      <c r="E13305" s="5" t="s">
        <v>39</v>
      </c>
      <c r="F13305" s="5" t="s">
        <v>353</v>
      </c>
      <c r="G13305" s="5" t="s">
        <v>1353</v>
      </c>
      <c r="H13305" s="5" t="s">
        <v>2631</v>
      </c>
      <c r="I13305" s="5" t="s">
        <v>31</v>
      </c>
      <c r="J13305" s="5">
        <v>16.133208674235</v>
      </c>
      <c r="K13305" s="5">
        <v>-96.331998811104995</v>
      </c>
      <c r="L13305" s="5" t="str">
        <f>HYPERLINK("https://maps.google.com/?q=16.1332086742348,-96.331998811104597", "🔗 Ver Mapa")</f>
        <v>🔗 Ver Mapa</v>
      </c>
    </row>
    <row r="13306" spans="1:12" ht="43.5" x14ac:dyDescent="0.35">
      <c r="A13306" s="6" t="s">
        <v>98</v>
      </c>
      <c r="B13306" s="6" t="s">
        <v>99</v>
      </c>
      <c r="C13306" s="6" t="s">
        <v>2630</v>
      </c>
      <c r="D13306" s="6" t="s">
        <v>14</v>
      </c>
      <c r="E13306" s="6" t="s">
        <v>39</v>
      </c>
      <c r="F13306" s="6" t="s">
        <v>353</v>
      </c>
      <c r="G13306" s="6" t="s">
        <v>1353</v>
      </c>
      <c r="H13306" s="6" t="s">
        <v>2631</v>
      </c>
      <c r="I13306" s="6" t="s">
        <v>31</v>
      </c>
      <c r="J13306" s="6">
        <v>16.133323087657999</v>
      </c>
      <c r="K13306" s="6">
        <v>-96.329970376687001</v>
      </c>
      <c r="L13306" s="6" t="str">
        <f>HYPERLINK("https://maps.google.com/?q=16.1333230876581,-96.329970376686902", "🔗 Ver Mapa")</f>
        <v>🔗 Ver Mapa</v>
      </c>
    </row>
    <row r="13307" spans="1:12" ht="43.5" x14ac:dyDescent="0.35">
      <c r="A13307" s="5" t="s">
        <v>98</v>
      </c>
      <c r="B13307" s="5" t="s">
        <v>99</v>
      </c>
      <c r="C13307" s="5" t="s">
        <v>2630</v>
      </c>
      <c r="D13307" s="5" t="s">
        <v>14</v>
      </c>
      <c r="E13307" s="5" t="s">
        <v>39</v>
      </c>
      <c r="F13307" s="5" t="s">
        <v>353</v>
      </c>
      <c r="G13307" s="5" t="s">
        <v>1353</v>
      </c>
      <c r="H13307" s="5" t="s">
        <v>2631</v>
      </c>
      <c r="I13307" s="5" t="s">
        <v>31</v>
      </c>
      <c r="J13307" s="5">
        <v>16.133497702524</v>
      </c>
      <c r="K13307" s="5">
        <v>-96.331679641104998</v>
      </c>
      <c r="L13307" s="5" t="str">
        <f>HYPERLINK("https://maps.google.com/?q=16.1334977025243,-96.331679641104799", "🔗 Ver Mapa")</f>
        <v>🔗 Ver Mapa</v>
      </c>
    </row>
    <row r="13308" spans="1:12" ht="43.5" x14ac:dyDescent="0.35">
      <c r="A13308" s="6" t="s">
        <v>98</v>
      </c>
      <c r="B13308" s="6" t="s">
        <v>99</v>
      </c>
      <c r="C13308" s="6" t="s">
        <v>2630</v>
      </c>
      <c r="D13308" s="6" t="s">
        <v>14</v>
      </c>
      <c r="E13308" s="6" t="s">
        <v>39</v>
      </c>
      <c r="F13308" s="6" t="s">
        <v>353</v>
      </c>
      <c r="G13308" s="6" t="s">
        <v>1353</v>
      </c>
      <c r="H13308" s="6" t="s">
        <v>2631</v>
      </c>
      <c r="I13308" s="6" t="s">
        <v>31</v>
      </c>
      <c r="J13308" s="6">
        <v>16.133619549828001</v>
      </c>
      <c r="K13308" s="6">
        <v>-96.326358347712997</v>
      </c>
      <c r="L13308" s="6" t="str">
        <f>HYPERLINK("https://maps.google.com/?q=16.1336195498282,-96.326358347713096", "🔗 Ver Mapa")</f>
        <v>🔗 Ver Mapa</v>
      </c>
    </row>
    <row r="13309" spans="1:12" ht="43.5" x14ac:dyDescent="0.35">
      <c r="A13309" s="5" t="s">
        <v>98</v>
      </c>
      <c r="B13309" s="5" t="s">
        <v>99</v>
      </c>
      <c r="C13309" s="5" t="s">
        <v>2630</v>
      </c>
      <c r="D13309" s="5" t="s">
        <v>14</v>
      </c>
      <c r="E13309" s="5" t="s">
        <v>39</v>
      </c>
      <c r="F13309" s="5" t="s">
        <v>353</v>
      </c>
      <c r="G13309" s="5" t="s">
        <v>1353</v>
      </c>
      <c r="H13309" s="5" t="s">
        <v>2631</v>
      </c>
      <c r="I13309" s="5" t="s">
        <v>31</v>
      </c>
      <c r="J13309" s="5">
        <v>16.133717304520999</v>
      </c>
      <c r="K13309" s="5">
        <v>-96.331463025583005</v>
      </c>
      <c r="L13309" s="5" t="str">
        <f>HYPERLINK("https://maps.google.com/?q=16.1337173045213,-96.331463025582593", "🔗 Ver Mapa")</f>
        <v>🔗 Ver Mapa</v>
      </c>
    </row>
    <row r="13310" spans="1:12" ht="43.5" x14ac:dyDescent="0.35">
      <c r="A13310" s="6" t="s">
        <v>98</v>
      </c>
      <c r="B13310" s="6" t="s">
        <v>99</v>
      </c>
      <c r="C13310" s="6" t="s">
        <v>2630</v>
      </c>
      <c r="D13310" s="6" t="s">
        <v>14</v>
      </c>
      <c r="E13310" s="6" t="s">
        <v>39</v>
      </c>
      <c r="F13310" s="6" t="s">
        <v>353</v>
      </c>
      <c r="G13310" s="6" t="s">
        <v>1353</v>
      </c>
      <c r="H13310" s="6" t="s">
        <v>2631</v>
      </c>
      <c r="I13310" s="6" t="s">
        <v>31</v>
      </c>
      <c r="J13310" s="6">
        <v>16.134105135957</v>
      </c>
      <c r="K13310" s="6">
        <v>-96.329030897791</v>
      </c>
      <c r="L13310" s="6" t="str">
        <f>HYPERLINK("https://maps.google.com/?q=16.1341051359571,-96.329030897791398", "🔗 Ver Mapa")</f>
        <v>🔗 Ver Mapa</v>
      </c>
    </row>
    <row r="13311" spans="1:12" ht="43.5" x14ac:dyDescent="0.35">
      <c r="A13311" s="5" t="s">
        <v>98</v>
      </c>
      <c r="B13311" s="5" t="s">
        <v>99</v>
      </c>
      <c r="C13311" s="5" t="s">
        <v>2630</v>
      </c>
      <c r="D13311" s="5" t="s">
        <v>14</v>
      </c>
      <c r="E13311" s="5" t="s">
        <v>39</v>
      </c>
      <c r="F13311" s="5" t="s">
        <v>353</v>
      </c>
      <c r="G13311" s="5" t="s">
        <v>1353</v>
      </c>
      <c r="H13311" s="5" t="s">
        <v>2631</v>
      </c>
      <c r="I13311" s="5" t="s">
        <v>31</v>
      </c>
      <c r="J13311" s="5">
        <v>16.134327252523999</v>
      </c>
      <c r="K13311" s="5">
        <v>-96.328600710000003</v>
      </c>
      <c r="L13311" s="5" t="str">
        <f>HYPERLINK("https://maps.google.com/?q=16.1343272525245,-96.328600710000202", "🔗 Ver Mapa")</f>
        <v>🔗 Ver Mapa</v>
      </c>
    </row>
    <row r="13312" spans="1:12" ht="43.5" x14ac:dyDescent="0.35">
      <c r="A13312" s="6" t="s">
        <v>98</v>
      </c>
      <c r="B13312" s="6" t="s">
        <v>99</v>
      </c>
      <c r="C13312" s="6" t="s">
        <v>2630</v>
      </c>
      <c r="D13312" s="6" t="s">
        <v>14</v>
      </c>
      <c r="E13312" s="6" t="s">
        <v>39</v>
      </c>
      <c r="F13312" s="6" t="s">
        <v>353</v>
      </c>
      <c r="G13312" s="6" t="s">
        <v>1353</v>
      </c>
      <c r="H13312" s="6" t="s">
        <v>2631</v>
      </c>
      <c r="I13312" s="6" t="s">
        <v>31</v>
      </c>
      <c r="J13312" s="6">
        <v>16.134992255636</v>
      </c>
      <c r="K13312" s="6">
        <v>-96.329187636745999</v>
      </c>
      <c r="L13312" s="6" t="str">
        <f>HYPERLINK("https://maps.google.com/?q=16.1349922556361,-96.329187636746198", "🔗 Ver Mapa")</f>
        <v>🔗 Ver Mapa</v>
      </c>
    </row>
    <row r="13313" spans="1:12" ht="43.5" x14ac:dyDescent="0.35">
      <c r="A13313" s="5" t="s">
        <v>98</v>
      </c>
      <c r="B13313" s="5" t="s">
        <v>99</v>
      </c>
      <c r="C13313" s="5" t="s">
        <v>2630</v>
      </c>
      <c r="D13313" s="5" t="s">
        <v>14</v>
      </c>
      <c r="E13313" s="5" t="s">
        <v>39</v>
      </c>
      <c r="F13313" s="5" t="s">
        <v>353</v>
      </c>
      <c r="G13313" s="5" t="s">
        <v>1353</v>
      </c>
      <c r="H13313" s="5" t="s">
        <v>2631</v>
      </c>
      <c r="I13313" s="5" t="s">
        <v>31</v>
      </c>
      <c r="J13313" s="5">
        <v>16.135556979073002</v>
      </c>
      <c r="K13313" s="5">
        <v>-96.329836281164006</v>
      </c>
      <c r="L13313" s="5" t="str">
        <f>HYPERLINK("https://maps.google.com/?q=16.1355569790731,-96.329836281164305", "🔗 Ver Mapa")</f>
        <v>🔗 Ver Mapa</v>
      </c>
    </row>
    <row r="13314" spans="1:12" ht="43.5" x14ac:dyDescent="0.35">
      <c r="A13314" s="6" t="s">
        <v>98</v>
      </c>
      <c r="B13314" s="6" t="s">
        <v>99</v>
      </c>
      <c r="C13314" s="6" t="s">
        <v>2630</v>
      </c>
      <c r="D13314" s="6" t="s">
        <v>14</v>
      </c>
      <c r="E13314" s="6" t="s">
        <v>39</v>
      </c>
      <c r="F13314" s="6" t="s">
        <v>353</v>
      </c>
      <c r="G13314" s="6" t="s">
        <v>1353</v>
      </c>
      <c r="H13314" s="6" t="s">
        <v>2631</v>
      </c>
      <c r="I13314" s="6" t="s">
        <v>31</v>
      </c>
      <c r="J13314" s="6">
        <v>16.135686857345</v>
      </c>
      <c r="K13314" s="6">
        <v>-96.325766463373995</v>
      </c>
      <c r="L13314" s="6" t="str">
        <f>HYPERLINK("https://maps.google.com/?q=16.1356868573447,-96.325766463373995", "🔗 Ver Mapa")</f>
        <v>🔗 Ver Mapa</v>
      </c>
    </row>
    <row r="13315" spans="1:12" ht="43.5" x14ac:dyDescent="0.35">
      <c r="A13315" s="5" t="s">
        <v>98</v>
      </c>
      <c r="B13315" s="5" t="s">
        <v>99</v>
      </c>
      <c r="C13315" s="5" t="s">
        <v>2630</v>
      </c>
      <c r="D13315" s="5" t="s">
        <v>14</v>
      </c>
      <c r="E13315" s="5" t="s">
        <v>39</v>
      </c>
      <c r="F13315" s="5" t="s">
        <v>353</v>
      </c>
      <c r="G13315" s="5" t="s">
        <v>1353</v>
      </c>
      <c r="H13315" s="5" t="s">
        <v>2631</v>
      </c>
      <c r="I13315" s="5" t="s">
        <v>31</v>
      </c>
      <c r="J13315" s="5">
        <v>16.135833077341999</v>
      </c>
      <c r="K13315" s="5">
        <v>-96.326055475581995</v>
      </c>
      <c r="L13315" s="5" t="str">
        <f>HYPERLINK("https://maps.google.com/?q=16.135833077342,-96.326055475582294", "🔗 Ver Mapa")</f>
        <v>🔗 Ver Mapa</v>
      </c>
    </row>
    <row r="13316" spans="1:12" ht="43.5" x14ac:dyDescent="0.35">
      <c r="A13316" s="6" t="s">
        <v>98</v>
      </c>
      <c r="B13316" s="6" t="s">
        <v>99</v>
      </c>
      <c r="C13316" s="6" t="s">
        <v>2630</v>
      </c>
      <c r="D13316" s="6" t="s">
        <v>14</v>
      </c>
      <c r="E13316" s="6" t="s">
        <v>39</v>
      </c>
      <c r="F13316" s="6" t="s">
        <v>353</v>
      </c>
      <c r="G13316" s="6" t="s">
        <v>1353</v>
      </c>
      <c r="H13316" s="6" t="s">
        <v>2631</v>
      </c>
      <c r="I13316" s="6" t="s">
        <v>31</v>
      </c>
      <c r="J13316" s="6">
        <v>16.136062290796001</v>
      </c>
      <c r="K13316" s="6">
        <v>-96.325152000000003</v>
      </c>
      <c r="L13316" s="6" t="str">
        <f>HYPERLINK("https://maps.google.com/?q=16.1360622907956,-96.325152000000401", "🔗 Ver Mapa")</f>
        <v>🔗 Ver Mapa</v>
      </c>
    </row>
    <row r="13317" spans="1:12" ht="43.5" x14ac:dyDescent="0.35">
      <c r="A13317" s="5" t="s">
        <v>98</v>
      </c>
      <c r="B13317" s="5" t="s">
        <v>99</v>
      </c>
      <c r="C13317" s="5" t="s">
        <v>2630</v>
      </c>
      <c r="D13317" s="5" t="s">
        <v>14</v>
      </c>
      <c r="E13317" s="5" t="s">
        <v>39</v>
      </c>
      <c r="F13317" s="5" t="s">
        <v>353</v>
      </c>
      <c r="G13317" s="5" t="s">
        <v>1353</v>
      </c>
      <c r="H13317" s="5" t="s">
        <v>2631</v>
      </c>
      <c r="I13317" s="5" t="s">
        <v>31</v>
      </c>
      <c r="J13317" s="5">
        <v>16.136907137729001</v>
      </c>
      <c r="K13317" s="5">
        <v>-96.324888999999999</v>
      </c>
      <c r="L13317" s="5" t="str">
        <f>HYPERLINK("https://maps.google.com/?q=16.1369071377286,-96.324889000000297", "🔗 Ver Mapa")</f>
        <v>🔗 Ver Mapa</v>
      </c>
    </row>
    <row r="13318" spans="1:12" ht="58" x14ac:dyDescent="0.35">
      <c r="A13318" s="6" t="s">
        <v>98</v>
      </c>
      <c r="B13318" s="6" t="s">
        <v>99</v>
      </c>
      <c r="C13318" s="6" t="s">
        <v>2632</v>
      </c>
      <c r="D13318" s="6" t="s">
        <v>14</v>
      </c>
      <c r="E13318" s="6" t="s">
        <v>52</v>
      </c>
      <c r="F13318" s="6" t="s">
        <v>70</v>
      </c>
      <c r="G13318" s="6" t="s">
        <v>123</v>
      </c>
      <c r="H13318" s="6" t="s">
        <v>2633</v>
      </c>
      <c r="I13318" s="6" t="s">
        <v>31</v>
      </c>
      <c r="J13318" s="6">
        <v>17.047039847364999</v>
      </c>
      <c r="K13318" s="6">
        <v>-96.747559695237996</v>
      </c>
      <c r="L13318" s="6" t="str">
        <f>HYPERLINK("https://maps.google.com/?q=17.0470398473654,-96.747559695238493", "🔗 Ver Mapa")</f>
        <v>🔗 Ver Mapa</v>
      </c>
    </row>
    <row r="13319" spans="1:12" ht="43.5" x14ac:dyDescent="0.35">
      <c r="A13319" s="5" t="s">
        <v>98</v>
      </c>
      <c r="B13319" s="5" t="s">
        <v>99</v>
      </c>
      <c r="C13319" s="5" t="s">
        <v>2634</v>
      </c>
      <c r="D13319" s="5" t="s">
        <v>14</v>
      </c>
      <c r="E13319" s="5" t="s">
        <v>16</v>
      </c>
      <c r="F13319" s="5" t="s">
        <v>215</v>
      </c>
      <c r="G13319" s="5" t="s">
        <v>2635</v>
      </c>
      <c r="H13319" s="5" t="s">
        <v>2636</v>
      </c>
      <c r="I13319" s="5" t="s">
        <v>31</v>
      </c>
      <c r="J13319" s="5">
        <v>17.448149149513</v>
      </c>
      <c r="K13319" s="5">
        <v>-98.004765889549006</v>
      </c>
      <c r="L13319" s="5" t="str">
        <f>HYPERLINK("https://maps.google.com/?q=17.4481491495127,-98.004765889549304", "🔗 Ver Mapa")</f>
        <v>🔗 Ver Mapa</v>
      </c>
    </row>
    <row r="13320" spans="1:12" ht="43.5" x14ac:dyDescent="0.35">
      <c r="A13320" s="6" t="s">
        <v>98</v>
      </c>
      <c r="B13320" s="6" t="s">
        <v>99</v>
      </c>
      <c r="C13320" s="6" t="s">
        <v>2634</v>
      </c>
      <c r="D13320" s="6" t="s">
        <v>14</v>
      </c>
      <c r="E13320" s="6" t="s">
        <v>16</v>
      </c>
      <c r="F13320" s="6" t="s">
        <v>215</v>
      </c>
      <c r="G13320" s="6" t="s">
        <v>2635</v>
      </c>
      <c r="H13320" s="6" t="s">
        <v>2636</v>
      </c>
      <c r="I13320" s="6" t="s">
        <v>31</v>
      </c>
      <c r="J13320" s="6">
        <v>17.448604621899001</v>
      </c>
      <c r="K13320" s="6">
        <v>-98.001616082507994</v>
      </c>
      <c r="L13320" s="6" t="str">
        <f>HYPERLINK("https://maps.google.com/?q=17.4486046218987,-98.001616082507795", "🔗 Ver Mapa")</f>
        <v>🔗 Ver Mapa</v>
      </c>
    </row>
    <row r="13321" spans="1:12" ht="43.5" x14ac:dyDescent="0.35">
      <c r="A13321" s="5" t="s">
        <v>98</v>
      </c>
      <c r="B13321" s="5" t="s">
        <v>99</v>
      </c>
      <c r="C13321" s="5" t="s">
        <v>2634</v>
      </c>
      <c r="D13321" s="5" t="s">
        <v>14</v>
      </c>
      <c r="E13321" s="5" t="s">
        <v>16</v>
      </c>
      <c r="F13321" s="5" t="s">
        <v>215</v>
      </c>
      <c r="G13321" s="5" t="s">
        <v>2635</v>
      </c>
      <c r="H13321" s="5" t="s">
        <v>2636</v>
      </c>
      <c r="I13321" s="5" t="s">
        <v>31</v>
      </c>
      <c r="J13321" s="5">
        <v>17.448908085808</v>
      </c>
      <c r="K13321" s="5">
        <v>-98.006712071164003</v>
      </c>
      <c r="L13321" s="5" t="str">
        <f>HYPERLINK("https://maps.google.com/?q=17.4489080858077,-98.006712071164003", "🔗 Ver Mapa")</f>
        <v>🔗 Ver Mapa</v>
      </c>
    </row>
    <row r="13322" spans="1:12" ht="43.5" x14ac:dyDescent="0.35">
      <c r="A13322" s="6" t="s">
        <v>98</v>
      </c>
      <c r="B13322" s="6" t="s">
        <v>99</v>
      </c>
      <c r="C13322" s="6" t="s">
        <v>2634</v>
      </c>
      <c r="D13322" s="6" t="s">
        <v>14</v>
      </c>
      <c r="E13322" s="6" t="s">
        <v>16</v>
      </c>
      <c r="F13322" s="6" t="s">
        <v>215</v>
      </c>
      <c r="G13322" s="6" t="s">
        <v>2635</v>
      </c>
      <c r="H13322" s="6" t="s">
        <v>2636</v>
      </c>
      <c r="I13322" s="6" t="s">
        <v>31</v>
      </c>
      <c r="J13322" s="6">
        <v>17.449318605792001</v>
      </c>
      <c r="K13322" s="6">
        <v>-98.006541026557997</v>
      </c>
      <c r="L13322" s="6" t="str">
        <f>HYPERLINK("https://maps.google.com/?q=17.4493186057915,-98.006541026557699", "🔗 Ver Mapa")</f>
        <v>🔗 Ver Mapa</v>
      </c>
    </row>
    <row r="13323" spans="1:12" ht="43.5" x14ac:dyDescent="0.35">
      <c r="A13323" s="5" t="s">
        <v>98</v>
      </c>
      <c r="B13323" s="5" t="s">
        <v>99</v>
      </c>
      <c r="C13323" s="5" t="s">
        <v>2634</v>
      </c>
      <c r="D13323" s="5" t="s">
        <v>14</v>
      </c>
      <c r="E13323" s="5" t="s">
        <v>16</v>
      </c>
      <c r="F13323" s="5" t="s">
        <v>215</v>
      </c>
      <c r="G13323" s="5" t="s">
        <v>2635</v>
      </c>
      <c r="H13323" s="5" t="s">
        <v>2636</v>
      </c>
      <c r="I13323" s="5" t="s">
        <v>31</v>
      </c>
      <c r="J13323" s="5">
        <v>17.449408018002998</v>
      </c>
      <c r="K13323" s="5">
        <v>-98.006704271163997</v>
      </c>
      <c r="L13323" s="5" t="str">
        <f>HYPERLINK("https://maps.google.com/?q=17.4494080180034,-98.006704271163898", "🔗 Ver Mapa")</f>
        <v>🔗 Ver Mapa</v>
      </c>
    </row>
    <row r="13324" spans="1:12" ht="43.5" x14ac:dyDescent="0.35">
      <c r="A13324" s="6" t="s">
        <v>98</v>
      </c>
      <c r="B13324" s="6" t="s">
        <v>99</v>
      </c>
      <c r="C13324" s="6" t="s">
        <v>2634</v>
      </c>
      <c r="D13324" s="6" t="s">
        <v>14</v>
      </c>
      <c r="E13324" s="6" t="s">
        <v>16</v>
      </c>
      <c r="F13324" s="6" t="s">
        <v>215</v>
      </c>
      <c r="G13324" s="6" t="s">
        <v>2635</v>
      </c>
      <c r="H13324" s="6" t="s">
        <v>2636</v>
      </c>
      <c r="I13324" s="6" t="s">
        <v>31</v>
      </c>
      <c r="J13324" s="6">
        <v>17.449547012918998</v>
      </c>
      <c r="K13324" s="6">
        <v>-98.002316028836006</v>
      </c>
      <c r="L13324" s="6" t="str">
        <f>HYPERLINK("https://maps.google.com/?q=17.4495470129189,-98.002316028836105", "🔗 Ver Mapa")</f>
        <v>🔗 Ver Mapa</v>
      </c>
    </row>
    <row r="13325" spans="1:12" ht="43.5" x14ac:dyDescent="0.35">
      <c r="A13325" s="5" t="s">
        <v>98</v>
      </c>
      <c r="B13325" s="5" t="s">
        <v>99</v>
      </c>
      <c r="C13325" s="5" t="s">
        <v>2634</v>
      </c>
      <c r="D13325" s="5" t="s">
        <v>14</v>
      </c>
      <c r="E13325" s="5" t="s">
        <v>16</v>
      </c>
      <c r="F13325" s="5" t="s">
        <v>215</v>
      </c>
      <c r="G13325" s="5" t="s">
        <v>2635</v>
      </c>
      <c r="H13325" s="5" t="s">
        <v>2636</v>
      </c>
      <c r="I13325" s="5" t="s">
        <v>31</v>
      </c>
      <c r="J13325" s="5">
        <v>17.450307365815</v>
      </c>
      <c r="K13325" s="5">
        <v>-98.001991713566994</v>
      </c>
      <c r="L13325" s="5" t="str">
        <f>HYPERLINK("https://maps.google.com/?q=17.4503073658149,-98.001991713567094", "🔗 Ver Mapa")</f>
        <v>🔗 Ver Mapa</v>
      </c>
    </row>
    <row r="13326" spans="1:12" ht="43.5" x14ac:dyDescent="0.35">
      <c r="A13326" s="6" t="s">
        <v>98</v>
      </c>
      <c r="B13326" s="6" t="s">
        <v>99</v>
      </c>
      <c r="C13326" s="6" t="s">
        <v>2634</v>
      </c>
      <c r="D13326" s="6" t="s">
        <v>14</v>
      </c>
      <c r="E13326" s="6" t="s">
        <v>16</v>
      </c>
      <c r="F13326" s="6" t="s">
        <v>215</v>
      </c>
      <c r="G13326" s="6" t="s">
        <v>2635</v>
      </c>
      <c r="H13326" s="6" t="s">
        <v>2636</v>
      </c>
      <c r="I13326" s="6" t="s">
        <v>31</v>
      </c>
      <c r="J13326" s="6">
        <v>17.450824921812998</v>
      </c>
      <c r="K13326" s="6">
        <v>-98.002937588955007</v>
      </c>
      <c r="L13326" s="6" t="str">
        <f>HYPERLINK("https://maps.google.com/?q=17.4508249218129,-98.002937588955007", "🔗 Ver Mapa")</f>
        <v>🔗 Ver Mapa</v>
      </c>
    </row>
    <row r="13327" spans="1:12" ht="43.5" x14ac:dyDescent="0.35">
      <c r="A13327" s="5" t="s">
        <v>98</v>
      </c>
      <c r="B13327" s="5" t="s">
        <v>99</v>
      </c>
      <c r="C13327" s="5" t="s">
        <v>2634</v>
      </c>
      <c r="D13327" s="5" t="s">
        <v>14</v>
      </c>
      <c r="E13327" s="5" t="s">
        <v>16</v>
      </c>
      <c r="F13327" s="5" t="s">
        <v>215</v>
      </c>
      <c r="G13327" s="5" t="s">
        <v>2635</v>
      </c>
      <c r="H13327" s="5" t="s">
        <v>2636</v>
      </c>
      <c r="I13327" s="5" t="s">
        <v>31</v>
      </c>
      <c r="J13327" s="5">
        <v>17.452187133517999</v>
      </c>
      <c r="K13327" s="5">
        <v>-98.002718374343999</v>
      </c>
      <c r="L13327" s="5" t="str">
        <f>HYPERLINK("https://maps.google.com/?q=17.4521871335185,-98.002718374343999", "🔗 Ver Mapa")</f>
        <v>🔗 Ver Mapa</v>
      </c>
    </row>
    <row r="13328" spans="1:12" ht="43.5" x14ac:dyDescent="0.35">
      <c r="A13328" s="6" t="s">
        <v>98</v>
      </c>
      <c r="B13328" s="6" t="s">
        <v>99</v>
      </c>
      <c r="C13328" s="6" t="s">
        <v>2634</v>
      </c>
      <c r="D13328" s="6" t="s">
        <v>14</v>
      </c>
      <c r="E13328" s="6" t="s">
        <v>16</v>
      </c>
      <c r="F13328" s="6" t="s">
        <v>215</v>
      </c>
      <c r="G13328" s="6" t="s">
        <v>2635</v>
      </c>
      <c r="H13328" s="6" t="s">
        <v>2636</v>
      </c>
      <c r="I13328" s="6" t="s">
        <v>31</v>
      </c>
      <c r="J13328" s="6">
        <v>17.452520551702001</v>
      </c>
      <c r="K13328" s="6">
        <v>-98.004260349703003</v>
      </c>
      <c r="L13328" s="6" t="str">
        <f>HYPERLINK("https://maps.google.com/?q=17.4525205517015,-98.004260349702804", "🔗 Ver Mapa")</f>
        <v>🔗 Ver Mapa</v>
      </c>
    </row>
    <row r="13329" spans="1:12" ht="43.5" x14ac:dyDescent="0.35">
      <c r="A13329" s="5" t="s">
        <v>98</v>
      </c>
      <c r="B13329" s="5" t="s">
        <v>99</v>
      </c>
      <c r="C13329" s="5" t="s">
        <v>2634</v>
      </c>
      <c r="D13329" s="5" t="s">
        <v>14</v>
      </c>
      <c r="E13329" s="5" t="s">
        <v>16</v>
      </c>
      <c r="F13329" s="5" t="s">
        <v>215</v>
      </c>
      <c r="G13329" s="5" t="s">
        <v>2635</v>
      </c>
      <c r="H13329" s="5" t="s">
        <v>2636</v>
      </c>
      <c r="I13329" s="5" t="s">
        <v>31</v>
      </c>
      <c r="J13329" s="5">
        <v>17.452985888516999</v>
      </c>
      <c r="K13329" s="5">
        <v>-98.006423991402002</v>
      </c>
      <c r="L13329" s="5" t="str">
        <f>HYPERLINK("https://maps.google.com/?q=17.4529858885171,-98.006423991401803", "🔗 Ver Mapa")</f>
        <v>🔗 Ver Mapa</v>
      </c>
    </row>
    <row r="13330" spans="1:12" ht="43.5" x14ac:dyDescent="0.35">
      <c r="A13330" s="6" t="s">
        <v>98</v>
      </c>
      <c r="B13330" s="6" t="s">
        <v>99</v>
      </c>
      <c r="C13330" s="6" t="s">
        <v>2634</v>
      </c>
      <c r="D13330" s="6" t="s">
        <v>14</v>
      </c>
      <c r="E13330" s="6" t="s">
        <v>16</v>
      </c>
      <c r="F13330" s="6" t="s">
        <v>215</v>
      </c>
      <c r="G13330" s="6" t="s">
        <v>2635</v>
      </c>
      <c r="H13330" s="6" t="s">
        <v>2636</v>
      </c>
      <c r="I13330" s="6" t="s">
        <v>31</v>
      </c>
      <c r="J13330" s="6">
        <v>17.453192444016999</v>
      </c>
      <c r="K13330" s="6">
        <v>-98.006524288361007</v>
      </c>
      <c r="L13330" s="6" t="str">
        <f>HYPERLINK("https://maps.google.com/?q=17.4531924440174,-98.006524288360595", "🔗 Ver Mapa")</f>
        <v>🔗 Ver Mapa</v>
      </c>
    </row>
    <row r="13331" spans="1:12" ht="43.5" x14ac:dyDescent="0.35">
      <c r="A13331" s="5" t="s">
        <v>98</v>
      </c>
      <c r="B13331" s="5" t="s">
        <v>99</v>
      </c>
      <c r="C13331" s="5" t="s">
        <v>2634</v>
      </c>
      <c r="D13331" s="5" t="s">
        <v>14</v>
      </c>
      <c r="E13331" s="5" t="s">
        <v>16</v>
      </c>
      <c r="F13331" s="5" t="s">
        <v>215</v>
      </c>
      <c r="G13331" s="5" t="s">
        <v>2635</v>
      </c>
      <c r="H13331" s="5" t="s">
        <v>2636</v>
      </c>
      <c r="I13331" s="5" t="s">
        <v>31</v>
      </c>
      <c r="J13331" s="5">
        <v>17.455007043361999</v>
      </c>
      <c r="K13331" s="5">
        <v>-98.007723067458997</v>
      </c>
      <c r="L13331" s="5" t="str">
        <f>HYPERLINK("https://maps.google.com/?q=17.4550070433621,-98.007723067459196", "🔗 Ver Mapa")</f>
        <v>🔗 Ver Mapa</v>
      </c>
    </row>
    <row r="13332" spans="1:12" ht="43.5" x14ac:dyDescent="0.35">
      <c r="A13332" s="6" t="s">
        <v>98</v>
      </c>
      <c r="B13332" s="6" t="s">
        <v>99</v>
      </c>
      <c r="C13332" s="6" t="s">
        <v>2634</v>
      </c>
      <c r="D13332" s="6" t="s">
        <v>14</v>
      </c>
      <c r="E13332" s="6" t="s">
        <v>16</v>
      </c>
      <c r="F13332" s="6" t="s">
        <v>215</v>
      </c>
      <c r="G13332" s="6" t="s">
        <v>2635</v>
      </c>
      <c r="H13332" s="6" t="s">
        <v>2636</v>
      </c>
      <c r="I13332" s="6" t="s">
        <v>31</v>
      </c>
      <c r="J13332" s="6">
        <v>17.455588120129001</v>
      </c>
      <c r="K13332" s="6">
        <v>-98.006379822089997</v>
      </c>
      <c r="L13332" s="6" t="str">
        <f>HYPERLINK("https://maps.google.com/?q=17.4555881201294,-98.006379822090096", "🔗 Ver Mapa")</f>
        <v>🔗 Ver Mapa</v>
      </c>
    </row>
    <row r="13333" spans="1:12" ht="43.5" x14ac:dyDescent="0.35">
      <c r="A13333" s="5" t="s">
        <v>98</v>
      </c>
      <c r="B13333" s="5" t="s">
        <v>99</v>
      </c>
      <c r="C13333" s="5" t="s">
        <v>2634</v>
      </c>
      <c r="D13333" s="5" t="s">
        <v>14</v>
      </c>
      <c r="E13333" s="5" t="s">
        <v>16</v>
      </c>
      <c r="F13333" s="5" t="s">
        <v>215</v>
      </c>
      <c r="G13333" s="5" t="s">
        <v>2635</v>
      </c>
      <c r="H13333" s="5" t="s">
        <v>2636</v>
      </c>
      <c r="I13333" s="5" t="s">
        <v>31</v>
      </c>
      <c r="J13333" s="5">
        <v>17.457346002744</v>
      </c>
      <c r="K13333" s="5">
        <v>-98.009345387731003</v>
      </c>
      <c r="L13333" s="5" t="str">
        <f>HYPERLINK("https://maps.google.com/?q=17.4573460027444,-98.0093453877315", "🔗 Ver Mapa")</f>
        <v>🔗 Ver Mapa</v>
      </c>
    </row>
    <row r="13334" spans="1:12" ht="43.5" x14ac:dyDescent="0.35">
      <c r="A13334" s="6" t="s">
        <v>98</v>
      </c>
      <c r="B13334" s="6" t="s">
        <v>99</v>
      </c>
      <c r="C13334" s="6" t="s">
        <v>2634</v>
      </c>
      <c r="D13334" s="6" t="s">
        <v>14</v>
      </c>
      <c r="E13334" s="6" t="s">
        <v>16</v>
      </c>
      <c r="F13334" s="6" t="s">
        <v>215</v>
      </c>
      <c r="G13334" s="6" t="s">
        <v>2635</v>
      </c>
      <c r="H13334" s="6" t="s">
        <v>2636</v>
      </c>
      <c r="I13334" s="6" t="s">
        <v>31</v>
      </c>
      <c r="J13334" s="6">
        <v>17.458376913319999</v>
      </c>
      <c r="K13334" s="6">
        <v>-98.009360434358996</v>
      </c>
      <c r="L13334" s="6" t="str">
        <f>HYPERLINK("https://maps.google.com/?q=17.4583769133196,-98.009360434358598", "🔗 Ver Mapa")</f>
        <v>🔗 Ver Mapa</v>
      </c>
    </row>
    <row r="13335" spans="1:12" ht="43.5" x14ac:dyDescent="0.35">
      <c r="A13335" s="5" t="s">
        <v>98</v>
      </c>
      <c r="B13335" s="5" t="s">
        <v>99</v>
      </c>
      <c r="C13335" s="5" t="s">
        <v>2634</v>
      </c>
      <c r="D13335" s="5" t="s">
        <v>14</v>
      </c>
      <c r="E13335" s="5" t="s">
        <v>16</v>
      </c>
      <c r="F13335" s="5" t="s">
        <v>215</v>
      </c>
      <c r="G13335" s="5" t="s">
        <v>2635</v>
      </c>
      <c r="H13335" s="5" t="s">
        <v>2636</v>
      </c>
      <c r="I13335" s="5" t="s">
        <v>31</v>
      </c>
      <c r="J13335" s="5">
        <v>17.458634153807999</v>
      </c>
      <c r="K13335" s="5">
        <v>-98.003480309192994</v>
      </c>
      <c r="L13335" s="5" t="str">
        <f>HYPERLINK("https://maps.google.com/?q=17.4586341538077,-98.003480309192796", "🔗 Ver Mapa")</f>
        <v>🔗 Ver Mapa</v>
      </c>
    </row>
    <row r="13336" spans="1:12" ht="43.5" x14ac:dyDescent="0.35">
      <c r="A13336" s="6" t="s">
        <v>98</v>
      </c>
      <c r="B13336" s="6" t="s">
        <v>99</v>
      </c>
      <c r="C13336" s="6" t="s">
        <v>2634</v>
      </c>
      <c r="D13336" s="6" t="s">
        <v>14</v>
      </c>
      <c r="E13336" s="6" t="s">
        <v>16</v>
      </c>
      <c r="F13336" s="6" t="s">
        <v>215</v>
      </c>
      <c r="G13336" s="6" t="s">
        <v>2635</v>
      </c>
      <c r="H13336" s="6" t="s">
        <v>2636</v>
      </c>
      <c r="I13336" s="6" t="s">
        <v>31</v>
      </c>
      <c r="J13336" s="6">
        <v>17.459834302402999</v>
      </c>
      <c r="K13336" s="6">
        <v>-98.005626549073995</v>
      </c>
      <c r="L13336" s="6" t="str">
        <f>HYPERLINK("https://maps.google.com/?q=17.4598343024032,-98.005626549073796", "🔗 Ver Mapa")</f>
        <v>🔗 Ver Mapa</v>
      </c>
    </row>
    <row r="13337" spans="1:12" ht="58" x14ac:dyDescent="0.35">
      <c r="A13337" s="5" t="s">
        <v>98</v>
      </c>
      <c r="B13337" s="5" t="s">
        <v>99</v>
      </c>
      <c r="C13337" s="5" t="s">
        <v>2637</v>
      </c>
      <c r="D13337" s="5" t="s">
        <v>14</v>
      </c>
      <c r="E13337" s="5" t="s">
        <v>16</v>
      </c>
      <c r="F13337" s="5" t="s">
        <v>145</v>
      </c>
      <c r="G13337" s="5" t="s">
        <v>2360</v>
      </c>
      <c r="H13337" s="5" t="s">
        <v>2638</v>
      </c>
      <c r="I13337" s="5" t="s">
        <v>31</v>
      </c>
      <c r="J13337" s="5">
        <v>18.059561330000001</v>
      </c>
      <c r="K13337" s="5">
        <v>-97.714464300000003</v>
      </c>
      <c r="L13337" s="5" t="str">
        <f>HYPERLINK("https://maps.google.com/?q=18.05956133,-97.714464300000003", "🔗 Ver Mapa")</f>
        <v>🔗 Ver Mapa</v>
      </c>
    </row>
    <row r="13338" spans="1:12" ht="58" x14ac:dyDescent="0.35">
      <c r="A13338" s="6" t="s">
        <v>98</v>
      </c>
      <c r="B13338" s="6" t="s">
        <v>99</v>
      </c>
      <c r="C13338" s="6" t="s">
        <v>2637</v>
      </c>
      <c r="D13338" s="6" t="s">
        <v>14</v>
      </c>
      <c r="E13338" s="6" t="s">
        <v>16</v>
      </c>
      <c r="F13338" s="6" t="s">
        <v>145</v>
      </c>
      <c r="G13338" s="6" t="s">
        <v>2360</v>
      </c>
      <c r="H13338" s="6" t="s">
        <v>2638</v>
      </c>
      <c r="I13338" s="6" t="s">
        <v>31</v>
      </c>
      <c r="J13338" s="6">
        <v>18.061949200000001</v>
      </c>
      <c r="K13338" s="6">
        <v>-97.719021290000001</v>
      </c>
      <c r="L13338" s="6" t="str">
        <f>HYPERLINK("https://maps.google.com/?q=18.0619492,-97.719021290000001", "🔗 Ver Mapa")</f>
        <v>🔗 Ver Mapa</v>
      </c>
    </row>
    <row r="13339" spans="1:12" ht="58" x14ac:dyDescent="0.35">
      <c r="A13339" s="5" t="s">
        <v>98</v>
      </c>
      <c r="B13339" s="5" t="s">
        <v>99</v>
      </c>
      <c r="C13339" s="5" t="s">
        <v>2637</v>
      </c>
      <c r="D13339" s="5" t="s">
        <v>14</v>
      </c>
      <c r="E13339" s="5" t="s">
        <v>16</v>
      </c>
      <c r="F13339" s="5" t="s">
        <v>145</v>
      </c>
      <c r="G13339" s="5" t="s">
        <v>2360</v>
      </c>
      <c r="H13339" s="5" t="s">
        <v>2638</v>
      </c>
      <c r="I13339" s="5" t="s">
        <v>31</v>
      </c>
      <c r="J13339" s="5">
        <v>18.062063699999999</v>
      </c>
      <c r="K13339" s="5">
        <v>-97.718996160000003</v>
      </c>
      <c r="L13339" s="5" t="str">
        <f>HYPERLINK("https://maps.google.com/?q=18.0620637,-97.718996160000003", "🔗 Ver Mapa")</f>
        <v>🔗 Ver Mapa</v>
      </c>
    </row>
    <row r="13340" spans="1:12" ht="58" x14ac:dyDescent="0.35">
      <c r="A13340" s="6" t="s">
        <v>98</v>
      </c>
      <c r="B13340" s="6" t="s">
        <v>99</v>
      </c>
      <c r="C13340" s="6" t="s">
        <v>2637</v>
      </c>
      <c r="D13340" s="6" t="s">
        <v>14</v>
      </c>
      <c r="E13340" s="6" t="s">
        <v>16</v>
      </c>
      <c r="F13340" s="6" t="s">
        <v>145</v>
      </c>
      <c r="G13340" s="6" t="s">
        <v>2360</v>
      </c>
      <c r="H13340" s="6" t="s">
        <v>2638</v>
      </c>
      <c r="I13340" s="6" t="s">
        <v>31</v>
      </c>
      <c r="J13340" s="6">
        <v>18.062953199999999</v>
      </c>
      <c r="K13340" s="6">
        <v>-97.716796059999993</v>
      </c>
      <c r="L13340" s="6" t="str">
        <f>HYPERLINK("https://maps.google.com/?q=18.0629532,-97.716796059999993", "🔗 Ver Mapa")</f>
        <v>🔗 Ver Mapa</v>
      </c>
    </row>
    <row r="13341" spans="1:12" ht="58" x14ac:dyDescent="0.35">
      <c r="A13341" s="5" t="s">
        <v>98</v>
      </c>
      <c r="B13341" s="5" t="s">
        <v>99</v>
      </c>
      <c r="C13341" s="5" t="s">
        <v>2637</v>
      </c>
      <c r="D13341" s="5" t="s">
        <v>14</v>
      </c>
      <c r="E13341" s="5" t="s">
        <v>16</v>
      </c>
      <c r="F13341" s="5" t="s">
        <v>145</v>
      </c>
      <c r="G13341" s="5" t="s">
        <v>2360</v>
      </c>
      <c r="H13341" s="5" t="s">
        <v>2638</v>
      </c>
      <c r="I13341" s="5" t="s">
        <v>31</v>
      </c>
      <c r="J13341" s="5">
        <v>18.063268149999999</v>
      </c>
      <c r="K13341" s="5">
        <v>-97.720495189999994</v>
      </c>
      <c r="L13341" s="5" t="str">
        <f>HYPERLINK("https://maps.google.com/?q=18.06326815,-97.720495189999994", "🔗 Ver Mapa")</f>
        <v>🔗 Ver Mapa</v>
      </c>
    </row>
    <row r="13342" spans="1:12" ht="58" x14ac:dyDescent="0.35">
      <c r="A13342" s="6" t="s">
        <v>98</v>
      </c>
      <c r="B13342" s="6" t="s">
        <v>99</v>
      </c>
      <c r="C13342" s="6" t="s">
        <v>2637</v>
      </c>
      <c r="D13342" s="6" t="s">
        <v>14</v>
      </c>
      <c r="E13342" s="6" t="s">
        <v>16</v>
      </c>
      <c r="F13342" s="6" t="s">
        <v>145</v>
      </c>
      <c r="G13342" s="6" t="s">
        <v>2360</v>
      </c>
      <c r="H13342" s="6" t="s">
        <v>2638</v>
      </c>
      <c r="I13342" s="6" t="s">
        <v>31</v>
      </c>
      <c r="J13342" s="6">
        <v>18.063476850000001</v>
      </c>
      <c r="K13342" s="6">
        <v>-97.7196055</v>
      </c>
      <c r="L13342" s="6" t="str">
        <f>HYPERLINK("https://maps.google.com/?q=18.06347685,-97.7196055", "🔗 Ver Mapa")</f>
        <v>🔗 Ver Mapa</v>
      </c>
    </row>
    <row r="13343" spans="1:12" ht="43.5" x14ac:dyDescent="0.35">
      <c r="A13343" s="5" t="s">
        <v>98</v>
      </c>
      <c r="B13343" s="5" t="s">
        <v>99</v>
      </c>
      <c r="C13343" s="5" t="s">
        <v>2639</v>
      </c>
      <c r="D13343" s="5" t="s">
        <v>14</v>
      </c>
      <c r="E13343" s="5" t="s">
        <v>39</v>
      </c>
      <c r="F13343" s="5" t="s">
        <v>353</v>
      </c>
      <c r="G13343" s="5" t="s">
        <v>1417</v>
      </c>
      <c r="H13343" s="5" t="s">
        <v>1418</v>
      </c>
      <c r="I13343" s="5" t="s">
        <v>31</v>
      </c>
      <c r="J13343" s="5">
        <v>16.313612389266002</v>
      </c>
      <c r="K13343" s="5">
        <v>-96.673340038028996</v>
      </c>
      <c r="L13343" s="5" t="str">
        <f>HYPERLINK("https://maps.google.com/?q=16.3136123892658,-96.673340038028698", "🔗 Ver Mapa")</f>
        <v>🔗 Ver Mapa</v>
      </c>
    </row>
    <row r="13344" spans="1:12" ht="43.5" x14ac:dyDescent="0.35">
      <c r="A13344" s="6" t="s">
        <v>98</v>
      </c>
      <c r="B13344" s="6" t="s">
        <v>99</v>
      </c>
      <c r="C13344" s="6" t="s">
        <v>2639</v>
      </c>
      <c r="D13344" s="6" t="s">
        <v>14</v>
      </c>
      <c r="E13344" s="6" t="s">
        <v>39</v>
      </c>
      <c r="F13344" s="6" t="s">
        <v>353</v>
      </c>
      <c r="G13344" s="6" t="s">
        <v>1417</v>
      </c>
      <c r="H13344" s="6" t="s">
        <v>1418</v>
      </c>
      <c r="I13344" s="6" t="s">
        <v>31</v>
      </c>
      <c r="J13344" s="6">
        <v>16.313841316931001</v>
      </c>
      <c r="K13344" s="6">
        <v>-96.673165423279002</v>
      </c>
      <c r="L13344" s="6" t="str">
        <f>HYPERLINK("https://maps.google.com/?q=16.3138413169309,-96.673165423278903", "🔗 Ver Mapa")</f>
        <v>🔗 Ver Mapa</v>
      </c>
    </row>
    <row r="13345" spans="1:12" ht="43.5" x14ac:dyDescent="0.35">
      <c r="A13345" s="5" t="s">
        <v>98</v>
      </c>
      <c r="B13345" s="5" t="s">
        <v>99</v>
      </c>
      <c r="C13345" s="5" t="s">
        <v>2639</v>
      </c>
      <c r="D13345" s="5" t="s">
        <v>14</v>
      </c>
      <c r="E13345" s="5" t="s">
        <v>39</v>
      </c>
      <c r="F13345" s="5" t="s">
        <v>353</v>
      </c>
      <c r="G13345" s="5" t="s">
        <v>1417</v>
      </c>
      <c r="H13345" s="5" t="s">
        <v>1418</v>
      </c>
      <c r="I13345" s="5" t="s">
        <v>31</v>
      </c>
      <c r="J13345" s="5">
        <v>16.314348676516001</v>
      </c>
      <c r="K13345" s="5">
        <v>-96.672665775463003</v>
      </c>
      <c r="L13345" s="5" t="str">
        <f>HYPERLINK("https://maps.google.com/?q=16.3143486765157,-96.672665775462903", "🔗 Ver Mapa")</f>
        <v>🔗 Ver Mapa</v>
      </c>
    </row>
    <row r="13346" spans="1:12" ht="43.5" x14ac:dyDescent="0.35">
      <c r="A13346" s="6" t="s">
        <v>98</v>
      </c>
      <c r="B13346" s="6" t="s">
        <v>99</v>
      </c>
      <c r="C13346" s="6" t="s">
        <v>2639</v>
      </c>
      <c r="D13346" s="6" t="s">
        <v>14</v>
      </c>
      <c r="E13346" s="6" t="s">
        <v>39</v>
      </c>
      <c r="F13346" s="6" t="s">
        <v>353</v>
      </c>
      <c r="G13346" s="6" t="s">
        <v>1417</v>
      </c>
      <c r="H13346" s="6" t="s">
        <v>1418</v>
      </c>
      <c r="I13346" s="6" t="s">
        <v>31</v>
      </c>
      <c r="J13346" s="6">
        <v>16.314422766578002</v>
      </c>
      <c r="K13346" s="6">
        <v>-96.674798504299005</v>
      </c>
      <c r="L13346" s="6" t="str">
        <f>HYPERLINK("https://maps.google.com/?q=16.3144227665775,-96.674798504299105", "🔗 Ver Mapa")</f>
        <v>🔗 Ver Mapa</v>
      </c>
    </row>
    <row r="13347" spans="1:12" ht="43.5" x14ac:dyDescent="0.35">
      <c r="A13347" s="5" t="s">
        <v>98</v>
      </c>
      <c r="B13347" s="5" t="s">
        <v>99</v>
      </c>
      <c r="C13347" s="5" t="s">
        <v>2639</v>
      </c>
      <c r="D13347" s="5" t="s">
        <v>14</v>
      </c>
      <c r="E13347" s="5" t="s">
        <v>39</v>
      </c>
      <c r="F13347" s="5" t="s">
        <v>353</v>
      </c>
      <c r="G13347" s="5" t="s">
        <v>1417</v>
      </c>
      <c r="H13347" s="5" t="s">
        <v>1418</v>
      </c>
      <c r="I13347" s="5" t="s">
        <v>31</v>
      </c>
      <c r="J13347" s="5">
        <v>16.314996813514998</v>
      </c>
      <c r="K13347" s="5">
        <v>-96.673346426229998</v>
      </c>
      <c r="L13347" s="5" t="str">
        <f>HYPERLINK("https://maps.google.com/?q=16.3149968135148,-96.6733464262296", "🔗 Ver Mapa")</f>
        <v>🔗 Ver Mapa</v>
      </c>
    </row>
    <row r="13348" spans="1:12" ht="43.5" x14ac:dyDescent="0.35">
      <c r="A13348" s="6" t="s">
        <v>98</v>
      </c>
      <c r="B13348" s="6" t="s">
        <v>99</v>
      </c>
      <c r="C13348" s="6" t="s">
        <v>2639</v>
      </c>
      <c r="D13348" s="6" t="s">
        <v>14</v>
      </c>
      <c r="E13348" s="6" t="s">
        <v>39</v>
      </c>
      <c r="F13348" s="6" t="s">
        <v>353</v>
      </c>
      <c r="G13348" s="6" t="s">
        <v>1417</v>
      </c>
      <c r="H13348" s="6" t="s">
        <v>1418</v>
      </c>
      <c r="I13348" s="6" t="s">
        <v>31</v>
      </c>
      <c r="J13348" s="6">
        <v>16.315986999667999</v>
      </c>
      <c r="K13348" s="6">
        <v>-96.668229699500003</v>
      </c>
      <c r="L13348" s="6" t="str">
        <f>HYPERLINK("https://maps.google.com/?q=16.3159869996681,-96.6682296994999", "🔗 Ver Mapa")</f>
        <v>🔗 Ver Mapa</v>
      </c>
    </row>
    <row r="13349" spans="1:12" ht="43.5" x14ac:dyDescent="0.35">
      <c r="A13349" s="5" t="s">
        <v>98</v>
      </c>
      <c r="B13349" s="5" t="s">
        <v>99</v>
      </c>
      <c r="C13349" s="5" t="s">
        <v>2639</v>
      </c>
      <c r="D13349" s="5" t="s">
        <v>14</v>
      </c>
      <c r="E13349" s="5" t="s">
        <v>39</v>
      </c>
      <c r="F13349" s="5" t="s">
        <v>353</v>
      </c>
      <c r="G13349" s="5" t="s">
        <v>1417</v>
      </c>
      <c r="H13349" s="5" t="s">
        <v>1418</v>
      </c>
      <c r="I13349" s="5" t="s">
        <v>31</v>
      </c>
      <c r="J13349" s="5">
        <v>16.316466499653998</v>
      </c>
      <c r="K13349" s="5">
        <v>-96.669402334988007</v>
      </c>
      <c r="L13349" s="5" t="str">
        <f>HYPERLINK("https://maps.google.com/?q=16.3164664996543,-96.669402334987595", "🔗 Ver Mapa")</f>
        <v>🔗 Ver Mapa</v>
      </c>
    </row>
    <row r="13350" spans="1:12" ht="43.5" x14ac:dyDescent="0.35">
      <c r="A13350" s="6" t="s">
        <v>98</v>
      </c>
      <c r="B13350" s="6" t="s">
        <v>99</v>
      </c>
      <c r="C13350" s="6" t="s">
        <v>2639</v>
      </c>
      <c r="D13350" s="6" t="s">
        <v>14</v>
      </c>
      <c r="E13350" s="6" t="s">
        <v>39</v>
      </c>
      <c r="F13350" s="6" t="s">
        <v>353</v>
      </c>
      <c r="G13350" s="6" t="s">
        <v>1417</v>
      </c>
      <c r="H13350" s="6" t="s">
        <v>1418</v>
      </c>
      <c r="I13350" s="6" t="s">
        <v>31</v>
      </c>
      <c r="J13350" s="6">
        <v>16.316916332239</v>
      </c>
      <c r="K13350" s="6">
        <v>-96.672349673610995</v>
      </c>
      <c r="L13350" s="6" t="str">
        <f>HYPERLINK("https://maps.google.com/?q=16.3169163322393,-96.672349673610697", "🔗 Ver Mapa")</f>
        <v>🔗 Ver Mapa</v>
      </c>
    </row>
    <row r="13351" spans="1:12" ht="43.5" x14ac:dyDescent="0.35">
      <c r="A13351" s="5" t="s">
        <v>98</v>
      </c>
      <c r="B13351" s="5" t="s">
        <v>99</v>
      </c>
      <c r="C13351" s="5" t="s">
        <v>2639</v>
      </c>
      <c r="D13351" s="5" t="s">
        <v>14</v>
      </c>
      <c r="E13351" s="5" t="s">
        <v>39</v>
      </c>
      <c r="F13351" s="5" t="s">
        <v>353</v>
      </c>
      <c r="G13351" s="5" t="s">
        <v>1417</v>
      </c>
      <c r="H13351" s="5" t="s">
        <v>1418</v>
      </c>
      <c r="I13351" s="5" t="s">
        <v>31</v>
      </c>
      <c r="J13351" s="5">
        <v>16.317155590637999</v>
      </c>
      <c r="K13351" s="5">
        <v>-96.667074846557</v>
      </c>
      <c r="L13351" s="5" t="str">
        <f>HYPERLINK("https://maps.google.com/?q=16.3171555906379,-96.667074846557497", "🔗 Ver Mapa")</f>
        <v>🔗 Ver Mapa</v>
      </c>
    </row>
    <row r="13352" spans="1:12" ht="43.5" x14ac:dyDescent="0.35">
      <c r="A13352" s="6" t="s">
        <v>98</v>
      </c>
      <c r="B13352" s="6" t="s">
        <v>99</v>
      </c>
      <c r="C13352" s="6" t="s">
        <v>2639</v>
      </c>
      <c r="D13352" s="6" t="s">
        <v>14</v>
      </c>
      <c r="E13352" s="6" t="s">
        <v>39</v>
      </c>
      <c r="F13352" s="6" t="s">
        <v>353</v>
      </c>
      <c r="G13352" s="6" t="s">
        <v>1417</v>
      </c>
      <c r="H13352" s="6" t="s">
        <v>1418</v>
      </c>
      <c r="I13352" s="6" t="s">
        <v>31</v>
      </c>
      <c r="J13352" s="6">
        <v>16.317250393927001</v>
      </c>
      <c r="K13352" s="6">
        <v>-96.667090746621</v>
      </c>
      <c r="L13352" s="6" t="str">
        <f>HYPERLINK("https://maps.google.com/?q=16.3172503939274,-96.667090746620602", "🔗 Ver Mapa")</f>
        <v>🔗 Ver Mapa</v>
      </c>
    </row>
    <row r="13353" spans="1:12" ht="43.5" x14ac:dyDescent="0.35">
      <c r="A13353" s="5" t="s">
        <v>98</v>
      </c>
      <c r="B13353" s="5" t="s">
        <v>99</v>
      </c>
      <c r="C13353" s="5" t="s">
        <v>2639</v>
      </c>
      <c r="D13353" s="5" t="s">
        <v>14</v>
      </c>
      <c r="E13353" s="5" t="s">
        <v>39</v>
      </c>
      <c r="F13353" s="5" t="s">
        <v>353</v>
      </c>
      <c r="G13353" s="5" t="s">
        <v>1417</v>
      </c>
      <c r="H13353" s="5" t="s">
        <v>1418</v>
      </c>
      <c r="I13353" s="5" t="s">
        <v>31</v>
      </c>
      <c r="J13353" s="5">
        <v>16.317354964174001</v>
      </c>
      <c r="K13353" s="5">
        <v>-96.668685188956005</v>
      </c>
      <c r="L13353" s="5" t="str">
        <f>HYPERLINK("https://maps.google.com/?q=16.3173549641744,-96.668685188955806", "🔗 Ver Mapa")</f>
        <v>🔗 Ver Mapa</v>
      </c>
    </row>
    <row r="13354" spans="1:12" ht="43.5" x14ac:dyDescent="0.35">
      <c r="A13354" s="6" t="s">
        <v>98</v>
      </c>
      <c r="B13354" s="6" t="s">
        <v>99</v>
      </c>
      <c r="C13354" s="6" t="s">
        <v>2639</v>
      </c>
      <c r="D13354" s="6" t="s">
        <v>14</v>
      </c>
      <c r="E13354" s="6" t="s">
        <v>39</v>
      </c>
      <c r="F13354" s="6" t="s">
        <v>353</v>
      </c>
      <c r="G13354" s="6" t="s">
        <v>1417</v>
      </c>
      <c r="H13354" s="6" t="s">
        <v>1418</v>
      </c>
      <c r="I13354" s="6" t="s">
        <v>31</v>
      </c>
      <c r="J13354" s="6">
        <v>16.319545352466999</v>
      </c>
      <c r="K13354" s="6">
        <v>-96.674775720238003</v>
      </c>
      <c r="L13354" s="6" t="str">
        <f>HYPERLINK("https://maps.google.com/?q=16.3195453524672,-96.674775720237704", "🔗 Ver Mapa")</f>
        <v>🔗 Ver Mapa</v>
      </c>
    </row>
    <row r="13355" spans="1:12" ht="43.5" x14ac:dyDescent="0.35">
      <c r="A13355" s="5" t="s">
        <v>98</v>
      </c>
      <c r="B13355" s="5" t="s">
        <v>99</v>
      </c>
      <c r="C13355" s="5" t="s">
        <v>2639</v>
      </c>
      <c r="D13355" s="5" t="s">
        <v>14</v>
      </c>
      <c r="E13355" s="5" t="s">
        <v>39</v>
      </c>
      <c r="F13355" s="5" t="s">
        <v>353</v>
      </c>
      <c r="G13355" s="5" t="s">
        <v>1417</v>
      </c>
      <c r="H13355" s="5" t="s">
        <v>1418</v>
      </c>
      <c r="I13355" s="5" t="s">
        <v>31</v>
      </c>
      <c r="J13355" s="5">
        <v>16.319653665413</v>
      </c>
      <c r="K13355" s="5">
        <v>-96.675441029750999</v>
      </c>
      <c r="L13355" s="5" t="str">
        <f>HYPERLINK("https://maps.google.com/?q=16.3196536654131,-96.6754410297508", "🔗 Ver Mapa")</f>
        <v>🔗 Ver Mapa</v>
      </c>
    </row>
    <row r="13356" spans="1:12" ht="43.5" x14ac:dyDescent="0.35">
      <c r="A13356" s="6" t="s">
        <v>98</v>
      </c>
      <c r="B13356" s="6" t="s">
        <v>99</v>
      </c>
      <c r="C13356" s="6" t="s">
        <v>2639</v>
      </c>
      <c r="D13356" s="6" t="s">
        <v>14</v>
      </c>
      <c r="E13356" s="6" t="s">
        <v>39</v>
      </c>
      <c r="F13356" s="6" t="s">
        <v>353</v>
      </c>
      <c r="G13356" s="6" t="s">
        <v>1417</v>
      </c>
      <c r="H13356" s="6" t="s">
        <v>1418</v>
      </c>
      <c r="I13356" s="6" t="s">
        <v>31</v>
      </c>
      <c r="J13356" s="6">
        <v>16.319684775391998</v>
      </c>
      <c r="K13356" s="6">
        <v>-96.675681454613994</v>
      </c>
      <c r="L13356" s="6" t="str">
        <f>HYPERLINK("https://maps.google.com/?q=16.3196847753923,-96.675681454613695", "🔗 Ver Mapa")</f>
        <v>🔗 Ver Mapa</v>
      </c>
    </row>
    <row r="13357" spans="1:12" ht="43.5" x14ac:dyDescent="0.35">
      <c r="A13357" s="5" t="s">
        <v>98</v>
      </c>
      <c r="B13357" s="5" t="s">
        <v>99</v>
      </c>
      <c r="C13357" s="5" t="s">
        <v>2639</v>
      </c>
      <c r="D13357" s="5" t="s">
        <v>14</v>
      </c>
      <c r="E13357" s="5" t="s">
        <v>39</v>
      </c>
      <c r="F13357" s="5" t="s">
        <v>353</v>
      </c>
      <c r="G13357" s="5" t="s">
        <v>1417</v>
      </c>
      <c r="H13357" s="5" t="s">
        <v>1418</v>
      </c>
      <c r="I13357" s="5" t="s">
        <v>31</v>
      </c>
      <c r="J13357" s="5">
        <v>16.320062409479</v>
      </c>
      <c r="K13357" s="5">
        <v>-96.672923626984002</v>
      </c>
      <c r="L13357" s="5" t="str">
        <f>HYPERLINK("https://maps.google.com/?q=16.320062409479,-96.672923626983604", "🔗 Ver Mapa")</f>
        <v>🔗 Ver Mapa</v>
      </c>
    </row>
    <row r="13358" spans="1:12" ht="43.5" x14ac:dyDescent="0.35">
      <c r="A13358" s="6" t="s">
        <v>98</v>
      </c>
      <c r="B13358" s="6" t="s">
        <v>99</v>
      </c>
      <c r="C13358" s="6" t="s">
        <v>2639</v>
      </c>
      <c r="D13358" s="6" t="s">
        <v>14</v>
      </c>
      <c r="E13358" s="6" t="s">
        <v>39</v>
      </c>
      <c r="F13358" s="6" t="s">
        <v>353</v>
      </c>
      <c r="G13358" s="6" t="s">
        <v>1417</v>
      </c>
      <c r="H13358" s="6" t="s">
        <v>1418</v>
      </c>
      <c r="I13358" s="6" t="s">
        <v>31</v>
      </c>
      <c r="J13358" s="6">
        <v>16.320067456835002</v>
      </c>
      <c r="K13358" s="6">
        <v>-96.673999442956998</v>
      </c>
      <c r="L13358" s="6" t="str">
        <f>HYPERLINK("https://maps.google.com/?q=16.3200674568352,-96.673999442956898", "🔗 Ver Mapa")</f>
        <v>🔗 Ver Mapa</v>
      </c>
    </row>
    <row r="13359" spans="1:12" ht="43.5" x14ac:dyDescent="0.35">
      <c r="A13359" s="5" t="s">
        <v>98</v>
      </c>
      <c r="B13359" s="5" t="s">
        <v>99</v>
      </c>
      <c r="C13359" s="5" t="s">
        <v>2639</v>
      </c>
      <c r="D13359" s="5" t="s">
        <v>14</v>
      </c>
      <c r="E13359" s="5" t="s">
        <v>39</v>
      </c>
      <c r="F13359" s="5" t="s">
        <v>353</v>
      </c>
      <c r="G13359" s="5" t="s">
        <v>1417</v>
      </c>
      <c r="H13359" s="5" t="s">
        <v>1418</v>
      </c>
      <c r="I13359" s="5" t="s">
        <v>31</v>
      </c>
      <c r="J13359" s="5">
        <v>16.32037146323</v>
      </c>
      <c r="K13359" s="5">
        <v>-96.680535991401996</v>
      </c>
      <c r="L13359" s="5" t="str">
        <f>HYPERLINK("https://maps.google.com/?q=16.3203714632297,-96.680535991401698", "🔗 Ver Mapa")</f>
        <v>🔗 Ver Mapa</v>
      </c>
    </row>
    <row r="13360" spans="1:12" ht="43.5" x14ac:dyDescent="0.35">
      <c r="A13360" s="6" t="s">
        <v>98</v>
      </c>
      <c r="B13360" s="6" t="s">
        <v>99</v>
      </c>
      <c r="C13360" s="6" t="s">
        <v>2639</v>
      </c>
      <c r="D13360" s="6" t="s">
        <v>14</v>
      </c>
      <c r="E13360" s="6" t="s">
        <v>39</v>
      </c>
      <c r="F13360" s="6" t="s">
        <v>353</v>
      </c>
      <c r="G13360" s="6" t="s">
        <v>1417</v>
      </c>
      <c r="H13360" s="6" t="s">
        <v>1418</v>
      </c>
      <c r="I13360" s="6" t="s">
        <v>31</v>
      </c>
      <c r="J13360" s="6">
        <v>16.32054162719</v>
      </c>
      <c r="K13360" s="6">
        <v>-96.673135119625996</v>
      </c>
      <c r="L13360" s="6" t="str">
        <f>HYPERLINK("https://maps.google.com/?q=16.3205416271896,-96.673135119625996", "🔗 Ver Mapa")</f>
        <v>🔗 Ver Mapa</v>
      </c>
    </row>
    <row r="13361" spans="1:12" ht="43.5" x14ac:dyDescent="0.35">
      <c r="A13361" s="5" t="s">
        <v>98</v>
      </c>
      <c r="B13361" s="5" t="s">
        <v>99</v>
      </c>
      <c r="C13361" s="5" t="s">
        <v>2639</v>
      </c>
      <c r="D13361" s="5" t="s">
        <v>14</v>
      </c>
      <c r="E13361" s="5" t="s">
        <v>39</v>
      </c>
      <c r="F13361" s="5" t="s">
        <v>353</v>
      </c>
      <c r="G13361" s="5" t="s">
        <v>1417</v>
      </c>
      <c r="H13361" s="5" t="s">
        <v>1418</v>
      </c>
      <c r="I13361" s="5" t="s">
        <v>31</v>
      </c>
      <c r="J13361" s="5">
        <v>16.320619515356</v>
      </c>
      <c r="K13361" s="5">
        <v>-96.673699171459006</v>
      </c>
      <c r="L13361" s="5" t="str">
        <f>HYPERLINK("https://maps.google.com/?q=16.3206195153564,-96.673699171459106", "🔗 Ver Mapa")</f>
        <v>🔗 Ver Mapa</v>
      </c>
    </row>
    <row r="13362" spans="1:12" ht="43.5" x14ac:dyDescent="0.35">
      <c r="A13362" s="6" t="s">
        <v>98</v>
      </c>
      <c r="B13362" s="6" t="s">
        <v>99</v>
      </c>
      <c r="C13362" s="6" t="s">
        <v>2639</v>
      </c>
      <c r="D13362" s="6" t="s">
        <v>14</v>
      </c>
      <c r="E13362" s="6" t="s">
        <v>39</v>
      </c>
      <c r="F13362" s="6" t="s">
        <v>353</v>
      </c>
      <c r="G13362" s="6" t="s">
        <v>1417</v>
      </c>
      <c r="H13362" s="6" t="s">
        <v>1418</v>
      </c>
      <c r="I13362" s="6" t="s">
        <v>31</v>
      </c>
      <c r="J13362" s="6">
        <v>16.320736706051999</v>
      </c>
      <c r="K13362" s="6">
        <v>-96.672766705523003</v>
      </c>
      <c r="L13362" s="6" t="str">
        <f>HYPERLINK("https://maps.google.com/?q=16.3207367060524,-96.672766705522506", "🔗 Ver Mapa")</f>
        <v>🔗 Ver Mapa</v>
      </c>
    </row>
    <row r="13363" spans="1:12" ht="43.5" x14ac:dyDescent="0.35">
      <c r="A13363" s="5" t="s">
        <v>98</v>
      </c>
      <c r="B13363" s="5" t="s">
        <v>99</v>
      </c>
      <c r="C13363" s="5" t="s">
        <v>2639</v>
      </c>
      <c r="D13363" s="5" t="s">
        <v>14</v>
      </c>
      <c r="E13363" s="5" t="s">
        <v>39</v>
      </c>
      <c r="F13363" s="5" t="s">
        <v>353</v>
      </c>
      <c r="G13363" s="5" t="s">
        <v>1417</v>
      </c>
      <c r="H13363" s="5" t="s">
        <v>1418</v>
      </c>
      <c r="I13363" s="5" t="s">
        <v>31</v>
      </c>
      <c r="J13363" s="5">
        <v>16.320799402896</v>
      </c>
      <c r="K13363" s="5">
        <v>-96.679761501818007</v>
      </c>
      <c r="L13363" s="5" t="str">
        <f>HYPERLINK("https://maps.google.com/?q=16.3207994028964,-96.679761501817694", "🔗 Ver Mapa")</f>
        <v>🔗 Ver Mapa</v>
      </c>
    </row>
    <row r="13364" spans="1:12" ht="43.5" x14ac:dyDescent="0.35">
      <c r="A13364" s="6" t="s">
        <v>98</v>
      </c>
      <c r="B13364" s="6" t="s">
        <v>99</v>
      </c>
      <c r="C13364" s="6" t="s">
        <v>2639</v>
      </c>
      <c r="D13364" s="6" t="s">
        <v>14</v>
      </c>
      <c r="E13364" s="6" t="s">
        <v>39</v>
      </c>
      <c r="F13364" s="6" t="s">
        <v>353</v>
      </c>
      <c r="G13364" s="6" t="s">
        <v>1417</v>
      </c>
      <c r="H13364" s="6" t="s">
        <v>1418</v>
      </c>
      <c r="I13364" s="6" t="s">
        <v>31</v>
      </c>
      <c r="J13364" s="6">
        <v>16.320859485044998</v>
      </c>
      <c r="K13364" s="6">
        <v>-96.679994533729001</v>
      </c>
      <c r="L13364" s="6" t="str">
        <f>HYPERLINK("https://maps.google.com/?q=16.3208594850453,-96.679994533729499", "🔗 Ver Mapa")</f>
        <v>🔗 Ver Mapa</v>
      </c>
    </row>
    <row r="13365" spans="1:12" ht="43.5" x14ac:dyDescent="0.35">
      <c r="A13365" s="5" t="s">
        <v>98</v>
      </c>
      <c r="B13365" s="5" t="s">
        <v>99</v>
      </c>
      <c r="C13365" s="5" t="s">
        <v>2639</v>
      </c>
      <c r="D13365" s="5" t="s">
        <v>14</v>
      </c>
      <c r="E13365" s="5" t="s">
        <v>39</v>
      </c>
      <c r="F13365" s="5" t="s">
        <v>353</v>
      </c>
      <c r="G13365" s="5" t="s">
        <v>1417</v>
      </c>
      <c r="H13365" s="5" t="s">
        <v>1418</v>
      </c>
      <c r="I13365" s="5" t="s">
        <v>31</v>
      </c>
      <c r="J13365" s="5">
        <v>16.321036826602001</v>
      </c>
      <c r="K13365" s="5">
        <v>-96.673280994750996</v>
      </c>
      <c r="L13365" s="5" t="str">
        <f>HYPERLINK("https://maps.google.com/?q=16.3210368266018,-96.673280994750797", "🔗 Ver Mapa")</f>
        <v>🔗 Ver Mapa</v>
      </c>
    </row>
    <row r="13366" spans="1:12" ht="43.5" x14ac:dyDescent="0.35">
      <c r="A13366" s="6" t="s">
        <v>98</v>
      </c>
      <c r="B13366" s="6" t="s">
        <v>99</v>
      </c>
      <c r="C13366" s="6" t="s">
        <v>2639</v>
      </c>
      <c r="D13366" s="6" t="s">
        <v>14</v>
      </c>
      <c r="E13366" s="6" t="s">
        <v>39</v>
      </c>
      <c r="F13366" s="6" t="s">
        <v>353</v>
      </c>
      <c r="G13366" s="6" t="s">
        <v>1417</v>
      </c>
      <c r="H13366" s="6" t="s">
        <v>1418</v>
      </c>
      <c r="I13366" s="6" t="s">
        <v>31</v>
      </c>
      <c r="J13366" s="6">
        <v>16.321489818983</v>
      </c>
      <c r="K13366" s="6">
        <v>-96.673353985285004</v>
      </c>
      <c r="L13366" s="6" t="str">
        <f>HYPERLINK("https://maps.google.com/?q=16.3214898189828,-96.673353985284905", "🔗 Ver Mapa")</f>
        <v>🔗 Ver Mapa</v>
      </c>
    </row>
    <row r="13367" spans="1:12" ht="43.5" x14ac:dyDescent="0.35">
      <c r="A13367" s="5" t="s">
        <v>98</v>
      </c>
      <c r="B13367" s="5" t="s">
        <v>99</v>
      </c>
      <c r="C13367" s="5" t="s">
        <v>2639</v>
      </c>
      <c r="D13367" s="5" t="s">
        <v>14</v>
      </c>
      <c r="E13367" s="5" t="s">
        <v>39</v>
      </c>
      <c r="F13367" s="5" t="s">
        <v>353</v>
      </c>
      <c r="G13367" s="5" t="s">
        <v>1417</v>
      </c>
      <c r="H13367" s="5" t="s">
        <v>1418</v>
      </c>
      <c r="I13367" s="5" t="s">
        <v>31</v>
      </c>
      <c r="J13367" s="5">
        <v>16.321639781299002</v>
      </c>
      <c r="K13367" s="5">
        <v>-96.673214061341994</v>
      </c>
      <c r="L13367" s="5" t="str">
        <f>HYPERLINK("https://maps.google.com/?q=16.3216397812987,-96.673214061342193", "🔗 Ver Mapa")</f>
        <v>🔗 Ver Mapa</v>
      </c>
    </row>
    <row r="13368" spans="1:12" ht="43.5" x14ac:dyDescent="0.35">
      <c r="A13368" s="6" t="s">
        <v>98</v>
      </c>
      <c r="B13368" s="6" t="s">
        <v>99</v>
      </c>
      <c r="C13368" s="6" t="s">
        <v>2639</v>
      </c>
      <c r="D13368" s="6" t="s">
        <v>14</v>
      </c>
      <c r="E13368" s="6" t="s">
        <v>39</v>
      </c>
      <c r="F13368" s="6" t="s">
        <v>353</v>
      </c>
      <c r="G13368" s="6" t="s">
        <v>1417</v>
      </c>
      <c r="H13368" s="6" t="s">
        <v>1418</v>
      </c>
      <c r="I13368" s="6" t="s">
        <v>31</v>
      </c>
      <c r="J13368" s="6">
        <v>16.321669166568</v>
      </c>
      <c r="K13368" s="6">
        <v>-96.672027550875995</v>
      </c>
      <c r="L13368" s="6" t="str">
        <f>HYPERLINK("https://maps.google.com/?q=16.3216691665678,-96.672027550875697", "🔗 Ver Mapa")</f>
        <v>🔗 Ver Mapa</v>
      </c>
    </row>
    <row r="13369" spans="1:12" ht="43.5" x14ac:dyDescent="0.35">
      <c r="A13369" s="5" t="s">
        <v>98</v>
      </c>
      <c r="B13369" s="5" t="s">
        <v>99</v>
      </c>
      <c r="C13369" s="5" t="s">
        <v>2639</v>
      </c>
      <c r="D13369" s="5" t="s">
        <v>14</v>
      </c>
      <c r="E13369" s="5" t="s">
        <v>39</v>
      </c>
      <c r="F13369" s="5" t="s">
        <v>353</v>
      </c>
      <c r="G13369" s="5" t="s">
        <v>1417</v>
      </c>
      <c r="H13369" s="5" t="s">
        <v>1418</v>
      </c>
      <c r="I13369" s="5" t="s">
        <v>31</v>
      </c>
      <c r="J13369" s="5">
        <v>16.321831565317002</v>
      </c>
      <c r="K13369" s="5">
        <v>-96.670078976686995</v>
      </c>
      <c r="L13369" s="5" t="str">
        <f>HYPERLINK("https://maps.google.com/?q=16.3218315653168,-96.670078976686597", "🔗 Ver Mapa")</f>
        <v>🔗 Ver Mapa</v>
      </c>
    </row>
    <row r="13370" spans="1:12" ht="43.5" x14ac:dyDescent="0.35">
      <c r="A13370" s="6" t="s">
        <v>98</v>
      </c>
      <c r="B13370" s="6" t="s">
        <v>99</v>
      </c>
      <c r="C13370" s="6" t="s">
        <v>2639</v>
      </c>
      <c r="D13370" s="6" t="s">
        <v>14</v>
      </c>
      <c r="E13370" s="6" t="s">
        <v>39</v>
      </c>
      <c r="F13370" s="6" t="s">
        <v>353</v>
      </c>
      <c r="G13370" s="6" t="s">
        <v>1417</v>
      </c>
      <c r="H13370" s="6" t="s">
        <v>1418</v>
      </c>
      <c r="I13370" s="6" t="s">
        <v>31</v>
      </c>
      <c r="J13370" s="6">
        <v>16.321951724885</v>
      </c>
      <c r="K13370" s="6">
        <v>-96.672435953372997</v>
      </c>
      <c r="L13370" s="6" t="str">
        <f>HYPERLINK("https://maps.google.com/?q=16.3219517248849,-96.672435953373096", "🔗 Ver Mapa")</f>
        <v>🔗 Ver Mapa</v>
      </c>
    </row>
    <row r="13371" spans="1:12" ht="43.5" x14ac:dyDescent="0.35">
      <c r="A13371" s="5" t="s">
        <v>98</v>
      </c>
      <c r="B13371" s="5" t="s">
        <v>99</v>
      </c>
      <c r="C13371" s="5" t="s">
        <v>2639</v>
      </c>
      <c r="D13371" s="5" t="s">
        <v>14</v>
      </c>
      <c r="E13371" s="5" t="s">
        <v>39</v>
      </c>
      <c r="F13371" s="5" t="s">
        <v>353</v>
      </c>
      <c r="G13371" s="5" t="s">
        <v>1417</v>
      </c>
      <c r="H13371" s="5" t="s">
        <v>1418</v>
      </c>
      <c r="I13371" s="5" t="s">
        <v>31</v>
      </c>
      <c r="J13371" s="5">
        <v>16.322099365921002</v>
      </c>
      <c r="K13371" s="5">
        <v>-96.669947072232006</v>
      </c>
      <c r="L13371" s="5" t="str">
        <f>HYPERLINK("https://maps.google.com/?q=16.3220993659209,-96.669947072232205", "🔗 Ver Mapa")</f>
        <v>🔗 Ver Mapa</v>
      </c>
    </row>
    <row r="13372" spans="1:12" ht="43.5" x14ac:dyDescent="0.35">
      <c r="A13372" s="6" t="s">
        <v>98</v>
      </c>
      <c r="B13372" s="6" t="s">
        <v>99</v>
      </c>
      <c r="C13372" s="6" t="s">
        <v>2639</v>
      </c>
      <c r="D13372" s="6" t="s">
        <v>14</v>
      </c>
      <c r="E13372" s="6" t="s">
        <v>39</v>
      </c>
      <c r="F13372" s="6" t="s">
        <v>353</v>
      </c>
      <c r="G13372" s="6" t="s">
        <v>1417</v>
      </c>
      <c r="H13372" s="6" t="s">
        <v>1418</v>
      </c>
      <c r="I13372" s="6" t="s">
        <v>31</v>
      </c>
      <c r="J13372" s="6">
        <v>16.322501465892</v>
      </c>
      <c r="K13372" s="6">
        <v>-96.672055609786995</v>
      </c>
      <c r="L13372" s="6" t="str">
        <f>HYPERLINK("https://maps.google.com/?q=16.3225014658918,-96.672055609787094", "🔗 Ver Mapa")</f>
        <v>🔗 Ver Mapa</v>
      </c>
    </row>
    <row r="13373" spans="1:12" ht="43.5" x14ac:dyDescent="0.35">
      <c r="A13373" s="5" t="s">
        <v>98</v>
      </c>
      <c r="B13373" s="5" t="s">
        <v>99</v>
      </c>
      <c r="C13373" s="5" t="s">
        <v>2639</v>
      </c>
      <c r="D13373" s="5" t="s">
        <v>14</v>
      </c>
      <c r="E13373" s="5" t="s">
        <v>39</v>
      </c>
      <c r="F13373" s="5" t="s">
        <v>353</v>
      </c>
      <c r="G13373" s="5" t="s">
        <v>1417</v>
      </c>
      <c r="H13373" s="5" t="s">
        <v>1418</v>
      </c>
      <c r="I13373" s="5" t="s">
        <v>31</v>
      </c>
      <c r="J13373" s="5">
        <v>16.322749002556002</v>
      </c>
      <c r="K13373" s="5">
        <v>-96.673983813492001</v>
      </c>
      <c r="L13373" s="5" t="str">
        <f>HYPERLINK("https://maps.google.com/?q=16.3227490025555,-96.673983813491901", "🔗 Ver Mapa")</f>
        <v>🔗 Ver Mapa</v>
      </c>
    </row>
    <row r="13374" spans="1:12" ht="43.5" x14ac:dyDescent="0.35">
      <c r="A13374" s="6" t="s">
        <v>98</v>
      </c>
      <c r="B13374" s="6" t="s">
        <v>99</v>
      </c>
      <c r="C13374" s="6" t="s">
        <v>2639</v>
      </c>
      <c r="D13374" s="6" t="s">
        <v>14</v>
      </c>
      <c r="E13374" s="6" t="s">
        <v>39</v>
      </c>
      <c r="F13374" s="6" t="s">
        <v>353</v>
      </c>
      <c r="G13374" s="6" t="s">
        <v>1417</v>
      </c>
      <c r="H13374" s="6" t="s">
        <v>1418</v>
      </c>
      <c r="I13374" s="6" t="s">
        <v>31</v>
      </c>
      <c r="J13374" s="6">
        <v>16.323247229566999</v>
      </c>
      <c r="K13374" s="6">
        <v>-96.678449328952993</v>
      </c>
      <c r="L13374" s="6" t="str">
        <f>HYPERLINK("https://maps.google.com/?q=16.3232472295674,-96.678449328953207", "🔗 Ver Mapa")</f>
        <v>🔗 Ver Mapa</v>
      </c>
    </row>
    <row r="13375" spans="1:12" ht="43.5" x14ac:dyDescent="0.35">
      <c r="A13375" s="5" t="s">
        <v>98</v>
      </c>
      <c r="B13375" s="5" t="s">
        <v>99</v>
      </c>
      <c r="C13375" s="5" t="s">
        <v>2639</v>
      </c>
      <c r="D13375" s="5" t="s">
        <v>14</v>
      </c>
      <c r="E13375" s="5" t="s">
        <v>39</v>
      </c>
      <c r="F13375" s="5" t="s">
        <v>353</v>
      </c>
      <c r="G13375" s="5" t="s">
        <v>1417</v>
      </c>
      <c r="H13375" s="5" t="s">
        <v>1418</v>
      </c>
      <c r="I13375" s="5" t="s">
        <v>31</v>
      </c>
      <c r="J13375" s="5">
        <v>16.323299891663002</v>
      </c>
      <c r="K13375" s="5">
        <v>-96.669284285879002</v>
      </c>
      <c r="L13375" s="5" t="str">
        <f>HYPERLINK("https://maps.google.com/?q=16.3232998916627,-96.669284285879101", "🔗 Ver Mapa")</f>
        <v>🔗 Ver Mapa</v>
      </c>
    </row>
    <row r="13376" spans="1:12" ht="43.5" x14ac:dyDescent="0.35">
      <c r="A13376" s="6" t="s">
        <v>98</v>
      </c>
      <c r="B13376" s="6" t="s">
        <v>99</v>
      </c>
      <c r="C13376" s="6" t="s">
        <v>2639</v>
      </c>
      <c r="D13376" s="6" t="s">
        <v>14</v>
      </c>
      <c r="E13376" s="6" t="s">
        <v>39</v>
      </c>
      <c r="F13376" s="6" t="s">
        <v>353</v>
      </c>
      <c r="G13376" s="6" t="s">
        <v>1417</v>
      </c>
      <c r="H13376" s="6" t="s">
        <v>1418</v>
      </c>
      <c r="I13376" s="6" t="s">
        <v>31</v>
      </c>
      <c r="J13376" s="6">
        <v>16.323401289601001</v>
      </c>
      <c r="K13376" s="6">
        <v>-96.671180169311</v>
      </c>
      <c r="L13376" s="6" t="str">
        <f>HYPERLINK("https://maps.google.com/?q=16.3234012896011,-96.671180169311498", "🔗 Ver Mapa")</f>
        <v>🔗 Ver Mapa</v>
      </c>
    </row>
    <row r="13377" spans="1:12" ht="43.5" x14ac:dyDescent="0.35">
      <c r="A13377" s="5" t="s">
        <v>98</v>
      </c>
      <c r="B13377" s="5" t="s">
        <v>99</v>
      </c>
      <c r="C13377" s="5" t="s">
        <v>2639</v>
      </c>
      <c r="D13377" s="5" t="s">
        <v>14</v>
      </c>
      <c r="E13377" s="5" t="s">
        <v>39</v>
      </c>
      <c r="F13377" s="5" t="s">
        <v>353</v>
      </c>
      <c r="G13377" s="5" t="s">
        <v>1417</v>
      </c>
      <c r="H13377" s="5" t="s">
        <v>1418</v>
      </c>
      <c r="I13377" s="5" t="s">
        <v>31</v>
      </c>
      <c r="J13377" s="5">
        <v>16.323552354785001</v>
      </c>
      <c r="K13377" s="5">
        <v>-96.668772207339998</v>
      </c>
      <c r="L13377" s="5" t="str">
        <f>HYPERLINK("https://maps.google.com/?q=16.3235523547846,-96.668772207340197", "🔗 Ver Mapa")</f>
        <v>🔗 Ver Mapa</v>
      </c>
    </row>
    <row r="13378" spans="1:12" ht="43.5" x14ac:dyDescent="0.35">
      <c r="A13378" s="6" t="s">
        <v>98</v>
      </c>
      <c r="B13378" s="6" t="s">
        <v>99</v>
      </c>
      <c r="C13378" s="6" t="s">
        <v>2639</v>
      </c>
      <c r="D13378" s="6" t="s">
        <v>14</v>
      </c>
      <c r="E13378" s="6" t="s">
        <v>39</v>
      </c>
      <c r="F13378" s="6" t="s">
        <v>353</v>
      </c>
      <c r="G13378" s="6" t="s">
        <v>1417</v>
      </c>
      <c r="H13378" s="6" t="s">
        <v>1418</v>
      </c>
      <c r="I13378" s="6" t="s">
        <v>31</v>
      </c>
      <c r="J13378" s="6">
        <v>16.323596965324999</v>
      </c>
      <c r="K13378" s="6">
        <v>-96.676564667494006</v>
      </c>
      <c r="L13378" s="6" t="str">
        <f>HYPERLINK("https://maps.google.com/?q=16.323596965325,-96.676564667493807", "🔗 Ver Mapa")</f>
        <v>🔗 Ver Mapa</v>
      </c>
    </row>
    <row r="13379" spans="1:12" ht="43.5" x14ac:dyDescent="0.35">
      <c r="A13379" s="5" t="s">
        <v>98</v>
      </c>
      <c r="B13379" s="5" t="s">
        <v>99</v>
      </c>
      <c r="C13379" s="5" t="s">
        <v>2639</v>
      </c>
      <c r="D13379" s="5" t="s">
        <v>14</v>
      </c>
      <c r="E13379" s="5" t="s">
        <v>39</v>
      </c>
      <c r="F13379" s="5" t="s">
        <v>353</v>
      </c>
      <c r="G13379" s="5" t="s">
        <v>1417</v>
      </c>
      <c r="H13379" s="5" t="s">
        <v>1418</v>
      </c>
      <c r="I13379" s="5" t="s">
        <v>31</v>
      </c>
      <c r="J13379" s="5">
        <v>16.323737868016</v>
      </c>
      <c r="K13379" s="5">
        <v>-96.671115480984994</v>
      </c>
      <c r="L13379" s="5" t="str">
        <f>HYPERLINK("https://maps.google.com/?q=16.3237378680158,-96.671115480984994", "🔗 Ver Mapa")</f>
        <v>🔗 Ver Mapa</v>
      </c>
    </row>
    <row r="13380" spans="1:12" ht="43.5" x14ac:dyDescent="0.35">
      <c r="A13380" s="6" t="s">
        <v>98</v>
      </c>
      <c r="B13380" s="6" t="s">
        <v>99</v>
      </c>
      <c r="C13380" s="6" t="s">
        <v>2639</v>
      </c>
      <c r="D13380" s="6" t="s">
        <v>14</v>
      </c>
      <c r="E13380" s="6" t="s">
        <v>39</v>
      </c>
      <c r="F13380" s="6" t="s">
        <v>353</v>
      </c>
      <c r="G13380" s="6" t="s">
        <v>1417</v>
      </c>
      <c r="H13380" s="6" t="s">
        <v>1418</v>
      </c>
      <c r="I13380" s="6" t="s">
        <v>31</v>
      </c>
      <c r="J13380" s="6">
        <v>16.323749129309</v>
      </c>
      <c r="K13380" s="6">
        <v>-96.678567578222996</v>
      </c>
      <c r="L13380" s="6" t="str">
        <f>HYPERLINK("https://maps.google.com/?q=16.323749129309,-96.678567578222598", "🔗 Ver Mapa")</f>
        <v>🔗 Ver Mapa</v>
      </c>
    </row>
    <row r="13381" spans="1:12" ht="43.5" x14ac:dyDescent="0.35">
      <c r="A13381" s="5" t="s">
        <v>98</v>
      </c>
      <c r="B13381" s="5" t="s">
        <v>99</v>
      </c>
      <c r="C13381" s="5" t="s">
        <v>2639</v>
      </c>
      <c r="D13381" s="5" t="s">
        <v>14</v>
      </c>
      <c r="E13381" s="5" t="s">
        <v>39</v>
      </c>
      <c r="F13381" s="5" t="s">
        <v>353</v>
      </c>
      <c r="G13381" s="5" t="s">
        <v>1417</v>
      </c>
      <c r="H13381" s="5" t="s">
        <v>1418</v>
      </c>
      <c r="I13381" s="5" t="s">
        <v>31</v>
      </c>
      <c r="J13381" s="5">
        <v>16.323768095582999</v>
      </c>
      <c r="K13381" s="5">
        <v>-96.678374707418996</v>
      </c>
      <c r="L13381" s="5" t="str">
        <f>HYPERLINK("https://maps.google.com/?q=16.3237680955829,-96.678374707419493", "🔗 Ver Mapa")</f>
        <v>🔗 Ver Mapa</v>
      </c>
    </row>
    <row r="13382" spans="1:12" ht="43.5" x14ac:dyDescent="0.35">
      <c r="A13382" s="6" t="s">
        <v>98</v>
      </c>
      <c r="B13382" s="6" t="s">
        <v>99</v>
      </c>
      <c r="C13382" s="6" t="s">
        <v>2639</v>
      </c>
      <c r="D13382" s="6" t="s">
        <v>14</v>
      </c>
      <c r="E13382" s="6" t="s">
        <v>39</v>
      </c>
      <c r="F13382" s="6" t="s">
        <v>353</v>
      </c>
      <c r="G13382" s="6" t="s">
        <v>1417</v>
      </c>
      <c r="H13382" s="6" t="s">
        <v>1418</v>
      </c>
      <c r="I13382" s="6" t="s">
        <v>31</v>
      </c>
      <c r="J13382" s="6">
        <v>16.323819613257999</v>
      </c>
      <c r="K13382" s="6">
        <v>-96.678498860119007</v>
      </c>
      <c r="L13382" s="6" t="str">
        <f>HYPERLINK("https://maps.google.com/?q=16.323819613258,-96.678498860118907", "🔗 Ver Mapa")</f>
        <v>🔗 Ver Mapa</v>
      </c>
    </row>
    <row r="13383" spans="1:12" ht="43.5" x14ac:dyDescent="0.35">
      <c r="A13383" s="5" t="s">
        <v>98</v>
      </c>
      <c r="B13383" s="5" t="s">
        <v>99</v>
      </c>
      <c r="C13383" s="5" t="s">
        <v>2639</v>
      </c>
      <c r="D13383" s="5" t="s">
        <v>14</v>
      </c>
      <c r="E13383" s="5" t="s">
        <v>39</v>
      </c>
      <c r="F13383" s="5" t="s">
        <v>353</v>
      </c>
      <c r="G13383" s="5" t="s">
        <v>1417</v>
      </c>
      <c r="H13383" s="5" t="s">
        <v>1418</v>
      </c>
      <c r="I13383" s="5" t="s">
        <v>31</v>
      </c>
      <c r="J13383" s="5">
        <v>16.323822056880999</v>
      </c>
      <c r="K13383" s="5">
        <v>-96.676752127647006</v>
      </c>
      <c r="L13383" s="5" t="str">
        <f>HYPERLINK("https://maps.google.com/?q=16.3238220568811,-96.676752127647305", "🔗 Ver Mapa")</f>
        <v>🔗 Ver Mapa</v>
      </c>
    </row>
    <row r="13384" spans="1:12" ht="43.5" x14ac:dyDescent="0.35">
      <c r="A13384" s="6" t="s">
        <v>98</v>
      </c>
      <c r="B13384" s="6" t="s">
        <v>99</v>
      </c>
      <c r="C13384" s="6" t="s">
        <v>2639</v>
      </c>
      <c r="D13384" s="6" t="s">
        <v>14</v>
      </c>
      <c r="E13384" s="6" t="s">
        <v>39</v>
      </c>
      <c r="F13384" s="6" t="s">
        <v>353</v>
      </c>
      <c r="G13384" s="6" t="s">
        <v>1417</v>
      </c>
      <c r="H13384" s="6" t="s">
        <v>1418</v>
      </c>
      <c r="I13384" s="6" t="s">
        <v>31</v>
      </c>
      <c r="J13384" s="6">
        <v>16.323867872979001</v>
      </c>
      <c r="K13384" s="6">
        <v>-96.680529923942998</v>
      </c>
      <c r="L13384" s="6" t="str">
        <f>HYPERLINK("https://maps.google.com/?q=16.3238678729791,-96.680529923942601", "🔗 Ver Mapa")</f>
        <v>🔗 Ver Mapa</v>
      </c>
    </row>
    <row r="13385" spans="1:12" ht="43.5" x14ac:dyDescent="0.35">
      <c r="A13385" s="5" t="s">
        <v>98</v>
      </c>
      <c r="B13385" s="5" t="s">
        <v>99</v>
      </c>
      <c r="C13385" s="5" t="s">
        <v>2639</v>
      </c>
      <c r="D13385" s="5" t="s">
        <v>14</v>
      </c>
      <c r="E13385" s="5" t="s">
        <v>39</v>
      </c>
      <c r="F13385" s="5" t="s">
        <v>353</v>
      </c>
      <c r="G13385" s="5" t="s">
        <v>1417</v>
      </c>
      <c r="H13385" s="5" t="s">
        <v>1418</v>
      </c>
      <c r="I13385" s="5" t="s">
        <v>31</v>
      </c>
      <c r="J13385" s="5">
        <v>16.323920428472</v>
      </c>
      <c r="K13385" s="5">
        <v>-96.671962294476998</v>
      </c>
      <c r="L13385" s="5" t="str">
        <f>HYPERLINK("https://maps.google.com/?q=16.3239204284719,-96.671962294477495", "🔗 Ver Mapa")</f>
        <v>🔗 Ver Mapa</v>
      </c>
    </row>
    <row r="13386" spans="1:12" ht="43.5" x14ac:dyDescent="0.35">
      <c r="A13386" s="6" t="s">
        <v>98</v>
      </c>
      <c r="B13386" s="6" t="s">
        <v>99</v>
      </c>
      <c r="C13386" s="6" t="s">
        <v>2639</v>
      </c>
      <c r="D13386" s="6" t="s">
        <v>14</v>
      </c>
      <c r="E13386" s="6" t="s">
        <v>39</v>
      </c>
      <c r="F13386" s="6" t="s">
        <v>353</v>
      </c>
      <c r="G13386" s="6" t="s">
        <v>1417</v>
      </c>
      <c r="H13386" s="6" t="s">
        <v>1418</v>
      </c>
      <c r="I13386" s="6" t="s">
        <v>31</v>
      </c>
      <c r="J13386" s="6">
        <v>16.32397802126</v>
      </c>
      <c r="K13386" s="6">
        <v>-96.678427957273001</v>
      </c>
      <c r="L13386" s="6" t="str">
        <f>HYPERLINK("https://maps.google.com/?q=16.3239780212602,-96.678427957272802", "🔗 Ver Mapa")</f>
        <v>🔗 Ver Mapa</v>
      </c>
    </row>
    <row r="13387" spans="1:12" ht="43.5" x14ac:dyDescent="0.35">
      <c r="A13387" s="5" t="s">
        <v>98</v>
      </c>
      <c r="B13387" s="5" t="s">
        <v>99</v>
      </c>
      <c r="C13387" s="5" t="s">
        <v>2639</v>
      </c>
      <c r="D13387" s="5" t="s">
        <v>14</v>
      </c>
      <c r="E13387" s="5" t="s">
        <v>39</v>
      </c>
      <c r="F13387" s="5" t="s">
        <v>353</v>
      </c>
      <c r="G13387" s="5" t="s">
        <v>1417</v>
      </c>
      <c r="H13387" s="5" t="s">
        <v>1418</v>
      </c>
      <c r="I13387" s="5" t="s">
        <v>31</v>
      </c>
      <c r="J13387" s="5">
        <v>16.324040827468</v>
      </c>
      <c r="K13387" s="5">
        <v>-96.678270527121001</v>
      </c>
      <c r="L13387" s="5" t="str">
        <f>HYPERLINK("https://maps.google.com/?q=16.324040827468,-96.678270527120901", "🔗 Ver Mapa")</f>
        <v>🔗 Ver Mapa</v>
      </c>
    </row>
    <row r="13388" spans="1:12" ht="43.5" x14ac:dyDescent="0.35">
      <c r="A13388" s="6" t="s">
        <v>98</v>
      </c>
      <c r="B13388" s="6" t="s">
        <v>99</v>
      </c>
      <c r="C13388" s="6" t="s">
        <v>2639</v>
      </c>
      <c r="D13388" s="6" t="s">
        <v>14</v>
      </c>
      <c r="E13388" s="6" t="s">
        <v>39</v>
      </c>
      <c r="F13388" s="6" t="s">
        <v>353</v>
      </c>
      <c r="G13388" s="6" t="s">
        <v>1417</v>
      </c>
      <c r="H13388" s="6" t="s">
        <v>1418</v>
      </c>
      <c r="I13388" s="6" t="s">
        <v>31</v>
      </c>
      <c r="J13388" s="6">
        <v>16.324083623073999</v>
      </c>
      <c r="K13388" s="6">
        <v>-96.671045574239002</v>
      </c>
      <c r="L13388" s="6" t="str">
        <f>HYPERLINK("https://maps.google.com/?q=16.3240836230738,-96.6710455742394", "🔗 Ver Mapa")</f>
        <v>🔗 Ver Mapa</v>
      </c>
    </row>
    <row r="13389" spans="1:12" ht="43.5" x14ac:dyDescent="0.35">
      <c r="A13389" s="5" t="s">
        <v>98</v>
      </c>
      <c r="B13389" s="5" t="s">
        <v>99</v>
      </c>
      <c r="C13389" s="5" t="s">
        <v>2639</v>
      </c>
      <c r="D13389" s="5" t="s">
        <v>14</v>
      </c>
      <c r="E13389" s="5" t="s">
        <v>39</v>
      </c>
      <c r="F13389" s="5" t="s">
        <v>353</v>
      </c>
      <c r="G13389" s="5" t="s">
        <v>1417</v>
      </c>
      <c r="H13389" s="5" t="s">
        <v>1418</v>
      </c>
      <c r="I13389" s="5" t="s">
        <v>31</v>
      </c>
      <c r="J13389" s="5">
        <v>16.32429695618</v>
      </c>
      <c r="K13389" s="5">
        <v>-96.668407177909998</v>
      </c>
      <c r="L13389" s="5" t="str">
        <f>HYPERLINK("https://maps.google.com/?q=16.3242969561796,-96.668407177909899", "🔗 Ver Mapa")</f>
        <v>🔗 Ver Mapa</v>
      </c>
    </row>
    <row r="13390" spans="1:12" ht="43.5" x14ac:dyDescent="0.35">
      <c r="A13390" s="6" t="s">
        <v>98</v>
      </c>
      <c r="B13390" s="6" t="s">
        <v>99</v>
      </c>
      <c r="C13390" s="6" t="s">
        <v>2639</v>
      </c>
      <c r="D13390" s="6" t="s">
        <v>14</v>
      </c>
      <c r="E13390" s="6" t="s">
        <v>39</v>
      </c>
      <c r="F13390" s="6" t="s">
        <v>353</v>
      </c>
      <c r="G13390" s="6" t="s">
        <v>1417</v>
      </c>
      <c r="H13390" s="6" t="s">
        <v>1418</v>
      </c>
      <c r="I13390" s="6" t="s">
        <v>31</v>
      </c>
      <c r="J13390" s="6">
        <v>16.324549391531001</v>
      </c>
      <c r="K13390" s="6">
        <v>-96.674996979168</v>
      </c>
      <c r="L13390" s="6" t="str">
        <f>HYPERLINK("https://maps.google.com/?q=16.3245493915306,-96.674996979167602", "🔗 Ver Mapa")</f>
        <v>🔗 Ver Mapa</v>
      </c>
    </row>
    <row r="13391" spans="1:12" ht="43.5" x14ac:dyDescent="0.35">
      <c r="A13391" s="5" t="s">
        <v>98</v>
      </c>
      <c r="B13391" s="5" t="s">
        <v>99</v>
      </c>
      <c r="C13391" s="5" t="s">
        <v>2639</v>
      </c>
      <c r="D13391" s="5" t="s">
        <v>14</v>
      </c>
      <c r="E13391" s="5" t="s">
        <v>39</v>
      </c>
      <c r="F13391" s="5" t="s">
        <v>353</v>
      </c>
      <c r="G13391" s="5" t="s">
        <v>1417</v>
      </c>
      <c r="H13391" s="5" t="s">
        <v>1418</v>
      </c>
      <c r="I13391" s="5" t="s">
        <v>31</v>
      </c>
      <c r="J13391" s="5">
        <v>16.324584150694001</v>
      </c>
      <c r="K13391" s="5">
        <v>-96.674866014714993</v>
      </c>
      <c r="L13391" s="5" t="str">
        <f>HYPERLINK("https://maps.google.com/?q=16.3245841506935,-96.674866014715207", "🔗 Ver Mapa")</f>
        <v>🔗 Ver Mapa</v>
      </c>
    </row>
    <row r="13392" spans="1:12" ht="43.5" x14ac:dyDescent="0.35">
      <c r="A13392" s="6" t="s">
        <v>98</v>
      </c>
      <c r="B13392" s="6" t="s">
        <v>99</v>
      </c>
      <c r="C13392" s="6" t="s">
        <v>2639</v>
      </c>
      <c r="D13392" s="6" t="s">
        <v>14</v>
      </c>
      <c r="E13392" s="6" t="s">
        <v>39</v>
      </c>
      <c r="F13392" s="6" t="s">
        <v>353</v>
      </c>
      <c r="G13392" s="6" t="s">
        <v>1417</v>
      </c>
      <c r="H13392" s="6" t="s">
        <v>1418</v>
      </c>
      <c r="I13392" s="6" t="s">
        <v>31</v>
      </c>
      <c r="J13392" s="6">
        <v>16.325335197324002</v>
      </c>
      <c r="K13392" s="6">
        <v>-96.673862991402004</v>
      </c>
      <c r="L13392" s="6" t="str">
        <f>HYPERLINK("https://maps.google.com/?q=16.3253351973242,-96.673862991401606", "🔗 Ver Mapa")</f>
        <v>🔗 Ver Mapa</v>
      </c>
    </row>
    <row r="13393" spans="1:12" ht="43.5" x14ac:dyDescent="0.35">
      <c r="A13393" s="5" t="s">
        <v>98</v>
      </c>
      <c r="B13393" s="5" t="s">
        <v>99</v>
      </c>
      <c r="C13393" s="5" t="s">
        <v>2639</v>
      </c>
      <c r="D13393" s="5" t="s">
        <v>14</v>
      </c>
      <c r="E13393" s="5" t="s">
        <v>39</v>
      </c>
      <c r="F13393" s="5" t="s">
        <v>353</v>
      </c>
      <c r="G13393" s="5" t="s">
        <v>1417</v>
      </c>
      <c r="H13393" s="5" t="s">
        <v>1418</v>
      </c>
      <c r="I13393" s="5" t="s">
        <v>31</v>
      </c>
      <c r="J13393" s="5">
        <v>16.325578391629001</v>
      </c>
      <c r="K13393" s="5">
        <v>-96.676875504299005</v>
      </c>
      <c r="L13393" s="5" t="str">
        <f>HYPERLINK("https://maps.google.com/?q=16.3255783916287,-96.676875504299204", "🔗 Ver Mapa")</f>
        <v>🔗 Ver Mapa</v>
      </c>
    </row>
    <row r="13394" spans="1:12" ht="43.5" x14ac:dyDescent="0.35">
      <c r="A13394" s="6" t="s">
        <v>98</v>
      </c>
      <c r="B13394" s="6" t="s">
        <v>99</v>
      </c>
      <c r="C13394" s="6" t="s">
        <v>2639</v>
      </c>
      <c r="D13394" s="6" t="s">
        <v>14</v>
      </c>
      <c r="E13394" s="6" t="s">
        <v>39</v>
      </c>
      <c r="F13394" s="6" t="s">
        <v>353</v>
      </c>
      <c r="G13394" s="6" t="s">
        <v>1417</v>
      </c>
      <c r="H13394" s="6" t="s">
        <v>1418</v>
      </c>
      <c r="I13394" s="6" t="s">
        <v>31</v>
      </c>
      <c r="J13394" s="6">
        <v>16.325586972231999</v>
      </c>
      <c r="K13394" s="6">
        <v>-96.667826427693996</v>
      </c>
      <c r="L13394" s="6" t="str">
        <f>HYPERLINK("https://maps.google.com/?q=16.3255869722316,-96.667826427693896", "🔗 Ver Mapa")</f>
        <v>🔗 Ver Mapa</v>
      </c>
    </row>
    <row r="13395" spans="1:12" ht="43.5" x14ac:dyDescent="0.35">
      <c r="A13395" s="5" t="s">
        <v>98</v>
      </c>
      <c r="B13395" s="5" t="s">
        <v>99</v>
      </c>
      <c r="C13395" s="5" t="s">
        <v>2639</v>
      </c>
      <c r="D13395" s="5" t="s">
        <v>14</v>
      </c>
      <c r="E13395" s="5" t="s">
        <v>39</v>
      </c>
      <c r="F13395" s="5" t="s">
        <v>353</v>
      </c>
      <c r="G13395" s="5" t="s">
        <v>1417</v>
      </c>
      <c r="H13395" s="5" t="s">
        <v>1418</v>
      </c>
      <c r="I13395" s="5" t="s">
        <v>31</v>
      </c>
      <c r="J13395" s="5">
        <v>16.325978141471001</v>
      </c>
      <c r="K13395" s="5">
        <v>-96.66791375215</v>
      </c>
      <c r="L13395" s="5" t="str">
        <f>HYPERLINK("https://maps.google.com/?q=16.3259781414709,-96.667913752149701", "🔗 Ver Mapa")</f>
        <v>🔗 Ver Mapa</v>
      </c>
    </row>
    <row r="13396" spans="1:12" ht="43.5" x14ac:dyDescent="0.35">
      <c r="A13396" s="6" t="s">
        <v>98</v>
      </c>
      <c r="B13396" s="6" t="s">
        <v>99</v>
      </c>
      <c r="C13396" s="6" t="s">
        <v>2639</v>
      </c>
      <c r="D13396" s="6" t="s">
        <v>14</v>
      </c>
      <c r="E13396" s="6" t="s">
        <v>39</v>
      </c>
      <c r="F13396" s="6" t="s">
        <v>353</v>
      </c>
      <c r="G13396" s="6" t="s">
        <v>1417</v>
      </c>
      <c r="H13396" s="6" t="s">
        <v>1418</v>
      </c>
      <c r="I13396" s="6" t="s">
        <v>31</v>
      </c>
      <c r="J13396" s="6">
        <v>16.326176837209001</v>
      </c>
      <c r="K13396" s="6">
        <v>-96.673067169310997</v>
      </c>
      <c r="L13396" s="6" t="str">
        <f>HYPERLINK("https://maps.google.com/?q=16.3261768372087,-96.673067169311494", "🔗 Ver Mapa")</f>
        <v>🔗 Ver Mapa</v>
      </c>
    </row>
    <row r="13397" spans="1:12" ht="43.5" x14ac:dyDescent="0.35">
      <c r="A13397" s="5" t="s">
        <v>98</v>
      </c>
      <c r="B13397" s="5" t="s">
        <v>99</v>
      </c>
      <c r="C13397" s="5" t="s">
        <v>2639</v>
      </c>
      <c r="D13397" s="5" t="s">
        <v>14</v>
      </c>
      <c r="E13397" s="5" t="s">
        <v>39</v>
      </c>
      <c r="F13397" s="5" t="s">
        <v>353</v>
      </c>
      <c r="G13397" s="5" t="s">
        <v>1417</v>
      </c>
      <c r="H13397" s="5" t="s">
        <v>1418</v>
      </c>
      <c r="I13397" s="5" t="s">
        <v>31</v>
      </c>
      <c r="J13397" s="5">
        <v>16.326536311184</v>
      </c>
      <c r="K13397" s="5">
        <v>-96.678955401005993</v>
      </c>
      <c r="L13397" s="5" t="str">
        <f>HYPERLINK("https://maps.google.com/?q=16.3265363111843,-96.678955401006206", "🔗 Ver Mapa")</f>
        <v>🔗 Ver Mapa</v>
      </c>
    </row>
    <row r="13398" spans="1:12" ht="43.5" x14ac:dyDescent="0.35">
      <c r="A13398" s="6" t="s">
        <v>98</v>
      </c>
      <c r="B13398" s="6" t="s">
        <v>99</v>
      </c>
      <c r="C13398" s="6" t="s">
        <v>2639</v>
      </c>
      <c r="D13398" s="6" t="s">
        <v>14</v>
      </c>
      <c r="E13398" s="6" t="s">
        <v>39</v>
      </c>
      <c r="F13398" s="6" t="s">
        <v>353</v>
      </c>
      <c r="G13398" s="6" t="s">
        <v>1417</v>
      </c>
      <c r="H13398" s="6" t="s">
        <v>1418</v>
      </c>
      <c r="I13398" s="6" t="s">
        <v>31</v>
      </c>
      <c r="J13398" s="6">
        <v>16.326541762752001</v>
      </c>
      <c r="K13398" s="6">
        <v>-96.675780705522001</v>
      </c>
      <c r="L13398" s="6" t="str">
        <f>HYPERLINK("https://maps.google.com/?q=16.3265417627517,-96.675780705522499", "🔗 Ver Mapa")</f>
        <v>🔗 Ver Mapa</v>
      </c>
    </row>
    <row r="13399" spans="1:12" ht="43.5" x14ac:dyDescent="0.35">
      <c r="A13399" s="5" t="s">
        <v>98</v>
      </c>
      <c r="B13399" s="5" t="s">
        <v>99</v>
      </c>
      <c r="C13399" s="5" t="s">
        <v>2639</v>
      </c>
      <c r="D13399" s="5" t="s">
        <v>14</v>
      </c>
      <c r="E13399" s="5" t="s">
        <v>39</v>
      </c>
      <c r="F13399" s="5" t="s">
        <v>353</v>
      </c>
      <c r="G13399" s="5" t="s">
        <v>1417</v>
      </c>
      <c r="H13399" s="5" t="s">
        <v>1418</v>
      </c>
      <c r="I13399" s="5" t="s">
        <v>31</v>
      </c>
      <c r="J13399" s="5">
        <v>16.326831819449001</v>
      </c>
      <c r="K13399" s="5">
        <v>-96.675819752150005</v>
      </c>
      <c r="L13399" s="5" t="str">
        <f>HYPERLINK("https://maps.google.com/?q=16.3268318194485,-96.675819752149593", "🔗 Ver Mapa")</f>
        <v>🔗 Ver Mapa</v>
      </c>
    </row>
    <row r="13400" spans="1:12" ht="43.5" x14ac:dyDescent="0.35">
      <c r="A13400" s="6" t="s">
        <v>98</v>
      </c>
      <c r="B13400" s="6" t="s">
        <v>99</v>
      </c>
      <c r="C13400" s="6" t="s">
        <v>2639</v>
      </c>
      <c r="D13400" s="6" t="s">
        <v>14</v>
      </c>
      <c r="E13400" s="6" t="s">
        <v>39</v>
      </c>
      <c r="F13400" s="6" t="s">
        <v>353</v>
      </c>
      <c r="G13400" s="6" t="s">
        <v>1417</v>
      </c>
      <c r="H13400" s="6" t="s">
        <v>1418</v>
      </c>
      <c r="I13400" s="6" t="s">
        <v>31</v>
      </c>
      <c r="J13400" s="6">
        <v>16.326853262105001</v>
      </c>
      <c r="K13400" s="6">
        <v>-96.674475101851996</v>
      </c>
      <c r="L13400" s="6" t="str">
        <f>HYPERLINK("https://maps.google.com/?q=16.326853262105,-96.674475101852295", "🔗 Ver Mapa")</f>
        <v>🔗 Ver Mapa</v>
      </c>
    </row>
    <row r="13401" spans="1:12" ht="43.5" x14ac:dyDescent="0.35">
      <c r="A13401" s="5" t="s">
        <v>98</v>
      </c>
      <c r="B13401" s="5" t="s">
        <v>99</v>
      </c>
      <c r="C13401" s="5" t="s">
        <v>2639</v>
      </c>
      <c r="D13401" s="5" t="s">
        <v>14</v>
      </c>
      <c r="E13401" s="5" t="s">
        <v>39</v>
      </c>
      <c r="F13401" s="5" t="s">
        <v>353</v>
      </c>
      <c r="G13401" s="5" t="s">
        <v>1417</v>
      </c>
      <c r="H13401" s="5" t="s">
        <v>1418</v>
      </c>
      <c r="I13401" s="5" t="s">
        <v>31</v>
      </c>
      <c r="J13401" s="5">
        <v>16.326863993398</v>
      </c>
      <c r="K13401" s="5">
        <v>-96.671020294477003</v>
      </c>
      <c r="L13401" s="5" t="str">
        <f>HYPERLINK("https://maps.google.com/?q=16.3268639933984,-96.671020294477302", "🔗 Ver Mapa")</f>
        <v>🔗 Ver Mapa</v>
      </c>
    </row>
    <row r="13402" spans="1:12" ht="43.5" x14ac:dyDescent="0.35">
      <c r="A13402" s="6" t="s">
        <v>98</v>
      </c>
      <c r="B13402" s="6" t="s">
        <v>99</v>
      </c>
      <c r="C13402" s="6" t="s">
        <v>2639</v>
      </c>
      <c r="D13402" s="6" t="s">
        <v>14</v>
      </c>
      <c r="E13402" s="6" t="s">
        <v>39</v>
      </c>
      <c r="F13402" s="6" t="s">
        <v>353</v>
      </c>
      <c r="G13402" s="6" t="s">
        <v>1417</v>
      </c>
      <c r="H13402" s="6" t="s">
        <v>1418</v>
      </c>
      <c r="I13402" s="6" t="s">
        <v>31</v>
      </c>
      <c r="J13402" s="6">
        <v>16.326950936869</v>
      </c>
      <c r="K13402" s="6">
        <v>-96.674758930058999</v>
      </c>
      <c r="L13402" s="6" t="str">
        <f>HYPERLINK("https://maps.google.com/?q=16.3269509368693,-96.674758930059397", "🔗 Ver Mapa")</f>
        <v>🔗 Ver Mapa</v>
      </c>
    </row>
    <row r="13403" spans="1:12" ht="43.5" x14ac:dyDescent="0.35">
      <c r="A13403" s="5" t="s">
        <v>98</v>
      </c>
      <c r="B13403" s="5" t="s">
        <v>99</v>
      </c>
      <c r="C13403" s="5" t="s">
        <v>2639</v>
      </c>
      <c r="D13403" s="5" t="s">
        <v>14</v>
      </c>
      <c r="E13403" s="5" t="s">
        <v>39</v>
      </c>
      <c r="F13403" s="5" t="s">
        <v>353</v>
      </c>
      <c r="G13403" s="5" t="s">
        <v>1417</v>
      </c>
      <c r="H13403" s="5" t="s">
        <v>1418</v>
      </c>
      <c r="I13403" s="5" t="s">
        <v>31</v>
      </c>
      <c r="J13403" s="5">
        <v>16.326978949377999</v>
      </c>
      <c r="K13403" s="5">
        <v>-96.670624682208995</v>
      </c>
      <c r="L13403" s="5" t="str">
        <f>HYPERLINK("https://maps.google.com/?q=16.3269789493782,-96.670624682208995", "🔗 Ver Mapa")</f>
        <v>🔗 Ver Mapa</v>
      </c>
    </row>
    <row r="13404" spans="1:12" ht="43.5" x14ac:dyDescent="0.35">
      <c r="A13404" s="6" t="s">
        <v>98</v>
      </c>
      <c r="B13404" s="6" t="s">
        <v>99</v>
      </c>
      <c r="C13404" s="6" t="s">
        <v>2639</v>
      </c>
      <c r="D13404" s="6" t="s">
        <v>14</v>
      </c>
      <c r="E13404" s="6" t="s">
        <v>39</v>
      </c>
      <c r="F13404" s="6" t="s">
        <v>353</v>
      </c>
      <c r="G13404" s="6" t="s">
        <v>1417</v>
      </c>
      <c r="H13404" s="6" t="s">
        <v>1418</v>
      </c>
      <c r="I13404" s="6" t="s">
        <v>31</v>
      </c>
      <c r="J13404" s="6">
        <v>16.327225719373001</v>
      </c>
      <c r="K13404" s="6">
        <v>-96.669796402447005</v>
      </c>
      <c r="L13404" s="6" t="str">
        <f>HYPERLINK("https://maps.google.com/?q=16.3272257193726,-96.669796402446707", "🔗 Ver Mapa")</f>
        <v>🔗 Ver Mapa</v>
      </c>
    </row>
    <row r="13405" spans="1:12" ht="43.5" x14ac:dyDescent="0.35">
      <c r="A13405" s="5" t="s">
        <v>98</v>
      </c>
      <c r="B13405" s="5" t="s">
        <v>99</v>
      </c>
      <c r="C13405" s="5" t="s">
        <v>2639</v>
      </c>
      <c r="D13405" s="5" t="s">
        <v>14</v>
      </c>
      <c r="E13405" s="5" t="s">
        <v>39</v>
      </c>
      <c r="F13405" s="5" t="s">
        <v>353</v>
      </c>
      <c r="G13405" s="5" t="s">
        <v>1417</v>
      </c>
      <c r="H13405" s="5" t="s">
        <v>1418</v>
      </c>
      <c r="I13405" s="5" t="s">
        <v>31</v>
      </c>
      <c r="J13405" s="5">
        <v>16.327238425842999</v>
      </c>
      <c r="K13405" s="5">
        <v>-96.669673452702</v>
      </c>
      <c r="L13405" s="5" t="str">
        <f>HYPERLINK("https://maps.google.com/?q=16.3272384258429,-96.669673452702099", "🔗 Ver Mapa")</f>
        <v>🔗 Ver Mapa</v>
      </c>
    </row>
    <row r="13406" spans="1:12" ht="43.5" x14ac:dyDescent="0.35">
      <c r="A13406" s="6" t="s">
        <v>98</v>
      </c>
      <c r="B13406" s="6" t="s">
        <v>99</v>
      </c>
      <c r="C13406" s="6" t="s">
        <v>2639</v>
      </c>
      <c r="D13406" s="6" t="s">
        <v>14</v>
      </c>
      <c r="E13406" s="6" t="s">
        <v>39</v>
      </c>
      <c r="F13406" s="6" t="s">
        <v>353</v>
      </c>
      <c r="G13406" s="6" t="s">
        <v>1417</v>
      </c>
      <c r="H13406" s="6" t="s">
        <v>1418</v>
      </c>
      <c r="I13406" s="6" t="s">
        <v>31</v>
      </c>
      <c r="J13406" s="6">
        <v>16.327340567459</v>
      </c>
      <c r="K13406" s="6">
        <v>-96.669760938658001</v>
      </c>
      <c r="L13406" s="6" t="str">
        <f>HYPERLINK("https://maps.google.com/?q=16.3273405674592,-96.669760938657703", "🔗 Ver Mapa")</f>
        <v>🔗 Ver Mapa</v>
      </c>
    </row>
    <row r="13407" spans="1:12" ht="43.5" x14ac:dyDescent="0.35">
      <c r="A13407" s="5" t="s">
        <v>98</v>
      </c>
      <c r="B13407" s="5" t="s">
        <v>99</v>
      </c>
      <c r="C13407" s="5" t="s">
        <v>2639</v>
      </c>
      <c r="D13407" s="5" t="s">
        <v>14</v>
      </c>
      <c r="E13407" s="5" t="s">
        <v>39</v>
      </c>
      <c r="F13407" s="5" t="s">
        <v>353</v>
      </c>
      <c r="G13407" s="5" t="s">
        <v>1417</v>
      </c>
      <c r="H13407" s="5" t="s">
        <v>1418</v>
      </c>
      <c r="I13407" s="5" t="s">
        <v>31</v>
      </c>
      <c r="J13407" s="5">
        <v>16.327341238069</v>
      </c>
      <c r="K13407" s="5">
        <v>-96.674751762453994</v>
      </c>
      <c r="L13407" s="5" t="str">
        <f>HYPERLINK("https://maps.google.com/?q=16.3273412380692,-96.674751762454306", "🔗 Ver Mapa")</f>
        <v>🔗 Ver Mapa</v>
      </c>
    </row>
    <row r="13408" spans="1:12" ht="43.5" x14ac:dyDescent="0.35">
      <c r="A13408" s="6" t="s">
        <v>98</v>
      </c>
      <c r="B13408" s="6" t="s">
        <v>99</v>
      </c>
      <c r="C13408" s="6" t="s">
        <v>2639</v>
      </c>
      <c r="D13408" s="6" t="s">
        <v>14</v>
      </c>
      <c r="E13408" s="6" t="s">
        <v>39</v>
      </c>
      <c r="F13408" s="6" t="s">
        <v>353</v>
      </c>
      <c r="G13408" s="6" t="s">
        <v>1417</v>
      </c>
      <c r="H13408" s="6" t="s">
        <v>1418</v>
      </c>
      <c r="I13408" s="6" t="s">
        <v>31</v>
      </c>
      <c r="J13408" s="6">
        <v>16.327449038666</v>
      </c>
      <c r="K13408" s="6">
        <v>-96.669746807506002</v>
      </c>
      <c r="L13408" s="6" t="str">
        <f>HYPERLINK("https://maps.google.com/?q=16.3274490386656,-96.669746807506201", "🔗 Ver Mapa")</f>
        <v>🔗 Ver Mapa</v>
      </c>
    </row>
    <row r="13409" spans="1:12" ht="43.5" x14ac:dyDescent="0.35">
      <c r="A13409" s="5" t="s">
        <v>98</v>
      </c>
      <c r="B13409" s="5" t="s">
        <v>99</v>
      </c>
      <c r="C13409" s="5" t="s">
        <v>2639</v>
      </c>
      <c r="D13409" s="5" t="s">
        <v>14</v>
      </c>
      <c r="E13409" s="5" t="s">
        <v>39</v>
      </c>
      <c r="F13409" s="5" t="s">
        <v>353</v>
      </c>
      <c r="G13409" s="5" t="s">
        <v>1417</v>
      </c>
      <c r="H13409" s="5" t="s">
        <v>1418</v>
      </c>
      <c r="I13409" s="5" t="s">
        <v>31</v>
      </c>
      <c r="J13409" s="5">
        <v>16.327525594849</v>
      </c>
      <c r="K13409" s="5">
        <v>-96.669883574240004</v>
      </c>
      <c r="L13409" s="5" t="str">
        <f>HYPERLINK("https://maps.google.com/?q=16.3275255948491,-96.669883574239805", "🔗 Ver Mapa")</f>
        <v>🔗 Ver Mapa</v>
      </c>
    </row>
    <row r="13410" spans="1:12" ht="43.5" x14ac:dyDescent="0.35">
      <c r="A13410" s="6" t="s">
        <v>98</v>
      </c>
      <c r="B13410" s="6" t="s">
        <v>99</v>
      </c>
      <c r="C13410" s="6" t="s">
        <v>2639</v>
      </c>
      <c r="D13410" s="6" t="s">
        <v>14</v>
      </c>
      <c r="E13410" s="6" t="s">
        <v>39</v>
      </c>
      <c r="F13410" s="6" t="s">
        <v>353</v>
      </c>
      <c r="G13410" s="6" t="s">
        <v>1417</v>
      </c>
      <c r="H13410" s="6" t="s">
        <v>1418</v>
      </c>
      <c r="I13410" s="6" t="s">
        <v>31</v>
      </c>
      <c r="J13410" s="6">
        <v>16.328040088376</v>
      </c>
      <c r="K13410" s="6">
        <v>-96.666361812654003</v>
      </c>
      <c r="L13410" s="6" t="str">
        <f>HYPERLINK("https://maps.google.com/?q=16.3280400883762,-96.666361812654401", "🔗 Ver Mapa")</f>
        <v>🔗 Ver Mapa</v>
      </c>
    </row>
    <row r="13411" spans="1:12" ht="43.5" x14ac:dyDescent="0.35">
      <c r="A13411" s="5" t="s">
        <v>98</v>
      </c>
      <c r="B13411" s="5" t="s">
        <v>99</v>
      </c>
      <c r="C13411" s="5" t="s">
        <v>2639</v>
      </c>
      <c r="D13411" s="5" t="s">
        <v>14</v>
      </c>
      <c r="E13411" s="5" t="s">
        <v>39</v>
      </c>
      <c r="F13411" s="5" t="s">
        <v>353</v>
      </c>
      <c r="G13411" s="5" t="s">
        <v>1417</v>
      </c>
      <c r="H13411" s="5" t="s">
        <v>1418</v>
      </c>
      <c r="I13411" s="5" t="s">
        <v>31</v>
      </c>
      <c r="J13411" s="5">
        <v>16.328275280477001</v>
      </c>
      <c r="K13411" s="5">
        <v>-96.678608355820003</v>
      </c>
      <c r="L13411" s="5" t="str">
        <f>HYPERLINK("https://maps.google.com/?q=16.3282752804769,-96.678608355819804", "🔗 Ver Mapa")</f>
        <v>🔗 Ver Mapa</v>
      </c>
    </row>
    <row r="13412" spans="1:12" ht="43.5" x14ac:dyDescent="0.35">
      <c r="A13412" s="6" t="s">
        <v>98</v>
      </c>
      <c r="B13412" s="6" t="s">
        <v>99</v>
      </c>
      <c r="C13412" s="6" t="s">
        <v>2639</v>
      </c>
      <c r="D13412" s="6" t="s">
        <v>14</v>
      </c>
      <c r="E13412" s="6" t="s">
        <v>39</v>
      </c>
      <c r="F13412" s="6" t="s">
        <v>353</v>
      </c>
      <c r="G13412" s="6" t="s">
        <v>1417</v>
      </c>
      <c r="H13412" s="6" t="s">
        <v>1418</v>
      </c>
      <c r="I13412" s="6" t="s">
        <v>31</v>
      </c>
      <c r="J13412" s="6">
        <v>16.328308437621999</v>
      </c>
      <c r="K13412" s="6">
        <v>-96.677986192624999</v>
      </c>
      <c r="L13412" s="6" t="str">
        <f>HYPERLINK("https://maps.google.com/?q=16.328308437622,-96.677986192625099", "🔗 Ver Mapa")</f>
        <v>🔗 Ver Mapa</v>
      </c>
    </row>
    <row r="13413" spans="1:12" ht="43.5" x14ac:dyDescent="0.35">
      <c r="A13413" s="5" t="s">
        <v>98</v>
      </c>
      <c r="B13413" s="5" t="s">
        <v>99</v>
      </c>
      <c r="C13413" s="5" t="s">
        <v>2639</v>
      </c>
      <c r="D13413" s="5" t="s">
        <v>14</v>
      </c>
      <c r="E13413" s="5" t="s">
        <v>39</v>
      </c>
      <c r="F13413" s="5" t="s">
        <v>353</v>
      </c>
      <c r="G13413" s="5" t="s">
        <v>1417</v>
      </c>
      <c r="H13413" s="5" t="s">
        <v>1418</v>
      </c>
      <c r="I13413" s="5" t="s">
        <v>31</v>
      </c>
      <c r="J13413" s="5">
        <v>16.328750383186001</v>
      </c>
      <c r="K13413" s="5">
        <v>-96.678751512896994</v>
      </c>
      <c r="L13413" s="5" t="str">
        <f>HYPERLINK("https://maps.google.com/?q=16.3287503831863,-96.678751512897406", "🔗 Ver Mapa")</f>
        <v>🔗 Ver Mapa</v>
      </c>
    </row>
    <row r="13414" spans="1:12" ht="43.5" x14ac:dyDescent="0.35">
      <c r="A13414" s="6" t="s">
        <v>98</v>
      </c>
      <c r="B13414" s="6" t="s">
        <v>99</v>
      </c>
      <c r="C13414" s="6" t="s">
        <v>2639</v>
      </c>
      <c r="D13414" s="6" t="s">
        <v>14</v>
      </c>
      <c r="E13414" s="6" t="s">
        <v>39</v>
      </c>
      <c r="F13414" s="6" t="s">
        <v>353</v>
      </c>
      <c r="G13414" s="6" t="s">
        <v>1417</v>
      </c>
      <c r="H13414" s="6" t="s">
        <v>1418</v>
      </c>
      <c r="I13414" s="6" t="s">
        <v>31</v>
      </c>
      <c r="J13414" s="6">
        <v>16.329026975383002</v>
      </c>
      <c r="K13414" s="6">
        <v>-96.666878451528007</v>
      </c>
      <c r="L13414" s="6" t="str">
        <f>HYPERLINK("https://maps.google.com/?q=16.3290269753833,-96.666878451528405", "🔗 Ver Mapa")</f>
        <v>🔗 Ver Mapa</v>
      </c>
    </row>
    <row r="13415" spans="1:12" ht="43.5" x14ac:dyDescent="0.35">
      <c r="A13415" s="5" t="s">
        <v>98</v>
      </c>
      <c r="B13415" s="5" t="s">
        <v>99</v>
      </c>
      <c r="C13415" s="5" t="s">
        <v>2639</v>
      </c>
      <c r="D13415" s="5" t="s">
        <v>14</v>
      </c>
      <c r="E13415" s="5" t="s">
        <v>39</v>
      </c>
      <c r="F13415" s="5" t="s">
        <v>353</v>
      </c>
      <c r="G13415" s="5" t="s">
        <v>1417</v>
      </c>
      <c r="H13415" s="5" t="s">
        <v>1418</v>
      </c>
      <c r="I13415" s="5" t="s">
        <v>31</v>
      </c>
      <c r="J13415" s="5">
        <v>16.329121984448999</v>
      </c>
      <c r="K13415" s="5">
        <v>-96.666919341105</v>
      </c>
      <c r="L13415" s="5" t="str">
        <f>HYPERLINK("https://maps.google.com/?q=16.3291219844494,-96.666919341104602", "🔗 Ver Mapa")</f>
        <v>🔗 Ver Mapa</v>
      </c>
    </row>
    <row r="13416" spans="1:12" ht="43.5" x14ac:dyDescent="0.35">
      <c r="A13416" s="6" t="s">
        <v>98</v>
      </c>
      <c r="B13416" s="6" t="s">
        <v>99</v>
      </c>
      <c r="C13416" s="6" t="s">
        <v>2639</v>
      </c>
      <c r="D13416" s="6" t="s">
        <v>14</v>
      </c>
      <c r="E13416" s="6" t="s">
        <v>39</v>
      </c>
      <c r="F13416" s="6" t="s">
        <v>353</v>
      </c>
      <c r="G13416" s="6" t="s">
        <v>1417</v>
      </c>
      <c r="H13416" s="6" t="s">
        <v>1418</v>
      </c>
      <c r="I13416" s="6" t="s">
        <v>31</v>
      </c>
      <c r="J13416" s="6">
        <v>16.329125002556001</v>
      </c>
      <c r="K13416" s="6">
        <v>-96.673523434358998</v>
      </c>
      <c r="L13416" s="6" t="str">
        <f>HYPERLINK("https://maps.google.com/?q=16.3291250025565,-96.6735234343587", "🔗 Ver Mapa")</f>
        <v>🔗 Ver Mapa</v>
      </c>
    </row>
    <row r="13417" spans="1:12" ht="43.5" x14ac:dyDescent="0.35">
      <c r="A13417" s="5" t="s">
        <v>98</v>
      </c>
      <c r="B13417" s="5" t="s">
        <v>99</v>
      </c>
      <c r="C13417" s="5" t="s">
        <v>2639</v>
      </c>
      <c r="D13417" s="5" t="s">
        <v>14</v>
      </c>
      <c r="E13417" s="5" t="s">
        <v>39</v>
      </c>
      <c r="F13417" s="5" t="s">
        <v>353</v>
      </c>
      <c r="G13417" s="5" t="s">
        <v>1417</v>
      </c>
      <c r="H13417" s="5" t="s">
        <v>1418</v>
      </c>
      <c r="I13417" s="5" t="s">
        <v>31</v>
      </c>
      <c r="J13417" s="5">
        <v>16.329934565045999</v>
      </c>
      <c r="K13417" s="5">
        <v>-96.675844762628003</v>
      </c>
      <c r="L13417" s="5" t="str">
        <f>HYPERLINK("https://maps.google.com/?q=16.3299345650456,-96.675844762627605", "🔗 Ver Mapa")</f>
        <v>🔗 Ver Mapa</v>
      </c>
    </row>
    <row r="13418" spans="1:12" ht="43.5" x14ac:dyDescent="0.35">
      <c r="A13418" s="6" t="s">
        <v>98</v>
      </c>
      <c r="B13418" s="6" t="s">
        <v>99</v>
      </c>
      <c r="C13418" s="6" t="s">
        <v>2639</v>
      </c>
      <c r="D13418" s="6" t="s">
        <v>14</v>
      </c>
      <c r="E13418" s="6" t="s">
        <v>39</v>
      </c>
      <c r="F13418" s="6" t="s">
        <v>353</v>
      </c>
      <c r="G13418" s="6" t="s">
        <v>1417</v>
      </c>
      <c r="H13418" s="6" t="s">
        <v>1418</v>
      </c>
      <c r="I13418" s="6" t="s">
        <v>31</v>
      </c>
      <c r="J13418" s="6">
        <v>16.330300182635</v>
      </c>
      <c r="K13418" s="6">
        <v>-96.675719769346003</v>
      </c>
      <c r="L13418" s="6" t="str">
        <f>HYPERLINK("https://maps.google.com/?q=16.3303001826351,-96.675719769345903", "🔗 Ver Mapa")</f>
        <v>🔗 Ver Mapa</v>
      </c>
    </row>
    <row r="13419" spans="1:12" ht="43.5" x14ac:dyDescent="0.35">
      <c r="A13419" s="5" t="s">
        <v>98</v>
      </c>
      <c r="B13419" s="5" t="s">
        <v>99</v>
      </c>
      <c r="C13419" s="5" t="s">
        <v>2639</v>
      </c>
      <c r="D13419" s="5" t="s">
        <v>14</v>
      </c>
      <c r="E13419" s="5" t="s">
        <v>39</v>
      </c>
      <c r="F13419" s="5" t="s">
        <v>353</v>
      </c>
      <c r="G13419" s="5" t="s">
        <v>1417</v>
      </c>
      <c r="H13419" s="5" t="s">
        <v>1418</v>
      </c>
      <c r="I13419" s="5" t="s">
        <v>31</v>
      </c>
      <c r="J13419" s="5">
        <v>16.332938431645001</v>
      </c>
      <c r="K13419" s="5">
        <v>-96.677626353337999</v>
      </c>
      <c r="L13419" s="5" t="str">
        <f>HYPERLINK("https://maps.google.com/?q=16.3329384316454,-96.677626353338297", "🔗 Ver Mapa")</f>
        <v>🔗 Ver Mapa</v>
      </c>
    </row>
    <row r="13420" spans="1:12" ht="43.5" x14ac:dyDescent="0.35">
      <c r="A13420" s="6" t="s">
        <v>98</v>
      </c>
      <c r="B13420" s="6" t="s">
        <v>99</v>
      </c>
      <c r="C13420" s="6" t="s">
        <v>2639</v>
      </c>
      <c r="D13420" s="6" t="s">
        <v>14</v>
      </c>
      <c r="E13420" s="6" t="s">
        <v>39</v>
      </c>
      <c r="F13420" s="6" t="s">
        <v>353</v>
      </c>
      <c r="G13420" s="6" t="s">
        <v>1417</v>
      </c>
      <c r="H13420" s="6" t="s">
        <v>1418</v>
      </c>
      <c r="I13420" s="6" t="s">
        <v>31</v>
      </c>
      <c r="J13420" s="6">
        <v>16.334144375680001</v>
      </c>
      <c r="K13420" s="6">
        <v>-96.672710790178002</v>
      </c>
      <c r="L13420" s="6" t="str">
        <f>HYPERLINK("https://maps.google.com/?q=16.3341443756805,-96.6727107901783", "🔗 Ver Mapa")</f>
        <v>🔗 Ver Mapa</v>
      </c>
    </row>
    <row r="13421" spans="1:12" ht="43.5" x14ac:dyDescent="0.35">
      <c r="A13421" s="5" t="s">
        <v>98</v>
      </c>
      <c r="B13421" s="5" t="s">
        <v>99</v>
      </c>
      <c r="C13421" s="5" t="s">
        <v>2639</v>
      </c>
      <c r="D13421" s="5" t="s">
        <v>14</v>
      </c>
      <c r="E13421" s="5" t="s">
        <v>39</v>
      </c>
      <c r="F13421" s="5" t="s">
        <v>353</v>
      </c>
      <c r="G13421" s="5" t="s">
        <v>1417</v>
      </c>
      <c r="H13421" s="5" t="s">
        <v>1418</v>
      </c>
      <c r="I13421" s="5" t="s">
        <v>31</v>
      </c>
      <c r="J13421" s="5">
        <v>16.334707585296002</v>
      </c>
      <c r="K13421" s="5">
        <v>-96.678898326389003</v>
      </c>
      <c r="L13421" s="5" t="str">
        <f>HYPERLINK("https://maps.google.com/?q=16.3347075852965,-96.678898326389302", "🔗 Ver Mapa")</f>
        <v>🔗 Ver Mapa</v>
      </c>
    </row>
    <row r="13422" spans="1:12" ht="43.5" x14ac:dyDescent="0.35">
      <c r="A13422" s="6" t="s">
        <v>98</v>
      </c>
      <c r="B13422" s="6" t="s">
        <v>99</v>
      </c>
      <c r="C13422" s="6" t="s">
        <v>2639</v>
      </c>
      <c r="D13422" s="6" t="s">
        <v>14</v>
      </c>
      <c r="E13422" s="6" t="s">
        <v>39</v>
      </c>
      <c r="F13422" s="6" t="s">
        <v>353</v>
      </c>
      <c r="G13422" s="6" t="s">
        <v>1417</v>
      </c>
      <c r="H13422" s="6" t="s">
        <v>1418</v>
      </c>
      <c r="I13422" s="6" t="s">
        <v>31</v>
      </c>
      <c r="J13422" s="6">
        <v>16.334783245566999</v>
      </c>
      <c r="K13422" s="6">
        <v>-96.676674171792996</v>
      </c>
      <c r="L13422" s="6" t="str">
        <f>HYPERLINK("https://maps.google.com/?q=16.3347832455669,-96.676674171792897", "🔗 Ver Mapa")</f>
        <v>🔗 Ver Mapa</v>
      </c>
    </row>
    <row r="13423" spans="1:12" ht="43.5" x14ac:dyDescent="0.35">
      <c r="A13423" s="5" t="s">
        <v>98</v>
      </c>
      <c r="B13423" s="5" t="s">
        <v>99</v>
      </c>
      <c r="C13423" s="5" t="s">
        <v>2640</v>
      </c>
      <c r="D13423" s="5" t="s">
        <v>14</v>
      </c>
      <c r="E13423" s="5" t="s">
        <v>110</v>
      </c>
      <c r="F13423" s="5" t="s">
        <v>126</v>
      </c>
      <c r="G13423" s="5" t="s">
        <v>2641</v>
      </c>
      <c r="H13423" s="5" t="s">
        <v>2642</v>
      </c>
      <c r="I13423" s="5" t="s">
        <v>31</v>
      </c>
      <c r="J13423" s="5">
        <v>17.678734446191999</v>
      </c>
      <c r="K13423" s="5">
        <v>-97.037846195105999</v>
      </c>
      <c r="L13423" s="5" t="str">
        <f>HYPERLINK("https://maps.google.com/?q=17.6787344461921,-97.037846195106496", "🔗 Ver Mapa")</f>
        <v>🔗 Ver Mapa</v>
      </c>
    </row>
    <row r="13424" spans="1:12" ht="43.5" x14ac:dyDescent="0.35">
      <c r="A13424" s="6" t="s">
        <v>98</v>
      </c>
      <c r="B13424" s="6" t="s">
        <v>99</v>
      </c>
      <c r="C13424" s="6" t="s">
        <v>2640</v>
      </c>
      <c r="D13424" s="6" t="s">
        <v>14</v>
      </c>
      <c r="E13424" s="6" t="s">
        <v>110</v>
      </c>
      <c r="F13424" s="6" t="s">
        <v>126</v>
      </c>
      <c r="G13424" s="6" t="s">
        <v>2641</v>
      </c>
      <c r="H13424" s="6" t="s">
        <v>2642</v>
      </c>
      <c r="I13424" s="6" t="s">
        <v>31</v>
      </c>
      <c r="J13424" s="6">
        <v>17.679861435669999</v>
      </c>
      <c r="K13424" s="6">
        <v>-97.036625790005004</v>
      </c>
      <c r="L13424" s="6" t="str">
        <f>HYPERLINK("https://maps.google.com/?q=17.6798614356697,-97.036625790004607", "🔗 Ver Mapa")</f>
        <v>🔗 Ver Mapa</v>
      </c>
    </row>
    <row r="13425" spans="1:12" ht="43.5" x14ac:dyDescent="0.35">
      <c r="A13425" s="5" t="s">
        <v>98</v>
      </c>
      <c r="B13425" s="5" t="s">
        <v>99</v>
      </c>
      <c r="C13425" s="5" t="s">
        <v>2640</v>
      </c>
      <c r="D13425" s="5" t="s">
        <v>14</v>
      </c>
      <c r="E13425" s="5" t="s">
        <v>110</v>
      </c>
      <c r="F13425" s="5" t="s">
        <v>126</v>
      </c>
      <c r="G13425" s="5" t="s">
        <v>2641</v>
      </c>
      <c r="H13425" s="5" t="s">
        <v>2642</v>
      </c>
      <c r="I13425" s="5" t="s">
        <v>31</v>
      </c>
      <c r="J13425" s="5">
        <v>17.679925878245999</v>
      </c>
      <c r="K13425" s="5">
        <v>-97.037395724819007</v>
      </c>
      <c r="L13425" s="5" t="str">
        <f>HYPERLINK("https://maps.google.com/?q=17.6799258782457,-97.037395724819405", "🔗 Ver Mapa")</f>
        <v>🔗 Ver Mapa</v>
      </c>
    </row>
    <row r="13426" spans="1:12" ht="43.5" x14ac:dyDescent="0.35">
      <c r="A13426" s="6" t="s">
        <v>98</v>
      </c>
      <c r="B13426" s="6" t="s">
        <v>99</v>
      </c>
      <c r="C13426" s="6" t="s">
        <v>2640</v>
      </c>
      <c r="D13426" s="6" t="s">
        <v>14</v>
      </c>
      <c r="E13426" s="6" t="s">
        <v>110</v>
      </c>
      <c r="F13426" s="6" t="s">
        <v>126</v>
      </c>
      <c r="G13426" s="6" t="s">
        <v>2641</v>
      </c>
      <c r="H13426" s="6" t="s">
        <v>2642</v>
      </c>
      <c r="I13426" s="6" t="s">
        <v>31</v>
      </c>
      <c r="J13426" s="6">
        <v>17.680121893719999</v>
      </c>
      <c r="K13426" s="6">
        <v>-97.037715457671993</v>
      </c>
      <c r="L13426" s="6" t="str">
        <f>HYPERLINK("https://maps.google.com/?q=17.6801218937197,-97.037715457671993", "🔗 Ver Mapa")</f>
        <v>🔗 Ver Mapa</v>
      </c>
    </row>
    <row r="13427" spans="1:12" ht="43.5" x14ac:dyDescent="0.35">
      <c r="A13427" s="5" t="s">
        <v>98</v>
      </c>
      <c r="B13427" s="5" t="s">
        <v>99</v>
      </c>
      <c r="C13427" s="5" t="s">
        <v>2640</v>
      </c>
      <c r="D13427" s="5" t="s">
        <v>14</v>
      </c>
      <c r="E13427" s="5" t="s">
        <v>110</v>
      </c>
      <c r="F13427" s="5" t="s">
        <v>126</v>
      </c>
      <c r="G13427" s="5" t="s">
        <v>2641</v>
      </c>
      <c r="H13427" s="5" t="s">
        <v>2642</v>
      </c>
      <c r="I13427" s="5" t="s">
        <v>31</v>
      </c>
      <c r="J13427" s="5">
        <v>17.680242556982002</v>
      </c>
      <c r="K13427" s="5">
        <v>-97.032921203705001</v>
      </c>
      <c r="L13427" s="5" t="str">
        <f>HYPERLINK("https://maps.google.com/?q=17.6802425569824,-97.032921203704902", "🔗 Ver Mapa")</f>
        <v>🔗 Ver Mapa</v>
      </c>
    </row>
    <row r="13428" spans="1:12" ht="43.5" x14ac:dyDescent="0.35">
      <c r="A13428" s="6" t="s">
        <v>98</v>
      </c>
      <c r="B13428" s="6" t="s">
        <v>99</v>
      </c>
      <c r="C13428" s="6" t="s">
        <v>2640</v>
      </c>
      <c r="D13428" s="6" t="s">
        <v>14</v>
      </c>
      <c r="E13428" s="6" t="s">
        <v>110</v>
      </c>
      <c r="F13428" s="6" t="s">
        <v>126</v>
      </c>
      <c r="G13428" s="6" t="s">
        <v>2641</v>
      </c>
      <c r="H13428" s="6" t="s">
        <v>2642</v>
      </c>
      <c r="I13428" s="6" t="s">
        <v>31</v>
      </c>
      <c r="J13428" s="6">
        <v>17.680290892437</v>
      </c>
      <c r="K13428" s="6">
        <v>-97.037182224537005</v>
      </c>
      <c r="L13428" s="6" t="str">
        <f>HYPERLINK("https://maps.google.com/?q=17.6802908924374,-97.037182224536906", "🔗 Ver Mapa")</f>
        <v>🔗 Ver Mapa</v>
      </c>
    </row>
    <row r="13429" spans="1:12" ht="43.5" x14ac:dyDescent="0.35">
      <c r="A13429" s="5" t="s">
        <v>98</v>
      </c>
      <c r="B13429" s="5" t="s">
        <v>99</v>
      </c>
      <c r="C13429" s="5" t="s">
        <v>2640</v>
      </c>
      <c r="D13429" s="5" t="s">
        <v>14</v>
      </c>
      <c r="E13429" s="5" t="s">
        <v>110</v>
      </c>
      <c r="F13429" s="5" t="s">
        <v>126</v>
      </c>
      <c r="G13429" s="5" t="s">
        <v>2641</v>
      </c>
      <c r="H13429" s="5" t="s">
        <v>2642</v>
      </c>
      <c r="I13429" s="5" t="s">
        <v>31</v>
      </c>
      <c r="J13429" s="5">
        <v>17.680819337917001</v>
      </c>
      <c r="K13429" s="5">
        <v>-97.037413055225002</v>
      </c>
      <c r="L13429" s="5" t="str">
        <f>HYPERLINK("https://maps.google.com/?q=17.6808193379169,-97.0374130552254", "🔗 Ver Mapa")</f>
        <v>🔗 Ver Mapa</v>
      </c>
    </row>
    <row r="13430" spans="1:12" ht="43.5" x14ac:dyDescent="0.35">
      <c r="A13430" s="6" t="s">
        <v>98</v>
      </c>
      <c r="B13430" s="6" t="s">
        <v>99</v>
      </c>
      <c r="C13430" s="6" t="s">
        <v>2640</v>
      </c>
      <c r="D13430" s="6" t="s">
        <v>14</v>
      </c>
      <c r="E13430" s="6" t="s">
        <v>110</v>
      </c>
      <c r="F13430" s="6" t="s">
        <v>126</v>
      </c>
      <c r="G13430" s="6" t="s">
        <v>2641</v>
      </c>
      <c r="H13430" s="6" t="s">
        <v>2642</v>
      </c>
      <c r="I13430" s="6" t="s">
        <v>31</v>
      </c>
      <c r="J13430" s="6">
        <v>17.681734082430001</v>
      </c>
      <c r="K13430" s="6">
        <v>-97.039157728516003</v>
      </c>
      <c r="L13430" s="6" t="str">
        <f>HYPERLINK("https://maps.google.com/?q=17.6817340824295,-97.039157728515505", "🔗 Ver Mapa")</f>
        <v>🔗 Ver Mapa</v>
      </c>
    </row>
    <row r="13431" spans="1:12" ht="43.5" x14ac:dyDescent="0.35">
      <c r="A13431" s="5" t="s">
        <v>98</v>
      </c>
      <c r="B13431" s="5" t="s">
        <v>99</v>
      </c>
      <c r="C13431" s="5" t="s">
        <v>2640</v>
      </c>
      <c r="D13431" s="5" t="s">
        <v>14</v>
      </c>
      <c r="E13431" s="5" t="s">
        <v>110</v>
      </c>
      <c r="F13431" s="5" t="s">
        <v>126</v>
      </c>
      <c r="G13431" s="5" t="s">
        <v>2641</v>
      </c>
      <c r="H13431" s="5" t="s">
        <v>2642</v>
      </c>
      <c r="I13431" s="5" t="s">
        <v>31</v>
      </c>
      <c r="J13431" s="5">
        <v>17.681739735764001</v>
      </c>
      <c r="K13431" s="5">
        <v>-97.038527476195995</v>
      </c>
      <c r="L13431" s="5" t="str">
        <f>HYPERLINK("https://maps.google.com/?q=17.6817397357636,-97.038527476196407", "🔗 Ver Mapa")</f>
        <v>🔗 Ver Mapa</v>
      </c>
    </row>
    <row r="13432" spans="1:12" ht="43.5" x14ac:dyDescent="0.35">
      <c r="A13432" s="6" t="s">
        <v>98</v>
      </c>
      <c r="B13432" s="6" t="s">
        <v>99</v>
      </c>
      <c r="C13432" s="6" t="s">
        <v>2640</v>
      </c>
      <c r="D13432" s="6" t="s">
        <v>14</v>
      </c>
      <c r="E13432" s="6" t="s">
        <v>110</v>
      </c>
      <c r="F13432" s="6" t="s">
        <v>126</v>
      </c>
      <c r="G13432" s="6" t="s">
        <v>2641</v>
      </c>
      <c r="H13432" s="6" t="s">
        <v>2642</v>
      </c>
      <c r="I13432" s="6" t="s">
        <v>31</v>
      </c>
      <c r="J13432" s="6">
        <v>17.681824067143999</v>
      </c>
      <c r="K13432" s="6">
        <v>-97.038481878642997</v>
      </c>
      <c r="L13432" s="6" t="str">
        <f>HYPERLINK("https://maps.google.com/?q=17.681824067144,-97.038481878643196", "🔗 Ver Mapa")</f>
        <v>🔗 Ver Mapa</v>
      </c>
    </row>
    <row r="13433" spans="1:12" ht="43.5" x14ac:dyDescent="0.35">
      <c r="A13433" s="5" t="s">
        <v>98</v>
      </c>
      <c r="B13433" s="5" t="s">
        <v>99</v>
      </c>
      <c r="C13433" s="5" t="s">
        <v>2640</v>
      </c>
      <c r="D13433" s="5" t="s">
        <v>14</v>
      </c>
      <c r="E13433" s="5" t="s">
        <v>110</v>
      </c>
      <c r="F13433" s="5" t="s">
        <v>126</v>
      </c>
      <c r="G13433" s="5" t="s">
        <v>2641</v>
      </c>
      <c r="H13433" s="5" t="s">
        <v>2642</v>
      </c>
      <c r="I13433" s="5" t="s">
        <v>31</v>
      </c>
      <c r="J13433" s="5">
        <v>17.682077409731999</v>
      </c>
      <c r="K13433" s="5">
        <v>-97.036214956376</v>
      </c>
      <c r="L13433" s="5" t="str">
        <f>HYPERLINK("https://maps.google.com/?q=17.6820774097316,-97.036214956375602", "🔗 Ver Mapa")</f>
        <v>🔗 Ver Mapa</v>
      </c>
    </row>
    <row r="13434" spans="1:12" ht="43.5" x14ac:dyDescent="0.35">
      <c r="A13434" s="6" t="s">
        <v>98</v>
      </c>
      <c r="B13434" s="6" t="s">
        <v>99</v>
      </c>
      <c r="C13434" s="6" t="s">
        <v>2640</v>
      </c>
      <c r="D13434" s="6" t="s">
        <v>14</v>
      </c>
      <c r="E13434" s="6" t="s">
        <v>110</v>
      </c>
      <c r="F13434" s="6" t="s">
        <v>126</v>
      </c>
      <c r="G13434" s="6" t="s">
        <v>2641</v>
      </c>
      <c r="H13434" s="6" t="s">
        <v>2642</v>
      </c>
      <c r="I13434" s="6" t="s">
        <v>31</v>
      </c>
      <c r="J13434" s="6">
        <v>17.68284405575</v>
      </c>
      <c r="K13434" s="6">
        <v>-97.036174723239995</v>
      </c>
      <c r="L13434" s="6" t="str">
        <f>HYPERLINK("https://maps.google.com/?q=17.6828440557496,-97.036174723240293", "🔗 Ver Mapa")</f>
        <v>🔗 Ver Mapa</v>
      </c>
    </row>
    <row r="13435" spans="1:12" ht="43.5" x14ac:dyDescent="0.35">
      <c r="A13435" s="5" t="s">
        <v>98</v>
      </c>
      <c r="B13435" s="5" t="s">
        <v>99</v>
      </c>
      <c r="C13435" s="5" t="s">
        <v>2640</v>
      </c>
      <c r="D13435" s="5" t="s">
        <v>14</v>
      </c>
      <c r="E13435" s="5" t="s">
        <v>110</v>
      </c>
      <c r="F13435" s="5" t="s">
        <v>126</v>
      </c>
      <c r="G13435" s="5" t="s">
        <v>2641</v>
      </c>
      <c r="H13435" s="5" t="s">
        <v>2642</v>
      </c>
      <c r="I13435" s="5" t="s">
        <v>31</v>
      </c>
      <c r="J13435" s="5">
        <v>17.682890440057001</v>
      </c>
      <c r="K13435" s="5">
        <v>-97.041155543654995</v>
      </c>
      <c r="L13435" s="5" t="str">
        <f>HYPERLINK("https://maps.google.com/?q=17.6828904400569,-97.041155543655194", "🔗 Ver Mapa")</f>
        <v>🔗 Ver Mapa</v>
      </c>
    </row>
    <row r="13436" spans="1:12" ht="43.5" x14ac:dyDescent="0.35">
      <c r="A13436" s="6" t="s">
        <v>98</v>
      </c>
      <c r="B13436" s="6" t="s">
        <v>99</v>
      </c>
      <c r="C13436" s="6" t="s">
        <v>2640</v>
      </c>
      <c r="D13436" s="6" t="s">
        <v>14</v>
      </c>
      <c r="E13436" s="6" t="s">
        <v>110</v>
      </c>
      <c r="F13436" s="6" t="s">
        <v>126</v>
      </c>
      <c r="G13436" s="6" t="s">
        <v>2641</v>
      </c>
      <c r="H13436" s="6" t="s">
        <v>2642</v>
      </c>
      <c r="I13436" s="6" t="s">
        <v>31</v>
      </c>
      <c r="J13436" s="6">
        <v>17.682899449343001</v>
      </c>
      <c r="K13436" s="6">
        <v>-97.033371271164</v>
      </c>
      <c r="L13436" s="6" t="str">
        <f>HYPERLINK("https://maps.google.com/?q=17.6828994493427,-97.033371271163901", "🔗 Ver Mapa")</f>
        <v>🔗 Ver Mapa</v>
      </c>
    </row>
    <row r="13437" spans="1:12" ht="43.5" x14ac:dyDescent="0.35">
      <c r="A13437" s="5" t="s">
        <v>98</v>
      </c>
      <c r="B13437" s="5" t="s">
        <v>99</v>
      </c>
      <c r="C13437" s="5" t="s">
        <v>2640</v>
      </c>
      <c r="D13437" s="5" t="s">
        <v>14</v>
      </c>
      <c r="E13437" s="5" t="s">
        <v>110</v>
      </c>
      <c r="F13437" s="5" t="s">
        <v>126</v>
      </c>
      <c r="G13437" s="5" t="s">
        <v>2641</v>
      </c>
      <c r="H13437" s="5" t="s">
        <v>2642</v>
      </c>
      <c r="I13437" s="5" t="s">
        <v>31</v>
      </c>
      <c r="J13437" s="5">
        <v>17.682987556893998</v>
      </c>
      <c r="K13437" s="5">
        <v>-97.037978652779003</v>
      </c>
      <c r="L13437" s="5" t="str">
        <f>HYPERLINK("https://maps.google.com/?q=17.6829875568942,-97.037978652778605", "🔗 Ver Mapa")</f>
        <v>🔗 Ver Mapa</v>
      </c>
    </row>
    <row r="13438" spans="1:12" ht="43.5" x14ac:dyDescent="0.35">
      <c r="A13438" s="6" t="s">
        <v>98</v>
      </c>
      <c r="B13438" s="6" t="s">
        <v>99</v>
      </c>
      <c r="C13438" s="6" t="s">
        <v>2640</v>
      </c>
      <c r="D13438" s="6" t="s">
        <v>14</v>
      </c>
      <c r="E13438" s="6" t="s">
        <v>110</v>
      </c>
      <c r="F13438" s="6" t="s">
        <v>126</v>
      </c>
      <c r="G13438" s="6" t="s">
        <v>2641</v>
      </c>
      <c r="H13438" s="6" t="s">
        <v>2642</v>
      </c>
      <c r="I13438" s="6" t="s">
        <v>31</v>
      </c>
      <c r="J13438" s="6">
        <v>17.683453334134999</v>
      </c>
      <c r="K13438" s="6">
        <v>-97.038066224537005</v>
      </c>
      <c r="L13438" s="6" t="str">
        <f>HYPERLINK("https://maps.google.com/?q=17.6834533341354,-97.038066224536905", "🔗 Ver Mapa")</f>
        <v>🔗 Ver Mapa</v>
      </c>
    </row>
    <row r="13439" spans="1:12" ht="43.5" x14ac:dyDescent="0.35">
      <c r="A13439" s="5" t="s">
        <v>98</v>
      </c>
      <c r="B13439" s="5" t="s">
        <v>99</v>
      </c>
      <c r="C13439" s="5" t="s">
        <v>2640</v>
      </c>
      <c r="D13439" s="5" t="s">
        <v>14</v>
      </c>
      <c r="E13439" s="5" t="s">
        <v>110</v>
      </c>
      <c r="F13439" s="5" t="s">
        <v>126</v>
      </c>
      <c r="G13439" s="5" t="s">
        <v>2641</v>
      </c>
      <c r="H13439" s="5" t="s">
        <v>2642</v>
      </c>
      <c r="I13439" s="5" t="s">
        <v>31</v>
      </c>
      <c r="J13439" s="5">
        <v>17.683471494010998</v>
      </c>
      <c r="K13439" s="5">
        <v>-97.035662276759993</v>
      </c>
      <c r="L13439" s="5" t="str">
        <f>HYPERLINK("https://maps.google.com/?q=17.6834714940113,-97.035662276760107", "🔗 Ver Mapa")</f>
        <v>🔗 Ver Mapa</v>
      </c>
    </row>
    <row r="13440" spans="1:12" ht="43.5" x14ac:dyDescent="0.35">
      <c r="A13440" s="6" t="s">
        <v>98</v>
      </c>
      <c r="B13440" s="6" t="s">
        <v>99</v>
      </c>
      <c r="C13440" s="6" t="s">
        <v>2640</v>
      </c>
      <c r="D13440" s="6" t="s">
        <v>14</v>
      </c>
      <c r="E13440" s="6" t="s">
        <v>110</v>
      </c>
      <c r="F13440" s="6" t="s">
        <v>126</v>
      </c>
      <c r="G13440" s="6" t="s">
        <v>2641</v>
      </c>
      <c r="H13440" s="6" t="s">
        <v>2642</v>
      </c>
      <c r="I13440" s="6" t="s">
        <v>31</v>
      </c>
      <c r="J13440" s="6">
        <v>17.683638341051999</v>
      </c>
      <c r="K13440" s="6">
        <v>-97.032863101852001</v>
      </c>
      <c r="L13440" s="6" t="str">
        <f>HYPERLINK("https://maps.google.com/?q=17.6836383410523,-97.032863101852399", "🔗 Ver Mapa")</f>
        <v>🔗 Ver Mapa</v>
      </c>
    </row>
    <row r="13441" spans="1:12" ht="43.5" x14ac:dyDescent="0.35">
      <c r="A13441" s="5" t="s">
        <v>98</v>
      </c>
      <c r="B13441" s="5" t="s">
        <v>99</v>
      </c>
      <c r="C13441" s="5" t="s">
        <v>2640</v>
      </c>
      <c r="D13441" s="5" t="s">
        <v>14</v>
      </c>
      <c r="E13441" s="5" t="s">
        <v>110</v>
      </c>
      <c r="F13441" s="5" t="s">
        <v>126</v>
      </c>
      <c r="G13441" s="5" t="s">
        <v>2641</v>
      </c>
      <c r="H13441" s="5" t="s">
        <v>2642</v>
      </c>
      <c r="I13441" s="5" t="s">
        <v>31</v>
      </c>
      <c r="J13441" s="5">
        <v>17.683944796854998</v>
      </c>
      <c r="K13441" s="5">
        <v>-97.031572407409996</v>
      </c>
      <c r="L13441" s="5" t="str">
        <f>HYPERLINK("https://maps.google.com/?q=17.6839447968547,-97.031572407409698", "🔗 Ver Mapa")</f>
        <v>🔗 Ver Mapa</v>
      </c>
    </row>
    <row r="13442" spans="1:12" ht="43.5" x14ac:dyDescent="0.35">
      <c r="A13442" s="6" t="s">
        <v>98</v>
      </c>
      <c r="B13442" s="6" t="s">
        <v>99</v>
      </c>
      <c r="C13442" s="6" t="s">
        <v>2640</v>
      </c>
      <c r="D13442" s="6" t="s">
        <v>14</v>
      </c>
      <c r="E13442" s="6" t="s">
        <v>110</v>
      </c>
      <c r="F13442" s="6" t="s">
        <v>126</v>
      </c>
      <c r="G13442" s="6" t="s">
        <v>2641</v>
      </c>
      <c r="H13442" s="6" t="s">
        <v>2642</v>
      </c>
      <c r="I13442" s="6" t="s">
        <v>31</v>
      </c>
      <c r="J13442" s="6">
        <v>17.684082791944999</v>
      </c>
      <c r="K13442" s="6">
        <v>-97.032165175602003</v>
      </c>
      <c r="L13442" s="6" t="str">
        <f>HYPERLINK("https://maps.google.com/?q=17.6840827919453,-97.032165175602003", "🔗 Ver Mapa")</f>
        <v>🔗 Ver Mapa</v>
      </c>
    </row>
    <row r="13443" spans="1:12" ht="43.5" x14ac:dyDescent="0.35">
      <c r="A13443" s="5" t="s">
        <v>98</v>
      </c>
      <c r="B13443" s="5" t="s">
        <v>99</v>
      </c>
      <c r="C13443" s="5" t="s">
        <v>2640</v>
      </c>
      <c r="D13443" s="5" t="s">
        <v>14</v>
      </c>
      <c r="E13443" s="5" t="s">
        <v>110</v>
      </c>
      <c r="F13443" s="5" t="s">
        <v>126</v>
      </c>
      <c r="G13443" s="5" t="s">
        <v>2641</v>
      </c>
      <c r="H13443" s="5" t="s">
        <v>2642</v>
      </c>
      <c r="I13443" s="5" t="s">
        <v>31</v>
      </c>
      <c r="J13443" s="5">
        <v>17.684353670888999</v>
      </c>
      <c r="K13443" s="5">
        <v>-97.031325644180001</v>
      </c>
      <c r="L13443" s="5" t="str">
        <f>HYPERLINK("https://maps.google.com/?q=17.6843536708893,-97.031325644180299", "🔗 Ver Mapa")</f>
        <v>🔗 Ver Mapa</v>
      </c>
    </row>
    <row r="13444" spans="1:12" ht="43.5" x14ac:dyDescent="0.35">
      <c r="A13444" s="6" t="s">
        <v>98</v>
      </c>
      <c r="B13444" s="6" t="s">
        <v>99</v>
      </c>
      <c r="C13444" s="6" t="s">
        <v>2640</v>
      </c>
      <c r="D13444" s="6" t="s">
        <v>14</v>
      </c>
      <c r="E13444" s="6" t="s">
        <v>110</v>
      </c>
      <c r="F13444" s="6" t="s">
        <v>126</v>
      </c>
      <c r="G13444" s="6" t="s">
        <v>2641</v>
      </c>
      <c r="H13444" s="6" t="s">
        <v>2642</v>
      </c>
      <c r="I13444" s="6" t="s">
        <v>31</v>
      </c>
      <c r="J13444" s="6">
        <v>17.684549892757001</v>
      </c>
      <c r="K13444" s="6">
        <v>-97.037852373015994</v>
      </c>
      <c r="L13444" s="6" t="str">
        <f>HYPERLINK("https://maps.google.com/?q=17.6845498927574,-97.037852373016307", "🔗 Ver Mapa")</f>
        <v>🔗 Ver Mapa</v>
      </c>
    </row>
    <row r="13445" spans="1:12" ht="43.5" x14ac:dyDescent="0.35">
      <c r="A13445" s="5" t="s">
        <v>98</v>
      </c>
      <c r="B13445" s="5" t="s">
        <v>99</v>
      </c>
      <c r="C13445" s="5" t="s">
        <v>2640</v>
      </c>
      <c r="D13445" s="5" t="s">
        <v>14</v>
      </c>
      <c r="E13445" s="5" t="s">
        <v>110</v>
      </c>
      <c r="F13445" s="5" t="s">
        <v>126</v>
      </c>
      <c r="G13445" s="5" t="s">
        <v>2641</v>
      </c>
      <c r="H13445" s="5" t="s">
        <v>2642</v>
      </c>
      <c r="I13445" s="5" t="s">
        <v>31</v>
      </c>
      <c r="J13445" s="5">
        <v>17.684761593032999</v>
      </c>
      <c r="K13445" s="5">
        <v>-97.032033811817001</v>
      </c>
      <c r="L13445" s="5" t="str">
        <f>HYPERLINK("https://maps.google.com/?q=17.6847615930335,-97.032033811816802", "🔗 Ver Mapa")</f>
        <v>🔗 Ver Mapa</v>
      </c>
    </row>
    <row r="13446" spans="1:12" ht="43.5" x14ac:dyDescent="0.35">
      <c r="A13446" s="6" t="s">
        <v>98</v>
      </c>
      <c r="B13446" s="6" t="s">
        <v>99</v>
      </c>
      <c r="C13446" s="6" t="s">
        <v>2640</v>
      </c>
      <c r="D13446" s="6" t="s">
        <v>14</v>
      </c>
      <c r="E13446" s="6" t="s">
        <v>110</v>
      </c>
      <c r="F13446" s="6" t="s">
        <v>126</v>
      </c>
      <c r="G13446" s="6" t="s">
        <v>2641</v>
      </c>
      <c r="H13446" s="6" t="s">
        <v>2642</v>
      </c>
      <c r="I13446" s="6" t="s">
        <v>31</v>
      </c>
      <c r="J13446" s="6">
        <v>17.684874983934002</v>
      </c>
      <c r="K13446" s="6">
        <v>-97.032586282417</v>
      </c>
      <c r="L13446" s="6" t="str">
        <f>HYPERLINK("https://maps.google.com/?q=17.6848749839343,-97.032586282417498", "🔗 Ver Mapa")</f>
        <v>🔗 Ver Mapa</v>
      </c>
    </row>
    <row r="13447" spans="1:12" ht="43.5" x14ac:dyDescent="0.35">
      <c r="A13447" s="5" t="s">
        <v>98</v>
      </c>
      <c r="B13447" s="5" t="s">
        <v>99</v>
      </c>
      <c r="C13447" s="5" t="s">
        <v>2640</v>
      </c>
      <c r="D13447" s="5" t="s">
        <v>14</v>
      </c>
      <c r="E13447" s="5" t="s">
        <v>110</v>
      </c>
      <c r="F13447" s="5" t="s">
        <v>126</v>
      </c>
      <c r="G13447" s="5" t="s">
        <v>2641</v>
      </c>
      <c r="H13447" s="5" t="s">
        <v>2642</v>
      </c>
      <c r="I13447" s="5" t="s">
        <v>31</v>
      </c>
      <c r="J13447" s="5">
        <v>17.6850038101</v>
      </c>
      <c r="K13447" s="5">
        <v>-97.040531930059004</v>
      </c>
      <c r="L13447" s="5" t="str">
        <f>HYPERLINK("https://maps.google.com/?q=17.6850038101004,-97.040531930059203", "🔗 Ver Mapa")</f>
        <v>🔗 Ver Mapa</v>
      </c>
    </row>
    <row r="13448" spans="1:12" ht="43.5" x14ac:dyDescent="0.35">
      <c r="A13448" s="6" t="s">
        <v>98</v>
      </c>
      <c r="B13448" s="6" t="s">
        <v>99</v>
      </c>
      <c r="C13448" s="6" t="s">
        <v>2640</v>
      </c>
      <c r="D13448" s="6" t="s">
        <v>14</v>
      </c>
      <c r="E13448" s="6" t="s">
        <v>110</v>
      </c>
      <c r="F13448" s="6" t="s">
        <v>126</v>
      </c>
      <c r="G13448" s="6" t="s">
        <v>2641</v>
      </c>
      <c r="H13448" s="6" t="s">
        <v>2642</v>
      </c>
      <c r="I13448" s="6" t="s">
        <v>31</v>
      </c>
      <c r="J13448" s="6">
        <v>17.685144910725999</v>
      </c>
      <c r="K13448" s="6">
        <v>-97.033747743378001</v>
      </c>
      <c r="L13448" s="6" t="str">
        <f>HYPERLINK("https://maps.google.com/?q=17.685144910726,-97.033747743377504", "🔗 Ver Mapa")</f>
        <v>🔗 Ver Mapa</v>
      </c>
    </row>
    <row r="13449" spans="1:12" ht="43.5" x14ac:dyDescent="0.35">
      <c r="A13449" s="5" t="s">
        <v>98</v>
      </c>
      <c r="B13449" s="5" t="s">
        <v>99</v>
      </c>
      <c r="C13449" s="5" t="s">
        <v>2640</v>
      </c>
      <c r="D13449" s="5" t="s">
        <v>14</v>
      </c>
      <c r="E13449" s="5" t="s">
        <v>110</v>
      </c>
      <c r="F13449" s="5" t="s">
        <v>126</v>
      </c>
      <c r="G13449" s="5" t="s">
        <v>2641</v>
      </c>
      <c r="H13449" s="5" t="s">
        <v>2642</v>
      </c>
      <c r="I13449" s="5" t="s">
        <v>31</v>
      </c>
      <c r="J13449" s="5">
        <v>17.685153036803001</v>
      </c>
      <c r="K13449" s="5">
        <v>-97.031979152050994</v>
      </c>
      <c r="L13449" s="5" t="str">
        <f>HYPERLINK("https://maps.google.com/?q=17.6851530368034,-97.031979152051093", "🔗 Ver Mapa")</f>
        <v>🔗 Ver Mapa</v>
      </c>
    </row>
    <row r="13450" spans="1:12" ht="43.5" x14ac:dyDescent="0.35">
      <c r="A13450" s="6" t="s">
        <v>98</v>
      </c>
      <c r="B13450" s="6" t="s">
        <v>99</v>
      </c>
      <c r="C13450" s="6" t="s">
        <v>2640</v>
      </c>
      <c r="D13450" s="6" t="s">
        <v>14</v>
      </c>
      <c r="E13450" s="6" t="s">
        <v>110</v>
      </c>
      <c r="F13450" s="6" t="s">
        <v>126</v>
      </c>
      <c r="G13450" s="6" t="s">
        <v>2641</v>
      </c>
      <c r="H13450" s="6" t="s">
        <v>2642</v>
      </c>
      <c r="I13450" s="6" t="s">
        <v>31</v>
      </c>
      <c r="J13450" s="6">
        <v>17.685415788069001</v>
      </c>
      <c r="K13450" s="6">
        <v>-97.034879635582001</v>
      </c>
      <c r="L13450" s="6" t="str">
        <f>HYPERLINK("https://maps.google.com/?q=17.6854157880689,-97.034879635582001", "🔗 Ver Mapa")</f>
        <v>🔗 Ver Mapa</v>
      </c>
    </row>
    <row r="13451" spans="1:12" ht="43.5" x14ac:dyDescent="0.35">
      <c r="A13451" s="5" t="s">
        <v>98</v>
      </c>
      <c r="B13451" s="5" t="s">
        <v>99</v>
      </c>
      <c r="C13451" s="5" t="s">
        <v>2640</v>
      </c>
      <c r="D13451" s="5" t="s">
        <v>14</v>
      </c>
      <c r="E13451" s="5" t="s">
        <v>110</v>
      </c>
      <c r="F13451" s="5" t="s">
        <v>126</v>
      </c>
      <c r="G13451" s="5" t="s">
        <v>2641</v>
      </c>
      <c r="H13451" s="5" t="s">
        <v>2642</v>
      </c>
      <c r="I13451" s="5" t="s">
        <v>31</v>
      </c>
      <c r="J13451" s="5">
        <v>17.685528041927</v>
      </c>
      <c r="K13451" s="5">
        <v>-97.037300464422003</v>
      </c>
      <c r="L13451" s="5" t="str">
        <f>HYPERLINK("https://maps.google.com/?q=17.6855280419269,-97.037300464421804", "🔗 Ver Mapa")</f>
        <v>🔗 Ver Mapa</v>
      </c>
    </row>
    <row r="13452" spans="1:12" ht="43.5" x14ac:dyDescent="0.35">
      <c r="A13452" s="6" t="s">
        <v>98</v>
      </c>
      <c r="B13452" s="6" t="s">
        <v>99</v>
      </c>
      <c r="C13452" s="6" t="s">
        <v>2640</v>
      </c>
      <c r="D13452" s="6" t="s">
        <v>14</v>
      </c>
      <c r="E13452" s="6" t="s">
        <v>110</v>
      </c>
      <c r="F13452" s="6" t="s">
        <v>126</v>
      </c>
      <c r="G13452" s="6" t="s">
        <v>2641</v>
      </c>
      <c r="H13452" s="6" t="s">
        <v>2642</v>
      </c>
      <c r="I13452" s="6" t="s">
        <v>31</v>
      </c>
      <c r="J13452" s="6">
        <v>17.685732662932999</v>
      </c>
      <c r="K13452" s="6">
        <v>-97.034225176581998</v>
      </c>
      <c r="L13452" s="6" t="str">
        <f>HYPERLINK("https://maps.google.com/?q=17.685732662933,-97.034225176582197", "🔗 Ver Mapa")</f>
        <v>🔗 Ver Mapa</v>
      </c>
    </row>
    <row r="13453" spans="1:12" ht="43.5" x14ac:dyDescent="0.35">
      <c r="A13453" s="5" t="s">
        <v>98</v>
      </c>
      <c r="B13453" s="5" t="s">
        <v>99</v>
      </c>
      <c r="C13453" s="5" t="s">
        <v>2640</v>
      </c>
      <c r="D13453" s="5" t="s">
        <v>14</v>
      </c>
      <c r="E13453" s="5" t="s">
        <v>110</v>
      </c>
      <c r="F13453" s="5" t="s">
        <v>126</v>
      </c>
      <c r="G13453" s="5" t="s">
        <v>2641</v>
      </c>
      <c r="H13453" s="5" t="s">
        <v>2642</v>
      </c>
      <c r="I13453" s="5" t="s">
        <v>31</v>
      </c>
      <c r="J13453" s="5">
        <v>17.685770451540002</v>
      </c>
      <c r="K13453" s="5">
        <v>-97.040358568122997</v>
      </c>
      <c r="L13453" s="5" t="str">
        <f>HYPERLINK("https://maps.google.com/?q=17.68577045154,-97.040358568122898", "🔗 Ver Mapa")</f>
        <v>🔗 Ver Mapa</v>
      </c>
    </row>
    <row r="13454" spans="1:12" ht="43.5" x14ac:dyDescent="0.35">
      <c r="A13454" s="6" t="s">
        <v>98</v>
      </c>
      <c r="B13454" s="6" t="s">
        <v>99</v>
      </c>
      <c r="C13454" s="6" t="s">
        <v>2640</v>
      </c>
      <c r="D13454" s="6" t="s">
        <v>14</v>
      </c>
      <c r="E13454" s="6" t="s">
        <v>110</v>
      </c>
      <c r="F13454" s="6" t="s">
        <v>126</v>
      </c>
      <c r="G13454" s="6" t="s">
        <v>2641</v>
      </c>
      <c r="H13454" s="6" t="s">
        <v>2642</v>
      </c>
      <c r="I13454" s="6" t="s">
        <v>31</v>
      </c>
      <c r="J13454" s="6">
        <v>17.685899856211002</v>
      </c>
      <c r="K13454" s="6">
        <v>-97.034966994057001</v>
      </c>
      <c r="L13454" s="6" t="str">
        <f>HYPERLINK("https://maps.google.com/?q=17.6858998562107,-97.034966994056902", "🔗 Ver Mapa")</f>
        <v>🔗 Ver Mapa</v>
      </c>
    </row>
    <row r="13455" spans="1:12" ht="43.5" x14ac:dyDescent="0.35">
      <c r="A13455" s="5" t="s">
        <v>98</v>
      </c>
      <c r="B13455" s="5" t="s">
        <v>99</v>
      </c>
      <c r="C13455" s="5" t="s">
        <v>2640</v>
      </c>
      <c r="D13455" s="5" t="s">
        <v>14</v>
      </c>
      <c r="E13455" s="5" t="s">
        <v>110</v>
      </c>
      <c r="F13455" s="5" t="s">
        <v>126</v>
      </c>
      <c r="G13455" s="5" t="s">
        <v>2641</v>
      </c>
      <c r="H13455" s="5" t="s">
        <v>2642</v>
      </c>
      <c r="I13455" s="5" t="s">
        <v>31</v>
      </c>
      <c r="J13455" s="5">
        <v>17.686037849800002</v>
      </c>
      <c r="K13455" s="5">
        <v>-97.035090375671999</v>
      </c>
      <c r="L13455" s="5" t="str">
        <f>HYPERLINK("https://maps.google.com/?q=17.6860378498,-97.035090375671601", "🔗 Ver Mapa")</f>
        <v>🔗 Ver Mapa</v>
      </c>
    </row>
    <row r="13456" spans="1:12" ht="43.5" x14ac:dyDescent="0.35">
      <c r="A13456" s="6" t="s">
        <v>98</v>
      </c>
      <c r="B13456" s="6" t="s">
        <v>99</v>
      </c>
      <c r="C13456" s="6" t="s">
        <v>2640</v>
      </c>
      <c r="D13456" s="6" t="s">
        <v>14</v>
      </c>
      <c r="E13456" s="6" t="s">
        <v>110</v>
      </c>
      <c r="F13456" s="6" t="s">
        <v>126</v>
      </c>
      <c r="G13456" s="6" t="s">
        <v>2641</v>
      </c>
      <c r="H13456" s="6" t="s">
        <v>2642</v>
      </c>
      <c r="I13456" s="6" t="s">
        <v>31</v>
      </c>
      <c r="J13456" s="6">
        <v>17.686128570053999</v>
      </c>
      <c r="K13456" s="6">
        <v>-97.041350600035003</v>
      </c>
      <c r="L13456" s="6" t="str">
        <f>HYPERLINK("https://maps.google.com/?q=17.686128570054,-97.041350600034903", "🔗 Ver Mapa")</f>
        <v>🔗 Ver Mapa</v>
      </c>
    </row>
    <row r="13457" spans="1:12" ht="43.5" x14ac:dyDescent="0.35">
      <c r="A13457" s="5" t="s">
        <v>98</v>
      </c>
      <c r="B13457" s="5" t="s">
        <v>99</v>
      </c>
      <c r="C13457" s="5" t="s">
        <v>2640</v>
      </c>
      <c r="D13457" s="5" t="s">
        <v>14</v>
      </c>
      <c r="E13457" s="5" t="s">
        <v>110</v>
      </c>
      <c r="F13457" s="5" t="s">
        <v>126</v>
      </c>
      <c r="G13457" s="5" t="s">
        <v>2641</v>
      </c>
      <c r="H13457" s="5" t="s">
        <v>2642</v>
      </c>
      <c r="I13457" s="5" t="s">
        <v>31</v>
      </c>
      <c r="J13457" s="5">
        <v>17.686164346133999</v>
      </c>
      <c r="K13457" s="5">
        <v>-97.041903135091999</v>
      </c>
      <c r="L13457" s="5" t="str">
        <f>HYPERLINK("https://maps.google.com/?q=17.6861643461343,-97.041903135091999", "🔗 Ver Mapa")</f>
        <v>🔗 Ver Mapa</v>
      </c>
    </row>
    <row r="13458" spans="1:12" ht="43.5" x14ac:dyDescent="0.35">
      <c r="A13458" s="6" t="s">
        <v>98</v>
      </c>
      <c r="B13458" s="6" t="s">
        <v>99</v>
      </c>
      <c r="C13458" s="6" t="s">
        <v>2640</v>
      </c>
      <c r="D13458" s="6" t="s">
        <v>14</v>
      </c>
      <c r="E13458" s="6" t="s">
        <v>110</v>
      </c>
      <c r="F13458" s="6" t="s">
        <v>126</v>
      </c>
      <c r="G13458" s="6" t="s">
        <v>2641</v>
      </c>
      <c r="H13458" s="6" t="s">
        <v>2642</v>
      </c>
      <c r="I13458" s="6" t="s">
        <v>31</v>
      </c>
      <c r="J13458" s="6">
        <v>17.686170732415999</v>
      </c>
      <c r="K13458" s="6">
        <v>-97.035074282417</v>
      </c>
      <c r="L13458" s="6" t="str">
        <f>HYPERLINK("https://maps.google.com/?q=17.6861707324155,-97.035074282417497", "🔗 Ver Mapa")</f>
        <v>🔗 Ver Mapa</v>
      </c>
    </row>
    <row r="13459" spans="1:12" ht="43.5" x14ac:dyDescent="0.35">
      <c r="A13459" s="5" t="s">
        <v>98</v>
      </c>
      <c r="B13459" s="5" t="s">
        <v>99</v>
      </c>
      <c r="C13459" s="5" t="s">
        <v>2640</v>
      </c>
      <c r="D13459" s="5" t="s">
        <v>14</v>
      </c>
      <c r="E13459" s="5" t="s">
        <v>110</v>
      </c>
      <c r="F13459" s="5" t="s">
        <v>126</v>
      </c>
      <c r="G13459" s="5" t="s">
        <v>2641</v>
      </c>
      <c r="H13459" s="5" t="s">
        <v>2642</v>
      </c>
      <c r="I13459" s="5" t="s">
        <v>31</v>
      </c>
      <c r="J13459" s="5">
        <v>17.686203504434001</v>
      </c>
      <c r="K13459" s="5">
        <v>-97.033739991402001</v>
      </c>
      <c r="L13459" s="5" t="str">
        <f>HYPERLINK("https://maps.google.com/?q=17.6862035044338,-97.033739991401703", "🔗 Ver Mapa")</f>
        <v>🔗 Ver Mapa</v>
      </c>
    </row>
    <row r="13460" spans="1:12" ht="43.5" x14ac:dyDescent="0.35">
      <c r="A13460" s="6" t="s">
        <v>98</v>
      </c>
      <c r="B13460" s="6" t="s">
        <v>99</v>
      </c>
      <c r="C13460" s="6" t="s">
        <v>2640</v>
      </c>
      <c r="D13460" s="6" t="s">
        <v>14</v>
      </c>
      <c r="E13460" s="6" t="s">
        <v>110</v>
      </c>
      <c r="F13460" s="6" t="s">
        <v>126</v>
      </c>
      <c r="G13460" s="6" t="s">
        <v>2641</v>
      </c>
      <c r="H13460" s="6" t="s">
        <v>2642</v>
      </c>
      <c r="I13460" s="6" t="s">
        <v>31</v>
      </c>
      <c r="J13460" s="6">
        <v>17.686343871830999</v>
      </c>
      <c r="K13460" s="6">
        <v>-97.031378337231999</v>
      </c>
      <c r="L13460" s="6" t="str">
        <f>HYPERLINK("https://maps.google.com/?q=17.6863438718312,-97.031378337231601", "🔗 Ver Mapa")</f>
        <v>🔗 Ver Mapa</v>
      </c>
    </row>
    <row r="13461" spans="1:12" ht="43.5" x14ac:dyDescent="0.35">
      <c r="A13461" s="5" t="s">
        <v>98</v>
      </c>
      <c r="B13461" s="5" t="s">
        <v>99</v>
      </c>
      <c r="C13461" s="5" t="s">
        <v>2640</v>
      </c>
      <c r="D13461" s="5" t="s">
        <v>14</v>
      </c>
      <c r="E13461" s="5" t="s">
        <v>110</v>
      </c>
      <c r="F13461" s="5" t="s">
        <v>126</v>
      </c>
      <c r="G13461" s="5" t="s">
        <v>2641</v>
      </c>
      <c r="H13461" s="5" t="s">
        <v>2642</v>
      </c>
      <c r="I13461" s="5" t="s">
        <v>31</v>
      </c>
      <c r="J13461" s="5">
        <v>17.686550010855001</v>
      </c>
      <c r="K13461" s="5">
        <v>-97.033689728835995</v>
      </c>
      <c r="L13461" s="5" t="str">
        <f>HYPERLINK("https://maps.google.com/?q=17.6865500108547,-97.033689728835995", "🔗 Ver Mapa")</f>
        <v>🔗 Ver Mapa</v>
      </c>
    </row>
    <row r="13462" spans="1:12" ht="43.5" x14ac:dyDescent="0.35">
      <c r="A13462" s="6" t="s">
        <v>98</v>
      </c>
      <c r="B13462" s="6" t="s">
        <v>99</v>
      </c>
      <c r="C13462" s="6" t="s">
        <v>2640</v>
      </c>
      <c r="D13462" s="6" t="s">
        <v>14</v>
      </c>
      <c r="E13462" s="6" t="s">
        <v>110</v>
      </c>
      <c r="F13462" s="6" t="s">
        <v>126</v>
      </c>
      <c r="G13462" s="6" t="s">
        <v>2641</v>
      </c>
      <c r="H13462" s="6" t="s">
        <v>2642</v>
      </c>
      <c r="I13462" s="6" t="s">
        <v>31</v>
      </c>
      <c r="J13462" s="6">
        <v>17.686810447357999</v>
      </c>
      <c r="K13462" s="6">
        <v>-97.035263158150002</v>
      </c>
      <c r="L13462" s="6" t="str">
        <f>HYPERLINK("https://maps.google.com/?q=17.686810447358,-97.035263158150102", "🔗 Ver Mapa")</f>
        <v>🔗 Ver Mapa</v>
      </c>
    </row>
    <row r="13463" spans="1:12" ht="43.5" x14ac:dyDescent="0.35">
      <c r="A13463" s="5" t="s">
        <v>98</v>
      </c>
      <c r="B13463" s="5" t="s">
        <v>99</v>
      </c>
      <c r="C13463" s="5" t="s">
        <v>2640</v>
      </c>
      <c r="D13463" s="5" t="s">
        <v>14</v>
      </c>
      <c r="E13463" s="5" t="s">
        <v>110</v>
      </c>
      <c r="F13463" s="5" t="s">
        <v>126</v>
      </c>
      <c r="G13463" s="5" t="s">
        <v>2641</v>
      </c>
      <c r="H13463" s="5" t="s">
        <v>2642</v>
      </c>
      <c r="I13463" s="5" t="s">
        <v>31</v>
      </c>
      <c r="J13463" s="5">
        <v>17.686881141653998</v>
      </c>
      <c r="K13463" s="5">
        <v>-97.034376908073</v>
      </c>
      <c r="L13463" s="5" t="str">
        <f>HYPERLINK("https://maps.google.com/?q=17.6868811416543,-97.034376908073497", "🔗 Ver Mapa")</f>
        <v>🔗 Ver Mapa</v>
      </c>
    </row>
    <row r="13464" spans="1:12" ht="43.5" x14ac:dyDescent="0.35">
      <c r="A13464" s="6" t="s">
        <v>98</v>
      </c>
      <c r="B13464" s="6" t="s">
        <v>99</v>
      </c>
      <c r="C13464" s="6" t="s">
        <v>2640</v>
      </c>
      <c r="D13464" s="6" t="s">
        <v>14</v>
      </c>
      <c r="E13464" s="6" t="s">
        <v>110</v>
      </c>
      <c r="F13464" s="6" t="s">
        <v>126</v>
      </c>
      <c r="G13464" s="6" t="s">
        <v>2641</v>
      </c>
      <c r="H13464" s="6" t="s">
        <v>2642</v>
      </c>
      <c r="I13464" s="6" t="s">
        <v>31</v>
      </c>
      <c r="J13464" s="6">
        <v>17.687102356789001</v>
      </c>
      <c r="K13464" s="6">
        <v>-97.035560955302998</v>
      </c>
      <c r="L13464" s="6" t="str">
        <f>HYPERLINK("https://maps.google.com/?q=17.6871023567893,-97.035560955302998", "🔗 Ver Mapa")</f>
        <v>🔗 Ver Mapa</v>
      </c>
    </row>
    <row r="13465" spans="1:12" ht="43.5" x14ac:dyDescent="0.35">
      <c r="A13465" s="5" t="s">
        <v>98</v>
      </c>
      <c r="B13465" s="5" t="s">
        <v>99</v>
      </c>
      <c r="C13465" s="5" t="s">
        <v>2640</v>
      </c>
      <c r="D13465" s="5" t="s">
        <v>14</v>
      </c>
      <c r="E13465" s="5" t="s">
        <v>110</v>
      </c>
      <c r="F13465" s="5" t="s">
        <v>126</v>
      </c>
      <c r="G13465" s="5" t="s">
        <v>2641</v>
      </c>
      <c r="H13465" s="5" t="s">
        <v>2642</v>
      </c>
      <c r="I13465" s="5" t="s">
        <v>31</v>
      </c>
      <c r="J13465" s="5">
        <v>17.687102783536002</v>
      </c>
      <c r="K13465" s="5">
        <v>-97.039044542328</v>
      </c>
      <c r="L13465" s="5" t="str">
        <f>HYPERLINK("https://maps.google.com/?q=17.687102783536,-97.0390445423279", "🔗 Ver Mapa")</f>
        <v>🔗 Ver Mapa</v>
      </c>
    </row>
    <row r="13466" spans="1:12" ht="43.5" x14ac:dyDescent="0.35">
      <c r="A13466" s="6" t="s">
        <v>98</v>
      </c>
      <c r="B13466" s="6" t="s">
        <v>99</v>
      </c>
      <c r="C13466" s="6" t="s">
        <v>2640</v>
      </c>
      <c r="D13466" s="6" t="s">
        <v>14</v>
      </c>
      <c r="E13466" s="6" t="s">
        <v>110</v>
      </c>
      <c r="F13466" s="6" t="s">
        <v>126</v>
      </c>
      <c r="G13466" s="6" t="s">
        <v>2641</v>
      </c>
      <c r="H13466" s="6" t="s">
        <v>2642</v>
      </c>
      <c r="I13466" s="6" t="s">
        <v>31</v>
      </c>
      <c r="J13466" s="6">
        <v>17.687216336525999</v>
      </c>
      <c r="K13466" s="6">
        <v>-97.042169662705007</v>
      </c>
      <c r="L13466" s="6" t="str">
        <f>HYPERLINK("https://maps.google.com/?q=17.6872163365257,-97.042169662704595", "🔗 Ver Mapa")</f>
        <v>🔗 Ver Mapa</v>
      </c>
    </row>
    <row r="13467" spans="1:12" ht="43.5" x14ac:dyDescent="0.35">
      <c r="A13467" s="5" t="s">
        <v>98</v>
      </c>
      <c r="B13467" s="5" t="s">
        <v>99</v>
      </c>
      <c r="C13467" s="5" t="s">
        <v>2640</v>
      </c>
      <c r="D13467" s="5" t="s">
        <v>14</v>
      </c>
      <c r="E13467" s="5" t="s">
        <v>110</v>
      </c>
      <c r="F13467" s="5" t="s">
        <v>126</v>
      </c>
      <c r="G13467" s="5" t="s">
        <v>2641</v>
      </c>
      <c r="H13467" s="5" t="s">
        <v>2642</v>
      </c>
      <c r="I13467" s="5" t="s">
        <v>31</v>
      </c>
      <c r="J13467" s="5">
        <v>17.687361560698999</v>
      </c>
      <c r="K13467" s="5">
        <v>-97.033872652778996</v>
      </c>
      <c r="L13467" s="5" t="str">
        <f>HYPERLINK("https://maps.google.com/?q=17.6873615606986,-97.033872652778697", "🔗 Ver Mapa")</f>
        <v>🔗 Ver Mapa</v>
      </c>
    </row>
    <row r="13468" spans="1:12" ht="43.5" x14ac:dyDescent="0.35">
      <c r="A13468" s="6" t="s">
        <v>98</v>
      </c>
      <c r="B13468" s="6" t="s">
        <v>99</v>
      </c>
      <c r="C13468" s="6" t="s">
        <v>2640</v>
      </c>
      <c r="D13468" s="6" t="s">
        <v>14</v>
      </c>
      <c r="E13468" s="6" t="s">
        <v>110</v>
      </c>
      <c r="F13468" s="6" t="s">
        <v>126</v>
      </c>
      <c r="G13468" s="6" t="s">
        <v>2641</v>
      </c>
      <c r="H13468" s="6" t="s">
        <v>2642</v>
      </c>
      <c r="I13468" s="6" t="s">
        <v>31</v>
      </c>
      <c r="J13468" s="6">
        <v>17.687384730557</v>
      </c>
      <c r="K13468" s="6">
        <v>-97.033369590538001</v>
      </c>
      <c r="L13468" s="6" t="str">
        <f>HYPERLINK("https://maps.google.com/?q=17.6873847305568,-97.033369590537504", "🔗 Ver Mapa")</f>
        <v>🔗 Ver Mapa</v>
      </c>
    </row>
    <row r="13469" spans="1:12" ht="43.5" x14ac:dyDescent="0.35">
      <c r="A13469" s="5" t="s">
        <v>98</v>
      </c>
      <c r="B13469" s="5" t="s">
        <v>99</v>
      </c>
      <c r="C13469" s="5" t="s">
        <v>2640</v>
      </c>
      <c r="D13469" s="5" t="s">
        <v>14</v>
      </c>
      <c r="E13469" s="5" t="s">
        <v>110</v>
      </c>
      <c r="F13469" s="5" t="s">
        <v>126</v>
      </c>
      <c r="G13469" s="5" t="s">
        <v>2641</v>
      </c>
      <c r="H13469" s="5" t="s">
        <v>2642</v>
      </c>
      <c r="I13469" s="5" t="s">
        <v>31</v>
      </c>
      <c r="J13469" s="5">
        <v>17.687399212094</v>
      </c>
      <c r="K13469" s="5">
        <v>-97.043856425301001</v>
      </c>
      <c r="L13469" s="5" t="str">
        <f>HYPERLINK("https://maps.google.com/?q=17.6873992120941,-97.0438564253013", "🔗 Ver Mapa")</f>
        <v>🔗 Ver Mapa</v>
      </c>
    </row>
    <row r="13470" spans="1:12" ht="43.5" x14ac:dyDescent="0.35">
      <c r="A13470" s="6" t="s">
        <v>98</v>
      </c>
      <c r="B13470" s="6" t="s">
        <v>99</v>
      </c>
      <c r="C13470" s="6" t="s">
        <v>2640</v>
      </c>
      <c r="D13470" s="6" t="s">
        <v>14</v>
      </c>
      <c r="E13470" s="6" t="s">
        <v>110</v>
      </c>
      <c r="F13470" s="6" t="s">
        <v>126</v>
      </c>
      <c r="G13470" s="6" t="s">
        <v>2641</v>
      </c>
      <c r="H13470" s="6" t="s">
        <v>2642</v>
      </c>
      <c r="I13470" s="6" t="s">
        <v>31</v>
      </c>
      <c r="J13470" s="6">
        <v>17.687429926939</v>
      </c>
      <c r="K13470" s="6">
        <v>-97.034318038313998</v>
      </c>
      <c r="L13470" s="6" t="str">
        <f>HYPERLINK("https://maps.google.com/?q=17.6874299269393,-97.034318038313998", "🔗 Ver Mapa")</f>
        <v>🔗 Ver Mapa</v>
      </c>
    </row>
    <row r="13471" spans="1:12" ht="43.5" x14ac:dyDescent="0.35">
      <c r="A13471" s="5" t="s">
        <v>98</v>
      </c>
      <c r="B13471" s="5" t="s">
        <v>99</v>
      </c>
      <c r="C13471" s="5" t="s">
        <v>2640</v>
      </c>
      <c r="D13471" s="5" t="s">
        <v>14</v>
      </c>
      <c r="E13471" s="5" t="s">
        <v>110</v>
      </c>
      <c r="F13471" s="5" t="s">
        <v>126</v>
      </c>
      <c r="G13471" s="5" t="s">
        <v>2641</v>
      </c>
      <c r="H13471" s="5" t="s">
        <v>2642</v>
      </c>
      <c r="I13471" s="5" t="s">
        <v>31</v>
      </c>
      <c r="J13471" s="5">
        <v>17.687447001527001</v>
      </c>
      <c r="K13471" s="5">
        <v>-97.037697618384996</v>
      </c>
      <c r="L13471" s="5" t="str">
        <f>HYPERLINK("https://maps.google.com/?q=17.6874470015267,-97.037697618385295", "🔗 Ver Mapa")</f>
        <v>🔗 Ver Mapa</v>
      </c>
    </row>
    <row r="13472" spans="1:12" ht="43.5" x14ac:dyDescent="0.35">
      <c r="A13472" s="6" t="s">
        <v>98</v>
      </c>
      <c r="B13472" s="6" t="s">
        <v>99</v>
      </c>
      <c r="C13472" s="6" t="s">
        <v>2640</v>
      </c>
      <c r="D13472" s="6" t="s">
        <v>14</v>
      </c>
      <c r="E13472" s="6" t="s">
        <v>110</v>
      </c>
      <c r="F13472" s="6" t="s">
        <v>126</v>
      </c>
      <c r="G13472" s="6" t="s">
        <v>2641</v>
      </c>
      <c r="H13472" s="6" t="s">
        <v>2642</v>
      </c>
      <c r="I13472" s="6" t="s">
        <v>31</v>
      </c>
      <c r="J13472" s="6">
        <v>17.687716934421001</v>
      </c>
      <c r="K13472" s="6">
        <v>-97.036255647437997</v>
      </c>
      <c r="L13472" s="6" t="str">
        <f>HYPERLINK("https://maps.google.com/?q=17.687716934421,-97.036255647437898", "🔗 Ver Mapa")</f>
        <v>🔗 Ver Mapa</v>
      </c>
    </row>
    <row r="13473" spans="1:12" ht="43.5" x14ac:dyDescent="0.35">
      <c r="A13473" s="5" t="s">
        <v>98</v>
      </c>
      <c r="B13473" s="5" t="s">
        <v>99</v>
      </c>
      <c r="C13473" s="5" t="s">
        <v>2640</v>
      </c>
      <c r="D13473" s="5" t="s">
        <v>14</v>
      </c>
      <c r="E13473" s="5" t="s">
        <v>110</v>
      </c>
      <c r="F13473" s="5" t="s">
        <v>126</v>
      </c>
      <c r="G13473" s="5" t="s">
        <v>2641</v>
      </c>
      <c r="H13473" s="5" t="s">
        <v>2642</v>
      </c>
      <c r="I13473" s="5" t="s">
        <v>31</v>
      </c>
      <c r="J13473" s="5">
        <v>17.687729075486999</v>
      </c>
      <c r="K13473" s="5">
        <v>-97.042764371689003</v>
      </c>
      <c r="L13473" s="5" t="str">
        <f>HYPERLINK("https://maps.google.com/?q=17.6877290754873,-97.042764371688804", "🔗 Ver Mapa")</f>
        <v>🔗 Ver Mapa</v>
      </c>
    </row>
    <row r="13474" spans="1:12" ht="43.5" x14ac:dyDescent="0.35">
      <c r="A13474" s="6" t="s">
        <v>98</v>
      </c>
      <c r="B13474" s="6" t="s">
        <v>99</v>
      </c>
      <c r="C13474" s="6" t="s">
        <v>2640</v>
      </c>
      <c r="D13474" s="6" t="s">
        <v>14</v>
      </c>
      <c r="E13474" s="6" t="s">
        <v>110</v>
      </c>
      <c r="F13474" s="6" t="s">
        <v>126</v>
      </c>
      <c r="G13474" s="6" t="s">
        <v>2641</v>
      </c>
      <c r="H13474" s="6" t="s">
        <v>2642</v>
      </c>
      <c r="I13474" s="6" t="s">
        <v>31</v>
      </c>
      <c r="J13474" s="6">
        <v>17.687911145626</v>
      </c>
      <c r="K13474" s="6">
        <v>-97.034501482742002</v>
      </c>
      <c r="L13474" s="6" t="str">
        <f>HYPERLINK("https://maps.google.com/?q=17.6879111456263,-97.034501482742002", "🔗 Ver Mapa")</f>
        <v>🔗 Ver Mapa</v>
      </c>
    </row>
    <row r="13475" spans="1:12" ht="43.5" x14ac:dyDescent="0.35">
      <c r="A13475" s="5" t="s">
        <v>98</v>
      </c>
      <c r="B13475" s="5" t="s">
        <v>99</v>
      </c>
      <c r="C13475" s="5" t="s">
        <v>2640</v>
      </c>
      <c r="D13475" s="5" t="s">
        <v>14</v>
      </c>
      <c r="E13475" s="5" t="s">
        <v>110</v>
      </c>
      <c r="F13475" s="5" t="s">
        <v>126</v>
      </c>
      <c r="G13475" s="5" t="s">
        <v>2641</v>
      </c>
      <c r="H13475" s="5" t="s">
        <v>2642</v>
      </c>
      <c r="I13475" s="5" t="s">
        <v>31</v>
      </c>
      <c r="J13475" s="5">
        <v>17.687925676970998</v>
      </c>
      <c r="K13475" s="5">
        <v>-97.040310093254007</v>
      </c>
      <c r="L13475" s="5" t="str">
        <f>HYPERLINK("https://maps.google.com/?q=17.6879256769709,-97.040310093254107", "🔗 Ver Mapa")</f>
        <v>🔗 Ver Mapa</v>
      </c>
    </row>
    <row r="13476" spans="1:12" ht="43.5" x14ac:dyDescent="0.35">
      <c r="A13476" s="6" t="s">
        <v>98</v>
      </c>
      <c r="B13476" s="6" t="s">
        <v>99</v>
      </c>
      <c r="C13476" s="6" t="s">
        <v>2640</v>
      </c>
      <c r="D13476" s="6" t="s">
        <v>14</v>
      </c>
      <c r="E13476" s="6" t="s">
        <v>110</v>
      </c>
      <c r="F13476" s="6" t="s">
        <v>126</v>
      </c>
      <c r="G13476" s="6" t="s">
        <v>2641</v>
      </c>
      <c r="H13476" s="6" t="s">
        <v>2642</v>
      </c>
      <c r="I13476" s="6" t="s">
        <v>31</v>
      </c>
      <c r="J13476" s="6">
        <v>17.687954912146999</v>
      </c>
      <c r="K13476" s="6">
        <v>-97.037434598532997</v>
      </c>
      <c r="L13476" s="6" t="str">
        <f>HYPERLINK("https://maps.google.com/?q=17.6879549121469,-97.037434598533395", "🔗 Ver Mapa")</f>
        <v>🔗 Ver Mapa</v>
      </c>
    </row>
    <row r="13477" spans="1:12" ht="43.5" x14ac:dyDescent="0.35">
      <c r="A13477" s="5" t="s">
        <v>98</v>
      </c>
      <c r="B13477" s="5" t="s">
        <v>99</v>
      </c>
      <c r="C13477" s="5" t="s">
        <v>2640</v>
      </c>
      <c r="D13477" s="5" t="s">
        <v>14</v>
      </c>
      <c r="E13477" s="5" t="s">
        <v>110</v>
      </c>
      <c r="F13477" s="5" t="s">
        <v>126</v>
      </c>
      <c r="G13477" s="5" t="s">
        <v>2641</v>
      </c>
      <c r="H13477" s="5" t="s">
        <v>2642</v>
      </c>
      <c r="I13477" s="5" t="s">
        <v>31</v>
      </c>
      <c r="J13477" s="5">
        <v>17.688121225751999</v>
      </c>
      <c r="K13477" s="5">
        <v>-97.035235766865</v>
      </c>
      <c r="L13477" s="5" t="str">
        <f>HYPERLINK("https://maps.google.com/?q=17.6881212257523,-97.035235766864801", "🔗 Ver Mapa")</f>
        <v>🔗 Ver Mapa</v>
      </c>
    </row>
    <row r="13478" spans="1:12" ht="43.5" x14ac:dyDescent="0.35">
      <c r="A13478" s="6" t="s">
        <v>98</v>
      </c>
      <c r="B13478" s="6" t="s">
        <v>99</v>
      </c>
      <c r="C13478" s="6" t="s">
        <v>2640</v>
      </c>
      <c r="D13478" s="6" t="s">
        <v>14</v>
      </c>
      <c r="E13478" s="6" t="s">
        <v>110</v>
      </c>
      <c r="F13478" s="6" t="s">
        <v>126</v>
      </c>
      <c r="G13478" s="6" t="s">
        <v>2641</v>
      </c>
      <c r="H13478" s="6" t="s">
        <v>2642</v>
      </c>
      <c r="I13478" s="6" t="s">
        <v>31</v>
      </c>
      <c r="J13478" s="6">
        <v>17.688287114956999</v>
      </c>
      <c r="K13478" s="6">
        <v>-97.038909813491998</v>
      </c>
      <c r="L13478" s="6" t="str">
        <f>HYPERLINK("https://maps.google.com/?q=17.6882871149569,-97.038909813491799", "🔗 Ver Mapa")</f>
        <v>🔗 Ver Mapa</v>
      </c>
    </row>
    <row r="13479" spans="1:12" ht="43.5" x14ac:dyDescent="0.35">
      <c r="A13479" s="5" t="s">
        <v>98</v>
      </c>
      <c r="B13479" s="5" t="s">
        <v>99</v>
      </c>
      <c r="C13479" s="5" t="s">
        <v>2640</v>
      </c>
      <c r="D13479" s="5" t="s">
        <v>14</v>
      </c>
      <c r="E13479" s="5" t="s">
        <v>110</v>
      </c>
      <c r="F13479" s="5" t="s">
        <v>126</v>
      </c>
      <c r="G13479" s="5" t="s">
        <v>2641</v>
      </c>
      <c r="H13479" s="5" t="s">
        <v>2642</v>
      </c>
      <c r="I13479" s="5" t="s">
        <v>31</v>
      </c>
      <c r="J13479" s="5">
        <v>17.688496222998001</v>
      </c>
      <c r="K13479" s="5">
        <v>-97.033153868716994</v>
      </c>
      <c r="L13479" s="5" t="str">
        <f>HYPERLINK("https://maps.google.com/?q=17.6884962229977,-97.033153868717307", "🔗 Ver Mapa")</f>
        <v>🔗 Ver Mapa</v>
      </c>
    </row>
    <row r="13480" spans="1:12" ht="43.5" x14ac:dyDescent="0.35">
      <c r="A13480" s="6" t="s">
        <v>98</v>
      </c>
      <c r="B13480" s="6" t="s">
        <v>99</v>
      </c>
      <c r="C13480" s="6" t="s">
        <v>2640</v>
      </c>
      <c r="D13480" s="6" t="s">
        <v>14</v>
      </c>
      <c r="E13480" s="6" t="s">
        <v>110</v>
      </c>
      <c r="F13480" s="6" t="s">
        <v>126</v>
      </c>
      <c r="G13480" s="6" t="s">
        <v>2641</v>
      </c>
      <c r="H13480" s="6" t="s">
        <v>2642</v>
      </c>
      <c r="I13480" s="6" t="s">
        <v>31</v>
      </c>
      <c r="J13480" s="6">
        <v>17.688496596210001</v>
      </c>
      <c r="K13480" s="6">
        <v>-97.036188339475004</v>
      </c>
      <c r="L13480" s="6" t="str">
        <f>HYPERLINK("https://maps.google.com/?q=17.6884965962097,-97.036188339475203", "🔗 Ver Mapa")</f>
        <v>🔗 Ver Mapa</v>
      </c>
    </row>
    <row r="13481" spans="1:12" ht="43.5" x14ac:dyDescent="0.35">
      <c r="A13481" s="5" t="s">
        <v>98</v>
      </c>
      <c r="B13481" s="5" t="s">
        <v>99</v>
      </c>
      <c r="C13481" s="5" t="s">
        <v>2640</v>
      </c>
      <c r="D13481" s="5" t="s">
        <v>14</v>
      </c>
      <c r="E13481" s="5" t="s">
        <v>110</v>
      </c>
      <c r="F13481" s="5" t="s">
        <v>126</v>
      </c>
      <c r="G13481" s="5" t="s">
        <v>2641</v>
      </c>
      <c r="H13481" s="5" t="s">
        <v>2642</v>
      </c>
      <c r="I13481" s="5" t="s">
        <v>31</v>
      </c>
      <c r="J13481" s="5">
        <v>17.688522169681999</v>
      </c>
      <c r="K13481" s="5">
        <v>-97.034748277280997</v>
      </c>
      <c r="L13481" s="5" t="str">
        <f>HYPERLINK("https://maps.google.com/?q=17.6885221696823,-97.034748277280798", "🔗 Ver Mapa")</f>
        <v>🔗 Ver Mapa</v>
      </c>
    </row>
    <row r="13482" spans="1:12" ht="43.5" x14ac:dyDescent="0.35">
      <c r="A13482" s="6" t="s">
        <v>98</v>
      </c>
      <c r="B13482" s="6" t="s">
        <v>99</v>
      </c>
      <c r="C13482" s="6" t="s">
        <v>2640</v>
      </c>
      <c r="D13482" s="6" t="s">
        <v>14</v>
      </c>
      <c r="E13482" s="6" t="s">
        <v>110</v>
      </c>
      <c r="F13482" s="6" t="s">
        <v>126</v>
      </c>
      <c r="G13482" s="6" t="s">
        <v>2641</v>
      </c>
      <c r="H13482" s="6" t="s">
        <v>2642</v>
      </c>
      <c r="I13482" s="6" t="s">
        <v>31</v>
      </c>
      <c r="J13482" s="6">
        <v>17.688580986161</v>
      </c>
      <c r="K13482" s="6">
        <v>-97.034706791964993</v>
      </c>
      <c r="L13482" s="6" t="str">
        <f>HYPERLINK("https://maps.google.com/?q=17.6885809861612,-97.034706791964993", "🔗 Ver Mapa")</f>
        <v>🔗 Ver Mapa</v>
      </c>
    </row>
    <row r="13483" spans="1:12" ht="43.5" x14ac:dyDescent="0.35">
      <c r="A13483" s="5" t="s">
        <v>98</v>
      </c>
      <c r="B13483" s="5" t="s">
        <v>99</v>
      </c>
      <c r="C13483" s="5" t="s">
        <v>2640</v>
      </c>
      <c r="D13483" s="5" t="s">
        <v>14</v>
      </c>
      <c r="E13483" s="5" t="s">
        <v>110</v>
      </c>
      <c r="F13483" s="5" t="s">
        <v>126</v>
      </c>
      <c r="G13483" s="5" t="s">
        <v>2641</v>
      </c>
      <c r="H13483" s="5" t="s">
        <v>2642</v>
      </c>
      <c r="I13483" s="5" t="s">
        <v>31</v>
      </c>
      <c r="J13483" s="5">
        <v>17.688675535925</v>
      </c>
      <c r="K13483" s="5">
        <v>-97.038582583991996</v>
      </c>
      <c r="L13483" s="5" t="str">
        <f>HYPERLINK("https://maps.google.com/?q=17.6886755359248,-97.038582583991897", "🔗 Ver Mapa")</f>
        <v>🔗 Ver Mapa</v>
      </c>
    </row>
    <row r="13484" spans="1:12" ht="43.5" x14ac:dyDescent="0.35">
      <c r="A13484" s="6" t="s">
        <v>98</v>
      </c>
      <c r="B13484" s="6" t="s">
        <v>99</v>
      </c>
      <c r="C13484" s="6" t="s">
        <v>2640</v>
      </c>
      <c r="D13484" s="6" t="s">
        <v>14</v>
      </c>
      <c r="E13484" s="6" t="s">
        <v>110</v>
      </c>
      <c r="F13484" s="6" t="s">
        <v>126</v>
      </c>
      <c r="G13484" s="6" t="s">
        <v>2641</v>
      </c>
      <c r="H13484" s="6" t="s">
        <v>2642</v>
      </c>
      <c r="I13484" s="6" t="s">
        <v>31</v>
      </c>
      <c r="J13484" s="6">
        <v>17.688930115021002</v>
      </c>
      <c r="K13484" s="6">
        <v>-97.043316906746</v>
      </c>
      <c r="L13484" s="6" t="str">
        <f>HYPERLINK("https://maps.google.com/?q=17.688930115021,-97.0433169067459", "🔗 Ver Mapa")</f>
        <v>🔗 Ver Mapa</v>
      </c>
    </row>
    <row r="13485" spans="1:12" ht="43.5" x14ac:dyDescent="0.35">
      <c r="A13485" s="5" t="s">
        <v>98</v>
      </c>
      <c r="B13485" s="5" t="s">
        <v>99</v>
      </c>
      <c r="C13485" s="5" t="s">
        <v>2640</v>
      </c>
      <c r="D13485" s="5" t="s">
        <v>14</v>
      </c>
      <c r="E13485" s="5" t="s">
        <v>110</v>
      </c>
      <c r="F13485" s="5" t="s">
        <v>126</v>
      </c>
      <c r="G13485" s="5" t="s">
        <v>2641</v>
      </c>
      <c r="H13485" s="5" t="s">
        <v>2642</v>
      </c>
      <c r="I13485" s="5" t="s">
        <v>31</v>
      </c>
      <c r="J13485" s="5">
        <v>17.689364180887001</v>
      </c>
      <c r="K13485" s="5">
        <v>-97.044842524150994</v>
      </c>
      <c r="L13485" s="5" t="str">
        <f>HYPERLINK("https://maps.google.com/?q=17.6893641808866,-97.044842524150994", "🔗 Ver Mapa")</f>
        <v>🔗 Ver Mapa</v>
      </c>
    </row>
    <row r="13486" spans="1:12" ht="43.5" x14ac:dyDescent="0.35">
      <c r="A13486" s="6" t="s">
        <v>98</v>
      </c>
      <c r="B13486" s="6" t="s">
        <v>99</v>
      </c>
      <c r="C13486" s="6" t="s">
        <v>2640</v>
      </c>
      <c r="D13486" s="6" t="s">
        <v>14</v>
      </c>
      <c r="E13486" s="6" t="s">
        <v>110</v>
      </c>
      <c r="F13486" s="6" t="s">
        <v>126</v>
      </c>
      <c r="G13486" s="6" t="s">
        <v>2641</v>
      </c>
      <c r="H13486" s="6" t="s">
        <v>2642</v>
      </c>
      <c r="I13486" s="6" t="s">
        <v>31</v>
      </c>
      <c r="J13486" s="6">
        <v>17.689476803542998</v>
      </c>
      <c r="K13486" s="6">
        <v>-97.032848187772004</v>
      </c>
      <c r="L13486" s="6" t="str">
        <f>HYPERLINK("https://maps.google.com/?q=17.6894768035425,-97.032848187772004", "🔗 Ver Mapa")</f>
        <v>🔗 Ver Mapa</v>
      </c>
    </row>
    <row r="13487" spans="1:12" ht="43.5" x14ac:dyDescent="0.35">
      <c r="A13487" s="5" t="s">
        <v>98</v>
      </c>
      <c r="B13487" s="5" t="s">
        <v>99</v>
      </c>
      <c r="C13487" s="5" t="s">
        <v>2640</v>
      </c>
      <c r="D13487" s="5" t="s">
        <v>14</v>
      </c>
      <c r="E13487" s="5" t="s">
        <v>110</v>
      </c>
      <c r="F13487" s="5" t="s">
        <v>126</v>
      </c>
      <c r="G13487" s="5" t="s">
        <v>2641</v>
      </c>
      <c r="H13487" s="5" t="s">
        <v>2642</v>
      </c>
      <c r="I13487" s="5" t="s">
        <v>31</v>
      </c>
      <c r="J13487" s="5">
        <v>17.689537319504002</v>
      </c>
      <c r="K13487" s="5">
        <v>-97.035956864734004</v>
      </c>
      <c r="L13487" s="5" t="str">
        <f>HYPERLINK("https://maps.google.com/?q=17.6895373195044,-97.035956864734402", "🔗 Ver Mapa")</f>
        <v>🔗 Ver Mapa</v>
      </c>
    </row>
    <row r="13488" spans="1:12" ht="43.5" x14ac:dyDescent="0.35">
      <c r="A13488" s="6" t="s">
        <v>98</v>
      </c>
      <c r="B13488" s="6" t="s">
        <v>99</v>
      </c>
      <c r="C13488" s="6" t="s">
        <v>2640</v>
      </c>
      <c r="D13488" s="6" t="s">
        <v>14</v>
      </c>
      <c r="E13488" s="6" t="s">
        <v>110</v>
      </c>
      <c r="F13488" s="6" t="s">
        <v>126</v>
      </c>
      <c r="G13488" s="6" t="s">
        <v>2641</v>
      </c>
      <c r="H13488" s="6" t="s">
        <v>2642</v>
      </c>
      <c r="I13488" s="6" t="s">
        <v>31</v>
      </c>
      <c r="J13488" s="6">
        <v>17.689642903618001</v>
      </c>
      <c r="K13488" s="6">
        <v>-97.032826730102002</v>
      </c>
      <c r="L13488" s="6" t="str">
        <f>HYPERLINK("https://maps.google.com/?q=17.6896429036175,-97.032826730101505", "🔗 Ver Mapa")</f>
        <v>🔗 Ver Mapa</v>
      </c>
    </row>
    <row r="13489" spans="1:12" ht="43.5" x14ac:dyDescent="0.35">
      <c r="A13489" s="5" t="s">
        <v>98</v>
      </c>
      <c r="B13489" s="5" t="s">
        <v>99</v>
      </c>
      <c r="C13489" s="5" t="s">
        <v>2640</v>
      </c>
      <c r="D13489" s="5" t="s">
        <v>14</v>
      </c>
      <c r="E13489" s="5" t="s">
        <v>110</v>
      </c>
      <c r="F13489" s="5" t="s">
        <v>126</v>
      </c>
      <c r="G13489" s="5" t="s">
        <v>2641</v>
      </c>
      <c r="H13489" s="5" t="s">
        <v>2642</v>
      </c>
      <c r="I13489" s="5" t="s">
        <v>31</v>
      </c>
      <c r="J13489" s="5">
        <v>17.689658401039999</v>
      </c>
      <c r="K13489" s="5">
        <v>-97.043788975533005</v>
      </c>
      <c r="L13489" s="5" t="str">
        <f>HYPERLINK("https://maps.google.com/?q=17.6896584010404,-97.043788975532607", "🔗 Ver Mapa")</f>
        <v>🔗 Ver Mapa</v>
      </c>
    </row>
    <row r="13490" spans="1:12" ht="43.5" x14ac:dyDescent="0.35">
      <c r="A13490" s="6" t="s">
        <v>98</v>
      </c>
      <c r="B13490" s="6" t="s">
        <v>99</v>
      </c>
      <c r="C13490" s="6" t="s">
        <v>2640</v>
      </c>
      <c r="D13490" s="6" t="s">
        <v>14</v>
      </c>
      <c r="E13490" s="6" t="s">
        <v>110</v>
      </c>
      <c r="F13490" s="6" t="s">
        <v>126</v>
      </c>
      <c r="G13490" s="6" t="s">
        <v>2641</v>
      </c>
      <c r="H13490" s="6" t="s">
        <v>2642</v>
      </c>
      <c r="I13490" s="6" t="s">
        <v>31</v>
      </c>
      <c r="J13490" s="6">
        <v>17.690036432412001</v>
      </c>
      <c r="K13490" s="6">
        <v>-97.032633611052006</v>
      </c>
      <c r="L13490" s="6" t="str">
        <f>HYPERLINK("https://maps.google.com/?q=17.6900364324121,-97.032633611052404", "🔗 Ver Mapa")</f>
        <v>🔗 Ver Mapa</v>
      </c>
    </row>
    <row r="13491" spans="1:12" ht="43.5" x14ac:dyDescent="0.35">
      <c r="A13491" s="5" t="s">
        <v>98</v>
      </c>
      <c r="B13491" s="5" t="s">
        <v>99</v>
      </c>
      <c r="C13491" s="5" t="s">
        <v>2640</v>
      </c>
      <c r="D13491" s="5" t="s">
        <v>14</v>
      </c>
      <c r="E13491" s="5" t="s">
        <v>110</v>
      </c>
      <c r="F13491" s="5" t="s">
        <v>126</v>
      </c>
      <c r="G13491" s="5" t="s">
        <v>2641</v>
      </c>
      <c r="H13491" s="5" t="s">
        <v>2642</v>
      </c>
      <c r="I13491" s="5" t="s">
        <v>31</v>
      </c>
      <c r="J13491" s="5">
        <v>17.69003733984</v>
      </c>
      <c r="K13491" s="5">
        <v>-97.042978991401995</v>
      </c>
      <c r="L13491" s="5" t="str">
        <f>HYPERLINK("https://maps.google.com/?q=17.6900373398403,-97.042978991401696", "🔗 Ver Mapa")</f>
        <v>🔗 Ver Mapa</v>
      </c>
    </row>
    <row r="13492" spans="1:12" ht="43.5" x14ac:dyDescent="0.35">
      <c r="A13492" s="6" t="s">
        <v>98</v>
      </c>
      <c r="B13492" s="6" t="s">
        <v>99</v>
      </c>
      <c r="C13492" s="6" t="s">
        <v>2640</v>
      </c>
      <c r="D13492" s="6" t="s">
        <v>14</v>
      </c>
      <c r="E13492" s="6" t="s">
        <v>110</v>
      </c>
      <c r="F13492" s="6" t="s">
        <v>126</v>
      </c>
      <c r="G13492" s="6" t="s">
        <v>2641</v>
      </c>
      <c r="H13492" s="6" t="s">
        <v>2642</v>
      </c>
      <c r="I13492" s="6" t="s">
        <v>31</v>
      </c>
      <c r="J13492" s="6">
        <v>17.690125878176001</v>
      </c>
      <c r="K13492" s="6">
        <v>-97.030911636721001</v>
      </c>
      <c r="L13492" s="6" t="str">
        <f>HYPERLINK("https://maps.google.com/?q=17.6901258781758,-97.0309116367212", "🔗 Ver Mapa")</f>
        <v>🔗 Ver Mapa</v>
      </c>
    </row>
    <row r="13493" spans="1:12" ht="43.5" x14ac:dyDescent="0.35">
      <c r="A13493" s="5" t="s">
        <v>98</v>
      </c>
      <c r="B13493" s="5" t="s">
        <v>99</v>
      </c>
      <c r="C13493" s="5" t="s">
        <v>2640</v>
      </c>
      <c r="D13493" s="5" t="s">
        <v>14</v>
      </c>
      <c r="E13493" s="5" t="s">
        <v>110</v>
      </c>
      <c r="F13493" s="5" t="s">
        <v>126</v>
      </c>
      <c r="G13493" s="5" t="s">
        <v>2641</v>
      </c>
      <c r="H13493" s="5" t="s">
        <v>2642</v>
      </c>
      <c r="I13493" s="5" t="s">
        <v>31</v>
      </c>
      <c r="J13493" s="5">
        <v>17.690310451542</v>
      </c>
      <c r="K13493" s="5">
        <v>-97.040360552427998</v>
      </c>
      <c r="L13493" s="5" t="str">
        <f>HYPERLINK("https://maps.google.com/?q=17.690310451542,-97.0403605524276", "🔗 Ver Mapa")</f>
        <v>🔗 Ver Mapa</v>
      </c>
    </row>
    <row r="13494" spans="1:12" ht="43.5" x14ac:dyDescent="0.35">
      <c r="A13494" s="6" t="s">
        <v>98</v>
      </c>
      <c r="B13494" s="6" t="s">
        <v>99</v>
      </c>
      <c r="C13494" s="6" t="s">
        <v>2640</v>
      </c>
      <c r="D13494" s="6" t="s">
        <v>14</v>
      </c>
      <c r="E13494" s="6" t="s">
        <v>110</v>
      </c>
      <c r="F13494" s="6" t="s">
        <v>126</v>
      </c>
      <c r="G13494" s="6" t="s">
        <v>2641</v>
      </c>
      <c r="H13494" s="6" t="s">
        <v>2642</v>
      </c>
      <c r="I13494" s="6" t="s">
        <v>31</v>
      </c>
      <c r="J13494" s="6">
        <v>17.690314782910999</v>
      </c>
      <c r="K13494" s="6">
        <v>-97.043434364418005</v>
      </c>
      <c r="L13494" s="6" t="str">
        <f>HYPERLINK("https://maps.google.com/?q=17.6903147829112,-97.043434364418005", "🔗 Ver Mapa")</f>
        <v>🔗 Ver Mapa</v>
      </c>
    </row>
    <row r="13495" spans="1:12" ht="43.5" x14ac:dyDescent="0.35">
      <c r="A13495" s="5" t="s">
        <v>98</v>
      </c>
      <c r="B13495" s="5" t="s">
        <v>99</v>
      </c>
      <c r="C13495" s="5" t="s">
        <v>2640</v>
      </c>
      <c r="D13495" s="5" t="s">
        <v>14</v>
      </c>
      <c r="E13495" s="5" t="s">
        <v>110</v>
      </c>
      <c r="F13495" s="5" t="s">
        <v>126</v>
      </c>
      <c r="G13495" s="5" t="s">
        <v>2641</v>
      </c>
      <c r="H13495" s="5" t="s">
        <v>2642</v>
      </c>
      <c r="I13495" s="5" t="s">
        <v>31</v>
      </c>
      <c r="J13495" s="5">
        <v>17.690409472298999</v>
      </c>
      <c r="K13495" s="5">
        <v>-97.039919329045006</v>
      </c>
      <c r="L13495" s="5" t="str">
        <f>HYPERLINK("https://maps.google.com/?q=17.6904094722993,-97.039919329044594", "🔗 Ver Mapa")</f>
        <v>🔗 Ver Mapa</v>
      </c>
    </row>
    <row r="13496" spans="1:12" ht="43.5" x14ac:dyDescent="0.35">
      <c r="A13496" s="6" t="s">
        <v>98</v>
      </c>
      <c r="B13496" s="6" t="s">
        <v>99</v>
      </c>
      <c r="C13496" s="6" t="s">
        <v>2640</v>
      </c>
      <c r="D13496" s="6" t="s">
        <v>14</v>
      </c>
      <c r="E13496" s="6" t="s">
        <v>110</v>
      </c>
      <c r="F13496" s="6" t="s">
        <v>126</v>
      </c>
      <c r="G13496" s="6" t="s">
        <v>2641</v>
      </c>
      <c r="H13496" s="6" t="s">
        <v>2642</v>
      </c>
      <c r="I13496" s="6" t="s">
        <v>31</v>
      </c>
      <c r="J13496" s="6">
        <v>17.690681187860001</v>
      </c>
      <c r="K13496" s="6">
        <v>-97.036920835274003</v>
      </c>
      <c r="L13496" s="6" t="str">
        <f>HYPERLINK("https://maps.google.com/?q=17.6906811878598,-97.036920835273705", "🔗 Ver Mapa")</f>
        <v>🔗 Ver Mapa</v>
      </c>
    </row>
    <row r="13497" spans="1:12" ht="43.5" x14ac:dyDescent="0.35">
      <c r="A13497" s="5" t="s">
        <v>98</v>
      </c>
      <c r="B13497" s="5" t="s">
        <v>99</v>
      </c>
      <c r="C13497" s="5" t="s">
        <v>2640</v>
      </c>
      <c r="D13497" s="5" t="s">
        <v>14</v>
      </c>
      <c r="E13497" s="5" t="s">
        <v>110</v>
      </c>
      <c r="F13497" s="5" t="s">
        <v>126</v>
      </c>
      <c r="G13497" s="5" t="s">
        <v>2641</v>
      </c>
      <c r="H13497" s="5" t="s">
        <v>2642</v>
      </c>
      <c r="I13497" s="5" t="s">
        <v>31</v>
      </c>
      <c r="J13497" s="5">
        <v>17.690718672248</v>
      </c>
      <c r="K13497" s="5">
        <v>-97.038532626983994</v>
      </c>
      <c r="L13497" s="5" t="str">
        <f>HYPERLINK("https://maps.google.com/?q=17.6907186722483,-97.038532626983695", "🔗 Ver Mapa")</f>
        <v>🔗 Ver Mapa</v>
      </c>
    </row>
    <row r="13498" spans="1:12" ht="43.5" x14ac:dyDescent="0.35">
      <c r="A13498" s="6" t="s">
        <v>98</v>
      </c>
      <c r="B13498" s="6" t="s">
        <v>99</v>
      </c>
      <c r="C13498" s="6" t="s">
        <v>2640</v>
      </c>
      <c r="D13498" s="6" t="s">
        <v>14</v>
      </c>
      <c r="E13498" s="6" t="s">
        <v>110</v>
      </c>
      <c r="F13498" s="6" t="s">
        <v>126</v>
      </c>
      <c r="G13498" s="6" t="s">
        <v>2641</v>
      </c>
      <c r="H13498" s="6" t="s">
        <v>2642</v>
      </c>
      <c r="I13498" s="6" t="s">
        <v>31</v>
      </c>
      <c r="J13498" s="6">
        <v>17.69078958303</v>
      </c>
      <c r="K13498" s="6">
        <v>-97.041904836533007</v>
      </c>
      <c r="L13498" s="6" t="str">
        <f>HYPERLINK("https://maps.google.com/?q=17.6907895830299,-97.041904836532893", "🔗 Ver Mapa")</f>
        <v>🔗 Ver Mapa</v>
      </c>
    </row>
    <row r="13499" spans="1:12" ht="43.5" x14ac:dyDescent="0.35">
      <c r="A13499" s="5" t="s">
        <v>98</v>
      </c>
      <c r="B13499" s="5" t="s">
        <v>99</v>
      </c>
      <c r="C13499" s="5" t="s">
        <v>2640</v>
      </c>
      <c r="D13499" s="5" t="s">
        <v>14</v>
      </c>
      <c r="E13499" s="5" t="s">
        <v>110</v>
      </c>
      <c r="F13499" s="5" t="s">
        <v>126</v>
      </c>
      <c r="G13499" s="5" t="s">
        <v>2641</v>
      </c>
      <c r="H13499" s="5" t="s">
        <v>2642</v>
      </c>
      <c r="I13499" s="5" t="s">
        <v>31</v>
      </c>
      <c r="J13499" s="5">
        <v>17.691038093124</v>
      </c>
      <c r="K13499" s="5">
        <v>-97.039994430896996</v>
      </c>
      <c r="L13499" s="5" t="str">
        <f>HYPERLINK("https://maps.google.com/?q=17.6910380931242,-97.039994430896996", "🔗 Ver Mapa")</f>
        <v>🔗 Ver Mapa</v>
      </c>
    </row>
    <row r="13500" spans="1:12" ht="43.5" x14ac:dyDescent="0.35">
      <c r="A13500" s="6" t="s">
        <v>98</v>
      </c>
      <c r="B13500" s="6" t="s">
        <v>99</v>
      </c>
      <c r="C13500" s="6" t="s">
        <v>2640</v>
      </c>
      <c r="D13500" s="6" t="s">
        <v>14</v>
      </c>
      <c r="E13500" s="6" t="s">
        <v>110</v>
      </c>
      <c r="F13500" s="6" t="s">
        <v>126</v>
      </c>
      <c r="G13500" s="6" t="s">
        <v>2641</v>
      </c>
      <c r="H13500" s="6" t="s">
        <v>2642</v>
      </c>
      <c r="I13500" s="6" t="s">
        <v>31</v>
      </c>
      <c r="J13500" s="6">
        <v>17.691090617829001</v>
      </c>
      <c r="K13500" s="6">
        <v>-97.034957061341998</v>
      </c>
      <c r="L13500" s="6" t="str">
        <f>HYPERLINK("https://maps.google.com/?q=17.6910906178294,-97.034957061342197", "🔗 Ver Mapa")</f>
        <v>🔗 Ver Mapa</v>
      </c>
    </row>
    <row r="13501" spans="1:12" ht="43.5" x14ac:dyDescent="0.35">
      <c r="A13501" s="5" t="s">
        <v>98</v>
      </c>
      <c r="B13501" s="5" t="s">
        <v>99</v>
      </c>
      <c r="C13501" s="5" t="s">
        <v>2640</v>
      </c>
      <c r="D13501" s="5" t="s">
        <v>14</v>
      </c>
      <c r="E13501" s="5" t="s">
        <v>110</v>
      </c>
      <c r="F13501" s="5" t="s">
        <v>126</v>
      </c>
      <c r="G13501" s="5" t="s">
        <v>2641</v>
      </c>
      <c r="H13501" s="5" t="s">
        <v>2642</v>
      </c>
      <c r="I13501" s="5" t="s">
        <v>31</v>
      </c>
      <c r="J13501" s="5">
        <v>17.691140111782001</v>
      </c>
      <c r="K13501" s="5">
        <v>-97.036304364418001</v>
      </c>
      <c r="L13501" s="5" t="str">
        <f>HYPERLINK("https://maps.google.com/?q=17.6911401117819,-97.036304364418001", "🔗 Ver Mapa")</f>
        <v>🔗 Ver Mapa</v>
      </c>
    </row>
    <row r="13502" spans="1:12" ht="43.5" x14ac:dyDescent="0.35">
      <c r="A13502" s="6" t="s">
        <v>98</v>
      </c>
      <c r="B13502" s="6" t="s">
        <v>99</v>
      </c>
      <c r="C13502" s="6" t="s">
        <v>2643</v>
      </c>
      <c r="D13502" s="6" t="s">
        <v>14</v>
      </c>
      <c r="E13502" s="6" t="s">
        <v>39</v>
      </c>
      <c r="F13502" s="6" t="s">
        <v>494</v>
      </c>
      <c r="G13502" s="6" t="s">
        <v>1155</v>
      </c>
      <c r="H13502" s="6" t="s">
        <v>2644</v>
      </c>
      <c r="I13502" s="6" t="s">
        <v>31</v>
      </c>
      <c r="J13502" s="6">
        <v>16.660876293794001</v>
      </c>
      <c r="K13502" s="6">
        <v>-97.345280355819995</v>
      </c>
      <c r="L13502" s="6" t="str">
        <f>HYPERLINK("https://maps.google.com/?q=16.6608762937943,-97.345280355819696", "🔗 Ver Mapa")</f>
        <v>🔗 Ver Mapa</v>
      </c>
    </row>
    <row r="13503" spans="1:12" ht="43.5" x14ac:dyDescent="0.35">
      <c r="A13503" s="5" t="s">
        <v>98</v>
      </c>
      <c r="B13503" s="5" t="s">
        <v>99</v>
      </c>
      <c r="C13503" s="5" t="s">
        <v>2643</v>
      </c>
      <c r="D13503" s="5" t="s">
        <v>14</v>
      </c>
      <c r="E13503" s="5" t="s">
        <v>39</v>
      </c>
      <c r="F13503" s="5" t="s">
        <v>494</v>
      </c>
      <c r="G13503" s="5" t="s">
        <v>1155</v>
      </c>
      <c r="H13503" s="5" t="s">
        <v>2644</v>
      </c>
      <c r="I13503" s="5" t="s">
        <v>31</v>
      </c>
      <c r="J13503" s="5">
        <v>16.661612552967998</v>
      </c>
      <c r="K13503" s="5">
        <v>-97.346362542327995</v>
      </c>
      <c r="L13503" s="5" t="str">
        <f>HYPERLINK("https://maps.google.com/?q=16.6616125529675,-97.346362542327896", "🔗 Ver Mapa")</f>
        <v>🔗 Ver Mapa</v>
      </c>
    </row>
    <row r="13504" spans="1:12" ht="43.5" x14ac:dyDescent="0.35">
      <c r="A13504" s="6" t="s">
        <v>98</v>
      </c>
      <c r="B13504" s="6" t="s">
        <v>99</v>
      </c>
      <c r="C13504" s="6" t="s">
        <v>2643</v>
      </c>
      <c r="D13504" s="6" t="s">
        <v>14</v>
      </c>
      <c r="E13504" s="6" t="s">
        <v>39</v>
      </c>
      <c r="F13504" s="6" t="s">
        <v>494</v>
      </c>
      <c r="G13504" s="6" t="s">
        <v>1155</v>
      </c>
      <c r="H13504" s="6" t="s">
        <v>2644</v>
      </c>
      <c r="I13504" s="6" t="s">
        <v>31</v>
      </c>
      <c r="J13504" s="6">
        <v>16.662192413701</v>
      </c>
      <c r="K13504" s="6">
        <v>-97.346027364418006</v>
      </c>
      <c r="L13504" s="6" t="str">
        <f>HYPERLINK("https://maps.google.com/?q=16.662192413701,-97.346027364418006", "🔗 Ver Mapa")</f>
        <v>🔗 Ver Mapa</v>
      </c>
    </row>
    <row r="13505" spans="1:12" ht="43.5" x14ac:dyDescent="0.35">
      <c r="A13505" s="5" t="s">
        <v>98</v>
      </c>
      <c r="B13505" s="5" t="s">
        <v>99</v>
      </c>
      <c r="C13505" s="5" t="s">
        <v>2643</v>
      </c>
      <c r="D13505" s="5" t="s">
        <v>14</v>
      </c>
      <c r="E13505" s="5" t="s">
        <v>39</v>
      </c>
      <c r="F13505" s="5" t="s">
        <v>494</v>
      </c>
      <c r="G13505" s="5" t="s">
        <v>1155</v>
      </c>
      <c r="H13505" s="5" t="s">
        <v>2644</v>
      </c>
      <c r="I13505" s="5" t="s">
        <v>31</v>
      </c>
      <c r="J13505" s="5">
        <v>16.663271075432</v>
      </c>
      <c r="K13505" s="5">
        <v>-97.345828507357993</v>
      </c>
      <c r="L13505" s="5" t="str">
        <f>HYPERLINK("https://maps.google.com/?q=16.6632710754318,-97.345828507357695", "🔗 Ver Mapa")</f>
        <v>🔗 Ver Mapa</v>
      </c>
    </row>
    <row r="13506" spans="1:12" ht="58" x14ac:dyDescent="0.35">
      <c r="A13506" s="6" t="s">
        <v>73</v>
      </c>
      <c r="B13506" s="6" t="s">
        <v>74</v>
      </c>
      <c r="C13506" s="6" t="s">
        <v>2645</v>
      </c>
      <c r="D13506" s="6" t="s">
        <v>76</v>
      </c>
      <c r="E13506" s="6" t="s">
        <v>52</v>
      </c>
      <c r="F13506" s="6" t="s">
        <v>53</v>
      </c>
      <c r="G13506" s="6" t="s">
        <v>974</v>
      </c>
      <c r="H13506" s="6" t="s">
        <v>975</v>
      </c>
      <c r="I13506" s="6" t="s">
        <v>31</v>
      </c>
      <c r="J13506" s="6">
        <v>16.898118106007999</v>
      </c>
      <c r="K13506" s="6">
        <v>-96.466716892956001</v>
      </c>
      <c r="L13506" s="6" t="str">
        <f>HYPERLINK("https://maps.google.com/?q=16.898118106007843,-96.46671689295607", "🔗 Ver Mapa")</f>
        <v>🔗 Ver Mapa</v>
      </c>
    </row>
    <row r="13507" spans="1:12" ht="58" x14ac:dyDescent="0.35">
      <c r="A13507" s="5" t="s">
        <v>73</v>
      </c>
      <c r="B13507" s="5" t="s">
        <v>74</v>
      </c>
      <c r="C13507" s="5" t="s">
        <v>2646</v>
      </c>
      <c r="D13507" s="5" t="s">
        <v>76</v>
      </c>
      <c r="E13507" s="5" t="s">
        <v>90</v>
      </c>
      <c r="F13507" s="5" t="s">
        <v>678</v>
      </c>
      <c r="G13507" s="5" t="s">
        <v>1040</v>
      </c>
      <c r="H13507" s="5" t="s">
        <v>1041</v>
      </c>
      <c r="I13507" s="5" t="s">
        <v>31</v>
      </c>
      <c r="J13507" s="5">
        <v>17.253323967535</v>
      </c>
      <c r="K13507" s="5">
        <v>-96.156687195333006</v>
      </c>
      <c r="L13507" s="5" t="str">
        <f>HYPERLINK("https://maps.google.com/?q=17.253323967535362,-96.15668719533313", "🔗 Ver Mapa")</f>
        <v>🔗 Ver Mapa</v>
      </c>
    </row>
    <row r="13508" spans="1:12" ht="58" x14ac:dyDescent="0.35">
      <c r="A13508" s="6" t="s">
        <v>73</v>
      </c>
      <c r="B13508" s="6" t="s">
        <v>74</v>
      </c>
      <c r="C13508" s="6" t="s">
        <v>2647</v>
      </c>
      <c r="D13508" s="6" t="s">
        <v>76</v>
      </c>
      <c r="E13508" s="6" t="s">
        <v>52</v>
      </c>
      <c r="F13508" s="6" t="s">
        <v>53</v>
      </c>
      <c r="G13508" s="6" t="s">
        <v>1853</v>
      </c>
      <c r="H13508" s="6" t="s">
        <v>1854</v>
      </c>
      <c r="I13508" s="6" t="s">
        <v>31</v>
      </c>
      <c r="J13508" s="6">
        <v>17.001572790152998</v>
      </c>
      <c r="K13508" s="6">
        <v>-96.602978891893997</v>
      </c>
      <c r="L13508" s="6" t="str">
        <f>HYPERLINK("https://maps.google.com/?q=17.001572790152853,-96.60297889189366", "🔗 Ver Mapa")</f>
        <v>🔗 Ver Mapa</v>
      </c>
    </row>
    <row r="13509" spans="1:12" ht="58" x14ac:dyDescent="0.35">
      <c r="A13509" s="5" t="s">
        <v>73</v>
      </c>
      <c r="B13509" s="5" t="s">
        <v>74</v>
      </c>
      <c r="C13509" s="5" t="s">
        <v>2648</v>
      </c>
      <c r="D13509" s="5" t="s">
        <v>76</v>
      </c>
      <c r="E13509" s="5" t="s">
        <v>52</v>
      </c>
      <c r="F13509" s="5" t="s">
        <v>53</v>
      </c>
      <c r="G13509" s="5" t="s">
        <v>1856</v>
      </c>
      <c r="H13509" s="5" t="s">
        <v>1857</v>
      </c>
      <c r="I13509" s="5" t="s">
        <v>31</v>
      </c>
      <c r="J13509" s="5">
        <v>17.009166696125</v>
      </c>
      <c r="K13509" s="5">
        <v>-96.581099774875995</v>
      </c>
      <c r="L13509" s="5" t="str">
        <f>HYPERLINK("https://maps.google.com/?q=17.009166696124996,-96.5810997748757", "🔗 Ver Mapa")</f>
        <v>🔗 Ver Mapa</v>
      </c>
    </row>
    <row r="13510" spans="1:12" ht="58" x14ac:dyDescent="0.35">
      <c r="A13510" s="6" t="s">
        <v>73</v>
      </c>
      <c r="B13510" s="6" t="s">
        <v>74</v>
      </c>
      <c r="C13510" s="6" t="s">
        <v>2649</v>
      </c>
      <c r="D13510" s="6" t="s">
        <v>76</v>
      </c>
      <c r="E13510" s="6" t="s">
        <v>52</v>
      </c>
      <c r="F13510" s="6" t="s">
        <v>53</v>
      </c>
      <c r="G13510" s="6" t="s">
        <v>1856</v>
      </c>
      <c r="H13510" s="6" t="s">
        <v>1857</v>
      </c>
      <c r="I13510" s="6" t="s">
        <v>31</v>
      </c>
      <c r="J13510" s="6">
        <v>17.008655642318999</v>
      </c>
      <c r="K13510" s="6">
        <v>-96.591599282068998</v>
      </c>
      <c r="L13510" s="6" t="str">
        <f>HYPERLINK("https://maps.google.com/?q=17.008655642318526,-96.59159928206903", "🔗 Ver Mapa")</f>
        <v>🔗 Ver Mapa</v>
      </c>
    </row>
    <row r="13511" spans="1:12" ht="43.5" x14ac:dyDescent="0.35">
      <c r="A13511" s="5" t="s">
        <v>73</v>
      </c>
      <c r="B13511" s="5" t="s">
        <v>74</v>
      </c>
      <c r="C13511" s="5" t="s">
        <v>2650</v>
      </c>
      <c r="D13511" s="5" t="s">
        <v>76</v>
      </c>
      <c r="E13511" s="5" t="s">
        <v>158</v>
      </c>
      <c r="F13511" s="5" t="s">
        <v>166</v>
      </c>
      <c r="G13511" s="5" t="s">
        <v>819</v>
      </c>
      <c r="H13511" s="5" t="s">
        <v>820</v>
      </c>
      <c r="I13511" s="5" t="s">
        <v>31</v>
      </c>
      <c r="J13511" s="5">
        <v>16.241665999999999</v>
      </c>
      <c r="K13511" s="5">
        <v>-95.197975</v>
      </c>
      <c r="L13511" s="5" t="str">
        <f>HYPERLINK("https://maps.google.com/?q=16.241666,-95.197975", "🔗 Ver Mapa")</f>
        <v>🔗 Ver Mapa</v>
      </c>
    </row>
    <row r="13512" spans="1:12" ht="72.5" x14ac:dyDescent="0.35">
      <c r="A13512" s="6" t="s">
        <v>73</v>
      </c>
      <c r="B13512" s="6" t="s">
        <v>74</v>
      </c>
      <c r="C13512" s="6" t="s">
        <v>2651</v>
      </c>
      <c r="D13512" s="6" t="s">
        <v>76</v>
      </c>
      <c r="E13512" s="6" t="s">
        <v>52</v>
      </c>
      <c r="F13512" s="6" t="s">
        <v>53</v>
      </c>
      <c r="G13512" s="6" t="s">
        <v>1856</v>
      </c>
      <c r="H13512" s="6" t="s">
        <v>1857</v>
      </c>
      <c r="I13512" s="6" t="s">
        <v>31</v>
      </c>
      <c r="J13512" s="6">
        <v>17.009873961484001</v>
      </c>
      <c r="K13512" s="6">
        <v>-96.581271436253999</v>
      </c>
      <c r="L13512" s="6" t="str">
        <f>HYPERLINK("https://maps.google.com/?q=17.00987396148428,-96.5812714362545", "🔗 Ver Mapa")</f>
        <v>🔗 Ver Mapa</v>
      </c>
    </row>
    <row r="13513" spans="1:12" ht="43.5" x14ac:dyDescent="0.35">
      <c r="A13513" s="5" t="s">
        <v>73</v>
      </c>
      <c r="B13513" s="5" t="s">
        <v>74</v>
      </c>
      <c r="C13513" s="5" t="s">
        <v>2652</v>
      </c>
      <c r="D13513" s="5" t="s">
        <v>76</v>
      </c>
      <c r="E13513" s="5" t="s">
        <v>39</v>
      </c>
      <c r="F13513" s="5" t="s">
        <v>494</v>
      </c>
      <c r="G13513" s="5" t="s">
        <v>1155</v>
      </c>
      <c r="H13513" s="5" t="s">
        <v>1156</v>
      </c>
      <c r="I13513" s="5" t="s">
        <v>31</v>
      </c>
      <c r="J13513" s="5">
        <v>16.657201978740002</v>
      </c>
      <c r="K13513" s="5">
        <v>-97.344172026753</v>
      </c>
      <c r="L13513" s="5" t="str">
        <f>HYPERLINK("https://maps.google.com/?q=16.65720197873971,-97.3441720267535", "🔗 Ver Mapa")</f>
        <v>🔗 Ver Mapa</v>
      </c>
    </row>
    <row r="13514" spans="1:12" ht="58" x14ac:dyDescent="0.35">
      <c r="A13514" s="6" t="s">
        <v>73</v>
      </c>
      <c r="B13514" s="6" t="s">
        <v>74</v>
      </c>
      <c r="C13514" s="6" t="s">
        <v>2653</v>
      </c>
      <c r="D13514" s="6" t="s">
        <v>76</v>
      </c>
      <c r="E13514" s="6" t="s">
        <v>110</v>
      </c>
      <c r="F13514" s="6" t="s">
        <v>111</v>
      </c>
      <c r="G13514" s="6" t="s">
        <v>1133</v>
      </c>
      <c r="H13514" s="6" t="s">
        <v>1220</v>
      </c>
      <c r="I13514" s="6" t="s">
        <v>31</v>
      </c>
      <c r="J13514" s="6">
        <v>18.041535626419002</v>
      </c>
      <c r="K13514" s="6">
        <v>-96.756193705795994</v>
      </c>
      <c r="L13514" s="6" t="str">
        <f>HYPERLINK("https://maps.google.com/?q=18.041535626419467,-96.75619370579612", "🔗 Ver Mapa")</f>
        <v>🔗 Ver Mapa</v>
      </c>
    </row>
    <row r="13515" spans="1:12" ht="58" x14ac:dyDescent="0.35">
      <c r="A13515" s="5" t="s">
        <v>73</v>
      </c>
      <c r="B13515" s="5" t="s">
        <v>74</v>
      </c>
      <c r="C13515" s="5" t="s">
        <v>2654</v>
      </c>
      <c r="D13515" s="5" t="s">
        <v>76</v>
      </c>
      <c r="E13515" s="5" t="s">
        <v>90</v>
      </c>
      <c r="F13515" s="5" t="s">
        <v>119</v>
      </c>
      <c r="G13515" s="5" t="s">
        <v>2096</v>
      </c>
      <c r="H13515" s="5" t="s">
        <v>2655</v>
      </c>
      <c r="I13515" s="5" t="s">
        <v>31</v>
      </c>
      <c r="J13515" s="5">
        <v>17.350692114297001</v>
      </c>
      <c r="K13515" s="5">
        <v>-96.616108999423005</v>
      </c>
      <c r="L13515" s="5" t="str">
        <f>HYPERLINK("https://maps.google.com/?q=17.350692114296745,-96.61610899942322", "🔗 Ver Mapa")</f>
        <v>🔗 Ver Mapa</v>
      </c>
    </row>
    <row r="13516" spans="1:12" ht="43.5" x14ac:dyDescent="0.35">
      <c r="A13516" s="6" t="s">
        <v>73</v>
      </c>
      <c r="B13516" s="6" t="s">
        <v>74</v>
      </c>
      <c r="C13516" s="6" t="s">
        <v>2656</v>
      </c>
      <c r="D13516" s="6" t="s">
        <v>76</v>
      </c>
      <c r="E13516" s="6" t="s">
        <v>16</v>
      </c>
      <c r="F13516" s="6" t="s">
        <v>409</v>
      </c>
      <c r="G13516" s="6" t="s">
        <v>2657</v>
      </c>
      <c r="H13516" s="6" t="s">
        <v>2658</v>
      </c>
      <c r="I13516" s="6" t="s">
        <v>31</v>
      </c>
      <c r="J13516" s="6">
        <v>17.802801297217002</v>
      </c>
      <c r="K13516" s="6">
        <v>-97.341187763712995</v>
      </c>
      <c r="L13516" s="6" t="str">
        <f>HYPERLINK("https://maps.google.com/?q=17.80280129721704,-97.3411877637131", "🔗 Ver Mapa")</f>
        <v>🔗 Ver Mapa</v>
      </c>
    </row>
    <row r="13517" spans="1:12" ht="58" x14ac:dyDescent="0.35">
      <c r="A13517" s="5" t="s">
        <v>73</v>
      </c>
      <c r="B13517" s="5" t="s">
        <v>74</v>
      </c>
      <c r="C13517" s="5" t="s">
        <v>2659</v>
      </c>
      <c r="D13517" s="5" t="s">
        <v>76</v>
      </c>
      <c r="E13517" s="5" t="s">
        <v>90</v>
      </c>
      <c r="F13517" s="5" t="s">
        <v>678</v>
      </c>
      <c r="G13517" s="5" t="s">
        <v>2250</v>
      </c>
      <c r="H13517" s="5" t="s">
        <v>2660</v>
      </c>
      <c r="I13517" s="5" t="s">
        <v>31</v>
      </c>
      <c r="J13517" s="5">
        <v>17.304428204758999</v>
      </c>
      <c r="K13517" s="5">
        <v>-96.208204888723003</v>
      </c>
      <c r="L13517" s="5" t="str">
        <f>HYPERLINK("https://maps.google.com/?q=17.304428204759144,-96.20820488872272", "🔗 Ver Mapa")</f>
        <v>🔗 Ver Mapa</v>
      </c>
    </row>
    <row r="13518" spans="1:12" ht="58" x14ac:dyDescent="0.35">
      <c r="A13518" s="6" t="s">
        <v>73</v>
      </c>
      <c r="B13518" s="6" t="s">
        <v>74</v>
      </c>
      <c r="C13518" s="6" t="s">
        <v>2661</v>
      </c>
      <c r="D13518" s="6" t="s">
        <v>76</v>
      </c>
      <c r="E13518" s="6" t="s">
        <v>90</v>
      </c>
      <c r="F13518" s="6" t="s">
        <v>91</v>
      </c>
      <c r="G13518" s="6" t="s">
        <v>1722</v>
      </c>
      <c r="H13518" s="6" t="s">
        <v>2662</v>
      </c>
      <c r="I13518" s="6" t="s">
        <v>31</v>
      </c>
      <c r="J13518" s="6">
        <v>17.034522673184</v>
      </c>
      <c r="K13518" s="6">
        <v>-96.075729393028993</v>
      </c>
      <c r="L13518" s="6" t="str">
        <f>HYPERLINK("https://maps.google.com/?q=17.034522673184274,-96.07572939302908", "🔗 Ver Mapa")</f>
        <v>🔗 Ver Mapa</v>
      </c>
    </row>
    <row r="13519" spans="1:12" ht="58" x14ac:dyDescent="0.35">
      <c r="A13519" s="5" t="s">
        <v>73</v>
      </c>
      <c r="B13519" s="5" t="s">
        <v>74</v>
      </c>
      <c r="C13519" s="5" t="s">
        <v>2663</v>
      </c>
      <c r="D13519" s="5" t="s">
        <v>76</v>
      </c>
      <c r="E13519" s="5" t="s">
        <v>52</v>
      </c>
      <c r="F13519" s="5" t="s">
        <v>83</v>
      </c>
      <c r="G13519" s="5" t="s">
        <v>1574</v>
      </c>
      <c r="H13519" s="5" t="s">
        <v>2664</v>
      </c>
      <c r="I13519" s="5" t="s">
        <v>31</v>
      </c>
      <c r="J13519" s="5">
        <v>17.132802517933001</v>
      </c>
      <c r="K13519" s="5">
        <v>-96.831478174975004</v>
      </c>
      <c r="L13519" s="5" t="str">
        <f>HYPERLINK("https://maps.google.com/?q=17.132802517932948,-96.83147817497522", "🔗 Ver Mapa")</f>
        <v>🔗 Ver Mapa</v>
      </c>
    </row>
    <row r="13520" spans="1:12" ht="58" x14ac:dyDescent="0.35">
      <c r="A13520" s="6" t="s">
        <v>73</v>
      </c>
      <c r="B13520" s="6" t="s">
        <v>74</v>
      </c>
      <c r="C13520" s="6" t="s">
        <v>2665</v>
      </c>
      <c r="D13520" s="6" t="s">
        <v>76</v>
      </c>
      <c r="E13520" s="6" t="s">
        <v>16</v>
      </c>
      <c r="F13520" s="6" t="s">
        <v>21</v>
      </c>
      <c r="G13520" s="6" t="s">
        <v>922</v>
      </c>
      <c r="H13520" s="6" t="s">
        <v>1218</v>
      </c>
      <c r="I13520" s="6" t="s">
        <v>31</v>
      </c>
      <c r="J13520" s="6">
        <v>17.236177264510001</v>
      </c>
      <c r="K13520" s="6">
        <v>-97.552547145172994</v>
      </c>
      <c r="L13520" s="6" t="str">
        <f>HYPERLINK("https://maps.google.com/?q=17.23617726450991,-97.55254714517314", "🔗 Ver Mapa")</f>
        <v>🔗 Ver Mapa</v>
      </c>
    </row>
    <row r="13521" spans="1:12" ht="58" x14ac:dyDescent="0.35">
      <c r="A13521" s="5" t="s">
        <v>73</v>
      </c>
      <c r="B13521" s="5" t="s">
        <v>74</v>
      </c>
      <c r="C13521" s="5" t="s">
        <v>2666</v>
      </c>
      <c r="D13521" s="5" t="s">
        <v>76</v>
      </c>
      <c r="E13521" s="5" t="s">
        <v>90</v>
      </c>
      <c r="F13521" s="5" t="s">
        <v>678</v>
      </c>
      <c r="G13521" s="5" t="s">
        <v>992</v>
      </c>
      <c r="H13521" s="5" t="s">
        <v>993</v>
      </c>
      <c r="I13521" s="5" t="s">
        <v>31</v>
      </c>
      <c r="J13521" s="5">
        <v>17.336170696730001</v>
      </c>
      <c r="K13521" s="5">
        <v>-96.164889405460997</v>
      </c>
      <c r="L13521" s="5" t="str">
        <f>HYPERLINK("https://maps.google.com/?q=17.336170696730335,-96.16488940546067", "🔗 Ver Mapa")</f>
        <v>🔗 Ver Mapa</v>
      </c>
    </row>
    <row r="13522" spans="1:12" ht="58" x14ac:dyDescent="0.35">
      <c r="A13522" s="6" t="s">
        <v>73</v>
      </c>
      <c r="B13522" s="6" t="s">
        <v>74</v>
      </c>
      <c r="C13522" s="6" t="s">
        <v>2667</v>
      </c>
      <c r="D13522" s="6" t="s">
        <v>76</v>
      </c>
      <c r="E13522" s="6" t="s">
        <v>52</v>
      </c>
      <c r="F13522" s="6" t="s">
        <v>228</v>
      </c>
      <c r="G13522" s="6" t="s">
        <v>382</v>
      </c>
      <c r="H13522" s="6" t="s">
        <v>383</v>
      </c>
      <c r="I13522" s="6" t="s">
        <v>31</v>
      </c>
      <c r="J13522" s="6">
        <v>16.828957600294</v>
      </c>
      <c r="K13522" s="6">
        <v>-96.671698610454001</v>
      </c>
      <c r="L13522" s="6" t="str">
        <f>HYPERLINK("https://maps.google.com/?q=16.828957600293954,-96.67169861045355", "🔗 Ver Mapa")</f>
        <v>🔗 Ver Mapa</v>
      </c>
    </row>
    <row r="13523" spans="1:12" ht="58" x14ac:dyDescent="0.35">
      <c r="A13523" s="5" t="s">
        <v>73</v>
      </c>
      <c r="B13523" s="5" t="s">
        <v>74</v>
      </c>
      <c r="C13523" s="5" t="s">
        <v>2668</v>
      </c>
      <c r="D13523" s="5" t="s">
        <v>76</v>
      </c>
      <c r="E13523" s="5" t="s">
        <v>52</v>
      </c>
      <c r="F13523" s="5" t="s">
        <v>53</v>
      </c>
      <c r="G13523" s="5" t="s">
        <v>1161</v>
      </c>
      <c r="H13523" s="5" t="s">
        <v>1162</v>
      </c>
      <c r="I13523" s="5" t="s">
        <v>31</v>
      </c>
      <c r="J13523" s="5">
        <v>16.952077680873</v>
      </c>
      <c r="K13523" s="5">
        <v>-96.614360354992002</v>
      </c>
      <c r="L13523" s="5" t="str">
        <f>HYPERLINK("https://maps.google.com/?q=16.952077680873487,-96.61436035499233", "🔗 Ver Mapa")</f>
        <v>🔗 Ver Mapa</v>
      </c>
    </row>
    <row r="13524" spans="1:12" ht="58" x14ac:dyDescent="0.35">
      <c r="A13524" s="6" t="s">
        <v>73</v>
      </c>
      <c r="B13524" s="6" t="s">
        <v>74</v>
      </c>
      <c r="C13524" s="6" t="s">
        <v>2669</v>
      </c>
      <c r="D13524" s="6" t="s">
        <v>76</v>
      </c>
      <c r="E13524" s="6" t="s">
        <v>52</v>
      </c>
      <c r="F13524" s="6" t="s">
        <v>443</v>
      </c>
      <c r="G13524" s="6" t="s">
        <v>2275</v>
      </c>
      <c r="H13524" s="6" t="s">
        <v>2276</v>
      </c>
      <c r="I13524" s="6" t="s">
        <v>31</v>
      </c>
      <c r="J13524" s="6">
        <v>16.693839444739002</v>
      </c>
      <c r="K13524" s="6">
        <v>-96.846248664312</v>
      </c>
      <c r="L13524" s="6" t="str">
        <f>HYPERLINK("https://maps.google.com/?q=16.693839444739055,-96.8462486643124", "🔗 Ver Mapa")</f>
        <v>🔗 Ver Mapa</v>
      </c>
    </row>
    <row r="13525" spans="1:12" ht="58" x14ac:dyDescent="0.35">
      <c r="A13525" s="5" t="s">
        <v>73</v>
      </c>
      <c r="B13525" s="5" t="s">
        <v>74</v>
      </c>
      <c r="C13525" s="5" t="s">
        <v>2670</v>
      </c>
      <c r="D13525" s="5" t="s">
        <v>76</v>
      </c>
      <c r="E13525" s="5" t="s">
        <v>16</v>
      </c>
      <c r="F13525" s="5" t="s">
        <v>21</v>
      </c>
      <c r="G13525" s="5" t="s">
        <v>1432</v>
      </c>
      <c r="H13525" s="5" t="s">
        <v>1435</v>
      </c>
      <c r="I13525" s="5" t="s">
        <v>31</v>
      </c>
      <c r="J13525" s="5">
        <v>17.204791093204999</v>
      </c>
      <c r="K13525" s="5">
        <v>-97.520051299770003</v>
      </c>
      <c r="L13525" s="5" t="str">
        <f>HYPERLINK("https://maps.google.com/?q=17.2047910932051,-97.52005129977042", "🔗 Ver Mapa")</f>
        <v>🔗 Ver Mapa</v>
      </c>
    </row>
    <row r="13526" spans="1:12" ht="43.5" x14ac:dyDescent="0.35">
      <c r="A13526" s="6" t="s">
        <v>73</v>
      </c>
      <c r="B13526" s="6" t="s">
        <v>74</v>
      </c>
      <c r="C13526" s="6" t="s">
        <v>2671</v>
      </c>
      <c r="D13526" s="6" t="s">
        <v>76</v>
      </c>
      <c r="E13526" s="6" t="s">
        <v>90</v>
      </c>
      <c r="F13526" s="6" t="s">
        <v>678</v>
      </c>
      <c r="G13526" s="6" t="s">
        <v>2250</v>
      </c>
      <c r="H13526" s="6" t="s">
        <v>2660</v>
      </c>
      <c r="I13526" s="6" t="s">
        <v>31</v>
      </c>
      <c r="J13526" s="6">
        <v>17.305435757847999</v>
      </c>
      <c r="K13526" s="6">
        <v>-96.205749089947005</v>
      </c>
      <c r="L13526" s="6" t="str">
        <f>HYPERLINK("https://maps.google.com/?q=17.305435757847707,-96.20574908994702", "🔗 Ver Mapa")</f>
        <v>🔗 Ver Mapa</v>
      </c>
    </row>
    <row r="13527" spans="1:12" ht="43.5" x14ac:dyDescent="0.35">
      <c r="A13527" s="5" t="s">
        <v>2019</v>
      </c>
      <c r="B13527" s="5" t="s">
        <v>2020</v>
      </c>
      <c r="C13527" s="5" t="s">
        <v>2672</v>
      </c>
      <c r="D13527" s="5" t="s">
        <v>76</v>
      </c>
      <c r="E13527" s="5" t="s">
        <v>110</v>
      </c>
      <c r="F13527" s="5" t="s">
        <v>111</v>
      </c>
      <c r="G13527" s="5" t="s">
        <v>501</v>
      </c>
      <c r="H13527" s="5" t="s">
        <v>2673</v>
      </c>
      <c r="I13527" s="5" t="s">
        <v>31</v>
      </c>
      <c r="J13527" s="5">
        <v>18.096950577963</v>
      </c>
      <c r="K13527" s="5">
        <v>-96.925346179063993</v>
      </c>
      <c r="L13527" s="5" t="str">
        <f>HYPERLINK("https://maps.google.com/?q=18.09695057796257,-96.9253461790638", "🔗 Ver Mapa")</f>
        <v>🔗 Ver Mapa</v>
      </c>
    </row>
    <row r="13528" spans="1:12" ht="43.5" x14ac:dyDescent="0.35">
      <c r="A13528" s="6" t="s">
        <v>2019</v>
      </c>
      <c r="B13528" s="6" t="s">
        <v>2020</v>
      </c>
      <c r="C13528" s="6" t="s">
        <v>2674</v>
      </c>
      <c r="D13528" s="6" t="s">
        <v>76</v>
      </c>
      <c r="E13528" s="6" t="s">
        <v>110</v>
      </c>
      <c r="F13528" s="6" t="s">
        <v>111</v>
      </c>
      <c r="G13528" s="6" t="s">
        <v>450</v>
      </c>
      <c r="H13528" s="6" t="s">
        <v>2675</v>
      </c>
      <c r="I13528" s="6" t="s">
        <v>31</v>
      </c>
      <c r="J13528" s="6">
        <v>18.038237063686001</v>
      </c>
      <c r="K13528" s="6">
        <v>-96.858590260023007</v>
      </c>
      <c r="L13528" s="6" t="str">
        <f>HYPERLINK("https://maps.google.com/?q=18.038237063686115,-96.85859026002312", "🔗 Ver Mapa")</f>
        <v>🔗 Ver Mapa</v>
      </c>
    </row>
    <row r="13529" spans="1:12" ht="43.5" x14ac:dyDescent="0.35">
      <c r="A13529" s="5" t="s">
        <v>2019</v>
      </c>
      <c r="B13529" s="5" t="s">
        <v>2020</v>
      </c>
      <c r="C13529" s="5" t="s">
        <v>2676</v>
      </c>
      <c r="D13529" s="5" t="s">
        <v>76</v>
      </c>
      <c r="E13529" s="5" t="s">
        <v>17</v>
      </c>
      <c r="F13529" s="5" t="s">
        <v>20</v>
      </c>
      <c r="G13529" s="5" t="s">
        <v>77</v>
      </c>
      <c r="H13529" s="5" t="s">
        <v>2677</v>
      </c>
      <c r="I13529" s="5" t="s">
        <v>31</v>
      </c>
      <c r="J13529" s="5">
        <v>15.901622459002001</v>
      </c>
      <c r="K13529" s="5">
        <v>-96.691205268681998</v>
      </c>
      <c r="L13529" s="5" t="str">
        <f>HYPERLINK("https://maps.google.com/?q=15.901622459001768,-96.69120526868248", "🔗 Ver Mapa")</f>
        <v>🔗 Ver Mapa</v>
      </c>
    </row>
    <row r="13530" spans="1:12" ht="43.5" x14ac:dyDescent="0.35">
      <c r="A13530" s="6" t="s">
        <v>2019</v>
      </c>
      <c r="B13530" s="6" t="s">
        <v>2020</v>
      </c>
      <c r="C13530" s="6" t="s">
        <v>2678</v>
      </c>
      <c r="D13530" s="6" t="s">
        <v>76</v>
      </c>
      <c r="E13530" s="6" t="s">
        <v>17</v>
      </c>
      <c r="F13530" s="6" t="s">
        <v>46</v>
      </c>
      <c r="G13530" s="6" t="s">
        <v>546</v>
      </c>
      <c r="H13530" s="6" t="s">
        <v>2679</v>
      </c>
      <c r="I13530" s="6" t="s">
        <v>31</v>
      </c>
      <c r="J13530" s="6">
        <v>16.105118539462001</v>
      </c>
      <c r="K13530" s="6">
        <v>-97.142777050261998</v>
      </c>
      <c r="L13530" s="6" t="str">
        <f>HYPERLINK("https://maps.google.com/?q=16.105118539461664,-97.14277705026245", "🔗 Ver Mapa")</f>
        <v>🔗 Ver Mapa</v>
      </c>
    </row>
    <row r="13531" spans="1:12" ht="43.5" x14ac:dyDescent="0.35">
      <c r="A13531" s="5" t="s">
        <v>2019</v>
      </c>
      <c r="B13531" s="5" t="s">
        <v>2020</v>
      </c>
      <c r="C13531" s="5" t="s">
        <v>2680</v>
      </c>
      <c r="D13531" s="5" t="s">
        <v>76</v>
      </c>
      <c r="E13531" s="5" t="s">
        <v>158</v>
      </c>
      <c r="F13531" s="5" t="s">
        <v>166</v>
      </c>
      <c r="G13531" s="5" t="s">
        <v>1787</v>
      </c>
      <c r="H13531" s="5" t="s">
        <v>2681</v>
      </c>
      <c r="I13531" s="5" t="s">
        <v>31</v>
      </c>
      <c r="J13531" s="5">
        <v>16.246833916619</v>
      </c>
      <c r="K13531" s="5">
        <v>-95.150117208146995</v>
      </c>
      <c r="L13531" s="5" t="str">
        <f>HYPERLINK("https://maps.google.com/?q=16.246833916618968,-95.15011720814705", "🔗 Ver Mapa")</f>
        <v>🔗 Ver Mapa</v>
      </c>
    </row>
    <row r="13532" spans="1:12" ht="43.5" x14ac:dyDescent="0.35">
      <c r="A13532" s="6" t="s">
        <v>2019</v>
      </c>
      <c r="B13532" s="6" t="s">
        <v>2020</v>
      </c>
      <c r="C13532" s="6" t="s">
        <v>2682</v>
      </c>
      <c r="D13532" s="6" t="s">
        <v>76</v>
      </c>
      <c r="E13532" s="6" t="s">
        <v>90</v>
      </c>
      <c r="F13532" s="6" t="s">
        <v>119</v>
      </c>
      <c r="G13532" s="6" t="s">
        <v>371</v>
      </c>
      <c r="H13532" s="6" t="s">
        <v>2683</v>
      </c>
      <c r="I13532" s="6" t="s">
        <v>31</v>
      </c>
      <c r="J13532" s="6">
        <v>17.291033625779999</v>
      </c>
      <c r="K13532" s="6">
        <v>-96.620406746032998</v>
      </c>
      <c r="L13532" s="6" t="str">
        <f>HYPERLINK("https://maps.google.com/?q=17.291033625779686,-96.62040674603271", "🔗 Ver Mapa")</f>
        <v>🔗 Ver Mapa</v>
      </c>
    </row>
    <row r="13533" spans="1:12" ht="43.5" x14ac:dyDescent="0.35">
      <c r="A13533" s="5" t="s">
        <v>2019</v>
      </c>
      <c r="B13533" s="5" t="s">
        <v>2020</v>
      </c>
      <c r="C13533" s="5" t="s">
        <v>2684</v>
      </c>
      <c r="D13533" s="5" t="s">
        <v>76</v>
      </c>
      <c r="E13533" s="5" t="s">
        <v>90</v>
      </c>
      <c r="F13533" s="5" t="s">
        <v>678</v>
      </c>
      <c r="G13533" s="5" t="s">
        <v>1040</v>
      </c>
      <c r="H13533" s="5" t="s">
        <v>2685</v>
      </c>
      <c r="I13533" s="5" t="s">
        <v>31</v>
      </c>
      <c r="J13533" s="5">
        <v>17.264465771579999</v>
      </c>
      <c r="K13533" s="5">
        <v>-96.146129209994996</v>
      </c>
      <c r="L13533" s="5" t="str">
        <f>HYPERLINK("https://maps.google.com/?q=17.26446577158004,-96.14612920999528", "🔗 Ver Mapa")</f>
        <v>🔗 Ver Mapa</v>
      </c>
    </row>
    <row r="13534" spans="1:12" ht="43.5" x14ac:dyDescent="0.35">
      <c r="A13534" s="6" t="s">
        <v>2019</v>
      </c>
      <c r="B13534" s="6" t="s">
        <v>2020</v>
      </c>
      <c r="C13534" s="6" t="s">
        <v>2686</v>
      </c>
      <c r="D13534" s="6" t="s">
        <v>76</v>
      </c>
      <c r="E13534" s="6" t="s">
        <v>90</v>
      </c>
      <c r="F13534" s="6" t="s">
        <v>119</v>
      </c>
      <c r="G13534" s="6" t="s">
        <v>1791</v>
      </c>
      <c r="H13534" s="6" t="s">
        <v>2687</v>
      </c>
      <c r="I13534" s="6" t="s">
        <v>31</v>
      </c>
      <c r="J13534" s="6">
        <v>17.434166606453001</v>
      </c>
      <c r="K13534" s="6">
        <v>-96.657144607305995</v>
      </c>
      <c r="L13534" s="6" t="str">
        <f>HYPERLINK("https://maps.google.com/?q=17.434166606452653,-96.65714460730553", "🔗 Ver Mapa")</f>
        <v>🔗 Ver Mapa</v>
      </c>
    </row>
    <row r="13535" spans="1:12" ht="43.5" x14ac:dyDescent="0.35">
      <c r="A13535" s="5" t="s">
        <v>2019</v>
      </c>
      <c r="B13535" s="5" t="s">
        <v>2020</v>
      </c>
      <c r="C13535" s="5" t="s">
        <v>2688</v>
      </c>
      <c r="D13535" s="5" t="s">
        <v>76</v>
      </c>
      <c r="E13535" s="5" t="s">
        <v>90</v>
      </c>
      <c r="F13535" s="5" t="s">
        <v>119</v>
      </c>
      <c r="G13535" s="5" t="s">
        <v>2574</v>
      </c>
      <c r="H13535" s="5" t="s">
        <v>2689</v>
      </c>
      <c r="I13535" s="5" t="s">
        <v>31</v>
      </c>
      <c r="J13535" s="5">
        <v>17.394806464995</v>
      </c>
      <c r="K13535" s="5">
        <v>-96.611861460154003</v>
      </c>
      <c r="L13535" s="5" t="str">
        <f>HYPERLINK("https://maps.google.com/?q=17.3948064649948,-96.61186146015358", "🔗 Ver Mapa")</f>
        <v>🔗 Ver Mapa</v>
      </c>
    </row>
    <row r="13536" spans="1:12" ht="43.5" x14ac:dyDescent="0.35">
      <c r="A13536" s="6" t="s">
        <v>2019</v>
      </c>
      <c r="B13536" s="6" t="s">
        <v>2020</v>
      </c>
      <c r="C13536" s="6" t="s">
        <v>2690</v>
      </c>
      <c r="D13536" s="6" t="s">
        <v>76</v>
      </c>
      <c r="E13536" s="6" t="s">
        <v>39</v>
      </c>
      <c r="F13536" s="6" t="s">
        <v>353</v>
      </c>
      <c r="G13536" s="6" t="s">
        <v>742</v>
      </c>
      <c r="H13536" s="6" t="s">
        <v>2691</v>
      </c>
      <c r="I13536" s="6" t="s">
        <v>31</v>
      </c>
      <c r="J13536" s="6">
        <v>16.143500437269001</v>
      </c>
      <c r="K13536" s="6">
        <v>-96.447812085983003</v>
      </c>
      <c r="L13536" s="6" t="str">
        <f>HYPERLINK("https://maps.google.com/?q=16.143500437268802,-96.44781208598326", "🔗 Ver Mapa")</f>
        <v>🔗 Ver Mapa</v>
      </c>
    </row>
    <row r="13537" spans="1:12" ht="29" x14ac:dyDescent="0.35">
      <c r="A13537" s="5" t="s">
        <v>2019</v>
      </c>
      <c r="B13537" s="5" t="s">
        <v>2020</v>
      </c>
      <c r="C13537" s="5" t="s">
        <v>2692</v>
      </c>
      <c r="D13537" s="5" t="s">
        <v>76</v>
      </c>
      <c r="E13537" s="5" t="s">
        <v>39</v>
      </c>
      <c r="F13537" s="5" t="s">
        <v>353</v>
      </c>
      <c r="G13537" s="5" t="s">
        <v>2693</v>
      </c>
      <c r="H13537" s="5" t="s">
        <v>2694</v>
      </c>
      <c r="I13537" s="5" t="s">
        <v>31</v>
      </c>
      <c r="J13537" s="5">
        <v>16.371650205856</v>
      </c>
      <c r="K13537" s="5">
        <v>-96.638577298285995</v>
      </c>
      <c r="L13537" s="5" t="str">
        <f>HYPERLINK("https://maps.google.com/?q=16.371650205855904,-96.63857729828644", "🔗 Ver Mapa")</f>
        <v>🔗 Ver Mapa</v>
      </c>
    </row>
    <row r="13538" spans="1:12" ht="43.5" x14ac:dyDescent="0.35">
      <c r="A13538" s="6" t="s">
        <v>2019</v>
      </c>
      <c r="B13538" s="6" t="s">
        <v>2020</v>
      </c>
      <c r="C13538" s="6" t="s">
        <v>2695</v>
      </c>
      <c r="D13538" s="6" t="s">
        <v>76</v>
      </c>
      <c r="E13538" s="6" t="s">
        <v>52</v>
      </c>
      <c r="F13538" s="6" t="s">
        <v>53</v>
      </c>
      <c r="G13538" s="6" t="s">
        <v>2696</v>
      </c>
      <c r="H13538" s="6" t="s">
        <v>2697</v>
      </c>
      <c r="I13538" s="6" t="s">
        <v>31</v>
      </c>
      <c r="J13538" s="6">
        <v>17.011762185784001</v>
      </c>
      <c r="K13538" s="6">
        <v>-96.598868492064994</v>
      </c>
      <c r="L13538" s="6" t="str">
        <f>HYPERLINK("https://maps.google.com/?q=17.01176218578432,-96.59886849206544", "🔗 Ver Mapa")</f>
        <v>🔗 Ver Mapa</v>
      </c>
    </row>
    <row r="13539" spans="1:12" ht="43.5" x14ac:dyDescent="0.35">
      <c r="A13539" s="5" t="s">
        <v>2019</v>
      </c>
      <c r="B13539" s="5" t="s">
        <v>2020</v>
      </c>
      <c r="C13539" s="5" t="s">
        <v>2698</v>
      </c>
      <c r="D13539" s="5" t="s">
        <v>76</v>
      </c>
      <c r="E13539" s="5" t="s">
        <v>52</v>
      </c>
      <c r="F13539" s="5" t="s">
        <v>70</v>
      </c>
      <c r="G13539" s="5" t="s">
        <v>2699</v>
      </c>
      <c r="H13539" s="5" t="s">
        <v>2700</v>
      </c>
      <c r="I13539" s="5" t="s">
        <v>31</v>
      </c>
      <c r="J13539" s="5">
        <v>17.102976678769998</v>
      </c>
      <c r="K13539" s="5">
        <v>-96.667068722718994</v>
      </c>
      <c r="L13539" s="5" t="str">
        <f>HYPERLINK("https://maps.google.com/?q=17.1029766787699,-96.66706872271918", "🔗 Ver Mapa")</f>
        <v>🔗 Ver Mapa</v>
      </c>
    </row>
    <row r="13540" spans="1:12" ht="43.5" x14ac:dyDescent="0.35">
      <c r="A13540" s="6" t="s">
        <v>2019</v>
      </c>
      <c r="B13540" s="6" t="s">
        <v>2020</v>
      </c>
      <c r="C13540" s="6" t="s">
        <v>2701</v>
      </c>
      <c r="D13540" s="6" t="s">
        <v>76</v>
      </c>
      <c r="E13540" s="6" t="s">
        <v>52</v>
      </c>
      <c r="F13540" s="6" t="s">
        <v>70</v>
      </c>
      <c r="G13540" s="6" t="s">
        <v>249</v>
      </c>
      <c r="H13540" s="6" t="s">
        <v>2702</v>
      </c>
      <c r="I13540" s="6" t="s">
        <v>31</v>
      </c>
      <c r="J13540" s="6">
        <v>17.028312462317</v>
      </c>
      <c r="K13540" s="6">
        <v>-96.703273258929997</v>
      </c>
      <c r="L13540" s="6" t="str">
        <f>HYPERLINK("https://maps.google.com/?q=17.028312462317214,-96.70327325893021", "🔗 Ver Mapa")</f>
        <v>🔗 Ver Mapa</v>
      </c>
    </row>
    <row r="13541" spans="1:12" ht="43.5" x14ac:dyDescent="0.35">
      <c r="A13541" s="5" t="s">
        <v>2019</v>
      </c>
      <c r="B13541" s="5" t="s">
        <v>2020</v>
      </c>
      <c r="C13541" s="5" t="s">
        <v>2703</v>
      </c>
      <c r="D13541" s="5" t="s">
        <v>76</v>
      </c>
      <c r="E13541" s="5" t="s">
        <v>52</v>
      </c>
      <c r="F13541" s="5" t="s">
        <v>70</v>
      </c>
      <c r="G13541" s="5" t="s">
        <v>2704</v>
      </c>
      <c r="H13541" s="5" t="s">
        <v>2705</v>
      </c>
      <c r="I13541" s="5" t="s">
        <v>31</v>
      </c>
      <c r="J13541" s="5">
        <v>17.042337640275999</v>
      </c>
      <c r="K13541" s="5">
        <v>-96.692807112932002</v>
      </c>
      <c r="L13541" s="5" t="str">
        <f>HYPERLINK("https://maps.google.com/?q=17.042337640276127,-96.6928071129322", "🔗 Ver Mapa")</f>
        <v>🔗 Ver Mapa</v>
      </c>
    </row>
    <row r="13542" spans="1:12" ht="43.5" x14ac:dyDescent="0.35">
      <c r="A13542" s="6" t="s">
        <v>2019</v>
      </c>
      <c r="B13542" s="6" t="s">
        <v>2020</v>
      </c>
      <c r="C13542" s="6" t="s">
        <v>2706</v>
      </c>
      <c r="D13542" s="6" t="s">
        <v>76</v>
      </c>
      <c r="E13542" s="6" t="s">
        <v>17</v>
      </c>
      <c r="F13542" s="6" t="s">
        <v>59</v>
      </c>
      <c r="G13542" s="6" t="s">
        <v>1869</v>
      </c>
      <c r="H13542" s="6" t="s">
        <v>2707</v>
      </c>
      <c r="I13542" s="6" t="s">
        <v>31</v>
      </c>
      <c r="J13542" s="6">
        <v>16.452919480954002</v>
      </c>
      <c r="K13542" s="6">
        <v>-98.286929639217007</v>
      </c>
      <c r="L13542" s="6" t="str">
        <f>HYPERLINK("https://maps.google.com/?q=16.452919480953742,-98.28692963921736", "🔗 Ver Mapa")</f>
        <v>🔗 Ver Mapa</v>
      </c>
    </row>
    <row r="13543" spans="1:12" ht="43.5" x14ac:dyDescent="0.35">
      <c r="A13543" s="5" t="s">
        <v>2019</v>
      </c>
      <c r="B13543" s="5" t="s">
        <v>2020</v>
      </c>
      <c r="C13543" s="5" t="s">
        <v>2708</v>
      </c>
      <c r="D13543" s="5" t="s">
        <v>76</v>
      </c>
      <c r="E13543" s="5" t="s">
        <v>16</v>
      </c>
      <c r="F13543" s="5" t="s">
        <v>195</v>
      </c>
      <c r="G13543" s="5" t="s">
        <v>758</v>
      </c>
      <c r="H13543" s="5" t="s">
        <v>2709</v>
      </c>
      <c r="I13543" s="5" t="s">
        <v>31</v>
      </c>
      <c r="J13543" s="5">
        <v>17.611699999999999</v>
      </c>
      <c r="K13543" s="5">
        <v>-98.015199999999993</v>
      </c>
      <c r="L13543" s="5" t="str">
        <f>HYPERLINK("https://maps.google.com/?q=17.6117,-98.0152", "🔗 Ver Mapa")</f>
        <v>🔗 Ver Mapa</v>
      </c>
    </row>
    <row r="13544" spans="1:12" ht="43.5" x14ac:dyDescent="0.35">
      <c r="A13544" s="6" t="s">
        <v>2019</v>
      </c>
      <c r="B13544" s="6" t="s">
        <v>2020</v>
      </c>
      <c r="C13544" s="6" t="s">
        <v>2710</v>
      </c>
      <c r="D13544" s="6" t="s">
        <v>76</v>
      </c>
      <c r="E13544" s="6" t="s">
        <v>17</v>
      </c>
      <c r="F13544" s="6" t="s">
        <v>59</v>
      </c>
      <c r="G13544" s="6" t="s">
        <v>1029</v>
      </c>
      <c r="H13544" s="6" t="s">
        <v>2711</v>
      </c>
      <c r="I13544" s="6" t="s">
        <v>31</v>
      </c>
      <c r="J13544" s="6">
        <v>16.441506050209998</v>
      </c>
      <c r="K13544" s="6">
        <v>-98.125092144844004</v>
      </c>
      <c r="L13544" s="6" t="str">
        <f>HYPERLINK("https://maps.google.com/?q=16.44150605021013,-98.12509214484406", "🔗 Ver Mapa")</f>
        <v>🔗 Ver Mapa</v>
      </c>
    </row>
    <row r="13545" spans="1:12" ht="43.5" x14ac:dyDescent="0.35">
      <c r="A13545" s="5" t="s">
        <v>2019</v>
      </c>
      <c r="B13545" s="5" t="s">
        <v>2020</v>
      </c>
      <c r="C13545" s="5" t="s">
        <v>2712</v>
      </c>
      <c r="D13545" s="5" t="s">
        <v>76</v>
      </c>
      <c r="E13545" s="5" t="s">
        <v>17</v>
      </c>
      <c r="F13545" s="5" t="s">
        <v>59</v>
      </c>
      <c r="G13545" s="5" t="s">
        <v>1296</v>
      </c>
      <c r="H13545" s="5" t="s">
        <v>2713</v>
      </c>
      <c r="I13545" s="5" t="s">
        <v>31</v>
      </c>
      <c r="J13545" s="5">
        <v>16.320492751781</v>
      </c>
      <c r="K13545" s="5">
        <v>-97.749467755610993</v>
      </c>
      <c r="L13545" s="5" t="str">
        <f>HYPERLINK("https://maps.google.com/?q=16.320492751781046,-97.74946775561142", "🔗 Ver Mapa")</f>
        <v>🔗 Ver Mapa</v>
      </c>
    </row>
    <row r="13546" spans="1:12" ht="29" x14ac:dyDescent="0.35">
      <c r="A13546" s="6" t="s">
        <v>2019</v>
      </c>
      <c r="B13546" s="6" t="s">
        <v>2020</v>
      </c>
      <c r="C13546" s="6" t="s">
        <v>2714</v>
      </c>
      <c r="D13546" s="6" t="s">
        <v>76</v>
      </c>
      <c r="E13546" s="6" t="s">
        <v>17</v>
      </c>
      <c r="F13546" s="6" t="s">
        <v>46</v>
      </c>
      <c r="G13546" s="6" t="s">
        <v>152</v>
      </c>
      <c r="H13546" s="6" t="s">
        <v>2715</v>
      </c>
      <c r="I13546" s="6" t="s">
        <v>31</v>
      </c>
      <c r="J13546" s="6">
        <v>16.250636020479</v>
      </c>
      <c r="K13546" s="6">
        <v>-97.150621190143994</v>
      </c>
      <c r="L13546" s="6" t="str">
        <f>HYPERLINK("https://maps.google.com/?q=16.250636020478947,-97.15062119014358", "🔗 Ver Mapa")</f>
        <v>🔗 Ver Mapa</v>
      </c>
    </row>
    <row r="13547" spans="1:12" ht="43.5" x14ac:dyDescent="0.35">
      <c r="A13547" s="5" t="s">
        <v>2019</v>
      </c>
      <c r="B13547" s="5" t="s">
        <v>2020</v>
      </c>
      <c r="C13547" s="5" t="s">
        <v>2716</v>
      </c>
      <c r="D13547" s="5" t="s">
        <v>76</v>
      </c>
      <c r="E13547" s="5" t="s">
        <v>17</v>
      </c>
      <c r="F13547" s="5" t="s">
        <v>46</v>
      </c>
      <c r="G13547" s="5" t="s">
        <v>1284</v>
      </c>
      <c r="H13547" s="5" t="s">
        <v>2717</v>
      </c>
      <c r="I13547" s="5" t="s">
        <v>31</v>
      </c>
      <c r="J13547" s="5">
        <v>16.164520607099</v>
      </c>
      <c r="K13547" s="5">
        <v>-97.194926246348999</v>
      </c>
      <c r="L13547" s="5" t="str">
        <f>HYPERLINK("https://maps.google.com/?q=16.164520607098996,-97.19492624634934", "🔗 Ver Mapa")</f>
        <v>🔗 Ver Mapa</v>
      </c>
    </row>
    <row r="13548" spans="1:12" ht="43.5" x14ac:dyDescent="0.35">
      <c r="A13548" s="6" t="s">
        <v>2019</v>
      </c>
      <c r="B13548" s="6" t="s">
        <v>2020</v>
      </c>
      <c r="C13548" s="6" t="s">
        <v>2718</v>
      </c>
      <c r="D13548" s="6" t="s">
        <v>76</v>
      </c>
      <c r="E13548" s="6" t="s">
        <v>90</v>
      </c>
      <c r="F13548" s="6" t="s">
        <v>119</v>
      </c>
      <c r="G13548" s="6" t="s">
        <v>1712</v>
      </c>
      <c r="H13548" s="6" t="s">
        <v>2719</v>
      </c>
      <c r="I13548" s="6" t="s">
        <v>31</v>
      </c>
      <c r="J13548" s="6">
        <v>17.407460021338</v>
      </c>
      <c r="K13548" s="6">
        <v>-96.538307736280004</v>
      </c>
      <c r="L13548" s="6" t="str">
        <f>HYPERLINK("https://maps.google.com/?q=17.407460021337737,-96.53830773628044", "🔗 Ver Mapa")</f>
        <v>🔗 Ver Mapa</v>
      </c>
    </row>
    <row r="13549" spans="1:12" ht="43.5" x14ac:dyDescent="0.35">
      <c r="A13549" s="5" t="s">
        <v>2019</v>
      </c>
      <c r="B13549" s="5" t="s">
        <v>2020</v>
      </c>
      <c r="C13549" s="5" t="s">
        <v>2720</v>
      </c>
      <c r="D13549" s="5" t="s">
        <v>76</v>
      </c>
      <c r="E13549" s="5" t="s">
        <v>52</v>
      </c>
      <c r="F13549" s="5" t="s">
        <v>228</v>
      </c>
      <c r="G13549" s="5" t="s">
        <v>229</v>
      </c>
      <c r="H13549" s="5" t="s">
        <v>2721</v>
      </c>
      <c r="I13549" s="5" t="s">
        <v>31</v>
      </c>
      <c r="J13549" s="5">
        <v>16.794543999999998</v>
      </c>
      <c r="K13549" s="5">
        <v>-96.685011000000003</v>
      </c>
      <c r="L13549" s="5" t="str">
        <f>HYPERLINK("https://maps.google.com/?q=16.794544,-96.685011", "🔗 Ver Mapa")</f>
        <v>🔗 Ver Mapa</v>
      </c>
    </row>
    <row r="13550" spans="1:12" ht="43.5" x14ac:dyDescent="0.35">
      <c r="A13550" s="6" t="s">
        <v>2019</v>
      </c>
      <c r="B13550" s="6" t="s">
        <v>2020</v>
      </c>
      <c r="C13550" s="6" t="s">
        <v>2722</v>
      </c>
      <c r="D13550" s="6" t="s">
        <v>76</v>
      </c>
      <c r="E13550" s="6" t="s">
        <v>52</v>
      </c>
      <c r="F13550" s="6" t="s">
        <v>228</v>
      </c>
      <c r="G13550" s="6" t="s">
        <v>382</v>
      </c>
      <c r="H13550" s="6" t="s">
        <v>2723</v>
      </c>
      <c r="I13550" s="6" t="s">
        <v>31</v>
      </c>
      <c r="J13550" s="6">
        <v>16.828776037015999</v>
      </c>
      <c r="K13550" s="6">
        <v>-96.671934053897999</v>
      </c>
      <c r="L13550" s="6" t="str">
        <f>HYPERLINK("https://maps.google.com/?q=16.828776037016205,-96.67193405389786", "🔗 Ver Mapa")</f>
        <v>🔗 Ver Mapa</v>
      </c>
    </row>
    <row r="13551" spans="1:12" ht="29" x14ac:dyDescent="0.35">
      <c r="A13551" s="5" t="s">
        <v>2019</v>
      </c>
      <c r="B13551" s="5" t="s">
        <v>2020</v>
      </c>
      <c r="C13551" s="5" t="s">
        <v>2724</v>
      </c>
      <c r="D13551" s="5" t="s">
        <v>76</v>
      </c>
      <c r="E13551" s="5" t="s">
        <v>52</v>
      </c>
      <c r="F13551" s="5" t="s">
        <v>228</v>
      </c>
      <c r="G13551" s="5" t="s">
        <v>1952</v>
      </c>
      <c r="H13551" s="5" t="s">
        <v>1953</v>
      </c>
      <c r="I13551" s="5" t="s">
        <v>31</v>
      </c>
      <c r="J13551" s="5">
        <v>16.856723039609999</v>
      </c>
      <c r="K13551" s="5">
        <v>-96.697235447113002</v>
      </c>
      <c r="L13551" s="5" t="str">
        <f>HYPERLINK("https://maps.google.com/?q=16.856723039609538,-96.69723544711303", "🔗 Ver Mapa")</f>
        <v>🔗 Ver Mapa</v>
      </c>
    </row>
    <row r="13552" spans="1:12" ht="43.5" x14ac:dyDescent="0.35">
      <c r="A13552" s="6" t="s">
        <v>2019</v>
      </c>
      <c r="B13552" s="6" t="s">
        <v>2020</v>
      </c>
      <c r="C13552" s="6" t="s">
        <v>2725</v>
      </c>
      <c r="D13552" s="6" t="s">
        <v>76</v>
      </c>
      <c r="E13552" s="6" t="s">
        <v>16</v>
      </c>
      <c r="F13552" s="6" t="s">
        <v>21</v>
      </c>
      <c r="G13552" s="6" t="s">
        <v>922</v>
      </c>
      <c r="H13552" s="6" t="s">
        <v>2726</v>
      </c>
      <c r="I13552" s="6" t="s">
        <v>31</v>
      </c>
      <c r="J13552" s="6">
        <v>17.251957535968</v>
      </c>
      <c r="K13552" s="6">
        <v>-97.543337980147996</v>
      </c>
      <c r="L13552" s="6" t="str">
        <f>HYPERLINK("https://maps.google.com/?q=17.25195753596826,-97.54333798014832", "🔗 Ver Mapa")</f>
        <v>🔗 Ver Mapa</v>
      </c>
    </row>
    <row r="13553" spans="1:12" ht="43.5" x14ac:dyDescent="0.35">
      <c r="A13553" s="5" t="s">
        <v>2019</v>
      </c>
      <c r="B13553" s="5" t="s">
        <v>2020</v>
      </c>
      <c r="C13553" s="5" t="s">
        <v>2727</v>
      </c>
      <c r="D13553" s="5" t="s">
        <v>76</v>
      </c>
      <c r="E13553" s="5" t="s">
        <v>16</v>
      </c>
      <c r="F13553" s="5" t="s">
        <v>21</v>
      </c>
      <c r="G13553" s="5" t="s">
        <v>1511</v>
      </c>
      <c r="H13553" s="5" t="s">
        <v>2728</v>
      </c>
      <c r="I13553" s="5" t="s">
        <v>31</v>
      </c>
      <c r="J13553" s="5">
        <v>17.150289612832001</v>
      </c>
      <c r="K13553" s="5">
        <v>-97.460477824571996</v>
      </c>
      <c r="L13553" s="5" t="str">
        <f>HYPERLINK("https://maps.google.com/?q=17.15028961283201,-97.46047782457161", "🔗 Ver Mapa")</f>
        <v>🔗 Ver Mapa</v>
      </c>
    </row>
    <row r="13554" spans="1:12" ht="43.5" x14ac:dyDescent="0.35">
      <c r="A13554" s="6" t="s">
        <v>2019</v>
      </c>
      <c r="B13554" s="6" t="s">
        <v>2020</v>
      </c>
      <c r="C13554" s="6" t="s">
        <v>2729</v>
      </c>
      <c r="D13554" s="6" t="s">
        <v>76</v>
      </c>
      <c r="E13554" s="6" t="s">
        <v>16</v>
      </c>
      <c r="F13554" s="6" t="s">
        <v>21</v>
      </c>
      <c r="G13554" s="6" t="s">
        <v>1570</v>
      </c>
      <c r="H13554" s="6" t="s">
        <v>2730</v>
      </c>
      <c r="I13554" s="6" t="s">
        <v>31</v>
      </c>
      <c r="J13554" s="6">
        <v>17.239454246838001</v>
      </c>
      <c r="K13554" s="6">
        <v>-97.448796463788995</v>
      </c>
      <c r="L13554" s="6" t="str">
        <f>HYPERLINK("https://maps.google.com/?q=17.239454246838115,-97.448796463789", "🔗 Ver Mapa")</f>
        <v>🔗 Ver Mapa</v>
      </c>
    </row>
    <row r="13555" spans="1:12" ht="43.5" x14ac:dyDescent="0.35">
      <c r="A13555" s="5" t="s">
        <v>2019</v>
      </c>
      <c r="B13555" s="5" t="s">
        <v>2020</v>
      </c>
      <c r="C13555" s="5" t="s">
        <v>2731</v>
      </c>
      <c r="D13555" s="5" t="s">
        <v>76</v>
      </c>
      <c r="E13555" s="5" t="s">
        <v>16</v>
      </c>
      <c r="F13555" s="5" t="s">
        <v>21</v>
      </c>
      <c r="G13555" s="5" t="s">
        <v>2732</v>
      </c>
      <c r="H13555" s="5" t="s">
        <v>2733</v>
      </c>
      <c r="I13555" s="5" t="s">
        <v>31</v>
      </c>
      <c r="J13555" s="5">
        <v>17.343989062371001</v>
      </c>
      <c r="K13555" s="5">
        <v>-97.507694851520995</v>
      </c>
      <c r="L13555" s="5" t="str">
        <f>HYPERLINK("https://maps.google.com/?q=17.34398906237129,-97.50769485152054", "🔗 Ver Mapa")</f>
        <v>🔗 Ver Mapa</v>
      </c>
    </row>
    <row r="13556" spans="1:12" ht="29" x14ac:dyDescent="0.35">
      <c r="A13556" s="6" t="s">
        <v>2019</v>
      </c>
      <c r="B13556" s="6" t="s">
        <v>2020</v>
      </c>
      <c r="C13556" s="6" t="s">
        <v>2734</v>
      </c>
      <c r="D13556" s="6" t="s">
        <v>76</v>
      </c>
      <c r="E13556" s="6" t="s">
        <v>16</v>
      </c>
      <c r="F13556" s="6" t="s">
        <v>21</v>
      </c>
      <c r="G13556" s="6" t="s">
        <v>655</v>
      </c>
      <c r="H13556" s="6" t="s">
        <v>656</v>
      </c>
      <c r="I13556" s="6" t="s">
        <v>31</v>
      </c>
      <c r="J13556" s="6">
        <v>17.307067073502999</v>
      </c>
      <c r="K13556" s="6">
        <v>-97.486671581684007</v>
      </c>
      <c r="L13556" s="6" t="str">
        <f>HYPERLINK("https://maps.google.com/?q=17.307067073503113,-97.4866715816841", "🔗 Ver Mapa")</f>
        <v>🔗 Ver Mapa</v>
      </c>
    </row>
    <row r="13557" spans="1:12" ht="43.5" x14ac:dyDescent="0.35">
      <c r="A13557" s="5" t="s">
        <v>2019</v>
      </c>
      <c r="B13557" s="5" t="s">
        <v>2020</v>
      </c>
      <c r="C13557" s="5" t="s">
        <v>2735</v>
      </c>
      <c r="D13557" s="5" t="s">
        <v>76</v>
      </c>
      <c r="E13557" s="5" t="s">
        <v>16</v>
      </c>
      <c r="F13557" s="5" t="s">
        <v>21</v>
      </c>
      <c r="G13557" s="5" t="s">
        <v>2736</v>
      </c>
      <c r="H13557" s="5" t="s">
        <v>2737</v>
      </c>
      <c r="I13557" s="5" t="s">
        <v>31</v>
      </c>
      <c r="J13557" s="5">
        <v>17.360573209739002</v>
      </c>
      <c r="K13557" s="5">
        <v>-97.570194844423</v>
      </c>
      <c r="L13557" s="5" t="str">
        <f>HYPERLINK("https://maps.google.com/?q=17.360573209739368,-97.5701948444233", "🔗 Ver Mapa")</f>
        <v>🔗 Ver Mapa</v>
      </c>
    </row>
    <row r="13558" spans="1:12" ht="43.5" x14ac:dyDescent="0.35">
      <c r="A13558" s="6" t="s">
        <v>2019</v>
      </c>
      <c r="B13558" s="6" t="s">
        <v>2020</v>
      </c>
      <c r="C13558" s="6" t="s">
        <v>2738</v>
      </c>
      <c r="D13558" s="6" t="s">
        <v>76</v>
      </c>
      <c r="E13558" s="6" t="s">
        <v>52</v>
      </c>
      <c r="F13558" s="6" t="s">
        <v>53</v>
      </c>
      <c r="G13558" s="6" t="s">
        <v>989</v>
      </c>
      <c r="H13558" s="6" t="s">
        <v>2739</v>
      </c>
      <c r="I13558" s="6" t="s">
        <v>31</v>
      </c>
      <c r="J13558" s="6">
        <v>16.912174001273002</v>
      </c>
      <c r="K13558" s="6">
        <v>-96.495837414679997</v>
      </c>
      <c r="L13558" s="6" t="str">
        <f>HYPERLINK("https://maps.google.com/?q=16.912174001273087,-96.49583741468048", "🔗 Ver Mapa")</f>
        <v>🔗 Ver Mapa</v>
      </c>
    </row>
    <row r="13559" spans="1:12" ht="29" x14ac:dyDescent="0.35">
      <c r="A13559" s="5" t="s">
        <v>2019</v>
      </c>
      <c r="B13559" s="5" t="s">
        <v>2020</v>
      </c>
      <c r="C13559" s="5" t="s">
        <v>2740</v>
      </c>
      <c r="D13559" s="5" t="s">
        <v>76</v>
      </c>
      <c r="E13559" s="5" t="s">
        <v>16</v>
      </c>
      <c r="F13559" s="5" t="s">
        <v>145</v>
      </c>
      <c r="G13559" s="5" t="s">
        <v>2066</v>
      </c>
      <c r="H13559" s="5" t="s">
        <v>2741</v>
      </c>
      <c r="I13559" s="5" t="s">
        <v>31</v>
      </c>
      <c r="J13559" s="5">
        <v>17.668806664464999</v>
      </c>
      <c r="K13559" s="5">
        <v>-97.990937606152002</v>
      </c>
      <c r="L13559" s="5" t="str">
        <f>HYPERLINK("https://maps.google.com/?q=17.668806664465066,-97.99093760615158", "🔗 Ver Mapa")</f>
        <v>🔗 Ver Mapa</v>
      </c>
    </row>
    <row r="13560" spans="1:12" ht="43.5" x14ac:dyDescent="0.35">
      <c r="A13560" s="6" t="s">
        <v>2019</v>
      </c>
      <c r="B13560" s="6" t="s">
        <v>2020</v>
      </c>
      <c r="C13560" s="6" t="s">
        <v>2742</v>
      </c>
      <c r="D13560" s="6" t="s">
        <v>76</v>
      </c>
      <c r="E13560" s="6" t="s">
        <v>52</v>
      </c>
      <c r="F13560" s="6" t="s">
        <v>53</v>
      </c>
      <c r="G13560" s="6" t="s">
        <v>974</v>
      </c>
      <c r="H13560" s="6" t="s">
        <v>2743</v>
      </c>
      <c r="I13560" s="6" t="s">
        <v>31</v>
      </c>
      <c r="J13560" s="6">
        <v>16.898250875287999</v>
      </c>
      <c r="K13560" s="6">
        <v>-96.466917177910005</v>
      </c>
      <c r="L13560" s="6" t="str">
        <f>HYPERLINK("https://maps.google.com/?q=16.898250875287562,-96.46691717790985", "🔗 Ver Mapa")</f>
        <v>🔗 Ver Mapa</v>
      </c>
    </row>
    <row r="13561" spans="1:12" ht="43.5" x14ac:dyDescent="0.35">
      <c r="A13561" s="5" t="s">
        <v>2019</v>
      </c>
      <c r="B13561" s="5" t="s">
        <v>2020</v>
      </c>
      <c r="C13561" s="5" t="s">
        <v>2744</v>
      </c>
      <c r="D13561" s="5" t="s">
        <v>76</v>
      </c>
      <c r="E13561" s="5" t="s">
        <v>90</v>
      </c>
      <c r="F13561" s="5" t="s">
        <v>119</v>
      </c>
      <c r="G13561" s="5" t="s">
        <v>1957</v>
      </c>
      <c r="H13561" s="5" t="s">
        <v>2745</v>
      </c>
      <c r="I13561" s="5" t="s">
        <v>31</v>
      </c>
      <c r="J13561" s="5">
        <v>17.320997232359002</v>
      </c>
      <c r="K13561" s="5">
        <v>-96.569055688326003</v>
      </c>
      <c r="L13561" s="5" t="str">
        <f>HYPERLINK("https://maps.google.com/?q=17.3209972323591,-96.56905568832588", "🔗 Ver Mapa")</f>
        <v>🔗 Ver Mapa</v>
      </c>
    </row>
    <row r="13562" spans="1:12" ht="43.5" x14ac:dyDescent="0.35">
      <c r="A13562" s="6" t="s">
        <v>2019</v>
      </c>
      <c r="B13562" s="6" t="s">
        <v>2020</v>
      </c>
      <c r="C13562" s="6" t="s">
        <v>2746</v>
      </c>
      <c r="D13562" s="6" t="s">
        <v>76</v>
      </c>
      <c r="E13562" s="6" t="s">
        <v>16</v>
      </c>
      <c r="F13562" s="6" t="s">
        <v>409</v>
      </c>
      <c r="G13562" s="6" t="s">
        <v>2657</v>
      </c>
      <c r="H13562" s="6" t="s">
        <v>2747</v>
      </c>
      <c r="I13562" s="6" t="s">
        <v>31</v>
      </c>
      <c r="J13562" s="6">
        <v>17.836311433369001</v>
      </c>
      <c r="K13562" s="6">
        <v>-97.260741072421993</v>
      </c>
      <c r="L13562" s="6" t="str">
        <f>HYPERLINK("https://maps.google.com/?q=17.836311433369037,-97.26074107242202", "🔗 Ver Mapa")</f>
        <v>🔗 Ver Mapa</v>
      </c>
    </row>
    <row r="13563" spans="1:12" ht="43.5" x14ac:dyDescent="0.35">
      <c r="A13563" s="5" t="s">
        <v>2019</v>
      </c>
      <c r="B13563" s="5" t="s">
        <v>2020</v>
      </c>
      <c r="C13563" s="5" t="s">
        <v>2748</v>
      </c>
      <c r="D13563" s="5" t="s">
        <v>76</v>
      </c>
      <c r="E13563" s="5" t="s">
        <v>16</v>
      </c>
      <c r="F13563" s="5" t="s">
        <v>95</v>
      </c>
      <c r="G13563" s="5" t="s">
        <v>1212</v>
      </c>
      <c r="H13563" s="5" t="s">
        <v>2749</v>
      </c>
      <c r="I13563" s="5" t="s">
        <v>31</v>
      </c>
      <c r="J13563" s="5">
        <v>17.848479225457002</v>
      </c>
      <c r="K13563" s="5">
        <v>-97.581942093427998</v>
      </c>
      <c r="L13563" s="5" t="str">
        <f>HYPERLINK("https://maps.google.com/?q=17.84847922545685,-97.58194209342766", "🔗 Ver Mapa")</f>
        <v>🔗 Ver Mapa</v>
      </c>
    </row>
    <row r="13564" spans="1:12" ht="29" x14ac:dyDescent="0.35">
      <c r="A13564" s="6" t="s">
        <v>2019</v>
      </c>
      <c r="B13564" s="6" t="s">
        <v>2020</v>
      </c>
      <c r="C13564" s="6" t="s">
        <v>2750</v>
      </c>
      <c r="D13564" s="6" t="s">
        <v>76</v>
      </c>
      <c r="E13564" s="6" t="s">
        <v>16</v>
      </c>
      <c r="F13564" s="6" t="s">
        <v>409</v>
      </c>
      <c r="G13564" s="6" t="s">
        <v>2496</v>
      </c>
      <c r="H13564" s="6" t="s">
        <v>2497</v>
      </c>
      <c r="I13564" s="6" t="s">
        <v>31</v>
      </c>
      <c r="J13564" s="6">
        <v>17.726745402803999</v>
      </c>
      <c r="K13564" s="6">
        <v>-97.367696359628994</v>
      </c>
      <c r="L13564" s="6" t="str">
        <f>HYPERLINK("https://maps.google.com/?q=17.726745402804372,-97.36769635962868", "🔗 Ver Mapa")</f>
        <v>🔗 Ver Mapa</v>
      </c>
    </row>
    <row r="13565" spans="1:12" ht="43.5" x14ac:dyDescent="0.35">
      <c r="A13565" s="5" t="s">
        <v>2019</v>
      </c>
      <c r="B13565" s="5" t="s">
        <v>2020</v>
      </c>
      <c r="C13565" s="5" t="s">
        <v>2751</v>
      </c>
      <c r="D13565" s="5" t="s">
        <v>76</v>
      </c>
      <c r="E13565" s="5" t="s">
        <v>90</v>
      </c>
      <c r="F13565" s="5" t="s">
        <v>678</v>
      </c>
      <c r="G13565" s="5" t="s">
        <v>1538</v>
      </c>
      <c r="H13565" s="5" t="s">
        <v>2752</v>
      </c>
      <c r="I13565" s="5" t="s">
        <v>31</v>
      </c>
      <c r="J13565" s="5">
        <v>17.221255365554001</v>
      </c>
      <c r="K13565" s="5">
        <v>-96.242224899475005</v>
      </c>
      <c r="L13565" s="5" t="str">
        <f>HYPERLINK("https://maps.google.com/?q=17.22125536555368,-96.24222489947512", "🔗 Ver Mapa")</f>
        <v>🔗 Ver Mapa</v>
      </c>
    </row>
    <row r="13566" spans="1:12" ht="58" x14ac:dyDescent="0.35">
      <c r="A13566" s="6" t="s">
        <v>782</v>
      </c>
      <c r="B13566" s="6" t="s">
        <v>783</v>
      </c>
      <c r="C13566" s="6" t="s">
        <v>2753</v>
      </c>
      <c r="D13566" s="6" t="s">
        <v>785</v>
      </c>
      <c r="E13566" s="6" t="s">
        <v>90</v>
      </c>
      <c r="F13566" s="6" t="s">
        <v>678</v>
      </c>
      <c r="G13566" s="6" t="s">
        <v>2754</v>
      </c>
      <c r="H13566" s="6" t="s">
        <v>2755</v>
      </c>
      <c r="I13566" s="6" t="s">
        <v>31</v>
      </c>
      <c r="J13566" s="6">
        <v>17.146541299999999</v>
      </c>
      <c r="K13566" s="6">
        <v>-96.230631799999998</v>
      </c>
      <c r="L13566" s="6" t="str">
        <f>HYPERLINK("https://maps.google.com/?q=17.1465413,-96.2306318", "🔗 Ver Mapa")</f>
        <v>🔗 Ver Mapa</v>
      </c>
    </row>
    <row r="13567" spans="1:12" ht="58" x14ac:dyDescent="0.35">
      <c r="A13567" s="5" t="s">
        <v>782</v>
      </c>
      <c r="B13567" s="5" t="s">
        <v>783</v>
      </c>
      <c r="C13567" s="5" t="s">
        <v>2756</v>
      </c>
      <c r="D13567" s="5" t="s">
        <v>785</v>
      </c>
      <c r="E13567" s="5" t="s">
        <v>140</v>
      </c>
      <c r="F13567" s="5" t="s">
        <v>141</v>
      </c>
      <c r="G13567" s="5" t="s">
        <v>219</v>
      </c>
      <c r="H13567" s="5" t="s">
        <v>220</v>
      </c>
      <c r="I13567" s="5" t="s">
        <v>31</v>
      </c>
      <c r="J13567" s="5">
        <v>18.066953900000001</v>
      </c>
      <c r="K13567" s="5">
        <v>-96.533176600000004</v>
      </c>
      <c r="L13567" s="5" t="str">
        <f>HYPERLINK("https://maps.google.com/?q=18.0669539,-96.5331766", "🔗 Ver Mapa")</f>
        <v>🔗 Ver Mapa</v>
      </c>
    </row>
    <row r="13568" spans="1:12" ht="58" x14ac:dyDescent="0.35">
      <c r="A13568" s="6" t="s">
        <v>73</v>
      </c>
      <c r="B13568" s="6" t="s">
        <v>74</v>
      </c>
      <c r="C13568" s="6" t="s">
        <v>2757</v>
      </c>
      <c r="D13568" s="6" t="s">
        <v>76</v>
      </c>
      <c r="E13568" s="6" t="s">
        <v>52</v>
      </c>
      <c r="F13568" s="6" t="s">
        <v>83</v>
      </c>
      <c r="G13568" s="6" t="s">
        <v>1574</v>
      </c>
      <c r="H13568" s="6" t="s">
        <v>2758</v>
      </c>
      <c r="I13568" s="6" t="s">
        <v>31</v>
      </c>
      <c r="J13568" s="6">
        <v>17.104589725461999</v>
      </c>
      <c r="K13568" s="6">
        <v>-96.847502618668003</v>
      </c>
      <c r="L13568" s="6" t="str">
        <f>HYPERLINK("https://maps.google.com/?q=17.10458972546177,-96.84750261866785", "🔗 Ver Mapa")</f>
        <v>🔗 Ver Mapa</v>
      </c>
    </row>
    <row r="13569" spans="1:12" ht="43.5" x14ac:dyDescent="0.35">
      <c r="A13569" s="5" t="s">
        <v>73</v>
      </c>
      <c r="B13569" s="5" t="s">
        <v>74</v>
      </c>
      <c r="C13569" s="5" t="s">
        <v>2759</v>
      </c>
      <c r="D13569" s="5" t="s">
        <v>76</v>
      </c>
      <c r="E13569" s="5" t="s">
        <v>110</v>
      </c>
      <c r="F13569" s="5" t="s">
        <v>126</v>
      </c>
      <c r="G13569" s="5" t="s">
        <v>127</v>
      </c>
      <c r="H13569" s="5" t="s">
        <v>2760</v>
      </c>
      <c r="I13569" s="5" t="s">
        <v>31</v>
      </c>
      <c r="J13569" s="5">
        <v>17.923728435499999</v>
      </c>
      <c r="K13569" s="5">
        <v>-96.733555253649001</v>
      </c>
      <c r="L13569" s="5" t="str">
        <f>HYPERLINK("https://maps.google.com/?q=17.923728435499815,-96.73355525364875", "🔗 Ver Mapa")</f>
        <v>🔗 Ver Mapa</v>
      </c>
    </row>
    <row r="13570" spans="1:12" ht="58" x14ac:dyDescent="0.35">
      <c r="A13570" s="6" t="s">
        <v>73</v>
      </c>
      <c r="B13570" s="6" t="s">
        <v>74</v>
      </c>
      <c r="C13570" s="6" t="s">
        <v>2761</v>
      </c>
      <c r="D13570" s="6" t="s">
        <v>76</v>
      </c>
      <c r="E13570" s="6" t="s">
        <v>16</v>
      </c>
      <c r="F13570" s="6" t="s">
        <v>19</v>
      </c>
      <c r="G13570" s="6" t="s">
        <v>1174</v>
      </c>
      <c r="H13570" s="6" t="s">
        <v>2762</v>
      </c>
      <c r="I13570" s="6" t="s">
        <v>31</v>
      </c>
      <c r="J13570" s="6">
        <v>16.962290793070999</v>
      </c>
      <c r="K13570" s="6">
        <v>-97.258041801955997</v>
      </c>
      <c r="L13570" s="6" t="str">
        <f>HYPERLINK("https://maps.google.com/?q=16.962290793070824,-97.25804180195611", "🔗 Ver Mapa")</f>
        <v>🔗 Ver Mapa</v>
      </c>
    </row>
    <row r="13571" spans="1:12" ht="43.5" x14ac:dyDescent="0.35">
      <c r="A13571" s="5" t="s">
        <v>73</v>
      </c>
      <c r="B13571" s="5" t="s">
        <v>74</v>
      </c>
      <c r="C13571" s="5" t="s">
        <v>2763</v>
      </c>
      <c r="D13571" s="5" t="s">
        <v>76</v>
      </c>
      <c r="E13571" s="5" t="s">
        <v>17</v>
      </c>
      <c r="F13571" s="5" t="s">
        <v>59</v>
      </c>
      <c r="G13571" s="5" t="s">
        <v>1296</v>
      </c>
      <c r="H13571" s="5" t="s">
        <v>2404</v>
      </c>
      <c r="I13571" s="5" t="s">
        <v>31</v>
      </c>
      <c r="J13571" s="5">
        <v>16.319973787788999</v>
      </c>
      <c r="K13571" s="5">
        <v>-97.660435647640995</v>
      </c>
      <c r="L13571" s="5" t="str">
        <f>HYPERLINK("https://maps.google.com/?q=16.31997378778936,-97.66043564764068", "🔗 Ver Mapa")</f>
        <v>🔗 Ver Mapa</v>
      </c>
    </row>
    <row r="13572" spans="1:12" ht="43.5" x14ac:dyDescent="0.35">
      <c r="A13572" s="6" t="s">
        <v>73</v>
      </c>
      <c r="B13572" s="6" t="s">
        <v>74</v>
      </c>
      <c r="C13572" s="6" t="s">
        <v>2764</v>
      </c>
      <c r="D13572" s="6" t="s">
        <v>76</v>
      </c>
      <c r="E13572" s="6" t="s">
        <v>90</v>
      </c>
      <c r="F13572" s="6" t="s">
        <v>119</v>
      </c>
      <c r="G13572" s="6" t="s">
        <v>1791</v>
      </c>
      <c r="H13572" s="6" t="s">
        <v>2765</v>
      </c>
      <c r="I13572" s="6" t="s">
        <v>31</v>
      </c>
      <c r="J13572" s="6">
        <v>17.408954027646999</v>
      </c>
      <c r="K13572" s="6">
        <v>-96.691683453322995</v>
      </c>
      <c r="L13572" s="6" t="str">
        <f>HYPERLINK("https://maps.google.com/?q=17.40895402764706,-96.69168345332268", "🔗 Ver Mapa")</f>
        <v>🔗 Ver Mapa</v>
      </c>
    </row>
    <row r="13573" spans="1:12" ht="58" x14ac:dyDescent="0.35">
      <c r="A13573" s="5" t="s">
        <v>73</v>
      </c>
      <c r="B13573" s="5" t="s">
        <v>74</v>
      </c>
      <c r="C13573" s="5" t="s">
        <v>2766</v>
      </c>
      <c r="D13573" s="5" t="s">
        <v>76</v>
      </c>
      <c r="E13573" s="5" t="s">
        <v>16</v>
      </c>
      <c r="F13573" s="5" t="s">
        <v>21</v>
      </c>
      <c r="G13573" s="5" t="s">
        <v>1290</v>
      </c>
      <c r="H13573" s="5" t="s">
        <v>1291</v>
      </c>
      <c r="I13573" s="5" t="s">
        <v>31</v>
      </c>
      <c r="J13573" s="5">
        <v>17.120141652819999</v>
      </c>
      <c r="K13573" s="5">
        <v>-97.785877264801002</v>
      </c>
      <c r="L13573" s="5" t="str">
        <f>HYPERLINK("https://maps.google.com/?q=17.120141652820312,-97.78587726480072", "🔗 Ver Mapa")</f>
        <v>🔗 Ver Mapa</v>
      </c>
    </row>
    <row r="13574" spans="1:12" ht="43.5" x14ac:dyDescent="0.35">
      <c r="A13574" s="6" t="s">
        <v>73</v>
      </c>
      <c r="B13574" s="6" t="s">
        <v>74</v>
      </c>
      <c r="C13574" s="6" t="s">
        <v>2767</v>
      </c>
      <c r="D13574" s="6" t="s">
        <v>76</v>
      </c>
      <c r="E13574" s="6" t="s">
        <v>16</v>
      </c>
      <c r="F13574" s="6" t="s">
        <v>19</v>
      </c>
      <c r="G13574" s="6" t="s">
        <v>479</v>
      </c>
      <c r="H13574" s="6" t="s">
        <v>480</v>
      </c>
      <c r="I13574" s="6" t="s">
        <v>31</v>
      </c>
      <c r="J13574" s="6">
        <v>16.997913922591</v>
      </c>
      <c r="K13574" s="6">
        <v>-97.231492680201001</v>
      </c>
      <c r="L13574" s="6" t="str">
        <f>HYPERLINK("https://maps.google.com/?q=16.99791392259051,-97.23149268020116", "🔗 Ver Mapa")</f>
        <v>🔗 Ver Mapa</v>
      </c>
    </row>
    <row r="13575" spans="1:12" ht="58" x14ac:dyDescent="0.35">
      <c r="A13575" s="5" t="s">
        <v>73</v>
      </c>
      <c r="B13575" s="5" t="s">
        <v>74</v>
      </c>
      <c r="C13575" s="5" t="s">
        <v>2768</v>
      </c>
      <c r="D13575" s="5" t="s">
        <v>76</v>
      </c>
      <c r="E13575" s="5" t="s">
        <v>17</v>
      </c>
      <c r="F13575" s="5" t="s">
        <v>59</v>
      </c>
      <c r="G13575" s="5" t="s">
        <v>1869</v>
      </c>
      <c r="H13575" s="5" t="s">
        <v>1870</v>
      </c>
      <c r="I13575" s="5" t="s">
        <v>31</v>
      </c>
      <c r="J13575" s="5">
        <v>16.451059984301999</v>
      </c>
      <c r="K13575" s="5">
        <v>-98.287418605922994</v>
      </c>
      <c r="L13575" s="5" t="str">
        <f>HYPERLINK("https://maps.google.com/?q=16.451059984301814,-98.28741860592302", "🔗 Ver Mapa")</f>
        <v>🔗 Ver Mapa</v>
      </c>
    </row>
    <row r="13576" spans="1:12" ht="72.5" x14ac:dyDescent="0.35">
      <c r="A13576" s="6" t="s">
        <v>73</v>
      </c>
      <c r="B13576" s="6" t="s">
        <v>74</v>
      </c>
      <c r="C13576" s="6" t="s">
        <v>2769</v>
      </c>
      <c r="D13576" s="6" t="s">
        <v>76</v>
      </c>
      <c r="E13576" s="6" t="s">
        <v>16</v>
      </c>
      <c r="F13576" s="6" t="s">
        <v>145</v>
      </c>
      <c r="G13576" s="6" t="s">
        <v>1863</v>
      </c>
      <c r="H13576" s="6" t="s">
        <v>2770</v>
      </c>
      <c r="I13576" s="6" t="s">
        <v>31</v>
      </c>
      <c r="J13576" s="6">
        <v>17.57946985968</v>
      </c>
      <c r="K13576" s="6">
        <v>-97.888756757343998</v>
      </c>
      <c r="L13576" s="6" t="str">
        <f>HYPERLINK("https://maps.google.com/?q=17.57946985967963,-97.88875675734404", "🔗 Ver Mapa")</f>
        <v>🔗 Ver Mapa</v>
      </c>
    </row>
    <row r="13577" spans="1:12" ht="58" x14ac:dyDescent="0.35">
      <c r="A13577" s="5" t="s">
        <v>73</v>
      </c>
      <c r="B13577" s="5" t="s">
        <v>74</v>
      </c>
      <c r="C13577" s="5" t="s">
        <v>2771</v>
      </c>
      <c r="D13577" s="5" t="s">
        <v>76</v>
      </c>
      <c r="E13577" s="5" t="s">
        <v>90</v>
      </c>
      <c r="F13577" s="5" t="s">
        <v>119</v>
      </c>
      <c r="G13577" s="5" t="s">
        <v>2085</v>
      </c>
      <c r="H13577" s="5" t="s">
        <v>2086</v>
      </c>
      <c r="I13577" s="5" t="s">
        <v>31</v>
      </c>
      <c r="J13577" s="5">
        <v>17.365373185090998</v>
      </c>
      <c r="K13577" s="5">
        <v>-96.528685693013003</v>
      </c>
      <c r="L13577" s="5" t="str">
        <f>HYPERLINK("https://maps.google.com/?q=17.36537318509107,-96.52868569301293", "🔗 Ver Mapa")</f>
        <v>🔗 Ver Mapa</v>
      </c>
    </row>
    <row r="13578" spans="1:12" ht="58" x14ac:dyDescent="0.35">
      <c r="A13578" s="6" t="s">
        <v>73</v>
      </c>
      <c r="B13578" s="6" t="s">
        <v>74</v>
      </c>
      <c r="C13578" s="6" t="s">
        <v>2772</v>
      </c>
      <c r="D13578" s="6" t="s">
        <v>76</v>
      </c>
      <c r="E13578" s="6" t="s">
        <v>16</v>
      </c>
      <c r="F13578" s="6" t="s">
        <v>95</v>
      </c>
      <c r="G13578" s="6" t="s">
        <v>1850</v>
      </c>
      <c r="H13578" s="6" t="s">
        <v>2773</v>
      </c>
      <c r="I13578" s="6" t="s">
        <v>31</v>
      </c>
      <c r="J13578" s="6">
        <v>17.542060798763998</v>
      </c>
      <c r="K13578" s="6">
        <v>-97.621347709115</v>
      </c>
      <c r="L13578" s="6" t="str">
        <f>HYPERLINK("https://maps.google.com/?q=17.542060798763973,-97.62134770911487", "🔗 Ver Mapa")</f>
        <v>🔗 Ver Mapa</v>
      </c>
    </row>
    <row r="13579" spans="1:12" ht="43.5" x14ac:dyDescent="0.35">
      <c r="A13579" s="5" t="s">
        <v>321</v>
      </c>
      <c r="B13579" s="5" t="s">
        <v>322</v>
      </c>
      <c r="C13579" s="5" t="s">
        <v>2774</v>
      </c>
      <c r="D13579" s="5" t="s">
        <v>69</v>
      </c>
      <c r="E13579" s="5" t="s">
        <v>324</v>
      </c>
      <c r="F13579" s="5" t="s">
        <v>325</v>
      </c>
      <c r="G13579" s="5" t="s">
        <v>326</v>
      </c>
      <c r="H13579" s="5" t="s">
        <v>327</v>
      </c>
      <c r="I13579" s="5" t="s">
        <v>31</v>
      </c>
      <c r="J13579" s="5">
        <v>15.746143999999999</v>
      </c>
      <c r="K13579" s="5">
        <v>-96.465182999999996</v>
      </c>
      <c r="L13579" s="5" t="str">
        <f>HYPERLINK("https://maps.google.com/?q=15.746144,-96.465182999999996", "🔗 Ver Mapa")</f>
        <v>🔗 Ver Mapa</v>
      </c>
    </row>
    <row r="13580" spans="1:12" ht="43.5" x14ac:dyDescent="0.35">
      <c r="A13580" s="6" t="s">
        <v>321</v>
      </c>
      <c r="B13580" s="6" t="s">
        <v>322</v>
      </c>
      <c r="C13580" s="6" t="s">
        <v>2774</v>
      </c>
      <c r="D13580" s="6" t="s">
        <v>69</v>
      </c>
      <c r="E13580" s="6" t="s">
        <v>324</v>
      </c>
      <c r="F13580" s="6" t="s">
        <v>325</v>
      </c>
      <c r="G13580" s="6" t="s">
        <v>326</v>
      </c>
      <c r="H13580" s="6" t="s">
        <v>327</v>
      </c>
      <c r="I13580" s="6" t="s">
        <v>31</v>
      </c>
      <c r="J13580" s="6">
        <v>16.237075999999998</v>
      </c>
      <c r="K13580" s="6">
        <v>-97.292351999999994</v>
      </c>
      <c r="L13580" s="6" t="str">
        <f>HYPERLINK("https://maps.google.com/?q=16.237076,-97.292351999999994", "🔗 Ver Mapa")</f>
        <v>🔗 Ver Mapa</v>
      </c>
    </row>
    <row r="13581" spans="1:12" ht="43.5" x14ac:dyDescent="0.35">
      <c r="A13581" s="5" t="s">
        <v>321</v>
      </c>
      <c r="B13581" s="5" t="s">
        <v>322</v>
      </c>
      <c r="C13581" s="5" t="s">
        <v>2774</v>
      </c>
      <c r="D13581" s="5" t="s">
        <v>69</v>
      </c>
      <c r="E13581" s="5" t="s">
        <v>324</v>
      </c>
      <c r="F13581" s="5" t="s">
        <v>325</v>
      </c>
      <c r="G13581" s="5" t="s">
        <v>326</v>
      </c>
      <c r="H13581" s="5" t="s">
        <v>327</v>
      </c>
      <c r="I13581" s="5" t="s">
        <v>31</v>
      </c>
      <c r="J13581" s="5">
        <v>16.332014000000001</v>
      </c>
      <c r="K13581" s="5">
        <v>-95.231966</v>
      </c>
      <c r="L13581" s="5" t="str">
        <f>HYPERLINK("https://maps.google.com/?q=16.332014,-95.231966", "🔗 Ver Mapa")</f>
        <v>🔗 Ver Mapa</v>
      </c>
    </row>
    <row r="13582" spans="1:12" ht="43.5" x14ac:dyDescent="0.35">
      <c r="A13582" s="6" t="s">
        <v>321</v>
      </c>
      <c r="B13582" s="6" t="s">
        <v>322</v>
      </c>
      <c r="C13582" s="6" t="s">
        <v>2774</v>
      </c>
      <c r="D13582" s="6" t="s">
        <v>69</v>
      </c>
      <c r="E13582" s="6" t="s">
        <v>324</v>
      </c>
      <c r="F13582" s="6" t="s">
        <v>325</v>
      </c>
      <c r="G13582" s="6" t="s">
        <v>326</v>
      </c>
      <c r="H13582" s="6" t="s">
        <v>327</v>
      </c>
      <c r="I13582" s="6" t="s">
        <v>31</v>
      </c>
      <c r="J13582" s="6">
        <v>16.433347000000001</v>
      </c>
      <c r="K13582" s="6">
        <v>-95.021687</v>
      </c>
      <c r="L13582" s="6" t="str">
        <f>HYPERLINK("https://maps.google.com/?q=16.433347,-95.021687", "🔗 Ver Mapa")</f>
        <v>🔗 Ver Mapa</v>
      </c>
    </row>
    <row r="13583" spans="1:12" ht="43.5" x14ac:dyDescent="0.35">
      <c r="A13583" s="5" t="s">
        <v>321</v>
      </c>
      <c r="B13583" s="5" t="s">
        <v>322</v>
      </c>
      <c r="C13583" s="5" t="s">
        <v>2774</v>
      </c>
      <c r="D13583" s="5" t="s">
        <v>69</v>
      </c>
      <c r="E13583" s="5" t="s">
        <v>324</v>
      </c>
      <c r="F13583" s="5" t="s">
        <v>325</v>
      </c>
      <c r="G13583" s="5" t="s">
        <v>326</v>
      </c>
      <c r="H13583" s="5" t="s">
        <v>327</v>
      </c>
      <c r="I13583" s="5" t="s">
        <v>31</v>
      </c>
      <c r="J13583" s="5">
        <v>16.519807</v>
      </c>
      <c r="K13583" s="5">
        <v>-96.983885000000001</v>
      </c>
      <c r="L13583" s="5" t="str">
        <f>HYPERLINK("https://maps.google.com/?q=16.519807,-96.983885000000001", "🔗 Ver Mapa")</f>
        <v>🔗 Ver Mapa</v>
      </c>
    </row>
    <row r="13584" spans="1:12" ht="43.5" x14ac:dyDescent="0.35">
      <c r="A13584" s="6" t="s">
        <v>321</v>
      </c>
      <c r="B13584" s="6" t="s">
        <v>322</v>
      </c>
      <c r="C13584" s="6" t="s">
        <v>2774</v>
      </c>
      <c r="D13584" s="6" t="s">
        <v>69</v>
      </c>
      <c r="E13584" s="6" t="s">
        <v>324</v>
      </c>
      <c r="F13584" s="6" t="s">
        <v>325</v>
      </c>
      <c r="G13584" s="6" t="s">
        <v>326</v>
      </c>
      <c r="H13584" s="6" t="s">
        <v>327</v>
      </c>
      <c r="I13584" s="6" t="s">
        <v>31</v>
      </c>
      <c r="J13584" s="6">
        <v>16.564243999999999</v>
      </c>
      <c r="K13584" s="6">
        <v>-96.731829000000005</v>
      </c>
      <c r="L13584" s="6" t="str">
        <f>HYPERLINK("https://maps.google.com/?q=16.564244,-96.731829000000005", "🔗 Ver Mapa")</f>
        <v>🔗 Ver Mapa</v>
      </c>
    </row>
    <row r="13585" spans="1:12" ht="43.5" x14ac:dyDescent="0.35">
      <c r="A13585" s="5" t="s">
        <v>321</v>
      </c>
      <c r="B13585" s="5" t="s">
        <v>322</v>
      </c>
      <c r="C13585" s="5" t="s">
        <v>2774</v>
      </c>
      <c r="D13585" s="5" t="s">
        <v>69</v>
      </c>
      <c r="E13585" s="5" t="s">
        <v>324</v>
      </c>
      <c r="F13585" s="5" t="s">
        <v>325</v>
      </c>
      <c r="G13585" s="5" t="s">
        <v>326</v>
      </c>
      <c r="H13585" s="5" t="s">
        <v>327</v>
      </c>
      <c r="I13585" s="5" t="s">
        <v>31</v>
      </c>
      <c r="J13585" s="5">
        <v>16.866371000000001</v>
      </c>
      <c r="K13585" s="5">
        <v>-96.785623000000001</v>
      </c>
      <c r="L13585" s="5" t="str">
        <f>HYPERLINK("https://maps.google.com/?q=16.866371,-96.785623000000001", "🔗 Ver Mapa")</f>
        <v>🔗 Ver Mapa</v>
      </c>
    </row>
    <row r="13586" spans="1:12" ht="43.5" x14ac:dyDescent="0.35">
      <c r="A13586" s="6" t="s">
        <v>321</v>
      </c>
      <c r="B13586" s="6" t="s">
        <v>322</v>
      </c>
      <c r="C13586" s="6" t="s">
        <v>2774</v>
      </c>
      <c r="D13586" s="6" t="s">
        <v>69</v>
      </c>
      <c r="E13586" s="6" t="s">
        <v>324</v>
      </c>
      <c r="F13586" s="6" t="s">
        <v>325</v>
      </c>
      <c r="G13586" s="6" t="s">
        <v>326</v>
      </c>
      <c r="H13586" s="6" t="s">
        <v>327</v>
      </c>
      <c r="I13586" s="6" t="s">
        <v>31</v>
      </c>
      <c r="J13586" s="6">
        <v>16.955580000000001</v>
      </c>
      <c r="K13586" s="6">
        <v>-96.479206000000005</v>
      </c>
      <c r="L13586" s="6" t="str">
        <f>HYPERLINK("https://maps.google.com/?q=16.95558,-96.479206000000005", "🔗 Ver Mapa")</f>
        <v>🔗 Ver Mapa</v>
      </c>
    </row>
    <row r="13587" spans="1:12" ht="43.5" x14ac:dyDescent="0.35">
      <c r="A13587" s="5" t="s">
        <v>321</v>
      </c>
      <c r="B13587" s="5" t="s">
        <v>322</v>
      </c>
      <c r="C13587" s="5" t="s">
        <v>2774</v>
      </c>
      <c r="D13587" s="5" t="s">
        <v>69</v>
      </c>
      <c r="E13587" s="5" t="s">
        <v>324</v>
      </c>
      <c r="F13587" s="5" t="s">
        <v>325</v>
      </c>
      <c r="G13587" s="5" t="s">
        <v>326</v>
      </c>
      <c r="H13587" s="5" t="s">
        <v>327</v>
      </c>
      <c r="I13587" s="5" t="s">
        <v>31</v>
      </c>
      <c r="J13587" s="5">
        <v>17.026216000000002</v>
      </c>
      <c r="K13587" s="5">
        <v>-97.928115000000005</v>
      </c>
      <c r="L13587" s="5" t="str">
        <f>HYPERLINK("https://maps.google.com/?q=17.026216,-97.928115000000005", "🔗 Ver Mapa")</f>
        <v>🔗 Ver Mapa</v>
      </c>
    </row>
    <row r="13588" spans="1:12" ht="43.5" x14ac:dyDescent="0.35">
      <c r="A13588" s="6" t="s">
        <v>321</v>
      </c>
      <c r="B13588" s="6" t="s">
        <v>322</v>
      </c>
      <c r="C13588" s="6" t="s">
        <v>2774</v>
      </c>
      <c r="D13588" s="6" t="s">
        <v>69</v>
      </c>
      <c r="E13588" s="6" t="s">
        <v>324</v>
      </c>
      <c r="F13588" s="6" t="s">
        <v>325</v>
      </c>
      <c r="G13588" s="6" t="s">
        <v>326</v>
      </c>
      <c r="H13588" s="6" t="s">
        <v>327</v>
      </c>
      <c r="I13588" s="6" t="s">
        <v>31</v>
      </c>
      <c r="J13588" s="6">
        <v>17.048821799801001</v>
      </c>
      <c r="K13588" s="6">
        <v>-96.727758313297997</v>
      </c>
      <c r="L13588" s="6" t="str">
        <f>HYPERLINK("https://maps.google.com/?q=17.04882179980103,-96.72775831329831", "🔗 Ver Mapa")</f>
        <v>🔗 Ver Mapa</v>
      </c>
    </row>
    <row r="13589" spans="1:12" ht="43.5" x14ac:dyDescent="0.35">
      <c r="A13589" s="5" t="s">
        <v>321</v>
      </c>
      <c r="B13589" s="5" t="s">
        <v>322</v>
      </c>
      <c r="C13589" s="5" t="s">
        <v>2774</v>
      </c>
      <c r="D13589" s="5" t="s">
        <v>69</v>
      </c>
      <c r="E13589" s="5" t="s">
        <v>324</v>
      </c>
      <c r="F13589" s="5" t="s">
        <v>325</v>
      </c>
      <c r="G13589" s="5" t="s">
        <v>326</v>
      </c>
      <c r="H13589" s="5" t="s">
        <v>327</v>
      </c>
      <c r="I13589" s="5" t="s">
        <v>31</v>
      </c>
      <c r="J13589" s="5">
        <v>17.063777999999999</v>
      </c>
      <c r="K13589" s="5">
        <v>-96.729971000000006</v>
      </c>
      <c r="L13589" s="5" t="str">
        <f>HYPERLINK("https://maps.google.com/?q=17.063778,-96.729971000000006", "🔗 Ver Mapa")</f>
        <v>🔗 Ver Mapa</v>
      </c>
    </row>
    <row r="13590" spans="1:12" ht="43.5" x14ac:dyDescent="0.35">
      <c r="A13590" s="6" t="s">
        <v>321</v>
      </c>
      <c r="B13590" s="6" t="s">
        <v>322</v>
      </c>
      <c r="C13590" s="6" t="s">
        <v>2774</v>
      </c>
      <c r="D13590" s="6" t="s">
        <v>69</v>
      </c>
      <c r="E13590" s="6" t="s">
        <v>324</v>
      </c>
      <c r="F13590" s="6" t="s">
        <v>325</v>
      </c>
      <c r="G13590" s="6" t="s">
        <v>326</v>
      </c>
      <c r="H13590" s="6" t="s">
        <v>327</v>
      </c>
      <c r="I13590" s="6" t="s">
        <v>31</v>
      </c>
      <c r="J13590" s="6">
        <v>17.267448999999999</v>
      </c>
      <c r="K13590" s="6">
        <v>-97.680485000000004</v>
      </c>
      <c r="L13590" s="6" t="str">
        <f>HYPERLINK("https://maps.google.com/?q=17.267449,-97.680485000000004", "🔗 Ver Mapa")</f>
        <v>🔗 Ver Mapa</v>
      </c>
    </row>
    <row r="13591" spans="1:12" ht="43.5" x14ac:dyDescent="0.35">
      <c r="A13591" s="5" t="s">
        <v>321</v>
      </c>
      <c r="B13591" s="5" t="s">
        <v>322</v>
      </c>
      <c r="C13591" s="5" t="s">
        <v>2774</v>
      </c>
      <c r="D13591" s="5" t="s">
        <v>69</v>
      </c>
      <c r="E13591" s="5" t="s">
        <v>324</v>
      </c>
      <c r="F13591" s="5" t="s">
        <v>325</v>
      </c>
      <c r="G13591" s="5" t="s">
        <v>326</v>
      </c>
      <c r="H13591" s="5" t="s">
        <v>327</v>
      </c>
      <c r="I13591" s="5" t="s">
        <v>31</v>
      </c>
      <c r="J13591" s="5">
        <v>17.331247999999999</v>
      </c>
      <c r="K13591" s="5">
        <v>-96.487900999999994</v>
      </c>
      <c r="L13591" s="5" t="str">
        <f>HYPERLINK("https://maps.google.com/?q=17.331248,-96.487900999999994", "🔗 Ver Mapa")</f>
        <v>🔗 Ver Mapa</v>
      </c>
    </row>
    <row r="13592" spans="1:12" ht="43.5" x14ac:dyDescent="0.35">
      <c r="A13592" s="6" t="s">
        <v>321</v>
      </c>
      <c r="B13592" s="6" t="s">
        <v>322</v>
      </c>
      <c r="C13592" s="6" t="s">
        <v>2774</v>
      </c>
      <c r="D13592" s="6" t="s">
        <v>69</v>
      </c>
      <c r="E13592" s="6" t="s">
        <v>324</v>
      </c>
      <c r="F13592" s="6" t="s">
        <v>325</v>
      </c>
      <c r="G13592" s="6" t="s">
        <v>326</v>
      </c>
      <c r="H13592" s="6" t="s">
        <v>327</v>
      </c>
      <c r="I13592" s="6" t="s">
        <v>31</v>
      </c>
      <c r="J13592" s="6">
        <v>17.335315999999999</v>
      </c>
      <c r="K13592" s="6">
        <v>-98.012051</v>
      </c>
      <c r="L13592" s="6" t="str">
        <f>HYPERLINK("https://maps.google.com/?q=17.335316,-98.012051", "🔗 Ver Mapa")</f>
        <v>🔗 Ver Mapa</v>
      </c>
    </row>
    <row r="13593" spans="1:12" ht="43.5" x14ac:dyDescent="0.35">
      <c r="A13593" s="5" t="s">
        <v>321</v>
      </c>
      <c r="B13593" s="5" t="s">
        <v>322</v>
      </c>
      <c r="C13593" s="5" t="s">
        <v>2774</v>
      </c>
      <c r="D13593" s="5" t="s">
        <v>69</v>
      </c>
      <c r="E13593" s="5" t="s">
        <v>324</v>
      </c>
      <c r="F13593" s="5" t="s">
        <v>325</v>
      </c>
      <c r="G13593" s="5" t="s">
        <v>326</v>
      </c>
      <c r="H13593" s="5" t="s">
        <v>327</v>
      </c>
      <c r="I13593" s="5" t="s">
        <v>31</v>
      </c>
      <c r="J13593" s="5">
        <v>17.458341000000001</v>
      </c>
      <c r="K13593" s="5">
        <v>-97.225285</v>
      </c>
      <c r="L13593" s="5" t="str">
        <f>HYPERLINK("https://maps.google.com/?q=17.458341,-97.225285", "🔗 Ver Mapa")</f>
        <v>🔗 Ver Mapa</v>
      </c>
    </row>
    <row r="13594" spans="1:12" ht="43.5" x14ac:dyDescent="0.35">
      <c r="A13594" s="6" t="s">
        <v>321</v>
      </c>
      <c r="B13594" s="6" t="s">
        <v>322</v>
      </c>
      <c r="C13594" s="6" t="s">
        <v>2774</v>
      </c>
      <c r="D13594" s="6" t="s">
        <v>69</v>
      </c>
      <c r="E13594" s="6" t="s">
        <v>324</v>
      </c>
      <c r="F13594" s="6" t="s">
        <v>325</v>
      </c>
      <c r="G13594" s="6" t="s">
        <v>326</v>
      </c>
      <c r="H13594" s="6" t="s">
        <v>327</v>
      </c>
      <c r="I13594" s="6" t="s">
        <v>31</v>
      </c>
      <c r="J13594" s="6">
        <v>17.806621</v>
      </c>
      <c r="K13594" s="6">
        <v>-97.776161999999999</v>
      </c>
      <c r="L13594" s="6" t="str">
        <f>HYPERLINK("https://maps.google.com/?q=17.806621,-97.776161999999999", "🔗 Ver Mapa")</f>
        <v>🔗 Ver Mapa</v>
      </c>
    </row>
    <row r="13595" spans="1:12" ht="43.5" x14ac:dyDescent="0.35">
      <c r="A13595" s="5" t="s">
        <v>321</v>
      </c>
      <c r="B13595" s="5" t="s">
        <v>322</v>
      </c>
      <c r="C13595" s="5" t="s">
        <v>2774</v>
      </c>
      <c r="D13595" s="5" t="s">
        <v>69</v>
      </c>
      <c r="E13595" s="5" t="s">
        <v>324</v>
      </c>
      <c r="F13595" s="5" t="s">
        <v>325</v>
      </c>
      <c r="G13595" s="5" t="s">
        <v>326</v>
      </c>
      <c r="H13595" s="5" t="s">
        <v>327</v>
      </c>
      <c r="I13595" s="5" t="s">
        <v>31</v>
      </c>
      <c r="J13595" s="5">
        <v>18.081168999999999</v>
      </c>
      <c r="K13595" s="5">
        <v>-96.118475000000004</v>
      </c>
      <c r="L13595" s="5" t="str">
        <f>HYPERLINK("https://maps.google.com/?q=18.081169,-96.118475000000004", "🔗 Ver Mapa")</f>
        <v>🔗 Ver Mapa</v>
      </c>
    </row>
    <row r="13596" spans="1:12" ht="43.5" x14ac:dyDescent="0.35">
      <c r="A13596" s="6" t="s">
        <v>321</v>
      </c>
      <c r="B13596" s="6" t="s">
        <v>322</v>
      </c>
      <c r="C13596" s="6" t="s">
        <v>2774</v>
      </c>
      <c r="D13596" s="6" t="s">
        <v>69</v>
      </c>
      <c r="E13596" s="6" t="s">
        <v>324</v>
      </c>
      <c r="F13596" s="6" t="s">
        <v>325</v>
      </c>
      <c r="G13596" s="6" t="s">
        <v>326</v>
      </c>
      <c r="H13596" s="6" t="s">
        <v>327</v>
      </c>
      <c r="I13596" s="6" t="s">
        <v>31</v>
      </c>
      <c r="J13596" s="6">
        <v>18.13222</v>
      </c>
      <c r="K13596" s="6">
        <v>-97.070751000000001</v>
      </c>
      <c r="L13596" s="6" t="str">
        <f>HYPERLINK("https://maps.google.com/?q=18.13222,-97.070751000000001", "🔗 Ver Mapa")</f>
        <v>🔗 Ver Mapa</v>
      </c>
    </row>
    <row r="13597" spans="1:12" ht="29" x14ac:dyDescent="0.35">
      <c r="A13597" s="5" t="s">
        <v>339</v>
      </c>
      <c r="B13597" s="5" t="s">
        <v>340</v>
      </c>
      <c r="C13597" s="5" t="s">
        <v>2775</v>
      </c>
      <c r="D13597" s="5" t="s">
        <v>342</v>
      </c>
      <c r="E13597" s="5" t="s">
        <v>52</v>
      </c>
      <c r="F13597" s="5" t="s">
        <v>70</v>
      </c>
      <c r="G13597" s="5" t="s">
        <v>71</v>
      </c>
      <c r="H13597" s="5" t="s">
        <v>72</v>
      </c>
      <c r="I13597" s="5" t="s">
        <v>31</v>
      </c>
      <c r="J13597" s="5">
        <v>17.068498000000002</v>
      </c>
      <c r="K13597" s="5" t="s">
        <v>2525</v>
      </c>
      <c r="L13597" s="5" t="str">
        <f>HYPERLINK("https://maps.google.com/?q=17.068498,-96.720205 ", "🔗 Ver Mapa")</f>
        <v>🔗 Ver Mapa</v>
      </c>
    </row>
    <row r="13598" spans="1:12" ht="29" x14ac:dyDescent="0.35">
      <c r="A13598" s="6" t="s">
        <v>339</v>
      </c>
      <c r="B13598" s="6" t="s">
        <v>340</v>
      </c>
      <c r="C13598" s="6" t="s">
        <v>2776</v>
      </c>
      <c r="D13598" s="6" t="s">
        <v>342</v>
      </c>
      <c r="E13598" s="6" t="s">
        <v>140</v>
      </c>
      <c r="F13598" s="6" t="s">
        <v>141</v>
      </c>
      <c r="G13598" s="6" t="s">
        <v>604</v>
      </c>
      <c r="H13598" s="6" t="s">
        <v>1197</v>
      </c>
      <c r="I13598" s="6" t="s">
        <v>31</v>
      </c>
      <c r="J13598" s="6">
        <v>18.057535999999999</v>
      </c>
      <c r="K13598" s="6">
        <v>-96.397848999999994</v>
      </c>
      <c r="L13598" s="6" t="str">
        <f>HYPERLINK("https://maps.google.com/?q=18.057536,-96.397849", "🔗 Ver Mapa")</f>
        <v>🔗 Ver Mapa</v>
      </c>
    </row>
    <row r="13599" spans="1:12" ht="43.5" x14ac:dyDescent="0.35">
      <c r="A13599" s="5" t="s">
        <v>1647</v>
      </c>
      <c r="B13599" s="5" t="s">
        <v>1648</v>
      </c>
      <c r="C13599" s="5" t="s">
        <v>2777</v>
      </c>
      <c r="D13599" s="5" t="s">
        <v>600</v>
      </c>
      <c r="E13599" s="5" t="s">
        <v>52</v>
      </c>
      <c r="F13599" s="5" t="s">
        <v>70</v>
      </c>
      <c r="G13599" s="5" t="s">
        <v>71</v>
      </c>
      <c r="H13599" s="5" t="s">
        <v>72</v>
      </c>
      <c r="I13599" s="5" t="s">
        <v>31</v>
      </c>
      <c r="J13599" s="5">
        <v>17.081623</v>
      </c>
      <c r="K13599" s="5">
        <v>-96.746663999999996</v>
      </c>
      <c r="L13599" s="5" t="str">
        <f>HYPERLINK("https://maps.google.com/?q=17.081623,-96.746664", "🔗 Ver Mapa")</f>
        <v>🔗 Ver Mapa</v>
      </c>
    </row>
    <row r="13600" spans="1:12" ht="29" x14ac:dyDescent="0.35">
      <c r="A13600" s="6" t="s">
        <v>339</v>
      </c>
      <c r="B13600" s="6" t="s">
        <v>340</v>
      </c>
      <c r="C13600" s="6" t="s">
        <v>2778</v>
      </c>
      <c r="D13600" s="6" t="s">
        <v>342</v>
      </c>
      <c r="E13600" s="6" t="s">
        <v>39</v>
      </c>
      <c r="F13600" s="6" t="s">
        <v>353</v>
      </c>
      <c r="G13600" s="6" t="s">
        <v>742</v>
      </c>
      <c r="H13600" s="6" t="s">
        <v>2779</v>
      </c>
      <c r="I13600" s="6" t="s">
        <v>31</v>
      </c>
      <c r="J13600" s="6">
        <v>16.169341899999999</v>
      </c>
      <c r="K13600" s="6">
        <v>-96.500431300000002</v>
      </c>
      <c r="L13600" s="6" t="str">
        <f>HYPERLINK("https://maps.google.com/?q=16.1693419,-96.5004313", "🔗 Ver Mapa")</f>
        <v>🔗 Ver Mapa</v>
      </c>
    </row>
    <row r="13601" spans="1:12" ht="43.5" x14ac:dyDescent="0.35">
      <c r="A13601" s="5" t="s">
        <v>333</v>
      </c>
      <c r="B13601" s="5" t="s">
        <v>334</v>
      </c>
      <c r="C13601" s="5" t="s">
        <v>2780</v>
      </c>
      <c r="D13601" s="5" t="s">
        <v>336</v>
      </c>
      <c r="E13601" s="5" t="s">
        <v>52</v>
      </c>
      <c r="F13601" s="5" t="s">
        <v>70</v>
      </c>
      <c r="G13601" s="5" t="s">
        <v>71</v>
      </c>
      <c r="H13601" s="5" t="s">
        <v>72</v>
      </c>
      <c r="I13601" s="5" t="s">
        <v>31</v>
      </c>
      <c r="J13601" s="5">
        <v>17.071544120502999</v>
      </c>
      <c r="K13601" s="5">
        <v>-96.715912270784997</v>
      </c>
      <c r="L13601" s="5" t="str">
        <f>HYPERLINK("https://maps.google.com/?q=17.0715441205034,-96.71591227078505", "🔗 Ver Mapa")</f>
        <v>🔗 Ver Mapa</v>
      </c>
    </row>
    <row r="13602" spans="1:12" ht="58" x14ac:dyDescent="0.35">
      <c r="A13602" s="6" t="s">
        <v>2781</v>
      </c>
      <c r="B13602" s="6" t="s">
        <v>2782</v>
      </c>
      <c r="C13602" s="6" t="s">
        <v>2783</v>
      </c>
      <c r="D13602" s="6" t="s">
        <v>950</v>
      </c>
      <c r="E13602" s="6" t="s">
        <v>140</v>
      </c>
      <c r="F13602" s="6" t="s">
        <v>141</v>
      </c>
      <c r="G13602" s="6" t="s">
        <v>430</v>
      </c>
      <c r="H13602" s="6" t="s">
        <v>431</v>
      </c>
      <c r="I13602" s="6" t="s">
        <v>31</v>
      </c>
      <c r="J13602" s="6">
        <v>17.676680000000001</v>
      </c>
      <c r="K13602" s="6">
        <v>-96.133302</v>
      </c>
      <c r="L13602" s="6" t="str">
        <f>HYPERLINK("https://maps.google.com/?q=17.67668,-96.133302", "🔗 Ver Mapa")</f>
        <v>🔗 Ver Mapa</v>
      </c>
    </row>
    <row r="13603" spans="1:12" ht="58" x14ac:dyDescent="0.35">
      <c r="A13603" s="5" t="s">
        <v>2781</v>
      </c>
      <c r="B13603" s="5" t="s">
        <v>2782</v>
      </c>
      <c r="C13603" s="5" t="s">
        <v>2784</v>
      </c>
      <c r="D13603" s="5" t="s">
        <v>950</v>
      </c>
      <c r="E13603" s="5" t="s">
        <v>52</v>
      </c>
      <c r="F13603" s="5" t="s">
        <v>443</v>
      </c>
      <c r="G13603" s="5" t="s">
        <v>2451</v>
      </c>
      <c r="H13603" s="5" t="s">
        <v>2452</v>
      </c>
      <c r="I13603" s="5" t="s">
        <v>31</v>
      </c>
      <c r="J13603" s="5">
        <v>16.896861000000001</v>
      </c>
      <c r="K13603" s="5">
        <v>-96.766546000000005</v>
      </c>
      <c r="L13603" s="5" t="str">
        <f>HYPERLINK("https://maps.google.com/?q=16.896861,-96.766546", "🔗 Ver Mapa")</f>
        <v>🔗 Ver Mapa</v>
      </c>
    </row>
    <row r="13604" spans="1:12" ht="58" x14ac:dyDescent="0.35">
      <c r="A13604" s="6" t="s">
        <v>2781</v>
      </c>
      <c r="B13604" s="6" t="s">
        <v>2782</v>
      </c>
      <c r="C13604" s="6" t="s">
        <v>2785</v>
      </c>
      <c r="D13604" s="6" t="s">
        <v>950</v>
      </c>
      <c r="E13604" s="6" t="s">
        <v>90</v>
      </c>
      <c r="F13604" s="6" t="s">
        <v>91</v>
      </c>
      <c r="G13604" s="6" t="s">
        <v>232</v>
      </c>
      <c r="H13604" s="6" t="s">
        <v>233</v>
      </c>
      <c r="I13604" s="6" t="s">
        <v>31</v>
      </c>
      <c r="J13604" s="6">
        <v>17.055140000000002</v>
      </c>
      <c r="K13604" s="6">
        <v>-96.065353000000002</v>
      </c>
      <c r="L13604" s="6" t="str">
        <f>HYPERLINK("https://maps.google.com/?q=17.05514,-96.065353", "🔗 Ver Mapa")</f>
        <v>🔗 Ver Mapa</v>
      </c>
    </row>
    <row r="13605" spans="1:12" ht="58" x14ac:dyDescent="0.35">
      <c r="A13605" s="5" t="s">
        <v>2781</v>
      </c>
      <c r="B13605" s="5" t="s">
        <v>2782</v>
      </c>
      <c r="C13605" s="5" t="s">
        <v>2786</v>
      </c>
      <c r="D13605" s="5" t="s">
        <v>950</v>
      </c>
      <c r="E13605" s="5" t="s">
        <v>90</v>
      </c>
      <c r="F13605" s="5" t="s">
        <v>119</v>
      </c>
      <c r="G13605" s="5" t="s">
        <v>350</v>
      </c>
      <c r="H13605" s="5" t="s">
        <v>351</v>
      </c>
      <c r="I13605" s="5" t="s">
        <v>31</v>
      </c>
      <c r="J13605" s="5">
        <v>17.318033</v>
      </c>
      <c r="K13605" s="5">
        <v>-96.493690000000001</v>
      </c>
      <c r="L13605" s="5" t="str">
        <f>HYPERLINK("https://maps.google.com/?q=17.318033,-96.49369", "🔗 Ver Mapa")</f>
        <v>🔗 Ver Mapa</v>
      </c>
    </row>
    <row r="13606" spans="1:12" ht="58" x14ac:dyDescent="0.35">
      <c r="A13606" s="6" t="s">
        <v>2781</v>
      </c>
      <c r="B13606" s="6" t="s">
        <v>2782</v>
      </c>
      <c r="C13606" s="6" t="s">
        <v>2787</v>
      </c>
      <c r="D13606" s="6" t="s">
        <v>950</v>
      </c>
      <c r="E13606" s="6" t="s">
        <v>158</v>
      </c>
      <c r="F13606" s="6" t="s">
        <v>166</v>
      </c>
      <c r="G13606" s="6" t="s">
        <v>2788</v>
      </c>
      <c r="H13606" s="6" t="s">
        <v>2789</v>
      </c>
      <c r="I13606" s="6" t="s">
        <v>31</v>
      </c>
      <c r="J13606" s="6">
        <v>16.792712000000002</v>
      </c>
      <c r="K13606" s="6">
        <v>-95.368638000000004</v>
      </c>
      <c r="L13606" s="6" t="str">
        <f>HYPERLINK("https://maps.google.com/?q=16.792712,-95.368638", "🔗 Ver Mapa")</f>
        <v>🔗 Ver Mapa</v>
      </c>
    </row>
    <row r="13607" spans="1:12" ht="58" x14ac:dyDescent="0.35">
      <c r="A13607" s="5" t="s">
        <v>2781</v>
      </c>
      <c r="B13607" s="5" t="s">
        <v>2782</v>
      </c>
      <c r="C13607" s="5" t="s">
        <v>2790</v>
      </c>
      <c r="D13607" s="5" t="s">
        <v>950</v>
      </c>
      <c r="E13607" s="5" t="s">
        <v>90</v>
      </c>
      <c r="F13607" s="5" t="s">
        <v>678</v>
      </c>
      <c r="G13607" s="5" t="s">
        <v>2424</v>
      </c>
      <c r="H13607" s="5" t="s">
        <v>2425</v>
      </c>
      <c r="I13607" s="5" t="s">
        <v>31</v>
      </c>
      <c r="J13607" s="5">
        <v>17.185565</v>
      </c>
      <c r="K13607" s="5">
        <v>-96.178961000000001</v>
      </c>
      <c r="L13607" s="5" t="str">
        <f>HYPERLINK("https://maps.google.com/?q=17.185565,-96.178961", "🔗 Ver Mapa")</f>
        <v>🔗 Ver Mapa</v>
      </c>
    </row>
    <row r="13608" spans="1:12" ht="58" x14ac:dyDescent="0.35">
      <c r="A13608" s="6" t="s">
        <v>2781</v>
      </c>
      <c r="B13608" s="6" t="s">
        <v>2782</v>
      </c>
      <c r="C13608" s="6" t="s">
        <v>2791</v>
      </c>
      <c r="D13608" s="6" t="s">
        <v>950</v>
      </c>
      <c r="E13608" s="6" t="s">
        <v>110</v>
      </c>
      <c r="F13608" s="6" t="s">
        <v>111</v>
      </c>
      <c r="G13608" s="6" t="s">
        <v>2792</v>
      </c>
      <c r="H13608" s="6" t="s">
        <v>2793</v>
      </c>
      <c r="I13608" s="6" t="s">
        <v>31</v>
      </c>
      <c r="J13608" s="6">
        <v>18.102124</v>
      </c>
      <c r="K13608" s="6">
        <v>-96.797460999999998</v>
      </c>
      <c r="L13608" s="6" t="str">
        <f>HYPERLINK("https://maps.google.com/?q=18.102124,-96.797461", "🔗 Ver Mapa")</f>
        <v>🔗 Ver Mapa</v>
      </c>
    </row>
    <row r="13609" spans="1:12" ht="58" x14ac:dyDescent="0.35">
      <c r="A13609" s="5" t="s">
        <v>2781</v>
      </c>
      <c r="B13609" s="5" t="s">
        <v>2782</v>
      </c>
      <c r="C13609" s="5" t="s">
        <v>2794</v>
      </c>
      <c r="D13609" s="5" t="s">
        <v>950</v>
      </c>
      <c r="E13609" s="5" t="s">
        <v>90</v>
      </c>
      <c r="F13609" s="5" t="s">
        <v>119</v>
      </c>
      <c r="G13609" s="5" t="s">
        <v>347</v>
      </c>
      <c r="H13609" s="5" t="s">
        <v>348</v>
      </c>
      <c r="I13609" s="5" t="s">
        <v>31</v>
      </c>
      <c r="J13609" s="5">
        <v>17.331381</v>
      </c>
      <c r="K13609" s="5">
        <v>-96.487408000000002</v>
      </c>
      <c r="L13609" s="5" t="str">
        <f>HYPERLINK("https://maps.google.com/?q=17.331381,-96.487408", "🔗 Ver Mapa")</f>
        <v>🔗 Ver Mapa</v>
      </c>
    </row>
    <row r="13610" spans="1:12" ht="58" x14ac:dyDescent="0.35">
      <c r="A13610" s="6" t="s">
        <v>2781</v>
      </c>
      <c r="B13610" s="6" t="s">
        <v>2782</v>
      </c>
      <c r="C13610" s="6" t="s">
        <v>2795</v>
      </c>
      <c r="D13610" s="6" t="s">
        <v>950</v>
      </c>
      <c r="E13610" s="6" t="s">
        <v>158</v>
      </c>
      <c r="F13610" s="6" t="s">
        <v>166</v>
      </c>
      <c r="G13610" s="6" t="s">
        <v>815</v>
      </c>
      <c r="H13610" s="6" t="s">
        <v>816</v>
      </c>
      <c r="I13610" s="6" t="s">
        <v>31</v>
      </c>
      <c r="J13610" s="6">
        <v>16.398880999999999</v>
      </c>
      <c r="K13610" s="6">
        <v>-95.603144</v>
      </c>
      <c r="L13610" s="6" t="str">
        <f>HYPERLINK("https://maps.google.com/?q=16.398881,-95.603144", "🔗 Ver Mapa")</f>
        <v>🔗 Ver Mapa</v>
      </c>
    </row>
    <row r="13611" spans="1:12" ht="58" x14ac:dyDescent="0.35">
      <c r="A13611" s="5" t="s">
        <v>2781</v>
      </c>
      <c r="B13611" s="5" t="s">
        <v>2782</v>
      </c>
      <c r="C13611" s="5" t="s">
        <v>2796</v>
      </c>
      <c r="D13611" s="5" t="s">
        <v>950</v>
      </c>
      <c r="E13611" s="5" t="s">
        <v>158</v>
      </c>
      <c r="F13611" s="5" t="s">
        <v>166</v>
      </c>
      <c r="G13611" s="5" t="s">
        <v>2797</v>
      </c>
      <c r="H13611" s="5" t="s">
        <v>2798</v>
      </c>
      <c r="I13611" s="5" t="s">
        <v>31</v>
      </c>
      <c r="J13611" s="5">
        <v>16.503810000000001</v>
      </c>
      <c r="K13611" s="5">
        <v>-95.203012000000001</v>
      </c>
      <c r="L13611" s="5" t="str">
        <f>HYPERLINK("https://maps.google.com/?q=16.50381,-95.203012", "🔗 Ver Mapa")</f>
        <v>🔗 Ver Mapa</v>
      </c>
    </row>
    <row r="13612" spans="1:12" ht="58" x14ac:dyDescent="0.35">
      <c r="A13612" s="6" t="s">
        <v>2781</v>
      </c>
      <c r="B13612" s="6" t="s">
        <v>2782</v>
      </c>
      <c r="C13612" s="6" t="s">
        <v>2799</v>
      </c>
      <c r="D13612" s="6" t="s">
        <v>950</v>
      </c>
      <c r="E13612" s="6" t="s">
        <v>90</v>
      </c>
      <c r="F13612" s="6" t="s">
        <v>91</v>
      </c>
      <c r="G13612" s="6" t="s">
        <v>2800</v>
      </c>
      <c r="H13612" s="6" t="s">
        <v>2801</v>
      </c>
      <c r="I13612" s="6" t="s">
        <v>31</v>
      </c>
      <c r="J13612" s="6">
        <v>17.146398999999999</v>
      </c>
      <c r="K13612" s="6">
        <v>-96.112121999999999</v>
      </c>
      <c r="L13612" s="6" t="str">
        <f>HYPERLINK("https://maps.google.com/?q=17.146399,-96.112122", "🔗 Ver Mapa")</f>
        <v>🔗 Ver Mapa</v>
      </c>
    </row>
    <row r="13613" spans="1:12" ht="58" x14ac:dyDescent="0.35">
      <c r="A13613" s="5" t="s">
        <v>2781</v>
      </c>
      <c r="B13613" s="5" t="s">
        <v>2782</v>
      </c>
      <c r="C13613" s="5" t="s">
        <v>2802</v>
      </c>
      <c r="D13613" s="5" t="s">
        <v>950</v>
      </c>
      <c r="E13613" s="5" t="s">
        <v>39</v>
      </c>
      <c r="F13613" s="5" t="s">
        <v>133</v>
      </c>
      <c r="G13613" s="5" t="s">
        <v>357</v>
      </c>
      <c r="H13613" s="5" t="s">
        <v>837</v>
      </c>
      <c r="I13613" s="5" t="s">
        <v>31</v>
      </c>
      <c r="J13613" s="5">
        <v>16.60821</v>
      </c>
      <c r="K13613" s="5">
        <v>-95.980502999999999</v>
      </c>
      <c r="L13613" s="5" t="str">
        <f>HYPERLINK("https://maps.google.com/?q=16.60821,-95.980503", "🔗 Ver Mapa")</f>
        <v>🔗 Ver Mapa</v>
      </c>
    </row>
    <row r="13614" spans="1:12" ht="58" x14ac:dyDescent="0.35">
      <c r="A13614" s="6" t="s">
        <v>2781</v>
      </c>
      <c r="B13614" s="6" t="s">
        <v>2782</v>
      </c>
      <c r="C13614" s="6" t="s">
        <v>2803</v>
      </c>
      <c r="D13614" s="6" t="s">
        <v>950</v>
      </c>
      <c r="E13614" s="6" t="s">
        <v>90</v>
      </c>
      <c r="F13614" s="6" t="s">
        <v>678</v>
      </c>
      <c r="G13614" s="6" t="s">
        <v>1896</v>
      </c>
      <c r="H13614" s="6" t="s">
        <v>1897</v>
      </c>
      <c r="I13614" s="6" t="s">
        <v>31</v>
      </c>
      <c r="J13614" s="6">
        <v>17.271014999999998</v>
      </c>
      <c r="K13614" s="6">
        <v>-96.236877000000007</v>
      </c>
      <c r="L13614" s="6" t="str">
        <f>HYPERLINK("https://maps.google.com/?q=17.271015,-96.236877", "🔗 Ver Mapa")</f>
        <v>🔗 Ver Mapa</v>
      </c>
    </row>
    <row r="13615" spans="1:12" ht="58" x14ac:dyDescent="0.35">
      <c r="A13615" s="5" t="s">
        <v>2781</v>
      </c>
      <c r="B13615" s="5" t="s">
        <v>2782</v>
      </c>
      <c r="C13615" s="5" t="s">
        <v>2804</v>
      </c>
      <c r="D13615" s="5" t="s">
        <v>950</v>
      </c>
      <c r="E13615" s="5" t="s">
        <v>90</v>
      </c>
      <c r="F13615" s="5" t="s">
        <v>678</v>
      </c>
      <c r="G13615" s="5" t="s">
        <v>2805</v>
      </c>
      <c r="H13615" s="5" t="s">
        <v>2806</v>
      </c>
      <c r="I13615" s="5" t="s">
        <v>31</v>
      </c>
      <c r="J13615" s="5">
        <v>17.292760000000001</v>
      </c>
      <c r="K13615" s="5">
        <v>-96.153721000000004</v>
      </c>
      <c r="L13615" s="5" t="str">
        <f>HYPERLINK("https://maps.google.com/?q=17.29276,-96.153721", "🔗 Ver Mapa")</f>
        <v>🔗 Ver Mapa</v>
      </c>
    </row>
    <row r="13616" spans="1:12" ht="58" x14ac:dyDescent="0.35">
      <c r="A13616" s="6" t="s">
        <v>2781</v>
      </c>
      <c r="B13616" s="6" t="s">
        <v>2782</v>
      </c>
      <c r="C13616" s="6" t="s">
        <v>2807</v>
      </c>
      <c r="D13616" s="6" t="s">
        <v>950</v>
      </c>
      <c r="E13616" s="6" t="s">
        <v>90</v>
      </c>
      <c r="F13616" s="6" t="s">
        <v>678</v>
      </c>
      <c r="G13616" s="6" t="s">
        <v>679</v>
      </c>
      <c r="H13616" s="6" t="s">
        <v>2808</v>
      </c>
      <c r="I13616" s="6" t="s">
        <v>31</v>
      </c>
      <c r="J13616" s="6">
        <v>17.228117999999998</v>
      </c>
      <c r="K13616" s="6">
        <v>-96.220205000000007</v>
      </c>
      <c r="L13616" s="6" t="str">
        <f>HYPERLINK("https://maps.google.com/?q=17.228118,-96.220205", "🔗 Ver Mapa")</f>
        <v>🔗 Ver Mapa</v>
      </c>
    </row>
    <row r="13617" spans="1:12" ht="58" x14ac:dyDescent="0.35">
      <c r="A13617" s="5" t="s">
        <v>2781</v>
      </c>
      <c r="B13617" s="5" t="s">
        <v>2782</v>
      </c>
      <c r="C13617" s="5" t="s">
        <v>2809</v>
      </c>
      <c r="D13617" s="5" t="s">
        <v>950</v>
      </c>
      <c r="E13617" s="5" t="s">
        <v>52</v>
      </c>
      <c r="F13617" s="5" t="s">
        <v>70</v>
      </c>
      <c r="G13617" s="5" t="s">
        <v>272</v>
      </c>
      <c r="H13617" s="5" t="s">
        <v>273</v>
      </c>
      <c r="I13617" s="5" t="s">
        <v>31</v>
      </c>
      <c r="J13617" s="5">
        <v>16.95834</v>
      </c>
      <c r="K13617" s="5">
        <v>-96.707589999999996</v>
      </c>
      <c r="L13617" s="5" t="str">
        <f>HYPERLINK("https://maps.google.com/?q=16.95834,-96.70759", "🔗 Ver Mapa")</f>
        <v>🔗 Ver Mapa</v>
      </c>
    </row>
    <row r="13618" spans="1:12" ht="58" x14ac:dyDescent="0.35">
      <c r="A13618" s="6" t="s">
        <v>2781</v>
      </c>
      <c r="B13618" s="6" t="s">
        <v>2782</v>
      </c>
      <c r="C13618" s="6" t="s">
        <v>2810</v>
      </c>
      <c r="D13618" s="6" t="s">
        <v>950</v>
      </c>
      <c r="E13618" s="6" t="s">
        <v>39</v>
      </c>
      <c r="F13618" s="6" t="s">
        <v>133</v>
      </c>
      <c r="G13618" s="6" t="s">
        <v>2811</v>
      </c>
      <c r="H13618" s="6" t="s">
        <v>2812</v>
      </c>
      <c r="I13618" s="6" t="s">
        <v>31</v>
      </c>
      <c r="J13618" s="6">
        <v>16.500622</v>
      </c>
      <c r="K13618" s="6">
        <v>-96.106727000000006</v>
      </c>
      <c r="L13618" s="6" t="str">
        <f>HYPERLINK("https://maps.google.com/?q=16.500622,-96.106727", "🔗 Ver Mapa")</f>
        <v>🔗 Ver Mapa</v>
      </c>
    </row>
    <row r="13619" spans="1:12" ht="58" x14ac:dyDescent="0.35">
      <c r="A13619" s="5" t="s">
        <v>2781</v>
      </c>
      <c r="B13619" s="5" t="s">
        <v>2782</v>
      </c>
      <c r="C13619" s="5" t="s">
        <v>2813</v>
      </c>
      <c r="D13619" s="5" t="s">
        <v>950</v>
      </c>
      <c r="E13619" s="5" t="s">
        <v>90</v>
      </c>
      <c r="F13619" s="5" t="s">
        <v>678</v>
      </c>
      <c r="G13619" s="5" t="s">
        <v>992</v>
      </c>
      <c r="H13619" s="5" t="s">
        <v>993</v>
      </c>
      <c r="I13619" s="5" t="s">
        <v>31</v>
      </c>
      <c r="J13619" s="5">
        <v>17.335708</v>
      </c>
      <c r="K13619" s="5">
        <v>-96.164985000000001</v>
      </c>
      <c r="L13619" s="5" t="str">
        <f>HYPERLINK("https://maps.google.com/?q=17.335708,-96.164985", "🔗 Ver Mapa")</f>
        <v>🔗 Ver Mapa</v>
      </c>
    </row>
    <row r="13620" spans="1:12" ht="58" x14ac:dyDescent="0.35">
      <c r="A13620" s="6" t="s">
        <v>2781</v>
      </c>
      <c r="B13620" s="6" t="s">
        <v>2782</v>
      </c>
      <c r="C13620" s="6" t="s">
        <v>2814</v>
      </c>
      <c r="D13620" s="6" t="s">
        <v>950</v>
      </c>
      <c r="E13620" s="6" t="s">
        <v>158</v>
      </c>
      <c r="F13620" s="6" t="s">
        <v>159</v>
      </c>
      <c r="G13620" s="6" t="s">
        <v>2815</v>
      </c>
      <c r="H13620" s="6" t="s">
        <v>2816</v>
      </c>
      <c r="I13620" s="6" t="s">
        <v>31</v>
      </c>
      <c r="J13620" s="6">
        <v>16.320613999999999</v>
      </c>
      <c r="K13620" s="6">
        <v>-94.756941999999995</v>
      </c>
      <c r="L13620" s="6" t="str">
        <f>HYPERLINK("https://maps.google.com/?q=16.320614,-94.756942", "🔗 Ver Mapa")</f>
        <v>🔗 Ver Mapa</v>
      </c>
    </row>
    <row r="13621" spans="1:12" ht="58" x14ac:dyDescent="0.35">
      <c r="A13621" s="5" t="s">
        <v>2781</v>
      </c>
      <c r="B13621" s="5" t="s">
        <v>2782</v>
      </c>
      <c r="C13621" s="5" t="s">
        <v>2817</v>
      </c>
      <c r="D13621" s="5" t="s">
        <v>950</v>
      </c>
      <c r="E13621" s="5" t="s">
        <v>90</v>
      </c>
      <c r="F13621" s="5" t="s">
        <v>678</v>
      </c>
      <c r="G13621" s="5" t="s">
        <v>2818</v>
      </c>
      <c r="H13621" s="5" t="s">
        <v>2819</v>
      </c>
      <c r="I13621" s="5" t="s">
        <v>31</v>
      </c>
      <c r="J13621" s="5">
        <v>17.172329999999999</v>
      </c>
      <c r="K13621" s="5">
        <v>-96.251266999999999</v>
      </c>
      <c r="L13621" s="5" t="str">
        <f>HYPERLINK("https://maps.google.com/?q=17.17233,-96.251267", "🔗 Ver Mapa")</f>
        <v>🔗 Ver Mapa</v>
      </c>
    </row>
    <row r="13622" spans="1:12" ht="58" x14ac:dyDescent="0.35">
      <c r="A13622" s="6" t="s">
        <v>2781</v>
      </c>
      <c r="B13622" s="6" t="s">
        <v>2782</v>
      </c>
      <c r="C13622" s="6" t="s">
        <v>2820</v>
      </c>
      <c r="D13622" s="6" t="s">
        <v>950</v>
      </c>
      <c r="E13622" s="6" t="s">
        <v>158</v>
      </c>
      <c r="F13622" s="6" t="s">
        <v>159</v>
      </c>
      <c r="G13622" s="6" t="s">
        <v>1012</v>
      </c>
      <c r="H13622" s="6" t="s">
        <v>2821</v>
      </c>
      <c r="I13622" s="6" t="s">
        <v>31</v>
      </c>
      <c r="J13622" s="6">
        <v>16.339383000000002</v>
      </c>
      <c r="K13622" s="6">
        <v>-94.514989</v>
      </c>
      <c r="L13622" s="6" t="str">
        <f>HYPERLINK("https://maps.google.com/?q=16.339383,-94.514989", "🔗 Ver Mapa")</f>
        <v>🔗 Ver Mapa</v>
      </c>
    </row>
    <row r="13623" spans="1:12" ht="58" x14ac:dyDescent="0.35">
      <c r="A13623" s="5" t="s">
        <v>2781</v>
      </c>
      <c r="B13623" s="5" t="s">
        <v>2782</v>
      </c>
      <c r="C13623" s="5" t="s">
        <v>2822</v>
      </c>
      <c r="D13623" s="5" t="s">
        <v>950</v>
      </c>
      <c r="E13623" s="5" t="s">
        <v>158</v>
      </c>
      <c r="F13623" s="5" t="s">
        <v>159</v>
      </c>
      <c r="G13623" s="5" t="s">
        <v>805</v>
      </c>
      <c r="H13623" s="5" t="s">
        <v>1909</v>
      </c>
      <c r="I13623" s="5" t="s">
        <v>31</v>
      </c>
      <c r="J13623" s="5">
        <v>16.352335</v>
      </c>
      <c r="K13623" s="5">
        <v>-94.483881999999994</v>
      </c>
      <c r="L13623" s="5" t="str">
        <f>HYPERLINK("https://maps.google.com/?q=16.352335,-94.483882", "🔗 Ver Mapa")</f>
        <v>🔗 Ver Mapa</v>
      </c>
    </row>
    <row r="13624" spans="1:12" ht="58" x14ac:dyDescent="0.35">
      <c r="A13624" s="6" t="s">
        <v>2781</v>
      </c>
      <c r="B13624" s="6" t="s">
        <v>2782</v>
      </c>
      <c r="C13624" s="6" t="s">
        <v>2823</v>
      </c>
      <c r="D13624" s="6" t="s">
        <v>950</v>
      </c>
      <c r="E13624" s="6" t="s">
        <v>90</v>
      </c>
      <c r="F13624" s="6" t="s">
        <v>678</v>
      </c>
      <c r="G13624" s="6" t="s">
        <v>1927</v>
      </c>
      <c r="H13624" s="6" t="s">
        <v>2824</v>
      </c>
      <c r="I13624" s="6" t="s">
        <v>31</v>
      </c>
      <c r="J13624" s="6">
        <v>17.338601000000001</v>
      </c>
      <c r="K13624" s="6">
        <v>-96.152518000000001</v>
      </c>
      <c r="L13624" s="6" t="str">
        <f>HYPERLINK("https://maps.google.com/?q=17.338601,-96.152518", "🔗 Ver Mapa")</f>
        <v>🔗 Ver Mapa</v>
      </c>
    </row>
    <row r="13625" spans="1:12" ht="58" x14ac:dyDescent="0.35">
      <c r="A13625" s="5" t="s">
        <v>2781</v>
      </c>
      <c r="B13625" s="5" t="s">
        <v>2782</v>
      </c>
      <c r="C13625" s="5" t="s">
        <v>2825</v>
      </c>
      <c r="D13625" s="5" t="s">
        <v>950</v>
      </c>
      <c r="E13625" s="5" t="s">
        <v>140</v>
      </c>
      <c r="F13625" s="5" t="s">
        <v>141</v>
      </c>
      <c r="G13625" s="5" t="s">
        <v>261</v>
      </c>
      <c r="H13625" s="5" t="s">
        <v>262</v>
      </c>
      <c r="I13625" s="5" t="s">
        <v>31</v>
      </c>
      <c r="J13625" s="5">
        <v>17.945298999999999</v>
      </c>
      <c r="K13625" s="5">
        <v>-96.170509999999993</v>
      </c>
      <c r="L13625" s="5" t="str">
        <f>HYPERLINK("https://maps.google.com/?q=17.945299,-96.17051", "🔗 Ver Mapa")</f>
        <v>🔗 Ver Mapa</v>
      </c>
    </row>
    <row r="13626" spans="1:12" ht="58" x14ac:dyDescent="0.35">
      <c r="A13626" s="6" t="s">
        <v>2781</v>
      </c>
      <c r="B13626" s="6" t="s">
        <v>2782</v>
      </c>
      <c r="C13626" s="6" t="s">
        <v>2826</v>
      </c>
      <c r="D13626" s="6" t="s">
        <v>950</v>
      </c>
      <c r="E13626" s="6" t="s">
        <v>52</v>
      </c>
      <c r="F13626" s="6" t="s">
        <v>70</v>
      </c>
      <c r="G13626" s="6" t="s">
        <v>225</v>
      </c>
      <c r="H13626" s="6" t="s">
        <v>226</v>
      </c>
      <c r="I13626" s="6" t="s">
        <v>31</v>
      </c>
      <c r="J13626" s="6">
        <v>16.996043</v>
      </c>
      <c r="K13626" s="6">
        <v>-96.780592999999996</v>
      </c>
      <c r="L13626" s="6" t="str">
        <f>HYPERLINK("https://maps.google.com/?q=16.996043,-96.780593", "🔗 Ver Mapa")</f>
        <v>🔗 Ver Mapa</v>
      </c>
    </row>
    <row r="13627" spans="1:12" ht="58" x14ac:dyDescent="0.35">
      <c r="A13627" s="5" t="s">
        <v>2781</v>
      </c>
      <c r="B13627" s="5" t="s">
        <v>2782</v>
      </c>
      <c r="C13627" s="5" t="s">
        <v>2827</v>
      </c>
      <c r="D13627" s="5" t="s">
        <v>950</v>
      </c>
      <c r="E13627" s="5" t="s">
        <v>90</v>
      </c>
      <c r="F13627" s="5" t="s">
        <v>678</v>
      </c>
      <c r="G13627" s="5" t="s">
        <v>1481</v>
      </c>
      <c r="H13627" s="5" t="s">
        <v>1482</v>
      </c>
      <c r="I13627" s="5" t="s">
        <v>31</v>
      </c>
      <c r="J13627" s="5">
        <v>17.354036000000001</v>
      </c>
      <c r="K13627" s="5">
        <v>-96.304191000000003</v>
      </c>
      <c r="L13627" s="5" t="str">
        <f>HYPERLINK("https://maps.google.com/?q=17.354036,-96.304191", "🔗 Ver Mapa")</f>
        <v>🔗 Ver Mapa</v>
      </c>
    </row>
    <row r="13628" spans="1:12" ht="58" x14ac:dyDescent="0.35">
      <c r="A13628" s="6" t="s">
        <v>2781</v>
      </c>
      <c r="B13628" s="6" t="s">
        <v>2782</v>
      </c>
      <c r="C13628" s="6" t="s">
        <v>2828</v>
      </c>
      <c r="D13628" s="6" t="s">
        <v>950</v>
      </c>
      <c r="E13628" s="6" t="s">
        <v>52</v>
      </c>
      <c r="F13628" s="6" t="s">
        <v>421</v>
      </c>
      <c r="G13628" s="6" t="s">
        <v>422</v>
      </c>
      <c r="H13628" s="6" t="s">
        <v>423</v>
      </c>
      <c r="I13628" s="6" t="s">
        <v>31</v>
      </c>
      <c r="J13628" s="6">
        <v>16.564287</v>
      </c>
      <c r="K13628" s="6">
        <v>-96.731917999999993</v>
      </c>
      <c r="L13628" s="6" t="str">
        <f>HYPERLINK("https://maps.google.com/?q=16.564287,-96.731918", "🔗 Ver Mapa")</f>
        <v>🔗 Ver Mapa</v>
      </c>
    </row>
    <row r="13629" spans="1:12" ht="58" x14ac:dyDescent="0.35">
      <c r="A13629" s="5" t="s">
        <v>2781</v>
      </c>
      <c r="B13629" s="5" t="s">
        <v>2782</v>
      </c>
      <c r="C13629" s="5" t="s">
        <v>2829</v>
      </c>
      <c r="D13629" s="5" t="s">
        <v>950</v>
      </c>
      <c r="E13629" s="5" t="s">
        <v>52</v>
      </c>
      <c r="F13629" s="5" t="s">
        <v>83</v>
      </c>
      <c r="G13629" s="5" t="s">
        <v>1143</v>
      </c>
      <c r="H13629" s="5" t="s">
        <v>1144</v>
      </c>
      <c r="I13629" s="5" t="s">
        <v>31</v>
      </c>
      <c r="J13629" s="5">
        <v>17.129372</v>
      </c>
      <c r="K13629" s="5">
        <v>-96.801907999999997</v>
      </c>
      <c r="L13629" s="5" t="str">
        <f>HYPERLINK("https://maps.google.com/?q=17.129372,-96.801908", "🔗 Ver Mapa")</f>
        <v>🔗 Ver Mapa</v>
      </c>
    </row>
    <row r="13630" spans="1:12" ht="58" x14ac:dyDescent="0.35">
      <c r="A13630" s="6" t="s">
        <v>2781</v>
      </c>
      <c r="B13630" s="6" t="s">
        <v>2782</v>
      </c>
      <c r="C13630" s="6" t="s">
        <v>2830</v>
      </c>
      <c r="D13630" s="6" t="s">
        <v>950</v>
      </c>
      <c r="E13630" s="6" t="s">
        <v>52</v>
      </c>
      <c r="F13630" s="6" t="s">
        <v>228</v>
      </c>
      <c r="G13630" s="6" t="s">
        <v>1508</v>
      </c>
      <c r="H13630" s="6" t="s">
        <v>1699</v>
      </c>
      <c r="I13630" s="6" t="s">
        <v>31</v>
      </c>
      <c r="J13630" s="6">
        <v>16.791653</v>
      </c>
      <c r="K13630" s="6">
        <v>-96.675106</v>
      </c>
      <c r="L13630" s="6" t="str">
        <f>HYPERLINK("https://maps.google.com/?q=16.791653,-96.675106", "🔗 Ver Mapa")</f>
        <v>🔗 Ver Mapa</v>
      </c>
    </row>
    <row r="13631" spans="1:12" ht="58" x14ac:dyDescent="0.35">
      <c r="A13631" s="5" t="s">
        <v>2781</v>
      </c>
      <c r="B13631" s="5" t="s">
        <v>2782</v>
      </c>
      <c r="C13631" s="5" t="s">
        <v>2831</v>
      </c>
      <c r="D13631" s="5" t="s">
        <v>950</v>
      </c>
      <c r="E13631" s="5" t="s">
        <v>90</v>
      </c>
      <c r="F13631" s="5" t="s">
        <v>678</v>
      </c>
      <c r="G13631" s="5" t="s">
        <v>2832</v>
      </c>
      <c r="H13631" s="5" t="s">
        <v>2833</v>
      </c>
      <c r="I13631" s="5" t="s">
        <v>31</v>
      </c>
      <c r="J13631" s="5">
        <v>17.161771000000002</v>
      </c>
      <c r="K13631" s="5">
        <v>-96.209012999999999</v>
      </c>
      <c r="L13631" s="5" t="str">
        <f>HYPERLINK("https://maps.google.com/?q=17.161771,-96.209013", "🔗 Ver Mapa")</f>
        <v>🔗 Ver Mapa</v>
      </c>
    </row>
    <row r="13632" spans="1:12" ht="58" x14ac:dyDescent="0.35">
      <c r="A13632" s="6" t="s">
        <v>2781</v>
      </c>
      <c r="B13632" s="6" t="s">
        <v>2782</v>
      </c>
      <c r="C13632" s="6" t="s">
        <v>2834</v>
      </c>
      <c r="D13632" s="6" t="s">
        <v>950</v>
      </c>
      <c r="E13632" s="6" t="s">
        <v>158</v>
      </c>
      <c r="F13632" s="6" t="s">
        <v>159</v>
      </c>
      <c r="G13632" s="6" t="s">
        <v>163</v>
      </c>
      <c r="H13632" s="6" t="s">
        <v>2430</v>
      </c>
      <c r="I13632" s="6" t="s">
        <v>31</v>
      </c>
      <c r="J13632" s="6">
        <v>16.714486999999998</v>
      </c>
      <c r="K13632" s="6">
        <v>-94.748193000000001</v>
      </c>
      <c r="L13632" s="6" t="str">
        <f>HYPERLINK("https://maps.google.com/?q=16.714487,-94.748193", "🔗 Ver Mapa")</f>
        <v>🔗 Ver Mapa</v>
      </c>
    </row>
    <row r="13633" spans="1:12" ht="58" x14ac:dyDescent="0.35">
      <c r="A13633" s="5" t="s">
        <v>2781</v>
      </c>
      <c r="B13633" s="5" t="s">
        <v>2782</v>
      </c>
      <c r="C13633" s="5" t="s">
        <v>2835</v>
      </c>
      <c r="D13633" s="5" t="s">
        <v>950</v>
      </c>
      <c r="E13633" s="5" t="s">
        <v>39</v>
      </c>
      <c r="F13633" s="5" t="s">
        <v>40</v>
      </c>
      <c r="G13633" s="5" t="s">
        <v>184</v>
      </c>
      <c r="H13633" s="5" t="s">
        <v>185</v>
      </c>
      <c r="I13633" s="5" t="s">
        <v>31</v>
      </c>
      <c r="J13633" s="5">
        <v>17.026209999999999</v>
      </c>
      <c r="K13633" s="5">
        <v>-97.928150000000002</v>
      </c>
      <c r="L13633" s="5" t="str">
        <f>HYPERLINK("https://maps.google.com/?q=17.02621,-97.928150", "🔗 Ver Mapa")</f>
        <v>🔗 Ver Mapa</v>
      </c>
    </row>
    <row r="13634" spans="1:12" ht="58" x14ac:dyDescent="0.35">
      <c r="A13634" s="6" t="s">
        <v>2781</v>
      </c>
      <c r="B13634" s="6" t="s">
        <v>2782</v>
      </c>
      <c r="C13634" s="6" t="s">
        <v>2836</v>
      </c>
      <c r="D13634" s="6" t="s">
        <v>950</v>
      </c>
      <c r="E13634" s="6" t="s">
        <v>17</v>
      </c>
      <c r="F13634" s="6" t="s">
        <v>20</v>
      </c>
      <c r="G13634" s="6" t="s">
        <v>155</v>
      </c>
      <c r="H13634" s="6" t="s">
        <v>2837</v>
      </c>
      <c r="I13634" s="6" t="s">
        <v>31</v>
      </c>
      <c r="J13634" s="6">
        <v>15.92183</v>
      </c>
      <c r="K13634" s="6">
        <v>-96.175139999999999</v>
      </c>
      <c r="L13634" s="6" t="str">
        <f>HYPERLINK("https://maps.google.com/?q=15.92183,-96.17514", "🔗 Ver Mapa")</f>
        <v>🔗 Ver Mapa</v>
      </c>
    </row>
    <row r="13635" spans="1:12" ht="58" x14ac:dyDescent="0.35">
      <c r="A13635" s="5" t="s">
        <v>2781</v>
      </c>
      <c r="B13635" s="5" t="s">
        <v>2782</v>
      </c>
      <c r="C13635" s="5" t="s">
        <v>2838</v>
      </c>
      <c r="D13635" s="5" t="s">
        <v>950</v>
      </c>
      <c r="E13635" s="5" t="s">
        <v>140</v>
      </c>
      <c r="F13635" s="5" t="s">
        <v>141</v>
      </c>
      <c r="G13635" s="5" t="s">
        <v>187</v>
      </c>
      <c r="H13635" s="5" t="s">
        <v>188</v>
      </c>
      <c r="I13635" s="5" t="s">
        <v>31</v>
      </c>
      <c r="J13635" s="5">
        <v>18.081175000000002</v>
      </c>
      <c r="K13635" s="5">
        <v>-96.118491000000006</v>
      </c>
      <c r="L13635" s="5" t="str">
        <f>HYPERLINK("https://maps.google.com/?q=18.081175,-96.118491", "🔗 Ver Mapa")</f>
        <v>🔗 Ver Mapa</v>
      </c>
    </row>
    <row r="13636" spans="1:12" ht="58" x14ac:dyDescent="0.35">
      <c r="A13636" s="6" t="s">
        <v>2781</v>
      </c>
      <c r="B13636" s="6" t="s">
        <v>2782</v>
      </c>
      <c r="C13636" s="6" t="s">
        <v>2839</v>
      </c>
      <c r="D13636" s="6" t="s">
        <v>950</v>
      </c>
      <c r="E13636" s="6" t="s">
        <v>39</v>
      </c>
      <c r="F13636" s="6" t="s">
        <v>494</v>
      </c>
      <c r="G13636" s="6" t="s">
        <v>639</v>
      </c>
      <c r="H13636" s="6" t="s">
        <v>640</v>
      </c>
      <c r="I13636" s="6" t="s">
        <v>31</v>
      </c>
      <c r="J13636" s="6">
        <v>16.514762000000001</v>
      </c>
      <c r="K13636" s="6">
        <v>-96.978093999999999</v>
      </c>
      <c r="L13636" s="6" t="str">
        <f>HYPERLINK("https://maps.google.com/?q=16.514762,-96.978094", "🔗 Ver Mapa")</f>
        <v>🔗 Ver Mapa</v>
      </c>
    </row>
    <row r="13637" spans="1:12" ht="58" x14ac:dyDescent="0.35">
      <c r="A13637" s="5" t="s">
        <v>2781</v>
      </c>
      <c r="B13637" s="5" t="s">
        <v>2782</v>
      </c>
      <c r="C13637" s="5" t="s">
        <v>2840</v>
      </c>
      <c r="D13637" s="5" t="s">
        <v>950</v>
      </c>
      <c r="E13637" s="5" t="s">
        <v>17</v>
      </c>
      <c r="F13637" s="5" t="s">
        <v>46</v>
      </c>
      <c r="G13637" s="5" t="s">
        <v>241</v>
      </c>
      <c r="H13637" s="5" t="s">
        <v>2841</v>
      </c>
      <c r="I13637" s="5" t="s">
        <v>31</v>
      </c>
      <c r="J13637" s="5">
        <v>15.982669</v>
      </c>
      <c r="K13637" s="5">
        <v>-97.083815999999999</v>
      </c>
      <c r="L13637" s="5" t="str">
        <f>HYPERLINK("https://maps.google.com/?q=15.982669,-97.083816", "🔗 Ver Mapa")</f>
        <v>🔗 Ver Mapa</v>
      </c>
    </row>
    <row r="13638" spans="1:12" ht="58" x14ac:dyDescent="0.35">
      <c r="A13638" s="6" t="s">
        <v>2781</v>
      </c>
      <c r="B13638" s="6" t="s">
        <v>2782</v>
      </c>
      <c r="C13638" s="6" t="s">
        <v>2842</v>
      </c>
      <c r="D13638" s="6" t="s">
        <v>950</v>
      </c>
      <c r="E13638" s="6" t="s">
        <v>90</v>
      </c>
      <c r="F13638" s="6" t="s">
        <v>678</v>
      </c>
      <c r="G13638" s="6" t="s">
        <v>1944</v>
      </c>
      <c r="H13638" s="6" t="s">
        <v>1945</v>
      </c>
      <c r="I13638" s="6" t="s">
        <v>31</v>
      </c>
      <c r="J13638" s="6">
        <v>17.359950000000001</v>
      </c>
      <c r="K13638" s="6">
        <v>-96.250169999999997</v>
      </c>
      <c r="L13638" s="6" t="str">
        <f>HYPERLINK("https://maps.google.com/?q=17.35995,-96.25017", "🔗 Ver Mapa")</f>
        <v>🔗 Ver Mapa</v>
      </c>
    </row>
    <row r="13639" spans="1:12" ht="58" x14ac:dyDescent="0.35">
      <c r="A13639" s="5" t="s">
        <v>2781</v>
      </c>
      <c r="B13639" s="5" t="s">
        <v>2782</v>
      </c>
      <c r="C13639" s="5" t="s">
        <v>2843</v>
      </c>
      <c r="D13639" s="5" t="s">
        <v>950</v>
      </c>
      <c r="E13639" s="5" t="s">
        <v>52</v>
      </c>
      <c r="F13639" s="5" t="s">
        <v>53</v>
      </c>
      <c r="G13639" s="5" t="s">
        <v>1126</v>
      </c>
      <c r="H13639" s="5" t="s">
        <v>1127</v>
      </c>
      <c r="I13639" s="5" t="s">
        <v>31</v>
      </c>
      <c r="J13639" s="5">
        <v>16.666425</v>
      </c>
      <c r="K13639" s="5">
        <v>-96.301969999999997</v>
      </c>
      <c r="L13639" s="5" t="str">
        <f>HYPERLINK("https://maps.google.com/?q=16.666425,-96.30197", "🔗 Ver Mapa")</f>
        <v>🔗 Ver Mapa</v>
      </c>
    </row>
    <row r="13640" spans="1:12" ht="58" x14ac:dyDescent="0.35">
      <c r="A13640" s="6" t="s">
        <v>2781</v>
      </c>
      <c r="B13640" s="6" t="s">
        <v>2782</v>
      </c>
      <c r="C13640" s="6" t="s">
        <v>2844</v>
      </c>
      <c r="D13640" s="6" t="s">
        <v>950</v>
      </c>
      <c r="E13640" s="6" t="s">
        <v>16</v>
      </c>
      <c r="F13640" s="6" t="s">
        <v>21</v>
      </c>
      <c r="G13640" s="6" t="s">
        <v>235</v>
      </c>
      <c r="H13640" s="6" t="s">
        <v>236</v>
      </c>
      <c r="I13640" s="6" t="s">
        <v>31</v>
      </c>
      <c r="J13640" s="6">
        <v>17.267530000000001</v>
      </c>
      <c r="K13640" s="6">
        <v>-97.680530000000005</v>
      </c>
      <c r="L13640" s="6" t="str">
        <f>HYPERLINK("https://maps.google.com/?q=17.26753,-97.680530", "🔗 Ver Mapa")</f>
        <v>🔗 Ver Mapa</v>
      </c>
    </row>
    <row r="13641" spans="1:12" ht="58" x14ac:dyDescent="0.35">
      <c r="A13641" s="5" t="s">
        <v>2781</v>
      </c>
      <c r="B13641" s="5" t="s">
        <v>2782</v>
      </c>
      <c r="C13641" s="5" t="s">
        <v>2845</v>
      </c>
      <c r="D13641" s="5" t="s">
        <v>950</v>
      </c>
      <c r="E13641" s="5" t="s">
        <v>90</v>
      </c>
      <c r="F13641" s="5" t="s">
        <v>91</v>
      </c>
      <c r="G13641" s="5" t="s">
        <v>1722</v>
      </c>
      <c r="H13641" s="5" t="s">
        <v>2662</v>
      </c>
      <c r="I13641" s="5" t="s">
        <v>31</v>
      </c>
      <c r="J13641" s="5">
        <v>17.027232000000001</v>
      </c>
      <c r="K13641" s="5">
        <v>-96.077045999999996</v>
      </c>
      <c r="L13641" s="5" t="str">
        <f>HYPERLINK("https://maps.google.com/?q=17.027232,-96.077046", "🔗 Ver Mapa")</f>
        <v>🔗 Ver Mapa</v>
      </c>
    </row>
    <row r="13642" spans="1:12" ht="58" x14ac:dyDescent="0.35">
      <c r="A13642" s="6" t="s">
        <v>2781</v>
      </c>
      <c r="B13642" s="6" t="s">
        <v>2782</v>
      </c>
      <c r="C13642" s="6" t="s">
        <v>2846</v>
      </c>
      <c r="D13642" s="6" t="s">
        <v>950</v>
      </c>
      <c r="E13642" s="6" t="s">
        <v>17</v>
      </c>
      <c r="F13642" s="6" t="s">
        <v>20</v>
      </c>
      <c r="G13642" s="6" t="s">
        <v>2304</v>
      </c>
      <c r="H13642" s="6" t="s">
        <v>2847</v>
      </c>
      <c r="I13642" s="6" t="s">
        <v>31</v>
      </c>
      <c r="J13642" s="6">
        <v>15.747154999999999</v>
      </c>
      <c r="K13642" s="6">
        <v>-96.545433000000003</v>
      </c>
      <c r="L13642" s="6" t="str">
        <f>HYPERLINK("https://maps.google.com/?q=15.747155,-96.545433", "🔗 Ver Mapa")</f>
        <v>🔗 Ver Mapa</v>
      </c>
    </row>
    <row r="13643" spans="1:12" ht="58" x14ac:dyDescent="0.35">
      <c r="A13643" s="5" t="s">
        <v>2781</v>
      </c>
      <c r="B13643" s="5" t="s">
        <v>2782</v>
      </c>
      <c r="C13643" s="5" t="s">
        <v>2848</v>
      </c>
      <c r="D13643" s="5" t="s">
        <v>950</v>
      </c>
      <c r="E13643" s="5" t="s">
        <v>90</v>
      </c>
      <c r="F13643" s="5" t="s">
        <v>119</v>
      </c>
      <c r="G13643" s="5" t="s">
        <v>2617</v>
      </c>
      <c r="H13643" s="5" t="s">
        <v>2849</v>
      </c>
      <c r="I13643" s="5" t="s">
        <v>31</v>
      </c>
      <c r="J13643" s="5">
        <v>17.268429000000001</v>
      </c>
      <c r="K13643" s="5">
        <v>-96.472924000000006</v>
      </c>
      <c r="L13643" s="5" t="str">
        <f>HYPERLINK("https://maps.google.com/?q=17.268429,-96.472924", "🔗 Ver Mapa")</f>
        <v>🔗 Ver Mapa</v>
      </c>
    </row>
    <row r="13644" spans="1:12" ht="58" x14ac:dyDescent="0.35">
      <c r="A13644" s="6" t="s">
        <v>2781</v>
      </c>
      <c r="B13644" s="6" t="s">
        <v>2782</v>
      </c>
      <c r="C13644" s="6" t="s">
        <v>2850</v>
      </c>
      <c r="D13644" s="6" t="s">
        <v>950</v>
      </c>
      <c r="E13644" s="6" t="s">
        <v>52</v>
      </c>
      <c r="F13644" s="6" t="s">
        <v>443</v>
      </c>
      <c r="G13644" s="6" t="s">
        <v>2851</v>
      </c>
      <c r="H13644" s="6" t="s">
        <v>2852</v>
      </c>
      <c r="I13644" s="6" t="s">
        <v>31</v>
      </c>
      <c r="J13644" s="6">
        <v>16.866634999999999</v>
      </c>
      <c r="K13644" s="6">
        <v>-96.785594000000003</v>
      </c>
      <c r="L13644" s="6" t="str">
        <f>HYPERLINK("https://maps.google.com/?q=16.866635,-96.785594", "🔗 Ver Mapa")</f>
        <v>🔗 Ver Mapa</v>
      </c>
    </row>
    <row r="13645" spans="1:12" ht="58" x14ac:dyDescent="0.35">
      <c r="A13645" s="5" t="s">
        <v>2781</v>
      </c>
      <c r="B13645" s="5" t="s">
        <v>2782</v>
      </c>
      <c r="C13645" s="5" t="s">
        <v>2853</v>
      </c>
      <c r="D13645" s="5" t="s">
        <v>950</v>
      </c>
      <c r="E13645" s="5" t="s">
        <v>52</v>
      </c>
      <c r="F13645" s="5" t="s">
        <v>443</v>
      </c>
      <c r="G13645" s="5" t="s">
        <v>2854</v>
      </c>
      <c r="H13645" s="5" t="s">
        <v>2855</v>
      </c>
      <c r="I13645" s="5" t="s">
        <v>31</v>
      </c>
      <c r="J13645" s="5">
        <v>16.79243</v>
      </c>
      <c r="K13645" s="5">
        <v>-96.882430999999997</v>
      </c>
      <c r="L13645" s="5" t="str">
        <f>HYPERLINK("https://maps.google.com/?q=16.79243,-96.882431", "🔗 Ver Mapa")</f>
        <v>🔗 Ver Mapa</v>
      </c>
    </row>
    <row r="13646" spans="1:12" ht="58" x14ac:dyDescent="0.35">
      <c r="A13646" s="6" t="s">
        <v>2781</v>
      </c>
      <c r="B13646" s="6" t="s">
        <v>2782</v>
      </c>
      <c r="C13646" s="6" t="s">
        <v>2856</v>
      </c>
      <c r="D13646" s="6" t="s">
        <v>950</v>
      </c>
      <c r="E13646" s="6" t="s">
        <v>39</v>
      </c>
      <c r="F13646" s="6" t="s">
        <v>494</v>
      </c>
      <c r="G13646" s="6" t="s">
        <v>1326</v>
      </c>
      <c r="H13646" s="6" t="s">
        <v>1327</v>
      </c>
      <c r="I13646" s="6" t="s">
        <v>31</v>
      </c>
      <c r="J13646" s="6">
        <v>16.704364000000002</v>
      </c>
      <c r="K13646" s="6">
        <v>-97.019526999999997</v>
      </c>
      <c r="L13646" s="6" t="str">
        <f>HYPERLINK("https://maps.google.com/?q=16.704364,-97.019527", "🔗 Ver Mapa")</f>
        <v>🔗 Ver Mapa</v>
      </c>
    </row>
    <row r="13647" spans="1:12" ht="58" x14ac:dyDescent="0.35">
      <c r="A13647" s="5" t="s">
        <v>2781</v>
      </c>
      <c r="B13647" s="5" t="s">
        <v>2782</v>
      </c>
      <c r="C13647" s="5" t="s">
        <v>2857</v>
      </c>
      <c r="D13647" s="5" t="s">
        <v>950</v>
      </c>
      <c r="E13647" s="5" t="s">
        <v>39</v>
      </c>
      <c r="F13647" s="5" t="s">
        <v>494</v>
      </c>
      <c r="G13647" s="5" t="s">
        <v>664</v>
      </c>
      <c r="H13647" s="5" t="s">
        <v>2590</v>
      </c>
      <c r="I13647" s="5" t="s">
        <v>31</v>
      </c>
      <c r="J13647" s="5">
        <v>16.534839999999999</v>
      </c>
      <c r="K13647" s="5">
        <v>-97.495419999999996</v>
      </c>
      <c r="L13647" s="5" t="str">
        <f>HYPERLINK("https://maps.google.com/?q=16.53484,-97.49542", "🔗 Ver Mapa")</f>
        <v>🔗 Ver Mapa</v>
      </c>
    </row>
    <row r="13648" spans="1:12" ht="58" x14ac:dyDescent="0.35">
      <c r="A13648" s="6" t="s">
        <v>2781</v>
      </c>
      <c r="B13648" s="6" t="s">
        <v>2782</v>
      </c>
      <c r="C13648" s="6" t="s">
        <v>2858</v>
      </c>
      <c r="D13648" s="6" t="s">
        <v>950</v>
      </c>
      <c r="E13648" s="6" t="s">
        <v>17</v>
      </c>
      <c r="F13648" s="6" t="s">
        <v>59</v>
      </c>
      <c r="G13648" s="6" t="s">
        <v>2117</v>
      </c>
      <c r="H13648" s="6" t="s">
        <v>2483</v>
      </c>
      <c r="I13648" s="6" t="s">
        <v>31</v>
      </c>
      <c r="J13648" s="6">
        <v>16.333400000000001</v>
      </c>
      <c r="K13648" s="6">
        <v>-98.378598999999994</v>
      </c>
      <c r="L13648" s="6" t="str">
        <f>HYPERLINK("https://maps.google.com/?q=16.3334,-98.378599", "🔗 Ver Mapa")</f>
        <v>🔗 Ver Mapa</v>
      </c>
    </row>
    <row r="13649" spans="1:12" ht="58" x14ac:dyDescent="0.35">
      <c r="A13649" s="5" t="s">
        <v>2781</v>
      </c>
      <c r="B13649" s="5" t="s">
        <v>2782</v>
      </c>
      <c r="C13649" s="5" t="s">
        <v>2859</v>
      </c>
      <c r="D13649" s="5" t="s">
        <v>950</v>
      </c>
      <c r="E13649" s="5" t="s">
        <v>110</v>
      </c>
      <c r="F13649" s="5" t="s">
        <v>111</v>
      </c>
      <c r="G13649" s="5" t="s">
        <v>2860</v>
      </c>
      <c r="H13649" s="5" t="s">
        <v>2861</v>
      </c>
      <c r="I13649" s="5" t="s">
        <v>31</v>
      </c>
      <c r="J13649" s="5">
        <v>18.108241</v>
      </c>
      <c r="K13649" s="5">
        <v>-96.819405000000003</v>
      </c>
      <c r="L13649" s="5" t="str">
        <f>HYPERLINK("https://maps.google.com/?q=18.108241,-96.819405", "🔗 Ver Mapa")</f>
        <v>🔗 Ver Mapa</v>
      </c>
    </row>
    <row r="13650" spans="1:12" ht="58" x14ac:dyDescent="0.35">
      <c r="A13650" s="6" t="s">
        <v>2781</v>
      </c>
      <c r="B13650" s="6" t="s">
        <v>2782</v>
      </c>
      <c r="C13650" s="6" t="s">
        <v>2862</v>
      </c>
      <c r="D13650" s="6" t="s">
        <v>950</v>
      </c>
      <c r="E13650" s="6" t="s">
        <v>52</v>
      </c>
      <c r="F13650" s="6" t="s">
        <v>53</v>
      </c>
      <c r="G13650" s="6" t="s">
        <v>2863</v>
      </c>
      <c r="H13650" s="6" t="s">
        <v>2864</v>
      </c>
      <c r="I13650" s="6" t="s">
        <v>31</v>
      </c>
      <c r="J13650" s="6">
        <v>17.067350000000001</v>
      </c>
      <c r="K13650" s="6">
        <v>-96.200379999999996</v>
      </c>
      <c r="L13650" s="6" t="str">
        <f>HYPERLINK("https://maps.google.com/?q=17.06735,-96.200380", "🔗 Ver Mapa")</f>
        <v>🔗 Ver Mapa</v>
      </c>
    </row>
    <row r="13651" spans="1:12" ht="58" x14ac:dyDescent="0.35">
      <c r="A13651" s="5" t="s">
        <v>2781</v>
      </c>
      <c r="B13651" s="5" t="s">
        <v>2782</v>
      </c>
      <c r="C13651" s="5" t="s">
        <v>2865</v>
      </c>
      <c r="D13651" s="5" t="s">
        <v>950</v>
      </c>
      <c r="E13651" s="5" t="s">
        <v>39</v>
      </c>
      <c r="F13651" s="5" t="s">
        <v>133</v>
      </c>
      <c r="G13651" s="5" t="s">
        <v>2866</v>
      </c>
      <c r="H13651" s="5" t="s">
        <v>2867</v>
      </c>
      <c r="I13651" s="5" t="s">
        <v>31</v>
      </c>
      <c r="J13651" s="5">
        <v>16.284223000000001</v>
      </c>
      <c r="K13651" s="5">
        <v>-95.881124999999997</v>
      </c>
      <c r="L13651" s="5" t="str">
        <f>HYPERLINK("https://maps.google.com/?q=16.284223,-95.881125", "🔗 Ver Mapa")</f>
        <v>🔗 Ver Mapa</v>
      </c>
    </row>
    <row r="13652" spans="1:12" ht="58" x14ac:dyDescent="0.35">
      <c r="A13652" s="6" t="s">
        <v>2781</v>
      </c>
      <c r="B13652" s="6" t="s">
        <v>2782</v>
      </c>
      <c r="C13652" s="6" t="s">
        <v>2868</v>
      </c>
      <c r="D13652" s="6" t="s">
        <v>950</v>
      </c>
      <c r="E13652" s="6" t="s">
        <v>158</v>
      </c>
      <c r="F13652" s="6" t="s">
        <v>159</v>
      </c>
      <c r="G13652" s="6" t="s">
        <v>2471</v>
      </c>
      <c r="H13652" s="6" t="s">
        <v>2869</v>
      </c>
      <c r="I13652" s="6" t="s">
        <v>31</v>
      </c>
      <c r="J13652" s="6">
        <v>16.588495999999999</v>
      </c>
      <c r="K13652" s="6">
        <v>-94.768595000000005</v>
      </c>
      <c r="L13652" s="6" t="str">
        <f>HYPERLINK("https://maps.google.com/?q=16.588496,-94.768595", "🔗 Ver Mapa")</f>
        <v>🔗 Ver Mapa</v>
      </c>
    </row>
    <row r="13653" spans="1:12" ht="58" x14ac:dyDescent="0.35">
      <c r="A13653" s="5" t="s">
        <v>2781</v>
      </c>
      <c r="B13653" s="5" t="s">
        <v>2782</v>
      </c>
      <c r="C13653" s="5" t="s">
        <v>2870</v>
      </c>
      <c r="D13653" s="5" t="s">
        <v>950</v>
      </c>
      <c r="E13653" s="5" t="s">
        <v>17</v>
      </c>
      <c r="F13653" s="5" t="s">
        <v>59</v>
      </c>
      <c r="G13653" s="5" t="s">
        <v>982</v>
      </c>
      <c r="H13653" s="5" t="s">
        <v>983</v>
      </c>
      <c r="I13653" s="5" t="s">
        <v>31</v>
      </c>
      <c r="J13653" s="5">
        <v>16.341000000000001</v>
      </c>
      <c r="K13653" s="5">
        <v>-98.447519999999997</v>
      </c>
      <c r="L13653" s="5" t="str">
        <f>HYPERLINK("https://maps.google.com/?q=16.341,-98.447520", "🔗 Ver Mapa")</f>
        <v>🔗 Ver Mapa</v>
      </c>
    </row>
    <row r="13654" spans="1:12" ht="58" x14ac:dyDescent="0.35">
      <c r="A13654" s="6" t="s">
        <v>2781</v>
      </c>
      <c r="B13654" s="6" t="s">
        <v>2782</v>
      </c>
      <c r="C13654" s="6" t="s">
        <v>2871</v>
      </c>
      <c r="D13654" s="6" t="s">
        <v>950</v>
      </c>
      <c r="E13654" s="6" t="s">
        <v>52</v>
      </c>
      <c r="F13654" s="6" t="s">
        <v>53</v>
      </c>
      <c r="G13654" s="6" t="s">
        <v>1853</v>
      </c>
      <c r="H13654" s="6" t="s">
        <v>1854</v>
      </c>
      <c r="I13654" s="6" t="s">
        <v>31</v>
      </c>
      <c r="J13654" s="6">
        <v>17.001259000000001</v>
      </c>
      <c r="K13654" s="6">
        <v>-96.603600999999998</v>
      </c>
      <c r="L13654" s="6" t="str">
        <f>HYPERLINK("https://maps.google.com/?q=17.001259,-96.603601", "🔗 Ver Mapa")</f>
        <v>🔗 Ver Mapa</v>
      </c>
    </row>
    <row r="13655" spans="1:12" ht="58" x14ac:dyDescent="0.35">
      <c r="A13655" s="5" t="s">
        <v>2781</v>
      </c>
      <c r="B13655" s="5" t="s">
        <v>2782</v>
      </c>
      <c r="C13655" s="5" t="s">
        <v>2872</v>
      </c>
      <c r="D13655" s="5" t="s">
        <v>950</v>
      </c>
      <c r="E13655" s="5" t="s">
        <v>17</v>
      </c>
      <c r="F13655" s="5" t="s">
        <v>59</v>
      </c>
      <c r="G13655" s="5" t="s">
        <v>870</v>
      </c>
      <c r="H13655" s="5" t="s">
        <v>2873</v>
      </c>
      <c r="I13655" s="5" t="s">
        <v>31</v>
      </c>
      <c r="J13655" s="5">
        <v>16.279070000000001</v>
      </c>
      <c r="K13655" s="5">
        <v>-97.820269999999994</v>
      </c>
      <c r="L13655" s="5" t="str">
        <f>HYPERLINK("https://maps.google.com/?q=16.27907,-97.820270", "🔗 Ver Mapa")</f>
        <v>🔗 Ver Mapa</v>
      </c>
    </row>
    <row r="13656" spans="1:12" ht="58" x14ac:dyDescent="0.35">
      <c r="A13656" s="6" t="s">
        <v>2781</v>
      </c>
      <c r="B13656" s="6" t="s">
        <v>2782</v>
      </c>
      <c r="C13656" s="6" t="s">
        <v>2874</v>
      </c>
      <c r="D13656" s="6" t="s">
        <v>950</v>
      </c>
      <c r="E13656" s="6" t="s">
        <v>158</v>
      </c>
      <c r="F13656" s="6" t="s">
        <v>166</v>
      </c>
      <c r="G13656" s="6" t="s">
        <v>2127</v>
      </c>
      <c r="H13656" s="6" t="s">
        <v>2875</v>
      </c>
      <c r="I13656" s="6" t="s">
        <v>31</v>
      </c>
      <c r="J13656" s="6">
        <v>16.738140999999999</v>
      </c>
      <c r="K13656" s="6">
        <v>-95.354602</v>
      </c>
      <c r="L13656" s="6" t="str">
        <f>HYPERLINK("https://maps.google.com/?q=16.738141,-95.354602", "🔗 Ver Mapa")</f>
        <v>🔗 Ver Mapa</v>
      </c>
    </row>
    <row r="13657" spans="1:12" ht="58" x14ac:dyDescent="0.35">
      <c r="A13657" s="5" t="s">
        <v>2781</v>
      </c>
      <c r="B13657" s="5" t="s">
        <v>2782</v>
      </c>
      <c r="C13657" s="5" t="s">
        <v>2876</v>
      </c>
      <c r="D13657" s="5" t="s">
        <v>950</v>
      </c>
      <c r="E13657" s="5" t="s">
        <v>17</v>
      </c>
      <c r="F13657" s="5" t="s">
        <v>59</v>
      </c>
      <c r="G13657" s="5" t="s">
        <v>415</v>
      </c>
      <c r="H13657" s="5" t="s">
        <v>1405</v>
      </c>
      <c r="I13657" s="5" t="s">
        <v>31</v>
      </c>
      <c r="J13657" s="5">
        <v>16.56542</v>
      </c>
      <c r="K13657" s="5">
        <v>-97.652343999999999</v>
      </c>
      <c r="L13657" s="5" t="str">
        <f>HYPERLINK("https://maps.google.com/?q=16.56542,-97.652344", "🔗 Ver Mapa")</f>
        <v>🔗 Ver Mapa</v>
      </c>
    </row>
    <row r="13658" spans="1:12" ht="58" x14ac:dyDescent="0.35">
      <c r="A13658" s="6" t="s">
        <v>2781</v>
      </c>
      <c r="B13658" s="6" t="s">
        <v>2782</v>
      </c>
      <c r="C13658" s="6" t="s">
        <v>2877</v>
      </c>
      <c r="D13658" s="6" t="s">
        <v>950</v>
      </c>
      <c r="E13658" s="6" t="s">
        <v>17</v>
      </c>
      <c r="F13658" s="6" t="s">
        <v>59</v>
      </c>
      <c r="G13658" s="6" t="s">
        <v>275</v>
      </c>
      <c r="H13658" s="6" t="s">
        <v>276</v>
      </c>
      <c r="I13658" s="6" t="s">
        <v>31</v>
      </c>
      <c r="J13658" s="6">
        <v>16.302253</v>
      </c>
      <c r="K13658" s="6">
        <v>-97.912865999999994</v>
      </c>
      <c r="L13658" s="6" t="str">
        <f>HYPERLINK("https://maps.google.com/?q=16.302253,-97.912866", "🔗 Ver Mapa")</f>
        <v>🔗 Ver Mapa</v>
      </c>
    </row>
    <row r="13659" spans="1:12" ht="58" x14ac:dyDescent="0.35">
      <c r="A13659" s="5" t="s">
        <v>2781</v>
      </c>
      <c r="B13659" s="5" t="s">
        <v>2782</v>
      </c>
      <c r="C13659" s="5" t="s">
        <v>2878</v>
      </c>
      <c r="D13659" s="5" t="s">
        <v>950</v>
      </c>
      <c r="E13659" s="5" t="s">
        <v>39</v>
      </c>
      <c r="F13659" s="5" t="s">
        <v>494</v>
      </c>
      <c r="G13659" s="5" t="s">
        <v>1973</v>
      </c>
      <c r="H13659" s="5" t="s">
        <v>2879</v>
      </c>
      <c r="I13659" s="5" t="s">
        <v>31</v>
      </c>
      <c r="J13659" s="5">
        <v>16.640829</v>
      </c>
      <c r="K13659" s="5">
        <v>-97.495149999999995</v>
      </c>
      <c r="L13659" s="5" t="str">
        <f>HYPERLINK("https://maps.google.com/?q=16.640829,-97.495150", "🔗 Ver Mapa")</f>
        <v>🔗 Ver Mapa</v>
      </c>
    </row>
    <row r="13660" spans="1:12" ht="58" x14ac:dyDescent="0.35">
      <c r="A13660" s="6" t="s">
        <v>2781</v>
      </c>
      <c r="B13660" s="6" t="s">
        <v>2782</v>
      </c>
      <c r="C13660" s="6" t="s">
        <v>2880</v>
      </c>
      <c r="D13660" s="6" t="s">
        <v>950</v>
      </c>
      <c r="E13660" s="6" t="s">
        <v>39</v>
      </c>
      <c r="F13660" s="6" t="s">
        <v>494</v>
      </c>
      <c r="G13660" s="6" t="s">
        <v>1155</v>
      </c>
      <c r="H13660" s="6" t="s">
        <v>1156</v>
      </c>
      <c r="I13660" s="6" t="s">
        <v>31</v>
      </c>
      <c r="J13660" s="6">
        <v>16.654744000000001</v>
      </c>
      <c r="K13660" s="6">
        <v>-97.338883999999993</v>
      </c>
      <c r="L13660" s="6" t="str">
        <f>HYPERLINK("https://maps.google.com/?q=16.654744,-97.338884", "🔗 Ver Mapa")</f>
        <v>🔗 Ver Mapa</v>
      </c>
    </row>
    <row r="13661" spans="1:12" ht="58" x14ac:dyDescent="0.35">
      <c r="A13661" s="5" t="s">
        <v>2781</v>
      </c>
      <c r="B13661" s="5" t="s">
        <v>2782</v>
      </c>
      <c r="C13661" s="5" t="s">
        <v>2881</v>
      </c>
      <c r="D13661" s="5" t="s">
        <v>950</v>
      </c>
      <c r="E13661" s="5" t="s">
        <v>140</v>
      </c>
      <c r="F13661" s="5" t="s">
        <v>141</v>
      </c>
      <c r="G13661" s="5" t="s">
        <v>682</v>
      </c>
      <c r="H13661" s="5" t="s">
        <v>2882</v>
      </c>
      <c r="I13661" s="5" t="s">
        <v>31</v>
      </c>
      <c r="J13661" s="5">
        <v>17.860099000000002</v>
      </c>
      <c r="K13661" s="5">
        <v>-96.211252000000002</v>
      </c>
      <c r="L13661" s="5" t="str">
        <f>HYPERLINK("https://maps.google.com/?q=17.860099,-96.211252", "🔗 Ver Mapa")</f>
        <v>🔗 Ver Mapa</v>
      </c>
    </row>
    <row r="13662" spans="1:12" ht="58" x14ac:dyDescent="0.35">
      <c r="A13662" s="6" t="s">
        <v>2781</v>
      </c>
      <c r="B13662" s="6" t="s">
        <v>2782</v>
      </c>
      <c r="C13662" s="6" t="s">
        <v>2883</v>
      </c>
      <c r="D13662" s="6" t="s">
        <v>950</v>
      </c>
      <c r="E13662" s="6" t="s">
        <v>140</v>
      </c>
      <c r="F13662" s="6" t="s">
        <v>141</v>
      </c>
      <c r="G13662" s="6" t="s">
        <v>430</v>
      </c>
      <c r="H13662" s="6" t="s">
        <v>431</v>
      </c>
      <c r="I13662" s="6" t="s">
        <v>31</v>
      </c>
      <c r="J13662" s="6">
        <v>17.676680000000001</v>
      </c>
      <c r="K13662" s="6">
        <v>-96.133302</v>
      </c>
      <c r="L13662" s="6" t="str">
        <f>HYPERLINK("https://maps.google.com/?q=17.67668,-96.133302", "🔗 Ver Mapa")</f>
        <v>🔗 Ver Mapa</v>
      </c>
    </row>
    <row r="13663" spans="1:12" ht="58" x14ac:dyDescent="0.35">
      <c r="A13663" s="5" t="s">
        <v>2781</v>
      </c>
      <c r="B13663" s="5" t="s">
        <v>2782</v>
      </c>
      <c r="C13663" s="5" t="s">
        <v>2884</v>
      </c>
      <c r="D13663" s="5" t="s">
        <v>950</v>
      </c>
      <c r="E13663" s="5" t="s">
        <v>52</v>
      </c>
      <c r="F13663" s="5" t="s">
        <v>443</v>
      </c>
      <c r="G13663" s="5" t="s">
        <v>2451</v>
      </c>
      <c r="H13663" s="5" t="s">
        <v>2452</v>
      </c>
      <c r="I13663" s="5" t="s">
        <v>31</v>
      </c>
      <c r="J13663" s="5">
        <v>16.896861000000001</v>
      </c>
      <c r="K13663" s="5">
        <v>-96.766546000000005</v>
      </c>
      <c r="L13663" s="5" t="str">
        <f>HYPERLINK("https://maps.google.com/?q=16.896861,-96.766546", "🔗 Ver Mapa")</f>
        <v>🔗 Ver Mapa</v>
      </c>
    </row>
    <row r="13664" spans="1:12" ht="58" x14ac:dyDescent="0.35">
      <c r="A13664" s="6" t="s">
        <v>2781</v>
      </c>
      <c r="B13664" s="6" t="s">
        <v>2782</v>
      </c>
      <c r="C13664" s="6" t="s">
        <v>2885</v>
      </c>
      <c r="D13664" s="6" t="s">
        <v>950</v>
      </c>
      <c r="E13664" s="6" t="s">
        <v>90</v>
      </c>
      <c r="F13664" s="6" t="s">
        <v>91</v>
      </c>
      <c r="G13664" s="6" t="s">
        <v>232</v>
      </c>
      <c r="H13664" s="6" t="s">
        <v>233</v>
      </c>
      <c r="I13664" s="6" t="s">
        <v>31</v>
      </c>
      <c r="J13664" s="6">
        <v>17.055140000000002</v>
      </c>
      <c r="K13664" s="6">
        <v>-96.065353000000002</v>
      </c>
      <c r="L13664" s="6" t="str">
        <f>HYPERLINK("https://maps.google.com/?q=17.05514,-96.065353", "🔗 Ver Mapa")</f>
        <v>🔗 Ver Mapa</v>
      </c>
    </row>
    <row r="13665" spans="1:12" ht="58" x14ac:dyDescent="0.35">
      <c r="A13665" s="5" t="s">
        <v>2781</v>
      </c>
      <c r="B13665" s="5" t="s">
        <v>2782</v>
      </c>
      <c r="C13665" s="5" t="s">
        <v>2886</v>
      </c>
      <c r="D13665" s="5" t="s">
        <v>950</v>
      </c>
      <c r="E13665" s="5" t="s">
        <v>90</v>
      </c>
      <c r="F13665" s="5" t="s">
        <v>119</v>
      </c>
      <c r="G13665" s="5" t="s">
        <v>350</v>
      </c>
      <c r="H13665" s="5" t="s">
        <v>351</v>
      </c>
      <c r="I13665" s="5" t="s">
        <v>31</v>
      </c>
      <c r="J13665" s="5">
        <v>17.318033</v>
      </c>
      <c r="K13665" s="5">
        <v>-96.493690000000001</v>
      </c>
      <c r="L13665" s="5" t="str">
        <f>HYPERLINK("https://maps.google.com/?q=17.318033,-96.49369", "🔗 Ver Mapa")</f>
        <v>🔗 Ver Mapa</v>
      </c>
    </row>
    <row r="13666" spans="1:12" ht="58" x14ac:dyDescent="0.35">
      <c r="A13666" s="6" t="s">
        <v>2781</v>
      </c>
      <c r="B13666" s="6" t="s">
        <v>2782</v>
      </c>
      <c r="C13666" s="6" t="s">
        <v>2887</v>
      </c>
      <c r="D13666" s="6" t="s">
        <v>950</v>
      </c>
      <c r="E13666" s="6" t="s">
        <v>158</v>
      </c>
      <c r="F13666" s="6" t="s">
        <v>166</v>
      </c>
      <c r="G13666" s="6" t="s">
        <v>2788</v>
      </c>
      <c r="H13666" s="6" t="s">
        <v>2789</v>
      </c>
      <c r="I13666" s="6" t="s">
        <v>31</v>
      </c>
      <c r="J13666" s="6">
        <v>16.792712000000002</v>
      </c>
      <c r="K13666" s="6">
        <v>-95.368638000000004</v>
      </c>
      <c r="L13666" s="6" t="str">
        <f>HYPERLINK("https://maps.google.com/?q=16.792712,-95.368638", "🔗 Ver Mapa")</f>
        <v>🔗 Ver Mapa</v>
      </c>
    </row>
    <row r="13667" spans="1:12" ht="58" x14ac:dyDescent="0.35">
      <c r="A13667" s="5" t="s">
        <v>2781</v>
      </c>
      <c r="B13667" s="5" t="s">
        <v>2782</v>
      </c>
      <c r="C13667" s="5" t="s">
        <v>2888</v>
      </c>
      <c r="D13667" s="5" t="s">
        <v>950</v>
      </c>
      <c r="E13667" s="5" t="s">
        <v>90</v>
      </c>
      <c r="F13667" s="5" t="s">
        <v>678</v>
      </c>
      <c r="G13667" s="5" t="s">
        <v>2424</v>
      </c>
      <c r="H13667" s="5" t="s">
        <v>2425</v>
      </c>
      <c r="I13667" s="5" t="s">
        <v>31</v>
      </c>
      <c r="J13667" s="5">
        <v>17.185565</v>
      </c>
      <c r="K13667" s="5">
        <v>-96.178961000000001</v>
      </c>
      <c r="L13667" s="5" t="str">
        <f>HYPERLINK("https://maps.google.com/?q=17.185565,-96.178961", "🔗 Ver Mapa")</f>
        <v>🔗 Ver Mapa</v>
      </c>
    </row>
    <row r="13668" spans="1:12" ht="58" x14ac:dyDescent="0.35">
      <c r="A13668" s="6" t="s">
        <v>2781</v>
      </c>
      <c r="B13668" s="6" t="s">
        <v>2782</v>
      </c>
      <c r="C13668" s="6" t="s">
        <v>2889</v>
      </c>
      <c r="D13668" s="6" t="s">
        <v>950</v>
      </c>
      <c r="E13668" s="6" t="s">
        <v>110</v>
      </c>
      <c r="F13668" s="6" t="s">
        <v>111</v>
      </c>
      <c r="G13668" s="6" t="s">
        <v>2792</v>
      </c>
      <c r="H13668" s="6" t="s">
        <v>2793</v>
      </c>
      <c r="I13668" s="6" t="s">
        <v>31</v>
      </c>
      <c r="J13668" s="6">
        <v>18.102124</v>
      </c>
      <c r="K13668" s="6">
        <v>-96.797460999999998</v>
      </c>
      <c r="L13668" s="6" t="str">
        <f>HYPERLINK("https://maps.google.com/?q=18.102124,-96.797461", "🔗 Ver Mapa")</f>
        <v>🔗 Ver Mapa</v>
      </c>
    </row>
    <row r="13669" spans="1:12" ht="58" x14ac:dyDescent="0.35">
      <c r="A13669" s="5" t="s">
        <v>2781</v>
      </c>
      <c r="B13669" s="5" t="s">
        <v>2782</v>
      </c>
      <c r="C13669" s="5" t="s">
        <v>2890</v>
      </c>
      <c r="D13669" s="5" t="s">
        <v>950</v>
      </c>
      <c r="E13669" s="5" t="s">
        <v>90</v>
      </c>
      <c r="F13669" s="5" t="s">
        <v>119</v>
      </c>
      <c r="G13669" s="5" t="s">
        <v>347</v>
      </c>
      <c r="H13669" s="5" t="s">
        <v>348</v>
      </c>
      <c r="I13669" s="5" t="s">
        <v>31</v>
      </c>
      <c r="J13669" s="5">
        <v>17.331381</v>
      </c>
      <c r="K13669" s="5">
        <v>-96.487408000000002</v>
      </c>
      <c r="L13669" s="5" t="str">
        <f>HYPERLINK("https://maps.google.com/?q=17.331381,-96.487408", "🔗 Ver Mapa")</f>
        <v>🔗 Ver Mapa</v>
      </c>
    </row>
    <row r="13670" spans="1:12" ht="58" x14ac:dyDescent="0.35">
      <c r="A13670" s="6" t="s">
        <v>2781</v>
      </c>
      <c r="B13670" s="6" t="s">
        <v>2782</v>
      </c>
      <c r="C13670" s="6" t="s">
        <v>2891</v>
      </c>
      <c r="D13670" s="6" t="s">
        <v>950</v>
      </c>
      <c r="E13670" s="6" t="s">
        <v>158</v>
      </c>
      <c r="F13670" s="6" t="s">
        <v>166</v>
      </c>
      <c r="G13670" s="6" t="s">
        <v>815</v>
      </c>
      <c r="H13670" s="6" t="s">
        <v>816</v>
      </c>
      <c r="I13670" s="6" t="s">
        <v>31</v>
      </c>
      <c r="J13670" s="6">
        <v>16.398880999999999</v>
      </c>
      <c r="K13670" s="6">
        <v>-95.603144</v>
      </c>
      <c r="L13670" s="6" t="str">
        <f>HYPERLINK("https://maps.google.com/?q=16.398881,-95.603144", "🔗 Ver Mapa")</f>
        <v>🔗 Ver Mapa</v>
      </c>
    </row>
    <row r="13671" spans="1:12" ht="58" x14ac:dyDescent="0.35">
      <c r="A13671" s="5" t="s">
        <v>2781</v>
      </c>
      <c r="B13671" s="5" t="s">
        <v>2782</v>
      </c>
      <c r="C13671" s="5" t="s">
        <v>2892</v>
      </c>
      <c r="D13671" s="5" t="s">
        <v>950</v>
      </c>
      <c r="E13671" s="5" t="s">
        <v>158</v>
      </c>
      <c r="F13671" s="5" t="s">
        <v>166</v>
      </c>
      <c r="G13671" s="5" t="s">
        <v>2797</v>
      </c>
      <c r="H13671" s="5" t="s">
        <v>2798</v>
      </c>
      <c r="I13671" s="5" t="s">
        <v>31</v>
      </c>
      <c r="J13671" s="5">
        <v>16.503810000000001</v>
      </c>
      <c r="K13671" s="5">
        <v>-95.203012000000001</v>
      </c>
      <c r="L13671" s="5" t="str">
        <f>HYPERLINK("https://maps.google.com/?q=16.50381,-95.203012", "🔗 Ver Mapa")</f>
        <v>🔗 Ver Mapa</v>
      </c>
    </row>
    <row r="13672" spans="1:12" ht="58" x14ac:dyDescent="0.35">
      <c r="A13672" s="6" t="s">
        <v>2781</v>
      </c>
      <c r="B13672" s="6" t="s">
        <v>2782</v>
      </c>
      <c r="C13672" s="6" t="s">
        <v>2893</v>
      </c>
      <c r="D13672" s="6" t="s">
        <v>950</v>
      </c>
      <c r="E13672" s="6" t="s">
        <v>90</v>
      </c>
      <c r="F13672" s="6" t="s">
        <v>91</v>
      </c>
      <c r="G13672" s="6" t="s">
        <v>2800</v>
      </c>
      <c r="H13672" s="6" t="s">
        <v>2801</v>
      </c>
      <c r="I13672" s="6" t="s">
        <v>31</v>
      </c>
      <c r="J13672" s="6">
        <v>17.146398999999999</v>
      </c>
      <c r="K13672" s="6">
        <v>-96.112121999999999</v>
      </c>
      <c r="L13672" s="6" t="str">
        <f>HYPERLINK("https://maps.google.com/?q=17.146399,-96.112122", "🔗 Ver Mapa")</f>
        <v>🔗 Ver Mapa</v>
      </c>
    </row>
    <row r="13673" spans="1:12" ht="58" x14ac:dyDescent="0.35">
      <c r="A13673" s="5" t="s">
        <v>2781</v>
      </c>
      <c r="B13673" s="5" t="s">
        <v>2782</v>
      </c>
      <c r="C13673" s="5" t="s">
        <v>2894</v>
      </c>
      <c r="D13673" s="5" t="s">
        <v>950</v>
      </c>
      <c r="E13673" s="5" t="s">
        <v>39</v>
      </c>
      <c r="F13673" s="5" t="s">
        <v>133</v>
      </c>
      <c r="G13673" s="5" t="s">
        <v>357</v>
      </c>
      <c r="H13673" s="5" t="s">
        <v>837</v>
      </c>
      <c r="I13673" s="5" t="s">
        <v>31</v>
      </c>
      <c r="J13673" s="5">
        <v>16.60821</v>
      </c>
      <c r="K13673" s="5">
        <v>-95.980502999999999</v>
      </c>
      <c r="L13673" s="5" t="str">
        <f>HYPERLINK("https://maps.google.com/?q=16.60821,-95.980503", "🔗 Ver Mapa")</f>
        <v>🔗 Ver Mapa</v>
      </c>
    </row>
    <row r="13674" spans="1:12" ht="58" x14ac:dyDescent="0.35">
      <c r="A13674" s="6" t="s">
        <v>2781</v>
      </c>
      <c r="B13674" s="6" t="s">
        <v>2782</v>
      </c>
      <c r="C13674" s="6" t="s">
        <v>2895</v>
      </c>
      <c r="D13674" s="6" t="s">
        <v>950</v>
      </c>
      <c r="E13674" s="6" t="s">
        <v>90</v>
      </c>
      <c r="F13674" s="6" t="s">
        <v>678</v>
      </c>
      <c r="G13674" s="6" t="s">
        <v>1896</v>
      </c>
      <c r="H13674" s="6" t="s">
        <v>1897</v>
      </c>
      <c r="I13674" s="6" t="s">
        <v>31</v>
      </c>
      <c r="J13674" s="6">
        <v>17.271014999999998</v>
      </c>
      <c r="K13674" s="6">
        <v>-96.236877000000007</v>
      </c>
      <c r="L13674" s="6" t="str">
        <f>HYPERLINK("https://maps.google.com/?q=17.271015,-96.236877", "🔗 Ver Mapa")</f>
        <v>🔗 Ver Mapa</v>
      </c>
    </row>
    <row r="13675" spans="1:12" ht="58" x14ac:dyDescent="0.35">
      <c r="A13675" s="5" t="s">
        <v>2781</v>
      </c>
      <c r="B13675" s="5" t="s">
        <v>2782</v>
      </c>
      <c r="C13675" s="5" t="s">
        <v>2896</v>
      </c>
      <c r="D13675" s="5" t="s">
        <v>950</v>
      </c>
      <c r="E13675" s="5" t="s">
        <v>90</v>
      </c>
      <c r="F13675" s="5" t="s">
        <v>678</v>
      </c>
      <c r="G13675" s="5" t="s">
        <v>2805</v>
      </c>
      <c r="H13675" s="5" t="s">
        <v>2806</v>
      </c>
      <c r="I13675" s="5" t="s">
        <v>31</v>
      </c>
      <c r="J13675" s="5">
        <v>17.292760000000001</v>
      </c>
      <c r="K13675" s="5">
        <v>-96.153721000000004</v>
      </c>
      <c r="L13675" s="5" t="str">
        <f>HYPERLINK("https://maps.google.com/?q=17.29276,-96.153721", "🔗 Ver Mapa")</f>
        <v>🔗 Ver Mapa</v>
      </c>
    </row>
    <row r="13676" spans="1:12" ht="58" x14ac:dyDescent="0.35">
      <c r="A13676" s="6" t="s">
        <v>2781</v>
      </c>
      <c r="B13676" s="6" t="s">
        <v>2782</v>
      </c>
      <c r="C13676" s="6" t="s">
        <v>2897</v>
      </c>
      <c r="D13676" s="6" t="s">
        <v>950</v>
      </c>
      <c r="E13676" s="6" t="s">
        <v>90</v>
      </c>
      <c r="F13676" s="6" t="s">
        <v>678</v>
      </c>
      <c r="G13676" s="6" t="s">
        <v>679</v>
      </c>
      <c r="H13676" s="6" t="s">
        <v>2808</v>
      </c>
      <c r="I13676" s="6" t="s">
        <v>31</v>
      </c>
      <c r="J13676" s="6">
        <v>17.228117999999998</v>
      </c>
      <c r="K13676" s="6">
        <v>-96.220205000000007</v>
      </c>
      <c r="L13676" s="6" t="str">
        <f>HYPERLINK("https://maps.google.com/?q=17.228118,-96.220205", "🔗 Ver Mapa")</f>
        <v>🔗 Ver Mapa</v>
      </c>
    </row>
    <row r="13677" spans="1:12" ht="58" x14ac:dyDescent="0.35">
      <c r="A13677" s="5" t="s">
        <v>2781</v>
      </c>
      <c r="B13677" s="5" t="s">
        <v>2782</v>
      </c>
      <c r="C13677" s="5" t="s">
        <v>2898</v>
      </c>
      <c r="D13677" s="5" t="s">
        <v>950</v>
      </c>
      <c r="E13677" s="5" t="s">
        <v>140</v>
      </c>
      <c r="F13677" s="5" t="s">
        <v>141</v>
      </c>
      <c r="G13677" s="5" t="s">
        <v>187</v>
      </c>
      <c r="H13677" s="5" t="s">
        <v>188</v>
      </c>
      <c r="I13677" s="5" t="s">
        <v>31</v>
      </c>
      <c r="J13677" s="5">
        <v>18.081175000000002</v>
      </c>
      <c r="K13677" s="5">
        <v>-96.118491000000006</v>
      </c>
      <c r="L13677" s="5" t="str">
        <f>HYPERLINK("https://maps.google.com/?q=18.081175,-96.118491", "🔗 Ver Mapa")</f>
        <v>🔗 Ver Mapa</v>
      </c>
    </row>
    <row r="13678" spans="1:12" ht="58" x14ac:dyDescent="0.35">
      <c r="A13678" s="6" t="s">
        <v>2781</v>
      </c>
      <c r="B13678" s="6" t="s">
        <v>2782</v>
      </c>
      <c r="C13678" s="6" t="s">
        <v>2899</v>
      </c>
      <c r="D13678" s="6" t="s">
        <v>950</v>
      </c>
      <c r="E13678" s="6" t="s">
        <v>52</v>
      </c>
      <c r="F13678" s="6" t="s">
        <v>70</v>
      </c>
      <c r="G13678" s="6" t="s">
        <v>272</v>
      </c>
      <c r="H13678" s="6" t="s">
        <v>273</v>
      </c>
      <c r="I13678" s="6" t="s">
        <v>31</v>
      </c>
      <c r="J13678" s="6">
        <v>16.95834</v>
      </c>
      <c r="K13678" s="6">
        <v>-96.707589999999996</v>
      </c>
      <c r="L13678" s="6" t="str">
        <f>HYPERLINK("https://maps.google.com/?q=16.95834,-96.70759", "🔗 Ver Mapa")</f>
        <v>🔗 Ver Mapa</v>
      </c>
    </row>
    <row r="13679" spans="1:12" ht="58" x14ac:dyDescent="0.35">
      <c r="A13679" s="5" t="s">
        <v>2781</v>
      </c>
      <c r="B13679" s="5" t="s">
        <v>2782</v>
      </c>
      <c r="C13679" s="5" t="s">
        <v>2900</v>
      </c>
      <c r="D13679" s="5" t="s">
        <v>950</v>
      </c>
      <c r="E13679" s="5" t="s">
        <v>39</v>
      </c>
      <c r="F13679" s="5" t="s">
        <v>133</v>
      </c>
      <c r="G13679" s="5" t="s">
        <v>2811</v>
      </c>
      <c r="H13679" s="5" t="s">
        <v>2812</v>
      </c>
      <c r="I13679" s="5" t="s">
        <v>31</v>
      </c>
      <c r="J13679" s="5">
        <v>16.500622</v>
      </c>
      <c r="K13679" s="5">
        <v>-96.106727000000006</v>
      </c>
      <c r="L13679" s="5" t="str">
        <f>HYPERLINK("https://maps.google.com/?q=16.500622,-96.106727", "🔗 Ver Mapa")</f>
        <v>🔗 Ver Mapa</v>
      </c>
    </row>
    <row r="13680" spans="1:12" ht="58" x14ac:dyDescent="0.35">
      <c r="A13680" s="6" t="s">
        <v>2781</v>
      </c>
      <c r="B13680" s="6" t="s">
        <v>2782</v>
      </c>
      <c r="C13680" s="6" t="s">
        <v>2901</v>
      </c>
      <c r="D13680" s="6" t="s">
        <v>950</v>
      </c>
      <c r="E13680" s="6" t="s">
        <v>90</v>
      </c>
      <c r="F13680" s="6" t="s">
        <v>678</v>
      </c>
      <c r="G13680" s="6" t="s">
        <v>992</v>
      </c>
      <c r="H13680" s="6" t="s">
        <v>993</v>
      </c>
      <c r="I13680" s="6" t="s">
        <v>31</v>
      </c>
      <c r="J13680" s="6">
        <v>17.335708</v>
      </c>
      <c r="K13680" s="6">
        <v>-96.164985000000001</v>
      </c>
      <c r="L13680" s="6" t="str">
        <f>HYPERLINK("https://maps.google.com/?q=17.335708,-96.164985", "🔗 Ver Mapa")</f>
        <v>🔗 Ver Mapa</v>
      </c>
    </row>
    <row r="13681" spans="1:12" ht="58" x14ac:dyDescent="0.35">
      <c r="A13681" s="5" t="s">
        <v>2781</v>
      </c>
      <c r="B13681" s="5" t="s">
        <v>2782</v>
      </c>
      <c r="C13681" s="5" t="s">
        <v>2902</v>
      </c>
      <c r="D13681" s="5" t="s">
        <v>950</v>
      </c>
      <c r="E13681" s="5" t="s">
        <v>158</v>
      </c>
      <c r="F13681" s="5" t="s">
        <v>159</v>
      </c>
      <c r="G13681" s="5" t="s">
        <v>2815</v>
      </c>
      <c r="H13681" s="5" t="s">
        <v>2816</v>
      </c>
      <c r="I13681" s="5" t="s">
        <v>31</v>
      </c>
      <c r="J13681" s="5">
        <v>16.320613999999999</v>
      </c>
      <c r="K13681" s="5">
        <v>-94.756941999999995</v>
      </c>
      <c r="L13681" s="5" t="str">
        <f>HYPERLINK("https://maps.google.com/?q=16.320614,-94.756942", "🔗 Ver Mapa")</f>
        <v>🔗 Ver Mapa</v>
      </c>
    </row>
    <row r="13682" spans="1:12" ht="58" x14ac:dyDescent="0.35">
      <c r="A13682" s="6" t="s">
        <v>2781</v>
      </c>
      <c r="B13682" s="6" t="s">
        <v>2782</v>
      </c>
      <c r="C13682" s="6" t="s">
        <v>2903</v>
      </c>
      <c r="D13682" s="6" t="s">
        <v>950</v>
      </c>
      <c r="E13682" s="6" t="s">
        <v>90</v>
      </c>
      <c r="F13682" s="6" t="s">
        <v>678</v>
      </c>
      <c r="G13682" s="6" t="s">
        <v>2818</v>
      </c>
      <c r="H13682" s="6" t="s">
        <v>2819</v>
      </c>
      <c r="I13682" s="6" t="s">
        <v>31</v>
      </c>
      <c r="J13682" s="6">
        <v>17.172329999999999</v>
      </c>
      <c r="K13682" s="6">
        <v>-96.251266999999999</v>
      </c>
      <c r="L13682" s="6" t="str">
        <f>HYPERLINK("https://maps.google.com/?q=17.17233,-96.251267", "🔗 Ver Mapa")</f>
        <v>🔗 Ver Mapa</v>
      </c>
    </row>
    <row r="13683" spans="1:12" ht="58" x14ac:dyDescent="0.35">
      <c r="A13683" s="5" t="s">
        <v>2781</v>
      </c>
      <c r="B13683" s="5" t="s">
        <v>2782</v>
      </c>
      <c r="C13683" s="5" t="s">
        <v>2904</v>
      </c>
      <c r="D13683" s="5" t="s">
        <v>950</v>
      </c>
      <c r="E13683" s="5" t="s">
        <v>158</v>
      </c>
      <c r="F13683" s="5" t="s">
        <v>159</v>
      </c>
      <c r="G13683" s="5" t="s">
        <v>805</v>
      </c>
      <c r="H13683" s="5" t="s">
        <v>1909</v>
      </c>
      <c r="I13683" s="5" t="s">
        <v>31</v>
      </c>
      <c r="J13683" s="5">
        <v>16.352335</v>
      </c>
      <c r="K13683" s="5">
        <v>-94.483881999999994</v>
      </c>
      <c r="L13683" s="5" t="str">
        <f>HYPERLINK("https://maps.google.com/?q=16.352335,-94.483882", "🔗 Ver Mapa")</f>
        <v>🔗 Ver Mapa</v>
      </c>
    </row>
    <row r="13684" spans="1:12" ht="58" x14ac:dyDescent="0.35">
      <c r="A13684" s="6" t="s">
        <v>2781</v>
      </c>
      <c r="B13684" s="6" t="s">
        <v>2782</v>
      </c>
      <c r="C13684" s="6" t="s">
        <v>2905</v>
      </c>
      <c r="D13684" s="6" t="s">
        <v>950</v>
      </c>
      <c r="E13684" s="6" t="s">
        <v>90</v>
      </c>
      <c r="F13684" s="6" t="s">
        <v>678</v>
      </c>
      <c r="G13684" s="6" t="s">
        <v>1927</v>
      </c>
      <c r="H13684" s="6" t="s">
        <v>2824</v>
      </c>
      <c r="I13684" s="6" t="s">
        <v>31</v>
      </c>
      <c r="J13684" s="6">
        <v>17.338601000000001</v>
      </c>
      <c r="K13684" s="6">
        <v>-96.152518000000001</v>
      </c>
      <c r="L13684" s="6" t="str">
        <f>HYPERLINK("https://maps.google.com/?q=17.338601,-96.152518", "🔗 Ver Mapa")</f>
        <v>🔗 Ver Mapa</v>
      </c>
    </row>
    <row r="13685" spans="1:12" ht="58" x14ac:dyDescent="0.35">
      <c r="A13685" s="5" t="s">
        <v>2781</v>
      </c>
      <c r="B13685" s="5" t="s">
        <v>2782</v>
      </c>
      <c r="C13685" s="5" t="s">
        <v>2906</v>
      </c>
      <c r="D13685" s="5" t="s">
        <v>950</v>
      </c>
      <c r="E13685" s="5" t="s">
        <v>140</v>
      </c>
      <c r="F13685" s="5" t="s">
        <v>141</v>
      </c>
      <c r="G13685" s="5" t="s">
        <v>261</v>
      </c>
      <c r="H13685" s="5" t="s">
        <v>262</v>
      </c>
      <c r="I13685" s="5" t="s">
        <v>31</v>
      </c>
      <c r="J13685" s="5">
        <v>17.945298999999999</v>
      </c>
      <c r="K13685" s="5">
        <v>-96.170509999999993</v>
      </c>
      <c r="L13685" s="5" t="str">
        <f>HYPERLINK("https://maps.google.com/?q=17.945299,-96.17051", "🔗 Ver Mapa")</f>
        <v>🔗 Ver Mapa</v>
      </c>
    </row>
    <row r="13686" spans="1:12" ht="58" x14ac:dyDescent="0.35">
      <c r="A13686" s="6" t="s">
        <v>2781</v>
      </c>
      <c r="B13686" s="6" t="s">
        <v>2782</v>
      </c>
      <c r="C13686" s="6" t="s">
        <v>2907</v>
      </c>
      <c r="D13686" s="6" t="s">
        <v>950</v>
      </c>
      <c r="E13686" s="6" t="s">
        <v>90</v>
      </c>
      <c r="F13686" s="6" t="s">
        <v>678</v>
      </c>
      <c r="G13686" s="6" t="s">
        <v>1481</v>
      </c>
      <c r="H13686" s="6" t="s">
        <v>1482</v>
      </c>
      <c r="I13686" s="6" t="s">
        <v>31</v>
      </c>
      <c r="J13686" s="6">
        <v>17.354036000000001</v>
      </c>
      <c r="K13686" s="6">
        <v>-96.304191000000003</v>
      </c>
      <c r="L13686" s="6" t="str">
        <f>HYPERLINK("https://maps.google.com/?q=17.354036,-96.304191", "🔗 Ver Mapa")</f>
        <v>🔗 Ver Mapa</v>
      </c>
    </row>
    <row r="13687" spans="1:12" ht="58" x14ac:dyDescent="0.35">
      <c r="A13687" s="5" t="s">
        <v>2781</v>
      </c>
      <c r="B13687" s="5" t="s">
        <v>2782</v>
      </c>
      <c r="C13687" s="5" t="s">
        <v>2908</v>
      </c>
      <c r="D13687" s="5" t="s">
        <v>950</v>
      </c>
      <c r="E13687" s="5" t="s">
        <v>52</v>
      </c>
      <c r="F13687" s="5" t="s">
        <v>83</v>
      </c>
      <c r="G13687" s="5" t="s">
        <v>1143</v>
      </c>
      <c r="H13687" s="5" t="s">
        <v>1144</v>
      </c>
      <c r="I13687" s="5" t="s">
        <v>31</v>
      </c>
      <c r="J13687" s="5">
        <v>17.129372</v>
      </c>
      <c r="K13687" s="5">
        <v>-96.801907999999997</v>
      </c>
      <c r="L13687" s="5" t="str">
        <f>HYPERLINK("https://maps.google.com/?q=17.129372,-96.801908", "🔗 Ver Mapa")</f>
        <v>🔗 Ver Mapa</v>
      </c>
    </row>
    <row r="13688" spans="1:12" ht="58" x14ac:dyDescent="0.35">
      <c r="A13688" s="6" t="s">
        <v>2781</v>
      </c>
      <c r="B13688" s="6" t="s">
        <v>2782</v>
      </c>
      <c r="C13688" s="6" t="s">
        <v>2909</v>
      </c>
      <c r="D13688" s="6" t="s">
        <v>950</v>
      </c>
      <c r="E13688" s="6" t="s">
        <v>90</v>
      </c>
      <c r="F13688" s="6" t="s">
        <v>678</v>
      </c>
      <c r="G13688" s="6" t="s">
        <v>2832</v>
      </c>
      <c r="H13688" s="6" t="s">
        <v>2833</v>
      </c>
      <c r="I13688" s="6" t="s">
        <v>31</v>
      </c>
      <c r="J13688" s="6">
        <v>17.161771000000002</v>
      </c>
      <c r="K13688" s="6">
        <v>-96.209012999999999</v>
      </c>
      <c r="L13688" s="6" t="str">
        <f>HYPERLINK("https://maps.google.com/?q=17.161771,-96.209013", "🔗 Ver Mapa")</f>
        <v>🔗 Ver Mapa</v>
      </c>
    </row>
    <row r="13689" spans="1:12" ht="58" x14ac:dyDescent="0.35">
      <c r="A13689" s="5" t="s">
        <v>2781</v>
      </c>
      <c r="B13689" s="5" t="s">
        <v>2782</v>
      </c>
      <c r="C13689" s="5" t="s">
        <v>2910</v>
      </c>
      <c r="D13689" s="5" t="s">
        <v>950</v>
      </c>
      <c r="E13689" s="5" t="s">
        <v>158</v>
      </c>
      <c r="F13689" s="5" t="s">
        <v>159</v>
      </c>
      <c r="G13689" s="5" t="s">
        <v>163</v>
      </c>
      <c r="H13689" s="5" t="s">
        <v>2430</v>
      </c>
      <c r="I13689" s="5" t="s">
        <v>31</v>
      </c>
      <c r="J13689" s="5">
        <v>16.714486999999998</v>
      </c>
      <c r="K13689" s="5">
        <v>-94.748193000000001</v>
      </c>
      <c r="L13689" s="5" t="str">
        <f>HYPERLINK("https://maps.google.com/?q=16.714487,-94.748193", "🔗 Ver Mapa")</f>
        <v>🔗 Ver Mapa</v>
      </c>
    </row>
    <row r="13690" spans="1:12" ht="58" x14ac:dyDescent="0.35">
      <c r="A13690" s="6" t="s">
        <v>2781</v>
      </c>
      <c r="B13690" s="6" t="s">
        <v>2782</v>
      </c>
      <c r="C13690" s="6" t="s">
        <v>2911</v>
      </c>
      <c r="D13690" s="6" t="s">
        <v>950</v>
      </c>
      <c r="E13690" s="6" t="s">
        <v>17</v>
      </c>
      <c r="F13690" s="6" t="s">
        <v>20</v>
      </c>
      <c r="G13690" s="6" t="s">
        <v>155</v>
      </c>
      <c r="H13690" s="6" t="s">
        <v>2837</v>
      </c>
      <c r="I13690" s="6" t="s">
        <v>31</v>
      </c>
      <c r="J13690" s="6">
        <v>15.92183</v>
      </c>
      <c r="K13690" s="6">
        <v>-96.175139999999999</v>
      </c>
      <c r="L13690" s="6" t="str">
        <f>HYPERLINK("https://maps.google.com/?q=15.92183,-96.175140", "🔗 Ver Mapa")</f>
        <v>🔗 Ver Mapa</v>
      </c>
    </row>
    <row r="13691" spans="1:12" ht="58" x14ac:dyDescent="0.35">
      <c r="A13691" s="5" t="s">
        <v>2781</v>
      </c>
      <c r="B13691" s="5" t="s">
        <v>2782</v>
      </c>
      <c r="C13691" s="5" t="s">
        <v>2912</v>
      </c>
      <c r="D13691" s="5" t="s">
        <v>950</v>
      </c>
      <c r="E13691" s="5" t="s">
        <v>39</v>
      </c>
      <c r="F13691" s="5" t="s">
        <v>494</v>
      </c>
      <c r="G13691" s="5" t="s">
        <v>639</v>
      </c>
      <c r="H13691" s="5" t="s">
        <v>640</v>
      </c>
      <c r="I13691" s="5" t="s">
        <v>31</v>
      </c>
      <c r="J13691" s="5">
        <v>16.514762000000001</v>
      </c>
      <c r="K13691" s="5">
        <v>-96.978093999999999</v>
      </c>
      <c r="L13691" s="5" t="str">
        <f>HYPERLINK("https://maps.google.com/?q=16.514762,-96.978094", "🔗 Ver Mapa")</f>
        <v>🔗 Ver Mapa</v>
      </c>
    </row>
    <row r="13692" spans="1:12" ht="58" x14ac:dyDescent="0.35">
      <c r="A13692" s="6" t="s">
        <v>2781</v>
      </c>
      <c r="B13692" s="6" t="s">
        <v>2782</v>
      </c>
      <c r="C13692" s="6" t="s">
        <v>2913</v>
      </c>
      <c r="D13692" s="6" t="s">
        <v>950</v>
      </c>
      <c r="E13692" s="6" t="s">
        <v>52</v>
      </c>
      <c r="F13692" s="6" t="s">
        <v>70</v>
      </c>
      <c r="G13692" s="6" t="s">
        <v>225</v>
      </c>
      <c r="H13692" s="6" t="s">
        <v>226</v>
      </c>
      <c r="I13692" s="6" t="s">
        <v>31</v>
      </c>
      <c r="J13692" s="6">
        <v>16.996043</v>
      </c>
      <c r="K13692" s="6">
        <v>-96.780592999999996</v>
      </c>
      <c r="L13692" s="6" t="str">
        <f>HYPERLINK("https://maps.google.com/?q=16.996043,-96.780593", "🔗 Ver Mapa")</f>
        <v>🔗 Ver Mapa</v>
      </c>
    </row>
    <row r="13693" spans="1:12" ht="58" x14ac:dyDescent="0.35">
      <c r="A13693" s="5" t="s">
        <v>2781</v>
      </c>
      <c r="B13693" s="5" t="s">
        <v>2782</v>
      </c>
      <c r="C13693" s="5" t="s">
        <v>2914</v>
      </c>
      <c r="D13693" s="5" t="s">
        <v>950</v>
      </c>
      <c r="E13693" s="5" t="s">
        <v>52</v>
      </c>
      <c r="F13693" s="5" t="s">
        <v>421</v>
      </c>
      <c r="G13693" s="5" t="s">
        <v>422</v>
      </c>
      <c r="H13693" s="5" t="s">
        <v>423</v>
      </c>
      <c r="I13693" s="5" t="s">
        <v>31</v>
      </c>
      <c r="J13693" s="5">
        <v>16.564287</v>
      </c>
      <c r="K13693" s="5">
        <v>-96.731917999999993</v>
      </c>
      <c r="L13693" s="5" t="str">
        <f>HYPERLINK("https://maps.google.com/?q=16.564287,-96.731918", "🔗 Ver Mapa")</f>
        <v>🔗 Ver Mapa</v>
      </c>
    </row>
    <row r="13694" spans="1:12" ht="58" x14ac:dyDescent="0.35">
      <c r="A13694" s="6" t="s">
        <v>2781</v>
      </c>
      <c r="B13694" s="6" t="s">
        <v>2782</v>
      </c>
      <c r="C13694" s="6" t="s">
        <v>2915</v>
      </c>
      <c r="D13694" s="6" t="s">
        <v>950</v>
      </c>
      <c r="E13694" s="6" t="s">
        <v>52</v>
      </c>
      <c r="F13694" s="6" t="s">
        <v>228</v>
      </c>
      <c r="G13694" s="6" t="s">
        <v>1508</v>
      </c>
      <c r="H13694" s="6" t="s">
        <v>1699</v>
      </c>
      <c r="I13694" s="6" t="s">
        <v>31</v>
      </c>
      <c r="J13694" s="6">
        <v>16.791653</v>
      </c>
      <c r="K13694" s="6">
        <v>-96.675106</v>
      </c>
      <c r="L13694" s="6" t="str">
        <f>HYPERLINK("https://maps.google.com/?q=16.791653,-96.675106", "🔗 Ver Mapa")</f>
        <v>🔗 Ver Mapa</v>
      </c>
    </row>
    <row r="13695" spans="1:12" ht="58" x14ac:dyDescent="0.35">
      <c r="A13695" s="5" t="s">
        <v>2781</v>
      </c>
      <c r="B13695" s="5" t="s">
        <v>2782</v>
      </c>
      <c r="C13695" s="5" t="s">
        <v>2916</v>
      </c>
      <c r="D13695" s="5" t="s">
        <v>950</v>
      </c>
      <c r="E13695" s="5" t="s">
        <v>39</v>
      </c>
      <c r="F13695" s="5" t="s">
        <v>40</v>
      </c>
      <c r="G13695" s="5" t="s">
        <v>184</v>
      </c>
      <c r="H13695" s="5" t="s">
        <v>185</v>
      </c>
      <c r="I13695" s="5" t="s">
        <v>31</v>
      </c>
      <c r="J13695" s="5">
        <v>17.026209999999999</v>
      </c>
      <c r="K13695" s="5">
        <v>-97.928150000000002</v>
      </c>
      <c r="L13695" s="5" t="str">
        <f>HYPERLINK("https://maps.google.com/?q=17.02621,-97.92815", "🔗 Ver Mapa")</f>
        <v>🔗 Ver Mapa</v>
      </c>
    </row>
    <row r="13696" spans="1:12" ht="58" x14ac:dyDescent="0.35">
      <c r="A13696" s="6" t="s">
        <v>2781</v>
      </c>
      <c r="B13696" s="6" t="s">
        <v>2782</v>
      </c>
      <c r="C13696" s="6" t="s">
        <v>2917</v>
      </c>
      <c r="D13696" s="6" t="s">
        <v>950</v>
      </c>
      <c r="E13696" s="6" t="s">
        <v>90</v>
      </c>
      <c r="F13696" s="6" t="s">
        <v>678</v>
      </c>
      <c r="G13696" s="6" t="s">
        <v>1944</v>
      </c>
      <c r="H13696" s="6" t="s">
        <v>1945</v>
      </c>
      <c r="I13696" s="6" t="s">
        <v>31</v>
      </c>
      <c r="J13696" s="6">
        <v>17.359950000000001</v>
      </c>
      <c r="K13696" s="6">
        <v>-96.250169999999997</v>
      </c>
      <c r="L13696" s="6" t="str">
        <f>HYPERLINK("https://maps.google.com/?q=17.35995,-96.25017", "🔗 Ver Mapa")</f>
        <v>🔗 Ver Mapa</v>
      </c>
    </row>
    <row r="13697" spans="1:12" ht="58" x14ac:dyDescent="0.35">
      <c r="A13697" s="5" t="s">
        <v>2781</v>
      </c>
      <c r="B13697" s="5" t="s">
        <v>2782</v>
      </c>
      <c r="C13697" s="5" t="s">
        <v>2918</v>
      </c>
      <c r="D13697" s="5" t="s">
        <v>950</v>
      </c>
      <c r="E13697" s="5" t="s">
        <v>52</v>
      </c>
      <c r="F13697" s="5" t="s">
        <v>53</v>
      </c>
      <c r="G13697" s="5" t="s">
        <v>1126</v>
      </c>
      <c r="H13697" s="5" t="s">
        <v>1127</v>
      </c>
      <c r="I13697" s="5" t="s">
        <v>31</v>
      </c>
      <c r="J13697" s="5">
        <v>16.666425</v>
      </c>
      <c r="K13697" s="5">
        <v>-96.301969999999997</v>
      </c>
      <c r="L13697" s="5" t="str">
        <f>HYPERLINK("https://maps.google.com/?q=16.666425,-96.30197", "🔗 Ver Mapa")</f>
        <v>🔗 Ver Mapa</v>
      </c>
    </row>
    <row r="13698" spans="1:12" ht="58" x14ac:dyDescent="0.35">
      <c r="A13698" s="6" t="s">
        <v>2781</v>
      </c>
      <c r="B13698" s="6" t="s">
        <v>2782</v>
      </c>
      <c r="C13698" s="6" t="s">
        <v>2919</v>
      </c>
      <c r="D13698" s="6" t="s">
        <v>950</v>
      </c>
      <c r="E13698" s="6" t="s">
        <v>90</v>
      </c>
      <c r="F13698" s="6" t="s">
        <v>91</v>
      </c>
      <c r="G13698" s="6" t="s">
        <v>1722</v>
      </c>
      <c r="H13698" s="6" t="s">
        <v>2662</v>
      </c>
      <c r="I13698" s="6" t="s">
        <v>31</v>
      </c>
      <c r="J13698" s="6">
        <v>17.027232000000001</v>
      </c>
      <c r="K13698" s="6">
        <v>-96.077045999999996</v>
      </c>
      <c r="L13698" s="6" t="str">
        <f>HYPERLINK("https://maps.google.com/?q=17.027232,-96.077046", "🔗 Ver Mapa")</f>
        <v>🔗 Ver Mapa</v>
      </c>
    </row>
    <row r="13699" spans="1:12" ht="58" x14ac:dyDescent="0.35">
      <c r="A13699" s="5" t="s">
        <v>2781</v>
      </c>
      <c r="B13699" s="5" t="s">
        <v>2782</v>
      </c>
      <c r="C13699" s="5" t="s">
        <v>2920</v>
      </c>
      <c r="D13699" s="5" t="s">
        <v>950</v>
      </c>
      <c r="E13699" s="5" t="s">
        <v>90</v>
      </c>
      <c r="F13699" s="5" t="s">
        <v>119</v>
      </c>
      <c r="G13699" s="5" t="s">
        <v>2617</v>
      </c>
      <c r="H13699" s="5" t="s">
        <v>2849</v>
      </c>
      <c r="I13699" s="5" t="s">
        <v>31</v>
      </c>
      <c r="J13699" s="5">
        <v>17.268429000000001</v>
      </c>
      <c r="K13699" s="5">
        <v>-96.472924000000006</v>
      </c>
      <c r="L13699" s="5" t="str">
        <f>HYPERLINK("https://maps.google.com/?q=17.268429,-96.472924", "🔗 Ver Mapa")</f>
        <v>🔗 Ver Mapa</v>
      </c>
    </row>
    <row r="13700" spans="1:12" ht="58" x14ac:dyDescent="0.35">
      <c r="A13700" s="6" t="s">
        <v>2781</v>
      </c>
      <c r="B13700" s="6" t="s">
        <v>2782</v>
      </c>
      <c r="C13700" s="6" t="s">
        <v>2921</v>
      </c>
      <c r="D13700" s="6" t="s">
        <v>950</v>
      </c>
      <c r="E13700" s="6" t="s">
        <v>52</v>
      </c>
      <c r="F13700" s="6" t="s">
        <v>443</v>
      </c>
      <c r="G13700" s="6" t="s">
        <v>2854</v>
      </c>
      <c r="H13700" s="6" t="s">
        <v>2855</v>
      </c>
      <c r="I13700" s="6" t="s">
        <v>31</v>
      </c>
      <c r="J13700" s="6">
        <v>16.79243</v>
      </c>
      <c r="K13700" s="6">
        <v>-96.882430999999997</v>
      </c>
      <c r="L13700" s="6" t="str">
        <f>HYPERLINK("https://maps.google.com/?q=16.79243,-96.882431", "🔗 Ver Mapa")</f>
        <v>🔗 Ver Mapa</v>
      </c>
    </row>
    <row r="13701" spans="1:12" ht="58" x14ac:dyDescent="0.35">
      <c r="A13701" s="5" t="s">
        <v>2781</v>
      </c>
      <c r="B13701" s="5" t="s">
        <v>2782</v>
      </c>
      <c r="C13701" s="5" t="s">
        <v>2922</v>
      </c>
      <c r="D13701" s="5" t="s">
        <v>950</v>
      </c>
      <c r="E13701" s="5" t="s">
        <v>39</v>
      </c>
      <c r="F13701" s="5" t="s">
        <v>494</v>
      </c>
      <c r="G13701" s="5" t="s">
        <v>664</v>
      </c>
      <c r="H13701" s="5" t="s">
        <v>2590</v>
      </c>
      <c r="I13701" s="5" t="s">
        <v>31</v>
      </c>
      <c r="J13701" s="5">
        <v>16.534839999999999</v>
      </c>
      <c r="K13701" s="5">
        <v>-97.495419999999996</v>
      </c>
      <c r="L13701" s="5" t="str">
        <f>HYPERLINK("https://maps.google.com/?q=16.53484,-97.49542", "🔗 Ver Mapa")</f>
        <v>🔗 Ver Mapa</v>
      </c>
    </row>
    <row r="13702" spans="1:12" ht="58" x14ac:dyDescent="0.35">
      <c r="A13702" s="6" t="s">
        <v>2781</v>
      </c>
      <c r="B13702" s="6" t="s">
        <v>2782</v>
      </c>
      <c r="C13702" s="6" t="s">
        <v>2923</v>
      </c>
      <c r="D13702" s="6" t="s">
        <v>950</v>
      </c>
      <c r="E13702" s="6" t="s">
        <v>110</v>
      </c>
      <c r="F13702" s="6" t="s">
        <v>111</v>
      </c>
      <c r="G13702" s="6" t="s">
        <v>2860</v>
      </c>
      <c r="H13702" s="6" t="s">
        <v>2861</v>
      </c>
      <c r="I13702" s="6" t="s">
        <v>31</v>
      </c>
      <c r="J13702" s="6">
        <v>18.108241</v>
      </c>
      <c r="K13702" s="6">
        <v>-96.819405000000003</v>
      </c>
      <c r="L13702" s="6" t="str">
        <f>HYPERLINK("https://maps.google.com/?q=18.108241,-96.819405", "🔗 Ver Mapa")</f>
        <v>🔗 Ver Mapa</v>
      </c>
    </row>
    <row r="13703" spans="1:12" ht="58" x14ac:dyDescent="0.35">
      <c r="A13703" s="5" t="s">
        <v>2781</v>
      </c>
      <c r="B13703" s="5" t="s">
        <v>2782</v>
      </c>
      <c r="C13703" s="5" t="s">
        <v>2924</v>
      </c>
      <c r="D13703" s="5" t="s">
        <v>950</v>
      </c>
      <c r="E13703" s="5" t="s">
        <v>39</v>
      </c>
      <c r="F13703" s="5" t="s">
        <v>133</v>
      </c>
      <c r="G13703" s="5" t="s">
        <v>2866</v>
      </c>
      <c r="H13703" s="5" t="s">
        <v>2867</v>
      </c>
      <c r="I13703" s="5" t="s">
        <v>31</v>
      </c>
      <c r="J13703" s="5">
        <v>16.284223000000001</v>
      </c>
      <c r="K13703" s="5">
        <v>-95.881124999999997</v>
      </c>
      <c r="L13703" s="5" t="str">
        <f>HYPERLINK("https://maps.google.com/?q=16.284223,-95.881125", "🔗 Ver Mapa")</f>
        <v>🔗 Ver Mapa</v>
      </c>
    </row>
    <row r="13704" spans="1:12" ht="58" x14ac:dyDescent="0.35">
      <c r="A13704" s="6" t="s">
        <v>2781</v>
      </c>
      <c r="B13704" s="6" t="s">
        <v>2782</v>
      </c>
      <c r="C13704" s="6" t="s">
        <v>2925</v>
      </c>
      <c r="D13704" s="6" t="s">
        <v>950</v>
      </c>
      <c r="E13704" s="6" t="s">
        <v>52</v>
      </c>
      <c r="F13704" s="6" t="s">
        <v>53</v>
      </c>
      <c r="G13704" s="6" t="s">
        <v>1853</v>
      </c>
      <c r="H13704" s="6" t="s">
        <v>1854</v>
      </c>
      <c r="I13704" s="6" t="s">
        <v>31</v>
      </c>
      <c r="J13704" s="6">
        <v>17.001259000000001</v>
      </c>
      <c r="K13704" s="6">
        <v>-96.603600999999998</v>
      </c>
      <c r="L13704" s="6" t="str">
        <f>HYPERLINK("https://maps.google.com/?q=17.001259,-96.603601", "🔗 Ver Mapa")</f>
        <v>🔗 Ver Mapa</v>
      </c>
    </row>
    <row r="13705" spans="1:12" ht="58" x14ac:dyDescent="0.35">
      <c r="A13705" s="5" t="s">
        <v>2781</v>
      </c>
      <c r="B13705" s="5" t="s">
        <v>2782</v>
      </c>
      <c r="C13705" s="5" t="s">
        <v>2926</v>
      </c>
      <c r="D13705" s="5" t="s">
        <v>950</v>
      </c>
      <c r="E13705" s="5" t="s">
        <v>158</v>
      </c>
      <c r="F13705" s="5" t="s">
        <v>166</v>
      </c>
      <c r="G13705" s="5" t="s">
        <v>2127</v>
      </c>
      <c r="H13705" s="5" t="s">
        <v>2875</v>
      </c>
      <c r="I13705" s="5" t="s">
        <v>31</v>
      </c>
      <c r="J13705" s="5">
        <v>16.738140999999999</v>
      </c>
      <c r="K13705" s="5">
        <v>-95.354602</v>
      </c>
      <c r="L13705" s="5" t="str">
        <f>HYPERLINK("https://maps.google.com/?q=16.738141,-95.354602", "🔗 Ver Mapa")</f>
        <v>🔗 Ver Mapa</v>
      </c>
    </row>
    <row r="13706" spans="1:12" ht="58" x14ac:dyDescent="0.35">
      <c r="A13706" s="6" t="s">
        <v>2781</v>
      </c>
      <c r="B13706" s="6" t="s">
        <v>2782</v>
      </c>
      <c r="C13706" s="6" t="s">
        <v>2927</v>
      </c>
      <c r="D13706" s="6" t="s">
        <v>950</v>
      </c>
      <c r="E13706" s="6" t="s">
        <v>17</v>
      </c>
      <c r="F13706" s="6" t="s">
        <v>59</v>
      </c>
      <c r="G13706" s="6" t="s">
        <v>275</v>
      </c>
      <c r="H13706" s="6" t="s">
        <v>276</v>
      </c>
      <c r="I13706" s="6" t="s">
        <v>31</v>
      </c>
      <c r="J13706" s="6">
        <v>16.302253</v>
      </c>
      <c r="K13706" s="6">
        <v>-97.912865999999994</v>
      </c>
      <c r="L13706" s="6" t="str">
        <f>HYPERLINK("https://maps.google.com/?q=16.302253,-97.912866", "🔗 Ver Mapa")</f>
        <v>🔗 Ver Mapa</v>
      </c>
    </row>
    <row r="13707" spans="1:12" ht="58" x14ac:dyDescent="0.35">
      <c r="A13707" s="5" t="s">
        <v>2781</v>
      </c>
      <c r="B13707" s="5" t="s">
        <v>2782</v>
      </c>
      <c r="C13707" s="5" t="s">
        <v>2928</v>
      </c>
      <c r="D13707" s="5" t="s">
        <v>950</v>
      </c>
      <c r="E13707" s="5" t="s">
        <v>140</v>
      </c>
      <c r="F13707" s="5" t="s">
        <v>141</v>
      </c>
      <c r="G13707" s="5" t="s">
        <v>682</v>
      </c>
      <c r="H13707" s="5" t="s">
        <v>2882</v>
      </c>
      <c r="I13707" s="5" t="s">
        <v>31</v>
      </c>
      <c r="J13707" s="5">
        <v>17.860099000000002</v>
      </c>
      <c r="K13707" s="5">
        <v>-96.211252000000002</v>
      </c>
      <c r="L13707" s="5" t="str">
        <f>HYPERLINK("https://maps.google.com/?q=17.860099,-96.211252", "🔗 Ver Mapa")</f>
        <v>🔗 Ver Mapa</v>
      </c>
    </row>
    <row r="13708" spans="1:12" ht="58" x14ac:dyDescent="0.35">
      <c r="A13708" s="6" t="s">
        <v>2781</v>
      </c>
      <c r="B13708" s="6" t="s">
        <v>2782</v>
      </c>
      <c r="C13708" s="6" t="s">
        <v>2929</v>
      </c>
      <c r="D13708" s="6" t="s">
        <v>950</v>
      </c>
      <c r="E13708" s="6" t="s">
        <v>16</v>
      </c>
      <c r="F13708" s="6" t="s">
        <v>21</v>
      </c>
      <c r="G13708" s="6" t="s">
        <v>235</v>
      </c>
      <c r="H13708" s="6" t="s">
        <v>236</v>
      </c>
      <c r="I13708" s="6" t="s">
        <v>31</v>
      </c>
      <c r="J13708" s="6">
        <v>17.267530000000001</v>
      </c>
      <c r="K13708" s="6">
        <v>-97.680530000000005</v>
      </c>
      <c r="L13708" s="6" t="str">
        <f>HYPERLINK("https://maps.google.com/?q=17.26753,-97.68053", "🔗 Ver Mapa")</f>
        <v>🔗 Ver Mapa</v>
      </c>
    </row>
    <row r="13709" spans="1:12" ht="58" x14ac:dyDescent="0.35">
      <c r="A13709" s="5" t="s">
        <v>2781</v>
      </c>
      <c r="B13709" s="5" t="s">
        <v>2782</v>
      </c>
      <c r="C13709" s="5" t="s">
        <v>2930</v>
      </c>
      <c r="D13709" s="5" t="s">
        <v>950</v>
      </c>
      <c r="E13709" s="5" t="s">
        <v>17</v>
      </c>
      <c r="F13709" s="5" t="s">
        <v>46</v>
      </c>
      <c r="G13709" s="5" t="s">
        <v>241</v>
      </c>
      <c r="H13709" s="5" t="s">
        <v>2841</v>
      </c>
      <c r="I13709" s="5" t="s">
        <v>31</v>
      </c>
      <c r="J13709" s="5">
        <v>15.982669</v>
      </c>
      <c r="K13709" s="5">
        <v>-97.083815999999999</v>
      </c>
      <c r="L13709" s="5" t="str">
        <f>HYPERLINK("https://maps.google.com/?q=15.982669,-97.083816", "🔗 Ver Mapa")</f>
        <v>🔗 Ver Mapa</v>
      </c>
    </row>
    <row r="13710" spans="1:12" ht="58" x14ac:dyDescent="0.35">
      <c r="A13710" s="6" t="s">
        <v>2781</v>
      </c>
      <c r="B13710" s="6" t="s">
        <v>2782</v>
      </c>
      <c r="C13710" s="6" t="s">
        <v>2931</v>
      </c>
      <c r="D13710" s="6" t="s">
        <v>950</v>
      </c>
      <c r="E13710" s="6" t="s">
        <v>39</v>
      </c>
      <c r="F13710" s="6" t="s">
        <v>494</v>
      </c>
      <c r="G13710" s="6" t="s">
        <v>1155</v>
      </c>
      <c r="H13710" s="6" t="s">
        <v>1156</v>
      </c>
      <c r="I13710" s="6" t="s">
        <v>31</v>
      </c>
      <c r="J13710" s="6">
        <v>16.654744000000001</v>
      </c>
      <c r="K13710" s="6">
        <v>-97.338883999999993</v>
      </c>
      <c r="L13710" s="6" t="str">
        <f>HYPERLINK("https://maps.google.com/?q=16.654744,-97.338884", "🔗 Ver Mapa")</f>
        <v>🔗 Ver Mapa</v>
      </c>
    </row>
    <row r="13711" spans="1:12" ht="58" x14ac:dyDescent="0.35">
      <c r="A13711" s="5" t="s">
        <v>2781</v>
      </c>
      <c r="B13711" s="5" t="s">
        <v>2782</v>
      </c>
      <c r="C13711" s="5" t="s">
        <v>2932</v>
      </c>
      <c r="D13711" s="5" t="s">
        <v>950</v>
      </c>
      <c r="E13711" s="5" t="s">
        <v>17</v>
      </c>
      <c r="F13711" s="5" t="s">
        <v>20</v>
      </c>
      <c r="G13711" s="5" t="s">
        <v>2304</v>
      </c>
      <c r="H13711" s="5" t="s">
        <v>2847</v>
      </c>
      <c r="I13711" s="5" t="s">
        <v>31</v>
      </c>
      <c r="J13711" s="5">
        <v>15.747154999999999</v>
      </c>
      <c r="K13711" s="5">
        <v>-96.545433000000003</v>
      </c>
      <c r="L13711" s="5" t="str">
        <f>HYPERLINK("https://maps.google.com/?q=15.747155,-96.545433", "🔗 Ver Mapa")</f>
        <v>🔗 Ver Mapa</v>
      </c>
    </row>
    <row r="13712" spans="1:12" ht="58" x14ac:dyDescent="0.35">
      <c r="A13712" s="6" t="s">
        <v>2781</v>
      </c>
      <c r="B13712" s="6" t="s">
        <v>2782</v>
      </c>
      <c r="C13712" s="6" t="s">
        <v>2933</v>
      </c>
      <c r="D13712" s="6" t="s">
        <v>950</v>
      </c>
      <c r="E13712" s="6" t="s">
        <v>39</v>
      </c>
      <c r="F13712" s="6" t="s">
        <v>494</v>
      </c>
      <c r="G13712" s="6" t="s">
        <v>1973</v>
      </c>
      <c r="H13712" s="6" t="s">
        <v>2879</v>
      </c>
      <c r="I13712" s="6" t="s">
        <v>31</v>
      </c>
      <c r="J13712" s="6">
        <v>16.640829</v>
      </c>
      <c r="K13712" s="6">
        <v>-97.495149999999995</v>
      </c>
      <c r="L13712" s="6" t="str">
        <f>HYPERLINK("https://maps.google.com/?q=16.640829,-97.49515", "🔗 Ver Mapa")</f>
        <v>🔗 Ver Mapa</v>
      </c>
    </row>
    <row r="13713" spans="1:12" ht="58" x14ac:dyDescent="0.35">
      <c r="A13713" s="5" t="s">
        <v>2781</v>
      </c>
      <c r="B13713" s="5" t="s">
        <v>2782</v>
      </c>
      <c r="C13713" s="5" t="s">
        <v>2934</v>
      </c>
      <c r="D13713" s="5" t="s">
        <v>950</v>
      </c>
      <c r="E13713" s="5" t="s">
        <v>52</v>
      </c>
      <c r="F13713" s="5" t="s">
        <v>443</v>
      </c>
      <c r="G13713" s="5" t="s">
        <v>2851</v>
      </c>
      <c r="H13713" s="5" t="s">
        <v>2852</v>
      </c>
      <c r="I13713" s="5" t="s">
        <v>31</v>
      </c>
      <c r="J13713" s="5">
        <v>16.866634999999999</v>
      </c>
      <c r="K13713" s="5">
        <v>-96.785594000000003</v>
      </c>
      <c r="L13713" s="5" t="str">
        <f>HYPERLINK("https://maps.google.com/?q=16.866635,-96.785594", "🔗 Ver Mapa")</f>
        <v>🔗 Ver Mapa</v>
      </c>
    </row>
    <row r="13714" spans="1:12" ht="58" x14ac:dyDescent="0.35">
      <c r="A13714" s="6" t="s">
        <v>2781</v>
      </c>
      <c r="B13714" s="6" t="s">
        <v>2782</v>
      </c>
      <c r="C13714" s="6" t="s">
        <v>2935</v>
      </c>
      <c r="D13714" s="6" t="s">
        <v>950</v>
      </c>
      <c r="E13714" s="6" t="s">
        <v>17</v>
      </c>
      <c r="F13714" s="6" t="s">
        <v>59</v>
      </c>
      <c r="G13714" s="6" t="s">
        <v>415</v>
      </c>
      <c r="H13714" s="6" t="s">
        <v>1405</v>
      </c>
      <c r="I13714" s="6" t="s">
        <v>31</v>
      </c>
      <c r="J13714" s="6">
        <v>16.56542</v>
      </c>
      <c r="K13714" s="6">
        <v>-97.652343999999999</v>
      </c>
      <c r="L13714" s="6" t="str">
        <f>HYPERLINK("https://maps.google.com/?q=16.56542,-97.652344", "🔗 Ver Mapa")</f>
        <v>🔗 Ver Mapa</v>
      </c>
    </row>
    <row r="13715" spans="1:12" ht="58" x14ac:dyDescent="0.35">
      <c r="A13715" s="5" t="s">
        <v>2781</v>
      </c>
      <c r="B13715" s="5" t="s">
        <v>2782</v>
      </c>
      <c r="C13715" s="5" t="s">
        <v>2936</v>
      </c>
      <c r="D13715" s="5" t="s">
        <v>950</v>
      </c>
      <c r="E13715" s="5" t="s">
        <v>17</v>
      </c>
      <c r="F13715" s="5" t="s">
        <v>59</v>
      </c>
      <c r="G13715" s="5" t="s">
        <v>870</v>
      </c>
      <c r="H13715" s="5" t="s">
        <v>2873</v>
      </c>
      <c r="I13715" s="5" t="s">
        <v>31</v>
      </c>
      <c r="J13715" s="5">
        <v>16.279070000000001</v>
      </c>
      <c r="K13715" s="5">
        <v>-97.820269999999994</v>
      </c>
      <c r="L13715" s="5" t="str">
        <f>HYPERLINK("https://maps.google.com/?q=16.27907,-97.82027", "🔗 Ver Mapa")</f>
        <v>🔗 Ver Mapa</v>
      </c>
    </row>
    <row r="13716" spans="1:12" ht="58" x14ac:dyDescent="0.35">
      <c r="A13716" s="6" t="s">
        <v>2781</v>
      </c>
      <c r="B13716" s="6" t="s">
        <v>2782</v>
      </c>
      <c r="C13716" s="6" t="s">
        <v>2937</v>
      </c>
      <c r="D13716" s="6" t="s">
        <v>950</v>
      </c>
      <c r="E13716" s="6" t="s">
        <v>17</v>
      </c>
      <c r="F13716" s="6" t="s">
        <v>59</v>
      </c>
      <c r="G13716" s="6" t="s">
        <v>982</v>
      </c>
      <c r="H13716" s="6" t="s">
        <v>983</v>
      </c>
      <c r="I13716" s="6" t="s">
        <v>31</v>
      </c>
      <c r="J13716" s="6">
        <v>16.341000000000001</v>
      </c>
      <c r="K13716" s="6">
        <v>-98.447519999999997</v>
      </c>
      <c r="L13716" s="6" t="str">
        <f>HYPERLINK("https://maps.google.com/?q=16.341,-98.44752", "🔗 Ver Mapa")</f>
        <v>🔗 Ver Mapa</v>
      </c>
    </row>
    <row r="13717" spans="1:12" ht="58" x14ac:dyDescent="0.35">
      <c r="A13717" s="5" t="s">
        <v>2781</v>
      </c>
      <c r="B13717" s="5" t="s">
        <v>2782</v>
      </c>
      <c r="C13717" s="5" t="s">
        <v>2938</v>
      </c>
      <c r="D13717" s="5" t="s">
        <v>950</v>
      </c>
      <c r="E13717" s="5" t="s">
        <v>158</v>
      </c>
      <c r="F13717" s="5" t="s">
        <v>159</v>
      </c>
      <c r="G13717" s="5" t="s">
        <v>2471</v>
      </c>
      <c r="H13717" s="5" t="s">
        <v>2869</v>
      </c>
      <c r="I13717" s="5" t="s">
        <v>31</v>
      </c>
      <c r="J13717" s="5">
        <v>16.588495999999999</v>
      </c>
      <c r="K13717" s="5">
        <v>-94.768595000000005</v>
      </c>
      <c r="L13717" s="5" t="str">
        <f>HYPERLINK("https://maps.google.com/?q=16.588496,-94.768595", "🔗 Ver Mapa")</f>
        <v>🔗 Ver Mapa</v>
      </c>
    </row>
    <row r="13718" spans="1:12" ht="58" x14ac:dyDescent="0.35">
      <c r="A13718" s="6" t="s">
        <v>2781</v>
      </c>
      <c r="B13718" s="6" t="s">
        <v>2782</v>
      </c>
      <c r="C13718" s="6" t="s">
        <v>2939</v>
      </c>
      <c r="D13718" s="6" t="s">
        <v>950</v>
      </c>
      <c r="E13718" s="6" t="s">
        <v>52</v>
      </c>
      <c r="F13718" s="6" t="s">
        <v>53</v>
      </c>
      <c r="G13718" s="6" t="s">
        <v>2863</v>
      </c>
      <c r="H13718" s="6" t="s">
        <v>2864</v>
      </c>
      <c r="I13718" s="6" t="s">
        <v>31</v>
      </c>
      <c r="J13718" s="6">
        <v>17.067350000000001</v>
      </c>
      <c r="K13718" s="6">
        <v>-96.200379999999996</v>
      </c>
      <c r="L13718" s="6" t="str">
        <f>HYPERLINK("https://maps.google.com/?q=17.06735,-96.20038", "🔗 Ver Mapa")</f>
        <v>🔗 Ver Mapa</v>
      </c>
    </row>
    <row r="13719" spans="1:12" ht="58" x14ac:dyDescent="0.35">
      <c r="A13719" s="5" t="s">
        <v>2781</v>
      </c>
      <c r="B13719" s="5" t="s">
        <v>2782</v>
      </c>
      <c r="C13719" s="5" t="s">
        <v>2940</v>
      </c>
      <c r="D13719" s="5" t="s">
        <v>950</v>
      </c>
      <c r="E13719" s="5" t="s">
        <v>17</v>
      </c>
      <c r="F13719" s="5" t="s">
        <v>59</v>
      </c>
      <c r="G13719" s="5" t="s">
        <v>2117</v>
      </c>
      <c r="H13719" s="5" t="s">
        <v>2483</v>
      </c>
      <c r="I13719" s="5" t="s">
        <v>31</v>
      </c>
      <c r="J13719" s="5">
        <v>16.333400000000001</v>
      </c>
      <c r="K13719" s="5">
        <v>-98.378598999999994</v>
      </c>
      <c r="L13719" s="5" t="str">
        <f>HYPERLINK("https://maps.google.com/?q=16.3334,-98.378599", "🔗 Ver Mapa")</f>
        <v>🔗 Ver Mapa</v>
      </c>
    </row>
    <row r="13720" spans="1:12" ht="58" x14ac:dyDescent="0.35">
      <c r="A13720" s="6" t="s">
        <v>2781</v>
      </c>
      <c r="B13720" s="6" t="s">
        <v>2782</v>
      </c>
      <c r="C13720" s="6" t="s">
        <v>2941</v>
      </c>
      <c r="D13720" s="6" t="s">
        <v>950</v>
      </c>
      <c r="E13720" s="6" t="s">
        <v>39</v>
      </c>
      <c r="F13720" s="6" t="s">
        <v>494</v>
      </c>
      <c r="G13720" s="6" t="s">
        <v>1326</v>
      </c>
      <c r="H13720" s="6" t="s">
        <v>1327</v>
      </c>
      <c r="I13720" s="6" t="s">
        <v>31</v>
      </c>
      <c r="J13720" s="6">
        <v>16.704364000000002</v>
      </c>
      <c r="K13720" s="6">
        <v>-97.019526999999997</v>
      </c>
      <c r="L13720" s="6" t="str">
        <f>HYPERLINK("https://maps.google.com/?q=16.704364,-97.019527", "🔗 Ver Mapa")</f>
        <v>🔗 Ver Mapa</v>
      </c>
    </row>
    <row r="13721" spans="1:12" ht="58" x14ac:dyDescent="0.35">
      <c r="A13721" s="5" t="s">
        <v>2781</v>
      </c>
      <c r="B13721" s="5" t="s">
        <v>2782</v>
      </c>
      <c r="C13721" s="5" t="s">
        <v>2942</v>
      </c>
      <c r="D13721" s="5" t="s">
        <v>950</v>
      </c>
      <c r="E13721" s="5" t="s">
        <v>158</v>
      </c>
      <c r="F13721" s="5" t="s">
        <v>159</v>
      </c>
      <c r="G13721" s="5" t="s">
        <v>1012</v>
      </c>
      <c r="H13721" s="5" t="s">
        <v>2821</v>
      </c>
      <c r="I13721" s="5" t="s">
        <v>31</v>
      </c>
      <c r="J13721" s="5">
        <v>16.339383000000002</v>
      </c>
      <c r="K13721" s="5">
        <v>-94.514989</v>
      </c>
      <c r="L13721" s="5" t="str">
        <f>HYPERLINK("https://maps.google.com/?q=16.339383,-94.514989", "🔗 Ver Mapa")</f>
        <v>🔗 Ver Mapa</v>
      </c>
    </row>
    <row r="13722" spans="1:12" ht="58" x14ac:dyDescent="0.35">
      <c r="A13722" s="6" t="s">
        <v>2781</v>
      </c>
      <c r="B13722" s="6" t="s">
        <v>2782</v>
      </c>
      <c r="C13722" s="6" t="s">
        <v>2943</v>
      </c>
      <c r="D13722" s="6" t="s">
        <v>950</v>
      </c>
      <c r="E13722" s="6" t="s">
        <v>140</v>
      </c>
      <c r="F13722" s="6" t="s">
        <v>141</v>
      </c>
      <c r="G13722" s="6" t="s">
        <v>430</v>
      </c>
      <c r="H13722" s="6" t="s">
        <v>431</v>
      </c>
      <c r="I13722" s="6" t="s">
        <v>31</v>
      </c>
      <c r="J13722" s="6">
        <v>17.676680000000001</v>
      </c>
      <c r="K13722" s="6">
        <v>-96.133302</v>
      </c>
      <c r="L13722" s="6" t="str">
        <f>HYPERLINK("https://maps.google.com/?q=17.67668,-96.133302", "🔗 Ver Mapa")</f>
        <v>🔗 Ver Mapa</v>
      </c>
    </row>
    <row r="13723" spans="1:12" ht="58" x14ac:dyDescent="0.35">
      <c r="A13723" s="5" t="s">
        <v>2781</v>
      </c>
      <c r="B13723" s="5" t="s">
        <v>2782</v>
      </c>
      <c r="C13723" s="5" t="s">
        <v>2944</v>
      </c>
      <c r="D13723" s="5" t="s">
        <v>950</v>
      </c>
      <c r="E13723" s="5" t="s">
        <v>52</v>
      </c>
      <c r="F13723" s="5" t="s">
        <v>443</v>
      </c>
      <c r="G13723" s="5" t="s">
        <v>2451</v>
      </c>
      <c r="H13723" s="5" t="s">
        <v>2452</v>
      </c>
      <c r="I13723" s="5" t="s">
        <v>31</v>
      </c>
      <c r="J13723" s="5">
        <v>16.896861000000001</v>
      </c>
      <c r="K13723" s="5">
        <v>-96.766546000000005</v>
      </c>
      <c r="L13723" s="5" t="str">
        <f>HYPERLINK("https://maps.google.com/?q=16.896861,-96.766546", "🔗 Ver Mapa")</f>
        <v>🔗 Ver Mapa</v>
      </c>
    </row>
    <row r="13724" spans="1:12" ht="58" x14ac:dyDescent="0.35">
      <c r="A13724" s="6" t="s">
        <v>2781</v>
      </c>
      <c r="B13724" s="6" t="s">
        <v>2782</v>
      </c>
      <c r="C13724" s="6" t="s">
        <v>2945</v>
      </c>
      <c r="D13724" s="6" t="s">
        <v>950</v>
      </c>
      <c r="E13724" s="6" t="s">
        <v>90</v>
      </c>
      <c r="F13724" s="6" t="s">
        <v>91</v>
      </c>
      <c r="G13724" s="6" t="s">
        <v>232</v>
      </c>
      <c r="H13724" s="6" t="s">
        <v>233</v>
      </c>
      <c r="I13724" s="6" t="s">
        <v>31</v>
      </c>
      <c r="J13724" s="6">
        <v>17.055140000000002</v>
      </c>
      <c r="K13724" s="6">
        <v>-96.065353000000002</v>
      </c>
      <c r="L13724" s="6" t="str">
        <f>HYPERLINK("https://maps.google.com/?q=17.05514,-96.065353", "🔗 Ver Mapa")</f>
        <v>🔗 Ver Mapa</v>
      </c>
    </row>
    <row r="13725" spans="1:12" ht="58" x14ac:dyDescent="0.35">
      <c r="A13725" s="5" t="s">
        <v>2781</v>
      </c>
      <c r="B13725" s="5" t="s">
        <v>2782</v>
      </c>
      <c r="C13725" s="5" t="s">
        <v>2946</v>
      </c>
      <c r="D13725" s="5" t="s">
        <v>950</v>
      </c>
      <c r="E13725" s="5" t="s">
        <v>90</v>
      </c>
      <c r="F13725" s="5" t="s">
        <v>119</v>
      </c>
      <c r="G13725" s="5" t="s">
        <v>350</v>
      </c>
      <c r="H13725" s="5" t="s">
        <v>351</v>
      </c>
      <c r="I13725" s="5" t="s">
        <v>31</v>
      </c>
      <c r="J13725" s="5">
        <v>17.318033</v>
      </c>
      <c r="K13725" s="5">
        <v>-96.493690000000001</v>
      </c>
      <c r="L13725" s="5" t="str">
        <f>HYPERLINK("https://maps.google.com/?q=17.318033,-96.49369", "🔗 Ver Mapa")</f>
        <v>🔗 Ver Mapa</v>
      </c>
    </row>
    <row r="13726" spans="1:12" ht="58" x14ac:dyDescent="0.35">
      <c r="A13726" s="6" t="s">
        <v>2781</v>
      </c>
      <c r="B13726" s="6" t="s">
        <v>2782</v>
      </c>
      <c r="C13726" s="6" t="s">
        <v>2947</v>
      </c>
      <c r="D13726" s="6" t="s">
        <v>950</v>
      </c>
      <c r="E13726" s="6" t="s">
        <v>158</v>
      </c>
      <c r="F13726" s="6" t="s">
        <v>166</v>
      </c>
      <c r="G13726" s="6" t="s">
        <v>2788</v>
      </c>
      <c r="H13726" s="6" t="s">
        <v>2789</v>
      </c>
      <c r="I13726" s="6" t="s">
        <v>31</v>
      </c>
      <c r="J13726" s="6">
        <v>16.792712000000002</v>
      </c>
      <c r="K13726" s="6">
        <v>-95.368638000000004</v>
      </c>
      <c r="L13726" s="6" t="str">
        <f>HYPERLINK("https://maps.google.com/?q=16.792712,-95.368638", "🔗 Ver Mapa")</f>
        <v>🔗 Ver Mapa</v>
      </c>
    </row>
    <row r="13727" spans="1:12" ht="58" x14ac:dyDescent="0.35">
      <c r="A13727" s="5" t="s">
        <v>2781</v>
      </c>
      <c r="B13727" s="5" t="s">
        <v>2782</v>
      </c>
      <c r="C13727" s="5" t="s">
        <v>2948</v>
      </c>
      <c r="D13727" s="5" t="s">
        <v>950</v>
      </c>
      <c r="E13727" s="5" t="s">
        <v>110</v>
      </c>
      <c r="F13727" s="5" t="s">
        <v>111</v>
      </c>
      <c r="G13727" s="5" t="s">
        <v>2792</v>
      </c>
      <c r="H13727" s="5" t="s">
        <v>2793</v>
      </c>
      <c r="I13727" s="5" t="s">
        <v>31</v>
      </c>
      <c r="J13727" s="5">
        <v>18.102124</v>
      </c>
      <c r="K13727" s="5">
        <v>-96.797460999999998</v>
      </c>
      <c r="L13727" s="5" t="str">
        <f>HYPERLINK("https://maps.google.com/?q=18.102124,-96.797461", "🔗 Ver Mapa")</f>
        <v>🔗 Ver Mapa</v>
      </c>
    </row>
    <row r="13728" spans="1:12" ht="58" x14ac:dyDescent="0.35">
      <c r="A13728" s="6" t="s">
        <v>2781</v>
      </c>
      <c r="B13728" s="6" t="s">
        <v>2782</v>
      </c>
      <c r="C13728" s="6" t="s">
        <v>2949</v>
      </c>
      <c r="D13728" s="6" t="s">
        <v>950</v>
      </c>
      <c r="E13728" s="6" t="s">
        <v>90</v>
      </c>
      <c r="F13728" s="6" t="s">
        <v>119</v>
      </c>
      <c r="G13728" s="6" t="s">
        <v>347</v>
      </c>
      <c r="H13728" s="6" t="s">
        <v>348</v>
      </c>
      <c r="I13728" s="6" t="s">
        <v>31</v>
      </c>
      <c r="J13728" s="6">
        <v>17.331381</v>
      </c>
      <c r="K13728" s="6">
        <v>-96.487408000000002</v>
      </c>
      <c r="L13728" s="6" t="str">
        <f>HYPERLINK("https://maps.google.com/?q=17.331381,-96.487408", "🔗 Ver Mapa")</f>
        <v>🔗 Ver Mapa</v>
      </c>
    </row>
    <row r="13729" spans="1:12" ht="58" x14ac:dyDescent="0.35">
      <c r="A13729" s="5" t="s">
        <v>2781</v>
      </c>
      <c r="B13729" s="5" t="s">
        <v>2782</v>
      </c>
      <c r="C13729" s="5" t="s">
        <v>2950</v>
      </c>
      <c r="D13729" s="5" t="s">
        <v>950</v>
      </c>
      <c r="E13729" s="5" t="s">
        <v>158</v>
      </c>
      <c r="F13729" s="5" t="s">
        <v>166</v>
      </c>
      <c r="G13729" s="5" t="s">
        <v>815</v>
      </c>
      <c r="H13729" s="5" t="s">
        <v>816</v>
      </c>
      <c r="I13729" s="5" t="s">
        <v>31</v>
      </c>
      <c r="J13729" s="5">
        <v>16.398880999999999</v>
      </c>
      <c r="K13729" s="5">
        <v>-95.603144</v>
      </c>
      <c r="L13729" s="5" t="str">
        <f>HYPERLINK("https://maps.google.com/?q=16.398881,-95.603144", "🔗 Ver Mapa")</f>
        <v>🔗 Ver Mapa</v>
      </c>
    </row>
    <row r="13730" spans="1:12" ht="58" x14ac:dyDescent="0.35">
      <c r="A13730" s="6" t="s">
        <v>2781</v>
      </c>
      <c r="B13730" s="6" t="s">
        <v>2782</v>
      </c>
      <c r="C13730" s="6" t="s">
        <v>2951</v>
      </c>
      <c r="D13730" s="6" t="s">
        <v>950</v>
      </c>
      <c r="E13730" s="6" t="s">
        <v>158</v>
      </c>
      <c r="F13730" s="6" t="s">
        <v>166</v>
      </c>
      <c r="G13730" s="6" t="s">
        <v>2797</v>
      </c>
      <c r="H13730" s="6" t="s">
        <v>2798</v>
      </c>
      <c r="I13730" s="6" t="s">
        <v>31</v>
      </c>
      <c r="J13730" s="6">
        <v>16.503810000000001</v>
      </c>
      <c r="K13730" s="6">
        <v>-95.203012000000001</v>
      </c>
      <c r="L13730" s="6" t="str">
        <f>HYPERLINK("https://maps.google.com/?q=16.50381,-95.203012", "🔗 Ver Mapa")</f>
        <v>🔗 Ver Mapa</v>
      </c>
    </row>
    <row r="13731" spans="1:12" ht="58" x14ac:dyDescent="0.35">
      <c r="A13731" s="5" t="s">
        <v>2781</v>
      </c>
      <c r="B13731" s="5" t="s">
        <v>2782</v>
      </c>
      <c r="C13731" s="5" t="s">
        <v>2952</v>
      </c>
      <c r="D13731" s="5" t="s">
        <v>950</v>
      </c>
      <c r="E13731" s="5" t="s">
        <v>90</v>
      </c>
      <c r="F13731" s="5" t="s">
        <v>91</v>
      </c>
      <c r="G13731" s="5" t="s">
        <v>2800</v>
      </c>
      <c r="H13731" s="5" t="s">
        <v>2801</v>
      </c>
      <c r="I13731" s="5" t="s">
        <v>31</v>
      </c>
      <c r="J13731" s="5">
        <v>17.146398999999999</v>
      </c>
      <c r="K13731" s="5">
        <v>-96.112121999999999</v>
      </c>
      <c r="L13731" s="5" t="str">
        <f>HYPERLINK("https://maps.google.com/?q=17.146399,-96.112122", "🔗 Ver Mapa")</f>
        <v>🔗 Ver Mapa</v>
      </c>
    </row>
    <row r="13732" spans="1:12" ht="58" x14ac:dyDescent="0.35">
      <c r="A13732" s="6" t="s">
        <v>2781</v>
      </c>
      <c r="B13732" s="6" t="s">
        <v>2782</v>
      </c>
      <c r="C13732" s="6" t="s">
        <v>2953</v>
      </c>
      <c r="D13732" s="6" t="s">
        <v>950</v>
      </c>
      <c r="E13732" s="6" t="s">
        <v>39</v>
      </c>
      <c r="F13732" s="6" t="s">
        <v>133</v>
      </c>
      <c r="G13732" s="6" t="s">
        <v>357</v>
      </c>
      <c r="H13732" s="6" t="s">
        <v>837</v>
      </c>
      <c r="I13732" s="6" t="s">
        <v>31</v>
      </c>
      <c r="J13732" s="6">
        <v>16.60821</v>
      </c>
      <c r="K13732" s="6">
        <v>-95.980502999999999</v>
      </c>
      <c r="L13732" s="6" t="str">
        <f>HYPERLINK("https://maps.google.com/?q=16.60821,-95.980503", "🔗 Ver Mapa")</f>
        <v>🔗 Ver Mapa</v>
      </c>
    </row>
    <row r="13733" spans="1:12" ht="58" x14ac:dyDescent="0.35">
      <c r="A13733" s="5" t="s">
        <v>2781</v>
      </c>
      <c r="B13733" s="5" t="s">
        <v>2782</v>
      </c>
      <c r="C13733" s="5" t="s">
        <v>2954</v>
      </c>
      <c r="D13733" s="5" t="s">
        <v>950</v>
      </c>
      <c r="E13733" s="5" t="s">
        <v>90</v>
      </c>
      <c r="F13733" s="5" t="s">
        <v>678</v>
      </c>
      <c r="G13733" s="5" t="s">
        <v>1896</v>
      </c>
      <c r="H13733" s="5" t="s">
        <v>1897</v>
      </c>
      <c r="I13733" s="5" t="s">
        <v>31</v>
      </c>
      <c r="J13733" s="5">
        <v>17.271014999999998</v>
      </c>
      <c r="K13733" s="5">
        <v>-96.236877000000007</v>
      </c>
      <c r="L13733" s="5" t="str">
        <f>HYPERLINK("https://maps.google.com/?q=17.271015,-96.236877", "🔗 Ver Mapa")</f>
        <v>🔗 Ver Mapa</v>
      </c>
    </row>
    <row r="13734" spans="1:12" ht="58" x14ac:dyDescent="0.35">
      <c r="A13734" s="6" t="s">
        <v>2781</v>
      </c>
      <c r="B13734" s="6" t="s">
        <v>2782</v>
      </c>
      <c r="C13734" s="6" t="s">
        <v>2955</v>
      </c>
      <c r="D13734" s="6" t="s">
        <v>950</v>
      </c>
      <c r="E13734" s="6" t="s">
        <v>90</v>
      </c>
      <c r="F13734" s="6" t="s">
        <v>678</v>
      </c>
      <c r="G13734" s="6" t="s">
        <v>2805</v>
      </c>
      <c r="H13734" s="6" t="s">
        <v>2806</v>
      </c>
      <c r="I13734" s="6" t="s">
        <v>31</v>
      </c>
      <c r="J13734" s="6">
        <v>17.292760000000001</v>
      </c>
      <c r="K13734" s="6">
        <v>-96.153721000000004</v>
      </c>
      <c r="L13734" s="6" t="str">
        <f>HYPERLINK("https://maps.google.com/?q=17.29276,-96.153721", "🔗 Ver Mapa")</f>
        <v>🔗 Ver Mapa</v>
      </c>
    </row>
    <row r="13735" spans="1:12" ht="58" x14ac:dyDescent="0.35">
      <c r="A13735" s="5" t="s">
        <v>2781</v>
      </c>
      <c r="B13735" s="5" t="s">
        <v>2782</v>
      </c>
      <c r="C13735" s="5" t="s">
        <v>2956</v>
      </c>
      <c r="D13735" s="5" t="s">
        <v>950</v>
      </c>
      <c r="E13735" s="5" t="s">
        <v>90</v>
      </c>
      <c r="F13735" s="5" t="s">
        <v>678</v>
      </c>
      <c r="G13735" s="5" t="s">
        <v>679</v>
      </c>
      <c r="H13735" s="5" t="s">
        <v>2808</v>
      </c>
      <c r="I13735" s="5" t="s">
        <v>31</v>
      </c>
      <c r="J13735" s="5">
        <v>17.228117999999998</v>
      </c>
      <c r="K13735" s="5">
        <v>-96.220205000000007</v>
      </c>
      <c r="L13735" s="5" t="str">
        <f>HYPERLINK("https://maps.google.com/?q=17.228118,-96.220205", "🔗 Ver Mapa")</f>
        <v>🔗 Ver Mapa</v>
      </c>
    </row>
    <row r="13736" spans="1:12" ht="58" x14ac:dyDescent="0.35">
      <c r="A13736" s="6" t="s">
        <v>2781</v>
      </c>
      <c r="B13736" s="6" t="s">
        <v>2782</v>
      </c>
      <c r="C13736" s="6" t="s">
        <v>2957</v>
      </c>
      <c r="D13736" s="6" t="s">
        <v>950</v>
      </c>
      <c r="E13736" s="6" t="s">
        <v>52</v>
      </c>
      <c r="F13736" s="6" t="s">
        <v>70</v>
      </c>
      <c r="G13736" s="6" t="s">
        <v>272</v>
      </c>
      <c r="H13736" s="6" t="s">
        <v>273</v>
      </c>
      <c r="I13736" s="6" t="s">
        <v>31</v>
      </c>
      <c r="J13736" s="6">
        <v>16.95834</v>
      </c>
      <c r="K13736" s="6">
        <v>-96.707589999999996</v>
      </c>
      <c r="L13736" s="6" t="str">
        <f>HYPERLINK("https://maps.google.com/?q=16.95834,-96.70759", "🔗 Ver Mapa")</f>
        <v>🔗 Ver Mapa</v>
      </c>
    </row>
    <row r="13737" spans="1:12" ht="58" x14ac:dyDescent="0.35">
      <c r="A13737" s="5" t="s">
        <v>2781</v>
      </c>
      <c r="B13737" s="5" t="s">
        <v>2782</v>
      </c>
      <c r="C13737" s="5" t="s">
        <v>2958</v>
      </c>
      <c r="D13737" s="5" t="s">
        <v>950</v>
      </c>
      <c r="E13737" s="5" t="s">
        <v>39</v>
      </c>
      <c r="F13737" s="5" t="s">
        <v>133</v>
      </c>
      <c r="G13737" s="5" t="s">
        <v>2811</v>
      </c>
      <c r="H13737" s="5" t="s">
        <v>2812</v>
      </c>
      <c r="I13737" s="5" t="s">
        <v>31</v>
      </c>
      <c r="J13737" s="5">
        <v>16.500622</v>
      </c>
      <c r="K13737" s="5">
        <v>-96.106727000000006</v>
      </c>
      <c r="L13737" s="5" t="str">
        <f>HYPERLINK("https://maps.google.com/?q=16.500622,-96.106727", "🔗 Ver Mapa")</f>
        <v>🔗 Ver Mapa</v>
      </c>
    </row>
    <row r="13738" spans="1:12" ht="58" x14ac:dyDescent="0.35">
      <c r="A13738" s="6" t="s">
        <v>2781</v>
      </c>
      <c r="B13738" s="6" t="s">
        <v>2782</v>
      </c>
      <c r="C13738" s="6" t="s">
        <v>2959</v>
      </c>
      <c r="D13738" s="6" t="s">
        <v>950</v>
      </c>
      <c r="E13738" s="6" t="s">
        <v>90</v>
      </c>
      <c r="F13738" s="6" t="s">
        <v>678</v>
      </c>
      <c r="G13738" s="6" t="s">
        <v>992</v>
      </c>
      <c r="H13738" s="6" t="s">
        <v>993</v>
      </c>
      <c r="I13738" s="6" t="s">
        <v>31</v>
      </c>
      <c r="J13738" s="6">
        <v>17.335708</v>
      </c>
      <c r="K13738" s="6">
        <v>-96.164985000000001</v>
      </c>
      <c r="L13738" s="6" t="str">
        <f>HYPERLINK("https://maps.google.com/?q=17.335708,-96.164985", "🔗 Ver Mapa")</f>
        <v>🔗 Ver Mapa</v>
      </c>
    </row>
    <row r="13739" spans="1:12" ht="58" x14ac:dyDescent="0.35">
      <c r="A13739" s="5" t="s">
        <v>2781</v>
      </c>
      <c r="B13739" s="5" t="s">
        <v>2782</v>
      </c>
      <c r="C13739" s="5" t="s">
        <v>2960</v>
      </c>
      <c r="D13739" s="5" t="s">
        <v>950</v>
      </c>
      <c r="E13739" s="5" t="s">
        <v>158</v>
      </c>
      <c r="F13739" s="5" t="s">
        <v>159</v>
      </c>
      <c r="G13739" s="5" t="s">
        <v>2815</v>
      </c>
      <c r="H13739" s="5" t="s">
        <v>2816</v>
      </c>
      <c r="I13739" s="5" t="s">
        <v>31</v>
      </c>
      <c r="J13739" s="5">
        <v>16.320613999999999</v>
      </c>
      <c r="K13739" s="5">
        <v>-94.756941999999995</v>
      </c>
      <c r="L13739" s="5" t="str">
        <f>HYPERLINK("https://maps.google.com/?q=16.320614,-94.756942", "🔗 Ver Mapa")</f>
        <v>🔗 Ver Mapa</v>
      </c>
    </row>
    <row r="13740" spans="1:12" ht="58" x14ac:dyDescent="0.35">
      <c r="A13740" s="6" t="s">
        <v>2781</v>
      </c>
      <c r="B13740" s="6" t="s">
        <v>2782</v>
      </c>
      <c r="C13740" s="6" t="s">
        <v>2961</v>
      </c>
      <c r="D13740" s="6" t="s">
        <v>950</v>
      </c>
      <c r="E13740" s="6" t="s">
        <v>90</v>
      </c>
      <c r="F13740" s="6" t="s">
        <v>678</v>
      </c>
      <c r="G13740" s="6" t="s">
        <v>2818</v>
      </c>
      <c r="H13740" s="6" t="s">
        <v>2819</v>
      </c>
      <c r="I13740" s="6" t="s">
        <v>31</v>
      </c>
      <c r="J13740" s="6">
        <v>17.172329999999999</v>
      </c>
      <c r="K13740" s="6">
        <v>-96.251266999999999</v>
      </c>
      <c r="L13740" s="6" t="str">
        <f>HYPERLINK("https://maps.google.com/?q=17.17233,-96.251267", "🔗 Ver Mapa")</f>
        <v>🔗 Ver Mapa</v>
      </c>
    </row>
    <row r="13741" spans="1:12" ht="58" x14ac:dyDescent="0.35">
      <c r="A13741" s="5" t="s">
        <v>2781</v>
      </c>
      <c r="B13741" s="5" t="s">
        <v>2782</v>
      </c>
      <c r="C13741" s="5" t="s">
        <v>2962</v>
      </c>
      <c r="D13741" s="5" t="s">
        <v>950</v>
      </c>
      <c r="E13741" s="5" t="s">
        <v>158</v>
      </c>
      <c r="F13741" s="5" t="s">
        <v>159</v>
      </c>
      <c r="G13741" s="5" t="s">
        <v>1012</v>
      </c>
      <c r="H13741" s="5" t="s">
        <v>2821</v>
      </c>
      <c r="I13741" s="5" t="s">
        <v>31</v>
      </c>
      <c r="J13741" s="5">
        <v>16.339383000000002</v>
      </c>
      <c r="K13741" s="5">
        <v>-94.514989</v>
      </c>
      <c r="L13741" s="5" t="str">
        <f>HYPERLINK("https://maps.google.com/?q=16.339383,-94.514989", "🔗 Ver Mapa")</f>
        <v>🔗 Ver Mapa</v>
      </c>
    </row>
    <row r="13742" spans="1:12" ht="58" x14ac:dyDescent="0.35">
      <c r="A13742" s="6" t="s">
        <v>2781</v>
      </c>
      <c r="B13742" s="6" t="s">
        <v>2782</v>
      </c>
      <c r="C13742" s="6" t="s">
        <v>2963</v>
      </c>
      <c r="D13742" s="6" t="s">
        <v>950</v>
      </c>
      <c r="E13742" s="6" t="s">
        <v>158</v>
      </c>
      <c r="F13742" s="6" t="s">
        <v>159</v>
      </c>
      <c r="G13742" s="6" t="s">
        <v>805</v>
      </c>
      <c r="H13742" s="6" t="s">
        <v>1909</v>
      </c>
      <c r="I13742" s="6" t="s">
        <v>31</v>
      </c>
      <c r="J13742" s="6">
        <v>16.352335</v>
      </c>
      <c r="K13742" s="6">
        <v>-94.483881999999994</v>
      </c>
      <c r="L13742" s="6" t="str">
        <f>HYPERLINK("https://maps.google.com/?q=16.352335,-94.483882", "🔗 Ver Mapa")</f>
        <v>🔗 Ver Mapa</v>
      </c>
    </row>
    <row r="13743" spans="1:12" ht="58" x14ac:dyDescent="0.35">
      <c r="A13743" s="5" t="s">
        <v>2781</v>
      </c>
      <c r="B13743" s="5" t="s">
        <v>2782</v>
      </c>
      <c r="C13743" s="5" t="s">
        <v>2964</v>
      </c>
      <c r="D13743" s="5" t="s">
        <v>950</v>
      </c>
      <c r="E13743" s="5" t="s">
        <v>90</v>
      </c>
      <c r="F13743" s="5" t="s">
        <v>678</v>
      </c>
      <c r="G13743" s="5" t="s">
        <v>1927</v>
      </c>
      <c r="H13743" s="5" t="s">
        <v>2824</v>
      </c>
      <c r="I13743" s="5" t="s">
        <v>31</v>
      </c>
      <c r="J13743" s="5">
        <v>17.338601000000001</v>
      </c>
      <c r="K13743" s="5">
        <v>-96.152518000000001</v>
      </c>
      <c r="L13743" s="5" t="str">
        <f>HYPERLINK("https://maps.google.com/?q=17.338601,-96.152518", "🔗 Ver Mapa")</f>
        <v>🔗 Ver Mapa</v>
      </c>
    </row>
    <row r="13744" spans="1:12" ht="58" x14ac:dyDescent="0.35">
      <c r="A13744" s="6" t="s">
        <v>2781</v>
      </c>
      <c r="B13744" s="6" t="s">
        <v>2782</v>
      </c>
      <c r="C13744" s="6" t="s">
        <v>2965</v>
      </c>
      <c r="D13744" s="6" t="s">
        <v>950</v>
      </c>
      <c r="E13744" s="6" t="s">
        <v>140</v>
      </c>
      <c r="F13744" s="6" t="s">
        <v>141</v>
      </c>
      <c r="G13744" s="6" t="s">
        <v>261</v>
      </c>
      <c r="H13744" s="6" t="s">
        <v>262</v>
      </c>
      <c r="I13744" s="6" t="s">
        <v>31</v>
      </c>
      <c r="J13744" s="6">
        <v>17.945298999999999</v>
      </c>
      <c r="K13744" s="6">
        <v>-96.170509999999993</v>
      </c>
      <c r="L13744" s="6" t="str">
        <f>HYPERLINK("https://maps.google.com/?q=17.945299,-96.17051", "🔗 Ver Mapa")</f>
        <v>🔗 Ver Mapa</v>
      </c>
    </row>
    <row r="13745" spans="1:12" ht="58" x14ac:dyDescent="0.35">
      <c r="A13745" s="5" t="s">
        <v>2781</v>
      </c>
      <c r="B13745" s="5" t="s">
        <v>2782</v>
      </c>
      <c r="C13745" s="5" t="s">
        <v>2966</v>
      </c>
      <c r="D13745" s="5" t="s">
        <v>950</v>
      </c>
      <c r="E13745" s="5" t="s">
        <v>90</v>
      </c>
      <c r="F13745" s="5" t="s">
        <v>678</v>
      </c>
      <c r="G13745" s="5" t="s">
        <v>1481</v>
      </c>
      <c r="H13745" s="5" t="s">
        <v>1482</v>
      </c>
      <c r="I13745" s="5" t="s">
        <v>31</v>
      </c>
      <c r="J13745" s="5">
        <v>17.354036000000001</v>
      </c>
      <c r="K13745" s="5">
        <v>-96.304191000000003</v>
      </c>
      <c r="L13745" s="5" t="str">
        <f>HYPERLINK("https://maps.google.com/?q=17.354036,-96.304191", "🔗 Ver Mapa")</f>
        <v>🔗 Ver Mapa</v>
      </c>
    </row>
    <row r="13746" spans="1:12" ht="58" x14ac:dyDescent="0.35">
      <c r="A13746" s="6" t="s">
        <v>2781</v>
      </c>
      <c r="B13746" s="6" t="s">
        <v>2782</v>
      </c>
      <c r="C13746" s="6" t="s">
        <v>2967</v>
      </c>
      <c r="D13746" s="6" t="s">
        <v>950</v>
      </c>
      <c r="E13746" s="6" t="s">
        <v>52</v>
      </c>
      <c r="F13746" s="6" t="s">
        <v>83</v>
      </c>
      <c r="G13746" s="6" t="s">
        <v>1143</v>
      </c>
      <c r="H13746" s="6" t="s">
        <v>1144</v>
      </c>
      <c r="I13746" s="6" t="s">
        <v>31</v>
      </c>
      <c r="J13746" s="6">
        <v>17.129372</v>
      </c>
      <c r="K13746" s="6">
        <v>-96.801907999999997</v>
      </c>
      <c r="L13746" s="6" t="str">
        <f>HYPERLINK("https://maps.google.com/?q=17.129372,-96.801908", "🔗 Ver Mapa")</f>
        <v>🔗 Ver Mapa</v>
      </c>
    </row>
    <row r="13747" spans="1:12" ht="58" x14ac:dyDescent="0.35">
      <c r="A13747" s="5" t="s">
        <v>2781</v>
      </c>
      <c r="B13747" s="5" t="s">
        <v>2782</v>
      </c>
      <c r="C13747" s="5" t="s">
        <v>2968</v>
      </c>
      <c r="D13747" s="5" t="s">
        <v>950</v>
      </c>
      <c r="E13747" s="5" t="s">
        <v>90</v>
      </c>
      <c r="F13747" s="5" t="s">
        <v>678</v>
      </c>
      <c r="G13747" s="5" t="s">
        <v>2832</v>
      </c>
      <c r="H13747" s="5" t="s">
        <v>2833</v>
      </c>
      <c r="I13747" s="5" t="s">
        <v>31</v>
      </c>
      <c r="J13747" s="5">
        <v>17.161771000000002</v>
      </c>
      <c r="K13747" s="5">
        <v>-96.209012999999999</v>
      </c>
      <c r="L13747" s="5" t="str">
        <f>HYPERLINK("https://maps.google.com/?q=17.161771,-96.209013", "🔗 Ver Mapa")</f>
        <v>🔗 Ver Mapa</v>
      </c>
    </row>
    <row r="13748" spans="1:12" ht="58" x14ac:dyDescent="0.35">
      <c r="A13748" s="6" t="s">
        <v>2781</v>
      </c>
      <c r="B13748" s="6" t="s">
        <v>2782</v>
      </c>
      <c r="C13748" s="6" t="s">
        <v>2969</v>
      </c>
      <c r="D13748" s="6" t="s">
        <v>950</v>
      </c>
      <c r="E13748" s="6" t="s">
        <v>158</v>
      </c>
      <c r="F13748" s="6" t="s">
        <v>159</v>
      </c>
      <c r="G13748" s="6" t="s">
        <v>163</v>
      </c>
      <c r="H13748" s="6" t="s">
        <v>2430</v>
      </c>
      <c r="I13748" s="6" t="s">
        <v>31</v>
      </c>
      <c r="J13748" s="6">
        <v>16.714486999999998</v>
      </c>
      <c r="K13748" s="6">
        <v>-94.748193000000001</v>
      </c>
      <c r="L13748" s="6" t="str">
        <f>HYPERLINK("https://maps.google.com/?q=16.714487,-94.748193", "🔗 Ver Mapa")</f>
        <v>🔗 Ver Mapa</v>
      </c>
    </row>
    <row r="13749" spans="1:12" ht="58" x14ac:dyDescent="0.35">
      <c r="A13749" s="5" t="s">
        <v>2781</v>
      </c>
      <c r="B13749" s="5" t="s">
        <v>2782</v>
      </c>
      <c r="C13749" s="5" t="s">
        <v>2970</v>
      </c>
      <c r="D13749" s="5" t="s">
        <v>950</v>
      </c>
      <c r="E13749" s="5" t="s">
        <v>17</v>
      </c>
      <c r="F13749" s="5" t="s">
        <v>20</v>
      </c>
      <c r="G13749" s="5" t="s">
        <v>155</v>
      </c>
      <c r="H13749" s="5" t="s">
        <v>2837</v>
      </c>
      <c r="I13749" s="5" t="s">
        <v>31</v>
      </c>
      <c r="J13749" s="5">
        <v>15.92183</v>
      </c>
      <c r="K13749" s="5">
        <v>-96.175139999999999</v>
      </c>
      <c r="L13749" s="5" t="str">
        <f>HYPERLINK("https://maps.google.com/?q=15.92183,-96.17514", "🔗 Ver Mapa")</f>
        <v>🔗 Ver Mapa</v>
      </c>
    </row>
    <row r="13750" spans="1:12" ht="58" x14ac:dyDescent="0.35">
      <c r="A13750" s="6" t="s">
        <v>2781</v>
      </c>
      <c r="B13750" s="6" t="s">
        <v>2782</v>
      </c>
      <c r="C13750" s="6" t="s">
        <v>2971</v>
      </c>
      <c r="D13750" s="6" t="s">
        <v>950</v>
      </c>
      <c r="E13750" s="6" t="s">
        <v>52</v>
      </c>
      <c r="F13750" s="6" t="s">
        <v>53</v>
      </c>
      <c r="G13750" s="6" t="s">
        <v>1126</v>
      </c>
      <c r="H13750" s="6" t="s">
        <v>1127</v>
      </c>
      <c r="I13750" s="6" t="s">
        <v>31</v>
      </c>
      <c r="J13750" s="6">
        <v>16.666425</v>
      </c>
      <c r="K13750" s="6">
        <v>-96.301969999999997</v>
      </c>
      <c r="L13750" s="6" t="str">
        <f>HYPERLINK("https://maps.google.com/?q=16.666425,-96.30197", "🔗 Ver Mapa")</f>
        <v>🔗 Ver Mapa</v>
      </c>
    </row>
    <row r="13751" spans="1:12" ht="58" x14ac:dyDescent="0.35">
      <c r="A13751" s="5" t="s">
        <v>2781</v>
      </c>
      <c r="B13751" s="5" t="s">
        <v>2782</v>
      </c>
      <c r="C13751" s="5" t="s">
        <v>2972</v>
      </c>
      <c r="D13751" s="5" t="s">
        <v>950</v>
      </c>
      <c r="E13751" s="5" t="s">
        <v>90</v>
      </c>
      <c r="F13751" s="5" t="s">
        <v>91</v>
      </c>
      <c r="G13751" s="5" t="s">
        <v>1722</v>
      </c>
      <c r="H13751" s="5" t="s">
        <v>2662</v>
      </c>
      <c r="I13751" s="5" t="s">
        <v>31</v>
      </c>
      <c r="J13751" s="5">
        <v>17.027232000000001</v>
      </c>
      <c r="K13751" s="5">
        <v>-96.077045999999996</v>
      </c>
      <c r="L13751" s="5" t="str">
        <f>HYPERLINK("https://maps.google.com/?q=17.027232,-96.077046", "🔗 Ver Mapa")</f>
        <v>🔗 Ver Mapa</v>
      </c>
    </row>
    <row r="13752" spans="1:12" ht="58" x14ac:dyDescent="0.35">
      <c r="A13752" s="6" t="s">
        <v>2781</v>
      </c>
      <c r="B13752" s="6" t="s">
        <v>2782</v>
      </c>
      <c r="C13752" s="6" t="s">
        <v>2973</v>
      </c>
      <c r="D13752" s="6" t="s">
        <v>950</v>
      </c>
      <c r="E13752" s="6" t="s">
        <v>39</v>
      </c>
      <c r="F13752" s="6" t="s">
        <v>494</v>
      </c>
      <c r="G13752" s="6" t="s">
        <v>1326</v>
      </c>
      <c r="H13752" s="6" t="s">
        <v>1327</v>
      </c>
      <c r="I13752" s="6" t="s">
        <v>31</v>
      </c>
      <c r="J13752" s="6">
        <v>16.704364000000002</v>
      </c>
      <c r="K13752" s="6">
        <v>-97.019526999999997</v>
      </c>
      <c r="L13752" s="6" t="str">
        <f>HYPERLINK("https://maps.google.com/?q=16.704364,-97.019527", "🔗 Ver Mapa")</f>
        <v>🔗 Ver Mapa</v>
      </c>
    </row>
    <row r="13753" spans="1:12" ht="58" x14ac:dyDescent="0.35">
      <c r="A13753" s="5" t="s">
        <v>2781</v>
      </c>
      <c r="B13753" s="5" t="s">
        <v>2782</v>
      </c>
      <c r="C13753" s="5" t="s">
        <v>2974</v>
      </c>
      <c r="D13753" s="5" t="s">
        <v>950</v>
      </c>
      <c r="E13753" s="5" t="s">
        <v>90</v>
      </c>
      <c r="F13753" s="5" t="s">
        <v>119</v>
      </c>
      <c r="G13753" s="5" t="s">
        <v>2617</v>
      </c>
      <c r="H13753" s="5" t="s">
        <v>2849</v>
      </c>
      <c r="I13753" s="5" t="s">
        <v>31</v>
      </c>
      <c r="J13753" s="5">
        <v>17.268429000000001</v>
      </c>
      <c r="K13753" s="5">
        <v>-96.472924000000006</v>
      </c>
      <c r="L13753" s="5" t="str">
        <f>HYPERLINK("https://maps.google.com/?q=17.268429,-96.472924", "🔗 Ver Mapa")</f>
        <v>🔗 Ver Mapa</v>
      </c>
    </row>
    <row r="13754" spans="1:12" ht="58" x14ac:dyDescent="0.35">
      <c r="A13754" s="6" t="s">
        <v>2781</v>
      </c>
      <c r="B13754" s="6" t="s">
        <v>2782</v>
      </c>
      <c r="C13754" s="6" t="s">
        <v>2975</v>
      </c>
      <c r="D13754" s="6" t="s">
        <v>950</v>
      </c>
      <c r="E13754" s="6" t="s">
        <v>52</v>
      </c>
      <c r="F13754" s="6" t="s">
        <v>443</v>
      </c>
      <c r="G13754" s="6" t="s">
        <v>2854</v>
      </c>
      <c r="H13754" s="6" t="s">
        <v>2855</v>
      </c>
      <c r="I13754" s="6" t="s">
        <v>31</v>
      </c>
      <c r="J13754" s="6">
        <v>16.79243</v>
      </c>
      <c r="K13754" s="6">
        <v>-96.882430999999997</v>
      </c>
      <c r="L13754" s="6" t="str">
        <f>HYPERLINK("https://maps.google.com/?q=16.79243,-96.882431", "🔗 Ver Mapa")</f>
        <v>🔗 Ver Mapa</v>
      </c>
    </row>
    <row r="13755" spans="1:12" ht="58" x14ac:dyDescent="0.35">
      <c r="A13755" s="5" t="s">
        <v>2781</v>
      </c>
      <c r="B13755" s="5" t="s">
        <v>2782</v>
      </c>
      <c r="C13755" s="5" t="s">
        <v>2976</v>
      </c>
      <c r="D13755" s="5" t="s">
        <v>950</v>
      </c>
      <c r="E13755" s="5" t="s">
        <v>39</v>
      </c>
      <c r="F13755" s="5" t="s">
        <v>494</v>
      </c>
      <c r="G13755" s="5" t="s">
        <v>664</v>
      </c>
      <c r="H13755" s="5" t="s">
        <v>2590</v>
      </c>
      <c r="I13755" s="5" t="s">
        <v>31</v>
      </c>
      <c r="J13755" s="5">
        <v>16.534839999999999</v>
      </c>
      <c r="K13755" s="5">
        <v>-97.495419999999996</v>
      </c>
      <c r="L13755" s="5" t="str">
        <f>HYPERLINK("https://maps.google.com/?q=16.53484,-97.49542", "🔗 Ver Mapa")</f>
        <v>🔗 Ver Mapa</v>
      </c>
    </row>
    <row r="13756" spans="1:12" ht="58" x14ac:dyDescent="0.35">
      <c r="A13756" s="6" t="s">
        <v>2781</v>
      </c>
      <c r="B13756" s="6" t="s">
        <v>2782</v>
      </c>
      <c r="C13756" s="6" t="s">
        <v>2977</v>
      </c>
      <c r="D13756" s="6" t="s">
        <v>950</v>
      </c>
      <c r="E13756" s="6" t="s">
        <v>39</v>
      </c>
      <c r="F13756" s="6" t="s">
        <v>133</v>
      </c>
      <c r="G13756" s="6" t="s">
        <v>2866</v>
      </c>
      <c r="H13756" s="6" t="s">
        <v>2867</v>
      </c>
      <c r="I13756" s="6" t="s">
        <v>31</v>
      </c>
      <c r="J13756" s="6">
        <v>16.284223000000001</v>
      </c>
      <c r="K13756" s="6">
        <v>-95.881124999999997</v>
      </c>
      <c r="L13756" s="6" t="str">
        <f>HYPERLINK("https://maps.google.com/?q=16.284223,-95.881125", "🔗 Ver Mapa")</f>
        <v>🔗 Ver Mapa</v>
      </c>
    </row>
    <row r="13757" spans="1:12" ht="58" x14ac:dyDescent="0.35">
      <c r="A13757" s="5" t="s">
        <v>2781</v>
      </c>
      <c r="B13757" s="5" t="s">
        <v>2782</v>
      </c>
      <c r="C13757" s="5" t="s">
        <v>2978</v>
      </c>
      <c r="D13757" s="5" t="s">
        <v>950</v>
      </c>
      <c r="E13757" s="5" t="s">
        <v>52</v>
      </c>
      <c r="F13757" s="5" t="s">
        <v>53</v>
      </c>
      <c r="G13757" s="5" t="s">
        <v>1853</v>
      </c>
      <c r="H13757" s="5" t="s">
        <v>1854</v>
      </c>
      <c r="I13757" s="5" t="s">
        <v>31</v>
      </c>
      <c r="J13757" s="5">
        <v>17.001259000000001</v>
      </c>
      <c r="K13757" s="5">
        <v>-96.603600999999998</v>
      </c>
      <c r="L13757" s="5" t="str">
        <f>HYPERLINK("https://maps.google.com/?q=17.001259,-96.603601", "🔗 Ver Mapa")</f>
        <v>🔗 Ver Mapa</v>
      </c>
    </row>
    <row r="13758" spans="1:12" ht="58" x14ac:dyDescent="0.35">
      <c r="A13758" s="6" t="s">
        <v>2781</v>
      </c>
      <c r="B13758" s="6" t="s">
        <v>2782</v>
      </c>
      <c r="C13758" s="6" t="s">
        <v>2979</v>
      </c>
      <c r="D13758" s="6" t="s">
        <v>950</v>
      </c>
      <c r="E13758" s="6" t="s">
        <v>158</v>
      </c>
      <c r="F13758" s="6" t="s">
        <v>166</v>
      </c>
      <c r="G13758" s="6" t="s">
        <v>2127</v>
      </c>
      <c r="H13758" s="6" t="s">
        <v>2875</v>
      </c>
      <c r="I13758" s="6" t="s">
        <v>31</v>
      </c>
      <c r="J13758" s="6">
        <v>16.738140999999999</v>
      </c>
      <c r="K13758" s="6">
        <v>-95.354602</v>
      </c>
      <c r="L13758" s="6" t="str">
        <f>HYPERLINK("https://maps.google.com/?q=16.738141,-95.354602", "🔗 Ver Mapa")</f>
        <v>🔗 Ver Mapa</v>
      </c>
    </row>
    <row r="13759" spans="1:12" ht="58" x14ac:dyDescent="0.35">
      <c r="A13759" s="5" t="s">
        <v>2781</v>
      </c>
      <c r="B13759" s="5" t="s">
        <v>2782</v>
      </c>
      <c r="C13759" s="5" t="s">
        <v>2980</v>
      </c>
      <c r="D13759" s="5" t="s">
        <v>950</v>
      </c>
      <c r="E13759" s="5" t="s">
        <v>17</v>
      </c>
      <c r="F13759" s="5" t="s">
        <v>59</v>
      </c>
      <c r="G13759" s="5" t="s">
        <v>275</v>
      </c>
      <c r="H13759" s="5" t="s">
        <v>276</v>
      </c>
      <c r="I13759" s="5" t="s">
        <v>31</v>
      </c>
      <c r="J13759" s="5">
        <v>16.302253</v>
      </c>
      <c r="K13759" s="5">
        <v>-97.912865999999994</v>
      </c>
      <c r="L13759" s="5" t="str">
        <f>HYPERLINK("https://maps.google.com/?q=16.302253,-97.912866", "🔗 Ver Mapa")</f>
        <v>🔗 Ver Mapa</v>
      </c>
    </row>
    <row r="13760" spans="1:12" ht="58" x14ac:dyDescent="0.35">
      <c r="A13760" s="6" t="s">
        <v>2781</v>
      </c>
      <c r="B13760" s="6" t="s">
        <v>2782</v>
      </c>
      <c r="C13760" s="6" t="s">
        <v>2981</v>
      </c>
      <c r="D13760" s="6" t="s">
        <v>950</v>
      </c>
      <c r="E13760" s="6" t="s">
        <v>140</v>
      </c>
      <c r="F13760" s="6" t="s">
        <v>141</v>
      </c>
      <c r="G13760" s="6" t="s">
        <v>682</v>
      </c>
      <c r="H13760" s="6" t="s">
        <v>2882</v>
      </c>
      <c r="I13760" s="6" t="s">
        <v>31</v>
      </c>
      <c r="J13760" s="6">
        <v>17.860099000000002</v>
      </c>
      <c r="K13760" s="6">
        <v>-96.211252000000002</v>
      </c>
      <c r="L13760" s="6" t="str">
        <f>HYPERLINK("https://maps.google.com/?q=17.860099,-96.211252", "🔗 Ver Mapa")</f>
        <v>🔗 Ver Mapa</v>
      </c>
    </row>
    <row r="13761" spans="1:12" ht="58" x14ac:dyDescent="0.35">
      <c r="A13761" s="5" t="s">
        <v>2781</v>
      </c>
      <c r="B13761" s="5" t="s">
        <v>2782</v>
      </c>
      <c r="C13761" s="5" t="s">
        <v>2982</v>
      </c>
      <c r="D13761" s="5" t="s">
        <v>950</v>
      </c>
      <c r="E13761" s="5" t="s">
        <v>110</v>
      </c>
      <c r="F13761" s="5" t="s">
        <v>111</v>
      </c>
      <c r="G13761" s="5" t="s">
        <v>2860</v>
      </c>
      <c r="H13761" s="5" t="s">
        <v>2861</v>
      </c>
      <c r="I13761" s="5" t="s">
        <v>31</v>
      </c>
      <c r="J13761" s="5">
        <v>18.108241</v>
      </c>
      <c r="K13761" s="5">
        <v>-96.819405000000003</v>
      </c>
      <c r="L13761" s="5" t="str">
        <f>HYPERLINK("https://maps.google.com/?q=18.108241,-96.819405", "🔗 Ver Mapa")</f>
        <v>🔗 Ver Mapa</v>
      </c>
    </row>
    <row r="13762" spans="1:12" ht="58" x14ac:dyDescent="0.35">
      <c r="A13762" s="6" t="s">
        <v>2781</v>
      </c>
      <c r="B13762" s="6" t="s">
        <v>2782</v>
      </c>
      <c r="C13762" s="6" t="s">
        <v>2983</v>
      </c>
      <c r="D13762" s="6" t="s">
        <v>950</v>
      </c>
      <c r="E13762" s="6" t="s">
        <v>39</v>
      </c>
      <c r="F13762" s="6" t="s">
        <v>494</v>
      </c>
      <c r="G13762" s="6" t="s">
        <v>1155</v>
      </c>
      <c r="H13762" s="6" t="s">
        <v>1156</v>
      </c>
      <c r="I13762" s="6" t="s">
        <v>31</v>
      </c>
      <c r="J13762" s="6">
        <v>16.654744000000001</v>
      </c>
      <c r="K13762" s="6">
        <v>-97.338883999999993</v>
      </c>
      <c r="L13762" s="6" t="str">
        <f>HYPERLINK("https://maps.google.com/?q=16.654744,-97.338884", "🔗 Ver Mapa")</f>
        <v>🔗 Ver Mapa</v>
      </c>
    </row>
    <row r="13763" spans="1:12" ht="58" x14ac:dyDescent="0.35">
      <c r="A13763" s="5" t="s">
        <v>2781</v>
      </c>
      <c r="B13763" s="5" t="s">
        <v>2782</v>
      </c>
      <c r="C13763" s="5" t="s">
        <v>2984</v>
      </c>
      <c r="D13763" s="5" t="s">
        <v>950</v>
      </c>
      <c r="E13763" s="5" t="s">
        <v>39</v>
      </c>
      <c r="F13763" s="5" t="s">
        <v>494</v>
      </c>
      <c r="G13763" s="5" t="s">
        <v>1973</v>
      </c>
      <c r="H13763" s="5" t="s">
        <v>2879</v>
      </c>
      <c r="I13763" s="5" t="s">
        <v>31</v>
      </c>
      <c r="J13763" s="5">
        <v>16.640829</v>
      </c>
      <c r="K13763" s="5">
        <v>-97.495149999999995</v>
      </c>
      <c r="L13763" s="5" t="str">
        <f>HYPERLINK("https://maps.google.com/?q=16.640829,-97.49515", "🔗 Ver Mapa")</f>
        <v>🔗 Ver Mapa</v>
      </c>
    </row>
    <row r="13764" spans="1:12" ht="58" x14ac:dyDescent="0.35">
      <c r="A13764" s="6" t="s">
        <v>2781</v>
      </c>
      <c r="B13764" s="6" t="s">
        <v>2782</v>
      </c>
      <c r="C13764" s="6" t="s">
        <v>2985</v>
      </c>
      <c r="D13764" s="6" t="s">
        <v>950</v>
      </c>
      <c r="E13764" s="6" t="s">
        <v>17</v>
      </c>
      <c r="F13764" s="6" t="s">
        <v>59</v>
      </c>
      <c r="G13764" s="6" t="s">
        <v>415</v>
      </c>
      <c r="H13764" s="6" t="s">
        <v>1405</v>
      </c>
      <c r="I13764" s="6" t="s">
        <v>31</v>
      </c>
      <c r="J13764" s="6">
        <v>16.56542</v>
      </c>
      <c r="K13764" s="6">
        <v>-97.652343999999999</v>
      </c>
      <c r="L13764" s="6" t="str">
        <f>HYPERLINK("https://maps.google.com/?q=16.56542,-97.652344", "🔗 Ver Mapa")</f>
        <v>🔗 Ver Mapa</v>
      </c>
    </row>
    <row r="13765" spans="1:12" ht="58" x14ac:dyDescent="0.35">
      <c r="A13765" s="5" t="s">
        <v>2781</v>
      </c>
      <c r="B13765" s="5" t="s">
        <v>2782</v>
      </c>
      <c r="C13765" s="5" t="s">
        <v>2986</v>
      </c>
      <c r="D13765" s="5" t="s">
        <v>950</v>
      </c>
      <c r="E13765" s="5" t="s">
        <v>17</v>
      </c>
      <c r="F13765" s="5" t="s">
        <v>59</v>
      </c>
      <c r="G13765" s="5" t="s">
        <v>870</v>
      </c>
      <c r="H13765" s="5" t="s">
        <v>2873</v>
      </c>
      <c r="I13765" s="5" t="s">
        <v>31</v>
      </c>
      <c r="J13765" s="5">
        <v>16.279070000000001</v>
      </c>
      <c r="K13765" s="5">
        <v>-97.820269999999994</v>
      </c>
      <c r="L13765" s="5" t="str">
        <f>HYPERLINK("https://maps.google.com/?q=16.27907,-97.82027", "🔗 Ver Mapa")</f>
        <v>🔗 Ver Mapa</v>
      </c>
    </row>
    <row r="13766" spans="1:12" ht="58" x14ac:dyDescent="0.35">
      <c r="A13766" s="6" t="s">
        <v>2781</v>
      </c>
      <c r="B13766" s="6" t="s">
        <v>2782</v>
      </c>
      <c r="C13766" s="6" t="s">
        <v>2987</v>
      </c>
      <c r="D13766" s="6" t="s">
        <v>950</v>
      </c>
      <c r="E13766" s="6" t="s">
        <v>17</v>
      </c>
      <c r="F13766" s="6" t="s">
        <v>59</v>
      </c>
      <c r="G13766" s="6" t="s">
        <v>982</v>
      </c>
      <c r="H13766" s="6" t="s">
        <v>983</v>
      </c>
      <c r="I13766" s="6" t="s">
        <v>31</v>
      </c>
      <c r="J13766" s="6">
        <v>16.341000000000001</v>
      </c>
      <c r="K13766" s="6">
        <v>-98.447519999999997</v>
      </c>
      <c r="L13766" s="6" t="str">
        <f>HYPERLINK("https://maps.google.com/?q=16.341,-98.44752", "🔗 Ver Mapa")</f>
        <v>🔗 Ver Mapa</v>
      </c>
    </row>
    <row r="13767" spans="1:12" ht="58" x14ac:dyDescent="0.35">
      <c r="A13767" s="5" t="s">
        <v>2781</v>
      </c>
      <c r="B13767" s="5" t="s">
        <v>2782</v>
      </c>
      <c r="C13767" s="5" t="s">
        <v>2988</v>
      </c>
      <c r="D13767" s="5" t="s">
        <v>950</v>
      </c>
      <c r="E13767" s="5" t="s">
        <v>52</v>
      </c>
      <c r="F13767" s="5" t="s">
        <v>53</v>
      </c>
      <c r="G13767" s="5" t="s">
        <v>2863</v>
      </c>
      <c r="H13767" s="5" t="s">
        <v>2864</v>
      </c>
      <c r="I13767" s="5" t="s">
        <v>31</v>
      </c>
      <c r="J13767" s="5">
        <v>17.067350000000001</v>
      </c>
      <c r="K13767" s="5">
        <v>-96.200379999999996</v>
      </c>
      <c r="L13767" s="5" t="str">
        <f>HYPERLINK("https://maps.google.com/?q=17.06735,-96.20038", "🔗 Ver Mapa")</f>
        <v>🔗 Ver Mapa</v>
      </c>
    </row>
    <row r="13768" spans="1:12" ht="58" x14ac:dyDescent="0.35">
      <c r="A13768" s="6" t="s">
        <v>2781</v>
      </c>
      <c r="B13768" s="6" t="s">
        <v>2782</v>
      </c>
      <c r="C13768" s="6" t="s">
        <v>2989</v>
      </c>
      <c r="D13768" s="6" t="s">
        <v>950</v>
      </c>
      <c r="E13768" s="6" t="s">
        <v>17</v>
      </c>
      <c r="F13768" s="6" t="s">
        <v>59</v>
      </c>
      <c r="G13768" s="6" t="s">
        <v>2117</v>
      </c>
      <c r="H13768" s="6" t="s">
        <v>2483</v>
      </c>
      <c r="I13768" s="6" t="s">
        <v>31</v>
      </c>
      <c r="J13768" s="6">
        <v>16.333400000000001</v>
      </c>
      <c r="K13768" s="6">
        <v>-98.378598999999994</v>
      </c>
      <c r="L13768" s="6" t="str">
        <f>HYPERLINK("https://maps.google.com/?q=16.3334,-98.378599", "🔗 Ver Mapa")</f>
        <v>🔗 Ver Mapa</v>
      </c>
    </row>
    <row r="13769" spans="1:12" ht="58" x14ac:dyDescent="0.35">
      <c r="A13769" s="5" t="s">
        <v>2781</v>
      </c>
      <c r="B13769" s="5" t="s">
        <v>2782</v>
      </c>
      <c r="C13769" s="5" t="s">
        <v>2990</v>
      </c>
      <c r="D13769" s="5" t="s">
        <v>950</v>
      </c>
      <c r="E13769" s="5" t="s">
        <v>158</v>
      </c>
      <c r="F13769" s="5" t="s">
        <v>159</v>
      </c>
      <c r="G13769" s="5" t="s">
        <v>2471</v>
      </c>
      <c r="H13769" s="5" t="s">
        <v>2869</v>
      </c>
      <c r="I13769" s="5" t="s">
        <v>31</v>
      </c>
      <c r="J13769" s="5">
        <v>16.588495999999999</v>
      </c>
      <c r="K13769" s="5">
        <v>-94.768595000000005</v>
      </c>
      <c r="L13769" s="5" t="str">
        <f>HYPERLINK("https://maps.google.com/?q=16.588496,-94.768595", "🔗 Ver Mapa")</f>
        <v>🔗 Ver Mapa</v>
      </c>
    </row>
    <row r="13770" spans="1:12" ht="58" x14ac:dyDescent="0.35">
      <c r="A13770" s="6" t="s">
        <v>2781</v>
      </c>
      <c r="B13770" s="6" t="s">
        <v>2782</v>
      </c>
      <c r="C13770" s="6" t="s">
        <v>2991</v>
      </c>
      <c r="D13770" s="6" t="s">
        <v>950</v>
      </c>
      <c r="E13770" s="6" t="s">
        <v>90</v>
      </c>
      <c r="F13770" s="6" t="s">
        <v>678</v>
      </c>
      <c r="G13770" s="6" t="s">
        <v>2424</v>
      </c>
      <c r="H13770" s="6" t="s">
        <v>2425</v>
      </c>
      <c r="I13770" s="6" t="s">
        <v>31</v>
      </c>
      <c r="J13770" s="6">
        <v>17.185565</v>
      </c>
      <c r="K13770" s="6">
        <v>-96.178961000000001</v>
      </c>
      <c r="L13770" s="6" t="str">
        <f>HYPERLINK("https://maps.google.com/?q=17.185565,-96.178961", "🔗 Ver Mapa")</f>
        <v>🔗 Ver Mapa</v>
      </c>
    </row>
    <row r="13771" spans="1:12" ht="58" x14ac:dyDescent="0.35">
      <c r="A13771" s="5" t="s">
        <v>2781</v>
      </c>
      <c r="B13771" s="5" t="s">
        <v>2782</v>
      </c>
      <c r="C13771" s="5" t="s">
        <v>2992</v>
      </c>
      <c r="D13771" s="5" t="s">
        <v>950</v>
      </c>
      <c r="E13771" s="5" t="s">
        <v>39</v>
      </c>
      <c r="F13771" s="5" t="s">
        <v>494</v>
      </c>
      <c r="G13771" s="5" t="s">
        <v>639</v>
      </c>
      <c r="H13771" s="5" t="s">
        <v>640</v>
      </c>
      <c r="I13771" s="5" t="s">
        <v>31</v>
      </c>
      <c r="J13771" s="5">
        <v>16.514762000000001</v>
      </c>
      <c r="K13771" s="5">
        <v>-96.978093999999999</v>
      </c>
      <c r="L13771" s="5" t="str">
        <f>HYPERLINK("https://maps.google.com/?q=16.514762,-96.978094", "🔗 Ver Mapa")</f>
        <v>🔗 Ver Mapa</v>
      </c>
    </row>
    <row r="13772" spans="1:12" ht="58" x14ac:dyDescent="0.35">
      <c r="A13772" s="6" t="s">
        <v>2781</v>
      </c>
      <c r="B13772" s="6" t="s">
        <v>2782</v>
      </c>
      <c r="C13772" s="6" t="s">
        <v>2993</v>
      </c>
      <c r="D13772" s="6" t="s">
        <v>950</v>
      </c>
      <c r="E13772" s="6" t="s">
        <v>90</v>
      </c>
      <c r="F13772" s="6" t="s">
        <v>678</v>
      </c>
      <c r="G13772" s="6" t="s">
        <v>1944</v>
      </c>
      <c r="H13772" s="6" t="s">
        <v>1945</v>
      </c>
      <c r="I13772" s="6" t="s">
        <v>31</v>
      </c>
      <c r="J13772" s="6">
        <v>17.359950000000001</v>
      </c>
      <c r="K13772" s="6">
        <v>-96.250169999999997</v>
      </c>
      <c r="L13772" s="6" t="str">
        <f>HYPERLINK("https://maps.google.com/?q=17.35995,-96.25017", "🔗 Ver Mapa")</f>
        <v>🔗 Ver Mapa</v>
      </c>
    </row>
    <row r="13773" spans="1:12" ht="58" x14ac:dyDescent="0.35">
      <c r="A13773" s="5" t="s">
        <v>2781</v>
      </c>
      <c r="B13773" s="5" t="s">
        <v>2782</v>
      </c>
      <c r="C13773" s="5" t="s">
        <v>2994</v>
      </c>
      <c r="D13773" s="5" t="s">
        <v>950</v>
      </c>
      <c r="E13773" s="5" t="s">
        <v>52</v>
      </c>
      <c r="F13773" s="5" t="s">
        <v>70</v>
      </c>
      <c r="G13773" s="5" t="s">
        <v>225</v>
      </c>
      <c r="H13773" s="5" t="s">
        <v>226</v>
      </c>
      <c r="I13773" s="5" t="s">
        <v>31</v>
      </c>
      <c r="J13773" s="5">
        <v>16.996043</v>
      </c>
      <c r="K13773" s="5">
        <v>-96.780592999999996</v>
      </c>
      <c r="L13773" s="5" t="str">
        <f>HYPERLINK("https://maps.google.com/?q=16.996043,-96.780593", "🔗 Ver Mapa")</f>
        <v>🔗 Ver Mapa</v>
      </c>
    </row>
    <row r="13774" spans="1:12" ht="58" x14ac:dyDescent="0.35">
      <c r="A13774" s="6" t="s">
        <v>2781</v>
      </c>
      <c r="B13774" s="6" t="s">
        <v>2782</v>
      </c>
      <c r="C13774" s="6" t="s">
        <v>2995</v>
      </c>
      <c r="D13774" s="6" t="s">
        <v>950</v>
      </c>
      <c r="E13774" s="6" t="s">
        <v>52</v>
      </c>
      <c r="F13774" s="6" t="s">
        <v>421</v>
      </c>
      <c r="G13774" s="6" t="s">
        <v>422</v>
      </c>
      <c r="H13774" s="6" t="s">
        <v>423</v>
      </c>
      <c r="I13774" s="6" t="s">
        <v>31</v>
      </c>
      <c r="J13774" s="6">
        <v>16.564287</v>
      </c>
      <c r="K13774" s="6">
        <v>-96.731917999999993</v>
      </c>
      <c r="L13774" s="6" t="str">
        <f>HYPERLINK("https://maps.google.com/?q=16.564287,-96.731918", "🔗 Ver Mapa")</f>
        <v>🔗 Ver Mapa</v>
      </c>
    </row>
    <row r="13775" spans="1:12" ht="58" x14ac:dyDescent="0.35">
      <c r="A13775" s="5" t="s">
        <v>2781</v>
      </c>
      <c r="B13775" s="5" t="s">
        <v>2782</v>
      </c>
      <c r="C13775" s="5" t="s">
        <v>2996</v>
      </c>
      <c r="D13775" s="5" t="s">
        <v>950</v>
      </c>
      <c r="E13775" s="5" t="s">
        <v>16</v>
      </c>
      <c r="F13775" s="5" t="s">
        <v>21</v>
      </c>
      <c r="G13775" s="5" t="s">
        <v>235</v>
      </c>
      <c r="H13775" s="5" t="s">
        <v>236</v>
      </c>
      <c r="I13775" s="5" t="s">
        <v>31</v>
      </c>
      <c r="J13775" s="5">
        <v>17.267530000000001</v>
      </c>
      <c r="K13775" s="5">
        <v>-97.680530000000005</v>
      </c>
      <c r="L13775" s="5" t="str">
        <f>HYPERLINK("https://maps.google.com/?q=17.26753,-97.68053", "🔗 Ver Mapa")</f>
        <v>🔗 Ver Mapa</v>
      </c>
    </row>
    <row r="13776" spans="1:12" ht="58" x14ac:dyDescent="0.35">
      <c r="A13776" s="6" t="s">
        <v>2781</v>
      </c>
      <c r="B13776" s="6" t="s">
        <v>2782</v>
      </c>
      <c r="C13776" s="6" t="s">
        <v>2997</v>
      </c>
      <c r="D13776" s="6" t="s">
        <v>950</v>
      </c>
      <c r="E13776" s="6" t="s">
        <v>52</v>
      </c>
      <c r="F13776" s="6" t="s">
        <v>228</v>
      </c>
      <c r="G13776" s="6" t="s">
        <v>1508</v>
      </c>
      <c r="H13776" s="6" t="s">
        <v>1699</v>
      </c>
      <c r="I13776" s="6" t="s">
        <v>31</v>
      </c>
      <c r="J13776" s="6">
        <v>16.791653</v>
      </c>
      <c r="K13776" s="6">
        <v>-96.675106</v>
      </c>
      <c r="L13776" s="6" t="str">
        <f>HYPERLINK("https://maps.google.com/?q=16.791653,-96.675106", "🔗 Ver Mapa")</f>
        <v>🔗 Ver Mapa</v>
      </c>
    </row>
    <row r="13777" spans="1:12" ht="58" x14ac:dyDescent="0.35">
      <c r="A13777" s="5" t="s">
        <v>2781</v>
      </c>
      <c r="B13777" s="5" t="s">
        <v>2782</v>
      </c>
      <c r="C13777" s="5" t="s">
        <v>2998</v>
      </c>
      <c r="D13777" s="5" t="s">
        <v>950</v>
      </c>
      <c r="E13777" s="5" t="s">
        <v>39</v>
      </c>
      <c r="F13777" s="5" t="s">
        <v>40</v>
      </c>
      <c r="G13777" s="5" t="s">
        <v>184</v>
      </c>
      <c r="H13777" s="5" t="s">
        <v>185</v>
      </c>
      <c r="I13777" s="5" t="s">
        <v>31</v>
      </c>
      <c r="J13777" s="5">
        <v>17.026209999999999</v>
      </c>
      <c r="K13777" s="5">
        <v>-97.928150000000002</v>
      </c>
      <c r="L13777" s="5" t="str">
        <f>HYPERLINK("https://maps.google.com/?q=17.02621,-97.92815", "🔗 Ver Mapa")</f>
        <v>🔗 Ver Mapa</v>
      </c>
    </row>
    <row r="13778" spans="1:12" ht="58" x14ac:dyDescent="0.35">
      <c r="A13778" s="6" t="s">
        <v>2781</v>
      </c>
      <c r="B13778" s="6" t="s">
        <v>2782</v>
      </c>
      <c r="C13778" s="6" t="s">
        <v>2999</v>
      </c>
      <c r="D13778" s="6" t="s">
        <v>950</v>
      </c>
      <c r="E13778" s="6" t="s">
        <v>17</v>
      </c>
      <c r="F13778" s="6" t="s">
        <v>46</v>
      </c>
      <c r="G13778" s="6" t="s">
        <v>241</v>
      </c>
      <c r="H13778" s="6" t="s">
        <v>2841</v>
      </c>
      <c r="I13778" s="6" t="s">
        <v>31</v>
      </c>
      <c r="J13778" s="6">
        <v>15.982669</v>
      </c>
      <c r="K13778" s="6">
        <v>-97.083815999999999</v>
      </c>
      <c r="L13778" s="6" t="str">
        <f>HYPERLINK("https://maps.google.com/?q=15.982669,-97.083816", "🔗 Ver Mapa")</f>
        <v>🔗 Ver Mapa</v>
      </c>
    </row>
    <row r="13779" spans="1:12" ht="58" x14ac:dyDescent="0.35">
      <c r="A13779" s="5" t="s">
        <v>2781</v>
      </c>
      <c r="B13779" s="5" t="s">
        <v>2782</v>
      </c>
      <c r="C13779" s="5" t="s">
        <v>3000</v>
      </c>
      <c r="D13779" s="5" t="s">
        <v>950</v>
      </c>
      <c r="E13779" s="5" t="s">
        <v>17</v>
      </c>
      <c r="F13779" s="5" t="s">
        <v>20</v>
      </c>
      <c r="G13779" s="5" t="s">
        <v>2304</v>
      </c>
      <c r="H13779" s="5" t="s">
        <v>2847</v>
      </c>
      <c r="I13779" s="5" t="s">
        <v>31</v>
      </c>
      <c r="J13779" s="5">
        <v>15.747154999999999</v>
      </c>
      <c r="K13779" s="5">
        <v>-96.545433000000003</v>
      </c>
      <c r="L13779" s="5" t="str">
        <f>HYPERLINK("https://maps.google.com/?q=15.747155,-96.545433", "🔗 Ver Mapa")</f>
        <v>🔗 Ver Mapa</v>
      </c>
    </row>
    <row r="13780" spans="1:12" ht="58" x14ac:dyDescent="0.35">
      <c r="A13780" s="6" t="s">
        <v>2781</v>
      </c>
      <c r="B13780" s="6" t="s">
        <v>2782</v>
      </c>
      <c r="C13780" s="6" t="s">
        <v>3001</v>
      </c>
      <c r="D13780" s="6" t="s">
        <v>950</v>
      </c>
      <c r="E13780" s="6" t="s">
        <v>52</v>
      </c>
      <c r="F13780" s="6" t="s">
        <v>443</v>
      </c>
      <c r="G13780" s="6" t="s">
        <v>2851</v>
      </c>
      <c r="H13780" s="6" t="s">
        <v>2852</v>
      </c>
      <c r="I13780" s="6" t="s">
        <v>31</v>
      </c>
      <c r="J13780" s="6">
        <v>16.866634999999999</v>
      </c>
      <c r="K13780" s="6">
        <v>-96.785594000000003</v>
      </c>
      <c r="L13780" s="6" t="str">
        <f>HYPERLINK("https://maps.google.com/?q=16.866635,-96.785594", "🔗 Ver Mapa")</f>
        <v>🔗 Ver Mapa</v>
      </c>
    </row>
    <row r="13781" spans="1:12" ht="58" x14ac:dyDescent="0.35">
      <c r="A13781" s="5" t="s">
        <v>2781</v>
      </c>
      <c r="B13781" s="5" t="s">
        <v>2782</v>
      </c>
      <c r="C13781" s="5" t="s">
        <v>3002</v>
      </c>
      <c r="D13781" s="5" t="s">
        <v>950</v>
      </c>
      <c r="E13781" s="5" t="s">
        <v>140</v>
      </c>
      <c r="F13781" s="5" t="s">
        <v>141</v>
      </c>
      <c r="G13781" s="5" t="s">
        <v>187</v>
      </c>
      <c r="H13781" s="5" t="s">
        <v>188</v>
      </c>
      <c r="I13781" s="5" t="s">
        <v>31</v>
      </c>
      <c r="J13781" s="5">
        <v>18.081175000000002</v>
      </c>
      <c r="K13781" s="5">
        <v>-96.118491000000006</v>
      </c>
      <c r="L13781" s="5" t="str">
        <f>HYPERLINK("https://maps.google.com/?q=18.081175,-96.118491", "🔗 Ver Mapa")</f>
        <v>🔗 Ver Mapa</v>
      </c>
    </row>
    <row r="13782" spans="1:12" ht="58" x14ac:dyDescent="0.35">
      <c r="A13782" s="6" t="s">
        <v>2781</v>
      </c>
      <c r="B13782" s="6" t="s">
        <v>2782</v>
      </c>
      <c r="C13782" s="6" t="s">
        <v>3003</v>
      </c>
      <c r="D13782" s="6" t="s">
        <v>950</v>
      </c>
      <c r="E13782" s="6" t="s">
        <v>52</v>
      </c>
      <c r="F13782" s="6" t="s">
        <v>70</v>
      </c>
      <c r="G13782" s="6" t="s">
        <v>272</v>
      </c>
      <c r="H13782" s="6" t="s">
        <v>320</v>
      </c>
      <c r="I13782" s="6" t="s">
        <v>31</v>
      </c>
      <c r="J13782" s="6">
        <v>16.91011</v>
      </c>
      <c r="K13782" s="6">
        <v>-96.722123999999994</v>
      </c>
      <c r="L13782" s="6" t="str">
        <f>HYPERLINK("https://maps.google.com/?q=16.91011,-96.722124", "🔗 Ver Mapa")</f>
        <v>🔗 Ver Mapa</v>
      </c>
    </row>
    <row r="13783" spans="1:12" ht="43.5" x14ac:dyDescent="0.35">
      <c r="A13783" s="5" t="s">
        <v>288</v>
      </c>
      <c r="B13783" s="5" t="s">
        <v>289</v>
      </c>
      <c r="C13783" s="5" t="s">
        <v>3004</v>
      </c>
      <c r="D13783" s="5" t="s">
        <v>600</v>
      </c>
      <c r="E13783" s="5" t="s">
        <v>90</v>
      </c>
      <c r="F13783" s="5" t="s">
        <v>119</v>
      </c>
      <c r="G13783" s="5" t="s">
        <v>350</v>
      </c>
      <c r="H13783" s="5" t="s">
        <v>351</v>
      </c>
      <c r="I13783" s="5" t="s">
        <v>31</v>
      </c>
      <c r="J13783" s="5">
        <v>17.311952000000002</v>
      </c>
      <c r="K13783" s="5">
        <v>-96.491679000000005</v>
      </c>
      <c r="L13783" s="5" t="str">
        <f>HYPERLINK("https://maps.google.com/?q=17.311952,-96.491679", "🔗 Ver Mapa")</f>
        <v>🔗 Ver Mapa</v>
      </c>
    </row>
    <row r="13784" spans="1:12" ht="43.5" x14ac:dyDescent="0.35">
      <c r="A13784" s="6" t="s">
        <v>288</v>
      </c>
      <c r="B13784" s="6" t="s">
        <v>289</v>
      </c>
      <c r="C13784" s="6" t="s">
        <v>3005</v>
      </c>
      <c r="D13784" s="6" t="s">
        <v>414</v>
      </c>
      <c r="E13784" s="6" t="s">
        <v>16</v>
      </c>
      <c r="F13784" s="6" t="s">
        <v>21</v>
      </c>
      <c r="G13784" s="6" t="s">
        <v>1290</v>
      </c>
      <c r="H13784" s="6" t="s">
        <v>1819</v>
      </c>
      <c r="I13784" s="6" t="s">
        <v>31</v>
      </c>
      <c r="J13784" s="6">
        <v>17.128798</v>
      </c>
      <c r="K13784" s="6">
        <v>-97.748017000000004</v>
      </c>
      <c r="L13784" s="6" t="str">
        <f>HYPERLINK("https://maps.google.com/?q=17.128798,-97.748017000000004", "🔗 Ver Mapa")</f>
        <v>🔗 Ver Mapa</v>
      </c>
    </row>
    <row r="13785" spans="1:12" ht="43.5" x14ac:dyDescent="0.35">
      <c r="A13785" s="5" t="s">
        <v>288</v>
      </c>
      <c r="B13785" s="5" t="s">
        <v>289</v>
      </c>
      <c r="C13785" s="5" t="s">
        <v>3005</v>
      </c>
      <c r="D13785" s="5" t="s">
        <v>414</v>
      </c>
      <c r="E13785" s="5" t="s">
        <v>16</v>
      </c>
      <c r="F13785" s="5" t="s">
        <v>21</v>
      </c>
      <c r="G13785" s="5" t="s">
        <v>1290</v>
      </c>
      <c r="H13785" s="5" t="s">
        <v>1819</v>
      </c>
      <c r="I13785" s="5" t="s">
        <v>31</v>
      </c>
      <c r="J13785" s="5">
        <v>17.128878</v>
      </c>
      <c r="K13785" s="5">
        <v>-97.748255999999998</v>
      </c>
      <c r="L13785" s="5" t="str">
        <f>HYPERLINK("https://maps.google.com/?q=17.128878,-97.748255999999998", "🔗 Ver Mapa")</f>
        <v>🔗 Ver Mapa</v>
      </c>
    </row>
    <row r="13786" spans="1:12" ht="43.5" x14ac:dyDescent="0.35">
      <c r="A13786" s="6" t="s">
        <v>288</v>
      </c>
      <c r="B13786" s="6" t="s">
        <v>289</v>
      </c>
      <c r="C13786" s="6" t="s">
        <v>3005</v>
      </c>
      <c r="D13786" s="6" t="s">
        <v>414</v>
      </c>
      <c r="E13786" s="6" t="s">
        <v>16</v>
      </c>
      <c r="F13786" s="6" t="s">
        <v>21</v>
      </c>
      <c r="G13786" s="6" t="s">
        <v>1290</v>
      </c>
      <c r="H13786" s="6" t="s">
        <v>1819</v>
      </c>
      <c r="I13786" s="6" t="s">
        <v>31</v>
      </c>
      <c r="J13786" s="6">
        <v>17.129034999999998</v>
      </c>
      <c r="K13786" s="6">
        <v>-97.748453999999995</v>
      </c>
      <c r="L13786" s="6" t="str">
        <f>HYPERLINK("https://maps.google.com/?q=17.129035,-97.748453999999995", "🔗 Ver Mapa")</f>
        <v>🔗 Ver Mapa</v>
      </c>
    </row>
    <row r="13787" spans="1:12" ht="43.5" x14ac:dyDescent="0.35">
      <c r="A13787" s="5" t="s">
        <v>288</v>
      </c>
      <c r="B13787" s="5" t="s">
        <v>289</v>
      </c>
      <c r="C13787" s="5" t="s">
        <v>3005</v>
      </c>
      <c r="D13787" s="5" t="s">
        <v>414</v>
      </c>
      <c r="E13787" s="5" t="s">
        <v>16</v>
      </c>
      <c r="F13787" s="5" t="s">
        <v>21</v>
      </c>
      <c r="G13787" s="5" t="s">
        <v>1290</v>
      </c>
      <c r="H13787" s="5" t="s">
        <v>1819</v>
      </c>
      <c r="I13787" s="5" t="s">
        <v>31</v>
      </c>
      <c r="J13787" s="5">
        <v>17.129261</v>
      </c>
      <c r="K13787" s="5">
        <v>-97.748521999999994</v>
      </c>
      <c r="L13787" s="5" t="str">
        <f>HYPERLINK("https://maps.google.com/?q=17.129261,-97.748521999999994", "🔗 Ver Mapa")</f>
        <v>🔗 Ver Mapa</v>
      </c>
    </row>
    <row r="13788" spans="1:12" ht="43.5" x14ac:dyDescent="0.35">
      <c r="A13788" s="6" t="s">
        <v>288</v>
      </c>
      <c r="B13788" s="6" t="s">
        <v>289</v>
      </c>
      <c r="C13788" s="6" t="s">
        <v>3005</v>
      </c>
      <c r="D13788" s="6" t="s">
        <v>414</v>
      </c>
      <c r="E13788" s="6" t="s">
        <v>16</v>
      </c>
      <c r="F13788" s="6" t="s">
        <v>21</v>
      </c>
      <c r="G13788" s="6" t="s">
        <v>1290</v>
      </c>
      <c r="H13788" s="6" t="s">
        <v>1819</v>
      </c>
      <c r="I13788" s="6" t="s">
        <v>31</v>
      </c>
      <c r="J13788" s="6">
        <v>17.129313</v>
      </c>
      <c r="K13788" s="6">
        <v>-97.748300999999998</v>
      </c>
      <c r="L13788" s="6" t="str">
        <f>HYPERLINK("https://maps.google.com/?q=17.129313,-97.748300999999998", "🔗 Ver Mapa")</f>
        <v>🔗 Ver Mapa</v>
      </c>
    </row>
    <row r="13789" spans="1:12" ht="43.5" x14ac:dyDescent="0.35">
      <c r="A13789" s="5" t="s">
        <v>288</v>
      </c>
      <c r="B13789" s="5" t="s">
        <v>289</v>
      </c>
      <c r="C13789" s="5" t="s">
        <v>3005</v>
      </c>
      <c r="D13789" s="5" t="s">
        <v>414</v>
      </c>
      <c r="E13789" s="5" t="s">
        <v>16</v>
      </c>
      <c r="F13789" s="5" t="s">
        <v>21</v>
      </c>
      <c r="G13789" s="5" t="s">
        <v>1290</v>
      </c>
      <c r="H13789" s="5" t="s">
        <v>1819</v>
      </c>
      <c r="I13789" s="5" t="s">
        <v>31</v>
      </c>
      <c r="J13789" s="5">
        <v>17.129346999999999</v>
      </c>
      <c r="K13789" s="5">
        <v>-97.748053999999996</v>
      </c>
      <c r="L13789" s="5" t="str">
        <f>HYPERLINK("https://maps.google.com/?q=17.129347,-97.748053999999996", "🔗 Ver Mapa")</f>
        <v>🔗 Ver Mapa</v>
      </c>
    </row>
    <row r="13790" spans="1:12" ht="43.5" x14ac:dyDescent="0.35">
      <c r="A13790" s="6" t="s">
        <v>288</v>
      </c>
      <c r="B13790" s="6" t="s">
        <v>289</v>
      </c>
      <c r="C13790" s="6" t="s">
        <v>3005</v>
      </c>
      <c r="D13790" s="6" t="s">
        <v>414</v>
      </c>
      <c r="E13790" s="6" t="s">
        <v>16</v>
      </c>
      <c r="F13790" s="6" t="s">
        <v>21</v>
      </c>
      <c r="G13790" s="6" t="s">
        <v>1290</v>
      </c>
      <c r="H13790" s="6" t="s">
        <v>1819</v>
      </c>
      <c r="I13790" s="6" t="s">
        <v>31</v>
      </c>
      <c r="J13790" s="6">
        <v>17.129404000000001</v>
      </c>
      <c r="K13790" s="6">
        <v>-97.747810999999999</v>
      </c>
      <c r="L13790" s="6" t="str">
        <f>HYPERLINK("https://maps.google.com/?q=17.129404,-97.747810999999999", "🔗 Ver Mapa")</f>
        <v>🔗 Ver Mapa</v>
      </c>
    </row>
    <row r="13791" spans="1:12" ht="43.5" x14ac:dyDescent="0.35">
      <c r="A13791" s="5" t="s">
        <v>288</v>
      </c>
      <c r="B13791" s="5" t="s">
        <v>289</v>
      </c>
      <c r="C13791" s="5" t="s">
        <v>3005</v>
      </c>
      <c r="D13791" s="5" t="s">
        <v>414</v>
      </c>
      <c r="E13791" s="5" t="s">
        <v>16</v>
      </c>
      <c r="F13791" s="5" t="s">
        <v>21</v>
      </c>
      <c r="G13791" s="5" t="s">
        <v>1290</v>
      </c>
      <c r="H13791" s="5" t="s">
        <v>1819</v>
      </c>
      <c r="I13791" s="5" t="s">
        <v>31</v>
      </c>
      <c r="J13791" s="5">
        <v>17.12951</v>
      </c>
      <c r="K13791" s="5">
        <v>-97.748562000000007</v>
      </c>
      <c r="L13791" s="5" t="str">
        <f>HYPERLINK("https://maps.google.com/?q=17.12951,-97.748562000000007", "🔗 Ver Mapa")</f>
        <v>🔗 Ver Mapa</v>
      </c>
    </row>
    <row r="13792" spans="1:12" ht="43.5" x14ac:dyDescent="0.35">
      <c r="A13792" s="6" t="s">
        <v>288</v>
      </c>
      <c r="B13792" s="6" t="s">
        <v>289</v>
      </c>
      <c r="C13792" s="6" t="s">
        <v>3005</v>
      </c>
      <c r="D13792" s="6" t="s">
        <v>414</v>
      </c>
      <c r="E13792" s="6" t="s">
        <v>16</v>
      </c>
      <c r="F13792" s="6" t="s">
        <v>21</v>
      </c>
      <c r="G13792" s="6" t="s">
        <v>1290</v>
      </c>
      <c r="H13792" s="6" t="s">
        <v>1819</v>
      </c>
      <c r="I13792" s="6" t="s">
        <v>31</v>
      </c>
      <c r="J13792" s="6">
        <v>17.129726999999999</v>
      </c>
      <c r="K13792" s="6">
        <v>-97.748671999999999</v>
      </c>
      <c r="L13792" s="6" t="str">
        <f>HYPERLINK("https://maps.google.com/?q=17.129727,-97.748671999999999", "🔗 Ver Mapa")</f>
        <v>🔗 Ver Mapa</v>
      </c>
    </row>
    <row r="13793" spans="1:12" ht="43.5" x14ac:dyDescent="0.35">
      <c r="A13793" s="5" t="s">
        <v>288</v>
      </c>
      <c r="B13793" s="5" t="s">
        <v>289</v>
      </c>
      <c r="C13793" s="5" t="s">
        <v>3005</v>
      </c>
      <c r="D13793" s="5" t="s">
        <v>414</v>
      </c>
      <c r="E13793" s="5" t="s">
        <v>16</v>
      </c>
      <c r="F13793" s="5" t="s">
        <v>21</v>
      </c>
      <c r="G13793" s="5" t="s">
        <v>1290</v>
      </c>
      <c r="H13793" s="5" t="s">
        <v>1819</v>
      </c>
      <c r="I13793" s="5" t="s">
        <v>31</v>
      </c>
      <c r="J13793" s="5">
        <v>17.129954000000001</v>
      </c>
      <c r="K13793" s="5">
        <v>-97.748760000000004</v>
      </c>
      <c r="L13793" s="5" t="str">
        <f>HYPERLINK("https://maps.google.com/?q=17.129954,-97.748760000000004", "🔗 Ver Mapa")</f>
        <v>🔗 Ver Mapa</v>
      </c>
    </row>
    <row r="13794" spans="1:12" ht="43.5" x14ac:dyDescent="0.35">
      <c r="A13794" s="6" t="s">
        <v>288</v>
      </c>
      <c r="B13794" s="6" t="s">
        <v>289</v>
      </c>
      <c r="C13794" s="6" t="s">
        <v>3005</v>
      </c>
      <c r="D13794" s="6" t="s">
        <v>414</v>
      </c>
      <c r="E13794" s="6" t="s">
        <v>16</v>
      </c>
      <c r="F13794" s="6" t="s">
        <v>21</v>
      </c>
      <c r="G13794" s="6" t="s">
        <v>1290</v>
      </c>
      <c r="H13794" s="6" t="s">
        <v>1819</v>
      </c>
      <c r="I13794" s="6" t="s">
        <v>31</v>
      </c>
      <c r="J13794" s="6">
        <v>17.130185999999998</v>
      </c>
      <c r="K13794" s="6">
        <v>-97.748751999999996</v>
      </c>
      <c r="L13794" s="6" t="str">
        <f>HYPERLINK("https://maps.google.com/?q=17.130186,-97.748751999999996", "🔗 Ver Mapa")</f>
        <v>🔗 Ver Mapa</v>
      </c>
    </row>
    <row r="13795" spans="1:12" ht="43.5" x14ac:dyDescent="0.35">
      <c r="A13795" s="5" t="s">
        <v>288</v>
      </c>
      <c r="B13795" s="5" t="s">
        <v>289</v>
      </c>
      <c r="C13795" s="5" t="s">
        <v>3005</v>
      </c>
      <c r="D13795" s="5" t="s">
        <v>414</v>
      </c>
      <c r="E13795" s="5" t="s">
        <v>16</v>
      </c>
      <c r="F13795" s="5" t="s">
        <v>21</v>
      </c>
      <c r="G13795" s="5" t="s">
        <v>1290</v>
      </c>
      <c r="H13795" s="5" t="s">
        <v>1819</v>
      </c>
      <c r="I13795" s="5" t="s">
        <v>31</v>
      </c>
      <c r="J13795" s="5">
        <v>17.130337787359998</v>
      </c>
      <c r="K13795" s="5">
        <v>-97.747817999999995</v>
      </c>
      <c r="L13795" s="5" t="str">
        <f>HYPERLINK("https://maps.google.com/?q=17.13033778736009,-97.74781800000001", "🔗 Ver Mapa")</f>
        <v>🔗 Ver Mapa</v>
      </c>
    </row>
    <row r="13796" spans="1:12" ht="43.5" x14ac:dyDescent="0.35">
      <c r="A13796" s="6" t="s">
        <v>288</v>
      </c>
      <c r="B13796" s="6" t="s">
        <v>289</v>
      </c>
      <c r="C13796" s="6" t="s">
        <v>3005</v>
      </c>
      <c r="D13796" s="6" t="s">
        <v>414</v>
      </c>
      <c r="E13796" s="6" t="s">
        <v>16</v>
      </c>
      <c r="F13796" s="6" t="s">
        <v>21</v>
      </c>
      <c r="G13796" s="6" t="s">
        <v>1290</v>
      </c>
      <c r="H13796" s="6" t="s">
        <v>1819</v>
      </c>
      <c r="I13796" s="6" t="s">
        <v>31</v>
      </c>
      <c r="J13796" s="6">
        <v>17.130344787359</v>
      </c>
      <c r="K13796" s="6">
        <v>-97.748054341105004</v>
      </c>
      <c r="L13796" s="6" t="str">
        <f>HYPERLINK("https://maps.google.com/?q=17.130344787359252,-97.7480543411045", "🔗 Ver Mapa")</f>
        <v>🔗 Ver Mapa</v>
      </c>
    </row>
    <row r="13797" spans="1:12" ht="43.5" x14ac:dyDescent="0.35">
      <c r="A13797" s="5" t="s">
        <v>288</v>
      </c>
      <c r="B13797" s="5" t="s">
        <v>289</v>
      </c>
      <c r="C13797" s="5" t="s">
        <v>3005</v>
      </c>
      <c r="D13797" s="5" t="s">
        <v>414</v>
      </c>
      <c r="E13797" s="5" t="s">
        <v>16</v>
      </c>
      <c r="F13797" s="5" t="s">
        <v>21</v>
      </c>
      <c r="G13797" s="5" t="s">
        <v>1290</v>
      </c>
      <c r="H13797" s="5" t="s">
        <v>1819</v>
      </c>
      <c r="I13797" s="5" t="s">
        <v>31</v>
      </c>
      <c r="J13797" s="5">
        <v>17.130361787357</v>
      </c>
      <c r="K13797" s="5">
        <v>-97.748282317790995</v>
      </c>
      <c r="L13797" s="5" t="str">
        <f>HYPERLINK("https://maps.google.com/?q=17.13036178735726,-97.74828231779098", "🔗 Ver Mapa")</f>
        <v>🔗 Ver Mapa</v>
      </c>
    </row>
    <row r="13798" spans="1:12" ht="43.5" x14ac:dyDescent="0.35">
      <c r="A13798" s="6" t="s">
        <v>288</v>
      </c>
      <c r="B13798" s="6" t="s">
        <v>289</v>
      </c>
      <c r="C13798" s="6" t="s">
        <v>3005</v>
      </c>
      <c r="D13798" s="6" t="s">
        <v>414</v>
      </c>
      <c r="E13798" s="6" t="s">
        <v>16</v>
      </c>
      <c r="F13798" s="6" t="s">
        <v>21</v>
      </c>
      <c r="G13798" s="6" t="s">
        <v>1290</v>
      </c>
      <c r="H13798" s="6" t="s">
        <v>1819</v>
      </c>
      <c r="I13798" s="6" t="s">
        <v>31</v>
      </c>
      <c r="J13798" s="6">
        <v>17.130384632182</v>
      </c>
      <c r="K13798" s="6">
        <v>-97.748517682208998</v>
      </c>
      <c r="L13798" s="6" t="str">
        <f>HYPERLINK("https://maps.google.com/?q=17.13038463218212,-97.74851768220901", "🔗 Ver Mapa")</f>
        <v>🔗 Ver Mapa</v>
      </c>
    </row>
    <row r="13799" spans="1:12" ht="43.5" x14ac:dyDescent="0.35">
      <c r="A13799" s="5" t="s">
        <v>288</v>
      </c>
      <c r="B13799" s="5" t="s">
        <v>289</v>
      </c>
      <c r="C13799" s="5" t="s">
        <v>3005</v>
      </c>
      <c r="D13799" s="5" t="s">
        <v>414</v>
      </c>
      <c r="E13799" s="5" t="s">
        <v>16</v>
      </c>
      <c r="F13799" s="5" t="s">
        <v>21</v>
      </c>
      <c r="G13799" s="5" t="s">
        <v>1290</v>
      </c>
      <c r="H13799" s="5" t="s">
        <v>1819</v>
      </c>
      <c r="I13799" s="5" t="s">
        <v>31</v>
      </c>
      <c r="J13799" s="5">
        <v>17.130409</v>
      </c>
      <c r="K13799" s="5">
        <v>-97.748687000000004</v>
      </c>
      <c r="L13799" s="5" t="str">
        <f>HYPERLINK("https://maps.google.com/?q=17.130409,-97.748687000000004", "🔗 Ver Mapa")</f>
        <v>🔗 Ver Mapa</v>
      </c>
    </row>
    <row r="13800" spans="1:12" ht="43.5" x14ac:dyDescent="0.35">
      <c r="A13800" s="6" t="s">
        <v>288</v>
      </c>
      <c r="B13800" s="6" t="s">
        <v>289</v>
      </c>
      <c r="C13800" s="6" t="s">
        <v>3005</v>
      </c>
      <c r="D13800" s="6" t="s">
        <v>414</v>
      </c>
      <c r="E13800" s="6" t="s">
        <v>16</v>
      </c>
      <c r="F13800" s="6" t="s">
        <v>21</v>
      </c>
      <c r="G13800" s="6" t="s">
        <v>1290</v>
      </c>
      <c r="H13800" s="6" t="s">
        <v>1819</v>
      </c>
      <c r="I13800" s="6" t="s">
        <v>31</v>
      </c>
      <c r="J13800" s="6">
        <v>17.130631000000001</v>
      </c>
      <c r="K13800" s="6">
        <v>-97.748589999999993</v>
      </c>
      <c r="L13800" s="6" t="str">
        <f>HYPERLINK("https://maps.google.com/?q=17.130631,-97.748589999999993", "🔗 Ver Mapa")</f>
        <v>🔗 Ver Mapa</v>
      </c>
    </row>
    <row r="13801" spans="1:12" ht="43.5" x14ac:dyDescent="0.35">
      <c r="A13801" s="5" t="s">
        <v>288</v>
      </c>
      <c r="B13801" s="5" t="s">
        <v>289</v>
      </c>
      <c r="C13801" s="5" t="s">
        <v>3005</v>
      </c>
      <c r="D13801" s="5" t="s">
        <v>414</v>
      </c>
      <c r="E13801" s="5" t="s">
        <v>16</v>
      </c>
      <c r="F13801" s="5" t="s">
        <v>21</v>
      </c>
      <c r="G13801" s="5" t="s">
        <v>1290</v>
      </c>
      <c r="H13801" s="5" t="s">
        <v>1819</v>
      </c>
      <c r="I13801" s="5" t="s">
        <v>31</v>
      </c>
      <c r="J13801" s="5">
        <v>17.130648999999998</v>
      </c>
      <c r="K13801" s="5">
        <v>-97.749184</v>
      </c>
      <c r="L13801" s="5" t="str">
        <f>HYPERLINK("https://maps.google.com/?q=17.130649,-97.749184", "🔗 Ver Mapa")</f>
        <v>🔗 Ver Mapa</v>
      </c>
    </row>
    <row r="13802" spans="1:12" ht="43.5" x14ac:dyDescent="0.35">
      <c r="A13802" s="6" t="s">
        <v>288</v>
      </c>
      <c r="B13802" s="6" t="s">
        <v>289</v>
      </c>
      <c r="C13802" s="6" t="s">
        <v>3005</v>
      </c>
      <c r="D13802" s="6" t="s">
        <v>414</v>
      </c>
      <c r="E13802" s="6" t="s">
        <v>16</v>
      </c>
      <c r="F13802" s="6" t="s">
        <v>21</v>
      </c>
      <c r="G13802" s="6" t="s">
        <v>1290</v>
      </c>
      <c r="H13802" s="6" t="s">
        <v>1819</v>
      </c>
      <c r="I13802" s="6" t="s">
        <v>31</v>
      </c>
      <c r="J13802" s="6">
        <v>17.130848</v>
      </c>
      <c r="K13802" s="6">
        <v>-97.748500000000007</v>
      </c>
      <c r="L13802" s="6" t="str">
        <f>HYPERLINK("https://maps.google.com/?q=17.130848,-97.748500000000007", "🔗 Ver Mapa")</f>
        <v>🔗 Ver Mapa</v>
      </c>
    </row>
    <row r="13803" spans="1:12" ht="43.5" x14ac:dyDescent="0.35">
      <c r="A13803" s="5" t="s">
        <v>288</v>
      </c>
      <c r="B13803" s="5" t="s">
        <v>289</v>
      </c>
      <c r="C13803" s="5" t="s">
        <v>3005</v>
      </c>
      <c r="D13803" s="5" t="s">
        <v>414</v>
      </c>
      <c r="E13803" s="5" t="s">
        <v>16</v>
      </c>
      <c r="F13803" s="5" t="s">
        <v>21</v>
      </c>
      <c r="G13803" s="5" t="s">
        <v>1290</v>
      </c>
      <c r="H13803" s="5" t="s">
        <v>1819</v>
      </c>
      <c r="I13803" s="5" t="s">
        <v>31</v>
      </c>
      <c r="J13803" s="5">
        <v>17.130849999999999</v>
      </c>
      <c r="K13803" s="5">
        <v>-97.749044999999995</v>
      </c>
      <c r="L13803" s="5" t="str">
        <f>HYPERLINK("https://maps.google.com/?q=17.13085,-97.749044999999995", "🔗 Ver Mapa")</f>
        <v>🔗 Ver Mapa</v>
      </c>
    </row>
    <row r="13804" spans="1:12" ht="43.5" x14ac:dyDescent="0.35">
      <c r="A13804" s="6" t="s">
        <v>288</v>
      </c>
      <c r="B13804" s="6" t="s">
        <v>289</v>
      </c>
      <c r="C13804" s="6" t="s">
        <v>3005</v>
      </c>
      <c r="D13804" s="6" t="s">
        <v>414</v>
      </c>
      <c r="E13804" s="6" t="s">
        <v>16</v>
      </c>
      <c r="F13804" s="6" t="s">
        <v>21</v>
      </c>
      <c r="G13804" s="6" t="s">
        <v>1290</v>
      </c>
      <c r="H13804" s="6" t="s">
        <v>1819</v>
      </c>
      <c r="I13804" s="6" t="s">
        <v>31</v>
      </c>
      <c r="J13804" s="6">
        <v>17.131063999999999</v>
      </c>
      <c r="K13804" s="6">
        <v>-97.748919999999998</v>
      </c>
      <c r="L13804" s="6" t="str">
        <f>HYPERLINK("https://maps.google.com/?q=17.131064,-97.748919999999998", "🔗 Ver Mapa")</f>
        <v>🔗 Ver Mapa</v>
      </c>
    </row>
    <row r="13805" spans="1:12" ht="43.5" x14ac:dyDescent="0.35">
      <c r="A13805" s="5" t="s">
        <v>288</v>
      </c>
      <c r="B13805" s="5" t="s">
        <v>289</v>
      </c>
      <c r="C13805" s="5" t="s">
        <v>3005</v>
      </c>
      <c r="D13805" s="5" t="s">
        <v>414</v>
      </c>
      <c r="E13805" s="5" t="s">
        <v>16</v>
      </c>
      <c r="F13805" s="5" t="s">
        <v>21</v>
      </c>
      <c r="G13805" s="5" t="s">
        <v>1290</v>
      </c>
      <c r="H13805" s="5" t="s">
        <v>1819</v>
      </c>
      <c r="I13805" s="5" t="s">
        <v>31</v>
      </c>
      <c r="J13805" s="5">
        <v>17.131086</v>
      </c>
      <c r="K13805" s="5">
        <v>-97.748459999999994</v>
      </c>
      <c r="L13805" s="5" t="str">
        <f>HYPERLINK("https://maps.google.com/?q=17.131086,-97.748459999999994", "🔗 Ver Mapa")</f>
        <v>🔗 Ver Mapa</v>
      </c>
    </row>
    <row r="13806" spans="1:12" ht="43.5" x14ac:dyDescent="0.35">
      <c r="A13806" s="6" t="s">
        <v>288</v>
      </c>
      <c r="B13806" s="6" t="s">
        <v>289</v>
      </c>
      <c r="C13806" s="6" t="s">
        <v>3005</v>
      </c>
      <c r="D13806" s="6" t="s">
        <v>414</v>
      </c>
      <c r="E13806" s="6" t="s">
        <v>16</v>
      </c>
      <c r="F13806" s="6" t="s">
        <v>21</v>
      </c>
      <c r="G13806" s="6" t="s">
        <v>1290</v>
      </c>
      <c r="H13806" s="6" t="s">
        <v>1819</v>
      </c>
      <c r="I13806" s="6" t="s">
        <v>31</v>
      </c>
      <c r="J13806" s="6">
        <v>17.131208000000001</v>
      </c>
      <c r="K13806" s="6">
        <v>-97.748723999999996</v>
      </c>
      <c r="L13806" s="6" t="str">
        <f>HYPERLINK("https://maps.google.com/?q=17.131208,-97.748723999999996", "🔗 Ver Mapa")</f>
        <v>🔗 Ver Mapa</v>
      </c>
    </row>
    <row r="13807" spans="1:12" ht="43.5" x14ac:dyDescent="0.35">
      <c r="A13807" s="5" t="s">
        <v>288</v>
      </c>
      <c r="B13807" s="5" t="s">
        <v>289</v>
      </c>
      <c r="C13807" s="5" t="s">
        <v>3005</v>
      </c>
      <c r="D13807" s="5" t="s">
        <v>414</v>
      </c>
      <c r="E13807" s="5" t="s">
        <v>16</v>
      </c>
      <c r="F13807" s="5" t="s">
        <v>21</v>
      </c>
      <c r="G13807" s="5" t="s">
        <v>1290</v>
      </c>
      <c r="H13807" s="5" t="s">
        <v>1819</v>
      </c>
      <c r="I13807" s="5" t="s">
        <v>31</v>
      </c>
      <c r="J13807" s="5">
        <v>17.131285999999999</v>
      </c>
      <c r="K13807" s="5">
        <v>-97.748542</v>
      </c>
      <c r="L13807" s="5" t="str">
        <f>HYPERLINK("https://maps.google.com/?q=17.131286,-97.748542", "🔗 Ver Mapa")</f>
        <v>🔗 Ver Mapa</v>
      </c>
    </row>
    <row r="13808" spans="1:12" ht="43.5" x14ac:dyDescent="0.35">
      <c r="A13808" s="6" t="s">
        <v>288</v>
      </c>
      <c r="B13808" s="6" t="s">
        <v>289</v>
      </c>
      <c r="C13808" s="6" t="s">
        <v>3006</v>
      </c>
      <c r="D13808" s="6" t="s">
        <v>745</v>
      </c>
      <c r="E13808" s="6" t="s">
        <v>16</v>
      </c>
      <c r="F13808" s="6" t="s">
        <v>21</v>
      </c>
      <c r="G13808" s="6" t="s">
        <v>699</v>
      </c>
      <c r="H13808" s="6" t="s">
        <v>3007</v>
      </c>
      <c r="I13808" s="6" t="s">
        <v>31</v>
      </c>
      <c r="J13808" s="6">
        <v>16.996594999999999</v>
      </c>
      <c r="K13808" s="6">
        <v>-97.800584000000001</v>
      </c>
      <c r="L13808" s="6" t="str">
        <f>HYPERLINK("https://maps.google.com/?q=16.996595,-97.800584000000001", "🔗 Ver Mapa")</f>
        <v>🔗 Ver Mapa</v>
      </c>
    </row>
    <row r="13809" spans="1:12" ht="43.5" x14ac:dyDescent="0.35">
      <c r="A13809" s="5" t="s">
        <v>288</v>
      </c>
      <c r="B13809" s="5" t="s">
        <v>289</v>
      </c>
      <c r="C13809" s="5" t="s">
        <v>3006</v>
      </c>
      <c r="D13809" s="5" t="s">
        <v>745</v>
      </c>
      <c r="E13809" s="5" t="s">
        <v>16</v>
      </c>
      <c r="F13809" s="5" t="s">
        <v>21</v>
      </c>
      <c r="G13809" s="5" t="s">
        <v>699</v>
      </c>
      <c r="H13809" s="5" t="s">
        <v>3007</v>
      </c>
      <c r="I13809" s="5" t="s">
        <v>31</v>
      </c>
      <c r="J13809" s="5">
        <v>16.996782</v>
      </c>
      <c r="K13809" s="5">
        <v>-97.800252</v>
      </c>
      <c r="L13809" s="5" t="str">
        <f>HYPERLINK("https://maps.google.com/?q=16.996782,-97.800252", "🔗 Ver Mapa")</f>
        <v>🔗 Ver Mapa</v>
      </c>
    </row>
    <row r="13810" spans="1:12" ht="43.5" x14ac:dyDescent="0.35">
      <c r="A13810" s="6" t="s">
        <v>288</v>
      </c>
      <c r="B13810" s="6" t="s">
        <v>289</v>
      </c>
      <c r="C13810" s="6" t="s">
        <v>3006</v>
      </c>
      <c r="D13810" s="6" t="s">
        <v>745</v>
      </c>
      <c r="E13810" s="6" t="s">
        <v>16</v>
      </c>
      <c r="F13810" s="6" t="s">
        <v>21</v>
      </c>
      <c r="G13810" s="6" t="s">
        <v>699</v>
      </c>
      <c r="H13810" s="6" t="s">
        <v>3007</v>
      </c>
      <c r="I13810" s="6" t="s">
        <v>31</v>
      </c>
      <c r="J13810" s="6">
        <v>16.997163</v>
      </c>
      <c r="K13810" s="6">
        <v>-97.798840999999996</v>
      </c>
      <c r="L13810" s="6" t="str">
        <f>HYPERLINK("https://maps.google.com/?q=16.997163,-97.798840999999996", "🔗 Ver Mapa")</f>
        <v>🔗 Ver Mapa</v>
      </c>
    </row>
    <row r="13811" spans="1:12" ht="43.5" x14ac:dyDescent="0.35">
      <c r="A13811" s="5" t="s">
        <v>288</v>
      </c>
      <c r="B13811" s="5" t="s">
        <v>289</v>
      </c>
      <c r="C13811" s="5" t="s">
        <v>3006</v>
      </c>
      <c r="D13811" s="5" t="s">
        <v>745</v>
      </c>
      <c r="E13811" s="5" t="s">
        <v>16</v>
      </c>
      <c r="F13811" s="5" t="s">
        <v>21</v>
      </c>
      <c r="G13811" s="5" t="s">
        <v>699</v>
      </c>
      <c r="H13811" s="5" t="s">
        <v>3007</v>
      </c>
      <c r="I13811" s="5" t="s">
        <v>31</v>
      </c>
      <c r="J13811" s="5">
        <v>16.997173</v>
      </c>
      <c r="K13811" s="5">
        <v>-97.799845000000005</v>
      </c>
      <c r="L13811" s="5" t="str">
        <f>HYPERLINK("https://maps.google.com/?q=16.997173,-97.799845000000005", "🔗 Ver Mapa")</f>
        <v>🔗 Ver Mapa</v>
      </c>
    </row>
    <row r="13812" spans="1:12" ht="43.5" x14ac:dyDescent="0.35">
      <c r="A13812" s="6" t="s">
        <v>288</v>
      </c>
      <c r="B13812" s="6" t="s">
        <v>289</v>
      </c>
      <c r="C13812" s="6" t="s">
        <v>3006</v>
      </c>
      <c r="D13812" s="6" t="s">
        <v>745</v>
      </c>
      <c r="E13812" s="6" t="s">
        <v>16</v>
      </c>
      <c r="F13812" s="6" t="s">
        <v>21</v>
      </c>
      <c r="G13812" s="6" t="s">
        <v>699</v>
      </c>
      <c r="H13812" s="6" t="s">
        <v>3007</v>
      </c>
      <c r="I13812" s="6" t="s">
        <v>31</v>
      </c>
      <c r="J13812" s="6">
        <v>16.997209999999999</v>
      </c>
      <c r="K13812" s="6">
        <v>-97.799234999999996</v>
      </c>
      <c r="L13812" s="6" t="str">
        <f>HYPERLINK("https://maps.google.com/?q=16.99721,-97.799234999999996", "🔗 Ver Mapa")</f>
        <v>🔗 Ver Mapa</v>
      </c>
    </row>
    <row r="13813" spans="1:12" ht="43.5" x14ac:dyDescent="0.35">
      <c r="A13813" s="5" t="s">
        <v>288</v>
      </c>
      <c r="B13813" s="5" t="s">
        <v>289</v>
      </c>
      <c r="C13813" s="5" t="s">
        <v>3006</v>
      </c>
      <c r="D13813" s="5" t="s">
        <v>745</v>
      </c>
      <c r="E13813" s="5" t="s">
        <v>16</v>
      </c>
      <c r="F13813" s="5" t="s">
        <v>21</v>
      </c>
      <c r="G13813" s="5" t="s">
        <v>699</v>
      </c>
      <c r="H13813" s="5" t="s">
        <v>3007</v>
      </c>
      <c r="I13813" s="5" t="s">
        <v>31</v>
      </c>
      <c r="J13813" s="5">
        <v>16.997396999999999</v>
      </c>
      <c r="K13813" s="5">
        <v>-97.798494000000005</v>
      </c>
      <c r="L13813" s="5" t="str">
        <f>HYPERLINK("https://maps.google.com/?q=16.997397,-97.798494000000005", "🔗 Ver Mapa")</f>
        <v>🔗 Ver Mapa</v>
      </c>
    </row>
    <row r="13814" spans="1:12" ht="43.5" x14ac:dyDescent="0.35">
      <c r="A13814" s="6" t="s">
        <v>288</v>
      </c>
      <c r="B13814" s="6" t="s">
        <v>289</v>
      </c>
      <c r="C13814" s="6" t="s">
        <v>3006</v>
      </c>
      <c r="D13814" s="6" t="s">
        <v>745</v>
      </c>
      <c r="E13814" s="6" t="s">
        <v>16</v>
      </c>
      <c r="F13814" s="6" t="s">
        <v>21</v>
      </c>
      <c r="G13814" s="6" t="s">
        <v>699</v>
      </c>
      <c r="H13814" s="6" t="s">
        <v>3007</v>
      </c>
      <c r="I13814" s="6" t="s">
        <v>31</v>
      </c>
      <c r="J13814" s="6">
        <v>16.997647000000001</v>
      </c>
      <c r="K13814" s="6">
        <v>-97.799777000000006</v>
      </c>
      <c r="L13814" s="6" t="str">
        <f>HYPERLINK("https://maps.google.com/?q=16.997647,-97.799777000000006", "🔗 Ver Mapa")</f>
        <v>🔗 Ver Mapa</v>
      </c>
    </row>
    <row r="13815" spans="1:12" ht="43.5" x14ac:dyDescent="0.35">
      <c r="A13815" s="5" t="s">
        <v>288</v>
      </c>
      <c r="B13815" s="5" t="s">
        <v>289</v>
      </c>
      <c r="C13815" s="5" t="s">
        <v>3006</v>
      </c>
      <c r="D13815" s="5" t="s">
        <v>745</v>
      </c>
      <c r="E13815" s="5" t="s">
        <v>16</v>
      </c>
      <c r="F13815" s="5" t="s">
        <v>21</v>
      </c>
      <c r="G13815" s="5" t="s">
        <v>699</v>
      </c>
      <c r="H13815" s="5" t="s">
        <v>3007</v>
      </c>
      <c r="I13815" s="5" t="s">
        <v>31</v>
      </c>
      <c r="J13815" s="5">
        <v>16.997699000000001</v>
      </c>
      <c r="K13815" s="5">
        <v>-97.799373000000003</v>
      </c>
      <c r="L13815" s="5" t="str">
        <f>HYPERLINK("https://maps.google.com/?q=16.997699,-97.799373000000003", "🔗 Ver Mapa")</f>
        <v>🔗 Ver Mapa</v>
      </c>
    </row>
    <row r="13816" spans="1:12" ht="43.5" x14ac:dyDescent="0.35">
      <c r="A13816" s="6" t="s">
        <v>288</v>
      </c>
      <c r="B13816" s="6" t="s">
        <v>289</v>
      </c>
      <c r="C13816" s="6" t="s">
        <v>3006</v>
      </c>
      <c r="D13816" s="6" t="s">
        <v>745</v>
      </c>
      <c r="E13816" s="6" t="s">
        <v>16</v>
      </c>
      <c r="F13816" s="6" t="s">
        <v>21</v>
      </c>
      <c r="G13816" s="6" t="s">
        <v>699</v>
      </c>
      <c r="H13816" s="6" t="s">
        <v>3007</v>
      </c>
      <c r="I13816" s="6" t="s">
        <v>31</v>
      </c>
      <c r="J13816" s="6">
        <v>16.997795</v>
      </c>
      <c r="K13816" s="6">
        <v>-97.798809000000006</v>
      </c>
      <c r="L13816" s="6" t="str">
        <f>HYPERLINK("https://maps.google.com/?q=16.997795,-97.798809000000006", "🔗 Ver Mapa")</f>
        <v>🔗 Ver Mapa</v>
      </c>
    </row>
    <row r="13817" spans="1:12" ht="43.5" x14ac:dyDescent="0.35">
      <c r="A13817" s="5" t="s">
        <v>288</v>
      </c>
      <c r="B13817" s="5" t="s">
        <v>289</v>
      </c>
      <c r="C13817" s="5" t="s">
        <v>3006</v>
      </c>
      <c r="D13817" s="5" t="s">
        <v>745</v>
      </c>
      <c r="E13817" s="5" t="s">
        <v>16</v>
      </c>
      <c r="F13817" s="5" t="s">
        <v>21</v>
      </c>
      <c r="G13817" s="5" t="s">
        <v>699</v>
      </c>
      <c r="H13817" s="5" t="s">
        <v>3007</v>
      </c>
      <c r="I13817" s="5" t="s">
        <v>31</v>
      </c>
      <c r="J13817" s="5">
        <v>16.997847</v>
      </c>
      <c r="K13817" s="5">
        <v>-97.798389</v>
      </c>
      <c r="L13817" s="5" t="str">
        <f>HYPERLINK("https://maps.google.com/?q=16.997847,-97.798389", "🔗 Ver Mapa")</f>
        <v>🔗 Ver Mapa</v>
      </c>
    </row>
    <row r="13818" spans="1:12" ht="43.5" x14ac:dyDescent="0.35">
      <c r="A13818" s="6" t="s">
        <v>288</v>
      </c>
      <c r="B13818" s="6" t="s">
        <v>289</v>
      </c>
      <c r="C13818" s="6" t="s">
        <v>3006</v>
      </c>
      <c r="D13818" s="6" t="s">
        <v>745</v>
      </c>
      <c r="E13818" s="6" t="s">
        <v>16</v>
      </c>
      <c r="F13818" s="6" t="s">
        <v>21</v>
      </c>
      <c r="G13818" s="6" t="s">
        <v>699</v>
      </c>
      <c r="H13818" s="6" t="s">
        <v>3007</v>
      </c>
      <c r="I13818" s="6" t="s">
        <v>31</v>
      </c>
      <c r="J13818" s="6">
        <v>16.997993000000001</v>
      </c>
      <c r="K13818" s="6">
        <v>-97.798704000000001</v>
      </c>
      <c r="L13818" s="6" t="str">
        <f>HYPERLINK("https://maps.google.com/?q=16.997993,-97.798704000000001", "🔗 Ver Mapa")</f>
        <v>🔗 Ver Mapa</v>
      </c>
    </row>
    <row r="13819" spans="1:12" ht="43.5" x14ac:dyDescent="0.35">
      <c r="A13819" s="5" t="s">
        <v>288</v>
      </c>
      <c r="B13819" s="5" t="s">
        <v>289</v>
      </c>
      <c r="C13819" s="5" t="s">
        <v>3006</v>
      </c>
      <c r="D13819" s="5" t="s">
        <v>745</v>
      </c>
      <c r="E13819" s="5" t="s">
        <v>16</v>
      </c>
      <c r="F13819" s="5" t="s">
        <v>21</v>
      </c>
      <c r="G13819" s="5" t="s">
        <v>699</v>
      </c>
      <c r="H13819" s="5" t="s">
        <v>3007</v>
      </c>
      <c r="I13819" s="5" t="s">
        <v>31</v>
      </c>
      <c r="J13819" s="5">
        <v>16.998028000000001</v>
      </c>
      <c r="K13819" s="5">
        <v>-97.799933999999993</v>
      </c>
      <c r="L13819" s="5" t="str">
        <f>HYPERLINK("https://maps.google.com/?q=16.998028,-97.799933999999993", "🔗 Ver Mapa")</f>
        <v>🔗 Ver Mapa</v>
      </c>
    </row>
    <row r="13820" spans="1:12" ht="43.5" x14ac:dyDescent="0.35">
      <c r="A13820" s="6" t="s">
        <v>288</v>
      </c>
      <c r="B13820" s="6" t="s">
        <v>289</v>
      </c>
      <c r="C13820" s="6" t="s">
        <v>3006</v>
      </c>
      <c r="D13820" s="6" t="s">
        <v>745</v>
      </c>
      <c r="E13820" s="6" t="s">
        <v>16</v>
      </c>
      <c r="F13820" s="6" t="s">
        <v>21</v>
      </c>
      <c r="G13820" s="6" t="s">
        <v>699</v>
      </c>
      <c r="H13820" s="6" t="s">
        <v>3007</v>
      </c>
      <c r="I13820" s="6" t="s">
        <v>31</v>
      </c>
      <c r="J13820" s="6">
        <v>16.998090000000001</v>
      </c>
      <c r="K13820" s="6">
        <v>-97.799727000000004</v>
      </c>
      <c r="L13820" s="6" t="str">
        <f>HYPERLINK("https://maps.google.com/?q=16.99809,-97.799727000000004", "🔗 Ver Mapa")</f>
        <v>🔗 Ver Mapa</v>
      </c>
    </row>
    <row r="13821" spans="1:12" ht="43.5" x14ac:dyDescent="0.35">
      <c r="A13821" s="5" t="s">
        <v>288</v>
      </c>
      <c r="B13821" s="5" t="s">
        <v>289</v>
      </c>
      <c r="C13821" s="5" t="s">
        <v>3006</v>
      </c>
      <c r="D13821" s="5" t="s">
        <v>745</v>
      </c>
      <c r="E13821" s="5" t="s">
        <v>16</v>
      </c>
      <c r="F13821" s="5" t="s">
        <v>21</v>
      </c>
      <c r="G13821" s="5" t="s">
        <v>699</v>
      </c>
      <c r="H13821" s="5" t="s">
        <v>3007</v>
      </c>
      <c r="I13821" s="5" t="s">
        <v>31</v>
      </c>
      <c r="J13821" s="5">
        <v>16.998114999999999</v>
      </c>
      <c r="K13821" s="5">
        <v>-97.798304999999999</v>
      </c>
      <c r="L13821" s="5" t="str">
        <f>HYPERLINK("https://maps.google.com/?q=16.998115,-97.798304999999999", "🔗 Ver Mapa")</f>
        <v>🔗 Ver Mapa</v>
      </c>
    </row>
    <row r="13822" spans="1:12" ht="58" x14ac:dyDescent="0.35">
      <c r="A13822" s="6" t="s">
        <v>73</v>
      </c>
      <c r="B13822" s="6" t="s">
        <v>74</v>
      </c>
      <c r="C13822" s="6" t="s">
        <v>3008</v>
      </c>
      <c r="D13822" s="6" t="s">
        <v>76</v>
      </c>
      <c r="E13822" s="6" t="s">
        <v>16</v>
      </c>
      <c r="F13822" s="6" t="s">
        <v>21</v>
      </c>
      <c r="G13822" s="6" t="s">
        <v>1290</v>
      </c>
      <c r="H13822" s="6" t="s">
        <v>3009</v>
      </c>
      <c r="I13822" s="6" t="s">
        <v>31</v>
      </c>
      <c r="J13822" s="6">
        <v>17.144850617787998</v>
      </c>
      <c r="K13822" s="6">
        <v>-97.763877984475002</v>
      </c>
      <c r="L13822" s="6" t="str">
        <f>HYPERLINK("https://maps.google.com/?q=17.14485061778834,-97.76387798447546", "🔗 Ver Mapa")</f>
        <v>🔗 Ver Mapa</v>
      </c>
    </row>
    <row r="13823" spans="1:12" ht="43.5" x14ac:dyDescent="0.35">
      <c r="A13823" s="5" t="s">
        <v>288</v>
      </c>
      <c r="B13823" s="5" t="s">
        <v>289</v>
      </c>
      <c r="C13823" s="5" t="s">
        <v>3010</v>
      </c>
      <c r="D13823" s="5" t="s">
        <v>414</v>
      </c>
      <c r="E13823" s="5" t="s">
        <v>16</v>
      </c>
      <c r="F13823" s="5" t="s">
        <v>21</v>
      </c>
      <c r="G13823" s="5" t="s">
        <v>1290</v>
      </c>
      <c r="H13823" s="5" t="s">
        <v>1825</v>
      </c>
      <c r="I13823" s="5" t="s">
        <v>31</v>
      </c>
      <c r="J13823" s="5">
        <v>17.089814000000001</v>
      </c>
      <c r="K13823" s="5">
        <v>-97.785600000000002</v>
      </c>
      <c r="L13823" s="5" t="str">
        <f>HYPERLINK("https://maps.google.com/?q=17.089814,-97.785600000000002", "🔗 Ver Mapa")</f>
        <v>🔗 Ver Mapa</v>
      </c>
    </row>
    <row r="13824" spans="1:12" ht="43.5" x14ac:dyDescent="0.35">
      <c r="A13824" s="6" t="s">
        <v>288</v>
      </c>
      <c r="B13824" s="6" t="s">
        <v>289</v>
      </c>
      <c r="C13824" s="6" t="s">
        <v>3010</v>
      </c>
      <c r="D13824" s="6" t="s">
        <v>414</v>
      </c>
      <c r="E13824" s="6" t="s">
        <v>16</v>
      </c>
      <c r="F13824" s="6" t="s">
        <v>21</v>
      </c>
      <c r="G13824" s="6" t="s">
        <v>1290</v>
      </c>
      <c r="H13824" s="6" t="s">
        <v>1825</v>
      </c>
      <c r="I13824" s="6" t="s">
        <v>31</v>
      </c>
      <c r="J13824" s="6">
        <v>17.090069</v>
      </c>
      <c r="K13824" s="6">
        <v>-97.785489999999996</v>
      </c>
      <c r="L13824" s="6" t="str">
        <f>HYPERLINK("https://maps.google.com/?q=17.090069,-97.785489999999996", "🔗 Ver Mapa")</f>
        <v>🔗 Ver Mapa</v>
      </c>
    </row>
    <row r="13825" spans="1:12" ht="43.5" x14ac:dyDescent="0.35">
      <c r="A13825" s="5" t="s">
        <v>288</v>
      </c>
      <c r="B13825" s="5" t="s">
        <v>289</v>
      </c>
      <c r="C13825" s="5" t="s">
        <v>3010</v>
      </c>
      <c r="D13825" s="5" t="s">
        <v>414</v>
      </c>
      <c r="E13825" s="5" t="s">
        <v>16</v>
      </c>
      <c r="F13825" s="5" t="s">
        <v>21</v>
      </c>
      <c r="G13825" s="5" t="s">
        <v>1290</v>
      </c>
      <c r="H13825" s="5" t="s">
        <v>1825</v>
      </c>
      <c r="I13825" s="5" t="s">
        <v>31</v>
      </c>
      <c r="J13825" s="5">
        <v>17.090299999999999</v>
      </c>
      <c r="K13825" s="5">
        <v>-97.785381000000001</v>
      </c>
      <c r="L13825" s="5" t="str">
        <f>HYPERLINK("https://maps.google.com/?q=17.0903,-97.785381000000001", "🔗 Ver Mapa")</f>
        <v>🔗 Ver Mapa</v>
      </c>
    </row>
    <row r="13826" spans="1:12" ht="43.5" x14ac:dyDescent="0.35">
      <c r="A13826" s="6" t="s">
        <v>288</v>
      </c>
      <c r="B13826" s="6" t="s">
        <v>289</v>
      </c>
      <c r="C13826" s="6" t="s">
        <v>3010</v>
      </c>
      <c r="D13826" s="6" t="s">
        <v>414</v>
      </c>
      <c r="E13826" s="6" t="s">
        <v>16</v>
      </c>
      <c r="F13826" s="6" t="s">
        <v>21</v>
      </c>
      <c r="G13826" s="6" t="s">
        <v>1290</v>
      </c>
      <c r="H13826" s="6" t="s">
        <v>1825</v>
      </c>
      <c r="I13826" s="6" t="s">
        <v>31</v>
      </c>
      <c r="J13826" s="6">
        <v>17.090461000000001</v>
      </c>
      <c r="K13826" s="6">
        <v>-97.783976999999993</v>
      </c>
      <c r="L13826" s="6" t="str">
        <f>HYPERLINK("https://maps.google.com/?q=17.090461,-97.783976999999993", "🔗 Ver Mapa")</f>
        <v>🔗 Ver Mapa</v>
      </c>
    </row>
    <row r="13827" spans="1:12" ht="43.5" x14ac:dyDescent="0.35">
      <c r="A13827" s="5" t="s">
        <v>288</v>
      </c>
      <c r="B13827" s="5" t="s">
        <v>289</v>
      </c>
      <c r="C13827" s="5" t="s">
        <v>3010</v>
      </c>
      <c r="D13827" s="5" t="s">
        <v>414</v>
      </c>
      <c r="E13827" s="5" t="s">
        <v>16</v>
      </c>
      <c r="F13827" s="5" t="s">
        <v>21</v>
      </c>
      <c r="G13827" s="5" t="s">
        <v>1290</v>
      </c>
      <c r="H13827" s="5" t="s">
        <v>1825</v>
      </c>
      <c r="I13827" s="5" t="s">
        <v>31</v>
      </c>
      <c r="J13827" s="5">
        <v>17.090492999999999</v>
      </c>
      <c r="K13827" s="5">
        <v>-97.784261000000001</v>
      </c>
      <c r="L13827" s="5" t="str">
        <f>HYPERLINK("https://maps.google.com/?q=17.090493,-97.784261000000001", "🔗 Ver Mapa")</f>
        <v>🔗 Ver Mapa</v>
      </c>
    </row>
    <row r="13828" spans="1:12" ht="43.5" x14ac:dyDescent="0.35">
      <c r="A13828" s="6" t="s">
        <v>288</v>
      </c>
      <c r="B13828" s="6" t="s">
        <v>289</v>
      </c>
      <c r="C13828" s="6" t="s">
        <v>3010</v>
      </c>
      <c r="D13828" s="6" t="s">
        <v>414</v>
      </c>
      <c r="E13828" s="6" t="s">
        <v>16</v>
      </c>
      <c r="F13828" s="6" t="s">
        <v>21</v>
      </c>
      <c r="G13828" s="6" t="s">
        <v>1290</v>
      </c>
      <c r="H13828" s="6" t="s">
        <v>1825</v>
      </c>
      <c r="I13828" s="6" t="s">
        <v>31</v>
      </c>
      <c r="J13828" s="6">
        <v>17.090499000000001</v>
      </c>
      <c r="K13828" s="6">
        <v>-97.785233000000005</v>
      </c>
      <c r="L13828" s="6" t="str">
        <f>HYPERLINK("https://maps.google.com/?q=17.090499,-97.785233000000005", "🔗 Ver Mapa")</f>
        <v>🔗 Ver Mapa</v>
      </c>
    </row>
    <row r="13829" spans="1:12" ht="43.5" x14ac:dyDescent="0.35">
      <c r="A13829" s="5" t="s">
        <v>288</v>
      </c>
      <c r="B13829" s="5" t="s">
        <v>289</v>
      </c>
      <c r="C13829" s="5" t="s">
        <v>3010</v>
      </c>
      <c r="D13829" s="5" t="s">
        <v>414</v>
      </c>
      <c r="E13829" s="5" t="s">
        <v>16</v>
      </c>
      <c r="F13829" s="5" t="s">
        <v>21</v>
      </c>
      <c r="G13829" s="5" t="s">
        <v>1290</v>
      </c>
      <c r="H13829" s="5" t="s">
        <v>1825</v>
      </c>
      <c r="I13829" s="5" t="s">
        <v>31</v>
      </c>
      <c r="J13829" s="5">
        <v>17.090533300000001</v>
      </c>
      <c r="K13829" s="5">
        <v>-97.783816599999994</v>
      </c>
      <c r="L13829" s="5" t="str">
        <f>HYPERLINK("https://maps.google.com/?q=17.0905333,-97.783816599999994", "🔗 Ver Mapa")</f>
        <v>🔗 Ver Mapa</v>
      </c>
    </row>
    <row r="13830" spans="1:12" ht="43.5" x14ac:dyDescent="0.35">
      <c r="A13830" s="6" t="s">
        <v>288</v>
      </c>
      <c r="B13830" s="6" t="s">
        <v>289</v>
      </c>
      <c r="C13830" s="6" t="s">
        <v>3010</v>
      </c>
      <c r="D13830" s="6" t="s">
        <v>414</v>
      </c>
      <c r="E13830" s="6" t="s">
        <v>16</v>
      </c>
      <c r="F13830" s="6" t="s">
        <v>21</v>
      </c>
      <c r="G13830" s="6" t="s">
        <v>1290</v>
      </c>
      <c r="H13830" s="6" t="s">
        <v>1825</v>
      </c>
      <c r="I13830" s="6" t="s">
        <v>31</v>
      </c>
      <c r="J13830" s="6">
        <v>17.090555999999999</v>
      </c>
      <c r="K13830" s="6">
        <v>-97.784493100000006</v>
      </c>
      <c r="L13830" s="6" t="str">
        <f>HYPERLINK("https://maps.google.com/?q=17.090556,-97.784493100000006", "🔗 Ver Mapa")</f>
        <v>🔗 Ver Mapa</v>
      </c>
    </row>
    <row r="13831" spans="1:12" ht="43.5" x14ac:dyDescent="0.35">
      <c r="A13831" s="5" t="s">
        <v>288</v>
      </c>
      <c r="B13831" s="5" t="s">
        <v>289</v>
      </c>
      <c r="C13831" s="5" t="s">
        <v>3010</v>
      </c>
      <c r="D13831" s="5" t="s">
        <v>414</v>
      </c>
      <c r="E13831" s="5" t="s">
        <v>16</v>
      </c>
      <c r="F13831" s="5" t="s">
        <v>21</v>
      </c>
      <c r="G13831" s="5" t="s">
        <v>1290</v>
      </c>
      <c r="H13831" s="5" t="s">
        <v>1825</v>
      </c>
      <c r="I13831" s="5" t="s">
        <v>31</v>
      </c>
      <c r="J13831" s="5">
        <v>17.090651000000001</v>
      </c>
      <c r="K13831" s="5">
        <v>-97.784700000000001</v>
      </c>
      <c r="L13831" s="5" t="str">
        <f>HYPERLINK("https://maps.google.com/?q=17.090651,-97.784700000000001", "🔗 Ver Mapa")</f>
        <v>🔗 Ver Mapa</v>
      </c>
    </row>
    <row r="13832" spans="1:12" ht="43.5" x14ac:dyDescent="0.35">
      <c r="A13832" s="6" t="s">
        <v>288</v>
      </c>
      <c r="B13832" s="6" t="s">
        <v>289</v>
      </c>
      <c r="C13832" s="6" t="s">
        <v>3010</v>
      </c>
      <c r="D13832" s="6" t="s">
        <v>414</v>
      </c>
      <c r="E13832" s="6" t="s">
        <v>16</v>
      </c>
      <c r="F13832" s="6" t="s">
        <v>21</v>
      </c>
      <c r="G13832" s="6" t="s">
        <v>1290</v>
      </c>
      <c r="H13832" s="6" t="s">
        <v>1825</v>
      </c>
      <c r="I13832" s="6" t="s">
        <v>31</v>
      </c>
      <c r="J13832" s="6">
        <v>17.090724000000002</v>
      </c>
      <c r="K13832" s="6">
        <v>-97.785110000000003</v>
      </c>
      <c r="L13832" s="6" t="str">
        <f>HYPERLINK("https://maps.google.com/?q=17.090724,-97.785110000000003", "🔗 Ver Mapa")</f>
        <v>🔗 Ver Mapa</v>
      </c>
    </row>
    <row r="13833" spans="1:12" ht="43.5" x14ac:dyDescent="0.35">
      <c r="A13833" s="5" t="s">
        <v>288</v>
      </c>
      <c r="B13833" s="5" t="s">
        <v>289</v>
      </c>
      <c r="C13833" s="5" t="s">
        <v>3010</v>
      </c>
      <c r="D13833" s="5" t="s">
        <v>414</v>
      </c>
      <c r="E13833" s="5" t="s">
        <v>16</v>
      </c>
      <c r="F13833" s="5" t="s">
        <v>21</v>
      </c>
      <c r="G13833" s="5" t="s">
        <v>1290</v>
      </c>
      <c r="H13833" s="5" t="s">
        <v>1825</v>
      </c>
      <c r="I13833" s="5" t="s">
        <v>31</v>
      </c>
      <c r="J13833" s="5">
        <v>17.090755000000001</v>
      </c>
      <c r="K13833" s="5">
        <v>-97.784863999999999</v>
      </c>
      <c r="L13833" s="5" t="str">
        <f>HYPERLINK("https://maps.google.com/?q=17.090755,-97.784863999999999", "🔗 Ver Mapa")</f>
        <v>🔗 Ver Mapa</v>
      </c>
    </row>
    <row r="13834" spans="1:12" ht="43.5" x14ac:dyDescent="0.35">
      <c r="A13834" s="6" t="s">
        <v>288</v>
      </c>
      <c r="B13834" s="6" t="s">
        <v>289</v>
      </c>
      <c r="C13834" s="6" t="s">
        <v>3010</v>
      </c>
      <c r="D13834" s="6" t="s">
        <v>414</v>
      </c>
      <c r="E13834" s="6" t="s">
        <v>16</v>
      </c>
      <c r="F13834" s="6" t="s">
        <v>21</v>
      </c>
      <c r="G13834" s="6" t="s">
        <v>1290</v>
      </c>
      <c r="H13834" s="6" t="s">
        <v>1825</v>
      </c>
      <c r="I13834" s="6" t="s">
        <v>31</v>
      </c>
      <c r="J13834" s="6">
        <v>17.090785</v>
      </c>
      <c r="K13834" s="6">
        <v>-97.784570000000002</v>
      </c>
      <c r="L13834" s="6" t="str">
        <f>HYPERLINK("https://maps.google.com/?q=17.090785,-97.784570000000002", "🔗 Ver Mapa")</f>
        <v>🔗 Ver Mapa</v>
      </c>
    </row>
    <row r="13835" spans="1:12" ht="43.5" x14ac:dyDescent="0.35">
      <c r="A13835" s="5" t="s">
        <v>288</v>
      </c>
      <c r="B13835" s="5" t="s">
        <v>289</v>
      </c>
      <c r="C13835" s="5" t="s">
        <v>3010</v>
      </c>
      <c r="D13835" s="5" t="s">
        <v>414</v>
      </c>
      <c r="E13835" s="5" t="s">
        <v>16</v>
      </c>
      <c r="F13835" s="5" t="s">
        <v>21</v>
      </c>
      <c r="G13835" s="5" t="s">
        <v>1290</v>
      </c>
      <c r="H13835" s="5" t="s">
        <v>1825</v>
      </c>
      <c r="I13835" s="5" t="s">
        <v>31</v>
      </c>
      <c r="J13835" s="5">
        <v>17.090817000000001</v>
      </c>
      <c r="K13835" s="5">
        <v>-97.783885999999995</v>
      </c>
      <c r="L13835" s="5" t="str">
        <f>HYPERLINK("https://maps.google.com/?q=17.090817,-97.783885999999995", "🔗 Ver Mapa")</f>
        <v>🔗 Ver Mapa</v>
      </c>
    </row>
    <row r="13836" spans="1:12" ht="43.5" x14ac:dyDescent="0.35">
      <c r="A13836" s="6" t="s">
        <v>288</v>
      </c>
      <c r="B13836" s="6" t="s">
        <v>289</v>
      </c>
      <c r="C13836" s="6" t="s">
        <v>3010</v>
      </c>
      <c r="D13836" s="6" t="s">
        <v>414</v>
      </c>
      <c r="E13836" s="6" t="s">
        <v>16</v>
      </c>
      <c r="F13836" s="6" t="s">
        <v>21</v>
      </c>
      <c r="G13836" s="6" t="s">
        <v>1290</v>
      </c>
      <c r="H13836" s="6" t="s">
        <v>1825</v>
      </c>
      <c r="I13836" s="6" t="s">
        <v>31</v>
      </c>
      <c r="J13836" s="6">
        <v>17.090971</v>
      </c>
      <c r="K13836" s="6">
        <v>-97.7850787</v>
      </c>
      <c r="L13836" s="6" t="str">
        <f>HYPERLINK("https://maps.google.com/?q=17.090971,-97.7850787", "🔗 Ver Mapa")</f>
        <v>🔗 Ver Mapa</v>
      </c>
    </row>
    <row r="13837" spans="1:12" ht="43.5" x14ac:dyDescent="0.35">
      <c r="A13837" s="5" t="s">
        <v>288</v>
      </c>
      <c r="B13837" s="5" t="s">
        <v>289</v>
      </c>
      <c r="C13837" s="5" t="s">
        <v>3010</v>
      </c>
      <c r="D13837" s="5" t="s">
        <v>414</v>
      </c>
      <c r="E13837" s="5" t="s">
        <v>16</v>
      </c>
      <c r="F13837" s="5" t="s">
        <v>21</v>
      </c>
      <c r="G13837" s="5" t="s">
        <v>1290</v>
      </c>
      <c r="H13837" s="5" t="s">
        <v>1825</v>
      </c>
      <c r="I13837" s="5" t="s">
        <v>31</v>
      </c>
      <c r="J13837" s="5">
        <v>17.090999</v>
      </c>
      <c r="K13837" s="5">
        <v>-97.784592000000004</v>
      </c>
      <c r="L13837" s="5" t="str">
        <f>HYPERLINK("https://maps.google.com/?q=17.090999,-97.784592000000004", "🔗 Ver Mapa")</f>
        <v>🔗 Ver Mapa</v>
      </c>
    </row>
    <row r="13838" spans="1:12" ht="43.5" x14ac:dyDescent="0.35">
      <c r="A13838" s="6" t="s">
        <v>288</v>
      </c>
      <c r="B13838" s="6" t="s">
        <v>289</v>
      </c>
      <c r="C13838" s="6" t="s">
        <v>3010</v>
      </c>
      <c r="D13838" s="6" t="s">
        <v>414</v>
      </c>
      <c r="E13838" s="6" t="s">
        <v>16</v>
      </c>
      <c r="F13838" s="6" t="s">
        <v>21</v>
      </c>
      <c r="G13838" s="6" t="s">
        <v>1290</v>
      </c>
      <c r="H13838" s="6" t="s">
        <v>1825</v>
      </c>
      <c r="I13838" s="6" t="s">
        <v>31</v>
      </c>
      <c r="J13838" s="6">
        <v>17.091076000000001</v>
      </c>
      <c r="K13838" s="6">
        <v>-97.783941999999996</v>
      </c>
      <c r="L13838" s="6" t="str">
        <f>HYPERLINK("https://maps.google.com/?q=17.091076,-97.783941999999996", "🔗 Ver Mapa")</f>
        <v>🔗 Ver Mapa</v>
      </c>
    </row>
    <row r="13839" spans="1:12" ht="43.5" x14ac:dyDescent="0.35">
      <c r="A13839" s="5" t="s">
        <v>288</v>
      </c>
      <c r="B13839" s="5" t="s">
        <v>289</v>
      </c>
      <c r="C13839" s="5" t="s">
        <v>3010</v>
      </c>
      <c r="D13839" s="5" t="s">
        <v>414</v>
      </c>
      <c r="E13839" s="5" t="s">
        <v>16</v>
      </c>
      <c r="F13839" s="5" t="s">
        <v>21</v>
      </c>
      <c r="G13839" s="5" t="s">
        <v>1290</v>
      </c>
      <c r="H13839" s="5" t="s">
        <v>1825</v>
      </c>
      <c r="I13839" s="5" t="s">
        <v>31</v>
      </c>
      <c r="J13839" s="5">
        <v>17.091134</v>
      </c>
      <c r="K13839" s="5">
        <v>-97.784486000000001</v>
      </c>
      <c r="L13839" s="5" t="str">
        <f>HYPERLINK("https://maps.google.com/?q=17.091134,-97.784486000000001", "🔗 Ver Mapa")</f>
        <v>🔗 Ver Mapa</v>
      </c>
    </row>
    <row r="13840" spans="1:12" ht="43.5" x14ac:dyDescent="0.35">
      <c r="A13840" s="6" t="s">
        <v>288</v>
      </c>
      <c r="B13840" s="6" t="s">
        <v>289</v>
      </c>
      <c r="C13840" s="6" t="s">
        <v>3010</v>
      </c>
      <c r="D13840" s="6" t="s">
        <v>414</v>
      </c>
      <c r="E13840" s="6" t="s">
        <v>16</v>
      </c>
      <c r="F13840" s="6" t="s">
        <v>21</v>
      </c>
      <c r="G13840" s="6" t="s">
        <v>1290</v>
      </c>
      <c r="H13840" s="6" t="s">
        <v>1825</v>
      </c>
      <c r="I13840" s="6" t="s">
        <v>31</v>
      </c>
      <c r="J13840" s="6">
        <v>17.091208999999999</v>
      </c>
      <c r="K13840" s="6">
        <v>-97.785026000000002</v>
      </c>
      <c r="L13840" s="6" t="str">
        <f>HYPERLINK("https://maps.google.com/?q=17.091209,-97.785026000000002", "🔗 Ver Mapa")</f>
        <v>🔗 Ver Mapa</v>
      </c>
    </row>
    <row r="13841" spans="1:12" ht="43.5" x14ac:dyDescent="0.35">
      <c r="A13841" s="5" t="s">
        <v>288</v>
      </c>
      <c r="B13841" s="5" t="s">
        <v>289</v>
      </c>
      <c r="C13841" s="5" t="s">
        <v>3010</v>
      </c>
      <c r="D13841" s="5" t="s">
        <v>414</v>
      </c>
      <c r="E13841" s="5" t="s">
        <v>16</v>
      </c>
      <c r="F13841" s="5" t="s">
        <v>21</v>
      </c>
      <c r="G13841" s="5" t="s">
        <v>1290</v>
      </c>
      <c r="H13841" s="5" t="s">
        <v>1825</v>
      </c>
      <c r="I13841" s="5" t="s">
        <v>31</v>
      </c>
      <c r="J13841" s="5">
        <v>17.091353000000002</v>
      </c>
      <c r="K13841" s="5">
        <v>-97.784002999999998</v>
      </c>
      <c r="L13841" s="5" t="str">
        <f>HYPERLINK("https://maps.google.com/?q=17.091353,-97.784002999999998", "🔗 Ver Mapa")</f>
        <v>🔗 Ver Mapa</v>
      </c>
    </row>
    <row r="13842" spans="1:12" ht="43.5" x14ac:dyDescent="0.35">
      <c r="A13842" s="6" t="s">
        <v>288</v>
      </c>
      <c r="B13842" s="6" t="s">
        <v>289</v>
      </c>
      <c r="C13842" s="6" t="s">
        <v>3010</v>
      </c>
      <c r="D13842" s="6" t="s">
        <v>414</v>
      </c>
      <c r="E13842" s="6" t="s">
        <v>16</v>
      </c>
      <c r="F13842" s="6" t="s">
        <v>21</v>
      </c>
      <c r="G13842" s="6" t="s">
        <v>1290</v>
      </c>
      <c r="H13842" s="6" t="s">
        <v>1825</v>
      </c>
      <c r="I13842" s="6" t="s">
        <v>31</v>
      </c>
      <c r="J13842" s="6">
        <v>17.091470000000001</v>
      </c>
      <c r="K13842" s="6">
        <v>-97.784908000000001</v>
      </c>
      <c r="L13842" s="6" t="str">
        <f>HYPERLINK("https://maps.google.com/?q=17.09147,-97.784908000000001", "🔗 Ver Mapa")</f>
        <v>🔗 Ver Mapa</v>
      </c>
    </row>
    <row r="13843" spans="1:12" ht="43.5" x14ac:dyDescent="0.35">
      <c r="A13843" s="5" t="s">
        <v>288</v>
      </c>
      <c r="B13843" s="5" t="s">
        <v>289</v>
      </c>
      <c r="C13843" s="5" t="s">
        <v>3010</v>
      </c>
      <c r="D13843" s="5" t="s">
        <v>414</v>
      </c>
      <c r="E13843" s="5" t="s">
        <v>16</v>
      </c>
      <c r="F13843" s="5" t="s">
        <v>21</v>
      </c>
      <c r="G13843" s="5" t="s">
        <v>1290</v>
      </c>
      <c r="H13843" s="5" t="s">
        <v>1825</v>
      </c>
      <c r="I13843" s="5" t="s">
        <v>31</v>
      </c>
      <c r="J13843" s="5">
        <v>17.091598000000001</v>
      </c>
      <c r="K13843" s="5">
        <v>-97.784073000000006</v>
      </c>
      <c r="L13843" s="5" t="str">
        <f>HYPERLINK("https://maps.google.com/?q=17.091598,-97.784073000000006", "🔗 Ver Mapa")</f>
        <v>🔗 Ver Mapa</v>
      </c>
    </row>
    <row r="13844" spans="1:12" ht="43.5" x14ac:dyDescent="0.35">
      <c r="A13844" s="6" t="s">
        <v>288</v>
      </c>
      <c r="B13844" s="6" t="s">
        <v>289</v>
      </c>
      <c r="C13844" s="6" t="s">
        <v>3010</v>
      </c>
      <c r="D13844" s="6" t="s">
        <v>414</v>
      </c>
      <c r="E13844" s="6" t="s">
        <v>16</v>
      </c>
      <c r="F13844" s="6" t="s">
        <v>21</v>
      </c>
      <c r="G13844" s="6" t="s">
        <v>1290</v>
      </c>
      <c r="H13844" s="6" t="s">
        <v>1825</v>
      </c>
      <c r="I13844" s="6" t="s">
        <v>31</v>
      </c>
      <c r="J13844" s="6">
        <v>17.091636999999999</v>
      </c>
      <c r="K13844" s="6">
        <v>-97.784717000000001</v>
      </c>
      <c r="L13844" s="6" t="str">
        <f>HYPERLINK("https://maps.google.com/?q=17.091637,-97.784717000000001", "🔗 Ver Mapa")</f>
        <v>🔗 Ver Mapa</v>
      </c>
    </row>
    <row r="13845" spans="1:12" ht="43.5" x14ac:dyDescent="0.35">
      <c r="A13845" s="5" t="s">
        <v>288</v>
      </c>
      <c r="B13845" s="5" t="s">
        <v>289</v>
      </c>
      <c r="C13845" s="5" t="s">
        <v>3010</v>
      </c>
      <c r="D13845" s="5" t="s">
        <v>414</v>
      </c>
      <c r="E13845" s="5" t="s">
        <v>16</v>
      </c>
      <c r="F13845" s="5" t="s">
        <v>21</v>
      </c>
      <c r="G13845" s="5" t="s">
        <v>1290</v>
      </c>
      <c r="H13845" s="5" t="s">
        <v>1825</v>
      </c>
      <c r="I13845" s="5" t="s">
        <v>31</v>
      </c>
      <c r="J13845" s="5">
        <v>17.09179</v>
      </c>
      <c r="K13845" s="5">
        <v>-97.784577999999996</v>
      </c>
      <c r="L13845" s="5" t="str">
        <f>HYPERLINK("https://maps.google.com/?q=17.09179,-97.784577999999996", "🔗 Ver Mapa")</f>
        <v>🔗 Ver Mapa</v>
      </c>
    </row>
    <row r="13846" spans="1:12" ht="43.5" x14ac:dyDescent="0.35">
      <c r="A13846" s="6" t="s">
        <v>288</v>
      </c>
      <c r="B13846" s="6" t="s">
        <v>289</v>
      </c>
      <c r="C13846" s="6" t="s">
        <v>3010</v>
      </c>
      <c r="D13846" s="6" t="s">
        <v>414</v>
      </c>
      <c r="E13846" s="6" t="s">
        <v>16</v>
      </c>
      <c r="F13846" s="6" t="s">
        <v>21</v>
      </c>
      <c r="G13846" s="6" t="s">
        <v>1290</v>
      </c>
      <c r="H13846" s="6" t="s">
        <v>1825</v>
      </c>
      <c r="I13846" s="6" t="s">
        <v>31</v>
      </c>
      <c r="J13846" s="6">
        <v>17.091963</v>
      </c>
      <c r="K13846" s="6">
        <v>-97.784368999999998</v>
      </c>
      <c r="L13846" s="6" t="str">
        <f>HYPERLINK("https://maps.google.com/?q=17.091963,-97.784368999999998", "🔗 Ver Mapa")</f>
        <v>🔗 Ver Mapa</v>
      </c>
    </row>
    <row r="13847" spans="1:12" ht="72.5" x14ac:dyDescent="0.35">
      <c r="A13847" s="5" t="s">
        <v>73</v>
      </c>
      <c r="B13847" s="5" t="s">
        <v>74</v>
      </c>
      <c r="C13847" s="5" t="s">
        <v>3011</v>
      </c>
      <c r="D13847" s="5" t="s">
        <v>76</v>
      </c>
      <c r="E13847" s="5" t="s">
        <v>110</v>
      </c>
      <c r="F13847" s="5" t="s">
        <v>111</v>
      </c>
      <c r="G13847" s="5" t="s">
        <v>1885</v>
      </c>
      <c r="H13847" s="5" t="s">
        <v>3012</v>
      </c>
      <c r="I13847" s="5" t="s">
        <v>31</v>
      </c>
      <c r="J13847" s="5">
        <v>18.177010219903998</v>
      </c>
      <c r="K13847" s="5">
        <v>-96.875486215768007</v>
      </c>
      <c r="L13847" s="5" t="str">
        <f>HYPERLINK("https://maps.google.com/?q=18.177010219904286,-96.87548621576788", "🔗 Ver Mapa")</f>
        <v>🔗 Ver Mapa</v>
      </c>
    </row>
    <row r="13848" spans="1:12" ht="58" x14ac:dyDescent="0.35">
      <c r="A13848" s="6" t="s">
        <v>288</v>
      </c>
      <c r="B13848" s="6" t="s">
        <v>289</v>
      </c>
      <c r="C13848" s="6" t="s">
        <v>3013</v>
      </c>
      <c r="D13848" s="6" t="s">
        <v>600</v>
      </c>
      <c r="E13848" s="6" t="s">
        <v>52</v>
      </c>
      <c r="F13848" s="6" t="s">
        <v>83</v>
      </c>
      <c r="G13848" s="6" t="s">
        <v>488</v>
      </c>
      <c r="H13848" s="6" t="s">
        <v>3014</v>
      </c>
      <c r="I13848" s="6" t="s">
        <v>31</v>
      </c>
      <c r="J13848" s="6">
        <v>17.366674</v>
      </c>
      <c r="K13848" s="6">
        <v>-97.032663999999997</v>
      </c>
      <c r="L13848" s="6" t="str">
        <f>HYPERLINK("https://maps.google.com/?q=17.366674,-97.032664", "🔗 Ver Mapa")</f>
        <v>🔗 Ver Mapa</v>
      </c>
    </row>
    <row r="13849" spans="1:12" ht="43.5" x14ac:dyDescent="0.35">
      <c r="A13849" s="5" t="s">
        <v>73</v>
      </c>
      <c r="B13849" s="5" t="s">
        <v>74</v>
      </c>
      <c r="C13849" s="5" t="s">
        <v>3015</v>
      </c>
      <c r="D13849" s="5" t="s">
        <v>76</v>
      </c>
      <c r="E13849" s="5" t="s">
        <v>90</v>
      </c>
      <c r="F13849" s="5" t="s">
        <v>91</v>
      </c>
      <c r="G13849" s="5" t="s">
        <v>1722</v>
      </c>
      <c r="H13849" s="5" t="s">
        <v>1723</v>
      </c>
      <c r="I13849" s="5" t="s">
        <v>31</v>
      </c>
      <c r="J13849" s="5">
        <v>17.014376180772</v>
      </c>
      <c r="K13849" s="5">
        <v>-96.136046761689002</v>
      </c>
      <c r="L13849" s="5" t="str">
        <f>HYPERLINK("https://maps.google.com/?q=17.01437618077231,-96.1360467616893", "🔗 Ver Mapa")</f>
        <v>🔗 Ver Mapa</v>
      </c>
    </row>
    <row r="13850" spans="1:12" ht="58" x14ac:dyDescent="0.35">
      <c r="A13850" s="6" t="s">
        <v>288</v>
      </c>
      <c r="B13850" s="6" t="s">
        <v>289</v>
      </c>
      <c r="C13850" s="6" t="s">
        <v>3016</v>
      </c>
      <c r="D13850" s="6" t="s">
        <v>414</v>
      </c>
      <c r="E13850" s="6" t="s">
        <v>16</v>
      </c>
      <c r="F13850" s="6" t="s">
        <v>409</v>
      </c>
      <c r="G13850" s="6" t="s">
        <v>2239</v>
      </c>
      <c r="H13850" s="6" t="s">
        <v>3017</v>
      </c>
      <c r="I13850" s="6" t="s">
        <v>31</v>
      </c>
      <c r="J13850" s="6">
        <v>17.6577819</v>
      </c>
      <c r="K13850" s="6">
        <v>-97.338916089999998</v>
      </c>
      <c r="L13850" s="6" t="str">
        <f>HYPERLINK("https://maps.google.com/?q=17.6577819,-97.33891609", "🔗 Ver Mapa")</f>
        <v>🔗 Ver Mapa</v>
      </c>
    </row>
    <row r="13851" spans="1:12" ht="58" x14ac:dyDescent="0.35">
      <c r="A13851" s="5" t="s">
        <v>288</v>
      </c>
      <c r="B13851" s="5" t="s">
        <v>289</v>
      </c>
      <c r="C13851" s="5" t="s">
        <v>3016</v>
      </c>
      <c r="D13851" s="5" t="s">
        <v>414</v>
      </c>
      <c r="E13851" s="5" t="s">
        <v>16</v>
      </c>
      <c r="F13851" s="5" t="s">
        <v>409</v>
      </c>
      <c r="G13851" s="5" t="s">
        <v>2239</v>
      </c>
      <c r="H13851" s="5" t="s">
        <v>3017</v>
      </c>
      <c r="I13851" s="5" t="s">
        <v>31</v>
      </c>
      <c r="J13851" s="5">
        <v>17.658068159999999</v>
      </c>
      <c r="K13851" s="5">
        <v>-97.339868910000007</v>
      </c>
      <c r="L13851" s="5" t="str">
        <f>HYPERLINK("https://maps.google.com/?q=17.65806816,-97.33986891", "🔗 Ver Mapa")</f>
        <v>🔗 Ver Mapa</v>
      </c>
    </row>
    <row r="13852" spans="1:12" ht="58" x14ac:dyDescent="0.35">
      <c r="A13852" s="6" t="s">
        <v>288</v>
      </c>
      <c r="B13852" s="6" t="s">
        <v>289</v>
      </c>
      <c r="C13852" s="6" t="s">
        <v>3016</v>
      </c>
      <c r="D13852" s="6" t="s">
        <v>414</v>
      </c>
      <c r="E13852" s="6" t="s">
        <v>16</v>
      </c>
      <c r="F13852" s="6" t="s">
        <v>409</v>
      </c>
      <c r="G13852" s="6" t="s">
        <v>2239</v>
      </c>
      <c r="H13852" s="6" t="s">
        <v>3017</v>
      </c>
      <c r="I13852" s="6" t="s">
        <v>31</v>
      </c>
      <c r="J13852" s="6">
        <v>17.658364120000002</v>
      </c>
      <c r="K13852" s="6">
        <v>-97.33936199</v>
      </c>
      <c r="L13852" s="6" t="str">
        <f>HYPERLINK("https://maps.google.com/?q=17.65836412,-97.33936199", "🔗 Ver Mapa")</f>
        <v>🔗 Ver Mapa</v>
      </c>
    </row>
    <row r="13853" spans="1:12" ht="72.5" x14ac:dyDescent="0.35">
      <c r="A13853" s="5" t="s">
        <v>73</v>
      </c>
      <c r="B13853" s="5" t="s">
        <v>74</v>
      </c>
      <c r="C13853" s="5" t="s">
        <v>3018</v>
      </c>
      <c r="D13853" s="5" t="s">
        <v>76</v>
      </c>
      <c r="E13853" s="5" t="s">
        <v>110</v>
      </c>
      <c r="F13853" s="5" t="s">
        <v>126</v>
      </c>
      <c r="G13853" s="5" t="s">
        <v>1882</v>
      </c>
      <c r="H13853" s="5" t="s">
        <v>3019</v>
      </c>
      <c r="I13853" s="5" t="s">
        <v>31</v>
      </c>
      <c r="J13853" s="5">
        <v>17.857715451935</v>
      </c>
      <c r="K13853" s="5">
        <v>-96.712123925265999</v>
      </c>
      <c r="L13853" s="5" t="str">
        <f>HYPERLINK("https://maps.google.com/?q=17.85771545193516,-96.7121239252663", "🔗 Ver Mapa")</f>
        <v>🔗 Ver Mapa</v>
      </c>
    </row>
    <row r="13854" spans="1:12" ht="58" x14ac:dyDescent="0.35">
      <c r="A13854" s="6" t="s">
        <v>73</v>
      </c>
      <c r="B13854" s="6" t="s">
        <v>74</v>
      </c>
      <c r="C13854" s="6" t="s">
        <v>3020</v>
      </c>
      <c r="D13854" s="6" t="s">
        <v>76</v>
      </c>
      <c r="E13854" s="6" t="s">
        <v>39</v>
      </c>
      <c r="F13854" s="6" t="s">
        <v>353</v>
      </c>
      <c r="G13854" s="6" t="s">
        <v>1467</v>
      </c>
      <c r="H13854" s="6" t="s">
        <v>1468</v>
      </c>
      <c r="I13854" s="6" t="s">
        <v>31</v>
      </c>
      <c r="J13854" s="6">
        <v>16.321695750229001</v>
      </c>
      <c r="K13854" s="6">
        <v>-96.410530078091</v>
      </c>
      <c r="L13854" s="6" t="str">
        <f>HYPERLINK("https://maps.google.com/?q=16.321695750228958,-96.41053007809116", "🔗 Ver Mapa")</f>
        <v>🔗 Ver Mapa</v>
      </c>
    </row>
    <row r="13855" spans="1:12" ht="43.5" x14ac:dyDescent="0.35">
      <c r="A13855" s="5" t="s">
        <v>98</v>
      </c>
      <c r="B13855" s="5" t="s">
        <v>99</v>
      </c>
      <c r="C13855" s="5" t="s">
        <v>3021</v>
      </c>
      <c r="D13855" s="5" t="s">
        <v>14</v>
      </c>
      <c r="E13855" s="5" t="s">
        <v>39</v>
      </c>
      <c r="F13855" s="5" t="s">
        <v>353</v>
      </c>
      <c r="G13855" s="5" t="s">
        <v>2183</v>
      </c>
      <c r="H13855" s="5" t="s">
        <v>3022</v>
      </c>
      <c r="I13855" s="5" t="s">
        <v>31</v>
      </c>
      <c r="J13855" s="5">
        <v>16.254602045355998</v>
      </c>
      <c r="K13855" s="5">
        <v>-96.571728757681996</v>
      </c>
      <c r="L13855" s="5" t="str">
        <f>HYPERLINK("https://maps.google.com/?q=16.2546020453565,-96.571728757682095", "🔗 Ver Mapa")</f>
        <v>🔗 Ver Mapa</v>
      </c>
    </row>
    <row r="13856" spans="1:12" ht="43.5" x14ac:dyDescent="0.35">
      <c r="A13856" s="6" t="s">
        <v>98</v>
      </c>
      <c r="B13856" s="6" t="s">
        <v>99</v>
      </c>
      <c r="C13856" s="6" t="s">
        <v>3021</v>
      </c>
      <c r="D13856" s="6" t="s">
        <v>14</v>
      </c>
      <c r="E13856" s="6" t="s">
        <v>39</v>
      </c>
      <c r="F13856" s="6" t="s">
        <v>353</v>
      </c>
      <c r="G13856" s="6" t="s">
        <v>2183</v>
      </c>
      <c r="H13856" s="6" t="s">
        <v>3022</v>
      </c>
      <c r="I13856" s="6" t="s">
        <v>31</v>
      </c>
      <c r="J13856" s="6">
        <v>16.257971627968999</v>
      </c>
      <c r="K13856" s="6">
        <v>-96.591579919148998</v>
      </c>
      <c r="L13856" s="6" t="str">
        <f>HYPERLINK("https://maps.google.com/?q=16.257971627969,-96.591579919149396", "🔗 Ver Mapa")</f>
        <v>🔗 Ver Mapa</v>
      </c>
    </row>
    <row r="13857" spans="1:12" ht="43.5" x14ac:dyDescent="0.35">
      <c r="A13857" s="5" t="s">
        <v>98</v>
      </c>
      <c r="B13857" s="5" t="s">
        <v>99</v>
      </c>
      <c r="C13857" s="5" t="s">
        <v>3021</v>
      </c>
      <c r="D13857" s="5" t="s">
        <v>14</v>
      </c>
      <c r="E13857" s="5" t="s">
        <v>39</v>
      </c>
      <c r="F13857" s="5" t="s">
        <v>353</v>
      </c>
      <c r="G13857" s="5" t="s">
        <v>2183</v>
      </c>
      <c r="H13857" s="5" t="s">
        <v>3022</v>
      </c>
      <c r="I13857" s="5" t="s">
        <v>31</v>
      </c>
      <c r="J13857" s="5">
        <v>16.258020805886002</v>
      </c>
      <c r="K13857" s="5">
        <v>-96.591125368437005</v>
      </c>
      <c r="L13857" s="5" t="str">
        <f>HYPERLINK("https://maps.google.com/?q=16.2580208058859,-96.591125368436806", "🔗 Ver Mapa")</f>
        <v>🔗 Ver Mapa</v>
      </c>
    </row>
    <row r="13858" spans="1:12" ht="43.5" x14ac:dyDescent="0.35">
      <c r="A13858" s="6" t="s">
        <v>98</v>
      </c>
      <c r="B13858" s="6" t="s">
        <v>99</v>
      </c>
      <c r="C13858" s="6" t="s">
        <v>3021</v>
      </c>
      <c r="D13858" s="6" t="s">
        <v>14</v>
      </c>
      <c r="E13858" s="6" t="s">
        <v>39</v>
      </c>
      <c r="F13858" s="6" t="s">
        <v>353</v>
      </c>
      <c r="G13858" s="6" t="s">
        <v>2183</v>
      </c>
      <c r="H13858" s="6" t="s">
        <v>3022</v>
      </c>
      <c r="I13858" s="6" t="s">
        <v>31</v>
      </c>
      <c r="J13858" s="6">
        <v>16.258273786709001</v>
      </c>
      <c r="K13858" s="6">
        <v>-96.591785169062007</v>
      </c>
      <c r="L13858" s="6" t="str">
        <f>HYPERLINK("https://maps.google.com/?q=16.2582737867095,-96.591785169062305", "🔗 Ver Mapa")</f>
        <v>🔗 Ver Mapa</v>
      </c>
    </row>
    <row r="13859" spans="1:12" ht="43.5" x14ac:dyDescent="0.35">
      <c r="A13859" s="5" t="s">
        <v>98</v>
      </c>
      <c r="B13859" s="5" t="s">
        <v>99</v>
      </c>
      <c r="C13859" s="5" t="s">
        <v>3021</v>
      </c>
      <c r="D13859" s="5" t="s">
        <v>14</v>
      </c>
      <c r="E13859" s="5" t="s">
        <v>39</v>
      </c>
      <c r="F13859" s="5" t="s">
        <v>353</v>
      </c>
      <c r="G13859" s="5" t="s">
        <v>2183</v>
      </c>
      <c r="H13859" s="5" t="s">
        <v>3022</v>
      </c>
      <c r="I13859" s="5" t="s">
        <v>31</v>
      </c>
      <c r="J13859" s="5">
        <v>16.258330994524002</v>
      </c>
      <c r="K13859" s="5">
        <v>-96.574782152287995</v>
      </c>
      <c r="L13859" s="5" t="str">
        <f>HYPERLINK("https://maps.google.com/?q=16.2583309945235,-96.574782152288194", "🔗 Ver Mapa")</f>
        <v>🔗 Ver Mapa</v>
      </c>
    </row>
    <row r="13860" spans="1:12" ht="43.5" x14ac:dyDescent="0.35">
      <c r="A13860" s="6" t="s">
        <v>98</v>
      </c>
      <c r="B13860" s="6" t="s">
        <v>99</v>
      </c>
      <c r="C13860" s="6" t="s">
        <v>3021</v>
      </c>
      <c r="D13860" s="6" t="s">
        <v>14</v>
      </c>
      <c r="E13860" s="6" t="s">
        <v>39</v>
      </c>
      <c r="F13860" s="6" t="s">
        <v>353</v>
      </c>
      <c r="G13860" s="6" t="s">
        <v>2183</v>
      </c>
      <c r="H13860" s="6" t="s">
        <v>3022</v>
      </c>
      <c r="I13860" s="6" t="s">
        <v>31</v>
      </c>
      <c r="J13860" s="6">
        <v>16.258823133246999</v>
      </c>
      <c r="K13860" s="6">
        <v>-96.573684494071003</v>
      </c>
      <c r="L13860" s="6" t="str">
        <f>HYPERLINK("https://maps.google.com/?q=16.2588231332469,-96.573684494070704", "🔗 Ver Mapa")</f>
        <v>🔗 Ver Mapa</v>
      </c>
    </row>
    <row r="13861" spans="1:12" ht="43.5" x14ac:dyDescent="0.35">
      <c r="A13861" s="5" t="s">
        <v>98</v>
      </c>
      <c r="B13861" s="5" t="s">
        <v>99</v>
      </c>
      <c r="C13861" s="5" t="s">
        <v>3021</v>
      </c>
      <c r="D13861" s="5" t="s">
        <v>14</v>
      </c>
      <c r="E13861" s="5" t="s">
        <v>39</v>
      </c>
      <c r="F13861" s="5" t="s">
        <v>353</v>
      </c>
      <c r="G13861" s="5" t="s">
        <v>2183</v>
      </c>
      <c r="H13861" s="5" t="s">
        <v>3022</v>
      </c>
      <c r="I13861" s="5" t="s">
        <v>31</v>
      </c>
      <c r="J13861" s="5">
        <v>16.259788725120998</v>
      </c>
      <c r="K13861" s="5">
        <v>-96.592602706676999</v>
      </c>
      <c r="L13861" s="5" t="str">
        <f>HYPERLINK("https://maps.google.com/?q=16.2597887251206,-96.592602706677098", "🔗 Ver Mapa")</f>
        <v>🔗 Ver Mapa</v>
      </c>
    </row>
    <row r="13862" spans="1:12" ht="43.5" x14ac:dyDescent="0.35">
      <c r="A13862" s="6" t="s">
        <v>98</v>
      </c>
      <c r="B13862" s="6" t="s">
        <v>99</v>
      </c>
      <c r="C13862" s="6" t="s">
        <v>3021</v>
      </c>
      <c r="D13862" s="6" t="s">
        <v>14</v>
      </c>
      <c r="E13862" s="6" t="s">
        <v>39</v>
      </c>
      <c r="F13862" s="6" t="s">
        <v>353</v>
      </c>
      <c r="G13862" s="6" t="s">
        <v>2183</v>
      </c>
      <c r="H13862" s="6" t="s">
        <v>3022</v>
      </c>
      <c r="I13862" s="6" t="s">
        <v>31</v>
      </c>
      <c r="J13862" s="6">
        <v>16.260002588677999</v>
      </c>
      <c r="K13862" s="6">
        <v>-96.591366955561995</v>
      </c>
      <c r="L13862" s="6" t="str">
        <f>HYPERLINK("https://maps.google.com/?q=16.2600025886777,-96.591366955561696", "🔗 Ver Mapa")</f>
        <v>🔗 Ver Mapa</v>
      </c>
    </row>
    <row r="13863" spans="1:12" ht="43.5" x14ac:dyDescent="0.35">
      <c r="A13863" s="5" t="s">
        <v>98</v>
      </c>
      <c r="B13863" s="5" t="s">
        <v>99</v>
      </c>
      <c r="C13863" s="5" t="s">
        <v>3021</v>
      </c>
      <c r="D13863" s="5" t="s">
        <v>14</v>
      </c>
      <c r="E13863" s="5" t="s">
        <v>39</v>
      </c>
      <c r="F13863" s="5" t="s">
        <v>353</v>
      </c>
      <c r="G13863" s="5" t="s">
        <v>2183</v>
      </c>
      <c r="H13863" s="5" t="s">
        <v>3022</v>
      </c>
      <c r="I13863" s="5" t="s">
        <v>31</v>
      </c>
      <c r="J13863" s="5">
        <v>16.261041660976002</v>
      </c>
      <c r="K13863" s="5">
        <v>-96.588789766548004</v>
      </c>
      <c r="L13863" s="5" t="str">
        <f>HYPERLINK("https://maps.google.com/?q=16.2610416609761,-96.588789766547706", "🔗 Ver Mapa")</f>
        <v>🔗 Ver Mapa</v>
      </c>
    </row>
    <row r="13864" spans="1:12" ht="43.5" x14ac:dyDescent="0.35">
      <c r="A13864" s="6" t="s">
        <v>98</v>
      </c>
      <c r="B13864" s="6" t="s">
        <v>99</v>
      </c>
      <c r="C13864" s="6" t="s">
        <v>3021</v>
      </c>
      <c r="D13864" s="6" t="s">
        <v>14</v>
      </c>
      <c r="E13864" s="6" t="s">
        <v>39</v>
      </c>
      <c r="F13864" s="6" t="s">
        <v>353</v>
      </c>
      <c r="G13864" s="6" t="s">
        <v>2183</v>
      </c>
      <c r="H13864" s="6" t="s">
        <v>3022</v>
      </c>
      <c r="I13864" s="6" t="s">
        <v>31</v>
      </c>
      <c r="J13864" s="6">
        <v>16.263653336882001</v>
      </c>
      <c r="K13864" s="6">
        <v>-96.569832658723001</v>
      </c>
      <c r="L13864" s="6" t="str">
        <f>HYPERLINK("https://maps.google.com/?q=16.2636533368822,-96.569832658722902", "🔗 Ver Mapa")</f>
        <v>🔗 Ver Mapa</v>
      </c>
    </row>
    <row r="13865" spans="1:12" ht="43.5" x14ac:dyDescent="0.35">
      <c r="A13865" s="5" t="s">
        <v>98</v>
      </c>
      <c r="B13865" s="5" t="s">
        <v>99</v>
      </c>
      <c r="C13865" s="5" t="s">
        <v>3021</v>
      </c>
      <c r="D13865" s="5" t="s">
        <v>14</v>
      </c>
      <c r="E13865" s="5" t="s">
        <v>39</v>
      </c>
      <c r="F13865" s="5" t="s">
        <v>353</v>
      </c>
      <c r="G13865" s="5" t="s">
        <v>2183</v>
      </c>
      <c r="H13865" s="5" t="s">
        <v>3022</v>
      </c>
      <c r="I13865" s="5" t="s">
        <v>31</v>
      </c>
      <c r="J13865" s="5">
        <v>16.264717783074001</v>
      </c>
      <c r="K13865" s="5">
        <v>-96.580015615712</v>
      </c>
      <c r="L13865" s="5" t="str">
        <f>HYPERLINK("https://maps.google.com/?q=16.2647177830744,-96.580015615711901", "🔗 Ver Mapa")</f>
        <v>🔗 Ver Mapa</v>
      </c>
    </row>
    <row r="13866" spans="1:12" ht="43.5" x14ac:dyDescent="0.35">
      <c r="A13866" s="6" t="s">
        <v>98</v>
      </c>
      <c r="B13866" s="6" t="s">
        <v>99</v>
      </c>
      <c r="C13866" s="6" t="s">
        <v>3021</v>
      </c>
      <c r="D13866" s="6" t="s">
        <v>14</v>
      </c>
      <c r="E13866" s="6" t="s">
        <v>39</v>
      </c>
      <c r="F13866" s="6" t="s">
        <v>353</v>
      </c>
      <c r="G13866" s="6" t="s">
        <v>2183</v>
      </c>
      <c r="H13866" s="6" t="s">
        <v>3022</v>
      </c>
      <c r="I13866" s="6" t="s">
        <v>31</v>
      </c>
      <c r="J13866" s="6">
        <v>16.264997464595002</v>
      </c>
      <c r="K13866" s="6">
        <v>-96.589666900188007</v>
      </c>
      <c r="L13866" s="6" t="str">
        <f>HYPERLINK("https://maps.google.com/?q=16.2649974645953,-96.589666900188305", "🔗 Ver Mapa")</f>
        <v>🔗 Ver Mapa</v>
      </c>
    </row>
    <row r="13867" spans="1:12" ht="43.5" x14ac:dyDescent="0.35">
      <c r="A13867" s="5" t="s">
        <v>98</v>
      </c>
      <c r="B13867" s="5" t="s">
        <v>99</v>
      </c>
      <c r="C13867" s="5" t="s">
        <v>3021</v>
      </c>
      <c r="D13867" s="5" t="s">
        <v>14</v>
      </c>
      <c r="E13867" s="5" t="s">
        <v>39</v>
      </c>
      <c r="F13867" s="5" t="s">
        <v>353</v>
      </c>
      <c r="G13867" s="5" t="s">
        <v>2183</v>
      </c>
      <c r="H13867" s="5" t="s">
        <v>3022</v>
      </c>
      <c r="I13867" s="5" t="s">
        <v>31</v>
      </c>
      <c r="J13867" s="5">
        <v>16.265872225586001</v>
      </c>
      <c r="K13867" s="5">
        <v>-96.587222541293002</v>
      </c>
      <c r="L13867" s="5" t="str">
        <f>HYPERLINK("https://maps.google.com/?q=16.2658722255855,-96.587222541293201", "🔗 Ver Mapa")</f>
        <v>🔗 Ver Mapa</v>
      </c>
    </row>
    <row r="13868" spans="1:12" ht="43.5" x14ac:dyDescent="0.35">
      <c r="A13868" s="6" t="s">
        <v>98</v>
      </c>
      <c r="B13868" s="6" t="s">
        <v>99</v>
      </c>
      <c r="C13868" s="6" t="s">
        <v>3021</v>
      </c>
      <c r="D13868" s="6" t="s">
        <v>14</v>
      </c>
      <c r="E13868" s="6" t="s">
        <v>39</v>
      </c>
      <c r="F13868" s="6" t="s">
        <v>353</v>
      </c>
      <c r="G13868" s="6" t="s">
        <v>2183</v>
      </c>
      <c r="H13868" s="6" t="s">
        <v>3022</v>
      </c>
      <c r="I13868" s="6" t="s">
        <v>31</v>
      </c>
      <c r="J13868" s="6">
        <v>16.266858829861999</v>
      </c>
      <c r="K13868" s="6">
        <v>-96.574610498070996</v>
      </c>
      <c r="L13868" s="6" t="str">
        <f>HYPERLINK("https://maps.google.com/?q=16.2668588298616,-96.574610498070996", "🔗 Ver Mapa")</f>
        <v>🔗 Ver Mapa</v>
      </c>
    </row>
    <row r="13869" spans="1:12" ht="43.5" x14ac:dyDescent="0.35">
      <c r="A13869" s="5" t="s">
        <v>98</v>
      </c>
      <c r="B13869" s="5" t="s">
        <v>99</v>
      </c>
      <c r="C13869" s="5" t="s">
        <v>3021</v>
      </c>
      <c r="D13869" s="5" t="s">
        <v>14</v>
      </c>
      <c r="E13869" s="5" t="s">
        <v>39</v>
      </c>
      <c r="F13869" s="5" t="s">
        <v>353</v>
      </c>
      <c r="G13869" s="5" t="s">
        <v>2183</v>
      </c>
      <c r="H13869" s="5" t="s">
        <v>3022</v>
      </c>
      <c r="I13869" s="5" t="s">
        <v>31</v>
      </c>
      <c r="J13869" s="5">
        <v>16.267441143214999</v>
      </c>
      <c r="K13869" s="5">
        <v>-96.580378612672007</v>
      </c>
      <c r="L13869" s="5" t="str">
        <f>HYPERLINK("https://maps.google.com/?q=16.2674411432147,-96.580378612672305", "🔗 Ver Mapa")</f>
        <v>🔗 Ver Mapa</v>
      </c>
    </row>
    <row r="13870" spans="1:12" ht="43.5" x14ac:dyDescent="0.35">
      <c r="A13870" s="6" t="s">
        <v>98</v>
      </c>
      <c r="B13870" s="6" t="s">
        <v>99</v>
      </c>
      <c r="C13870" s="6" t="s">
        <v>3021</v>
      </c>
      <c r="D13870" s="6" t="s">
        <v>14</v>
      </c>
      <c r="E13870" s="6" t="s">
        <v>39</v>
      </c>
      <c r="F13870" s="6" t="s">
        <v>353</v>
      </c>
      <c r="G13870" s="6" t="s">
        <v>2183</v>
      </c>
      <c r="H13870" s="6" t="s">
        <v>3022</v>
      </c>
      <c r="I13870" s="6" t="s">
        <v>31</v>
      </c>
      <c r="J13870" s="6">
        <v>16.268108482860001</v>
      </c>
      <c r="K13870" s="6">
        <v>-96.580818569330006</v>
      </c>
      <c r="L13870" s="6" t="str">
        <f>HYPERLINK("https://maps.google.com/?q=16.26810848286,-96.580818569330106", "🔗 Ver Mapa")</f>
        <v>🔗 Ver Mapa</v>
      </c>
    </row>
    <row r="13871" spans="1:12" ht="43.5" x14ac:dyDescent="0.35">
      <c r="A13871" s="5" t="s">
        <v>98</v>
      </c>
      <c r="B13871" s="5" t="s">
        <v>99</v>
      </c>
      <c r="C13871" s="5" t="s">
        <v>3021</v>
      </c>
      <c r="D13871" s="5" t="s">
        <v>14</v>
      </c>
      <c r="E13871" s="5" t="s">
        <v>39</v>
      </c>
      <c r="F13871" s="5" t="s">
        <v>353</v>
      </c>
      <c r="G13871" s="5" t="s">
        <v>2183</v>
      </c>
      <c r="H13871" s="5" t="s">
        <v>3022</v>
      </c>
      <c r="I13871" s="5" t="s">
        <v>31</v>
      </c>
      <c r="J13871" s="5">
        <v>16.2682973</v>
      </c>
      <c r="K13871" s="5">
        <v>-96.578577100000004</v>
      </c>
      <c r="L13871" s="5" t="str">
        <f>HYPERLINK("https://maps.google.com/?q=16.2682973,-96.578577100000004", "🔗 Ver Mapa")</f>
        <v>🔗 Ver Mapa</v>
      </c>
    </row>
    <row r="13872" spans="1:12" ht="43.5" x14ac:dyDescent="0.35">
      <c r="A13872" s="6" t="s">
        <v>98</v>
      </c>
      <c r="B13872" s="6" t="s">
        <v>99</v>
      </c>
      <c r="C13872" s="6" t="s">
        <v>3021</v>
      </c>
      <c r="D13872" s="6" t="s">
        <v>14</v>
      </c>
      <c r="E13872" s="6" t="s">
        <v>39</v>
      </c>
      <c r="F13872" s="6" t="s">
        <v>353</v>
      </c>
      <c r="G13872" s="6" t="s">
        <v>2183</v>
      </c>
      <c r="H13872" s="6" t="s">
        <v>3022</v>
      </c>
      <c r="I13872" s="6" t="s">
        <v>31</v>
      </c>
      <c r="J13872" s="6">
        <v>16.269523325799</v>
      </c>
      <c r="K13872" s="6">
        <v>-96.580719376117003</v>
      </c>
      <c r="L13872" s="6" t="str">
        <f>HYPERLINK("https://maps.google.com/?q=16.2695233257992,-96.580719376117202", "🔗 Ver Mapa")</f>
        <v>🔗 Ver Mapa</v>
      </c>
    </row>
    <row r="13873" spans="1:12" ht="43.5" x14ac:dyDescent="0.35">
      <c r="A13873" s="5" t="s">
        <v>98</v>
      </c>
      <c r="B13873" s="5" t="s">
        <v>99</v>
      </c>
      <c r="C13873" s="5" t="s">
        <v>3021</v>
      </c>
      <c r="D13873" s="5" t="s">
        <v>14</v>
      </c>
      <c r="E13873" s="5" t="s">
        <v>39</v>
      </c>
      <c r="F13873" s="5" t="s">
        <v>353</v>
      </c>
      <c r="G13873" s="5" t="s">
        <v>2183</v>
      </c>
      <c r="H13873" s="5" t="s">
        <v>3022</v>
      </c>
      <c r="I13873" s="5" t="s">
        <v>31</v>
      </c>
      <c r="J13873" s="5">
        <v>16.269564388909998</v>
      </c>
      <c r="K13873" s="5">
        <v>-96.591310980697003</v>
      </c>
      <c r="L13873" s="5" t="str">
        <f>HYPERLINK("https://maps.google.com/?q=16.2695643889104,-96.591310980696903", "🔗 Ver Mapa")</f>
        <v>🔗 Ver Mapa</v>
      </c>
    </row>
    <row r="13874" spans="1:12" ht="43.5" x14ac:dyDescent="0.35">
      <c r="A13874" s="6" t="s">
        <v>98</v>
      </c>
      <c r="B13874" s="6" t="s">
        <v>99</v>
      </c>
      <c r="C13874" s="6" t="s">
        <v>3021</v>
      </c>
      <c r="D13874" s="6" t="s">
        <v>14</v>
      </c>
      <c r="E13874" s="6" t="s">
        <v>39</v>
      </c>
      <c r="F13874" s="6" t="s">
        <v>353</v>
      </c>
      <c r="G13874" s="6" t="s">
        <v>2183</v>
      </c>
      <c r="H13874" s="6" t="s">
        <v>3022</v>
      </c>
      <c r="I13874" s="6" t="s">
        <v>31</v>
      </c>
      <c r="J13874" s="6">
        <v>16.269989801123</v>
      </c>
      <c r="K13874" s="6">
        <v>-96.581066421060996</v>
      </c>
      <c r="L13874" s="6" t="str">
        <f>HYPERLINK("https://maps.google.com/?q=16.2699898011233,-96.581066421060996", "🔗 Ver Mapa")</f>
        <v>🔗 Ver Mapa</v>
      </c>
    </row>
    <row r="13875" spans="1:12" ht="43.5" x14ac:dyDescent="0.35">
      <c r="A13875" s="5" t="s">
        <v>98</v>
      </c>
      <c r="B13875" s="5" t="s">
        <v>99</v>
      </c>
      <c r="C13875" s="5" t="s">
        <v>3021</v>
      </c>
      <c r="D13875" s="5" t="s">
        <v>14</v>
      </c>
      <c r="E13875" s="5" t="s">
        <v>39</v>
      </c>
      <c r="F13875" s="5" t="s">
        <v>353</v>
      </c>
      <c r="G13875" s="5" t="s">
        <v>2183</v>
      </c>
      <c r="H13875" s="5" t="s">
        <v>3022</v>
      </c>
      <c r="I13875" s="5" t="s">
        <v>31</v>
      </c>
      <c r="J13875" s="5">
        <v>16.270283841623002</v>
      </c>
      <c r="K13875" s="5">
        <v>-96.564730999999995</v>
      </c>
      <c r="L13875" s="5" t="str">
        <f>HYPERLINK("https://maps.google.com/?q=16.2702838416226,-96.564730999999995", "🔗 Ver Mapa")</f>
        <v>🔗 Ver Mapa</v>
      </c>
    </row>
    <row r="13876" spans="1:12" ht="43.5" x14ac:dyDescent="0.35">
      <c r="A13876" s="6" t="s">
        <v>98</v>
      </c>
      <c r="B13876" s="6" t="s">
        <v>99</v>
      </c>
      <c r="C13876" s="6" t="s">
        <v>3021</v>
      </c>
      <c r="D13876" s="6" t="s">
        <v>14</v>
      </c>
      <c r="E13876" s="6" t="s">
        <v>39</v>
      </c>
      <c r="F13876" s="6" t="s">
        <v>353</v>
      </c>
      <c r="G13876" s="6" t="s">
        <v>2183</v>
      </c>
      <c r="H13876" s="6" t="s">
        <v>3022</v>
      </c>
      <c r="I13876" s="6" t="s">
        <v>31</v>
      </c>
      <c r="J13876" s="6">
        <v>16.271033983831</v>
      </c>
      <c r="K13876" s="6">
        <v>-96.565340996364</v>
      </c>
      <c r="L13876" s="6" t="str">
        <f>HYPERLINK("https://maps.google.com/?q=16.2710339838314,-96.565340996364498", "🔗 Ver Mapa")</f>
        <v>🔗 Ver Mapa</v>
      </c>
    </row>
    <row r="13877" spans="1:12" ht="43.5" x14ac:dyDescent="0.35">
      <c r="A13877" s="5" t="s">
        <v>98</v>
      </c>
      <c r="B13877" s="5" t="s">
        <v>99</v>
      </c>
      <c r="C13877" s="5" t="s">
        <v>3021</v>
      </c>
      <c r="D13877" s="5" t="s">
        <v>14</v>
      </c>
      <c r="E13877" s="5" t="s">
        <v>39</v>
      </c>
      <c r="F13877" s="5" t="s">
        <v>353</v>
      </c>
      <c r="G13877" s="5" t="s">
        <v>2183</v>
      </c>
      <c r="H13877" s="5" t="s">
        <v>3022</v>
      </c>
      <c r="I13877" s="5" t="s">
        <v>31</v>
      </c>
      <c r="J13877" s="5">
        <v>16.271410285416</v>
      </c>
      <c r="K13877" s="5">
        <v>-96.592298344436998</v>
      </c>
      <c r="L13877" s="5" t="str">
        <f>HYPERLINK("https://maps.google.com/?q=16.2714102854157,-96.5922983444366", "🔗 Ver Mapa")</f>
        <v>🔗 Ver Mapa</v>
      </c>
    </row>
    <row r="13878" spans="1:12" ht="43.5" x14ac:dyDescent="0.35">
      <c r="A13878" s="6" t="s">
        <v>98</v>
      </c>
      <c r="B13878" s="6" t="s">
        <v>99</v>
      </c>
      <c r="C13878" s="6" t="s">
        <v>3021</v>
      </c>
      <c r="D13878" s="6" t="s">
        <v>14</v>
      </c>
      <c r="E13878" s="6" t="s">
        <v>39</v>
      </c>
      <c r="F13878" s="6" t="s">
        <v>353</v>
      </c>
      <c r="G13878" s="6" t="s">
        <v>2183</v>
      </c>
      <c r="H13878" s="6" t="s">
        <v>3022</v>
      </c>
      <c r="I13878" s="6" t="s">
        <v>31</v>
      </c>
      <c r="J13878" s="6">
        <v>16.271474802650001</v>
      </c>
      <c r="K13878" s="6">
        <v>-96.588967280326003</v>
      </c>
      <c r="L13878" s="6" t="str">
        <f>HYPERLINK("https://maps.google.com/?q=16.2714748026501,-96.588967280325804", "🔗 Ver Mapa")</f>
        <v>🔗 Ver Mapa</v>
      </c>
    </row>
    <row r="13879" spans="1:12" ht="43.5" x14ac:dyDescent="0.35">
      <c r="A13879" s="5" t="s">
        <v>98</v>
      </c>
      <c r="B13879" s="5" t="s">
        <v>99</v>
      </c>
      <c r="C13879" s="5" t="s">
        <v>3021</v>
      </c>
      <c r="D13879" s="5" t="s">
        <v>14</v>
      </c>
      <c r="E13879" s="5" t="s">
        <v>39</v>
      </c>
      <c r="F13879" s="5" t="s">
        <v>353</v>
      </c>
      <c r="G13879" s="5" t="s">
        <v>2183</v>
      </c>
      <c r="H13879" s="5" t="s">
        <v>3022</v>
      </c>
      <c r="I13879" s="5" t="s">
        <v>31</v>
      </c>
      <c r="J13879" s="5">
        <v>16.272702820564</v>
      </c>
      <c r="K13879" s="5">
        <v>-96.584813234086994</v>
      </c>
      <c r="L13879" s="5" t="str">
        <f>HYPERLINK("https://maps.google.com/?q=16.2727028205638,-96.584813234086894", "🔗 Ver Mapa")</f>
        <v>🔗 Ver Mapa</v>
      </c>
    </row>
    <row r="13880" spans="1:12" ht="43.5" x14ac:dyDescent="0.35">
      <c r="A13880" s="6" t="s">
        <v>98</v>
      </c>
      <c r="B13880" s="6" t="s">
        <v>99</v>
      </c>
      <c r="C13880" s="6" t="s">
        <v>3021</v>
      </c>
      <c r="D13880" s="6" t="s">
        <v>14</v>
      </c>
      <c r="E13880" s="6" t="s">
        <v>39</v>
      </c>
      <c r="F13880" s="6" t="s">
        <v>353</v>
      </c>
      <c r="G13880" s="6" t="s">
        <v>2183</v>
      </c>
      <c r="H13880" s="6" t="s">
        <v>3022</v>
      </c>
      <c r="I13880" s="6" t="s">
        <v>31</v>
      </c>
      <c r="J13880" s="6">
        <v>16.273177066233998</v>
      </c>
      <c r="K13880" s="6">
        <v>-96.583425568123005</v>
      </c>
      <c r="L13880" s="6" t="str">
        <f>HYPERLINK("https://maps.google.com/?q=16.2731770662335,-96.583425568122905", "🔗 Ver Mapa")</f>
        <v>🔗 Ver Mapa</v>
      </c>
    </row>
    <row r="13881" spans="1:12" ht="43.5" x14ac:dyDescent="0.35">
      <c r="A13881" s="5" t="s">
        <v>98</v>
      </c>
      <c r="B13881" s="5" t="s">
        <v>99</v>
      </c>
      <c r="C13881" s="5" t="s">
        <v>3021</v>
      </c>
      <c r="D13881" s="5" t="s">
        <v>14</v>
      </c>
      <c r="E13881" s="5" t="s">
        <v>39</v>
      </c>
      <c r="F13881" s="5" t="s">
        <v>353</v>
      </c>
      <c r="G13881" s="5" t="s">
        <v>2183</v>
      </c>
      <c r="H13881" s="5" t="s">
        <v>3022</v>
      </c>
      <c r="I13881" s="5" t="s">
        <v>31</v>
      </c>
      <c r="J13881" s="5">
        <v>16.274895427493998</v>
      </c>
      <c r="K13881" s="5">
        <v>-96.593506326100993</v>
      </c>
      <c r="L13881" s="5" t="str">
        <f>HYPERLINK("https://maps.google.com/?q=16.2748954274943,-96.593506326100794", "🔗 Ver Mapa")</f>
        <v>🔗 Ver Mapa</v>
      </c>
    </row>
    <row r="13882" spans="1:12" ht="43.5" x14ac:dyDescent="0.35">
      <c r="A13882" s="6" t="s">
        <v>98</v>
      </c>
      <c r="B13882" s="6" t="s">
        <v>99</v>
      </c>
      <c r="C13882" s="6" t="s">
        <v>3021</v>
      </c>
      <c r="D13882" s="6" t="s">
        <v>14</v>
      </c>
      <c r="E13882" s="6" t="s">
        <v>39</v>
      </c>
      <c r="F13882" s="6" t="s">
        <v>353</v>
      </c>
      <c r="G13882" s="6" t="s">
        <v>2183</v>
      </c>
      <c r="H13882" s="6" t="s">
        <v>3022</v>
      </c>
      <c r="I13882" s="6" t="s">
        <v>31</v>
      </c>
      <c r="J13882" s="6">
        <v>16.274944744789</v>
      </c>
      <c r="K13882" s="6">
        <v>-96.593308133231005</v>
      </c>
      <c r="L13882" s="6" t="str">
        <f>HYPERLINK("https://maps.google.com/?q=16.2749447447894,-96.593308133230707", "🔗 Ver Mapa")</f>
        <v>🔗 Ver Mapa</v>
      </c>
    </row>
    <row r="13883" spans="1:12" ht="43.5" x14ac:dyDescent="0.35">
      <c r="A13883" s="5" t="s">
        <v>98</v>
      </c>
      <c r="B13883" s="5" t="s">
        <v>99</v>
      </c>
      <c r="C13883" s="5" t="s">
        <v>3021</v>
      </c>
      <c r="D13883" s="5" t="s">
        <v>14</v>
      </c>
      <c r="E13883" s="5" t="s">
        <v>39</v>
      </c>
      <c r="F13883" s="5" t="s">
        <v>353</v>
      </c>
      <c r="G13883" s="5" t="s">
        <v>2183</v>
      </c>
      <c r="H13883" s="5" t="s">
        <v>3022</v>
      </c>
      <c r="I13883" s="5" t="s">
        <v>31</v>
      </c>
      <c r="J13883" s="5">
        <v>16.275378037595001</v>
      </c>
      <c r="K13883" s="5">
        <v>-96.584404434136999</v>
      </c>
      <c r="L13883" s="5" t="str">
        <f>HYPERLINK("https://maps.google.com/?q=16.2753780375946,-96.5844044341368", "🔗 Ver Mapa")</f>
        <v>🔗 Ver Mapa</v>
      </c>
    </row>
    <row r="13884" spans="1:12" ht="43.5" x14ac:dyDescent="0.35">
      <c r="A13884" s="6" t="s">
        <v>98</v>
      </c>
      <c r="B13884" s="6" t="s">
        <v>99</v>
      </c>
      <c r="C13884" s="6" t="s">
        <v>3021</v>
      </c>
      <c r="D13884" s="6" t="s">
        <v>14</v>
      </c>
      <c r="E13884" s="6" t="s">
        <v>39</v>
      </c>
      <c r="F13884" s="6" t="s">
        <v>353</v>
      </c>
      <c r="G13884" s="6" t="s">
        <v>2183</v>
      </c>
      <c r="H13884" s="6" t="s">
        <v>3022</v>
      </c>
      <c r="I13884" s="6" t="s">
        <v>31</v>
      </c>
      <c r="J13884" s="6">
        <v>16.276392453294999</v>
      </c>
      <c r="K13884" s="6">
        <v>-96.566762770791996</v>
      </c>
      <c r="L13884" s="6" t="str">
        <f>HYPERLINK("https://maps.google.com/?q=16.2763924532952,-96.566762770791797", "🔗 Ver Mapa")</f>
        <v>🔗 Ver Mapa</v>
      </c>
    </row>
    <row r="13885" spans="1:12" ht="43.5" x14ac:dyDescent="0.35">
      <c r="A13885" s="5" t="s">
        <v>98</v>
      </c>
      <c r="B13885" s="5" t="s">
        <v>99</v>
      </c>
      <c r="C13885" s="5" t="s">
        <v>3021</v>
      </c>
      <c r="D13885" s="5" t="s">
        <v>14</v>
      </c>
      <c r="E13885" s="5" t="s">
        <v>39</v>
      </c>
      <c r="F13885" s="5" t="s">
        <v>353</v>
      </c>
      <c r="G13885" s="5" t="s">
        <v>2183</v>
      </c>
      <c r="H13885" s="5" t="s">
        <v>3022</v>
      </c>
      <c r="I13885" s="5" t="s">
        <v>31</v>
      </c>
      <c r="J13885" s="5">
        <v>16.276395034476</v>
      </c>
      <c r="K13885" s="5">
        <v>-96.569891966745999</v>
      </c>
      <c r="L13885" s="5" t="str">
        <f>HYPERLINK("https://maps.google.com/?q=16.2763950344764,-96.569891966745601", "🔗 Ver Mapa")</f>
        <v>🔗 Ver Mapa</v>
      </c>
    </row>
    <row r="13886" spans="1:12" ht="43.5" x14ac:dyDescent="0.35">
      <c r="A13886" s="6" t="s">
        <v>98</v>
      </c>
      <c r="B13886" s="6" t="s">
        <v>99</v>
      </c>
      <c r="C13886" s="6" t="s">
        <v>3021</v>
      </c>
      <c r="D13886" s="6" t="s">
        <v>14</v>
      </c>
      <c r="E13886" s="6" t="s">
        <v>39</v>
      </c>
      <c r="F13886" s="6" t="s">
        <v>353</v>
      </c>
      <c r="G13886" s="6" t="s">
        <v>2183</v>
      </c>
      <c r="H13886" s="6" t="s">
        <v>3022</v>
      </c>
      <c r="I13886" s="6" t="s">
        <v>31</v>
      </c>
      <c r="J13886" s="6">
        <v>16.276584270958999</v>
      </c>
      <c r="K13886" s="6">
        <v>-96.566703315845999</v>
      </c>
      <c r="L13886" s="6" t="str">
        <f>HYPERLINK("https://maps.google.com/?q=16.2765842709588,-96.566703315846297", "🔗 Ver Mapa")</f>
        <v>🔗 Ver Mapa</v>
      </c>
    </row>
    <row r="13887" spans="1:12" ht="43.5" x14ac:dyDescent="0.35">
      <c r="A13887" s="5" t="s">
        <v>98</v>
      </c>
      <c r="B13887" s="5" t="s">
        <v>99</v>
      </c>
      <c r="C13887" s="5" t="s">
        <v>3021</v>
      </c>
      <c r="D13887" s="5" t="s">
        <v>14</v>
      </c>
      <c r="E13887" s="5" t="s">
        <v>39</v>
      </c>
      <c r="F13887" s="5" t="s">
        <v>353</v>
      </c>
      <c r="G13887" s="5" t="s">
        <v>2183</v>
      </c>
      <c r="H13887" s="5" t="s">
        <v>3022</v>
      </c>
      <c r="I13887" s="5" t="s">
        <v>31</v>
      </c>
      <c r="J13887" s="5">
        <v>16.276671732560999</v>
      </c>
      <c r="K13887" s="5">
        <v>-96.566909335701993</v>
      </c>
      <c r="L13887" s="5" t="str">
        <f>HYPERLINK("https://maps.google.com/?q=16.2766717325613,-96.566909335701595", "🔗 Ver Mapa")</f>
        <v>🔗 Ver Mapa</v>
      </c>
    </row>
    <row r="13888" spans="1:12" ht="43.5" x14ac:dyDescent="0.35">
      <c r="A13888" s="6" t="s">
        <v>98</v>
      </c>
      <c r="B13888" s="6" t="s">
        <v>99</v>
      </c>
      <c r="C13888" s="6" t="s">
        <v>3021</v>
      </c>
      <c r="D13888" s="6" t="s">
        <v>14</v>
      </c>
      <c r="E13888" s="6" t="s">
        <v>39</v>
      </c>
      <c r="F13888" s="6" t="s">
        <v>353</v>
      </c>
      <c r="G13888" s="6" t="s">
        <v>2183</v>
      </c>
      <c r="H13888" s="6" t="s">
        <v>3022</v>
      </c>
      <c r="I13888" s="6" t="s">
        <v>31</v>
      </c>
      <c r="J13888" s="6">
        <v>16.277079000000001</v>
      </c>
      <c r="K13888" s="6">
        <v>-96.583907999999994</v>
      </c>
      <c r="L13888" s="6" t="str">
        <f>HYPERLINK("https://maps.google.com/?q=16.277079,-96.583907999999994", "🔗 Ver Mapa")</f>
        <v>🔗 Ver Mapa</v>
      </c>
    </row>
    <row r="13889" spans="1:12" ht="43.5" x14ac:dyDescent="0.35">
      <c r="A13889" s="5" t="s">
        <v>98</v>
      </c>
      <c r="B13889" s="5" t="s">
        <v>99</v>
      </c>
      <c r="C13889" s="5" t="s">
        <v>3021</v>
      </c>
      <c r="D13889" s="5" t="s">
        <v>14</v>
      </c>
      <c r="E13889" s="5" t="s">
        <v>39</v>
      </c>
      <c r="F13889" s="5" t="s">
        <v>353</v>
      </c>
      <c r="G13889" s="5" t="s">
        <v>2183</v>
      </c>
      <c r="H13889" s="5" t="s">
        <v>3022</v>
      </c>
      <c r="I13889" s="5" t="s">
        <v>31</v>
      </c>
      <c r="J13889" s="5">
        <v>16.277207910525</v>
      </c>
      <c r="K13889" s="5">
        <v>-96.584814990824995</v>
      </c>
      <c r="L13889" s="5" t="str">
        <f>HYPERLINK("https://maps.google.com/?q=16.2772079105251,-96.584814990824697", "🔗 Ver Mapa")</f>
        <v>🔗 Ver Mapa</v>
      </c>
    </row>
    <row r="13890" spans="1:12" ht="43.5" x14ac:dyDescent="0.35">
      <c r="A13890" s="6" t="s">
        <v>98</v>
      </c>
      <c r="B13890" s="6" t="s">
        <v>99</v>
      </c>
      <c r="C13890" s="6" t="s">
        <v>3021</v>
      </c>
      <c r="D13890" s="6" t="s">
        <v>14</v>
      </c>
      <c r="E13890" s="6" t="s">
        <v>39</v>
      </c>
      <c r="F13890" s="6" t="s">
        <v>353</v>
      </c>
      <c r="G13890" s="6" t="s">
        <v>2183</v>
      </c>
      <c r="H13890" s="6" t="s">
        <v>3022</v>
      </c>
      <c r="I13890" s="6" t="s">
        <v>31</v>
      </c>
      <c r="J13890" s="6">
        <v>16.277212285695999</v>
      </c>
      <c r="K13890" s="6">
        <v>-96.582009005033001</v>
      </c>
      <c r="L13890" s="6" t="str">
        <f>HYPERLINK("https://maps.google.com/?q=16.2772122856962,-96.582009005032603", "🔗 Ver Mapa")</f>
        <v>🔗 Ver Mapa</v>
      </c>
    </row>
    <row r="13891" spans="1:12" ht="43.5" x14ac:dyDescent="0.35">
      <c r="A13891" s="5" t="s">
        <v>98</v>
      </c>
      <c r="B13891" s="5" t="s">
        <v>99</v>
      </c>
      <c r="C13891" s="5" t="s">
        <v>3021</v>
      </c>
      <c r="D13891" s="5" t="s">
        <v>14</v>
      </c>
      <c r="E13891" s="5" t="s">
        <v>39</v>
      </c>
      <c r="F13891" s="5" t="s">
        <v>353</v>
      </c>
      <c r="G13891" s="5" t="s">
        <v>2183</v>
      </c>
      <c r="H13891" s="5" t="s">
        <v>3022</v>
      </c>
      <c r="I13891" s="5" t="s">
        <v>31</v>
      </c>
      <c r="J13891" s="5">
        <v>16.277315468161</v>
      </c>
      <c r="K13891" s="5">
        <v>-96.567561311679</v>
      </c>
      <c r="L13891" s="5" t="str">
        <f>HYPERLINK("https://maps.google.com/?q=16.2773154681614,-96.567561311678901", "🔗 Ver Mapa")</f>
        <v>🔗 Ver Mapa</v>
      </c>
    </row>
    <row r="13892" spans="1:12" ht="43.5" x14ac:dyDescent="0.35">
      <c r="A13892" s="6" t="s">
        <v>98</v>
      </c>
      <c r="B13892" s="6" t="s">
        <v>99</v>
      </c>
      <c r="C13892" s="6" t="s">
        <v>3021</v>
      </c>
      <c r="D13892" s="6" t="s">
        <v>14</v>
      </c>
      <c r="E13892" s="6" t="s">
        <v>39</v>
      </c>
      <c r="F13892" s="6" t="s">
        <v>353</v>
      </c>
      <c r="G13892" s="6" t="s">
        <v>2183</v>
      </c>
      <c r="H13892" s="6" t="s">
        <v>3022</v>
      </c>
      <c r="I13892" s="6" t="s">
        <v>31</v>
      </c>
      <c r="J13892" s="6">
        <v>16.277378228938002</v>
      </c>
      <c r="K13892" s="6">
        <v>-96.567763211726003</v>
      </c>
      <c r="L13892" s="6" t="str">
        <f>HYPERLINK("https://maps.google.com/?q=16.277378228938,-96.567763211726103", "🔗 Ver Mapa")</f>
        <v>🔗 Ver Mapa</v>
      </c>
    </row>
    <row r="13893" spans="1:12" ht="43.5" x14ac:dyDescent="0.35">
      <c r="A13893" s="5" t="s">
        <v>98</v>
      </c>
      <c r="B13893" s="5" t="s">
        <v>99</v>
      </c>
      <c r="C13893" s="5" t="s">
        <v>3021</v>
      </c>
      <c r="D13893" s="5" t="s">
        <v>14</v>
      </c>
      <c r="E13893" s="5" t="s">
        <v>39</v>
      </c>
      <c r="F13893" s="5" t="s">
        <v>353</v>
      </c>
      <c r="G13893" s="5" t="s">
        <v>2183</v>
      </c>
      <c r="H13893" s="5" t="s">
        <v>3022</v>
      </c>
      <c r="I13893" s="5" t="s">
        <v>31</v>
      </c>
      <c r="J13893" s="5">
        <v>16.277423362665001</v>
      </c>
      <c r="K13893" s="5">
        <v>-96.584358448252999</v>
      </c>
      <c r="L13893" s="5" t="str">
        <f>HYPERLINK("https://maps.google.com/?q=16.2774233626652,-96.584358448253298", "🔗 Ver Mapa")</f>
        <v>🔗 Ver Mapa</v>
      </c>
    </row>
    <row r="13894" spans="1:12" ht="43.5" x14ac:dyDescent="0.35">
      <c r="A13894" s="6" t="s">
        <v>98</v>
      </c>
      <c r="B13894" s="6" t="s">
        <v>99</v>
      </c>
      <c r="C13894" s="6" t="s">
        <v>3021</v>
      </c>
      <c r="D13894" s="6" t="s">
        <v>14</v>
      </c>
      <c r="E13894" s="6" t="s">
        <v>39</v>
      </c>
      <c r="F13894" s="6" t="s">
        <v>353</v>
      </c>
      <c r="G13894" s="6" t="s">
        <v>2183</v>
      </c>
      <c r="H13894" s="6" t="s">
        <v>3022</v>
      </c>
      <c r="I13894" s="6" t="s">
        <v>31</v>
      </c>
      <c r="J13894" s="6">
        <v>16.277457220915998</v>
      </c>
      <c r="K13894" s="6">
        <v>-96.582198973627996</v>
      </c>
      <c r="L13894" s="6" t="str">
        <f>HYPERLINK("https://maps.google.com/?q=16.2774572209161,-96.582198973627996", "🔗 Ver Mapa")</f>
        <v>🔗 Ver Mapa</v>
      </c>
    </row>
    <row r="13895" spans="1:12" ht="58" x14ac:dyDescent="0.35">
      <c r="A13895" s="5" t="s">
        <v>73</v>
      </c>
      <c r="B13895" s="5" t="s">
        <v>74</v>
      </c>
      <c r="C13895" s="5" t="s">
        <v>3023</v>
      </c>
      <c r="D13895" s="5" t="s">
        <v>76</v>
      </c>
      <c r="E13895" s="5" t="s">
        <v>110</v>
      </c>
      <c r="F13895" s="5" t="s">
        <v>111</v>
      </c>
      <c r="G13895" s="5" t="s">
        <v>1001</v>
      </c>
      <c r="H13895" s="5" t="s">
        <v>1002</v>
      </c>
      <c r="I13895" s="5" t="s">
        <v>31</v>
      </c>
      <c r="J13895" s="5">
        <v>18.030266478725999</v>
      </c>
      <c r="K13895" s="5">
        <v>-96.670290012592005</v>
      </c>
      <c r="L13895" s="5" t="str">
        <f>HYPERLINK("https://maps.google.com/?q=18.030266478726194,-96.67029001259213", "🔗 Ver Mapa")</f>
        <v>🔗 Ver Mapa</v>
      </c>
    </row>
    <row r="13896" spans="1:12" ht="43.5" x14ac:dyDescent="0.35">
      <c r="A13896" s="6" t="s">
        <v>98</v>
      </c>
      <c r="B13896" s="6" t="s">
        <v>99</v>
      </c>
      <c r="C13896" s="6" t="s">
        <v>3024</v>
      </c>
      <c r="D13896" s="6" t="s">
        <v>14</v>
      </c>
      <c r="E13896" s="6" t="s">
        <v>16</v>
      </c>
      <c r="F13896" s="6" t="s">
        <v>215</v>
      </c>
      <c r="G13896" s="6" t="s">
        <v>216</v>
      </c>
      <c r="H13896" s="6" t="s">
        <v>3025</v>
      </c>
      <c r="I13896" s="6" t="s">
        <v>31</v>
      </c>
      <c r="J13896" s="6">
        <v>17.327633241232999</v>
      </c>
      <c r="K13896" s="6">
        <v>-98.022759930565002</v>
      </c>
      <c r="L13896" s="6" t="str">
        <f>HYPERLINK("https://maps.google.com/?q=17.3276332412326,-98.022759930565002", "🔗 Ver Mapa")</f>
        <v>🔗 Ver Mapa</v>
      </c>
    </row>
    <row r="13897" spans="1:12" ht="43.5" x14ac:dyDescent="0.35">
      <c r="A13897" s="5" t="s">
        <v>98</v>
      </c>
      <c r="B13897" s="5" t="s">
        <v>99</v>
      </c>
      <c r="C13897" s="5" t="s">
        <v>3024</v>
      </c>
      <c r="D13897" s="5" t="s">
        <v>14</v>
      </c>
      <c r="E13897" s="5" t="s">
        <v>16</v>
      </c>
      <c r="F13897" s="5" t="s">
        <v>215</v>
      </c>
      <c r="G13897" s="5" t="s">
        <v>216</v>
      </c>
      <c r="H13897" s="5" t="s">
        <v>3025</v>
      </c>
      <c r="I13897" s="5" t="s">
        <v>31</v>
      </c>
      <c r="J13897" s="5">
        <v>17.328718882833002</v>
      </c>
      <c r="K13897" s="5">
        <v>-98.020973579360998</v>
      </c>
      <c r="L13897" s="5" t="str">
        <f>HYPERLINK("https://maps.google.com/?q=17.3287188828326,-98.020973579360898", "🔗 Ver Mapa")</f>
        <v>🔗 Ver Mapa</v>
      </c>
    </row>
    <row r="13898" spans="1:12" ht="43.5" x14ac:dyDescent="0.35">
      <c r="A13898" s="6" t="s">
        <v>98</v>
      </c>
      <c r="B13898" s="6" t="s">
        <v>99</v>
      </c>
      <c r="C13898" s="6" t="s">
        <v>3024</v>
      </c>
      <c r="D13898" s="6" t="s">
        <v>14</v>
      </c>
      <c r="E13898" s="6" t="s">
        <v>16</v>
      </c>
      <c r="F13898" s="6" t="s">
        <v>215</v>
      </c>
      <c r="G13898" s="6" t="s">
        <v>216</v>
      </c>
      <c r="H13898" s="6" t="s">
        <v>3025</v>
      </c>
      <c r="I13898" s="6" t="s">
        <v>31</v>
      </c>
      <c r="J13898" s="6">
        <v>17.328754729380002</v>
      </c>
      <c r="K13898" s="6">
        <v>-98.021477834655997</v>
      </c>
      <c r="L13898" s="6" t="str">
        <f>HYPERLINK("https://maps.google.com/?q=17.3287547293797,-98.021477834655798", "🔗 Ver Mapa")</f>
        <v>🔗 Ver Mapa</v>
      </c>
    </row>
    <row r="13899" spans="1:12" ht="43.5" x14ac:dyDescent="0.35">
      <c r="A13899" s="5" t="s">
        <v>98</v>
      </c>
      <c r="B13899" s="5" t="s">
        <v>99</v>
      </c>
      <c r="C13899" s="5" t="s">
        <v>3024</v>
      </c>
      <c r="D13899" s="5" t="s">
        <v>14</v>
      </c>
      <c r="E13899" s="5" t="s">
        <v>16</v>
      </c>
      <c r="F13899" s="5" t="s">
        <v>215</v>
      </c>
      <c r="G13899" s="5" t="s">
        <v>216</v>
      </c>
      <c r="H13899" s="5" t="s">
        <v>3025</v>
      </c>
      <c r="I13899" s="5" t="s">
        <v>31</v>
      </c>
      <c r="J13899" s="5">
        <v>17.329041501504999</v>
      </c>
      <c r="K13899" s="5">
        <v>-98.021810428574</v>
      </c>
      <c r="L13899" s="5" t="str">
        <f>HYPERLINK("https://maps.google.com/?q=17.329041501505,-98.021810428573701", "🔗 Ver Mapa")</f>
        <v>🔗 Ver Mapa</v>
      </c>
    </row>
    <row r="13900" spans="1:12" ht="43.5" x14ac:dyDescent="0.35">
      <c r="A13900" s="6" t="s">
        <v>98</v>
      </c>
      <c r="B13900" s="6" t="s">
        <v>99</v>
      </c>
      <c r="C13900" s="6" t="s">
        <v>3024</v>
      </c>
      <c r="D13900" s="6" t="s">
        <v>14</v>
      </c>
      <c r="E13900" s="6" t="s">
        <v>16</v>
      </c>
      <c r="F13900" s="6" t="s">
        <v>215</v>
      </c>
      <c r="G13900" s="6" t="s">
        <v>216</v>
      </c>
      <c r="H13900" s="6" t="s">
        <v>3025</v>
      </c>
      <c r="I13900" s="6" t="s">
        <v>31</v>
      </c>
      <c r="J13900" s="6">
        <v>17.329333394100999</v>
      </c>
      <c r="K13900" s="6">
        <v>-98.021515385582006</v>
      </c>
      <c r="L13900" s="6" t="str">
        <f>HYPERLINK("https://maps.google.com/?q=17.3293333941011,-98.021515385582006", "🔗 Ver Mapa")</f>
        <v>🔗 Ver Mapa</v>
      </c>
    </row>
    <row r="13901" spans="1:12" ht="58" x14ac:dyDescent="0.35">
      <c r="A13901" s="5" t="s">
        <v>73</v>
      </c>
      <c r="B13901" s="5" t="s">
        <v>74</v>
      </c>
      <c r="C13901" s="5" t="s">
        <v>3026</v>
      </c>
      <c r="D13901" s="5" t="s">
        <v>76</v>
      </c>
      <c r="E13901" s="5" t="s">
        <v>39</v>
      </c>
      <c r="F13901" s="5" t="s">
        <v>353</v>
      </c>
      <c r="G13901" s="5" t="s">
        <v>1467</v>
      </c>
      <c r="H13901" s="5" t="s">
        <v>1468</v>
      </c>
      <c r="I13901" s="5" t="s">
        <v>31</v>
      </c>
      <c r="J13901" s="5">
        <v>16.312891604573998</v>
      </c>
      <c r="K13901" s="5">
        <v>-96.403568327371005</v>
      </c>
      <c r="L13901" s="5" t="str">
        <f>HYPERLINK("https://maps.google.com/?q=16.3128916045745,-96.40356832737054", "🔗 Ver Mapa")</f>
        <v>🔗 Ver Mapa</v>
      </c>
    </row>
    <row r="13902" spans="1:12" ht="43.5" x14ac:dyDescent="0.35">
      <c r="A13902" s="6" t="s">
        <v>73</v>
      </c>
      <c r="B13902" s="6" t="s">
        <v>74</v>
      </c>
      <c r="C13902" s="6" t="s">
        <v>3027</v>
      </c>
      <c r="D13902" s="6" t="s">
        <v>76</v>
      </c>
      <c r="E13902" s="6" t="s">
        <v>39</v>
      </c>
      <c r="F13902" s="6" t="s">
        <v>494</v>
      </c>
      <c r="G13902" s="6" t="s">
        <v>2160</v>
      </c>
      <c r="H13902" s="6" t="s">
        <v>2538</v>
      </c>
      <c r="I13902" s="6" t="s">
        <v>31</v>
      </c>
      <c r="J13902" s="6">
        <v>16.624526609421</v>
      </c>
      <c r="K13902" s="6">
        <v>-96.953895193069002</v>
      </c>
      <c r="L13902" s="6" t="str">
        <f>HYPERLINK("https://maps.google.com/?q=16.624526609420695,-96.95389519306899", "🔗 Ver Mapa")</f>
        <v>🔗 Ver Mapa</v>
      </c>
    </row>
    <row r="13903" spans="1:12" ht="43.5" x14ac:dyDescent="0.35">
      <c r="A13903" s="5" t="s">
        <v>98</v>
      </c>
      <c r="B13903" s="5" t="s">
        <v>99</v>
      </c>
      <c r="C13903" s="5" t="s">
        <v>3028</v>
      </c>
      <c r="D13903" s="5" t="s">
        <v>14</v>
      </c>
      <c r="E13903" s="5" t="s">
        <v>52</v>
      </c>
      <c r="F13903" s="5" t="s">
        <v>443</v>
      </c>
      <c r="G13903" s="5" t="s">
        <v>2851</v>
      </c>
      <c r="H13903" s="5" t="s">
        <v>2852</v>
      </c>
      <c r="I13903" s="5" t="s">
        <v>31</v>
      </c>
      <c r="J13903" s="5">
        <v>16.845725643529999</v>
      </c>
      <c r="K13903" s="5">
        <v>-96.782620755148997</v>
      </c>
      <c r="L13903" s="5" t="str">
        <f>HYPERLINK("https://maps.google.com/?q=16.84572564353,-96.782620755148599", "🔗 Ver Mapa")</f>
        <v>🔗 Ver Mapa</v>
      </c>
    </row>
    <row r="13904" spans="1:12" ht="43.5" x14ac:dyDescent="0.35">
      <c r="A13904" s="6" t="s">
        <v>98</v>
      </c>
      <c r="B13904" s="6" t="s">
        <v>99</v>
      </c>
      <c r="C13904" s="6" t="s">
        <v>3028</v>
      </c>
      <c r="D13904" s="6" t="s">
        <v>14</v>
      </c>
      <c r="E13904" s="6" t="s">
        <v>52</v>
      </c>
      <c r="F13904" s="6" t="s">
        <v>443</v>
      </c>
      <c r="G13904" s="6" t="s">
        <v>2851</v>
      </c>
      <c r="H13904" s="6" t="s">
        <v>2852</v>
      </c>
      <c r="I13904" s="6" t="s">
        <v>31</v>
      </c>
      <c r="J13904" s="6">
        <v>16.847055658407001</v>
      </c>
      <c r="K13904" s="6">
        <v>-96.784247898147996</v>
      </c>
      <c r="L13904" s="6" t="str">
        <f>HYPERLINK("https://maps.google.com/?q=16.847055658407,-96.784247898147598", "🔗 Ver Mapa")</f>
        <v>🔗 Ver Mapa</v>
      </c>
    </row>
    <row r="13905" spans="1:12" ht="43.5" x14ac:dyDescent="0.35">
      <c r="A13905" s="5" t="s">
        <v>98</v>
      </c>
      <c r="B13905" s="5" t="s">
        <v>99</v>
      </c>
      <c r="C13905" s="5" t="s">
        <v>3028</v>
      </c>
      <c r="D13905" s="5" t="s">
        <v>14</v>
      </c>
      <c r="E13905" s="5" t="s">
        <v>52</v>
      </c>
      <c r="F13905" s="5" t="s">
        <v>443</v>
      </c>
      <c r="G13905" s="5" t="s">
        <v>2851</v>
      </c>
      <c r="H13905" s="5" t="s">
        <v>2852</v>
      </c>
      <c r="I13905" s="5" t="s">
        <v>31</v>
      </c>
      <c r="J13905" s="5">
        <v>16.847194660819</v>
      </c>
      <c r="K13905" s="5">
        <v>-96.784215906745999</v>
      </c>
      <c r="L13905" s="5" t="str">
        <f>HYPERLINK("https://maps.google.com/?q=16.8471946608186,-96.784215906745899", "🔗 Ver Mapa")</f>
        <v>🔗 Ver Mapa</v>
      </c>
    </row>
    <row r="13906" spans="1:12" ht="43.5" x14ac:dyDescent="0.35">
      <c r="A13906" s="6" t="s">
        <v>98</v>
      </c>
      <c r="B13906" s="6" t="s">
        <v>99</v>
      </c>
      <c r="C13906" s="6" t="s">
        <v>3028</v>
      </c>
      <c r="D13906" s="6" t="s">
        <v>14</v>
      </c>
      <c r="E13906" s="6" t="s">
        <v>52</v>
      </c>
      <c r="F13906" s="6" t="s">
        <v>443</v>
      </c>
      <c r="G13906" s="6" t="s">
        <v>2851</v>
      </c>
      <c r="H13906" s="6" t="s">
        <v>2852</v>
      </c>
      <c r="I13906" s="6" t="s">
        <v>31</v>
      </c>
      <c r="J13906" s="6">
        <v>16.847691590235002</v>
      </c>
      <c r="K13906" s="6">
        <v>-96.783872092056001</v>
      </c>
      <c r="L13906" s="6" t="str">
        <f>HYPERLINK("https://maps.google.com/?q=16.8476915902351,-96.783872092055503", "🔗 Ver Mapa")</f>
        <v>🔗 Ver Mapa</v>
      </c>
    </row>
    <row r="13907" spans="1:12" ht="43.5" x14ac:dyDescent="0.35">
      <c r="A13907" s="5" t="s">
        <v>98</v>
      </c>
      <c r="B13907" s="5" t="s">
        <v>99</v>
      </c>
      <c r="C13907" s="5" t="s">
        <v>3028</v>
      </c>
      <c r="D13907" s="5" t="s">
        <v>14</v>
      </c>
      <c r="E13907" s="5" t="s">
        <v>52</v>
      </c>
      <c r="F13907" s="5" t="s">
        <v>443</v>
      </c>
      <c r="G13907" s="5" t="s">
        <v>2851</v>
      </c>
      <c r="H13907" s="5" t="s">
        <v>2852</v>
      </c>
      <c r="I13907" s="5" t="s">
        <v>31</v>
      </c>
      <c r="J13907" s="5">
        <v>16.849318276028999</v>
      </c>
      <c r="K13907" s="5">
        <v>-96.784247119626997</v>
      </c>
      <c r="L13907" s="5" t="str">
        <f>HYPERLINK("https://maps.google.com/?q=16.8493182760287,-96.784247119626599", "🔗 Ver Mapa")</f>
        <v>🔗 Ver Mapa</v>
      </c>
    </row>
    <row r="13908" spans="1:12" ht="43.5" x14ac:dyDescent="0.35">
      <c r="A13908" s="6" t="s">
        <v>98</v>
      </c>
      <c r="B13908" s="6" t="s">
        <v>99</v>
      </c>
      <c r="C13908" s="6" t="s">
        <v>3028</v>
      </c>
      <c r="D13908" s="6" t="s">
        <v>14</v>
      </c>
      <c r="E13908" s="6" t="s">
        <v>52</v>
      </c>
      <c r="F13908" s="6" t="s">
        <v>443</v>
      </c>
      <c r="G13908" s="6" t="s">
        <v>2851</v>
      </c>
      <c r="H13908" s="6" t="s">
        <v>2852</v>
      </c>
      <c r="I13908" s="6" t="s">
        <v>31</v>
      </c>
      <c r="J13908" s="6">
        <v>16.849895537262</v>
      </c>
      <c r="K13908" s="6">
        <v>-96.783753355819997</v>
      </c>
      <c r="L13908" s="6" t="str">
        <f>HYPERLINK("https://maps.google.com/?q=16.8498955372624,-96.783753355819698", "🔗 Ver Mapa")</f>
        <v>🔗 Ver Mapa</v>
      </c>
    </row>
    <row r="13909" spans="1:12" ht="43.5" x14ac:dyDescent="0.35">
      <c r="A13909" s="5" t="s">
        <v>98</v>
      </c>
      <c r="B13909" s="5" t="s">
        <v>99</v>
      </c>
      <c r="C13909" s="5" t="s">
        <v>3028</v>
      </c>
      <c r="D13909" s="5" t="s">
        <v>14</v>
      </c>
      <c r="E13909" s="5" t="s">
        <v>52</v>
      </c>
      <c r="F13909" s="5" t="s">
        <v>443</v>
      </c>
      <c r="G13909" s="5" t="s">
        <v>2851</v>
      </c>
      <c r="H13909" s="5" t="s">
        <v>2852</v>
      </c>
      <c r="I13909" s="5" t="s">
        <v>31</v>
      </c>
      <c r="J13909" s="5">
        <v>16.850144483451999</v>
      </c>
      <c r="K13909" s="5">
        <v>-96.783420822089994</v>
      </c>
      <c r="L13909" s="5" t="str">
        <f>HYPERLINK("https://maps.google.com/?q=16.8501444834515,-96.783420822090207", "🔗 Ver Mapa")</f>
        <v>🔗 Ver Mapa</v>
      </c>
    </row>
    <row r="13910" spans="1:12" ht="43.5" x14ac:dyDescent="0.35">
      <c r="A13910" s="6" t="s">
        <v>98</v>
      </c>
      <c r="B13910" s="6" t="s">
        <v>99</v>
      </c>
      <c r="C13910" s="6" t="s">
        <v>3029</v>
      </c>
      <c r="D13910" s="6" t="s">
        <v>14</v>
      </c>
      <c r="E13910" s="6" t="s">
        <v>52</v>
      </c>
      <c r="F13910" s="6" t="s">
        <v>443</v>
      </c>
      <c r="G13910" s="6" t="s">
        <v>2851</v>
      </c>
      <c r="H13910" s="6" t="s">
        <v>3030</v>
      </c>
      <c r="I13910" s="6" t="s">
        <v>31</v>
      </c>
      <c r="J13910" s="6">
        <v>16.854966199124998</v>
      </c>
      <c r="K13910" s="6">
        <v>-96.815377686865006</v>
      </c>
      <c r="L13910" s="6" t="str">
        <f>HYPERLINK("https://maps.google.com/?q=16.8549661991246,-96.815377686864693", "🔗 Ver Mapa")</f>
        <v>🔗 Ver Mapa</v>
      </c>
    </row>
    <row r="13911" spans="1:12" ht="43.5" x14ac:dyDescent="0.35">
      <c r="A13911" s="5" t="s">
        <v>98</v>
      </c>
      <c r="B13911" s="5" t="s">
        <v>99</v>
      </c>
      <c r="C13911" s="5" t="s">
        <v>3029</v>
      </c>
      <c r="D13911" s="5" t="s">
        <v>14</v>
      </c>
      <c r="E13911" s="5" t="s">
        <v>52</v>
      </c>
      <c r="F13911" s="5" t="s">
        <v>443</v>
      </c>
      <c r="G13911" s="5" t="s">
        <v>2851</v>
      </c>
      <c r="H13911" s="5" t="s">
        <v>3030</v>
      </c>
      <c r="I13911" s="5" t="s">
        <v>31</v>
      </c>
      <c r="J13911" s="5">
        <v>16.855596979674001</v>
      </c>
      <c r="K13911" s="5">
        <v>-96.814819543664996</v>
      </c>
      <c r="L13911" s="5" t="str">
        <f>HYPERLINK("https://maps.google.com/?q=16.855596979674,-96.814819543664697", "🔗 Ver Mapa")</f>
        <v>🔗 Ver Mapa</v>
      </c>
    </row>
    <row r="13912" spans="1:12" ht="43.5" x14ac:dyDescent="0.35">
      <c r="A13912" s="6" t="s">
        <v>98</v>
      </c>
      <c r="B13912" s="6" t="s">
        <v>99</v>
      </c>
      <c r="C13912" s="6" t="s">
        <v>3029</v>
      </c>
      <c r="D13912" s="6" t="s">
        <v>14</v>
      </c>
      <c r="E13912" s="6" t="s">
        <v>52</v>
      </c>
      <c r="F13912" s="6" t="s">
        <v>443</v>
      </c>
      <c r="G13912" s="6" t="s">
        <v>2851</v>
      </c>
      <c r="H13912" s="6" t="s">
        <v>3030</v>
      </c>
      <c r="I13912" s="6" t="s">
        <v>31</v>
      </c>
      <c r="J13912" s="6">
        <v>16.855739219265999</v>
      </c>
      <c r="K13912" s="6">
        <v>-96.814738074418003</v>
      </c>
      <c r="L13912" s="6" t="str">
        <f>HYPERLINK("https://maps.google.com/?q=16.8557392192663,-96.814738074418003", "🔗 Ver Mapa")</f>
        <v>🔗 Ver Mapa</v>
      </c>
    </row>
    <row r="13913" spans="1:12" ht="43.5" x14ac:dyDescent="0.35">
      <c r="A13913" s="5" t="s">
        <v>98</v>
      </c>
      <c r="B13913" s="5" t="s">
        <v>99</v>
      </c>
      <c r="C13913" s="5" t="s">
        <v>3029</v>
      </c>
      <c r="D13913" s="5" t="s">
        <v>14</v>
      </c>
      <c r="E13913" s="5" t="s">
        <v>52</v>
      </c>
      <c r="F13913" s="5" t="s">
        <v>443</v>
      </c>
      <c r="G13913" s="5" t="s">
        <v>2851</v>
      </c>
      <c r="H13913" s="5" t="s">
        <v>3030</v>
      </c>
      <c r="I13913" s="5" t="s">
        <v>31</v>
      </c>
      <c r="J13913" s="5">
        <v>16.855761438693001</v>
      </c>
      <c r="K13913" s="5">
        <v>-96.814653394969994</v>
      </c>
      <c r="L13913" s="5" t="str">
        <f>HYPERLINK("https://maps.google.com/?q=16.8557614386935,-96.814653394970307", "🔗 Ver Mapa")</f>
        <v>🔗 Ver Mapa</v>
      </c>
    </row>
    <row r="13914" spans="1:12" ht="43.5" x14ac:dyDescent="0.35">
      <c r="A13914" s="6" t="s">
        <v>98</v>
      </c>
      <c r="B13914" s="6" t="s">
        <v>99</v>
      </c>
      <c r="C13914" s="6" t="s">
        <v>3029</v>
      </c>
      <c r="D13914" s="6" t="s">
        <v>14</v>
      </c>
      <c r="E13914" s="6" t="s">
        <v>52</v>
      </c>
      <c r="F13914" s="6" t="s">
        <v>443</v>
      </c>
      <c r="G13914" s="6" t="s">
        <v>2851</v>
      </c>
      <c r="H13914" s="6" t="s">
        <v>3030</v>
      </c>
      <c r="I13914" s="6" t="s">
        <v>31</v>
      </c>
      <c r="J13914" s="6">
        <v>16.855939143566999</v>
      </c>
      <c r="K13914" s="6">
        <v>-96.814488499619998</v>
      </c>
      <c r="L13914" s="6" t="str">
        <f>HYPERLINK("https://maps.google.com/?q=16.8559391435667,-96.814488499619799", "🔗 Ver Mapa")</f>
        <v>🔗 Ver Mapa</v>
      </c>
    </row>
    <row r="13915" spans="1:12" ht="43.5" x14ac:dyDescent="0.35">
      <c r="A13915" s="5" t="s">
        <v>98</v>
      </c>
      <c r="B13915" s="5" t="s">
        <v>99</v>
      </c>
      <c r="C13915" s="5" t="s">
        <v>3029</v>
      </c>
      <c r="D13915" s="5" t="s">
        <v>14</v>
      </c>
      <c r="E13915" s="5" t="s">
        <v>52</v>
      </c>
      <c r="F13915" s="5" t="s">
        <v>443</v>
      </c>
      <c r="G13915" s="5" t="s">
        <v>2851</v>
      </c>
      <c r="H13915" s="5" t="s">
        <v>3030</v>
      </c>
      <c r="I13915" s="5" t="s">
        <v>31</v>
      </c>
      <c r="J13915" s="5">
        <v>16.856137930247002</v>
      </c>
      <c r="K13915" s="5">
        <v>-96.813754068972003</v>
      </c>
      <c r="L13915" s="5" t="str">
        <f>HYPERLINK("https://maps.google.com/?q=16.8561379302465,-96.813754068972102", "🔗 Ver Mapa")</f>
        <v>🔗 Ver Mapa</v>
      </c>
    </row>
    <row r="13916" spans="1:12" ht="43.5" x14ac:dyDescent="0.35">
      <c r="A13916" s="6" t="s">
        <v>98</v>
      </c>
      <c r="B13916" s="6" t="s">
        <v>99</v>
      </c>
      <c r="C13916" s="6" t="s">
        <v>3029</v>
      </c>
      <c r="D13916" s="6" t="s">
        <v>14</v>
      </c>
      <c r="E13916" s="6" t="s">
        <v>52</v>
      </c>
      <c r="F13916" s="6" t="s">
        <v>443</v>
      </c>
      <c r="G13916" s="6" t="s">
        <v>2851</v>
      </c>
      <c r="H13916" s="6" t="s">
        <v>3030</v>
      </c>
      <c r="I13916" s="6" t="s">
        <v>31</v>
      </c>
      <c r="J13916" s="6">
        <v>16.856178691206999</v>
      </c>
      <c r="K13916" s="6">
        <v>-96.812365999999997</v>
      </c>
      <c r="L13916" s="6" t="str">
        <f>HYPERLINK("https://maps.google.com/?q=16.8561786912072,-96.812365999999997", "🔗 Ver Mapa")</f>
        <v>🔗 Ver Mapa</v>
      </c>
    </row>
    <row r="13917" spans="1:12" ht="43.5" x14ac:dyDescent="0.35">
      <c r="A13917" s="5" t="s">
        <v>98</v>
      </c>
      <c r="B13917" s="5" t="s">
        <v>99</v>
      </c>
      <c r="C13917" s="5" t="s">
        <v>3029</v>
      </c>
      <c r="D13917" s="5" t="s">
        <v>14</v>
      </c>
      <c r="E13917" s="5" t="s">
        <v>52</v>
      </c>
      <c r="F13917" s="5" t="s">
        <v>443</v>
      </c>
      <c r="G13917" s="5" t="s">
        <v>2851</v>
      </c>
      <c r="H13917" s="5" t="s">
        <v>3030</v>
      </c>
      <c r="I13917" s="5" t="s">
        <v>31</v>
      </c>
      <c r="J13917" s="5">
        <v>16.856205954943999</v>
      </c>
      <c r="K13917" s="5">
        <v>-96.812958793999002</v>
      </c>
      <c r="L13917" s="5" t="str">
        <f>HYPERLINK("https://maps.google.com/?q=16.8562059549439,-96.812958793999499", "🔗 Ver Mapa")</f>
        <v>🔗 Ver Mapa</v>
      </c>
    </row>
    <row r="13918" spans="1:12" ht="43.5" x14ac:dyDescent="0.35">
      <c r="A13918" s="6" t="s">
        <v>98</v>
      </c>
      <c r="B13918" s="6" t="s">
        <v>99</v>
      </c>
      <c r="C13918" s="6" t="s">
        <v>3029</v>
      </c>
      <c r="D13918" s="6" t="s">
        <v>14</v>
      </c>
      <c r="E13918" s="6" t="s">
        <v>52</v>
      </c>
      <c r="F13918" s="6" t="s">
        <v>443</v>
      </c>
      <c r="G13918" s="6" t="s">
        <v>2851</v>
      </c>
      <c r="H13918" s="6" t="s">
        <v>3030</v>
      </c>
      <c r="I13918" s="6" t="s">
        <v>31</v>
      </c>
      <c r="J13918" s="6">
        <v>16.856271009612001</v>
      </c>
      <c r="K13918" s="6">
        <v>-96.813602541597007</v>
      </c>
      <c r="L13918" s="6" t="str">
        <f>HYPERLINK("https://maps.google.com/?q=16.8562710096125,-96.813602541597305", "🔗 Ver Mapa")</f>
        <v>🔗 Ver Mapa</v>
      </c>
    </row>
    <row r="13919" spans="1:12" ht="43.5" x14ac:dyDescent="0.35">
      <c r="A13919" s="5" t="s">
        <v>98</v>
      </c>
      <c r="B13919" s="5" t="s">
        <v>99</v>
      </c>
      <c r="C13919" s="5" t="s">
        <v>3029</v>
      </c>
      <c r="D13919" s="5" t="s">
        <v>14</v>
      </c>
      <c r="E13919" s="5" t="s">
        <v>52</v>
      </c>
      <c r="F13919" s="5" t="s">
        <v>443</v>
      </c>
      <c r="G13919" s="5" t="s">
        <v>2851</v>
      </c>
      <c r="H13919" s="5" t="s">
        <v>3030</v>
      </c>
      <c r="I13919" s="5" t="s">
        <v>31</v>
      </c>
      <c r="J13919" s="5">
        <v>16.857140481775001</v>
      </c>
      <c r="K13919" s="5">
        <v>-96.814781535088997</v>
      </c>
      <c r="L13919" s="5" t="str">
        <f>HYPERLINK("https://maps.google.com/?q=16.8571404817746,-96.814781535089097", "🔗 Ver Mapa")</f>
        <v>🔗 Ver Mapa</v>
      </c>
    </row>
    <row r="13920" spans="1:12" ht="43.5" x14ac:dyDescent="0.35">
      <c r="A13920" s="6" t="s">
        <v>98</v>
      </c>
      <c r="B13920" s="6" t="s">
        <v>99</v>
      </c>
      <c r="C13920" s="6" t="s">
        <v>3029</v>
      </c>
      <c r="D13920" s="6" t="s">
        <v>14</v>
      </c>
      <c r="E13920" s="6" t="s">
        <v>52</v>
      </c>
      <c r="F13920" s="6" t="s">
        <v>443</v>
      </c>
      <c r="G13920" s="6" t="s">
        <v>2851</v>
      </c>
      <c r="H13920" s="6" t="s">
        <v>3030</v>
      </c>
      <c r="I13920" s="6" t="s">
        <v>31</v>
      </c>
      <c r="J13920" s="6">
        <v>16.857181027888998</v>
      </c>
      <c r="K13920" s="6">
        <v>-96.814948541223004</v>
      </c>
      <c r="L13920" s="6" t="str">
        <f>HYPERLINK("https://maps.google.com/?q=16.8571810278894,-96.814948541223302", "🔗 Ver Mapa")</f>
        <v>🔗 Ver Mapa</v>
      </c>
    </row>
    <row r="13921" spans="1:12" ht="43.5" x14ac:dyDescent="0.35">
      <c r="A13921" s="5" t="s">
        <v>98</v>
      </c>
      <c r="B13921" s="5" t="s">
        <v>99</v>
      </c>
      <c r="C13921" s="5" t="s">
        <v>3029</v>
      </c>
      <c r="D13921" s="5" t="s">
        <v>14</v>
      </c>
      <c r="E13921" s="5" t="s">
        <v>52</v>
      </c>
      <c r="F13921" s="5" t="s">
        <v>443</v>
      </c>
      <c r="G13921" s="5" t="s">
        <v>2851</v>
      </c>
      <c r="H13921" s="5" t="s">
        <v>3030</v>
      </c>
      <c r="I13921" s="5" t="s">
        <v>31</v>
      </c>
      <c r="J13921" s="5">
        <v>16.857559745903998</v>
      </c>
      <c r="K13921" s="5">
        <v>-96.814925701044999</v>
      </c>
      <c r="L13921" s="5" t="str">
        <f>HYPERLINK("https://maps.google.com/?q=16.8575597459038,-96.814925701045098", "🔗 Ver Mapa")</f>
        <v>🔗 Ver Mapa</v>
      </c>
    </row>
    <row r="13922" spans="1:12" ht="43.5" x14ac:dyDescent="0.35">
      <c r="A13922" s="6" t="s">
        <v>98</v>
      </c>
      <c r="B13922" s="6" t="s">
        <v>99</v>
      </c>
      <c r="C13922" s="6" t="s">
        <v>3029</v>
      </c>
      <c r="D13922" s="6" t="s">
        <v>14</v>
      </c>
      <c r="E13922" s="6" t="s">
        <v>52</v>
      </c>
      <c r="F13922" s="6" t="s">
        <v>443</v>
      </c>
      <c r="G13922" s="6" t="s">
        <v>2851</v>
      </c>
      <c r="H13922" s="6" t="s">
        <v>3030</v>
      </c>
      <c r="I13922" s="6" t="s">
        <v>31</v>
      </c>
      <c r="J13922" s="6">
        <v>16.857882105163998</v>
      </c>
      <c r="K13922" s="6">
        <v>-96.814403396329993</v>
      </c>
      <c r="L13922" s="6" t="str">
        <f>HYPERLINK("https://maps.google.com/?q=16.8578821051642,-96.814403396329894", "🔗 Ver Mapa")</f>
        <v>🔗 Ver Mapa</v>
      </c>
    </row>
    <row r="13923" spans="1:12" ht="43.5" x14ac:dyDescent="0.35">
      <c r="A13923" s="5" t="s">
        <v>98</v>
      </c>
      <c r="B13923" s="5" t="s">
        <v>99</v>
      </c>
      <c r="C13923" s="5" t="s">
        <v>3029</v>
      </c>
      <c r="D13923" s="5" t="s">
        <v>14</v>
      </c>
      <c r="E13923" s="5" t="s">
        <v>52</v>
      </c>
      <c r="F13923" s="5" t="s">
        <v>443</v>
      </c>
      <c r="G13923" s="5" t="s">
        <v>2851</v>
      </c>
      <c r="H13923" s="5" t="s">
        <v>3030</v>
      </c>
      <c r="I13923" s="5" t="s">
        <v>31</v>
      </c>
      <c r="J13923" s="5">
        <v>16.858629096228999</v>
      </c>
      <c r="K13923" s="5">
        <v>-96.812558341105003</v>
      </c>
      <c r="L13923" s="5" t="str">
        <f>HYPERLINK("https://maps.google.com/?q=16.8586290962291,-96.812558341104506", "🔗 Ver Mapa")</f>
        <v>🔗 Ver Mapa</v>
      </c>
    </row>
    <row r="13924" spans="1:12" ht="43.5" x14ac:dyDescent="0.35">
      <c r="A13924" s="6" t="s">
        <v>98</v>
      </c>
      <c r="B13924" s="6" t="s">
        <v>99</v>
      </c>
      <c r="C13924" s="6" t="s">
        <v>3029</v>
      </c>
      <c r="D13924" s="6" t="s">
        <v>14</v>
      </c>
      <c r="E13924" s="6" t="s">
        <v>52</v>
      </c>
      <c r="F13924" s="6" t="s">
        <v>443</v>
      </c>
      <c r="G13924" s="6" t="s">
        <v>2851</v>
      </c>
      <c r="H13924" s="6" t="s">
        <v>3030</v>
      </c>
      <c r="I13924" s="6" t="s">
        <v>31</v>
      </c>
      <c r="J13924" s="6">
        <v>16.858633158427001</v>
      </c>
      <c r="K13924" s="6">
        <v>-96.815608950628999</v>
      </c>
      <c r="L13924" s="6" t="str">
        <f>HYPERLINK("https://maps.google.com/?q=16.8586331584271,-96.815608950628999", "🔗 Ver Mapa")</f>
        <v>🔗 Ver Mapa</v>
      </c>
    </row>
    <row r="13925" spans="1:12" ht="58" x14ac:dyDescent="0.35">
      <c r="A13925" s="5" t="s">
        <v>73</v>
      </c>
      <c r="B13925" s="5" t="s">
        <v>74</v>
      </c>
      <c r="C13925" s="5" t="s">
        <v>3031</v>
      </c>
      <c r="D13925" s="5" t="s">
        <v>76</v>
      </c>
      <c r="E13925" s="5" t="s">
        <v>140</v>
      </c>
      <c r="F13925" s="5" t="s">
        <v>624</v>
      </c>
      <c r="G13925" s="5" t="s">
        <v>849</v>
      </c>
      <c r="H13925" s="5" t="s">
        <v>3032</v>
      </c>
      <c r="I13925" s="5" t="s">
        <v>31</v>
      </c>
      <c r="J13925" s="5">
        <v>17.580503149426999</v>
      </c>
      <c r="K13925" s="5">
        <v>-95.774710916328999</v>
      </c>
      <c r="L13925" s="5" t="str">
        <f>HYPERLINK("https://maps.google.com/?q=17.580503149426548,-95.77471091632928", "🔗 Ver Mapa")</f>
        <v>🔗 Ver Mapa</v>
      </c>
    </row>
    <row r="13926" spans="1:12" ht="43.5" x14ac:dyDescent="0.35">
      <c r="A13926" s="6" t="s">
        <v>73</v>
      </c>
      <c r="B13926" s="6" t="s">
        <v>74</v>
      </c>
      <c r="C13926" s="6" t="s">
        <v>3033</v>
      </c>
      <c r="D13926" s="6" t="s">
        <v>76</v>
      </c>
      <c r="E13926" s="6" t="s">
        <v>90</v>
      </c>
      <c r="F13926" s="6" t="s">
        <v>678</v>
      </c>
      <c r="G13926" s="6" t="s">
        <v>1104</v>
      </c>
      <c r="H13926" s="6" t="s">
        <v>1111</v>
      </c>
      <c r="I13926" s="6" t="s">
        <v>31</v>
      </c>
      <c r="J13926" s="6">
        <v>17.557540647524</v>
      </c>
      <c r="K13926" s="6">
        <v>-96.223774612670994</v>
      </c>
      <c r="L13926" s="6" t="str">
        <f>HYPERLINK("https://maps.google.com/?q=17.55754064752406,-96.22377461267139", "🔗 Ver Mapa")</f>
        <v>🔗 Ver Mapa</v>
      </c>
    </row>
    <row r="13927" spans="1:12" ht="72.5" x14ac:dyDescent="0.35">
      <c r="A13927" s="5" t="s">
        <v>73</v>
      </c>
      <c r="B13927" s="5" t="s">
        <v>74</v>
      </c>
      <c r="C13927" s="5" t="s">
        <v>3034</v>
      </c>
      <c r="D13927" s="5" t="s">
        <v>76</v>
      </c>
      <c r="E13927" s="5" t="s">
        <v>16</v>
      </c>
      <c r="F13927" s="5" t="s">
        <v>409</v>
      </c>
      <c r="G13927" s="5" t="s">
        <v>2327</v>
      </c>
      <c r="H13927" s="5" t="s">
        <v>3035</v>
      </c>
      <c r="I13927" s="5" t="s">
        <v>31</v>
      </c>
      <c r="J13927" s="5">
        <v>17.842158932217998</v>
      </c>
      <c r="K13927" s="5">
        <v>-97.427174738233006</v>
      </c>
      <c r="L13927" s="5" t="str">
        <f>HYPERLINK("https://maps.google.com/?q=17.842158932217732,-97.42717473823349", "🔗 Ver Mapa")</f>
        <v>🔗 Ver Mapa</v>
      </c>
    </row>
    <row r="13928" spans="1:12" ht="58" x14ac:dyDescent="0.35">
      <c r="A13928" s="6" t="s">
        <v>73</v>
      </c>
      <c r="B13928" s="6" t="s">
        <v>74</v>
      </c>
      <c r="C13928" s="6" t="s">
        <v>3036</v>
      </c>
      <c r="D13928" s="6" t="s">
        <v>76</v>
      </c>
      <c r="E13928" s="6" t="s">
        <v>52</v>
      </c>
      <c r="F13928" s="6" t="s">
        <v>53</v>
      </c>
      <c r="G13928" s="6" t="s">
        <v>491</v>
      </c>
      <c r="H13928" s="6" t="s">
        <v>3037</v>
      </c>
      <c r="I13928" s="6" t="s">
        <v>31</v>
      </c>
      <c r="J13928" s="6">
        <v>16.812705117166001</v>
      </c>
      <c r="K13928" s="6">
        <v>-96.479839642735001</v>
      </c>
      <c r="L13928" s="6" t="str">
        <f>HYPERLINK("https://maps.google.com/?q=16.81270511716631,-96.47983964273536", "🔗 Ver Mapa")</f>
        <v>🔗 Ver Mapa</v>
      </c>
    </row>
    <row r="13929" spans="1:12" ht="58" x14ac:dyDescent="0.35">
      <c r="A13929" s="5" t="s">
        <v>73</v>
      </c>
      <c r="B13929" s="5" t="s">
        <v>74</v>
      </c>
      <c r="C13929" s="5" t="s">
        <v>3038</v>
      </c>
      <c r="D13929" s="5" t="s">
        <v>76</v>
      </c>
      <c r="E13929" s="5" t="s">
        <v>16</v>
      </c>
      <c r="F13929" s="5" t="s">
        <v>195</v>
      </c>
      <c r="G13929" s="5" t="s">
        <v>2228</v>
      </c>
      <c r="H13929" s="5" t="s">
        <v>3039</v>
      </c>
      <c r="I13929" s="5" t="s">
        <v>31</v>
      </c>
      <c r="J13929" s="5">
        <v>17.487049561184001</v>
      </c>
      <c r="K13929" s="5">
        <v>-98.270800993052006</v>
      </c>
      <c r="L13929" s="5" t="str">
        <f>HYPERLINK("https://maps.google.com/?q=17.487049561184236,-98.27080099305155", "🔗 Ver Mapa")</f>
        <v>🔗 Ver Mapa</v>
      </c>
    </row>
    <row r="13930" spans="1:12" ht="43.5" x14ac:dyDescent="0.35">
      <c r="A13930" s="6" t="s">
        <v>73</v>
      </c>
      <c r="B13930" s="6" t="s">
        <v>74</v>
      </c>
      <c r="C13930" s="6" t="s">
        <v>3040</v>
      </c>
      <c r="D13930" s="6" t="s">
        <v>76</v>
      </c>
      <c r="E13930" s="6" t="s">
        <v>90</v>
      </c>
      <c r="F13930" s="6" t="s">
        <v>119</v>
      </c>
      <c r="G13930" s="6" t="s">
        <v>1037</v>
      </c>
      <c r="H13930" s="6" t="s">
        <v>3041</v>
      </c>
      <c r="I13930" s="6" t="s">
        <v>31</v>
      </c>
      <c r="J13930" s="6">
        <v>17.370015084098998</v>
      </c>
      <c r="K13930" s="6">
        <v>-96.337432083623995</v>
      </c>
      <c r="L13930" s="6" t="str">
        <f>HYPERLINK("https://maps.google.com/?q=17.370015084098785,-96.33743208362402", "🔗 Ver Mapa")</f>
        <v>🔗 Ver Mapa</v>
      </c>
    </row>
    <row r="13931" spans="1:12" ht="43.5" x14ac:dyDescent="0.35">
      <c r="A13931" s="5" t="s">
        <v>73</v>
      </c>
      <c r="B13931" s="5" t="s">
        <v>74</v>
      </c>
      <c r="C13931" s="5" t="s">
        <v>3042</v>
      </c>
      <c r="D13931" s="5" t="s">
        <v>76</v>
      </c>
      <c r="E13931" s="5" t="s">
        <v>52</v>
      </c>
      <c r="F13931" s="5" t="s">
        <v>53</v>
      </c>
      <c r="G13931" s="5" t="s">
        <v>374</v>
      </c>
      <c r="H13931" s="5" t="s">
        <v>375</v>
      </c>
      <c r="I13931" s="5" t="s">
        <v>31</v>
      </c>
      <c r="J13931" s="5">
        <v>16.937077614985999</v>
      </c>
      <c r="K13931" s="5">
        <v>-96.611917718507996</v>
      </c>
      <c r="L13931" s="5" t="str">
        <f>HYPERLINK("https://maps.google.com/?q=16.93707761498611,-96.61191771850822", "🔗 Ver Mapa")</f>
        <v>🔗 Ver Mapa</v>
      </c>
    </row>
    <row r="13932" spans="1:12" ht="72.5" x14ac:dyDescent="0.35">
      <c r="A13932" s="6" t="s">
        <v>73</v>
      </c>
      <c r="B13932" s="6" t="s">
        <v>74</v>
      </c>
      <c r="C13932" s="6" t="s">
        <v>3043</v>
      </c>
      <c r="D13932" s="6" t="s">
        <v>76</v>
      </c>
      <c r="E13932" s="6" t="s">
        <v>16</v>
      </c>
      <c r="F13932" s="6" t="s">
        <v>145</v>
      </c>
      <c r="G13932" s="6" t="s">
        <v>1863</v>
      </c>
      <c r="H13932" s="6" t="s">
        <v>3044</v>
      </c>
      <c r="I13932" s="6" t="s">
        <v>31</v>
      </c>
      <c r="J13932" s="6">
        <v>17.6068</v>
      </c>
      <c r="K13932" s="6">
        <v>-97.893119999999996</v>
      </c>
      <c r="L13932" s="6" t="str">
        <f>HYPERLINK("https://maps.google.com/?q=17.6068,-97.893120", "🔗 Ver Mapa")</f>
        <v>🔗 Ver Mapa</v>
      </c>
    </row>
    <row r="13933" spans="1:12" ht="43.5" x14ac:dyDescent="0.35">
      <c r="A13933" s="5" t="s">
        <v>73</v>
      </c>
      <c r="B13933" s="5" t="s">
        <v>74</v>
      </c>
      <c r="C13933" s="5" t="s">
        <v>3045</v>
      </c>
      <c r="D13933" s="5" t="s">
        <v>76</v>
      </c>
      <c r="E13933" s="5" t="s">
        <v>110</v>
      </c>
      <c r="F13933" s="5" t="s">
        <v>126</v>
      </c>
      <c r="G13933" s="5" t="s">
        <v>609</v>
      </c>
      <c r="H13933" s="5" t="s">
        <v>1204</v>
      </c>
      <c r="I13933" s="5" t="s">
        <v>31</v>
      </c>
      <c r="J13933" s="5">
        <v>18.034621481948999</v>
      </c>
      <c r="K13933" s="5">
        <v>-96.548880471543001</v>
      </c>
      <c r="L13933" s="5" t="str">
        <f>HYPERLINK("https://maps.google.com/?q=18.03462148194912,-96.54888047154282", "🔗 Ver Mapa")</f>
        <v>🔗 Ver Mapa</v>
      </c>
    </row>
    <row r="13934" spans="1:12" ht="58" x14ac:dyDescent="0.35">
      <c r="A13934" s="6" t="s">
        <v>73</v>
      </c>
      <c r="B13934" s="6" t="s">
        <v>74</v>
      </c>
      <c r="C13934" s="6" t="s">
        <v>3046</v>
      </c>
      <c r="D13934" s="6" t="s">
        <v>76</v>
      </c>
      <c r="E13934" s="6" t="s">
        <v>17</v>
      </c>
      <c r="F13934" s="6" t="s">
        <v>59</v>
      </c>
      <c r="G13934" s="6" t="s">
        <v>1296</v>
      </c>
      <c r="H13934" s="6" t="s">
        <v>3047</v>
      </c>
      <c r="I13934" s="6" t="s">
        <v>31</v>
      </c>
      <c r="J13934" s="6">
        <v>16.326085959852001</v>
      </c>
      <c r="K13934" s="6">
        <v>-97.768151698352</v>
      </c>
      <c r="L13934" s="6" t="str">
        <f>HYPERLINK("https://maps.google.com/?q=16.326085959851525,-97.76815169835186", "🔗 Ver Mapa")</f>
        <v>🔗 Ver Mapa</v>
      </c>
    </row>
    <row r="13935" spans="1:12" ht="43.5" x14ac:dyDescent="0.35">
      <c r="A13935" s="5" t="s">
        <v>73</v>
      </c>
      <c r="B13935" s="5" t="s">
        <v>74</v>
      </c>
      <c r="C13935" s="5" t="s">
        <v>3048</v>
      </c>
      <c r="D13935" s="5" t="s">
        <v>76</v>
      </c>
      <c r="E13935" s="5" t="s">
        <v>16</v>
      </c>
      <c r="F13935" s="5" t="s">
        <v>19</v>
      </c>
      <c r="G13935" s="5" t="s">
        <v>479</v>
      </c>
      <c r="H13935" s="5" t="s">
        <v>482</v>
      </c>
      <c r="I13935" s="5" t="s">
        <v>31</v>
      </c>
      <c r="J13935" s="5">
        <v>16.967891912367001</v>
      </c>
      <c r="K13935" s="5">
        <v>-97.224626295652001</v>
      </c>
      <c r="L13935" s="5" t="str">
        <f>HYPERLINK("https://maps.google.com/?q=16.96789191236718,-97.2246262956517", "🔗 Ver Mapa")</f>
        <v>🔗 Ver Mapa</v>
      </c>
    </row>
    <row r="13936" spans="1:12" ht="58" x14ac:dyDescent="0.35">
      <c r="A13936" s="6" t="s">
        <v>73</v>
      </c>
      <c r="B13936" s="6" t="s">
        <v>74</v>
      </c>
      <c r="C13936" s="6" t="s">
        <v>3049</v>
      </c>
      <c r="D13936" s="6" t="s">
        <v>76</v>
      </c>
      <c r="E13936" s="6" t="s">
        <v>52</v>
      </c>
      <c r="F13936" s="6" t="s">
        <v>228</v>
      </c>
      <c r="G13936" s="6" t="s">
        <v>1287</v>
      </c>
      <c r="H13936" s="6" t="s">
        <v>1288</v>
      </c>
      <c r="I13936" s="6" t="s">
        <v>31</v>
      </c>
      <c r="J13936" s="6">
        <v>16.884431088690999</v>
      </c>
      <c r="K13936" s="6">
        <v>-96.614224882735002</v>
      </c>
      <c r="L13936" s="6" t="str">
        <f>HYPERLINK("https://maps.google.com/?q=16.88443108869106,-96.6142248827352", "🔗 Ver Mapa")</f>
        <v>🔗 Ver Mapa</v>
      </c>
    </row>
    <row r="13937" spans="1:12" ht="43.5" x14ac:dyDescent="0.35">
      <c r="A13937" s="5" t="s">
        <v>782</v>
      </c>
      <c r="B13937" s="5" t="s">
        <v>783</v>
      </c>
      <c r="C13937" s="5" t="s">
        <v>3050</v>
      </c>
      <c r="D13937" s="5" t="s">
        <v>785</v>
      </c>
      <c r="E13937" s="5" t="s">
        <v>52</v>
      </c>
      <c r="F13937" s="5" t="s">
        <v>53</v>
      </c>
      <c r="G13937" s="5" t="s">
        <v>1856</v>
      </c>
      <c r="H13937" s="5" t="s">
        <v>1857</v>
      </c>
      <c r="I13937" s="5" t="s">
        <v>31</v>
      </c>
      <c r="J13937" s="5">
        <v>17.008567959326999</v>
      </c>
      <c r="K13937" s="5">
        <v>-96.580897039207002</v>
      </c>
      <c r="L13937" s="5" t="str">
        <f>HYPERLINK("https://maps.google.com/?q=17.00856795932737,-96.58089703920743", "🔗 Ver Mapa")</f>
        <v>🔗 Ver Mapa</v>
      </c>
    </row>
    <row r="13938" spans="1:12" ht="58" x14ac:dyDescent="0.35">
      <c r="A13938" s="6" t="s">
        <v>73</v>
      </c>
      <c r="B13938" s="6" t="s">
        <v>74</v>
      </c>
      <c r="C13938" s="6" t="s">
        <v>3051</v>
      </c>
      <c r="D13938" s="6" t="s">
        <v>76</v>
      </c>
      <c r="E13938" s="6" t="s">
        <v>16</v>
      </c>
      <c r="F13938" s="6" t="s">
        <v>145</v>
      </c>
      <c r="G13938" s="6" t="s">
        <v>1863</v>
      </c>
      <c r="H13938" s="6" t="s">
        <v>2770</v>
      </c>
      <c r="I13938" s="6" t="s">
        <v>31</v>
      </c>
      <c r="J13938" s="6">
        <v>17.586930926762999</v>
      </c>
      <c r="K13938" s="6">
        <v>-97.890343291091995</v>
      </c>
      <c r="L13938" s="6" t="str">
        <f>HYPERLINK("https://maps.google.com/?q=17.58693092676259,-97.89034329109164", "🔗 Ver Mapa")</f>
        <v>🔗 Ver Mapa</v>
      </c>
    </row>
    <row r="13939" spans="1:12" ht="58" x14ac:dyDescent="0.35">
      <c r="A13939" s="5" t="s">
        <v>73</v>
      </c>
      <c r="B13939" s="5" t="s">
        <v>74</v>
      </c>
      <c r="C13939" s="5" t="s">
        <v>3052</v>
      </c>
      <c r="D13939" s="5" t="s">
        <v>76</v>
      </c>
      <c r="E13939" s="5" t="s">
        <v>16</v>
      </c>
      <c r="F13939" s="5" t="s">
        <v>195</v>
      </c>
      <c r="G13939" s="5" t="s">
        <v>842</v>
      </c>
      <c r="H13939" s="5" t="s">
        <v>843</v>
      </c>
      <c r="I13939" s="5" t="s">
        <v>31</v>
      </c>
      <c r="J13939" s="5">
        <v>17.675253785016999</v>
      </c>
      <c r="K13939" s="5">
        <v>-98.220132273993997</v>
      </c>
      <c r="L13939" s="5" t="str">
        <f>HYPERLINK("https://maps.google.com/?q=17.675253785016647,-98.22013227399431", "🔗 Ver Mapa")</f>
        <v>🔗 Ver Mapa</v>
      </c>
    </row>
    <row r="13940" spans="1:12" ht="43.5" x14ac:dyDescent="0.35">
      <c r="A13940" s="6" t="s">
        <v>73</v>
      </c>
      <c r="B13940" s="6" t="s">
        <v>74</v>
      </c>
      <c r="C13940" s="6" t="s">
        <v>3053</v>
      </c>
      <c r="D13940" s="6" t="s">
        <v>76</v>
      </c>
      <c r="E13940" s="6" t="s">
        <v>52</v>
      </c>
      <c r="F13940" s="6" t="s">
        <v>228</v>
      </c>
      <c r="G13940" s="6" t="s">
        <v>1287</v>
      </c>
      <c r="H13940" s="6" t="s">
        <v>3054</v>
      </c>
      <c r="I13940" s="6" t="s">
        <v>31</v>
      </c>
      <c r="J13940" s="6">
        <v>16.878425562766999</v>
      </c>
      <c r="K13940" s="6">
        <v>-96.636169879210996</v>
      </c>
      <c r="L13940" s="6" t="str">
        <f>HYPERLINK("https://maps.google.com/?q=16.878425562767205,-96.63616987921083", "🔗 Ver Mapa")</f>
        <v>🔗 Ver Mapa</v>
      </c>
    </row>
    <row r="13941" spans="1:12" ht="43.5" x14ac:dyDescent="0.35">
      <c r="A13941" s="5" t="s">
        <v>73</v>
      </c>
      <c r="B13941" s="5" t="s">
        <v>74</v>
      </c>
      <c r="C13941" s="5" t="s">
        <v>3055</v>
      </c>
      <c r="D13941" s="5" t="s">
        <v>76</v>
      </c>
      <c r="E13941" s="5" t="s">
        <v>52</v>
      </c>
      <c r="F13941" s="5" t="s">
        <v>228</v>
      </c>
      <c r="G13941" s="5" t="s">
        <v>1287</v>
      </c>
      <c r="H13941" s="5" t="s">
        <v>3054</v>
      </c>
      <c r="I13941" s="5" t="s">
        <v>31</v>
      </c>
      <c r="J13941" s="5">
        <v>16.879751684683001</v>
      </c>
      <c r="K13941" s="5">
        <v>-96.636701090070005</v>
      </c>
      <c r="L13941" s="5" t="str">
        <f>HYPERLINK("https://maps.google.com/?q=16.879751684682688,-96.63670109007005", "🔗 Ver Mapa")</f>
        <v>🔗 Ver Mapa</v>
      </c>
    </row>
    <row r="13942" spans="1:12" ht="72.5" x14ac:dyDescent="0.35">
      <c r="A13942" s="6" t="s">
        <v>674</v>
      </c>
      <c r="B13942" s="6" t="s">
        <v>675</v>
      </c>
      <c r="C13942" s="6" t="s">
        <v>3056</v>
      </c>
      <c r="D13942" s="6" t="s">
        <v>677</v>
      </c>
      <c r="E13942" s="6" t="s">
        <v>39</v>
      </c>
      <c r="F13942" s="6" t="s">
        <v>353</v>
      </c>
      <c r="G13942" s="6" t="s">
        <v>1417</v>
      </c>
      <c r="H13942" s="6" t="s">
        <v>1418</v>
      </c>
      <c r="I13942" s="6" t="s">
        <v>31</v>
      </c>
      <c r="J13942" s="6">
        <v>16.328347000000001</v>
      </c>
      <c r="K13942" s="6">
        <v>-96.619444000000001</v>
      </c>
      <c r="L13942" s="6" t="str">
        <f>HYPERLINK("https://maps.google.com/?q=16.328347,-96.619444", "🔗 Ver Mapa")</f>
        <v>🔗 Ver Mapa</v>
      </c>
    </row>
    <row r="13943" spans="1:12" ht="72.5" x14ac:dyDescent="0.35">
      <c r="A13943" s="5" t="s">
        <v>674</v>
      </c>
      <c r="B13943" s="5" t="s">
        <v>675</v>
      </c>
      <c r="C13943" s="5" t="s">
        <v>3056</v>
      </c>
      <c r="D13943" s="5" t="s">
        <v>677</v>
      </c>
      <c r="E13943" s="5" t="s">
        <v>39</v>
      </c>
      <c r="F13943" s="5" t="s">
        <v>353</v>
      </c>
      <c r="G13943" s="5" t="s">
        <v>1417</v>
      </c>
      <c r="H13943" s="5" t="s">
        <v>1418</v>
      </c>
      <c r="I13943" s="5" t="s">
        <v>31</v>
      </c>
      <c r="J13943" s="5">
        <v>16.330604000000001</v>
      </c>
      <c r="K13943" s="5">
        <v>-96.641261999999998</v>
      </c>
      <c r="L13943" s="5" t="str">
        <f>HYPERLINK("https://maps.google.com/?q=16.330604,-96.641262", "🔗 Ver Mapa")</f>
        <v>🔗 Ver Mapa</v>
      </c>
    </row>
    <row r="13944" spans="1:12" ht="72.5" x14ac:dyDescent="0.35">
      <c r="A13944" s="6" t="s">
        <v>674</v>
      </c>
      <c r="B13944" s="6" t="s">
        <v>675</v>
      </c>
      <c r="C13944" s="6" t="s">
        <v>3056</v>
      </c>
      <c r="D13944" s="6" t="s">
        <v>677</v>
      </c>
      <c r="E13944" s="6" t="s">
        <v>39</v>
      </c>
      <c r="F13944" s="6" t="s">
        <v>353</v>
      </c>
      <c r="G13944" s="6" t="s">
        <v>1417</v>
      </c>
      <c r="H13944" s="6" t="s">
        <v>1418</v>
      </c>
      <c r="I13944" s="6" t="s">
        <v>31</v>
      </c>
      <c r="J13944" s="6">
        <v>16.331773999999999</v>
      </c>
      <c r="K13944" s="6" t="s">
        <v>3057</v>
      </c>
      <c r="L13944" s="6" t="str">
        <f>HYPERLINK("https://maps.google.com/?q=16.331774,-96.660994 ", "🔗 Ver Mapa")</f>
        <v>🔗 Ver Mapa</v>
      </c>
    </row>
    <row r="13945" spans="1:12" ht="58" x14ac:dyDescent="0.35">
      <c r="A13945" s="5" t="s">
        <v>674</v>
      </c>
      <c r="B13945" s="5" t="s">
        <v>675</v>
      </c>
      <c r="C13945" s="5" t="s">
        <v>3058</v>
      </c>
      <c r="D13945" s="5" t="s">
        <v>677</v>
      </c>
      <c r="E13945" s="5" t="s">
        <v>17</v>
      </c>
      <c r="F13945" s="5" t="s">
        <v>46</v>
      </c>
      <c r="G13945" s="5" t="s">
        <v>1281</v>
      </c>
      <c r="H13945" s="5" t="s">
        <v>3059</v>
      </c>
      <c r="I13945" s="5" t="s">
        <v>31</v>
      </c>
      <c r="J13945" s="5">
        <v>16.308377</v>
      </c>
      <c r="K13945" s="5">
        <v>-97.558615000000003</v>
      </c>
      <c r="L13945" s="5" t="str">
        <f>HYPERLINK("https://maps.google.com/?q=16.308377,-97.558615", "🔗 Ver Mapa")</f>
        <v>🔗 Ver Mapa</v>
      </c>
    </row>
    <row r="13946" spans="1:12" ht="58" x14ac:dyDescent="0.35">
      <c r="A13946" s="6" t="s">
        <v>674</v>
      </c>
      <c r="B13946" s="6" t="s">
        <v>675</v>
      </c>
      <c r="C13946" s="6" t="s">
        <v>3058</v>
      </c>
      <c r="D13946" s="6" t="s">
        <v>677</v>
      </c>
      <c r="E13946" s="6" t="s">
        <v>17</v>
      </c>
      <c r="F13946" s="6" t="s">
        <v>46</v>
      </c>
      <c r="G13946" s="6" t="s">
        <v>1281</v>
      </c>
      <c r="H13946" s="6" t="s">
        <v>3059</v>
      </c>
      <c r="I13946" s="6" t="s">
        <v>31</v>
      </c>
      <c r="J13946" s="6">
        <v>16.309608999999998</v>
      </c>
      <c r="K13946" s="6">
        <v>-97.552419999999998</v>
      </c>
      <c r="L13946" s="6" t="str">
        <f>HYPERLINK("https://maps.google.com/?q=16.309609,-97.552420", "🔗 Ver Mapa")</f>
        <v>🔗 Ver Mapa</v>
      </c>
    </row>
    <row r="13947" spans="1:12" ht="58" x14ac:dyDescent="0.35">
      <c r="A13947" s="5" t="s">
        <v>674</v>
      </c>
      <c r="B13947" s="5" t="s">
        <v>675</v>
      </c>
      <c r="C13947" s="5" t="s">
        <v>3058</v>
      </c>
      <c r="D13947" s="5" t="s">
        <v>677</v>
      </c>
      <c r="E13947" s="5" t="s">
        <v>17</v>
      </c>
      <c r="F13947" s="5" t="s">
        <v>46</v>
      </c>
      <c r="G13947" s="5" t="s">
        <v>1281</v>
      </c>
      <c r="H13947" s="5" t="s">
        <v>3059</v>
      </c>
      <c r="I13947" s="5" t="s">
        <v>31</v>
      </c>
      <c r="J13947" s="5">
        <v>16.310355999999999</v>
      </c>
      <c r="K13947" s="5">
        <v>-97.555762999999999</v>
      </c>
      <c r="L13947" s="5" t="str">
        <f>HYPERLINK("https://maps.google.com/?q=16.310356,-97.555763", "🔗 Ver Mapa")</f>
        <v>🔗 Ver Mapa</v>
      </c>
    </row>
    <row r="13948" spans="1:12" ht="72.5" x14ac:dyDescent="0.35">
      <c r="A13948" s="6" t="s">
        <v>674</v>
      </c>
      <c r="B13948" s="6" t="s">
        <v>675</v>
      </c>
      <c r="C13948" s="6" t="s">
        <v>3060</v>
      </c>
      <c r="D13948" s="6" t="s">
        <v>677</v>
      </c>
      <c r="E13948" s="6" t="s">
        <v>39</v>
      </c>
      <c r="F13948" s="6" t="s">
        <v>40</v>
      </c>
      <c r="G13948" s="6" t="s">
        <v>3061</v>
      </c>
      <c r="H13948" s="6" t="s">
        <v>3062</v>
      </c>
      <c r="I13948" s="6" t="s">
        <v>31</v>
      </c>
      <c r="J13948" s="6">
        <v>17.043526</v>
      </c>
      <c r="K13948" s="6">
        <v>-97.946189000000004</v>
      </c>
      <c r="L13948" s="6" t="str">
        <f>HYPERLINK("https://maps.google.com/?q=17.043526,-97.946189", "🔗 Ver Mapa")</f>
        <v>🔗 Ver Mapa</v>
      </c>
    </row>
    <row r="13949" spans="1:12" ht="72.5" x14ac:dyDescent="0.35">
      <c r="A13949" s="5" t="s">
        <v>674</v>
      </c>
      <c r="B13949" s="5" t="s">
        <v>675</v>
      </c>
      <c r="C13949" s="5" t="s">
        <v>3060</v>
      </c>
      <c r="D13949" s="5" t="s">
        <v>677</v>
      </c>
      <c r="E13949" s="5" t="s">
        <v>39</v>
      </c>
      <c r="F13949" s="5" t="s">
        <v>40</v>
      </c>
      <c r="G13949" s="5" t="s">
        <v>3061</v>
      </c>
      <c r="H13949" s="5" t="s">
        <v>3062</v>
      </c>
      <c r="I13949" s="5" t="s">
        <v>31</v>
      </c>
      <c r="J13949" s="5">
        <v>17.048625000000001</v>
      </c>
      <c r="K13949" s="5">
        <v>-97.962739999999997</v>
      </c>
      <c r="L13949" s="5" t="str">
        <f>HYPERLINK("https://maps.google.com/?q=17.048625,-97.962740", "🔗 Ver Mapa")</f>
        <v>🔗 Ver Mapa</v>
      </c>
    </row>
    <row r="13950" spans="1:12" ht="72.5" x14ac:dyDescent="0.35">
      <c r="A13950" s="6" t="s">
        <v>674</v>
      </c>
      <c r="B13950" s="6" t="s">
        <v>675</v>
      </c>
      <c r="C13950" s="6" t="s">
        <v>3060</v>
      </c>
      <c r="D13950" s="6" t="s">
        <v>677</v>
      </c>
      <c r="E13950" s="6" t="s">
        <v>39</v>
      </c>
      <c r="F13950" s="6" t="s">
        <v>40</v>
      </c>
      <c r="G13950" s="6" t="s">
        <v>3061</v>
      </c>
      <c r="H13950" s="6" t="s">
        <v>3062</v>
      </c>
      <c r="I13950" s="6" t="s">
        <v>31</v>
      </c>
      <c r="J13950" s="6">
        <v>17.062548</v>
      </c>
      <c r="K13950" s="6">
        <v>-97.976091999999994</v>
      </c>
      <c r="L13950" s="6" t="str">
        <f>HYPERLINK("https://maps.google.com/?q=17.062548,-97.976092", "🔗 Ver Mapa")</f>
        <v>🔗 Ver Mapa</v>
      </c>
    </row>
    <row r="13951" spans="1:12" ht="72.5" x14ac:dyDescent="0.35">
      <c r="A13951" s="5" t="s">
        <v>674</v>
      </c>
      <c r="B13951" s="5" t="s">
        <v>675</v>
      </c>
      <c r="C13951" s="5" t="s">
        <v>3063</v>
      </c>
      <c r="D13951" s="5" t="s">
        <v>677</v>
      </c>
      <c r="E13951" s="5" t="s">
        <v>90</v>
      </c>
      <c r="F13951" s="5" t="s">
        <v>119</v>
      </c>
      <c r="G13951" s="5" t="s">
        <v>3064</v>
      </c>
      <c r="H13951" s="5" t="s">
        <v>3065</v>
      </c>
      <c r="I13951" s="5" t="s">
        <v>31</v>
      </c>
      <c r="J13951" s="5">
        <v>17.224021</v>
      </c>
      <c r="K13951" s="5">
        <v>-96.297551999999996</v>
      </c>
      <c r="L13951" s="5" t="str">
        <f>HYPERLINK("https://maps.google.com/?q=17.224021,-96.297552", "🔗 Ver Mapa")</f>
        <v>🔗 Ver Mapa</v>
      </c>
    </row>
    <row r="13952" spans="1:12" ht="72.5" x14ac:dyDescent="0.35">
      <c r="A13952" s="6" t="s">
        <v>674</v>
      </c>
      <c r="B13952" s="6" t="s">
        <v>675</v>
      </c>
      <c r="C13952" s="6" t="s">
        <v>3063</v>
      </c>
      <c r="D13952" s="6" t="s">
        <v>677</v>
      </c>
      <c r="E13952" s="6" t="s">
        <v>90</v>
      </c>
      <c r="F13952" s="6" t="s">
        <v>119</v>
      </c>
      <c r="G13952" s="6" t="s">
        <v>3064</v>
      </c>
      <c r="H13952" s="6" t="s">
        <v>3065</v>
      </c>
      <c r="I13952" s="6" t="s">
        <v>31</v>
      </c>
      <c r="J13952" s="6">
        <v>17.225776</v>
      </c>
      <c r="K13952" s="6">
        <v>-96.300189000000003</v>
      </c>
      <c r="L13952" s="6" t="str">
        <f>HYPERLINK("https://maps.google.com/?q=17.225776,-96.300189", "🔗 Ver Mapa")</f>
        <v>🔗 Ver Mapa</v>
      </c>
    </row>
    <row r="13953" spans="1:12" ht="72.5" x14ac:dyDescent="0.35">
      <c r="A13953" s="5" t="s">
        <v>674</v>
      </c>
      <c r="B13953" s="5" t="s">
        <v>675</v>
      </c>
      <c r="C13953" s="5" t="s">
        <v>3063</v>
      </c>
      <c r="D13953" s="5" t="s">
        <v>677</v>
      </c>
      <c r="E13953" s="5" t="s">
        <v>90</v>
      </c>
      <c r="F13953" s="5" t="s">
        <v>119</v>
      </c>
      <c r="G13953" s="5" t="s">
        <v>3064</v>
      </c>
      <c r="H13953" s="5" t="s">
        <v>3065</v>
      </c>
      <c r="I13953" s="5" t="s">
        <v>31</v>
      </c>
      <c r="J13953" s="5">
        <v>17.227622</v>
      </c>
      <c r="K13953" s="5">
        <v>-96.302532999999997</v>
      </c>
      <c r="L13953" s="5" t="str">
        <f>HYPERLINK("https://maps.google.com/?q=17.227622,-96.302533", "🔗 Ver Mapa")</f>
        <v>🔗 Ver Mapa</v>
      </c>
    </row>
    <row r="13954" spans="1:12" ht="87" x14ac:dyDescent="0.35">
      <c r="A13954" s="6" t="s">
        <v>674</v>
      </c>
      <c r="B13954" s="6" t="s">
        <v>675</v>
      </c>
      <c r="C13954" s="6" t="s">
        <v>3066</v>
      </c>
      <c r="D13954" s="6" t="s">
        <v>677</v>
      </c>
      <c r="E13954" s="6" t="s">
        <v>16</v>
      </c>
      <c r="F13954" s="6" t="s">
        <v>215</v>
      </c>
      <c r="G13954" s="6" t="s">
        <v>216</v>
      </c>
      <c r="H13954" s="6" t="s">
        <v>3067</v>
      </c>
      <c r="I13954" s="6" t="s">
        <v>31</v>
      </c>
      <c r="J13954" s="6">
        <v>17.073594</v>
      </c>
      <c r="K13954" s="6">
        <v>-98.049824000000001</v>
      </c>
      <c r="L13954" s="6" t="str">
        <f>HYPERLINK("https://maps.google.com/?q=17.073594,-98.049824", "🔗 Ver Mapa")</f>
        <v>🔗 Ver Mapa</v>
      </c>
    </row>
    <row r="13955" spans="1:12" ht="87" x14ac:dyDescent="0.35">
      <c r="A13955" s="5" t="s">
        <v>674</v>
      </c>
      <c r="B13955" s="5" t="s">
        <v>675</v>
      </c>
      <c r="C13955" s="5" t="s">
        <v>3066</v>
      </c>
      <c r="D13955" s="5" t="s">
        <v>677</v>
      </c>
      <c r="E13955" s="5" t="s">
        <v>16</v>
      </c>
      <c r="F13955" s="5" t="s">
        <v>215</v>
      </c>
      <c r="G13955" s="5" t="s">
        <v>216</v>
      </c>
      <c r="H13955" s="5" t="s">
        <v>3067</v>
      </c>
      <c r="I13955" s="5" t="s">
        <v>31</v>
      </c>
      <c r="J13955" s="5">
        <v>17.076339000000001</v>
      </c>
      <c r="K13955" s="5">
        <v>-98.051648999999998</v>
      </c>
      <c r="L13955" s="5" t="str">
        <f>HYPERLINK("https://maps.google.com/?q=17.076339,-98.051649", "🔗 Ver Mapa")</f>
        <v>🔗 Ver Mapa</v>
      </c>
    </row>
    <row r="13956" spans="1:12" ht="87" x14ac:dyDescent="0.35">
      <c r="A13956" s="6" t="s">
        <v>674</v>
      </c>
      <c r="B13956" s="6" t="s">
        <v>675</v>
      </c>
      <c r="C13956" s="6" t="s">
        <v>3066</v>
      </c>
      <c r="D13956" s="6" t="s">
        <v>677</v>
      </c>
      <c r="E13956" s="6" t="s">
        <v>16</v>
      </c>
      <c r="F13956" s="6" t="s">
        <v>215</v>
      </c>
      <c r="G13956" s="6" t="s">
        <v>216</v>
      </c>
      <c r="H13956" s="6" t="s">
        <v>3067</v>
      </c>
      <c r="I13956" s="6" t="s">
        <v>31</v>
      </c>
      <c r="J13956" s="6">
        <v>17.079802000000001</v>
      </c>
      <c r="K13956" s="6">
        <v>-98.053393</v>
      </c>
      <c r="L13956" s="6" t="str">
        <f>HYPERLINK("https://maps.google.com/?q=17.079802,-98.053393", "🔗 Ver Mapa")</f>
        <v>🔗 Ver Mapa</v>
      </c>
    </row>
    <row r="13957" spans="1:12" ht="72.5" x14ac:dyDescent="0.35">
      <c r="A13957" s="5" t="s">
        <v>674</v>
      </c>
      <c r="B13957" s="5" t="s">
        <v>675</v>
      </c>
      <c r="C13957" s="5" t="s">
        <v>3068</v>
      </c>
      <c r="D13957" s="5" t="s">
        <v>677</v>
      </c>
      <c r="E13957" s="5" t="s">
        <v>17</v>
      </c>
      <c r="F13957" s="5" t="s">
        <v>59</v>
      </c>
      <c r="G13957" s="5" t="s">
        <v>275</v>
      </c>
      <c r="H13957" s="5" t="s">
        <v>3069</v>
      </c>
      <c r="I13957" s="5" t="s">
        <v>31</v>
      </c>
      <c r="J13957" s="5">
        <v>16.273904999999999</v>
      </c>
      <c r="K13957" s="5">
        <v>-97.979039999999998</v>
      </c>
      <c r="L13957" s="5" t="str">
        <f>HYPERLINK("https://maps.google.com/?q=16.273905,-97.979040", "🔗 Ver Mapa")</f>
        <v>🔗 Ver Mapa</v>
      </c>
    </row>
    <row r="13958" spans="1:12" ht="72.5" x14ac:dyDescent="0.35">
      <c r="A13958" s="6" t="s">
        <v>674</v>
      </c>
      <c r="B13958" s="6" t="s">
        <v>675</v>
      </c>
      <c r="C13958" s="6" t="s">
        <v>3068</v>
      </c>
      <c r="D13958" s="6" t="s">
        <v>677</v>
      </c>
      <c r="E13958" s="6" t="s">
        <v>17</v>
      </c>
      <c r="F13958" s="6" t="s">
        <v>59</v>
      </c>
      <c r="G13958" s="6" t="s">
        <v>275</v>
      </c>
      <c r="H13958" s="6" t="s">
        <v>3069</v>
      </c>
      <c r="I13958" s="6" t="s">
        <v>31</v>
      </c>
      <c r="J13958" s="6">
        <v>16.276769000000002</v>
      </c>
      <c r="K13958" s="6">
        <v>-97.978466999999995</v>
      </c>
      <c r="L13958" s="6" t="str">
        <f>HYPERLINK("https://maps.google.com/?q=16.276769,-97.978467", "🔗 Ver Mapa")</f>
        <v>🔗 Ver Mapa</v>
      </c>
    </row>
    <row r="13959" spans="1:12" ht="72.5" x14ac:dyDescent="0.35">
      <c r="A13959" s="5" t="s">
        <v>674</v>
      </c>
      <c r="B13959" s="5" t="s">
        <v>675</v>
      </c>
      <c r="C13959" s="5" t="s">
        <v>3068</v>
      </c>
      <c r="D13959" s="5" t="s">
        <v>677</v>
      </c>
      <c r="E13959" s="5" t="s">
        <v>17</v>
      </c>
      <c r="F13959" s="5" t="s">
        <v>59</v>
      </c>
      <c r="G13959" s="5" t="s">
        <v>275</v>
      </c>
      <c r="H13959" s="5" t="s">
        <v>3069</v>
      </c>
      <c r="I13959" s="5" t="s">
        <v>31</v>
      </c>
      <c r="J13959" s="5">
        <v>16.279215000000001</v>
      </c>
      <c r="K13959" s="5">
        <v>-97.978440000000006</v>
      </c>
      <c r="L13959" s="5" t="str">
        <f>HYPERLINK("https://maps.google.com/?q=16.279215,-97.978440", "🔗 Ver Mapa")</f>
        <v>🔗 Ver Mapa</v>
      </c>
    </row>
    <row r="13960" spans="1:12" ht="43.5" x14ac:dyDescent="0.35">
      <c r="A13960" s="6" t="s">
        <v>73</v>
      </c>
      <c r="B13960" s="6" t="s">
        <v>74</v>
      </c>
      <c r="C13960" s="6" t="s">
        <v>3070</v>
      </c>
      <c r="D13960" s="6" t="s">
        <v>76</v>
      </c>
      <c r="E13960" s="6" t="s">
        <v>52</v>
      </c>
      <c r="F13960" s="6" t="s">
        <v>70</v>
      </c>
      <c r="G13960" s="6" t="s">
        <v>123</v>
      </c>
      <c r="H13960" s="6" t="s">
        <v>307</v>
      </c>
      <c r="I13960" s="6" t="s">
        <v>31</v>
      </c>
      <c r="J13960" s="6">
        <v>17.020867889899002</v>
      </c>
      <c r="K13960" s="6">
        <v>-96.767832089362997</v>
      </c>
      <c r="L13960" s="6" t="str">
        <f>HYPERLINK("https://maps.google.com/?q=17.020867889899318,-96.76783208936267", "🔗 Ver Mapa")</f>
        <v>🔗 Ver Mapa</v>
      </c>
    </row>
    <row r="13961" spans="1:12" ht="43.5" x14ac:dyDescent="0.35">
      <c r="A13961" s="5" t="s">
        <v>98</v>
      </c>
      <c r="B13961" s="5" t="s">
        <v>99</v>
      </c>
      <c r="C13961" s="5" t="s">
        <v>3071</v>
      </c>
      <c r="D13961" s="5" t="s">
        <v>14</v>
      </c>
      <c r="E13961" s="5" t="s">
        <v>90</v>
      </c>
      <c r="F13961" s="5" t="s">
        <v>91</v>
      </c>
      <c r="G13961" s="5" t="s">
        <v>778</v>
      </c>
      <c r="H13961" s="5" t="s">
        <v>3072</v>
      </c>
      <c r="I13961" s="5" t="s">
        <v>31</v>
      </c>
      <c r="J13961" s="5">
        <v>17.097443022231001</v>
      </c>
      <c r="K13961" s="5">
        <v>-96.053532845462001</v>
      </c>
      <c r="L13961" s="5" t="str">
        <f>HYPERLINK("https://maps.google.com/?q=17.0974430222305,-96.053532845461604", "🔗 Ver Mapa")</f>
        <v>🔗 Ver Mapa</v>
      </c>
    </row>
    <row r="13962" spans="1:12" ht="43.5" x14ac:dyDescent="0.35">
      <c r="A13962" s="6" t="s">
        <v>98</v>
      </c>
      <c r="B13962" s="6" t="s">
        <v>99</v>
      </c>
      <c r="C13962" s="6" t="s">
        <v>3071</v>
      </c>
      <c r="D13962" s="6" t="s">
        <v>14</v>
      </c>
      <c r="E13962" s="6" t="s">
        <v>90</v>
      </c>
      <c r="F13962" s="6" t="s">
        <v>91</v>
      </c>
      <c r="G13962" s="6" t="s">
        <v>778</v>
      </c>
      <c r="H13962" s="6" t="s">
        <v>3072</v>
      </c>
      <c r="I13962" s="6" t="s">
        <v>31</v>
      </c>
      <c r="J13962" s="6">
        <v>17.097999447126998</v>
      </c>
      <c r="K13962" s="6">
        <v>-96.049368020486</v>
      </c>
      <c r="L13962" s="6" t="str">
        <f>HYPERLINK("https://maps.google.com/?q=17.0979994471275,-96.049368020485502", "🔗 Ver Mapa")</f>
        <v>🔗 Ver Mapa</v>
      </c>
    </row>
    <row r="13963" spans="1:12" ht="43.5" x14ac:dyDescent="0.35">
      <c r="A13963" s="5" t="s">
        <v>98</v>
      </c>
      <c r="B13963" s="5" t="s">
        <v>99</v>
      </c>
      <c r="C13963" s="5" t="s">
        <v>3071</v>
      </c>
      <c r="D13963" s="5" t="s">
        <v>14</v>
      </c>
      <c r="E13963" s="5" t="s">
        <v>90</v>
      </c>
      <c r="F13963" s="5" t="s">
        <v>91</v>
      </c>
      <c r="G13963" s="5" t="s">
        <v>778</v>
      </c>
      <c r="H13963" s="5" t="s">
        <v>3072</v>
      </c>
      <c r="I13963" s="5" t="s">
        <v>31</v>
      </c>
      <c r="J13963" s="5">
        <v>17.098033000000001</v>
      </c>
      <c r="K13963" s="5">
        <v>-96.050848999999999</v>
      </c>
      <c r="L13963" s="5" t="str">
        <f>HYPERLINK("https://maps.google.com/?q=17.098033,-96.050848999999999", "🔗 Ver Mapa")</f>
        <v>🔗 Ver Mapa</v>
      </c>
    </row>
    <row r="13964" spans="1:12" ht="43.5" x14ac:dyDescent="0.35">
      <c r="A13964" s="6" t="s">
        <v>98</v>
      </c>
      <c r="B13964" s="6" t="s">
        <v>99</v>
      </c>
      <c r="C13964" s="6" t="s">
        <v>3071</v>
      </c>
      <c r="D13964" s="6" t="s">
        <v>14</v>
      </c>
      <c r="E13964" s="6" t="s">
        <v>90</v>
      </c>
      <c r="F13964" s="6" t="s">
        <v>91</v>
      </c>
      <c r="G13964" s="6" t="s">
        <v>778</v>
      </c>
      <c r="H13964" s="6" t="s">
        <v>3072</v>
      </c>
      <c r="I13964" s="6" t="s">
        <v>31</v>
      </c>
      <c r="J13964" s="6">
        <v>17.098107112731999</v>
      </c>
      <c r="K13964" s="6">
        <v>-96.048960323125002</v>
      </c>
      <c r="L13964" s="6" t="str">
        <f>HYPERLINK("https://maps.google.com/?q=17.0981071127322,-96.0489603231253", "🔗 Ver Mapa")</f>
        <v>🔗 Ver Mapa</v>
      </c>
    </row>
    <row r="13965" spans="1:12" ht="43.5" x14ac:dyDescent="0.35">
      <c r="A13965" s="5" t="s">
        <v>98</v>
      </c>
      <c r="B13965" s="5" t="s">
        <v>99</v>
      </c>
      <c r="C13965" s="5" t="s">
        <v>3071</v>
      </c>
      <c r="D13965" s="5" t="s">
        <v>14</v>
      </c>
      <c r="E13965" s="5" t="s">
        <v>90</v>
      </c>
      <c r="F13965" s="5" t="s">
        <v>91</v>
      </c>
      <c r="G13965" s="5" t="s">
        <v>778</v>
      </c>
      <c r="H13965" s="5" t="s">
        <v>3072</v>
      </c>
      <c r="I13965" s="5" t="s">
        <v>31</v>
      </c>
      <c r="J13965" s="5">
        <v>17.098273452377001</v>
      </c>
      <c r="K13965" s="5">
        <v>-96.047735811785998</v>
      </c>
      <c r="L13965" s="5" t="str">
        <f>HYPERLINK("https://maps.google.com/?q=17.0982734523773,-96.047735811786495", "🔗 Ver Mapa")</f>
        <v>🔗 Ver Mapa</v>
      </c>
    </row>
    <row r="13966" spans="1:12" ht="43.5" x14ac:dyDescent="0.35">
      <c r="A13966" s="6" t="s">
        <v>98</v>
      </c>
      <c r="B13966" s="6" t="s">
        <v>99</v>
      </c>
      <c r="C13966" s="6" t="s">
        <v>3071</v>
      </c>
      <c r="D13966" s="6" t="s">
        <v>14</v>
      </c>
      <c r="E13966" s="6" t="s">
        <v>90</v>
      </c>
      <c r="F13966" s="6" t="s">
        <v>91</v>
      </c>
      <c r="G13966" s="6" t="s">
        <v>778</v>
      </c>
      <c r="H13966" s="6" t="s">
        <v>3072</v>
      </c>
      <c r="I13966" s="6" t="s">
        <v>31</v>
      </c>
      <c r="J13966" s="6">
        <v>17.099275840897999</v>
      </c>
      <c r="K13966" s="6">
        <v>-96.047969163971004</v>
      </c>
      <c r="L13966" s="6" t="str">
        <f>HYPERLINK("https://maps.google.com/?q=17.0992758408982,-96.047969163970706", "🔗 Ver Mapa")</f>
        <v>🔗 Ver Mapa</v>
      </c>
    </row>
    <row r="13967" spans="1:12" ht="43.5" x14ac:dyDescent="0.35">
      <c r="A13967" s="5" t="s">
        <v>98</v>
      </c>
      <c r="B13967" s="5" t="s">
        <v>99</v>
      </c>
      <c r="C13967" s="5" t="s">
        <v>3071</v>
      </c>
      <c r="D13967" s="5" t="s">
        <v>14</v>
      </c>
      <c r="E13967" s="5" t="s">
        <v>90</v>
      </c>
      <c r="F13967" s="5" t="s">
        <v>91</v>
      </c>
      <c r="G13967" s="5" t="s">
        <v>778</v>
      </c>
      <c r="H13967" s="5" t="s">
        <v>3072</v>
      </c>
      <c r="I13967" s="5" t="s">
        <v>31</v>
      </c>
      <c r="J13967" s="5">
        <v>17.099437350565001</v>
      </c>
      <c r="K13967" s="5">
        <v>-96.047708989696005</v>
      </c>
      <c r="L13967" s="5" t="str">
        <f>HYPERLINK("https://maps.google.com/?q=17.0994373505645,-96.047708989696304", "🔗 Ver Mapa")</f>
        <v>🔗 Ver Mapa</v>
      </c>
    </row>
    <row r="13968" spans="1:12" ht="43.5" x14ac:dyDescent="0.35">
      <c r="A13968" s="6" t="s">
        <v>73</v>
      </c>
      <c r="B13968" s="6" t="s">
        <v>74</v>
      </c>
      <c r="C13968" s="6" t="s">
        <v>3073</v>
      </c>
      <c r="D13968" s="6" t="s">
        <v>76</v>
      </c>
      <c r="E13968" s="6" t="s">
        <v>52</v>
      </c>
      <c r="F13968" s="6" t="s">
        <v>70</v>
      </c>
      <c r="G13968" s="6" t="s">
        <v>123</v>
      </c>
      <c r="H13968" s="6" t="s">
        <v>307</v>
      </c>
      <c r="I13968" s="6" t="s">
        <v>31</v>
      </c>
      <c r="J13968" s="6">
        <v>17.020617716393001</v>
      </c>
      <c r="K13968" s="6">
        <v>-96.767886220400001</v>
      </c>
      <c r="L13968" s="6" t="str">
        <f>HYPERLINK("https://maps.google.com/?q=17.020617716393335,-96.76788622040004", "🔗 Ver Mapa")</f>
        <v>🔗 Ver Mapa</v>
      </c>
    </row>
    <row r="13969" spans="1:12" ht="43.5" x14ac:dyDescent="0.35">
      <c r="A13969" s="5" t="s">
        <v>73</v>
      </c>
      <c r="B13969" s="5" t="s">
        <v>74</v>
      </c>
      <c r="C13969" s="5" t="s">
        <v>3074</v>
      </c>
      <c r="D13969" s="5" t="s">
        <v>76</v>
      </c>
      <c r="E13969" s="5" t="s">
        <v>158</v>
      </c>
      <c r="F13969" s="5" t="s">
        <v>159</v>
      </c>
      <c r="G13969" s="5" t="s">
        <v>1012</v>
      </c>
      <c r="H13969" s="5" t="s">
        <v>1013</v>
      </c>
      <c r="I13969" s="5" t="s">
        <v>31</v>
      </c>
      <c r="J13969" s="5">
        <v>16.351691691269</v>
      </c>
      <c r="K13969" s="5">
        <v>-94.510679335175993</v>
      </c>
      <c r="L13969" s="5" t="str">
        <f>HYPERLINK("https://maps.google.com/?q=16.351691691269433,-94.51067933517558", "🔗 Ver Mapa")</f>
        <v>🔗 Ver Mapa</v>
      </c>
    </row>
    <row r="13970" spans="1:12" ht="43.5" x14ac:dyDescent="0.35">
      <c r="A13970" s="6" t="s">
        <v>73</v>
      </c>
      <c r="B13970" s="6" t="s">
        <v>74</v>
      </c>
      <c r="C13970" s="6" t="s">
        <v>3075</v>
      </c>
      <c r="D13970" s="6" t="s">
        <v>76</v>
      </c>
      <c r="E13970" s="6" t="s">
        <v>158</v>
      </c>
      <c r="F13970" s="6" t="s">
        <v>159</v>
      </c>
      <c r="G13970" s="6" t="s">
        <v>3076</v>
      </c>
      <c r="H13970" s="6" t="s">
        <v>3077</v>
      </c>
      <c r="I13970" s="6" t="s">
        <v>31</v>
      </c>
      <c r="J13970" s="6">
        <v>16.367044839999998</v>
      </c>
      <c r="K13970" s="6">
        <v>-95.023718479999999</v>
      </c>
      <c r="L13970" s="6" t="str">
        <f>HYPERLINK("https://maps.google.com/?q=16.36704484,-95.02371848", "🔗 Ver Mapa")</f>
        <v>🔗 Ver Mapa</v>
      </c>
    </row>
    <row r="13971" spans="1:12" ht="43.5" x14ac:dyDescent="0.35">
      <c r="A13971" s="5" t="s">
        <v>73</v>
      </c>
      <c r="B13971" s="5" t="s">
        <v>74</v>
      </c>
      <c r="C13971" s="5" t="s">
        <v>3078</v>
      </c>
      <c r="D13971" s="5" t="s">
        <v>76</v>
      </c>
      <c r="E13971" s="5" t="s">
        <v>158</v>
      </c>
      <c r="F13971" s="5" t="s">
        <v>166</v>
      </c>
      <c r="G13971" s="5" t="s">
        <v>3079</v>
      </c>
      <c r="H13971" s="5" t="s">
        <v>3080</v>
      </c>
      <c r="I13971" s="5" t="s">
        <v>31</v>
      </c>
      <c r="J13971" s="5">
        <v>16.375996506962998</v>
      </c>
      <c r="K13971" s="5">
        <v>-95.253486235696997</v>
      </c>
      <c r="L13971" s="5" t="str">
        <f>HYPERLINK("https://maps.google.com/?q=16.375996506962828,-95.25348623569698", "🔗 Ver Mapa")</f>
        <v>🔗 Ver Mapa</v>
      </c>
    </row>
    <row r="13972" spans="1:12" ht="43.5" x14ac:dyDescent="0.35">
      <c r="A13972" s="6" t="s">
        <v>73</v>
      </c>
      <c r="B13972" s="6" t="s">
        <v>74</v>
      </c>
      <c r="C13972" s="6" t="s">
        <v>3081</v>
      </c>
      <c r="D13972" s="6" t="s">
        <v>76</v>
      </c>
      <c r="E13972" s="6" t="s">
        <v>39</v>
      </c>
      <c r="F13972" s="6" t="s">
        <v>353</v>
      </c>
      <c r="G13972" s="6" t="s">
        <v>1467</v>
      </c>
      <c r="H13972" s="6" t="s">
        <v>1468</v>
      </c>
      <c r="I13972" s="6" t="s">
        <v>31</v>
      </c>
      <c r="J13972" s="6">
        <v>16.33000328</v>
      </c>
      <c r="K13972" s="6">
        <v>-96.409969930000003</v>
      </c>
      <c r="L13972" s="6" t="str">
        <f>HYPERLINK("https://maps.google.com/?q=16.33000328,-96.40996993", "🔗 Ver Mapa")</f>
        <v>🔗 Ver Mapa</v>
      </c>
    </row>
    <row r="13973" spans="1:12" ht="43.5" x14ac:dyDescent="0.35">
      <c r="A13973" s="5" t="s">
        <v>73</v>
      </c>
      <c r="B13973" s="5" t="s">
        <v>74</v>
      </c>
      <c r="C13973" s="5" t="s">
        <v>3082</v>
      </c>
      <c r="D13973" s="5" t="s">
        <v>76</v>
      </c>
      <c r="E13973" s="5" t="s">
        <v>110</v>
      </c>
      <c r="F13973" s="5" t="s">
        <v>111</v>
      </c>
      <c r="G13973" s="5" t="s">
        <v>450</v>
      </c>
      <c r="H13973" s="5" t="s">
        <v>451</v>
      </c>
      <c r="I13973" s="5" t="s">
        <v>31</v>
      </c>
      <c r="J13973" s="5">
        <v>18.049551496239001</v>
      </c>
      <c r="K13973" s="5">
        <v>-96.896337573015998</v>
      </c>
      <c r="L13973" s="5" t="str">
        <f>HYPERLINK("https://maps.google.com/?q=18.049551496238642,-96.89633757301635", "🔗 Ver Mapa")</f>
        <v>🔗 Ver Mapa</v>
      </c>
    </row>
    <row r="13974" spans="1:12" ht="43.5" x14ac:dyDescent="0.35">
      <c r="A13974" s="6" t="s">
        <v>73</v>
      </c>
      <c r="B13974" s="6" t="s">
        <v>74</v>
      </c>
      <c r="C13974" s="6" t="s">
        <v>3083</v>
      </c>
      <c r="D13974" s="6" t="s">
        <v>76</v>
      </c>
      <c r="E13974" s="6" t="s">
        <v>52</v>
      </c>
      <c r="F13974" s="6" t="s">
        <v>83</v>
      </c>
      <c r="G13974" s="6" t="s">
        <v>1574</v>
      </c>
      <c r="H13974" s="6" t="s">
        <v>1575</v>
      </c>
      <c r="I13974" s="6" t="s">
        <v>31</v>
      </c>
      <c r="J13974" s="6">
        <v>17.106375369999999</v>
      </c>
      <c r="K13974" s="6">
        <v>-96.842091400000001</v>
      </c>
      <c r="L13974" s="6" t="str">
        <f>HYPERLINK("https://maps.google.com/?q=17.10637537,-96.8420914", "🔗 Ver Mapa")</f>
        <v>🔗 Ver Mapa</v>
      </c>
    </row>
    <row r="13975" spans="1:12" ht="43.5" x14ac:dyDescent="0.35">
      <c r="A13975" s="5" t="s">
        <v>73</v>
      </c>
      <c r="B13975" s="5" t="s">
        <v>74</v>
      </c>
      <c r="C13975" s="5" t="s">
        <v>3084</v>
      </c>
      <c r="D13975" s="5" t="s">
        <v>76</v>
      </c>
      <c r="E13975" s="5" t="s">
        <v>39</v>
      </c>
      <c r="F13975" s="5" t="s">
        <v>494</v>
      </c>
      <c r="G13975" s="5" t="s">
        <v>522</v>
      </c>
      <c r="H13975" s="5" t="s">
        <v>523</v>
      </c>
      <c r="I13975" s="5" t="s">
        <v>31</v>
      </c>
      <c r="J13975" s="5">
        <v>16.587588220000001</v>
      </c>
      <c r="K13975" s="5">
        <v>-97.227477730000004</v>
      </c>
      <c r="L13975" s="5" t="str">
        <f>HYPERLINK("https://maps.google.com/?q=16.58758822,-97.22747773", "🔗 Ver Mapa")</f>
        <v>🔗 Ver Mapa</v>
      </c>
    </row>
    <row r="13976" spans="1:12" ht="43.5" x14ac:dyDescent="0.35">
      <c r="A13976" s="6" t="s">
        <v>73</v>
      </c>
      <c r="B13976" s="6" t="s">
        <v>74</v>
      </c>
      <c r="C13976" s="6" t="s">
        <v>3085</v>
      </c>
      <c r="D13976" s="6" t="s">
        <v>76</v>
      </c>
      <c r="E13976" s="6" t="s">
        <v>140</v>
      </c>
      <c r="F13976" s="6" t="s">
        <v>141</v>
      </c>
      <c r="G13976" s="6" t="s">
        <v>3086</v>
      </c>
      <c r="H13976" s="6" t="s">
        <v>3087</v>
      </c>
      <c r="I13976" s="6" t="s">
        <v>31</v>
      </c>
      <c r="J13976" s="6">
        <v>18.397411080000001</v>
      </c>
      <c r="K13976" s="6">
        <v>-96.500767859999996</v>
      </c>
      <c r="L13976" s="6" t="str">
        <f>HYPERLINK("https://maps.google.com/?q=18.39741108,-96.50076786", "🔗 Ver Mapa")</f>
        <v>🔗 Ver Mapa</v>
      </c>
    </row>
    <row r="13977" spans="1:12" ht="43.5" x14ac:dyDescent="0.35">
      <c r="A13977" s="5" t="s">
        <v>73</v>
      </c>
      <c r="B13977" s="5" t="s">
        <v>74</v>
      </c>
      <c r="C13977" s="5" t="s">
        <v>3088</v>
      </c>
      <c r="D13977" s="5" t="s">
        <v>76</v>
      </c>
      <c r="E13977" s="5" t="s">
        <v>17</v>
      </c>
      <c r="F13977" s="5" t="s">
        <v>59</v>
      </c>
      <c r="G13977" s="5" t="s">
        <v>870</v>
      </c>
      <c r="H13977" s="5" t="s">
        <v>3089</v>
      </c>
      <c r="I13977" s="5" t="s">
        <v>31</v>
      </c>
      <c r="J13977" s="5">
        <v>16.138919260000002</v>
      </c>
      <c r="K13977" s="5">
        <v>-97.751584809999997</v>
      </c>
      <c r="L13977" s="5" t="str">
        <f>HYPERLINK("https://maps.google.com/?q=16.13891926,-97.75158481", "🔗 Ver Mapa")</f>
        <v>🔗 Ver Mapa</v>
      </c>
    </row>
    <row r="13978" spans="1:12" ht="43.5" x14ac:dyDescent="0.35">
      <c r="A13978" s="6" t="s">
        <v>73</v>
      </c>
      <c r="B13978" s="6" t="s">
        <v>74</v>
      </c>
      <c r="C13978" s="6" t="s">
        <v>3090</v>
      </c>
      <c r="D13978" s="6" t="s">
        <v>76</v>
      </c>
      <c r="E13978" s="6" t="s">
        <v>52</v>
      </c>
      <c r="F13978" s="6" t="s">
        <v>70</v>
      </c>
      <c r="G13978" s="6" t="s">
        <v>689</v>
      </c>
      <c r="H13978" s="6" t="s">
        <v>690</v>
      </c>
      <c r="I13978" s="6" t="s">
        <v>31</v>
      </c>
      <c r="J13978" s="6">
        <v>17.066956640000001</v>
      </c>
      <c r="K13978" s="6">
        <v>-96.809881930000003</v>
      </c>
      <c r="L13978" s="6" t="str">
        <f>HYPERLINK("https://maps.google.com/?q=17.06695664,-96.80988193", "🔗 Ver Mapa")</f>
        <v>🔗 Ver Mapa</v>
      </c>
    </row>
    <row r="13979" spans="1:12" ht="43.5" x14ac:dyDescent="0.35">
      <c r="A13979" s="5" t="s">
        <v>73</v>
      </c>
      <c r="B13979" s="5" t="s">
        <v>74</v>
      </c>
      <c r="C13979" s="5" t="s">
        <v>3091</v>
      </c>
      <c r="D13979" s="5" t="s">
        <v>76</v>
      </c>
      <c r="E13979" s="5" t="s">
        <v>140</v>
      </c>
      <c r="F13979" s="5" t="s">
        <v>141</v>
      </c>
      <c r="G13979" s="5" t="s">
        <v>1206</v>
      </c>
      <c r="H13979" s="5" t="s">
        <v>1207</v>
      </c>
      <c r="I13979" s="5" t="s">
        <v>31</v>
      </c>
      <c r="J13979" s="5">
        <v>18.592814789999998</v>
      </c>
      <c r="K13979" s="5">
        <v>-96.688587069999997</v>
      </c>
      <c r="L13979" s="5" t="str">
        <f>HYPERLINK("https://maps.google.com/?q=18.59281479,-96.68858707", "🔗 Ver Mapa")</f>
        <v>🔗 Ver Mapa</v>
      </c>
    </row>
    <row r="13980" spans="1:12" ht="43.5" x14ac:dyDescent="0.35">
      <c r="A13980" s="6" t="s">
        <v>73</v>
      </c>
      <c r="B13980" s="6" t="s">
        <v>74</v>
      </c>
      <c r="C13980" s="6" t="s">
        <v>3092</v>
      </c>
      <c r="D13980" s="6" t="s">
        <v>76</v>
      </c>
      <c r="E13980" s="6" t="s">
        <v>140</v>
      </c>
      <c r="F13980" s="6" t="s">
        <v>141</v>
      </c>
      <c r="G13980" s="6" t="s">
        <v>682</v>
      </c>
      <c r="H13980" s="6" t="s">
        <v>2882</v>
      </c>
      <c r="I13980" s="6" t="s">
        <v>31</v>
      </c>
      <c r="J13980" s="6">
        <v>17.860520189999999</v>
      </c>
      <c r="K13980" s="6">
        <v>-96.204850669999999</v>
      </c>
      <c r="L13980" s="6" t="str">
        <f>HYPERLINK("https://maps.google.com/?q=17.86052019,-96.20485067", "🔗 Ver Mapa")</f>
        <v>🔗 Ver Mapa</v>
      </c>
    </row>
    <row r="13981" spans="1:12" ht="43.5" x14ac:dyDescent="0.35">
      <c r="A13981" s="5" t="s">
        <v>73</v>
      </c>
      <c r="B13981" s="5" t="s">
        <v>74</v>
      </c>
      <c r="C13981" s="5" t="s">
        <v>3093</v>
      </c>
      <c r="D13981" s="5" t="s">
        <v>76</v>
      </c>
      <c r="E13981" s="5" t="s">
        <v>140</v>
      </c>
      <c r="F13981" s="5" t="s">
        <v>141</v>
      </c>
      <c r="G13981" s="5" t="s">
        <v>142</v>
      </c>
      <c r="H13981" s="5" t="s">
        <v>3094</v>
      </c>
      <c r="I13981" s="5" t="s">
        <v>31</v>
      </c>
      <c r="J13981" s="5">
        <v>17.755007754615001</v>
      </c>
      <c r="K13981" s="5">
        <v>-96.227413412328005</v>
      </c>
      <c r="L13981" s="5" t="str">
        <f>HYPERLINK("https://maps.google.com/?q=17.755007754615228,-96.22741341232788", "🔗 Ver Mapa")</f>
        <v>🔗 Ver Mapa</v>
      </c>
    </row>
    <row r="13982" spans="1:12" ht="43.5" x14ac:dyDescent="0.35">
      <c r="A13982" s="6" t="s">
        <v>73</v>
      </c>
      <c r="B13982" s="6" t="s">
        <v>74</v>
      </c>
      <c r="C13982" s="6" t="s">
        <v>3095</v>
      </c>
      <c r="D13982" s="6" t="s">
        <v>76</v>
      </c>
      <c r="E13982" s="6" t="s">
        <v>52</v>
      </c>
      <c r="F13982" s="6" t="s">
        <v>53</v>
      </c>
      <c r="G13982" s="6" t="s">
        <v>845</v>
      </c>
      <c r="H13982" s="6" t="s">
        <v>3096</v>
      </c>
      <c r="I13982" s="6" t="s">
        <v>31</v>
      </c>
      <c r="J13982" s="6">
        <v>16.658289495339002</v>
      </c>
      <c r="K13982" s="6">
        <v>-96.002213806092001</v>
      </c>
      <c r="L13982" s="6" t="str">
        <f>HYPERLINK("https://maps.google.com/?q=16.658289495338554,-96.00221380609214", "🔗 Ver Mapa")</f>
        <v>🔗 Ver Mapa</v>
      </c>
    </row>
    <row r="13983" spans="1:12" ht="43.5" x14ac:dyDescent="0.35">
      <c r="A13983" s="5" t="s">
        <v>73</v>
      </c>
      <c r="B13983" s="5" t="s">
        <v>74</v>
      </c>
      <c r="C13983" s="5" t="s">
        <v>3097</v>
      </c>
      <c r="D13983" s="5" t="s">
        <v>76</v>
      </c>
      <c r="E13983" s="5" t="s">
        <v>158</v>
      </c>
      <c r="F13983" s="5" t="s">
        <v>166</v>
      </c>
      <c r="G13983" s="5" t="s">
        <v>819</v>
      </c>
      <c r="H13983" s="5" t="s">
        <v>3098</v>
      </c>
      <c r="I13983" s="5" t="s">
        <v>31</v>
      </c>
      <c r="J13983" s="5">
        <v>16.167199522977999</v>
      </c>
      <c r="K13983" s="5">
        <v>-95.216734261222996</v>
      </c>
      <c r="L13983" s="5" t="str">
        <f>HYPERLINK("https://maps.google.com/?q=16.16719952297813,-95.21673426122338", "🔗 Ver Mapa")</f>
        <v>🔗 Ver Mapa</v>
      </c>
    </row>
    <row r="13984" spans="1:12" ht="43.5" x14ac:dyDescent="0.35">
      <c r="A13984" s="6" t="s">
        <v>73</v>
      </c>
      <c r="B13984" s="6" t="s">
        <v>74</v>
      </c>
      <c r="C13984" s="6" t="s">
        <v>3099</v>
      </c>
      <c r="D13984" s="6" t="s">
        <v>76</v>
      </c>
      <c r="E13984" s="6" t="s">
        <v>52</v>
      </c>
      <c r="F13984" s="6" t="s">
        <v>228</v>
      </c>
      <c r="G13984" s="6" t="s">
        <v>3100</v>
      </c>
      <c r="H13984" s="6" t="s">
        <v>3101</v>
      </c>
      <c r="I13984" s="6" t="s">
        <v>31</v>
      </c>
      <c r="J13984" s="6">
        <v>16.778795880000001</v>
      </c>
      <c r="K13984" s="6">
        <v>-96.584860680000006</v>
      </c>
      <c r="L13984" s="6" t="str">
        <f>HYPERLINK("https://maps.google.com/?q=16.77879588,-96.58486068", "🔗 Ver Mapa")</f>
        <v>🔗 Ver Mapa</v>
      </c>
    </row>
    <row r="13985" spans="1:12" ht="43.5" x14ac:dyDescent="0.35">
      <c r="A13985" s="5" t="s">
        <v>73</v>
      </c>
      <c r="B13985" s="5" t="s">
        <v>74</v>
      </c>
      <c r="C13985" s="5" t="s">
        <v>3102</v>
      </c>
      <c r="D13985" s="5" t="s">
        <v>76</v>
      </c>
      <c r="E13985" s="5" t="s">
        <v>52</v>
      </c>
      <c r="F13985" s="5" t="s">
        <v>443</v>
      </c>
      <c r="G13985" s="5" t="s">
        <v>3103</v>
      </c>
      <c r="H13985" s="5" t="s">
        <v>3104</v>
      </c>
      <c r="I13985" s="5" t="s">
        <v>31</v>
      </c>
      <c r="J13985" s="5">
        <v>16.812277302986001</v>
      </c>
      <c r="K13985" s="5">
        <v>-96.890501081520995</v>
      </c>
      <c r="L13985" s="5" t="str">
        <f>HYPERLINK("https://maps.google.com/?q=16.81227730298621,-96.89050108152054", "🔗 Ver Mapa")</f>
        <v>🔗 Ver Mapa</v>
      </c>
    </row>
    <row r="13986" spans="1:12" ht="58" x14ac:dyDescent="0.35">
      <c r="A13986" s="6" t="s">
        <v>73</v>
      </c>
      <c r="B13986" s="6" t="s">
        <v>74</v>
      </c>
      <c r="C13986" s="6" t="s">
        <v>3105</v>
      </c>
      <c r="D13986" s="6" t="s">
        <v>76</v>
      </c>
      <c r="E13986" s="6" t="s">
        <v>110</v>
      </c>
      <c r="F13986" s="6" t="s">
        <v>126</v>
      </c>
      <c r="G13986" s="6" t="s">
        <v>894</v>
      </c>
      <c r="H13986" s="6" t="s">
        <v>895</v>
      </c>
      <c r="I13986" s="6" t="s">
        <v>31</v>
      </c>
      <c r="J13986" s="6">
        <v>17.999162242415998</v>
      </c>
      <c r="K13986" s="6">
        <v>-96.756312851114998</v>
      </c>
      <c r="L13986" s="6" t="str">
        <f>HYPERLINK("https://maps.google.com/?q=17.999162242416094,-96.7563128511145", "🔗 Ver Mapa")</f>
        <v>🔗 Ver Mapa</v>
      </c>
    </row>
    <row r="13987" spans="1:12" ht="43.5" x14ac:dyDescent="0.35">
      <c r="A13987" s="5" t="s">
        <v>73</v>
      </c>
      <c r="B13987" s="5" t="s">
        <v>74</v>
      </c>
      <c r="C13987" s="5" t="s">
        <v>3106</v>
      </c>
      <c r="D13987" s="5" t="s">
        <v>76</v>
      </c>
      <c r="E13987" s="5" t="s">
        <v>52</v>
      </c>
      <c r="F13987" s="5" t="s">
        <v>53</v>
      </c>
      <c r="G13987" s="5" t="s">
        <v>374</v>
      </c>
      <c r="H13987" s="5" t="s">
        <v>375</v>
      </c>
      <c r="I13987" s="5" t="s">
        <v>31</v>
      </c>
      <c r="J13987" s="5">
        <v>16.93217795</v>
      </c>
      <c r="K13987" s="5">
        <v>-96.608426570000006</v>
      </c>
      <c r="L13987" s="5" t="str">
        <f>HYPERLINK("https://maps.google.com/?q=16.93217795,-96.60842657", "🔗 Ver Mapa")</f>
        <v>🔗 Ver Mapa</v>
      </c>
    </row>
    <row r="13988" spans="1:12" ht="43.5" x14ac:dyDescent="0.35">
      <c r="A13988" s="6" t="s">
        <v>73</v>
      </c>
      <c r="B13988" s="6" t="s">
        <v>74</v>
      </c>
      <c r="C13988" s="6" t="s">
        <v>3107</v>
      </c>
      <c r="D13988" s="6" t="s">
        <v>76</v>
      </c>
      <c r="E13988" s="6" t="s">
        <v>17</v>
      </c>
      <c r="F13988" s="6" t="s">
        <v>59</v>
      </c>
      <c r="G13988" s="6" t="s">
        <v>2038</v>
      </c>
      <c r="H13988" s="6" t="s">
        <v>3108</v>
      </c>
      <c r="I13988" s="6" t="s">
        <v>31</v>
      </c>
      <c r="J13988" s="6">
        <v>16.371255059999999</v>
      </c>
      <c r="K13988" s="6">
        <v>-98.247792720000007</v>
      </c>
      <c r="L13988" s="6" t="str">
        <f>HYPERLINK("https://maps.google.com/?q=16.37125506,-98.24779272", "🔗 Ver Mapa")</f>
        <v>🔗 Ver Mapa</v>
      </c>
    </row>
    <row r="13989" spans="1:12" ht="43.5" x14ac:dyDescent="0.35">
      <c r="A13989" s="5" t="s">
        <v>73</v>
      </c>
      <c r="B13989" s="5" t="s">
        <v>74</v>
      </c>
      <c r="C13989" s="5" t="s">
        <v>3109</v>
      </c>
      <c r="D13989" s="5" t="s">
        <v>76</v>
      </c>
      <c r="E13989" s="5" t="s">
        <v>140</v>
      </c>
      <c r="F13989" s="5" t="s">
        <v>141</v>
      </c>
      <c r="G13989" s="5" t="s">
        <v>258</v>
      </c>
      <c r="H13989" s="5" t="s">
        <v>558</v>
      </c>
      <c r="I13989" s="5" t="s">
        <v>31</v>
      </c>
      <c r="J13989" s="5">
        <v>18.257769972274001</v>
      </c>
      <c r="K13989" s="5">
        <v>-96.284230650807004</v>
      </c>
      <c r="L13989" s="5" t="str">
        <f>HYPERLINK("https://maps.google.com/?q=18.257769972273753,-96.28423065080734", "🔗 Ver Mapa")</f>
        <v>🔗 Ver Mapa</v>
      </c>
    </row>
    <row r="13990" spans="1:12" ht="43.5" x14ac:dyDescent="0.35">
      <c r="A13990" s="6" t="s">
        <v>73</v>
      </c>
      <c r="B13990" s="6" t="s">
        <v>74</v>
      </c>
      <c r="C13990" s="6" t="s">
        <v>3110</v>
      </c>
      <c r="D13990" s="6" t="s">
        <v>76</v>
      </c>
      <c r="E13990" s="6" t="s">
        <v>17</v>
      </c>
      <c r="F13990" s="6" t="s">
        <v>59</v>
      </c>
      <c r="G13990" s="6" t="s">
        <v>2117</v>
      </c>
      <c r="H13990" s="6" t="s">
        <v>2483</v>
      </c>
      <c r="I13990" s="6" t="s">
        <v>31</v>
      </c>
      <c r="J13990" s="6">
        <v>16.330960810000001</v>
      </c>
      <c r="K13990" s="6">
        <v>-98.371276260000002</v>
      </c>
      <c r="L13990" s="6" t="str">
        <f>HYPERLINK("https://maps.google.com/?q=16.33096081,-98.37127626", "🔗 Ver Mapa")</f>
        <v>🔗 Ver Mapa</v>
      </c>
    </row>
    <row r="13991" spans="1:12" ht="43.5" x14ac:dyDescent="0.35">
      <c r="A13991" s="5" t="s">
        <v>73</v>
      </c>
      <c r="B13991" s="5" t="s">
        <v>74</v>
      </c>
      <c r="C13991" s="5" t="s">
        <v>3111</v>
      </c>
      <c r="D13991" s="5" t="s">
        <v>76</v>
      </c>
      <c r="E13991" s="5" t="s">
        <v>140</v>
      </c>
      <c r="F13991" s="5" t="s">
        <v>141</v>
      </c>
      <c r="G13991" s="5" t="s">
        <v>258</v>
      </c>
      <c r="H13991" s="5" t="s">
        <v>553</v>
      </c>
      <c r="I13991" s="5" t="s">
        <v>31</v>
      </c>
      <c r="J13991" s="5">
        <v>18.21689825</v>
      </c>
      <c r="K13991" s="5">
        <v>-96.333371400000004</v>
      </c>
      <c r="L13991" s="5" t="str">
        <f>HYPERLINK("https://maps.google.com/?q=18.21689825,-96.3333714", "🔗 Ver Mapa")</f>
        <v>🔗 Ver Mapa</v>
      </c>
    </row>
    <row r="13992" spans="1:12" ht="87" x14ac:dyDescent="0.35">
      <c r="A13992" s="6" t="s">
        <v>73</v>
      </c>
      <c r="B13992" s="6" t="s">
        <v>74</v>
      </c>
      <c r="C13992" s="6" t="s">
        <v>3112</v>
      </c>
      <c r="D13992" s="6" t="s">
        <v>76</v>
      </c>
      <c r="E13992" s="6" t="s">
        <v>16</v>
      </c>
      <c r="F13992" s="6" t="s">
        <v>145</v>
      </c>
      <c r="G13992" s="6" t="s">
        <v>1863</v>
      </c>
      <c r="H13992" s="6" t="s">
        <v>1864</v>
      </c>
      <c r="I13992" s="6" t="s">
        <v>31</v>
      </c>
      <c r="J13992" s="6">
        <v>17.643507016198001</v>
      </c>
      <c r="K13992" s="6">
        <v>-97.811460896745999</v>
      </c>
      <c r="L13992" s="6" t="str">
        <f>HYPERLINK("https://maps.google.com/?q=17.643507016197812,-97.81146089674624", "🔗 Ver Mapa")</f>
        <v>🔗 Ver Mapa</v>
      </c>
    </row>
    <row r="13993" spans="1:12" ht="58" x14ac:dyDescent="0.35">
      <c r="A13993" s="5" t="s">
        <v>73</v>
      </c>
      <c r="B13993" s="5" t="s">
        <v>74</v>
      </c>
      <c r="C13993" s="5" t="s">
        <v>3113</v>
      </c>
      <c r="D13993" s="5" t="s">
        <v>76</v>
      </c>
      <c r="E13993" s="5" t="s">
        <v>52</v>
      </c>
      <c r="F13993" s="5" t="s">
        <v>443</v>
      </c>
      <c r="G13993" s="5" t="s">
        <v>2275</v>
      </c>
      <c r="H13993" s="5" t="s">
        <v>2276</v>
      </c>
      <c r="I13993" s="5" t="s">
        <v>31</v>
      </c>
      <c r="J13993" s="5">
        <v>16.686912084412999</v>
      </c>
      <c r="K13993" s="5">
        <v>-96.852908624869002</v>
      </c>
      <c r="L13993" s="5" t="str">
        <f>HYPERLINK("https://maps.google.com/?q=16.686912084412846,-96.85290862486889", "🔗 Ver Mapa")</f>
        <v>🔗 Ver Mapa</v>
      </c>
    </row>
    <row r="13994" spans="1:12" ht="29" x14ac:dyDescent="0.35">
      <c r="A13994" s="6" t="s">
        <v>782</v>
      </c>
      <c r="B13994" s="6" t="s">
        <v>783</v>
      </c>
      <c r="C13994" s="6" t="s">
        <v>3114</v>
      </c>
      <c r="D13994" s="6" t="s">
        <v>785</v>
      </c>
      <c r="E13994" s="6" t="s">
        <v>16</v>
      </c>
      <c r="F13994" s="6" t="s">
        <v>19</v>
      </c>
      <c r="G13994" s="6" t="s">
        <v>563</v>
      </c>
      <c r="H13994" s="6" t="s">
        <v>3115</v>
      </c>
      <c r="I13994" s="6" t="s">
        <v>31</v>
      </c>
      <c r="J13994" s="6">
        <v>17.606717729494999</v>
      </c>
      <c r="K13994" s="6">
        <v>-97.197719471390997</v>
      </c>
      <c r="L13994" s="6" t="str">
        <f>HYPERLINK("https://maps.google.com/?q=17.606717729494548,-97.197719471391", "🔗 Ver Mapa")</f>
        <v>🔗 Ver Mapa</v>
      </c>
    </row>
    <row r="13995" spans="1:12" ht="29" x14ac:dyDescent="0.35">
      <c r="A13995" s="5" t="s">
        <v>782</v>
      </c>
      <c r="B13995" s="5" t="s">
        <v>783</v>
      </c>
      <c r="C13995" s="5" t="s">
        <v>3116</v>
      </c>
      <c r="D13995" s="5" t="s">
        <v>785</v>
      </c>
      <c r="E13995" s="5" t="s">
        <v>140</v>
      </c>
      <c r="F13995" s="5" t="s">
        <v>624</v>
      </c>
      <c r="G13995" s="5" t="s">
        <v>849</v>
      </c>
      <c r="H13995" s="5" t="s">
        <v>3032</v>
      </c>
      <c r="I13995" s="5" t="s">
        <v>31</v>
      </c>
      <c r="J13995" s="5">
        <v>17.584634051209001</v>
      </c>
      <c r="K13995" s="5">
        <v>-95.778403116682</v>
      </c>
      <c r="L13995" s="5" t="str">
        <f>HYPERLINK("https://maps.google.com/?q=17.58463405120864,-95.7784031166825", "🔗 Ver Mapa")</f>
        <v>🔗 Ver Mapa</v>
      </c>
    </row>
    <row r="13996" spans="1:12" ht="43.5" x14ac:dyDescent="0.35">
      <c r="A13996" s="6" t="s">
        <v>66</v>
      </c>
      <c r="B13996" s="6" t="s">
        <v>67</v>
      </c>
      <c r="C13996" s="6" t="s">
        <v>68</v>
      </c>
      <c r="D13996" s="6" t="s">
        <v>69</v>
      </c>
      <c r="E13996" s="6" t="s">
        <v>52</v>
      </c>
      <c r="F13996" s="6" t="s">
        <v>70</v>
      </c>
      <c r="G13996" s="6" t="s">
        <v>71</v>
      </c>
      <c r="H13996" s="6" t="s">
        <v>72</v>
      </c>
      <c r="I13996" s="6" t="s">
        <v>31</v>
      </c>
      <c r="J13996" s="6">
        <v>17.078447594107999</v>
      </c>
      <c r="K13996" s="6">
        <v>-96.711226860438998</v>
      </c>
      <c r="L13996" s="6" t="str">
        <f>HYPERLINK("https://maps.google.com/?q=17.0784475941075,-96.711226860438761075", "🔗 Ver Mapa")</f>
        <v>🔗 Ver Mapa</v>
      </c>
    </row>
    <row r="13997" spans="1:12" ht="58" x14ac:dyDescent="0.35">
      <c r="A13997" s="5" t="s">
        <v>288</v>
      </c>
      <c r="B13997" s="5" t="s">
        <v>289</v>
      </c>
      <c r="C13997" s="5" t="s">
        <v>3117</v>
      </c>
      <c r="D13997" s="5" t="s">
        <v>332</v>
      </c>
      <c r="E13997" s="5" t="s">
        <v>17</v>
      </c>
      <c r="F13997" s="5" t="s">
        <v>20</v>
      </c>
      <c r="G13997" s="5" t="s">
        <v>208</v>
      </c>
      <c r="H13997" s="5" t="s">
        <v>3118</v>
      </c>
      <c r="I13997" s="5" t="s">
        <v>31</v>
      </c>
      <c r="J13997" s="5">
        <v>15.801358333333001</v>
      </c>
      <c r="K13997" s="5">
        <v>-96.092211111110998</v>
      </c>
      <c r="L13997" s="5" t="str">
        <f>HYPERLINK("https://maps.google.com/?q=15.8013583333333,-96.0922111111111", "🔗 Ver Mapa")</f>
        <v>🔗 Ver Mapa</v>
      </c>
    </row>
    <row r="13998" spans="1:12" ht="58" x14ac:dyDescent="0.35">
      <c r="A13998" s="6" t="s">
        <v>288</v>
      </c>
      <c r="B13998" s="6" t="s">
        <v>289</v>
      </c>
      <c r="C13998" s="6" t="s">
        <v>3119</v>
      </c>
      <c r="D13998" s="6" t="s">
        <v>332</v>
      </c>
      <c r="E13998" s="6" t="s">
        <v>17</v>
      </c>
      <c r="F13998" s="6" t="s">
        <v>20</v>
      </c>
      <c r="G13998" s="6" t="s">
        <v>208</v>
      </c>
      <c r="H13998" s="6" t="s">
        <v>3120</v>
      </c>
      <c r="I13998" s="6" t="s">
        <v>31</v>
      </c>
      <c r="J13998" s="6">
        <v>15.768283</v>
      </c>
      <c r="K13998" s="6">
        <v>-96.15325</v>
      </c>
      <c r="L13998" s="6" t="str">
        <f>HYPERLINK("https://maps.google.com/?q=15.768283,-96.153250", "🔗 Ver Mapa")</f>
        <v>🔗 Ver Mapa</v>
      </c>
    </row>
    <row r="13999" spans="1:12" ht="43.5" x14ac:dyDescent="0.35">
      <c r="A13999" s="5" t="s">
        <v>321</v>
      </c>
      <c r="B13999" s="5" t="s">
        <v>322</v>
      </c>
      <c r="C13999" s="5" t="s">
        <v>3121</v>
      </c>
      <c r="D13999" s="5" t="s">
        <v>69</v>
      </c>
      <c r="E13999" s="5" t="s">
        <v>324</v>
      </c>
      <c r="F13999" s="5" t="s">
        <v>325</v>
      </c>
      <c r="G13999" s="5" t="s">
        <v>326</v>
      </c>
      <c r="H13999" s="5" t="s">
        <v>327</v>
      </c>
      <c r="I13999" s="5" t="s">
        <v>31</v>
      </c>
      <c r="J13999" s="5">
        <v>15.746143999999999</v>
      </c>
      <c r="K13999" s="5">
        <v>-96.465182999999996</v>
      </c>
      <c r="L13999" s="5" t="str">
        <f>HYPERLINK("https://maps.google.com/?q=15.746144,-96.465182999999996", "🔗 Ver Mapa")</f>
        <v>🔗 Ver Mapa</v>
      </c>
    </row>
    <row r="14000" spans="1:12" ht="43.5" x14ac:dyDescent="0.35">
      <c r="A14000" s="6" t="s">
        <v>321</v>
      </c>
      <c r="B14000" s="6" t="s">
        <v>322</v>
      </c>
      <c r="C14000" s="6" t="s">
        <v>3121</v>
      </c>
      <c r="D14000" s="6" t="s">
        <v>69</v>
      </c>
      <c r="E14000" s="6" t="s">
        <v>324</v>
      </c>
      <c r="F14000" s="6" t="s">
        <v>325</v>
      </c>
      <c r="G14000" s="6" t="s">
        <v>326</v>
      </c>
      <c r="H14000" s="6" t="s">
        <v>327</v>
      </c>
      <c r="I14000" s="6" t="s">
        <v>31</v>
      </c>
      <c r="J14000" s="6">
        <v>16.237075999999998</v>
      </c>
      <c r="K14000" s="6">
        <v>-97.292351999999994</v>
      </c>
      <c r="L14000" s="6" t="str">
        <f>HYPERLINK("https://maps.google.com/?q=16.237076,-97.292351999999994", "🔗 Ver Mapa")</f>
        <v>🔗 Ver Mapa</v>
      </c>
    </row>
    <row r="14001" spans="1:12" ht="43.5" x14ac:dyDescent="0.35">
      <c r="A14001" s="5" t="s">
        <v>321</v>
      </c>
      <c r="B14001" s="5" t="s">
        <v>322</v>
      </c>
      <c r="C14001" s="5" t="s">
        <v>3121</v>
      </c>
      <c r="D14001" s="5" t="s">
        <v>69</v>
      </c>
      <c r="E14001" s="5" t="s">
        <v>324</v>
      </c>
      <c r="F14001" s="5" t="s">
        <v>325</v>
      </c>
      <c r="G14001" s="5" t="s">
        <v>326</v>
      </c>
      <c r="H14001" s="5" t="s">
        <v>327</v>
      </c>
      <c r="I14001" s="5" t="s">
        <v>31</v>
      </c>
      <c r="J14001" s="5">
        <v>16.279057999999999</v>
      </c>
      <c r="K14001" s="5">
        <v>-97.820240999999996</v>
      </c>
      <c r="L14001" s="5" t="str">
        <f>HYPERLINK("https://maps.google.com/?q=16.279058,-97.820240999999996", "🔗 Ver Mapa")</f>
        <v>🔗 Ver Mapa</v>
      </c>
    </row>
    <row r="14002" spans="1:12" ht="43.5" x14ac:dyDescent="0.35">
      <c r="A14002" s="6" t="s">
        <v>321</v>
      </c>
      <c r="B14002" s="6" t="s">
        <v>322</v>
      </c>
      <c r="C14002" s="6" t="s">
        <v>3121</v>
      </c>
      <c r="D14002" s="6" t="s">
        <v>69</v>
      </c>
      <c r="E14002" s="6" t="s">
        <v>324</v>
      </c>
      <c r="F14002" s="6" t="s">
        <v>325</v>
      </c>
      <c r="G14002" s="6" t="s">
        <v>326</v>
      </c>
      <c r="H14002" s="6" t="s">
        <v>327</v>
      </c>
      <c r="I14002" s="6" t="s">
        <v>31</v>
      </c>
      <c r="J14002" s="6">
        <v>16.328751</v>
      </c>
      <c r="K14002" s="6">
        <v>-96.596529000000004</v>
      </c>
      <c r="L14002" s="6" t="str">
        <f>HYPERLINK("https://maps.google.com/?q=16.328751,-96.596529000000004", "🔗 Ver Mapa")</f>
        <v>🔗 Ver Mapa</v>
      </c>
    </row>
    <row r="14003" spans="1:12" ht="43.5" x14ac:dyDescent="0.35">
      <c r="A14003" s="5" t="s">
        <v>321</v>
      </c>
      <c r="B14003" s="5" t="s">
        <v>322</v>
      </c>
      <c r="C14003" s="5" t="s">
        <v>3121</v>
      </c>
      <c r="D14003" s="5" t="s">
        <v>69</v>
      </c>
      <c r="E14003" s="5" t="s">
        <v>324</v>
      </c>
      <c r="F14003" s="5" t="s">
        <v>325</v>
      </c>
      <c r="G14003" s="5" t="s">
        <v>326</v>
      </c>
      <c r="H14003" s="5" t="s">
        <v>327</v>
      </c>
      <c r="I14003" s="5" t="s">
        <v>31</v>
      </c>
      <c r="J14003" s="5">
        <v>16.332014000000001</v>
      </c>
      <c r="K14003" s="5">
        <v>-95.231966</v>
      </c>
      <c r="L14003" s="5" t="str">
        <f>HYPERLINK("https://maps.google.com/?q=16.332014,-95.231966", "🔗 Ver Mapa")</f>
        <v>🔗 Ver Mapa</v>
      </c>
    </row>
    <row r="14004" spans="1:12" ht="43.5" x14ac:dyDescent="0.35">
      <c r="A14004" s="6" t="s">
        <v>321</v>
      </c>
      <c r="B14004" s="6" t="s">
        <v>322</v>
      </c>
      <c r="C14004" s="6" t="s">
        <v>3121</v>
      </c>
      <c r="D14004" s="6" t="s">
        <v>69</v>
      </c>
      <c r="E14004" s="6" t="s">
        <v>324</v>
      </c>
      <c r="F14004" s="6" t="s">
        <v>325</v>
      </c>
      <c r="G14004" s="6" t="s">
        <v>326</v>
      </c>
      <c r="H14004" s="6" t="s">
        <v>327</v>
      </c>
      <c r="I14004" s="6" t="s">
        <v>31</v>
      </c>
      <c r="J14004" s="6">
        <v>17.026216000000002</v>
      </c>
      <c r="K14004" s="6">
        <v>-97.928115000000005</v>
      </c>
      <c r="L14004" s="6" t="str">
        <f>HYPERLINK("https://maps.google.com/?q=17.026216,-97.928115000000005", "🔗 Ver Mapa")</f>
        <v>🔗 Ver Mapa</v>
      </c>
    </row>
    <row r="14005" spans="1:12" ht="43.5" x14ac:dyDescent="0.35">
      <c r="A14005" s="5" t="s">
        <v>321</v>
      </c>
      <c r="B14005" s="5" t="s">
        <v>322</v>
      </c>
      <c r="C14005" s="5" t="s">
        <v>3121</v>
      </c>
      <c r="D14005" s="5" t="s">
        <v>69</v>
      </c>
      <c r="E14005" s="5" t="s">
        <v>324</v>
      </c>
      <c r="F14005" s="5" t="s">
        <v>325</v>
      </c>
      <c r="G14005" s="5" t="s">
        <v>326</v>
      </c>
      <c r="H14005" s="5" t="s">
        <v>327</v>
      </c>
      <c r="I14005" s="5" t="s">
        <v>31</v>
      </c>
      <c r="J14005" s="5">
        <v>17.027131000000001</v>
      </c>
      <c r="K14005" s="5">
        <v>-96.077044000000001</v>
      </c>
      <c r="L14005" s="5" t="str">
        <f>HYPERLINK("https://maps.google.com/?q=17.027131,-96.077044000000001", "🔗 Ver Mapa")</f>
        <v>🔗 Ver Mapa</v>
      </c>
    </row>
    <row r="14006" spans="1:12" ht="43.5" x14ac:dyDescent="0.35">
      <c r="A14006" s="6" t="s">
        <v>321</v>
      </c>
      <c r="B14006" s="6" t="s">
        <v>322</v>
      </c>
      <c r="C14006" s="6" t="s">
        <v>3121</v>
      </c>
      <c r="D14006" s="6" t="s">
        <v>69</v>
      </c>
      <c r="E14006" s="6" t="s">
        <v>324</v>
      </c>
      <c r="F14006" s="6" t="s">
        <v>325</v>
      </c>
      <c r="G14006" s="6" t="s">
        <v>326</v>
      </c>
      <c r="H14006" s="6" t="s">
        <v>327</v>
      </c>
      <c r="I14006" s="6" t="s">
        <v>31</v>
      </c>
      <c r="J14006" s="6">
        <v>17.267448999999999</v>
      </c>
      <c r="K14006" s="6">
        <v>-97.680485000000004</v>
      </c>
      <c r="L14006" s="6" t="str">
        <f>HYPERLINK("https://maps.google.com/?q=17.267449,-97.680485000000004", "🔗 Ver Mapa")</f>
        <v>🔗 Ver Mapa</v>
      </c>
    </row>
    <row r="14007" spans="1:12" ht="43.5" x14ac:dyDescent="0.35">
      <c r="A14007" s="5" t="s">
        <v>321</v>
      </c>
      <c r="B14007" s="5" t="s">
        <v>322</v>
      </c>
      <c r="C14007" s="5" t="s">
        <v>3121</v>
      </c>
      <c r="D14007" s="5" t="s">
        <v>69</v>
      </c>
      <c r="E14007" s="5" t="s">
        <v>324</v>
      </c>
      <c r="F14007" s="5" t="s">
        <v>325</v>
      </c>
      <c r="G14007" s="5" t="s">
        <v>326</v>
      </c>
      <c r="H14007" s="5" t="s">
        <v>327</v>
      </c>
      <c r="I14007" s="5" t="s">
        <v>31</v>
      </c>
      <c r="J14007" s="5">
        <v>17.511838000000001</v>
      </c>
      <c r="K14007" s="5">
        <v>-97.488547999999994</v>
      </c>
      <c r="L14007" s="5" t="str">
        <f>HYPERLINK("https://maps.google.com/?q=17.511838,-97.488547999999994", "🔗 Ver Mapa")</f>
        <v>🔗 Ver Mapa</v>
      </c>
    </row>
    <row r="14008" spans="1:12" ht="43.5" x14ac:dyDescent="0.35">
      <c r="A14008" s="6" t="s">
        <v>321</v>
      </c>
      <c r="B14008" s="6" t="s">
        <v>322</v>
      </c>
      <c r="C14008" s="6" t="s">
        <v>3121</v>
      </c>
      <c r="D14008" s="6" t="s">
        <v>69</v>
      </c>
      <c r="E14008" s="6" t="s">
        <v>324</v>
      </c>
      <c r="F14008" s="6" t="s">
        <v>325</v>
      </c>
      <c r="G14008" s="6" t="s">
        <v>326</v>
      </c>
      <c r="H14008" s="6" t="s">
        <v>327</v>
      </c>
      <c r="I14008" s="6" t="s">
        <v>31</v>
      </c>
      <c r="J14008" s="6">
        <v>18.081168999999999</v>
      </c>
      <c r="K14008" s="6">
        <v>-96.118475000000004</v>
      </c>
      <c r="L14008" s="6" t="str">
        <f>HYPERLINK("https://maps.google.com/?q=18.081169,-96.118475000000004", "🔗 Ver Mapa")</f>
        <v>🔗 Ver Mapa</v>
      </c>
    </row>
    <row r="14009" spans="1:12" ht="29" x14ac:dyDescent="0.35">
      <c r="A14009" s="5" t="s">
        <v>3122</v>
      </c>
      <c r="B14009" s="5" t="s">
        <v>3123</v>
      </c>
      <c r="C14009" s="5" t="s">
        <v>3124</v>
      </c>
      <c r="D14009" s="5" t="s">
        <v>399</v>
      </c>
      <c r="E14009" s="5" t="s">
        <v>52</v>
      </c>
      <c r="F14009" s="5" t="s">
        <v>70</v>
      </c>
      <c r="G14009" s="5" t="s">
        <v>601</v>
      </c>
      <c r="H14009" s="5" t="s">
        <v>602</v>
      </c>
      <c r="I14009" s="5" t="s">
        <v>31</v>
      </c>
      <c r="J14009" s="5">
        <v>17.054894947417001</v>
      </c>
      <c r="K14009" s="5">
        <v>-96.654273272650002</v>
      </c>
      <c r="L14009" s="5" t="str">
        <f>HYPERLINK("https://maps.google.com/?q=17.054894947417342,-96.65427327264973", "🔗 Ver Mapa")</f>
        <v>🔗 Ver Mapa</v>
      </c>
    </row>
    <row r="14010" spans="1:12" ht="58" x14ac:dyDescent="0.35">
      <c r="A14010" s="6" t="s">
        <v>1714</v>
      </c>
      <c r="B14010" s="6" t="s">
        <v>1715</v>
      </c>
      <c r="C14010" s="6" t="s">
        <v>2775</v>
      </c>
      <c r="D14010" s="6" t="s">
        <v>399</v>
      </c>
      <c r="E14010" s="6" t="s">
        <v>52</v>
      </c>
      <c r="F14010" s="6" t="s">
        <v>70</v>
      </c>
      <c r="G14010" s="6" t="s">
        <v>601</v>
      </c>
      <c r="H14010" s="6" t="s">
        <v>602</v>
      </c>
      <c r="I14010" s="6" t="s">
        <v>31</v>
      </c>
      <c r="J14010" s="6">
        <v>17.054752121884999</v>
      </c>
      <c r="K14010" s="6">
        <v>-96.654372113880996</v>
      </c>
      <c r="L14010" s="6" t="str">
        <f>HYPERLINK("https://maps.google.com/?q=17.0547521218854,-96.65437211388111", "🔗 Ver Mapa")</f>
        <v>🔗 Ver Mapa</v>
      </c>
    </row>
    <row r="14011" spans="1:12" ht="29" x14ac:dyDescent="0.35">
      <c r="A14011" s="5" t="s">
        <v>3125</v>
      </c>
      <c r="B14011" s="5" t="s">
        <v>3126</v>
      </c>
      <c r="C14011" s="5" t="s">
        <v>3127</v>
      </c>
      <c r="D14011" s="5" t="s">
        <v>399</v>
      </c>
      <c r="E14011" s="5" t="s">
        <v>324</v>
      </c>
      <c r="F14011" s="5" t="s">
        <v>325</v>
      </c>
      <c r="G14011" s="5" t="s">
        <v>326</v>
      </c>
      <c r="H14011" s="5" t="s">
        <v>327</v>
      </c>
      <c r="I14011" s="5" t="s">
        <v>31</v>
      </c>
      <c r="J14011" s="5">
        <v>17.077956171899</v>
      </c>
      <c r="K14011" s="5">
        <v>-96.706515952393005</v>
      </c>
      <c r="L14011" s="5" t="str">
        <f>HYPERLINK("https://maps.google.com/?q=17.0779561718991,-96.70651595239258", "🔗 Ver Mapa")</f>
        <v>🔗 Ver Mapa</v>
      </c>
    </row>
    <row r="14012" spans="1:12" ht="43.5" x14ac:dyDescent="0.35">
      <c r="A14012" s="6" t="s">
        <v>1647</v>
      </c>
      <c r="B14012" s="6" t="s">
        <v>1648</v>
      </c>
      <c r="C14012" s="6" t="s">
        <v>3128</v>
      </c>
      <c r="D14012" s="6" t="s">
        <v>600</v>
      </c>
      <c r="E14012" s="6" t="s">
        <v>52</v>
      </c>
      <c r="F14012" s="6" t="s">
        <v>70</v>
      </c>
      <c r="G14012" s="6" t="s">
        <v>71</v>
      </c>
      <c r="H14012" s="6" t="s">
        <v>72</v>
      </c>
      <c r="I14012" s="6" t="s">
        <v>31</v>
      </c>
      <c r="J14012" s="6">
        <v>17.066507999999999</v>
      </c>
      <c r="K14012" s="6">
        <v>-96.710515999999998</v>
      </c>
      <c r="L14012" s="6" t="str">
        <f>HYPERLINK("https://maps.google.com/?q=17.066508,-96.710516", "🔗 Ver Mapa")</f>
        <v>🔗 Ver Mapa</v>
      </c>
    </row>
    <row r="14013" spans="1:12" ht="43.5" x14ac:dyDescent="0.35">
      <c r="A14013" s="5" t="s">
        <v>309</v>
      </c>
      <c r="B14013" s="5" t="s">
        <v>310</v>
      </c>
      <c r="C14013" s="5" t="s">
        <v>3129</v>
      </c>
      <c r="D14013" s="5" t="s">
        <v>3130</v>
      </c>
      <c r="E14013" s="5" t="s">
        <v>158</v>
      </c>
      <c r="F14013" s="5" t="s">
        <v>159</v>
      </c>
      <c r="G14013" s="5" t="s">
        <v>1012</v>
      </c>
      <c r="H14013" s="5" t="s">
        <v>1013</v>
      </c>
      <c r="I14013" s="5" t="s">
        <v>31</v>
      </c>
      <c r="J14013" s="5">
        <v>16.33953</v>
      </c>
      <c r="K14013" s="5">
        <v>-94.51497474</v>
      </c>
      <c r="L14013" s="5" t="str">
        <f>HYPERLINK("https://maps.google.com/?q=16.33953,-94.51497474", "🔗 Ver Mapa")</f>
        <v>🔗 Ver Mapa</v>
      </c>
    </row>
    <row r="14014" spans="1:12" ht="43.5" x14ac:dyDescent="0.35">
      <c r="A14014" s="6" t="s">
        <v>309</v>
      </c>
      <c r="B14014" s="6" t="s">
        <v>310</v>
      </c>
      <c r="C14014" s="6" t="s">
        <v>3131</v>
      </c>
      <c r="D14014" s="6" t="s">
        <v>312</v>
      </c>
      <c r="E14014" s="6" t="s">
        <v>158</v>
      </c>
      <c r="F14014" s="6" t="s">
        <v>166</v>
      </c>
      <c r="G14014" s="6" t="s">
        <v>815</v>
      </c>
      <c r="H14014" s="6" t="s">
        <v>3132</v>
      </c>
      <c r="I14014" s="6" t="s">
        <v>31</v>
      </c>
      <c r="J14014" s="6">
        <v>16.442603999999999</v>
      </c>
      <c r="K14014" s="6">
        <v>-95.532038999999997</v>
      </c>
      <c r="L14014" s="6" t="str">
        <f>HYPERLINK("https://maps.google.com/?q=16.442604,-95.532039", "🔗 Ver Mapa")</f>
        <v>🔗 Ver Mapa</v>
      </c>
    </row>
    <row r="14015" spans="1:12" ht="43.5" x14ac:dyDescent="0.35">
      <c r="A14015" s="5" t="s">
        <v>309</v>
      </c>
      <c r="B14015" s="5" t="s">
        <v>310</v>
      </c>
      <c r="C14015" s="5" t="s">
        <v>3133</v>
      </c>
      <c r="D14015" s="5" t="s">
        <v>312</v>
      </c>
      <c r="E14015" s="5" t="s">
        <v>17</v>
      </c>
      <c r="F14015" s="5" t="s">
        <v>20</v>
      </c>
      <c r="G14015" s="5" t="s">
        <v>436</v>
      </c>
      <c r="H14015" s="5" t="s">
        <v>596</v>
      </c>
      <c r="I14015" s="5" t="s">
        <v>31</v>
      </c>
      <c r="J14015" s="5">
        <v>15.884112</v>
      </c>
      <c r="K14015" s="5">
        <v>-96.415430000000001</v>
      </c>
      <c r="L14015" s="5" t="str">
        <f>HYPERLINK("https://maps.google.com/?q=15.884112,-96.41543", "🔗 Ver Mapa")</f>
        <v>🔗 Ver Mapa</v>
      </c>
    </row>
    <row r="14016" spans="1:12" ht="43.5" x14ac:dyDescent="0.35">
      <c r="A14016" s="6" t="s">
        <v>309</v>
      </c>
      <c r="B14016" s="6" t="s">
        <v>310</v>
      </c>
      <c r="C14016" s="6" t="s">
        <v>3134</v>
      </c>
      <c r="D14016" s="6" t="s">
        <v>312</v>
      </c>
      <c r="E14016" s="6" t="s">
        <v>17</v>
      </c>
      <c r="F14016" s="6" t="s">
        <v>20</v>
      </c>
      <c r="G14016" s="6" t="s">
        <v>436</v>
      </c>
      <c r="H14016" s="6" t="s">
        <v>596</v>
      </c>
      <c r="I14016" s="6" t="s">
        <v>31</v>
      </c>
      <c r="J14016" s="6">
        <v>15.882493999999999</v>
      </c>
      <c r="K14016" s="6">
        <v>-96.409640999999993</v>
      </c>
      <c r="L14016" s="6" t="str">
        <f>HYPERLINK("https://maps.google.com/?q=15.882494,-96.409641", "🔗 Ver Mapa")</f>
        <v>🔗 Ver Mapa</v>
      </c>
    </row>
    <row r="14017" spans="1:12" ht="43.5" x14ac:dyDescent="0.35">
      <c r="A14017" s="5" t="s">
        <v>309</v>
      </c>
      <c r="B14017" s="5" t="s">
        <v>310</v>
      </c>
      <c r="C14017" s="5" t="s">
        <v>3135</v>
      </c>
      <c r="D14017" s="5" t="s">
        <v>312</v>
      </c>
      <c r="E14017" s="5" t="s">
        <v>17</v>
      </c>
      <c r="F14017" s="5" t="s">
        <v>20</v>
      </c>
      <c r="G14017" s="5" t="s">
        <v>24</v>
      </c>
      <c r="H14017" s="5" t="s">
        <v>28</v>
      </c>
      <c r="I14017" s="5" t="s">
        <v>31</v>
      </c>
      <c r="J14017" s="5">
        <v>15.747343000000001</v>
      </c>
      <c r="K14017" s="5">
        <v>-96.467337999999998</v>
      </c>
      <c r="L14017" s="5" t="str">
        <f>HYPERLINK("https://maps.google.com/?q=15.747343,-96.467338", "🔗 Ver Mapa")</f>
        <v>🔗 Ver Mapa</v>
      </c>
    </row>
    <row r="14018" spans="1:12" ht="43.5" x14ac:dyDescent="0.35">
      <c r="A14018" s="6" t="s">
        <v>309</v>
      </c>
      <c r="B14018" s="6" t="s">
        <v>310</v>
      </c>
      <c r="C14018" s="6" t="s">
        <v>3136</v>
      </c>
      <c r="D14018" s="6" t="s">
        <v>312</v>
      </c>
      <c r="E14018" s="6" t="s">
        <v>90</v>
      </c>
      <c r="F14018" s="6" t="s">
        <v>678</v>
      </c>
      <c r="G14018" s="6" t="s">
        <v>1927</v>
      </c>
      <c r="H14018" s="6" t="s">
        <v>3137</v>
      </c>
      <c r="I14018" s="6" t="s">
        <v>31</v>
      </c>
      <c r="J14018" s="6">
        <v>17.389323000000001</v>
      </c>
      <c r="K14018" s="6">
        <v>-96.111386999999993</v>
      </c>
      <c r="L14018" s="6" t="str">
        <f>HYPERLINK("https://maps.google.com/?q=17.389323,-96.111387", "🔗 Ver Mapa")</f>
        <v>🔗 Ver Mapa</v>
      </c>
    </row>
    <row r="14019" spans="1:12" ht="43.5" x14ac:dyDescent="0.35">
      <c r="A14019" s="5" t="s">
        <v>309</v>
      </c>
      <c r="B14019" s="5" t="s">
        <v>310</v>
      </c>
      <c r="C14019" s="5" t="s">
        <v>3138</v>
      </c>
      <c r="D14019" s="5" t="s">
        <v>312</v>
      </c>
      <c r="E14019" s="5" t="s">
        <v>90</v>
      </c>
      <c r="F14019" s="5" t="s">
        <v>119</v>
      </c>
      <c r="G14019" s="5" t="s">
        <v>347</v>
      </c>
      <c r="H14019" s="5" t="s">
        <v>348</v>
      </c>
      <c r="I14019" s="5" t="s">
        <v>31</v>
      </c>
      <c r="J14019" s="5">
        <v>17.333003000000001</v>
      </c>
      <c r="K14019" s="5">
        <v>-96.492542</v>
      </c>
      <c r="L14019" s="5" t="str">
        <f>HYPERLINK("https://maps.google.com/?q=17.333003,-96.492542", "🔗 Ver Mapa")</f>
        <v>🔗 Ver Mapa</v>
      </c>
    </row>
    <row r="14020" spans="1:12" ht="43.5" x14ac:dyDescent="0.35">
      <c r="A14020" s="6" t="s">
        <v>309</v>
      </c>
      <c r="B14020" s="6" t="s">
        <v>310</v>
      </c>
      <c r="C14020" s="6" t="s">
        <v>3139</v>
      </c>
      <c r="D14020" s="6" t="s">
        <v>312</v>
      </c>
      <c r="E14020" s="6" t="s">
        <v>52</v>
      </c>
      <c r="F14020" s="6" t="s">
        <v>101</v>
      </c>
      <c r="G14020" s="6" t="s">
        <v>362</v>
      </c>
      <c r="H14020" s="6" t="s">
        <v>3140</v>
      </c>
      <c r="I14020" s="6" t="s">
        <v>31</v>
      </c>
      <c r="J14020" s="6">
        <v>16.9097106</v>
      </c>
      <c r="K14020" s="6">
        <v>-96.708949099999998</v>
      </c>
      <c r="L14020" s="6" t="str">
        <f>HYPERLINK("https://maps.google.com/?q=16.9097106,-96.7089491", "🔗 Ver Mapa")</f>
        <v>🔗 Ver Mapa</v>
      </c>
    </row>
    <row r="14021" spans="1:12" ht="43.5" x14ac:dyDescent="0.35">
      <c r="A14021" s="5" t="s">
        <v>309</v>
      </c>
      <c r="B14021" s="5" t="s">
        <v>310</v>
      </c>
      <c r="C14021" s="5" t="s">
        <v>3141</v>
      </c>
      <c r="D14021" s="5" t="s">
        <v>312</v>
      </c>
      <c r="E14021" s="5" t="s">
        <v>16</v>
      </c>
      <c r="F14021" s="5" t="s">
        <v>409</v>
      </c>
      <c r="G14021" s="5" t="s">
        <v>3142</v>
      </c>
      <c r="H14021" s="5" t="s">
        <v>3143</v>
      </c>
      <c r="I14021" s="5" t="s">
        <v>31</v>
      </c>
      <c r="J14021" s="5">
        <v>17.816344999999998</v>
      </c>
      <c r="K14021" s="5">
        <v>-97.434696000000002</v>
      </c>
      <c r="L14021" s="5" t="str">
        <f>HYPERLINK("https://maps.google.com/?q=17.816345,-97.434696", "🔗 Ver Mapa")</f>
        <v>🔗 Ver Mapa</v>
      </c>
    </row>
    <row r="14022" spans="1:12" ht="58" x14ac:dyDescent="0.35">
      <c r="A14022" s="6" t="s">
        <v>309</v>
      </c>
      <c r="B14022" s="6" t="s">
        <v>310</v>
      </c>
      <c r="C14022" s="6" t="s">
        <v>3144</v>
      </c>
      <c r="D14022" s="6" t="s">
        <v>312</v>
      </c>
      <c r="E14022" s="6" t="s">
        <v>52</v>
      </c>
      <c r="F14022" s="6" t="s">
        <v>70</v>
      </c>
      <c r="G14022" s="6" t="s">
        <v>272</v>
      </c>
      <c r="H14022" s="6" t="s">
        <v>320</v>
      </c>
      <c r="I14022" s="6" t="s">
        <v>31</v>
      </c>
      <c r="J14022" s="6">
        <v>16.909980699999998</v>
      </c>
      <c r="K14022" s="6">
        <v>-96.720372999999995</v>
      </c>
      <c r="L14022" s="6" t="str">
        <f>HYPERLINK("https://maps.google.com/?q=16.9099807,-96.720373", "🔗 Ver Mapa")</f>
        <v>🔗 Ver Mapa</v>
      </c>
    </row>
    <row r="14023" spans="1:12" ht="43.5" x14ac:dyDescent="0.35">
      <c r="A14023" s="5" t="s">
        <v>309</v>
      </c>
      <c r="B14023" s="5" t="s">
        <v>310</v>
      </c>
      <c r="C14023" s="5" t="s">
        <v>3145</v>
      </c>
      <c r="D14023" s="5" t="s">
        <v>312</v>
      </c>
      <c r="E14023" s="5" t="s">
        <v>158</v>
      </c>
      <c r="F14023" s="5" t="s">
        <v>159</v>
      </c>
      <c r="G14023" s="5" t="s">
        <v>808</v>
      </c>
      <c r="H14023" s="5" t="s">
        <v>809</v>
      </c>
      <c r="I14023" s="5" t="s">
        <v>31</v>
      </c>
      <c r="J14023" s="5">
        <v>16.475573000000001</v>
      </c>
      <c r="K14023" s="5">
        <v>-94.349846999999997</v>
      </c>
      <c r="L14023" s="5" t="str">
        <f>HYPERLINK("https://maps.google.com/?q=16.475573,-94.349847", "🔗 Ver Mapa")</f>
        <v>🔗 Ver Mapa</v>
      </c>
    </row>
    <row r="14024" spans="1:12" ht="43.5" x14ac:dyDescent="0.35">
      <c r="A14024" s="6" t="s">
        <v>782</v>
      </c>
      <c r="B14024" s="6" t="s">
        <v>783</v>
      </c>
      <c r="C14024" s="6" t="s">
        <v>3146</v>
      </c>
      <c r="D14024" s="6" t="s">
        <v>785</v>
      </c>
      <c r="E14024" s="6" t="s">
        <v>52</v>
      </c>
      <c r="F14024" s="6" t="s">
        <v>53</v>
      </c>
      <c r="G14024" s="6" t="s">
        <v>1747</v>
      </c>
      <c r="H14024" s="6" t="s">
        <v>1750</v>
      </c>
      <c r="I14024" s="6" t="s">
        <v>31</v>
      </c>
      <c r="J14024" s="6">
        <v>16.917500629176001</v>
      </c>
      <c r="K14024" s="6">
        <v>-96.348134789572001</v>
      </c>
      <c r="L14024" s="6" t="str">
        <f>HYPERLINK("https://maps.google.com/?q=16.9175006291756,-96.3481347895723", "🔗 Ver Mapa")</f>
        <v>🔗 Ver Mapa</v>
      </c>
    </row>
    <row r="14025" spans="1:12" ht="43.5" x14ac:dyDescent="0.35">
      <c r="A14025" s="5" t="s">
        <v>1647</v>
      </c>
      <c r="B14025" s="5" t="s">
        <v>1648</v>
      </c>
      <c r="C14025" s="5" t="s">
        <v>3147</v>
      </c>
      <c r="D14025" s="5" t="s">
        <v>600</v>
      </c>
      <c r="E14025" s="5" t="s">
        <v>52</v>
      </c>
      <c r="F14025" s="5" t="s">
        <v>70</v>
      </c>
      <c r="G14025" s="5" t="s">
        <v>71</v>
      </c>
      <c r="H14025" s="5" t="s">
        <v>72</v>
      </c>
      <c r="I14025" s="5" t="s">
        <v>31</v>
      </c>
      <c r="J14025" s="5">
        <v>17.066004</v>
      </c>
      <c r="K14025" s="5">
        <v>-96.711978999999999</v>
      </c>
      <c r="L14025" s="5" t="str">
        <f>HYPERLINK("https://maps.google.com/?q=17.066004,-96.711979", "🔗 Ver Mapa")</f>
        <v>🔗 Ver Mapa</v>
      </c>
    </row>
    <row r="14026" spans="1:12" ht="29" x14ac:dyDescent="0.35">
      <c r="A14026" s="6" t="s">
        <v>396</v>
      </c>
      <c r="B14026" s="6" t="s">
        <v>397</v>
      </c>
      <c r="C14026" s="6" t="s">
        <v>3148</v>
      </c>
      <c r="D14026" s="6" t="s">
        <v>399</v>
      </c>
      <c r="E14026" s="6" t="s">
        <v>52</v>
      </c>
      <c r="F14026" s="6" t="s">
        <v>70</v>
      </c>
      <c r="G14026" s="6" t="s">
        <v>71</v>
      </c>
      <c r="H14026" s="6" t="s">
        <v>72</v>
      </c>
      <c r="I14026" s="6" t="s">
        <v>31</v>
      </c>
      <c r="J14026" s="6">
        <v>17.06840657</v>
      </c>
      <c r="K14026" s="6">
        <v>-96.719610591000006</v>
      </c>
      <c r="L14026" s="6" t="str">
        <f>HYPERLINK("https://maps.google.com/?q=17.06840657,-96.719610591", "🔗 Ver Mapa")</f>
        <v>🔗 Ver Mapa</v>
      </c>
    </row>
    <row r="14027" spans="1:12" ht="43.5" x14ac:dyDescent="0.35">
      <c r="A14027" s="5" t="s">
        <v>396</v>
      </c>
      <c r="B14027" s="5" t="s">
        <v>397</v>
      </c>
      <c r="C14027" s="5" t="s">
        <v>3149</v>
      </c>
      <c r="D14027" s="5" t="s">
        <v>399</v>
      </c>
      <c r="E14027" s="5" t="s">
        <v>52</v>
      </c>
      <c r="F14027" s="5" t="s">
        <v>70</v>
      </c>
      <c r="G14027" s="5" t="s">
        <v>71</v>
      </c>
      <c r="H14027" s="5" t="s">
        <v>72</v>
      </c>
      <c r="I14027" s="5" t="s">
        <v>32</v>
      </c>
      <c r="J14027" s="5">
        <v>17.057455345329</v>
      </c>
      <c r="K14027" s="5">
        <v>-96.726467170101998</v>
      </c>
      <c r="L14027" s="5" t="str">
        <f>HYPERLINK("https://maps.google.com/?q=17.0574553453287,-96.7264671701015", "🔗 Ver Mapa")</f>
        <v>🔗 Ver Mapa</v>
      </c>
    </row>
    <row r="14028" spans="1:12" ht="43.5" x14ac:dyDescent="0.35">
      <c r="A14028" s="6" t="s">
        <v>396</v>
      </c>
      <c r="B14028" s="6" t="s">
        <v>397</v>
      </c>
      <c r="C14028" s="6" t="s">
        <v>3149</v>
      </c>
      <c r="D14028" s="6" t="s">
        <v>399</v>
      </c>
      <c r="E14028" s="6" t="s">
        <v>52</v>
      </c>
      <c r="F14028" s="6" t="s">
        <v>70</v>
      </c>
      <c r="G14028" s="6" t="s">
        <v>71</v>
      </c>
      <c r="H14028" s="6" t="s">
        <v>72</v>
      </c>
      <c r="I14028" s="6" t="s">
        <v>32</v>
      </c>
      <c r="J14028" s="6">
        <v>17.058188520297001</v>
      </c>
      <c r="K14028" s="6">
        <v>-96.725348285476002</v>
      </c>
      <c r="L14028" s="6" t="str">
        <f>HYPERLINK("https://maps.google.com/?q=17.0581885202974,-96.725348285475604", "🔗 Ver Mapa")</f>
        <v>🔗 Ver Mapa</v>
      </c>
    </row>
    <row r="14029" spans="1:12" ht="43.5" x14ac:dyDescent="0.35">
      <c r="A14029" s="5" t="s">
        <v>396</v>
      </c>
      <c r="B14029" s="5" t="s">
        <v>397</v>
      </c>
      <c r="C14029" s="5" t="s">
        <v>3149</v>
      </c>
      <c r="D14029" s="5" t="s">
        <v>399</v>
      </c>
      <c r="E14029" s="5" t="s">
        <v>52</v>
      </c>
      <c r="F14029" s="5" t="s">
        <v>70</v>
      </c>
      <c r="G14029" s="5" t="s">
        <v>71</v>
      </c>
      <c r="H14029" s="5" t="s">
        <v>72</v>
      </c>
      <c r="I14029" s="5" t="s">
        <v>32</v>
      </c>
      <c r="J14029" s="5">
        <v>17.058306625231999</v>
      </c>
      <c r="K14029" s="5">
        <v>-96.726294998203997</v>
      </c>
      <c r="L14029" s="5" t="str">
        <f>HYPERLINK("https://maps.google.com/?q=17.0583066252321,-96.726294998203599", "🔗 Ver Mapa")</f>
        <v>🔗 Ver Mapa</v>
      </c>
    </row>
    <row r="14030" spans="1:12" ht="43.5" x14ac:dyDescent="0.35">
      <c r="A14030" s="6" t="s">
        <v>396</v>
      </c>
      <c r="B14030" s="6" t="s">
        <v>397</v>
      </c>
      <c r="C14030" s="6" t="s">
        <v>3149</v>
      </c>
      <c r="D14030" s="6" t="s">
        <v>399</v>
      </c>
      <c r="E14030" s="6" t="s">
        <v>52</v>
      </c>
      <c r="F14030" s="6" t="s">
        <v>70</v>
      </c>
      <c r="G14030" s="6" t="s">
        <v>71</v>
      </c>
      <c r="H14030" s="6" t="s">
        <v>72</v>
      </c>
      <c r="I14030" s="6" t="s">
        <v>32</v>
      </c>
      <c r="J14030" s="6">
        <v>17.058391092891998</v>
      </c>
      <c r="K14030" s="6">
        <v>-96.726308516209997</v>
      </c>
      <c r="L14030" s="6" t="str">
        <f>HYPERLINK("https://maps.google.com/?q=17.0583910928916,-96.726308516209798", "🔗 Ver Mapa")</f>
        <v>🔗 Ver Mapa</v>
      </c>
    </row>
    <row r="14031" spans="1:12" ht="43.5" x14ac:dyDescent="0.35">
      <c r="A14031" s="5" t="s">
        <v>396</v>
      </c>
      <c r="B14031" s="5" t="s">
        <v>397</v>
      </c>
      <c r="C14031" s="5" t="s">
        <v>3149</v>
      </c>
      <c r="D14031" s="5" t="s">
        <v>399</v>
      </c>
      <c r="E14031" s="5" t="s">
        <v>52</v>
      </c>
      <c r="F14031" s="5" t="s">
        <v>70</v>
      </c>
      <c r="G14031" s="5" t="s">
        <v>71</v>
      </c>
      <c r="H14031" s="5" t="s">
        <v>72</v>
      </c>
      <c r="I14031" s="5" t="s">
        <v>32</v>
      </c>
      <c r="J14031" s="5">
        <v>17.058398699244002</v>
      </c>
      <c r="K14031" s="5">
        <v>-96.726315452286002</v>
      </c>
      <c r="L14031" s="5" t="str">
        <f>HYPERLINK("https://maps.google.com/?q=17.0583986992442,-96.726315452285505", "🔗 Ver Mapa")</f>
        <v>🔗 Ver Mapa</v>
      </c>
    </row>
    <row r="14032" spans="1:12" ht="43.5" x14ac:dyDescent="0.35">
      <c r="A14032" s="6" t="s">
        <v>396</v>
      </c>
      <c r="B14032" s="6" t="s">
        <v>397</v>
      </c>
      <c r="C14032" s="6" t="s">
        <v>3149</v>
      </c>
      <c r="D14032" s="6" t="s">
        <v>399</v>
      </c>
      <c r="E14032" s="6" t="s">
        <v>52</v>
      </c>
      <c r="F14032" s="6" t="s">
        <v>70</v>
      </c>
      <c r="G14032" s="6" t="s">
        <v>71</v>
      </c>
      <c r="H14032" s="6" t="s">
        <v>72</v>
      </c>
      <c r="I14032" s="6" t="s">
        <v>32</v>
      </c>
      <c r="J14032" s="6">
        <v>17.059303862671001</v>
      </c>
      <c r="K14032" s="6">
        <v>-96.726130379880999</v>
      </c>
      <c r="L14032" s="6" t="str">
        <f>HYPERLINK("https://maps.google.com/?q=17.0593038626711,-96.726130379881397", "🔗 Ver Mapa")</f>
        <v>🔗 Ver Mapa</v>
      </c>
    </row>
    <row r="14033" spans="1:12" ht="43.5" x14ac:dyDescent="0.35">
      <c r="A14033" s="5" t="s">
        <v>396</v>
      </c>
      <c r="B14033" s="5" t="s">
        <v>397</v>
      </c>
      <c r="C14033" s="5" t="s">
        <v>3149</v>
      </c>
      <c r="D14033" s="5" t="s">
        <v>399</v>
      </c>
      <c r="E14033" s="5" t="s">
        <v>52</v>
      </c>
      <c r="F14033" s="5" t="s">
        <v>70</v>
      </c>
      <c r="G14033" s="5" t="s">
        <v>71</v>
      </c>
      <c r="H14033" s="5" t="s">
        <v>72</v>
      </c>
      <c r="I14033" s="5" t="s">
        <v>32</v>
      </c>
      <c r="J14033" s="5">
        <v>17.059311641558999</v>
      </c>
      <c r="K14033" s="5">
        <v>-96.726123443803004</v>
      </c>
      <c r="L14033" s="5" t="str">
        <f>HYPERLINK("https://maps.google.com/?q=17.0593116415592,-96.726123443802607", "🔗 Ver Mapa")</f>
        <v>🔗 Ver Mapa</v>
      </c>
    </row>
    <row r="14034" spans="1:12" ht="43.5" x14ac:dyDescent="0.35">
      <c r="A14034" s="6" t="s">
        <v>396</v>
      </c>
      <c r="B14034" s="6" t="s">
        <v>397</v>
      </c>
      <c r="C14034" s="6" t="s">
        <v>3149</v>
      </c>
      <c r="D14034" s="6" t="s">
        <v>399</v>
      </c>
      <c r="E14034" s="6" t="s">
        <v>52</v>
      </c>
      <c r="F14034" s="6" t="s">
        <v>70</v>
      </c>
      <c r="G14034" s="6" t="s">
        <v>71</v>
      </c>
      <c r="H14034" s="6" t="s">
        <v>72</v>
      </c>
      <c r="I14034" s="6" t="s">
        <v>32</v>
      </c>
      <c r="J14034" s="6">
        <v>17.060260391676</v>
      </c>
      <c r="K14034" s="6">
        <v>-96.725938371398001</v>
      </c>
      <c r="L14034" s="6" t="str">
        <f>HYPERLINK("https://maps.google.com/?q=17.0602603916762,-96.725938371398499", "🔗 Ver Mapa")</f>
        <v>🔗 Ver Mapa</v>
      </c>
    </row>
    <row r="14035" spans="1:12" ht="43.5" x14ac:dyDescent="0.35">
      <c r="A14035" s="5" t="s">
        <v>396</v>
      </c>
      <c r="B14035" s="5" t="s">
        <v>397</v>
      </c>
      <c r="C14035" s="5" t="s">
        <v>3149</v>
      </c>
      <c r="D14035" s="5" t="s">
        <v>399</v>
      </c>
      <c r="E14035" s="5" t="s">
        <v>52</v>
      </c>
      <c r="F14035" s="5" t="s">
        <v>70</v>
      </c>
      <c r="G14035" s="5" t="s">
        <v>71</v>
      </c>
      <c r="H14035" s="5" t="s">
        <v>72</v>
      </c>
      <c r="I14035" s="5" t="s">
        <v>32</v>
      </c>
      <c r="J14035" s="5">
        <v>17.060262955870002</v>
      </c>
      <c r="K14035" s="5">
        <v>-96.725933007029994</v>
      </c>
      <c r="L14035" s="5" t="str">
        <f>HYPERLINK("https://maps.google.com/?q=17.0602629558699,-96.725933007029795", "🔗 Ver Mapa")</f>
        <v>🔗 Ver Mapa</v>
      </c>
    </row>
    <row r="14036" spans="1:12" ht="43.5" x14ac:dyDescent="0.35">
      <c r="A14036" s="6" t="s">
        <v>396</v>
      </c>
      <c r="B14036" s="6" t="s">
        <v>397</v>
      </c>
      <c r="C14036" s="6" t="s">
        <v>3149</v>
      </c>
      <c r="D14036" s="6" t="s">
        <v>399</v>
      </c>
      <c r="E14036" s="6" t="s">
        <v>52</v>
      </c>
      <c r="F14036" s="6" t="s">
        <v>70</v>
      </c>
      <c r="G14036" s="6" t="s">
        <v>71</v>
      </c>
      <c r="H14036" s="6" t="s">
        <v>72</v>
      </c>
      <c r="I14036" s="6" t="s">
        <v>32</v>
      </c>
      <c r="J14036" s="6">
        <v>17.060442448591001</v>
      </c>
      <c r="K14036" s="6">
        <v>-96.726855686842001</v>
      </c>
      <c r="L14036" s="6" t="str">
        <f>HYPERLINK("https://maps.google.com/?q=17.0604424485906,-96.726855686841503", "🔗 Ver Mapa")</f>
        <v>🔗 Ver Mapa</v>
      </c>
    </row>
    <row r="14037" spans="1:12" ht="43.5" x14ac:dyDescent="0.35">
      <c r="A14037" s="5" t="s">
        <v>396</v>
      </c>
      <c r="B14037" s="5" t="s">
        <v>397</v>
      </c>
      <c r="C14037" s="5" t="s">
        <v>3150</v>
      </c>
      <c r="D14037" s="5" t="s">
        <v>399</v>
      </c>
      <c r="E14037" s="5" t="s">
        <v>52</v>
      </c>
      <c r="F14037" s="5" t="s">
        <v>70</v>
      </c>
      <c r="G14037" s="5" t="s">
        <v>71</v>
      </c>
      <c r="H14037" s="5" t="s">
        <v>72</v>
      </c>
      <c r="I14037" s="5" t="s">
        <v>32</v>
      </c>
      <c r="J14037" s="5">
        <v>17.06007</v>
      </c>
      <c r="K14037" s="5">
        <v>-96.724990000000005</v>
      </c>
      <c r="L14037" s="5" t="str">
        <f>HYPERLINK("https://maps.google.com/?q=17.06007,-96.72499", "🔗 Ver Mapa")</f>
        <v>🔗 Ver Mapa</v>
      </c>
    </row>
    <row r="14038" spans="1:12" ht="43.5" x14ac:dyDescent="0.35">
      <c r="A14038" s="6" t="s">
        <v>396</v>
      </c>
      <c r="B14038" s="6" t="s">
        <v>397</v>
      </c>
      <c r="C14038" s="6" t="s">
        <v>3150</v>
      </c>
      <c r="D14038" s="6" t="s">
        <v>399</v>
      </c>
      <c r="E14038" s="6" t="s">
        <v>52</v>
      </c>
      <c r="F14038" s="6" t="s">
        <v>70</v>
      </c>
      <c r="G14038" s="6" t="s">
        <v>71</v>
      </c>
      <c r="H14038" s="6" t="s">
        <v>72</v>
      </c>
      <c r="I14038" s="6" t="s">
        <v>32</v>
      </c>
      <c r="J14038" s="6">
        <v>17.06025</v>
      </c>
      <c r="K14038" s="6">
        <v>-96.725909999999999</v>
      </c>
      <c r="L14038" s="6" t="str">
        <f>HYPERLINK("https://maps.google.com/?q=17.06025,-96.72591", "🔗 Ver Mapa")</f>
        <v>🔗 Ver Mapa</v>
      </c>
    </row>
    <row r="14039" spans="1:12" ht="43.5" x14ac:dyDescent="0.35">
      <c r="A14039" s="5" t="s">
        <v>396</v>
      </c>
      <c r="B14039" s="5" t="s">
        <v>397</v>
      </c>
      <c r="C14039" s="5" t="s">
        <v>3150</v>
      </c>
      <c r="D14039" s="5" t="s">
        <v>399</v>
      </c>
      <c r="E14039" s="5" t="s">
        <v>52</v>
      </c>
      <c r="F14039" s="5" t="s">
        <v>70</v>
      </c>
      <c r="G14039" s="5" t="s">
        <v>71</v>
      </c>
      <c r="H14039" s="5" t="s">
        <v>72</v>
      </c>
      <c r="I14039" s="5" t="s">
        <v>32</v>
      </c>
      <c r="J14039" s="5">
        <v>17.060970000000001</v>
      </c>
      <c r="K14039" s="5">
        <v>-96.724779999999996</v>
      </c>
      <c r="L14039" s="5" t="str">
        <f>HYPERLINK("https://maps.google.com/?q=17.06097,-96.72478", "🔗 Ver Mapa")</f>
        <v>🔗 Ver Mapa</v>
      </c>
    </row>
    <row r="14040" spans="1:12" ht="43.5" x14ac:dyDescent="0.35">
      <c r="A14040" s="6" t="s">
        <v>396</v>
      </c>
      <c r="B14040" s="6" t="s">
        <v>397</v>
      </c>
      <c r="C14040" s="6" t="s">
        <v>3150</v>
      </c>
      <c r="D14040" s="6" t="s">
        <v>399</v>
      </c>
      <c r="E14040" s="6" t="s">
        <v>52</v>
      </c>
      <c r="F14040" s="6" t="s">
        <v>70</v>
      </c>
      <c r="G14040" s="6" t="s">
        <v>71</v>
      </c>
      <c r="H14040" s="6" t="s">
        <v>72</v>
      </c>
      <c r="I14040" s="6" t="s">
        <v>32</v>
      </c>
      <c r="J14040" s="6">
        <v>17.061150000000001</v>
      </c>
      <c r="K14040" s="6">
        <v>-96.725710000000007</v>
      </c>
      <c r="L14040" s="6" t="str">
        <f>HYPERLINK("https://maps.google.com/?q=17.06115,-96.72571", "🔗 Ver Mapa")</f>
        <v>🔗 Ver Mapa</v>
      </c>
    </row>
    <row r="14041" spans="1:12" ht="43.5" x14ac:dyDescent="0.35">
      <c r="A14041" s="5" t="s">
        <v>73</v>
      </c>
      <c r="B14041" s="5" t="s">
        <v>74</v>
      </c>
      <c r="C14041" s="5" t="s">
        <v>3151</v>
      </c>
      <c r="D14041" s="5" t="s">
        <v>76</v>
      </c>
      <c r="E14041" s="5" t="s">
        <v>52</v>
      </c>
      <c r="F14041" s="5" t="s">
        <v>70</v>
      </c>
      <c r="G14041" s="5" t="s">
        <v>71</v>
      </c>
      <c r="H14041" s="5" t="s">
        <v>72</v>
      </c>
      <c r="I14041" s="5" t="s">
        <v>31</v>
      </c>
      <c r="J14041" s="5">
        <v>17.078275501854002</v>
      </c>
      <c r="K14041" s="5">
        <v>-96.744811379037998</v>
      </c>
      <c r="L14041" s="5" t="str">
        <f>HYPERLINK("https://maps.google.com/?q=17.078275501854232,-96.74481137903801", "🔗 Ver Mapa")</f>
        <v>🔗 Ver Mapa</v>
      </c>
    </row>
    <row r="14042" spans="1:12" ht="43.5" x14ac:dyDescent="0.35">
      <c r="A14042" s="6" t="s">
        <v>73</v>
      </c>
      <c r="B14042" s="6" t="s">
        <v>74</v>
      </c>
      <c r="C14042" s="6" t="s">
        <v>3152</v>
      </c>
      <c r="D14042" s="6" t="s">
        <v>76</v>
      </c>
      <c r="E14042" s="6" t="s">
        <v>158</v>
      </c>
      <c r="F14042" s="6" t="s">
        <v>166</v>
      </c>
      <c r="G14042" s="6" t="s">
        <v>1847</v>
      </c>
      <c r="H14042" s="6" t="s">
        <v>1848</v>
      </c>
      <c r="I14042" s="6" t="s">
        <v>31</v>
      </c>
      <c r="J14042" s="6">
        <v>16.489711272594999</v>
      </c>
      <c r="K14042" s="6">
        <v>-95.142500889106003</v>
      </c>
      <c r="L14042" s="6" t="str">
        <f>HYPERLINK("https://maps.google.com/?q=16.489711272594725,-95.14250088910646", "🔗 Ver Mapa")</f>
        <v>🔗 Ver Mapa</v>
      </c>
    </row>
    <row r="14043" spans="1:12" ht="43.5" x14ac:dyDescent="0.35">
      <c r="A14043" s="5" t="s">
        <v>73</v>
      </c>
      <c r="B14043" s="5" t="s">
        <v>74</v>
      </c>
      <c r="C14043" s="5" t="s">
        <v>3153</v>
      </c>
      <c r="D14043" s="5" t="s">
        <v>76</v>
      </c>
      <c r="E14043" s="5" t="s">
        <v>52</v>
      </c>
      <c r="F14043" s="5" t="s">
        <v>70</v>
      </c>
      <c r="G14043" s="5" t="s">
        <v>71</v>
      </c>
      <c r="H14043" s="5" t="s">
        <v>72</v>
      </c>
      <c r="I14043" s="5" t="s">
        <v>31</v>
      </c>
      <c r="J14043" s="5">
        <v>17.07858105319</v>
      </c>
      <c r="K14043" s="5">
        <v>-96.744643024368997</v>
      </c>
      <c r="L14043" s="5" t="str">
        <f>HYPERLINK("https://maps.google.com/?q=17.07858105319038,-96.74464302436864", "🔗 Ver Mapa")</f>
        <v>🔗 Ver Mapa</v>
      </c>
    </row>
    <row r="14044" spans="1:12" ht="58" x14ac:dyDescent="0.35">
      <c r="A14044" s="6" t="s">
        <v>73</v>
      </c>
      <c r="B14044" s="6" t="s">
        <v>74</v>
      </c>
      <c r="C14044" s="6" t="s">
        <v>3154</v>
      </c>
      <c r="D14044" s="6" t="s">
        <v>76</v>
      </c>
      <c r="E14044" s="6" t="s">
        <v>158</v>
      </c>
      <c r="F14044" s="6" t="s">
        <v>166</v>
      </c>
      <c r="G14044" s="6" t="s">
        <v>819</v>
      </c>
      <c r="H14044" s="6" t="s">
        <v>3098</v>
      </c>
      <c r="I14044" s="6" t="s">
        <v>31</v>
      </c>
      <c r="J14044" s="6">
        <v>16.158740000000002</v>
      </c>
      <c r="K14044" s="6">
        <v>-95.238596000000001</v>
      </c>
      <c r="L14044" s="6" t="str">
        <f>HYPERLINK("https://maps.google.com/?q=16.15874,-95.238596", "🔗 Ver Mapa")</f>
        <v>🔗 Ver Mapa</v>
      </c>
    </row>
    <row r="14045" spans="1:12" ht="43.5" x14ac:dyDescent="0.35">
      <c r="A14045" s="5" t="s">
        <v>339</v>
      </c>
      <c r="B14045" s="5" t="s">
        <v>340</v>
      </c>
      <c r="C14045" s="5" t="s">
        <v>3155</v>
      </c>
      <c r="D14045" s="5" t="s">
        <v>342</v>
      </c>
      <c r="E14045" s="5" t="s">
        <v>52</v>
      </c>
      <c r="F14045" s="5" t="s">
        <v>70</v>
      </c>
      <c r="G14045" s="5" t="s">
        <v>71</v>
      </c>
      <c r="H14045" s="5" t="s">
        <v>1035</v>
      </c>
      <c r="I14045" s="5" t="s">
        <v>31</v>
      </c>
      <c r="J14045" s="5">
        <v>17.068498000000002</v>
      </c>
      <c r="K14045" s="5" t="s">
        <v>2525</v>
      </c>
      <c r="L14045" s="5" t="str">
        <f>HYPERLINK("https://maps.google.com/?q=17.068498,-96.720205 ", "🔗 Ver Mapa")</f>
        <v>🔗 Ver Mapa</v>
      </c>
    </row>
    <row r="14046" spans="1:12" ht="43.5" x14ac:dyDescent="0.35">
      <c r="A14046" s="6" t="s">
        <v>1647</v>
      </c>
      <c r="B14046" s="6" t="s">
        <v>1648</v>
      </c>
      <c r="C14046" s="6" t="s">
        <v>3156</v>
      </c>
      <c r="D14046" s="6" t="s">
        <v>950</v>
      </c>
      <c r="E14046" s="6" t="s">
        <v>52</v>
      </c>
      <c r="F14046" s="6" t="s">
        <v>70</v>
      </c>
      <c r="G14046" s="6" t="s">
        <v>71</v>
      </c>
      <c r="H14046" s="6" t="s">
        <v>72</v>
      </c>
      <c r="I14046" s="6" t="s">
        <v>31</v>
      </c>
      <c r="J14046" s="6">
        <v>17.059644899999999</v>
      </c>
      <c r="K14046" s="6">
        <v>-96.716332399999999</v>
      </c>
      <c r="L14046" s="6" t="str">
        <f>HYPERLINK("https://maps.google.com/?q=17.0596449,-96.7163324", "🔗 Ver Mapa")</f>
        <v>🔗 Ver Mapa</v>
      </c>
    </row>
    <row r="14047" spans="1:12" ht="43.5" x14ac:dyDescent="0.35">
      <c r="A14047" s="5" t="s">
        <v>1650</v>
      </c>
      <c r="B14047" s="5" t="s">
        <v>1651</v>
      </c>
      <c r="C14047" s="5" t="s">
        <v>3157</v>
      </c>
      <c r="D14047" s="5" t="s">
        <v>76</v>
      </c>
      <c r="E14047" s="5" t="s">
        <v>52</v>
      </c>
      <c r="F14047" s="5" t="s">
        <v>70</v>
      </c>
      <c r="G14047" s="5" t="s">
        <v>317</v>
      </c>
      <c r="H14047" s="5" t="s">
        <v>318</v>
      </c>
      <c r="I14047" s="5" t="s">
        <v>31</v>
      </c>
      <c r="J14047" s="5">
        <v>17.064966569999999</v>
      </c>
      <c r="K14047" s="5">
        <v>-96.692447759999993</v>
      </c>
      <c r="L14047" s="5" t="str">
        <f>HYPERLINK("https://maps.google.com/?q=17.06496657,-96.69244776", "🔗 Ver Mapa")</f>
        <v>🔗 Ver Mapa</v>
      </c>
    </row>
    <row r="14048" spans="1:12" ht="29" x14ac:dyDescent="0.35">
      <c r="A14048" s="6" t="s">
        <v>339</v>
      </c>
      <c r="B14048" s="6" t="s">
        <v>340</v>
      </c>
      <c r="C14048" s="6" t="s">
        <v>341</v>
      </c>
      <c r="D14048" s="6" t="s">
        <v>342</v>
      </c>
      <c r="E14048" s="6" t="s">
        <v>52</v>
      </c>
      <c r="F14048" s="6" t="s">
        <v>70</v>
      </c>
      <c r="G14048" s="6" t="s">
        <v>71</v>
      </c>
      <c r="H14048" s="6" t="s">
        <v>72</v>
      </c>
      <c r="I14048" s="6" t="s">
        <v>31</v>
      </c>
      <c r="J14048" s="6">
        <v>17.068498000000002</v>
      </c>
      <c r="K14048" s="6" t="s">
        <v>2525</v>
      </c>
      <c r="L14048" s="6" t="str">
        <f>HYPERLINK("https://maps.google.com/?q=17.068498,-96.720205 ", "🔗 Ver Mapa")</f>
        <v>🔗 Ver Mapa</v>
      </c>
    </row>
    <row r="14049" spans="1:12" ht="43.5" x14ac:dyDescent="0.35">
      <c r="A14049" s="5" t="s">
        <v>339</v>
      </c>
      <c r="B14049" s="5" t="s">
        <v>340</v>
      </c>
      <c r="C14049" s="5" t="s">
        <v>3158</v>
      </c>
      <c r="D14049" s="5" t="s">
        <v>342</v>
      </c>
      <c r="E14049" s="5" t="s">
        <v>52</v>
      </c>
      <c r="F14049" s="5" t="s">
        <v>70</v>
      </c>
      <c r="G14049" s="5" t="s">
        <v>71</v>
      </c>
      <c r="H14049" s="5" t="s">
        <v>72</v>
      </c>
      <c r="I14049" s="5" t="s">
        <v>31</v>
      </c>
      <c r="J14049" s="5">
        <v>17.063659000000001</v>
      </c>
      <c r="K14049" s="5">
        <v>-96.729594000000006</v>
      </c>
      <c r="L14049" s="5" t="str">
        <f>HYPERLINK("https://maps.google.com/?q=17.063659,-96.729594", "🔗 Ver Mapa")</f>
        <v>🔗 Ver Mapa</v>
      </c>
    </row>
    <row r="14050" spans="1:12" ht="43.5" x14ac:dyDescent="0.35">
      <c r="A14050" s="6" t="s">
        <v>339</v>
      </c>
      <c r="B14050" s="6" t="s">
        <v>340</v>
      </c>
      <c r="C14050" s="6" t="s">
        <v>3158</v>
      </c>
      <c r="D14050" s="6" t="s">
        <v>342</v>
      </c>
      <c r="E14050" s="6" t="s">
        <v>52</v>
      </c>
      <c r="F14050" s="6" t="s">
        <v>70</v>
      </c>
      <c r="G14050" s="6" t="s">
        <v>71</v>
      </c>
      <c r="H14050" s="6" t="s">
        <v>72</v>
      </c>
      <c r="I14050" s="6" t="s">
        <v>31</v>
      </c>
      <c r="J14050" s="6">
        <v>17.667316</v>
      </c>
      <c r="K14050" s="6">
        <v>-97.473573000000002</v>
      </c>
      <c r="L14050" s="6" t="str">
        <f>HYPERLINK("https://maps.google.com/?q=17.667316,-97.473573", "🔗 Ver Mapa")</f>
        <v>🔗 Ver Mapa</v>
      </c>
    </row>
    <row r="14051" spans="1:12" ht="43.5" x14ac:dyDescent="0.35">
      <c r="A14051" s="5" t="s">
        <v>339</v>
      </c>
      <c r="B14051" s="5" t="s">
        <v>340</v>
      </c>
      <c r="C14051" s="5" t="s">
        <v>3158</v>
      </c>
      <c r="D14051" s="5" t="s">
        <v>342</v>
      </c>
      <c r="E14051" s="5" t="s">
        <v>52</v>
      </c>
      <c r="F14051" s="5" t="s">
        <v>70</v>
      </c>
      <c r="G14051" s="5" t="s">
        <v>71</v>
      </c>
      <c r="H14051" s="5" t="s">
        <v>72</v>
      </c>
      <c r="I14051" s="5" t="s">
        <v>31</v>
      </c>
      <c r="J14051" s="5">
        <v>17.800894</v>
      </c>
      <c r="K14051" s="5">
        <v>-97.785365999999996</v>
      </c>
      <c r="L14051" s="5" t="str">
        <f>HYPERLINK("https://maps.google.com/?q=17.800894,-97.785366", "🔗 Ver Mapa")</f>
        <v>🔗 Ver Mapa</v>
      </c>
    </row>
    <row r="14052" spans="1:12" ht="43.5" x14ac:dyDescent="0.35">
      <c r="A14052" s="6" t="s">
        <v>3159</v>
      </c>
      <c r="B14052" s="6" t="s">
        <v>3160</v>
      </c>
      <c r="C14052" s="6" t="s">
        <v>3161</v>
      </c>
      <c r="D14052" s="6" t="s">
        <v>745</v>
      </c>
      <c r="E14052" s="6" t="s">
        <v>158</v>
      </c>
      <c r="F14052" s="6" t="s">
        <v>159</v>
      </c>
      <c r="G14052" s="6" t="s">
        <v>766</v>
      </c>
      <c r="H14052" s="6" t="s">
        <v>767</v>
      </c>
      <c r="I14052" s="6" t="s">
        <v>31</v>
      </c>
      <c r="J14052" s="6">
        <v>16.561280040210001</v>
      </c>
      <c r="K14052" s="6">
        <v>-95.122850545606994</v>
      </c>
      <c r="L14052" s="6" t="str">
        <f>HYPERLINK("https://maps.google.com/?q=16.561280040209994,-95.12285054560657", "🔗 Ver Mapa")</f>
        <v>🔗 Ver Mapa</v>
      </c>
    </row>
    <row r="14053" spans="1:12" ht="43.5" x14ac:dyDescent="0.35">
      <c r="A14053" s="5" t="s">
        <v>3159</v>
      </c>
      <c r="B14053" s="5" t="s">
        <v>3160</v>
      </c>
      <c r="C14053" s="5" t="s">
        <v>3162</v>
      </c>
      <c r="D14053" s="5" t="s">
        <v>745</v>
      </c>
      <c r="E14053" s="5" t="s">
        <v>158</v>
      </c>
      <c r="F14053" s="5" t="s">
        <v>159</v>
      </c>
      <c r="G14053" s="5" t="s">
        <v>278</v>
      </c>
      <c r="H14053" s="5" t="s">
        <v>1888</v>
      </c>
      <c r="I14053" s="5" t="s">
        <v>31</v>
      </c>
      <c r="J14053" s="5">
        <v>16.533251961743002</v>
      </c>
      <c r="K14053" s="5">
        <v>-94.956359640504999</v>
      </c>
      <c r="L14053" s="5" t="str">
        <f>HYPERLINK("https://maps.google.com/?q=16.5332519617428,-94.95635964050464", "🔗 Ver Mapa")</f>
        <v>🔗 Ver Mapa</v>
      </c>
    </row>
    <row r="14054" spans="1:12" ht="58" x14ac:dyDescent="0.35">
      <c r="A14054" s="6" t="s">
        <v>73</v>
      </c>
      <c r="B14054" s="6" t="s">
        <v>74</v>
      </c>
      <c r="C14054" s="6" t="s">
        <v>3163</v>
      </c>
      <c r="D14054" s="6" t="s">
        <v>76</v>
      </c>
      <c r="E14054" s="6" t="s">
        <v>16</v>
      </c>
      <c r="F14054" s="6" t="s">
        <v>409</v>
      </c>
      <c r="G14054" s="6" t="s">
        <v>2496</v>
      </c>
      <c r="H14054" s="6" t="s">
        <v>2497</v>
      </c>
      <c r="I14054" s="6" t="s">
        <v>31</v>
      </c>
      <c r="J14054" s="6">
        <v>17.726507401612</v>
      </c>
      <c r="K14054" s="6">
        <v>-97.366726550452995</v>
      </c>
      <c r="L14054" s="6" t="str">
        <f>HYPERLINK("https://maps.google.com/?q=17.72650740161207,-97.3667265504529", "🔗 Ver Mapa")</f>
        <v>🔗 Ver Mapa</v>
      </c>
    </row>
    <row r="14055" spans="1:12" ht="58" x14ac:dyDescent="0.35">
      <c r="A14055" s="5" t="s">
        <v>73</v>
      </c>
      <c r="B14055" s="5" t="s">
        <v>74</v>
      </c>
      <c r="C14055" s="5" t="s">
        <v>3164</v>
      </c>
      <c r="D14055" s="5" t="s">
        <v>76</v>
      </c>
      <c r="E14055" s="5" t="s">
        <v>52</v>
      </c>
      <c r="F14055" s="5" t="s">
        <v>53</v>
      </c>
      <c r="G14055" s="5" t="s">
        <v>2122</v>
      </c>
      <c r="H14055" s="5" t="s">
        <v>3165</v>
      </c>
      <c r="I14055" s="5" t="s">
        <v>31</v>
      </c>
      <c r="J14055" s="5">
        <v>16.997427139446</v>
      </c>
      <c r="K14055" s="5">
        <v>-96.586866775024006</v>
      </c>
      <c r="L14055" s="5" t="str">
        <f>HYPERLINK("https://maps.google.com/?q=16.997427139445698,-96.58686677502428", "🔗 Ver Mapa")</f>
        <v>🔗 Ver Mapa</v>
      </c>
    </row>
    <row r="14056" spans="1:12" ht="58" x14ac:dyDescent="0.35">
      <c r="A14056" s="6" t="s">
        <v>1714</v>
      </c>
      <c r="B14056" s="6" t="s">
        <v>1715</v>
      </c>
      <c r="C14056" s="6" t="s">
        <v>3166</v>
      </c>
      <c r="D14056" s="6" t="s">
        <v>58</v>
      </c>
      <c r="E14056" s="6" t="s">
        <v>52</v>
      </c>
      <c r="F14056" s="6" t="s">
        <v>53</v>
      </c>
      <c r="G14056" s="6" t="s">
        <v>1856</v>
      </c>
      <c r="H14056" s="6" t="s">
        <v>1857</v>
      </c>
      <c r="I14056" s="6" t="s">
        <v>31</v>
      </c>
      <c r="J14056" s="6">
        <v>17.007144638050001</v>
      </c>
      <c r="K14056" s="6">
        <v>-96.581346336330995</v>
      </c>
      <c r="L14056" s="6" t="str">
        <f>HYPERLINK("https://maps.google.com/?q=17.00714463805012,-96.5813463363306", "🔗 Ver Mapa")</f>
        <v>🔗 Ver Mapa</v>
      </c>
    </row>
    <row r="14057" spans="1:12" ht="58" x14ac:dyDescent="0.35">
      <c r="A14057" s="5" t="s">
        <v>1714</v>
      </c>
      <c r="B14057" s="5" t="s">
        <v>1715</v>
      </c>
      <c r="C14057" s="5" t="s">
        <v>3167</v>
      </c>
      <c r="D14057" s="5" t="s">
        <v>58</v>
      </c>
      <c r="E14057" s="5" t="s">
        <v>52</v>
      </c>
      <c r="F14057" s="5" t="s">
        <v>70</v>
      </c>
      <c r="G14057" s="5" t="s">
        <v>689</v>
      </c>
      <c r="H14057" s="5" t="s">
        <v>690</v>
      </c>
      <c r="I14057" s="5" t="s">
        <v>31</v>
      </c>
      <c r="J14057" s="5">
        <v>17.063411306940001</v>
      </c>
      <c r="K14057" s="5">
        <v>-96.820018740604993</v>
      </c>
      <c r="L14057" s="5" t="str">
        <f>HYPERLINK("https://maps.google.com/?q=17.06341130694024,-96.82001874060494", "🔗 Ver Mapa")</f>
        <v>🔗 Ver Mapa</v>
      </c>
    </row>
    <row r="14058" spans="1:12" ht="58" x14ac:dyDescent="0.35">
      <c r="A14058" s="6" t="s">
        <v>1714</v>
      </c>
      <c r="B14058" s="6" t="s">
        <v>1715</v>
      </c>
      <c r="C14058" s="6" t="s">
        <v>3168</v>
      </c>
      <c r="D14058" s="6" t="s">
        <v>58</v>
      </c>
      <c r="E14058" s="6" t="s">
        <v>52</v>
      </c>
      <c r="F14058" s="6" t="s">
        <v>53</v>
      </c>
      <c r="G14058" s="6" t="s">
        <v>54</v>
      </c>
      <c r="H14058" s="6" t="s">
        <v>55</v>
      </c>
      <c r="I14058" s="6" t="s">
        <v>31</v>
      </c>
      <c r="J14058" s="6">
        <v>16.906301806858</v>
      </c>
      <c r="K14058" s="6">
        <v>-96.558829200755</v>
      </c>
      <c r="L14058" s="6" t="str">
        <f>HYPERLINK("https://maps.google.com/?q=16.9063018068578,-96.55882920075472", "🔗 Ver Mapa")</f>
        <v>🔗 Ver Mapa</v>
      </c>
    </row>
    <row r="14059" spans="1:12" ht="43.5" x14ac:dyDescent="0.35">
      <c r="A14059" s="5" t="s">
        <v>73</v>
      </c>
      <c r="B14059" s="5" t="s">
        <v>74</v>
      </c>
      <c r="C14059" s="5" t="s">
        <v>3169</v>
      </c>
      <c r="D14059" s="5" t="s">
        <v>76</v>
      </c>
      <c r="E14059" s="5" t="s">
        <v>39</v>
      </c>
      <c r="F14059" s="5" t="s">
        <v>353</v>
      </c>
      <c r="G14059" s="5" t="s">
        <v>2693</v>
      </c>
      <c r="H14059" s="5" t="s">
        <v>2694</v>
      </c>
      <c r="I14059" s="5" t="s">
        <v>31</v>
      </c>
      <c r="J14059" s="5">
        <v>16.366664380492001</v>
      </c>
      <c r="K14059" s="5">
        <v>-96.639446834246002</v>
      </c>
      <c r="L14059" s="5" t="str">
        <f>HYPERLINK("https://maps.google.com/?q=16.36666438049169,-96.63944683424614", "🔗 Ver Mapa")</f>
        <v>🔗 Ver Mapa</v>
      </c>
    </row>
    <row r="14060" spans="1:12" ht="58" x14ac:dyDescent="0.35">
      <c r="A14060" s="6" t="s">
        <v>73</v>
      </c>
      <c r="B14060" s="6" t="s">
        <v>74</v>
      </c>
      <c r="C14060" s="6" t="s">
        <v>3170</v>
      </c>
      <c r="D14060" s="6" t="s">
        <v>76</v>
      </c>
      <c r="E14060" s="6" t="s">
        <v>39</v>
      </c>
      <c r="F14060" s="6" t="s">
        <v>133</v>
      </c>
      <c r="G14060" s="6" t="s">
        <v>2811</v>
      </c>
      <c r="H14060" s="6" t="s">
        <v>3171</v>
      </c>
      <c r="I14060" s="6" t="s">
        <v>31</v>
      </c>
      <c r="J14060" s="6">
        <v>16.01420624567</v>
      </c>
      <c r="K14060" s="6">
        <v>-95.884722677097002</v>
      </c>
      <c r="L14060" s="6" t="str">
        <f>HYPERLINK("https://maps.google.com/?q=16.014206245670266,-95.88472267709675", "🔗 Ver Mapa")</f>
        <v>🔗 Ver Mapa</v>
      </c>
    </row>
    <row r="14061" spans="1:12" ht="58" x14ac:dyDescent="0.35">
      <c r="A14061" s="5" t="s">
        <v>73</v>
      </c>
      <c r="B14061" s="5" t="s">
        <v>74</v>
      </c>
      <c r="C14061" s="5" t="s">
        <v>3172</v>
      </c>
      <c r="D14061" s="5" t="s">
        <v>76</v>
      </c>
      <c r="E14061" s="5" t="s">
        <v>52</v>
      </c>
      <c r="F14061" s="5" t="s">
        <v>83</v>
      </c>
      <c r="G14061" s="5" t="s">
        <v>3173</v>
      </c>
      <c r="H14061" s="5" t="s">
        <v>3174</v>
      </c>
      <c r="I14061" s="5" t="s">
        <v>31</v>
      </c>
      <c r="J14061" s="5">
        <v>17.414770233412</v>
      </c>
      <c r="K14061" s="5">
        <v>-96.822202027374999</v>
      </c>
      <c r="L14061" s="5" t="str">
        <f>HYPERLINK("https://maps.google.com/?q=17.414770233411588,-96.82220202737456", "🔗 Ver Mapa")</f>
        <v>🔗 Ver Mapa</v>
      </c>
    </row>
    <row r="14062" spans="1:12" ht="58" x14ac:dyDescent="0.35">
      <c r="A14062" s="6" t="s">
        <v>73</v>
      </c>
      <c r="B14062" s="6" t="s">
        <v>74</v>
      </c>
      <c r="C14062" s="6" t="s">
        <v>3175</v>
      </c>
      <c r="D14062" s="6" t="s">
        <v>76</v>
      </c>
      <c r="E14062" s="6" t="s">
        <v>110</v>
      </c>
      <c r="F14062" s="6" t="s">
        <v>126</v>
      </c>
      <c r="G14062" s="6" t="s">
        <v>3176</v>
      </c>
      <c r="H14062" s="6" t="s">
        <v>3177</v>
      </c>
      <c r="I14062" s="6" t="s">
        <v>31</v>
      </c>
      <c r="J14062" s="6">
        <v>17.719706101625</v>
      </c>
      <c r="K14062" s="6">
        <v>-96.852484375320003</v>
      </c>
      <c r="L14062" s="6" t="str">
        <f>HYPERLINK("https://maps.google.com/?q=17.719706101624755,-96.85248437532026", "🔗 Ver Mapa")</f>
        <v>🔗 Ver Mapa</v>
      </c>
    </row>
    <row r="14063" spans="1:12" ht="58" x14ac:dyDescent="0.35">
      <c r="A14063" s="5" t="s">
        <v>73</v>
      </c>
      <c r="B14063" s="5" t="s">
        <v>74</v>
      </c>
      <c r="C14063" s="5" t="s">
        <v>3178</v>
      </c>
      <c r="D14063" s="5" t="s">
        <v>76</v>
      </c>
      <c r="E14063" s="5" t="s">
        <v>90</v>
      </c>
      <c r="F14063" s="5" t="s">
        <v>119</v>
      </c>
      <c r="G14063" s="5" t="s">
        <v>3179</v>
      </c>
      <c r="H14063" s="5" t="s">
        <v>3180</v>
      </c>
      <c r="I14063" s="5" t="s">
        <v>31</v>
      </c>
      <c r="J14063" s="5">
        <v>17.113691547268999</v>
      </c>
      <c r="K14063" s="5">
        <v>-96.459094556287994</v>
      </c>
      <c r="L14063" s="5" t="str">
        <f>HYPERLINK("https://maps.google.com/?q=17.113691547268623,-96.45909455628778", "🔗 Ver Mapa")</f>
        <v>🔗 Ver Mapa</v>
      </c>
    </row>
    <row r="14064" spans="1:12" ht="58" x14ac:dyDescent="0.35">
      <c r="A14064" s="6" t="s">
        <v>73</v>
      </c>
      <c r="B14064" s="6" t="s">
        <v>74</v>
      </c>
      <c r="C14064" s="6" t="s">
        <v>3181</v>
      </c>
      <c r="D14064" s="6" t="s">
        <v>76</v>
      </c>
      <c r="E14064" s="6" t="s">
        <v>90</v>
      </c>
      <c r="F14064" s="6" t="s">
        <v>119</v>
      </c>
      <c r="G14064" s="6" t="s">
        <v>3182</v>
      </c>
      <c r="H14064" s="6" t="s">
        <v>3183</v>
      </c>
      <c r="I14064" s="6" t="s">
        <v>31</v>
      </c>
      <c r="J14064" s="6">
        <v>17.588800751148</v>
      </c>
      <c r="K14064" s="6">
        <v>-96.552604760058003</v>
      </c>
      <c r="L14064" s="6" t="str">
        <f>HYPERLINK("https://maps.google.com/?q=17.58880075114771,-96.55260476005816", "🔗 Ver Mapa")</f>
        <v>🔗 Ver Mapa</v>
      </c>
    </row>
    <row r="14065" spans="1:12" ht="58" x14ac:dyDescent="0.35">
      <c r="A14065" s="5" t="s">
        <v>73</v>
      </c>
      <c r="B14065" s="5" t="s">
        <v>74</v>
      </c>
      <c r="C14065" s="5" t="s">
        <v>3184</v>
      </c>
      <c r="D14065" s="5" t="s">
        <v>76</v>
      </c>
      <c r="E14065" s="5" t="s">
        <v>39</v>
      </c>
      <c r="F14065" s="5" t="s">
        <v>353</v>
      </c>
      <c r="G14065" s="5" t="s">
        <v>3185</v>
      </c>
      <c r="H14065" s="5" t="s">
        <v>3186</v>
      </c>
      <c r="I14065" s="5" t="s">
        <v>31</v>
      </c>
      <c r="J14065" s="5">
        <v>16.152229663473001</v>
      </c>
      <c r="K14065" s="5">
        <v>-96.313201644162007</v>
      </c>
      <c r="L14065" s="5" t="str">
        <f>HYPERLINK("https://maps.google.com/?q=16.15222966347275,-96.31320164416204", "🔗 Ver Mapa")</f>
        <v>🔗 Ver Mapa</v>
      </c>
    </row>
    <row r="14066" spans="1:12" ht="58" x14ac:dyDescent="0.35">
      <c r="A14066" s="6" t="s">
        <v>73</v>
      </c>
      <c r="B14066" s="6" t="s">
        <v>74</v>
      </c>
      <c r="C14066" s="6" t="s">
        <v>3187</v>
      </c>
      <c r="D14066" s="6" t="s">
        <v>76</v>
      </c>
      <c r="E14066" s="6" t="s">
        <v>39</v>
      </c>
      <c r="F14066" s="6" t="s">
        <v>494</v>
      </c>
      <c r="G14066" s="6" t="s">
        <v>522</v>
      </c>
      <c r="H14066" s="6" t="s">
        <v>3188</v>
      </c>
      <c r="I14066" s="6" t="s">
        <v>31</v>
      </c>
      <c r="J14066" s="6">
        <v>16.575134233966999</v>
      </c>
      <c r="K14066" s="6">
        <v>-97.295224416964999</v>
      </c>
      <c r="L14066" s="6" t="str">
        <f>HYPERLINK("https://maps.google.com/?q=16.575134233967006,-97.29522441696506", "🔗 Ver Mapa")</f>
        <v>🔗 Ver Mapa</v>
      </c>
    </row>
    <row r="14067" spans="1:12" ht="58" x14ac:dyDescent="0.35">
      <c r="A14067" s="5" t="s">
        <v>73</v>
      </c>
      <c r="B14067" s="5" t="s">
        <v>74</v>
      </c>
      <c r="C14067" s="5" t="s">
        <v>3189</v>
      </c>
      <c r="D14067" s="5" t="s">
        <v>76</v>
      </c>
      <c r="E14067" s="5" t="s">
        <v>52</v>
      </c>
      <c r="F14067" s="5" t="s">
        <v>228</v>
      </c>
      <c r="G14067" s="5" t="s">
        <v>1287</v>
      </c>
      <c r="H14067" s="5" t="s">
        <v>3054</v>
      </c>
      <c r="I14067" s="5" t="s">
        <v>31</v>
      </c>
      <c r="J14067" s="5">
        <v>16.878824900186</v>
      </c>
      <c r="K14067" s="5">
        <v>-96.636383027327994</v>
      </c>
      <c r="L14067" s="5" t="str">
        <f>HYPERLINK("https://maps.google.com/?q=16.878824900186004,-96.63638302732802", "🔗 Ver Mapa")</f>
        <v>🔗 Ver Mapa</v>
      </c>
    </row>
    <row r="14068" spans="1:12" ht="58" x14ac:dyDescent="0.35">
      <c r="A14068" s="6" t="s">
        <v>73</v>
      </c>
      <c r="B14068" s="6" t="s">
        <v>74</v>
      </c>
      <c r="C14068" s="6" t="s">
        <v>3190</v>
      </c>
      <c r="D14068" s="6" t="s">
        <v>76</v>
      </c>
      <c r="E14068" s="6" t="s">
        <v>52</v>
      </c>
      <c r="F14068" s="6" t="s">
        <v>53</v>
      </c>
      <c r="G14068" s="6" t="s">
        <v>3191</v>
      </c>
      <c r="H14068" s="6" t="s">
        <v>3192</v>
      </c>
      <c r="I14068" s="6" t="s">
        <v>31</v>
      </c>
      <c r="J14068" s="6">
        <v>16.885151562375</v>
      </c>
      <c r="K14068" s="6">
        <v>-96.159046919488006</v>
      </c>
      <c r="L14068" s="6" t="str">
        <f>HYPERLINK("https://maps.google.com/?q=16.885151562375302,-96.1590469194881", "🔗 Ver Mapa")</f>
        <v>🔗 Ver Mapa</v>
      </c>
    </row>
    <row r="14069" spans="1:12" ht="58" x14ac:dyDescent="0.35">
      <c r="A14069" s="5" t="s">
        <v>73</v>
      </c>
      <c r="B14069" s="5" t="s">
        <v>74</v>
      </c>
      <c r="C14069" s="5" t="s">
        <v>3193</v>
      </c>
      <c r="D14069" s="5" t="s">
        <v>76</v>
      </c>
      <c r="E14069" s="5" t="s">
        <v>17</v>
      </c>
      <c r="F14069" s="5" t="s">
        <v>20</v>
      </c>
      <c r="G14069" s="5" t="s">
        <v>2136</v>
      </c>
      <c r="H14069" s="5" t="s">
        <v>3194</v>
      </c>
      <c r="I14069" s="5" t="s">
        <v>31</v>
      </c>
      <c r="J14069" s="5">
        <v>15.835597317807</v>
      </c>
      <c r="K14069" s="5">
        <v>-96.576814466111003</v>
      </c>
      <c r="L14069" s="5" t="str">
        <f>HYPERLINK("https://maps.google.com/?q=15.8355973178066,-96.5768144661105", "🔗 Ver Mapa")</f>
        <v>🔗 Ver Mapa</v>
      </c>
    </row>
    <row r="14070" spans="1:12" ht="58" x14ac:dyDescent="0.35">
      <c r="A14070" s="6" t="s">
        <v>73</v>
      </c>
      <c r="B14070" s="6" t="s">
        <v>74</v>
      </c>
      <c r="C14070" s="6" t="s">
        <v>3195</v>
      </c>
      <c r="D14070" s="6" t="s">
        <v>76</v>
      </c>
      <c r="E14070" s="6" t="s">
        <v>110</v>
      </c>
      <c r="F14070" s="6" t="s">
        <v>111</v>
      </c>
      <c r="G14070" s="6" t="s">
        <v>450</v>
      </c>
      <c r="H14070" s="6" t="s">
        <v>3196</v>
      </c>
      <c r="I14070" s="6" t="s">
        <v>31</v>
      </c>
      <c r="J14070" s="6">
        <v>18.069052209723001</v>
      </c>
      <c r="K14070" s="6">
        <v>-96.966800485053994</v>
      </c>
      <c r="L14070" s="6" t="str">
        <f>HYPERLINK("https://maps.google.com/?q=18.069052209723168,-96.96680048505412", "🔗 Ver Mapa")</f>
        <v>🔗 Ver Mapa</v>
      </c>
    </row>
    <row r="14071" spans="1:12" ht="58" x14ac:dyDescent="0.35">
      <c r="A14071" s="5" t="s">
        <v>73</v>
      </c>
      <c r="B14071" s="5" t="s">
        <v>74</v>
      </c>
      <c r="C14071" s="5" t="s">
        <v>3197</v>
      </c>
      <c r="D14071" s="5" t="s">
        <v>76</v>
      </c>
      <c r="E14071" s="5" t="s">
        <v>90</v>
      </c>
      <c r="F14071" s="5" t="s">
        <v>91</v>
      </c>
      <c r="G14071" s="5" t="s">
        <v>2800</v>
      </c>
      <c r="H14071" s="5" t="s">
        <v>2801</v>
      </c>
      <c r="I14071" s="5" t="s">
        <v>31</v>
      </c>
      <c r="J14071" s="5">
        <v>17.146743059230001</v>
      </c>
      <c r="K14071" s="5">
        <v>-96.112212787144998</v>
      </c>
      <c r="L14071" s="5" t="str">
        <f>HYPERLINK("https://maps.google.com/?q=17.1467430592298,-96.1122127871453", "🔗 Ver Mapa")</f>
        <v>🔗 Ver Mapa</v>
      </c>
    </row>
    <row r="14072" spans="1:12" ht="58" x14ac:dyDescent="0.35">
      <c r="A14072" s="6" t="s">
        <v>73</v>
      </c>
      <c r="B14072" s="6" t="s">
        <v>74</v>
      </c>
      <c r="C14072" s="6" t="s">
        <v>3198</v>
      </c>
      <c r="D14072" s="6" t="s">
        <v>76</v>
      </c>
      <c r="E14072" s="6" t="s">
        <v>17</v>
      </c>
      <c r="F14072" s="6" t="s">
        <v>20</v>
      </c>
      <c r="G14072" s="6" t="s">
        <v>3199</v>
      </c>
      <c r="H14072" s="6" t="s">
        <v>3200</v>
      </c>
      <c r="I14072" s="6" t="s">
        <v>31</v>
      </c>
      <c r="J14072" s="6">
        <v>15.958881727053001</v>
      </c>
      <c r="K14072" s="6">
        <v>-96.816086402867995</v>
      </c>
      <c r="L14072" s="6" t="str">
        <f>HYPERLINK("https://maps.google.com/?q=15.958881727052717,-96.81608640286798", "🔗 Ver Mapa")</f>
        <v>🔗 Ver Mapa</v>
      </c>
    </row>
    <row r="14073" spans="1:12" ht="58" x14ac:dyDescent="0.35">
      <c r="A14073" s="5" t="s">
        <v>73</v>
      </c>
      <c r="B14073" s="5" t="s">
        <v>74</v>
      </c>
      <c r="C14073" s="5" t="s">
        <v>3201</v>
      </c>
      <c r="D14073" s="5" t="s">
        <v>76</v>
      </c>
      <c r="E14073" s="5" t="s">
        <v>110</v>
      </c>
      <c r="F14073" s="5" t="s">
        <v>111</v>
      </c>
      <c r="G14073" s="5" t="s">
        <v>293</v>
      </c>
      <c r="H14073" s="5" t="s">
        <v>3202</v>
      </c>
      <c r="I14073" s="5" t="s">
        <v>31</v>
      </c>
      <c r="J14073" s="5">
        <v>18.173905967549</v>
      </c>
      <c r="K14073" s="5">
        <v>-96.670144741070004</v>
      </c>
      <c r="L14073" s="5" t="str">
        <f>HYPERLINK("https://maps.google.com/?q=18.1739059675487,-96.67014474106979", "🔗 Ver Mapa")</f>
        <v>🔗 Ver Mapa</v>
      </c>
    </row>
    <row r="14074" spans="1:12" ht="58" x14ac:dyDescent="0.35">
      <c r="A14074" s="6" t="s">
        <v>73</v>
      </c>
      <c r="B14074" s="6" t="s">
        <v>74</v>
      </c>
      <c r="C14074" s="6" t="s">
        <v>3203</v>
      </c>
      <c r="D14074" s="6" t="s">
        <v>76</v>
      </c>
      <c r="E14074" s="6" t="s">
        <v>158</v>
      </c>
      <c r="F14074" s="6" t="s">
        <v>159</v>
      </c>
      <c r="G14074" s="6" t="s">
        <v>222</v>
      </c>
      <c r="H14074" s="6" t="s">
        <v>3204</v>
      </c>
      <c r="I14074" s="6" t="s">
        <v>31</v>
      </c>
      <c r="J14074" s="6">
        <v>16.942041590488</v>
      </c>
      <c r="K14074" s="6">
        <v>-95.202692191973995</v>
      </c>
      <c r="L14074" s="6" t="str">
        <f>HYPERLINK("https://maps.google.com/?q=16.9420415904882,-95.2026921919741", "🔗 Ver Mapa")</f>
        <v>🔗 Ver Mapa</v>
      </c>
    </row>
    <row r="14075" spans="1:12" ht="58" x14ac:dyDescent="0.35">
      <c r="A14075" s="5" t="s">
        <v>73</v>
      </c>
      <c r="B14075" s="5" t="s">
        <v>74</v>
      </c>
      <c r="C14075" s="5" t="s">
        <v>3205</v>
      </c>
      <c r="D14075" s="5" t="s">
        <v>76</v>
      </c>
      <c r="E14075" s="5" t="s">
        <v>158</v>
      </c>
      <c r="F14075" s="5" t="s">
        <v>159</v>
      </c>
      <c r="G14075" s="5" t="s">
        <v>222</v>
      </c>
      <c r="H14075" s="5" t="s">
        <v>3206</v>
      </c>
      <c r="I14075" s="5" t="s">
        <v>31</v>
      </c>
      <c r="J14075" s="5">
        <v>17.298147195173001</v>
      </c>
      <c r="K14075" s="5">
        <v>-94.975585030445004</v>
      </c>
      <c r="L14075" s="5" t="str">
        <f>HYPERLINK("https://maps.google.com/?q=17.298147195172938,-94.97558503044505", "🔗 Ver Mapa")</f>
        <v>🔗 Ver Mapa</v>
      </c>
    </row>
    <row r="14076" spans="1:12" ht="43.5" x14ac:dyDescent="0.35">
      <c r="A14076" s="6" t="s">
        <v>73</v>
      </c>
      <c r="B14076" s="6" t="s">
        <v>74</v>
      </c>
      <c r="C14076" s="6" t="s">
        <v>3207</v>
      </c>
      <c r="D14076" s="6" t="s">
        <v>76</v>
      </c>
      <c r="E14076" s="6" t="s">
        <v>90</v>
      </c>
      <c r="F14076" s="6" t="s">
        <v>678</v>
      </c>
      <c r="G14076" s="6" t="s">
        <v>1123</v>
      </c>
      <c r="H14076" s="6" t="s">
        <v>1124</v>
      </c>
      <c r="I14076" s="6" t="s">
        <v>31</v>
      </c>
      <c r="J14076" s="6">
        <v>17.430186250131001</v>
      </c>
      <c r="K14076" s="6">
        <v>-96.285607540274995</v>
      </c>
      <c r="L14076" s="6" t="str">
        <f>HYPERLINK("https://maps.google.com/?q=17.4301862501308,-96.2856075402749", "🔗 Ver Mapa")</f>
        <v>🔗 Ver Mapa</v>
      </c>
    </row>
    <row r="14077" spans="1:12" ht="58" x14ac:dyDescent="0.35">
      <c r="A14077" s="5" t="s">
        <v>73</v>
      </c>
      <c r="B14077" s="5" t="s">
        <v>74</v>
      </c>
      <c r="C14077" s="5" t="s">
        <v>3208</v>
      </c>
      <c r="D14077" s="5" t="s">
        <v>76</v>
      </c>
      <c r="E14077" s="5" t="s">
        <v>16</v>
      </c>
      <c r="F14077" s="5" t="s">
        <v>145</v>
      </c>
      <c r="G14077" s="5" t="s">
        <v>537</v>
      </c>
      <c r="H14077" s="5" t="s">
        <v>1720</v>
      </c>
      <c r="I14077" s="5" t="s">
        <v>31</v>
      </c>
      <c r="J14077" s="5">
        <v>17.960053610273</v>
      </c>
      <c r="K14077" s="5">
        <v>-98.067957225685007</v>
      </c>
      <c r="L14077" s="5" t="str">
        <f>HYPERLINK("https://maps.google.com/?q=17.960053610273008,-98.0679572256846", "🔗 Ver Mapa")</f>
        <v>🔗 Ver Mapa</v>
      </c>
    </row>
    <row r="14078" spans="1:12" ht="58" x14ac:dyDescent="0.35">
      <c r="A14078" s="6" t="s">
        <v>73</v>
      </c>
      <c r="B14078" s="6" t="s">
        <v>74</v>
      </c>
      <c r="C14078" s="6" t="s">
        <v>3209</v>
      </c>
      <c r="D14078" s="6" t="s">
        <v>76</v>
      </c>
      <c r="E14078" s="6" t="s">
        <v>158</v>
      </c>
      <c r="F14078" s="6" t="s">
        <v>159</v>
      </c>
      <c r="G14078" s="6" t="s">
        <v>163</v>
      </c>
      <c r="H14078" s="6" t="s">
        <v>3210</v>
      </c>
      <c r="I14078" s="6" t="s">
        <v>31</v>
      </c>
      <c r="J14078" s="6">
        <v>16.666685578972</v>
      </c>
      <c r="K14078" s="6">
        <v>-94.717698257151</v>
      </c>
      <c r="L14078" s="6" t="str">
        <f>HYPERLINK("https://maps.google.com/?q=16.666685578972032,-94.71769825715116", "🔗 Ver Mapa")</f>
        <v>🔗 Ver Mapa</v>
      </c>
    </row>
    <row r="14079" spans="1:12" ht="58" x14ac:dyDescent="0.35">
      <c r="A14079" s="5" t="s">
        <v>73</v>
      </c>
      <c r="B14079" s="5" t="s">
        <v>74</v>
      </c>
      <c r="C14079" s="5" t="s">
        <v>3211</v>
      </c>
      <c r="D14079" s="5" t="s">
        <v>76</v>
      </c>
      <c r="E14079" s="5" t="s">
        <v>39</v>
      </c>
      <c r="F14079" s="5" t="s">
        <v>133</v>
      </c>
      <c r="G14079" s="5" t="s">
        <v>3212</v>
      </c>
      <c r="H14079" s="5" t="s">
        <v>3213</v>
      </c>
      <c r="I14079" s="5" t="s">
        <v>31</v>
      </c>
      <c r="J14079" s="5">
        <v>16.42837801137</v>
      </c>
      <c r="K14079" s="5">
        <v>-96.253002764204993</v>
      </c>
      <c r="L14079" s="5" t="str">
        <f>HYPERLINK("https://maps.google.com/?q=16.428378011370416,-96.2530027642048", "🔗 Ver Mapa")</f>
        <v>🔗 Ver Mapa</v>
      </c>
    </row>
    <row r="14080" spans="1:12" ht="58" x14ac:dyDescent="0.35">
      <c r="A14080" s="6" t="s">
        <v>73</v>
      </c>
      <c r="B14080" s="6" t="s">
        <v>74</v>
      </c>
      <c r="C14080" s="6" t="s">
        <v>3214</v>
      </c>
      <c r="D14080" s="6" t="s">
        <v>76</v>
      </c>
      <c r="E14080" s="6" t="s">
        <v>158</v>
      </c>
      <c r="F14080" s="6" t="s">
        <v>159</v>
      </c>
      <c r="G14080" s="6" t="s">
        <v>192</v>
      </c>
      <c r="H14080" s="6" t="s">
        <v>3215</v>
      </c>
      <c r="I14080" s="6" t="s">
        <v>31</v>
      </c>
      <c r="J14080" s="6">
        <v>16.210965016757999</v>
      </c>
      <c r="K14080" s="6">
        <v>-94.068907805571001</v>
      </c>
      <c r="L14080" s="6" t="str">
        <f>HYPERLINK("https://maps.google.com/?q=16.210965016757854,-94.06890780557062", "🔗 Ver Mapa")</f>
        <v>🔗 Ver Mapa</v>
      </c>
    </row>
    <row r="14081" spans="1:12" ht="58" x14ac:dyDescent="0.35">
      <c r="A14081" s="5" t="s">
        <v>73</v>
      </c>
      <c r="B14081" s="5" t="s">
        <v>74</v>
      </c>
      <c r="C14081" s="5" t="s">
        <v>3216</v>
      </c>
      <c r="D14081" s="5" t="s">
        <v>76</v>
      </c>
      <c r="E14081" s="5" t="s">
        <v>110</v>
      </c>
      <c r="F14081" s="5" t="s">
        <v>126</v>
      </c>
      <c r="G14081" s="5" t="s">
        <v>609</v>
      </c>
      <c r="H14081" s="5" t="s">
        <v>1204</v>
      </c>
      <c r="I14081" s="5" t="s">
        <v>31</v>
      </c>
      <c r="J14081" s="5">
        <v>18.034883929999999</v>
      </c>
      <c r="K14081" s="5">
        <v>-96.548786449999994</v>
      </c>
      <c r="L14081" s="5" t="str">
        <f>HYPERLINK("https://maps.google.com/?q=18.03488393,-96.54878645", "🔗 Ver Mapa")</f>
        <v>🔗 Ver Mapa</v>
      </c>
    </row>
    <row r="14082" spans="1:12" ht="58" x14ac:dyDescent="0.35">
      <c r="A14082" s="6" t="s">
        <v>73</v>
      </c>
      <c r="B14082" s="6" t="s">
        <v>74</v>
      </c>
      <c r="C14082" s="6" t="s">
        <v>3217</v>
      </c>
      <c r="D14082" s="6" t="s">
        <v>76</v>
      </c>
      <c r="E14082" s="6" t="s">
        <v>39</v>
      </c>
      <c r="F14082" s="6" t="s">
        <v>353</v>
      </c>
      <c r="G14082" s="6" t="s">
        <v>354</v>
      </c>
      <c r="H14082" s="6" t="s">
        <v>355</v>
      </c>
      <c r="I14082" s="6" t="s">
        <v>31</v>
      </c>
      <c r="J14082" s="6">
        <v>16.034029579999999</v>
      </c>
      <c r="K14082" s="6">
        <v>-96.906381400000001</v>
      </c>
      <c r="L14082" s="6" t="str">
        <f>HYPERLINK("https://maps.google.com/?q=16.03402958,-96.9063814", "🔗 Ver Mapa")</f>
        <v>🔗 Ver Mapa</v>
      </c>
    </row>
    <row r="14083" spans="1:12" ht="58" x14ac:dyDescent="0.35">
      <c r="A14083" s="5" t="s">
        <v>73</v>
      </c>
      <c r="B14083" s="5" t="s">
        <v>74</v>
      </c>
      <c r="C14083" s="5" t="s">
        <v>3218</v>
      </c>
      <c r="D14083" s="5" t="s">
        <v>76</v>
      </c>
      <c r="E14083" s="5" t="s">
        <v>52</v>
      </c>
      <c r="F14083" s="5" t="s">
        <v>101</v>
      </c>
      <c r="G14083" s="5" t="s">
        <v>3219</v>
      </c>
      <c r="H14083" s="5" t="s">
        <v>3220</v>
      </c>
      <c r="I14083" s="5" t="s">
        <v>31</v>
      </c>
      <c r="J14083" s="5">
        <v>16.9316703</v>
      </c>
      <c r="K14083" s="5">
        <v>-96.862279999999998</v>
      </c>
      <c r="L14083" s="5" t="str">
        <f>HYPERLINK("https://maps.google.com/?q=16.9316703,-96.86228", "🔗 Ver Mapa")</f>
        <v>🔗 Ver Mapa</v>
      </c>
    </row>
    <row r="14084" spans="1:12" ht="58" x14ac:dyDescent="0.35">
      <c r="A14084" s="6" t="s">
        <v>73</v>
      </c>
      <c r="B14084" s="6" t="s">
        <v>74</v>
      </c>
      <c r="C14084" s="6" t="s">
        <v>3221</v>
      </c>
      <c r="D14084" s="6" t="s">
        <v>76</v>
      </c>
      <c r="E14084" s="6" t="s">
        <v>39</v>
      </c>
      <c r="F14084" s="6" t="s">
        <v>133</v>
      </c>
      <c r="G14084" s="6" t="s">
        <v>2866</v>
      </c>
      <c r="H14084" s="6" t="s">
        <v>3222</v>
      </c>
      <c r="I14084" s="6" t="s">
        <v>31</v>
      </c>
      <c r="J14084" s="6">
        <v>16.129496100000001</v>
      </c>
      <c r="K14084" s="6">
        <v>-95.855736660000005</v>
      </c>
      <c r="L14084" s="6" t="str">
        <f>HYPERLINK("https://maps.google.com/?q=16.1294961,-95.85573666", "🔗 Ver Mapa")</f>
        <v>🔗 Ver Mapa</v>
      </c>
    </row>
    <row r="14085" spans="1:12" ht="58" x14ac:dyDescent="0.35">
      <c r="A14085" s="5" t="s">
        <v>73</v>
      </c>
      <c r="B14085" s="5" t="s">
        <v>74</v>
      </c>
      <c r="C14085" s="5" t="s">
        <v>3223</v>
      </c>
      <c r="D14085" s="5" t="s">
        <v>76</v>
      </c>
      <c r="E14085" s="5" t="s">
        <v>140</v>
      </c>
      <c r="F14085" s="5" t="s">
        <v>141</v>
      </c>
      <c r="G14085" s="5" t="s">
        <v>682</v>
      </c>
      <c r="H14085" s="5" t="s">
        <v>3224</v>
      </c>
      <c r="I14085" s="5" t="s">
        <v>31</v>
      </c>
      <c r="J14085" s="5">
        <v>17.835766530000001</v>
      </c>
      <c r="K14085" s="5">
        <v>-96.189600679999998</v>
      </c>
      <c r="L14085" s="5" t="str">
        <f>HYPERLINK("https://maps.google.com/?q=17.83576653,-96.18960068", "🔗 Ver Mapa")</f>
        <v>🔗 Ver Mapa</v>
      </c>
    </row>
    <row r="14086" spans="1:12" ht="58" x14ac:dyDescent="0.35">
      <c r="A14086" s="6" t="s">
        <v>73</v>
      </c>
      <c r="B14086" s="6" t="s">
        <v>74</v>
      </c>
      <c r="C14086" s="6" t="s">
        <v>3225</v>
      </c>
      <c r="D14086" s="6" t="s">
        <v>76</v>
      </c>
      <c r="E14086" s="6" t="s">
        <v>110</v>
      </c>
      <c r="F14086" s="6" t="s">
        <v>111</v>
      </c>
      <c r="G14086" s="6" t="s">
        <v>3226</v>
      </c>
      <c r="H14086" s="6" t="s">
        <v>3227</v>
      </c>
      <c r="I14086" s="6" t="s">
        <v>31</v>
      </c>
      <c r="J14086" s="6">
        <v>18.17402809</v>
      </c>
      <c r="K14086" s="6">
        <v>-96.978508419999997</v>
      </c>
      <c r="L14086" s="6" t="str">
        <f>HYPERLINK("https://maps.google.com/?q=18.17402809,-96.97850842", "🔗 Ver Mapa")</f>
        <v>🔗 Ver Mapa</v>
      </c>
    </row>
    <row r="14087" spans="1:12" ht="58" x14ac:dyDescent="0.35">
      <c r="A14087" s="5" t="s">
        <v>73</v>
      </c>
      <c r="B14087" s="5" t="s">
        <v>74</v>
      </c>
      <c r="C14087" s="5" t="s">
        <v>3228</v>
      </c>
      <c r="D14087" s="5" t="s">
        <v>76</v>
      </c>
      <c r="E14087" s="5" t="s">
        <v>16</v>
      </c>
      <c r="F14087" s="5" t="s">
        <v>21</v>
      </c>
      <c r="G14087" s="5" t="s">
        <v>2369</v>
      </c>
      <c r="H14087" s="5" t="s">
        <v>3229</v>
      </c>
      <c r="I14087" s="5" t="s">
        <v>31</v>
      </c>
      <c r="J14087" s="5">
        <v>16.874289755618999</v>
      </c>
      <c r="K14087" s="5">
        <v>-97.502631396330003</v>
      </c>
      <c r="L14087" s="5" t="str">
        <f>HYPERLINK("https://maps.google.com/?q=16.874289755618506,-97.50263139632989", "🔗 Ver Mapa")</f>
        <v>🔗 Ver Mapa</v>
      </c>
    </row>
    <row r="14088" spans="1:12" ht="58" x14ac:dyDescent="0.35">
      <c r="A14088" s="6" t="s">
        <v>73</v>
      </c>
      <c r="B14088" s="6" t="s">
        <v>74</v>
      </c>
      <c r="C14088" s="6" t="s">
        <v>3230</v>
      </c>
      <c r="D14088" s="6" t="s">
        <v>76</v>
      </c>
      <c r="E14088" s="6" t="s">
        <v>17</v>
      </c>
      <c r="F14088" s="6" t="s">
        <v>59</v>
      </c>
      <c r="G14088" s="6" t="s">
        <v>1296</v>
      </c>
      <c r="H14088" s="6" t="s">
        <v>2404</v>
      </c>
      <c r="I14088" s="6" t="s">
        <v>31</v>
      </c>
      <c r="J14088" s="6">
        <v>16.32119184479</v>
      </c>
      <c r="K14088" s="6">
        <v>-97.661068863506998</v>
      </c>
      <c r="L14088" s="6" t="str">
        <f>HYPERLINK("https://maps.google.com/?q=16.32119184479025,-97.66106886350654", "🔗 Ver Mapa")</f>
        <v>🔗 Ver Mapa</v>
      </c>
    </row>
    <row r="14089" spans="1:12" ht="58" x14ac:dyDescent="0.35">
      <c r="A14089" s="5" t="s">
        <v>73</v>
      </c>
      <c r="B14089" s="5" t="s">
        <v>74</v>
      </c>
      <c r="C14089" s="5" t="s">
        <v>3231</v>
      </c>
      <c r="D14089" s="5" t="s">
        <v>76</v>
      </c>
      <c r="E14089" s="5" t="s">
        <v>39</v>
      </c>
      <c r="F14089" s="5" t="s">
        <v>353</v>
      </c>
      <c r="G14089" s="5" t="s">
        <v>3232</v>
      </c>
      <c r="H14089" s="5" t="s">
        <v>3233</v>
      </c>
      <c r="I14089" s="5" t="s">
        <v>31</v>
      </c>
      <c r="J14089" s="5">
        <v>16.010373850000001</v>
      </c>
      <c r="K14089" s="5">
        <v>-96.155093449999995</v>
      </c>
      <c r="L14089" s="5" t="str">
        <f>HYPERLINK("https://maps.google.com/?q=16.01037385,-96.15509345", "🔗 Ver Mapa")</f>
        <v>🔗 Ver Mapa</v>
      </c>
    </row>
    <row r="14090" spans="1:12" ht="58" x14ac:dyDescent="0.35">
      <c r="A14090" s="6" t="s">
        <v>73</v>
      </c>
      <c r="B14090" s="6" t="s">
        <v>74</v>
      </c>
      <c r="C14090" s="6" t="s">
        <v>3234</v>
      </c>
      <c r="D14090" s="6" t="s">
        <v>76</v>
      </c>
      <c r="E14090" s="6" t="s">
        <v>140</v>
      </c>
      <c r="F14090" s="6" t="s">
        <v>141</v>
      </c>
      <c r="G14090" s="6" t="s">
        <v>258</v>
      </c>
      <c r="H14090" s="6" t="s">
        <v>3235</v>
      </c>
      <c r="I14090" s="6" t="s">
        <v>31</v>
      </c>
      <c r="J14090" s="6">
        <v>18.119359267856002</v>
      </c>
      <c r="K14090" s="6">
        <v>-96.449189331718003</v>
      </c>
      <c r="L14090" s="6" t="str">
        <f>HYPERLINK("https://maps.google.com/?q=18.119359267855657,-96.44918933171829", "🔗 Ver Mapa")</f>
        <v>🔗 Ver Mapa</v>
      </c>
    </row>
    <row r="14091" spans="1:12" ht="58" x14ac:dyDescent="0.35">
      <c r="A14091" s="5" t="s">
        <v>73</v>
      </c>
      <c r="B14091" s="5" t="s">
        <v>74</v>
      </c>
      <c r="C14091" s="5" t="s">
        <v>3236</v>
      </c>
      <c r="D14091" s="5" t="s">
        <v>76</v>
      </c>
      <c r="E14091" s="5" t="s">
        <v>140</v>
      </c>
      <c r="F14091" s="5" t="s">
        <v>141</v>
      </c>
      <c r="G14091" s="5" t="s">
        <v>682</v>
      </c>
      <c r="H14091" s="5" t="s">
        <v>3237</v>
      </c>
      <c r="I14091" s="5" t="s">
        <v>31</v>
      </c>
      <c r="J14091" s="5">
        <v>17.873557456751001</v>
      </c>
      <c r="K14091" s="5">
        <v>-96.021749394126005</v>
      </c>
      <c r="L14091" s="5" t="str">
        <f>HYPERLINK("https://maps.google.com/?q=17.87355745675081,-96.02174939412559", "🔗 Ver Mapa")</f>
        <v>🔗 Ver Mapa</v>
      </c>
    </row>
    <row r="14092" spans="1:12" ht="58" x14ac:dyDescent="0.35">
      <c r="A14092" s="6" t="s">
        <v>73</v>
      </c>
      <c r="B14092" s="6" t="s">
        <v>74</v>
      </c>
      <c r="C14092" s="6" t="s">
        <v>3238</v>
      </c>
      <c r="D14092" s="6" t="s">
        <v>76</v>
      </c>
      <c r="E14092" s="6" t="s">
        <v>52</v>
      </c>
      <c r="F14092" s="6" t="s">
        <v>53</v>
      </c>
      <c r="G14092" s="6" t="s">
        <v>252</v>
      </c>
      <c r="H14092" s="6" t="s">
        <v>3239</v>
      </c>
      <c r="I14092" s="6" t="s">
        <v>31</v>
      </c>
      <c r="J14092" s="6">
        <v>16.778506</v>
      </c>
      <c r="K14092" s="6">
        <v>-96.180304000000007</v>
      </c>
      <c r="L14092" s="6" t="str">
        <f>HYPERLINK("https://maps.google.com/?q=16.778506,-96.180304", "🔗 Ver Mapa")</f>
        <v>🔗 Ver Mapa</v>
      </c>
    </row>
    <row r="14093" spans="1:12" ht="58" x14ac:dyDescent="0.35">
      <c r="A14093" s="5" t="s">
        <v>73</v>
      </c>
      <c r="B14093" s="5" t="s">
        <v>74</v>
      </c>
      <c r="C14093" s="5" t="s">
        <v>3240</v>
      </c>
      <c r="D14093" s="5" t="s">
        <v>76</v>
      </c>
      <c r="E14093" s="5" t="s">
        <v>39</v>
      </c>
      <c r="F14093" s="5" t="s">
        <v>353</v>
      </c>
      <c r="G14093" s="5" t="s">
        <v>734</v>
      </c>
      <c r="H14093" s="5" t="s">
        <v>3241</v>
      </c>
      <c r="I14093" s="5" t="s">
        <v>31</v>
      </c>
      <c r="J14093" s="5">
        <v>16.50285976</v>
      </c>
      <c r="K14093" s="5">
        <v>-96.487454560000003</v>
      </c>
      <c r="L14093" s="5" t="str">
        <f>HYPERLINK("https://maps.google.com/?q=16.50285976,-96.48745456", "🔗 Ver Mapa")</f>
        <v>🔗 Ver Mapa</v>
      </c>
    </row>
    <row r="14094" spans="1:12" ht="58" x14ac:dyDescent="0.35">
      <c r="A14094" s="6" t="s">
        <v>73</v>
      </c>
      <c r="B14094" s="6" t="s">
        <v>74</v>
      </c>
      <c r="C14094" s="6" t="s">
        <v>3242</v>
      </c>
      <c r="D14094" s="6" t="s">
        <v>76</v>
      </c>
      <c r="E14094" s="6" t="s">
        <v>90</v>
      </c>
      <c r="F14094" s="6" t="s">
        <v>91</v>
      </c>
      <c r="G14094" s="6" t="s">
        <v>778</v>
      </c>
      <c r="H14094" s="6" t="s">
        <v>3243</v>
      </c>
      <c r="I14094" s="6" t="s">
        <v>31</v>
      </c>
      <c r="J14094" s="6">
        <v>17.105550944937999</v>
      </c>
      <c r="K14094" s="6">
        <v>-96.114311216473993</v>
      </c>
      <c r="L14094" s="6" t="str">
        <f>HYPERLINK("https://maps.google.com/?q=17.105550944938095,-96.114311216474", "🔗 Ver Mapa")</f>
        <v>🔗 Ver Mapa</v>
      </c>
    </row>
    <row r="14095" spans="1:12" ht="58" x14ac:dyDescent="0.35">
      <c r="A14095" s="5" t="s">
        <v>73</v>
      </c>
      <c r="B14095" s="5" t="s">
        <v>74</v>
      </c>
      <c r="C14095" s="5" t="s">
        <v>3244</v>
      </c>
      <c r="D14095" s="5" t="s">
        <v>76</v>
      </c>
      <c r="E14095" s="5" t="s">
        <v>158</v>
      </c>
      <c r="F14095" s="5" t="s">
        <v>166</v>
      </c>
      <c r="G14095" s="5" t="s">
        <v>167</v>
      </c>
      <c r="H14095" s="5" t="s">
        <v>1735</v>
      </c>
      <c r="I14095" s="5" t="s">
        <v>31</v>
      </c>
      <c r="J14095" s="5">
        <v>16.03334877</v>
      </c>
      <c r="K14095" s="5">
        <v>-95.424053479999998</v>
      </c>
      <c r="L14095" s="5" t="str">
        <f>HYPERLINK("https://maps.google.com/?q=16.03334877,-95.42405348", "🔗 Ver Mapa")</f>
        <v>🔗 Ver Mapa</v>
      </c>
    </row>
    <row r="14096" spans="1:12" ht="58" x14ac:dyDescent="0.35">
      <c r="A14096" s="6" t="s">
        <v>73</v>
      </c>
      <c r="B14096" s="6" t="s">
        <v>74</v>
      </c>
      <c r="C14096" s="6" t="s">
        <v>3245</v>
      </c>
      <c r="D14096" s="6" t="s">
        <v>76</v>
      </c>
      <c r="E14096" s="6" t="s">
        <v>17</v>
      </c>
      <c r="F14096" s="6" t="s">
        <v>59</v>
      </c>
      <c r="G14096" s="6" t="s">
        <v>60</v>
      </c>
      <c r="H14096" s="6" t="s">
        <v>876</v>
      </c>
      <c r="I14096" s="6" t="s">
        <v>31</v>
      </c>
      <c r="J14096" s="6">
        <v>16.387869940000002</v>
      </c>
      <c r="K14096" s="6">
        <v>-98.108826190000002</v>
      </c>
      <c r="L14096" s="6" t="str">
        <f>HYPERLINK("https://maps.google.com/?q=16.38786994,-98.10882619", "🔗 Ver Mapa")</f>
        <v>🔗 Ver Mapa</v>
      </c>
    </row>
    <row r="14097" spans="1:12" ht="58" x14ac:dyDescent="0.35">
      <c r="A14097" s="5" t="s">
        <v>73</v>
      </c>
      <c r="B14097" s="5" t="s">
        <v>74</v>
      </c>
      <c r="C14097" s="5" t="s">
        <v>3246</v>
      </c>
      <c r="D14097" s="5" t="s">
        <v>76</v>
      </c>
      <c r="E14097" s="5" t="s">
        <v>158</v>
      </c>
      <c r="F14097" s="5" t="s">
        <v>159</v>
      </c>
      <c r="G14097" s="5" t="s">
        <v>205</v>
      </c>
      <c r="H14097" s="5" t="s">
        <v>3247</v>
      </c>
      <c r="I14097" s="5" t="s">
        <v>31</v>
      </c>
      <c r="J14097" s="5">
        <v>17.356472</v>
      </c>
      <c r="K14097" s="5">
        <v>-95.200333000000001</v>
      </c>
      <c r="L14097" s="5" t="str">
        <f>HYPERLINK("https://maps.google.com/?q=17.356472,-95.200333", "🔗 Ver Mapa")</f>
        <v>🔗 Ver Mapa</v>
      </c>
    </row>
    <row r="14098" spans="1:12" ht="58" x14ac:dyDescent="0.35">
      <c r="A14098" s="6" t="s">
        <v>73</v>
      </c>
      <c r="B14098" s="6" t="s">
        <v>74</v>
      </c>
      <c r="C14098" s="6" t="s">
        <v>3248</v>
      </c>
      <c r="D14098" s="6" t="s">
        <v>76</v>
      </c>
      <c r="E14098" s="6" t="s">
        <v>39</v>
      </c>
      <c r="F14098" s="6" t="s">
        <v>494</v>
      </c>
      <c r="G14098" s="6" t="s">
        <v>1973</v>
      </c>
      <c r="H14098" s="6" t="s">
        <v>3249</v>
      </c>
      <c r="I14098" s="6" t="s">
        <v>31</v>
      </c>
      <c r="J14098" s="6">
        <v>16.635228269999999</v>
      </c>
      <c r="K14098" s="6">
        <v>-97.578097319999998</v>
      </c>
      <c r="L14098" s="6" t="str">
        <f>HYPERLINK("https://maps.google.com/?q=16.63522827,-97.57809732", "🔗 Ver Mapa")</f>
        <v>🔗 Ver Mapa</v>
      </c>
    </row>
    <row r="14099" spans="1:12" ht="58" x14ac:dyDescent="0.35">
      <c r="A14099" s="5" t="s">
        <v>73</v>
      </c>
      <c r="B14099" s="5" t="s">
        <v>74</v>
      </c>
      <c r="C14099" s="5" t="s">
        <v>3250</v>
      </c>
      <c r="D14099" s="5" t="s">
        <v>76</v>
      </c>
      <c r="E14099" s="5" t="s">
        <v>39</v>
      </c>
      <c r="F14099" s="5" t="s">
        <v>133</v>
      </c>
      <c r="G14099" s="5" t="s">
        <v>2811</v>
      </c>
      <c r="H14099" s="5" t="s">
        <v>3251</v>
      </c>
      <c r="I14099" s="5" t="s">
        <v>31</v>
      </c>
      <c r="J14099" s="5">
        <v>16.178975275721999</v>
      </c>
      <c r="K14099" s="5">
        <v>-95.920201111761997</v>
      </c>
      <c r="L14099" s="5" t="str">
        <f>HYPERLINK("https://maps.google.com/?q=16.178975275721896,-95.92020111176167", "🔗 Ver Mapa")</f>
        <v>🔗 Ver Mapa</v>
      </c>
    </row>
    <row r="14100" spans="1:12" ht="58" x14ac:dyDescent="0.35">
      <c r="A14100" s="6" t="s">
        <v>73</v>
      </c>
      <c r="B14100" s="6" t="s">
        <v>74</v>
      </c>
      <c r="C14100" s="6" t="s">
        <v>3252</v>
      </c>
      <c r="D14100" s="6" t="s">
        <v>76</v>
      </c>
      <c r="E14100" s="6" t="s">
        <v>16</v>
      </c>
      <c r="F14100" s="6" t="s">
        <v>145</v>
      </c>
      <c r="G14100" s="6" t="s">
        <v>146</v>
      </c>
      <c r="H14100" s="6" t="s">
        <v>147</v>
      </c>
      <c r="I14100" s="6" t="s">
        <v>31</v>
      </c>
      <c r="J14100" s="6">
        <v>17.748318966429999</v>
      </c>
      <c r="K14100" s="6">
        <v>-97.818516200773004</v>
      </c>
      <c r="L14100" s="6" t="str">
        <f>HYPERLINK("https://maps.google.com/?q=17.74831896642979,-97.81851620077263", "🔗 Ver Mapa")</f>
        <v>🔗 Ver Mapa</v>
      </c>
    </row>
    <row r="14101" spans="1:12" ht="58" x14ac:dyDescent="0.35">
      <c r="A14101" s="5" t="s">
        <v>73</v>
      </c>
      <c r="B14101" s="5" t="s">
        <v>74</v>
      </c>
      <c r="C14101" s="5" t="s">
        <v>3253</v>
      </c>
      <c r="D14101" s="5" t="s">
        <v>76</v>
      </c>
      <c r="E14101" s="5" t="s">
        <v>39</v>
      </c>
      <c r="F14101" s="5" t="s">
        <v>353</v>
      </c>
      <c r="G14101" s="5" t="s">
        <v>2148</v>
      </c>
      <c r="H14101" s="5" t="s">
        <v>3254</v>
      </c>
      <c r="I14101" s="5" t="s">
        <v>31</v>
      </c>
      <c r="J14101" s="5">
        <v>16.314237717048002</v>
      </c>
      <c r="K14101" s="5">
        <v>-96.511208820619004</v>
      </c>
      <c r="L14101" s="5" t="str">
        <f>HYPERLINK("https://maps.google.com/?q=16.31423771704767,-96.51120882061925", "🔗 Ver Mapa")</f>
        <v>🔗 Ver Mapa</v>
      </c>
    </row>
    <row r="14102" spans="1:12" ht="58" x14ac:dyDescent="0.35">
      <c r="A14102" s="6" t="s">
        <v>73</v>
      </c>
      <c r="B14102" s="6" t="s">
        <v>74</v>
      </c>
      <c r="C14102" s="6" t="s">
        <v>3255</v>
      </c>
      <c r="D14102" s="6" t="s">
        <v>76</v>
      </c>
      <c r="E14102" s="6" t="s">
        <v>16</v>
      </c>
      <c r="F14102" s="6" t="s">
        <v>195</v>
      </c>
      <c r="G14102" s="6" t="s">
        <v>842</v>
      </c>
      <c r="H14102" s="6" t="s">
        <v>3256</v>
      </c>
      <c r="I14102" s="6" t="s">
        <v>31</v>
      </c>
      <c r="J14102" s="6">
        <v>17.8658371</v>
      </c>
      <c r="K14102" s="6">
        <v>-98.285693039999998</v>
      </c>
      <c r="L14102" s="6" t="str">
        <f>HYPERLINK("https://maps.google.com/?q=17.8658371,-98.28569304", "🔗 Ver Mapa")</f>
        <v>🔗 Ver Mapa</v>
      </c>
    </row>
    <row r="14103" spans="1:12" ht="58" x14ac:dyDescent="0.35">
      <c r="A14103" s="5" t="s">
        <v>73</v>
      </c>
      <c r="B14103" s="5" t="s">
        <v>74</v>
      </c>
      <c r="C14103" s="5" t="s">
        <v>3257</v>
      </c>
      <c r="D14103" s="5" t="s">
        <v>76</v>
      </c>
      <c r="E14103" s="5" t="s">
        <v>16</v>
      </c>
      <c r="F14103" s="5" t="s">
        <v>215</v>
      </c>
      <c r="G14103" s="5" t="s">
        <v>3258</v>
      </c>
      <c r="H14103" s="5" t="s">
        <v>3259</v>
      </c>
      <c r="I14103" s="5" t="s">
        <v>31</v>
      </c>
      <c r="J14103" s="5">
        <v>17.126306</v>
      </c>
      <c r="K14103" s="5">
        <v>-98.193721999999994</v>
      </c>
      <c r="L14103" s="5" t="str">
        <f>HYPERLINK("https://maps.google.com/?q=17.126306,-98.193722", "🔗 Ver Mapa")</f>
        <v>🔗 Ver Mapa</v>
      </c>
    </row>
    <row r="14104" spans="1:12" ht="58" x14ac:dyDescent="0.35">
      <c r="A14104" s="6" t="s">
        <v>73</v>
      </c>
      <c r="B14104" s="6" t="s">
        <v>74</v>
      </c>
      <c r="C14104" s="6" t="s">
        <v>3260</v>
      </c>
      <c r="D14104" s="6" t="s">
        <v>76</v>
      </c>
      <c r="E14104" s="6" t="s">
        <v>110</v>
      </c>
      <c r="F14104" s="6" t="s">
        <v>126</v>
      </c>
      <c r="G14104" s="6" t="s">
        <v>3261</v>
      </c>
      <c r="H14104" s="6" t="s">
        <v>3262</v>
      </c>
      <c r="I14104" s="6" t="s">
        <v>31</v>
      </c>
      <c r="J14104" s="6">
        <v>17.85813765</v>
      </c>
      <c r="K14104" s="6">
        <v>-96.672901600000003</v>
      </c>
      <c r="L14104" s="6" t="str">
        <f>HYPERLINK("https://maps.google.com/?q=17.85813765,-96.6729016", "🔗 Ver Mapa")</f>
        <v>🔗 Ver Mapa</v>
      </c>
    </row>
    <row r="14105" spans="1:12" ht="58" x14ac:dyDescent="0.35">
      <c r="A14105" s="5" t="s">
        <v>73</v>
      </c>
      <c r="B14105" s="5" t="s">
        <v>74</v>
      </c>
      <c r="C14105" s="5" t="s">
        <v>3263</v>
      </c>
      <c r="D14105" s="5" t="s">
        <v>76</v>
      </c>
      <c r="E14105" s="5" t="s">
        <v>110</v>
      </c>
      <c r="F14105" s="5" t="s">
        <v>111</v>
      </c>
      <c r="G14105" s="5" t="s">
        <v>2419</v>
      </c>
      <c r="H14105" s="5" t="s">
        <v>3264</v>
      </c>
      <c r="I14105" s="5" t="s">
        <v>31</v>
      </c>
      <c r="J14105" s="5">
        <v>18.163876904157</v>
      </c>
      <c r="K14105" s="5">
        <v>-96.756094007979002</v>
      </c>
      <c r="L14105" s="5" t="str">
        <f>HYPERLINK("https://maps.google.com/?q=18.16387690415671,-96.75609400797927", "🔗 Ver Mapa")</f>
        <v>🔗 Ver Mapa</v>
      </c>
    </row>
    <row r="14106" spans="1:12" ht="58" x14ac:dyDescent="0.35">
      <c r="A14106" s="6" t="s">
        <v>73</v>
      </c>
      <c r="B14106" s="6" t="s">
        <v>74</v>
      </c>
      <c r="C14106" s="6" t="s">
        <v>3265</v>
      </c>
      <c r="D14106" s="6" t="s">
        <v>76</v>
      </c>
      <c r="E14106" s="6" t="s">
        <v>110</v>
      </c>
      <c r="F14106" s="6" t="s">
        <v>126</v>
      </c>
      <c r="G14106" s="6" t="s">
        <v>2301</v>
      </c>
      <c r="H14106" s="6" t="s">
        <v>3266</v>
      </c>
      <c r="I14106" s="6" t="s">
        <v>31</v>
      </c>
      <c r="J14106" s="6">
        <v>17.710887320000001</v>
      </c>
      <c r="K14106" s="6">
        <v>-97.061600100000007</v>
      </c>
      <c r="L14106" s="6" t="str">
        <f>HYPERLINK("https://maps.google.com/?q=17.71088732,-97.0616001", "🔗 Ver Mapa")</f>
        <v>🔗 Ver Mapa</v>
      </c>
    </row>
    <row r="14107" spans="1:12" ht="58" x14ac:dyDescent="0.35">
      <c r="A14107" s="5" t="s">
        <v>73</v>
      </c>
      <c r="B14107" s="5" t="s">
        <v>74</v>
      </c>
      <c r="C14107" s="5" t="s">
        <v>3267</v>
      </c>
      <c r="D14107" s="5" t="s">
        <v>76</v>
      </c>
      <c r="E14107" s="5" t="s">
        <v>17</v>
      </c>
      <c r="F14107" s="5" t="s">
        <v>20</v>
      </c>
      <c r="G14107" s="5" t="s">
        <v>2304</v>
      </c>
      <c r="H14107" s="5" t="s">
        <v>3268</v>
      </c>
      <c r="I14107" s="5" t="s">
        <v>31</v>
      </c>
      <c r="J14107" s="5">
        <v>15.79063487126</v>
      </c>
      <c r="K14107" s="5">
        <v>-96.581858043045997</v>
      </c>
      <c r="L14107" s="5" t="str">
        <f>HYPERLINK("https://maps.google.com/?q=15.790634871260181,-96.58185804304594", "🔗 Ver Mapa")</f>
        <v>🔗 Ver Mapa</v>
      </c>
    </row>
    <row r="14108" spans="1:12" ht="58" x14ac:dyDescent="0.35">
      <c r="A14108" s="6" t="s">
        <v>73</v>
      </c>
      <c r="B14108" s="6" t="s">
        <v>74</v>
      </c>
      <c r="C14108" s="6" t="s">
        <v>3269</v>
      </c>
      <c r="D14108" s="6" t="s">
        <v>76</v>
      </c>
      <c r="E14108" s="6" t="s">
        <v>17</v>
      </c>
      <c r="F14108" s="6" t="s">
        <v>59</v>
      </c>
      <c r="G14108" s="6" t="s">
        <v>2480</v>
      </c>
      <c r="H14108" s="6" t="s">
        <v>2481</v>
      </c>
      <c r="I14108" s="6" t="s">
        <v>31</v>
      </c>
      <c r="J14108" s="6">
        <v>16.442766931278999</v>
      </c>
      <c r="K14108" s="6">
        <v>-98.227090655408006</v>
      </c>
      <c r="L14108" s="6" t="str">
        <f>HYPERLINK("https://maps.google.com/?q=16.442766931278577,-98.22709065540826", "🔗 Ver Mapa")</f>
        <v>🔗 Ver Mapa</v>
      </c>
    </row>
    <row r="14109" spans="1:12" ht="58" x14ac:dyDescent="0.35">
      <c r="A14109" s="5" t="s">
        <v>73</v>
      </c>
      <c r="B14109" s="5" t="s">
        <v>74</v>
      </c>
      <c r="C14109" s="5" t="s">
        <v>3270</v>
      </c>
      <c r="D14109" s="5" t="s">
        <v>76</v>
      </c>
      <c r="E14109" s="5" t="s">
        <v>158</v>
      </c>
      <c r="F14109" s="5" t="s">
        <v>166</v>
      </c>
      <c r="G14109" s="5" t="s">
        <v>167</v>
      </c>
      <c r="H14109" s="5" t="s">
        <v>3271</v>
      </c>
      <c r="I14109" s="5" t="s">
        <v>31</v>
      </c>
      <c r="J14109" s="5">
        <v>16.38272168</v>
      </c>
      <c r="K14109" s="5">
        <v>-95.200121089999996</v>
      </c>
      <c r="L14109" s="5" t="str">
        <f>HYPERLINK("https://maps.google.com/?q=16.38272168,-95.20012109", "🔗 Ver Mapa")</f>
        <v>🔗 Ver Mapa</v>
      </c>
    </row>
    <row r="14110" spans="1:12" ht="43.5" x14ac:dyDescent="0.35">
      <c r="A14110" s="6" t="s">
        <v>73</v>
      </c>
      <c r="B14110" s="6" t="s">
        <v>74</v>
      </c>
      <c r="C14110" s="6" t="s">
        <v>3272</v>
      </c>
      <c r="D14110" s="6" t="s">
        <v>76</v>
      </c>
      <c r="E14110" s="6" t="s">
        <v>158</v>
      </c>
      <c r="F14110" s="6" t="s">
        <v>159</v>
      </c>
      <c r="G14110" s="6" t="s">
        <v>181</v>
      </c>
      <c r="H14110" s="6" t="s">
        <v>3273</v>
      </c>
      <c r="I14110" s="6" t="s">
        <v>31</v>
      </c>
      <c r="J14110" s="6">
        <v>16.95482204</v>
      </c>
      <c r="K14110" s="6">
        <v>-94.960203250000006</v>
      </c>
      <c r="L14110" s="6" t="str">
        <f>HYPERLINK("https://maps.google.com/?q=16.95482204,-94.96020325", "🔗 Ver Mapa")</f>
        <v>🔗 Ver Mapa</v>
      </c>
    </row>
    <row r="14111" spans="1:12" ht="58" x14ac:dyDescent="0.35">
      <c r="A14111" s="5" t="s">
        <v>73</v>
      </c>
      <c r="B14111" s="5" t="s">
        <v>74</v>
      </c>
      <c r="C14111" s="5" t="s">
        <v>3274</v>
      </c>
      <c r="D14111" s="5" t="s">
        <v>76</v>
      </c>
      <c r="E14111" s="5" t="s">
        <v>158</v>
      </c>
      <c r="F14111" s="5" t="s">
        <v>166</v>
      </c>
      <c r="G14111" s="5" t="s">
        <v>167</v>
      </c>
      <c r="H14111" s="5" t="s">
        <v>3275</v>
      </c>
      <c r="I14111" s="5" t="s">
        <v>31</v>
      </c>
      <c r="J14111" s="5">
        <v>16.858710810000002</v>
      </c>
      <c r="K14111" s="5">
        <v>-95.530399399999993</v>
      </c>
      <c r="L14111" s="5" t="str">
        <f>HYPERLINK("https://maps.google.com/?q=16.85871081,-95.5303994", "🔗 Ver Mapa")</f>
        <v>🔗 Ver Mapa</v>
      </c>
    </row>
    <row r="14112" spans="1:12" ht="58" x14ac:dyDescent="0.35">
      <c r="A14112" s="6" t="s">
        <v>73</v>
      </c>
      <c r="B14112" s="6" t="s">
        <v>74</v>
      </c>
      <c r="C14112" s="6" t="s">
        <v>3276</v>
      </c>
      <c r="D14112" s="6" t="s">
        <v>76</v>
      </c>
      <c r="E14112" s="6" t="s">
        <v>158</v>
      </c>
      <c r="F14112" s="6" t="s">
        <v>166</v>
      </c>
      <c r="G14112" s="6" t="s">
        <v>2127</v>
      </c>
      <c r="H14112" s="6" t="s">
        <v>3277</v>
      </c>
      <c r="I14112" s="6" t="s">
        <v>31</v>
      </c>
      <c r="J14112" s="6">
        <v>16.879910880000001</v>
      </c>
      <c r="K14112" s="6">
        <v>-95.297898540000006</v>
      </c>
      <c r="L14112" s="6" t="str">
        <f>HYPERLINK("https://maps.google.com/?q=16.87991088,-95.29789854", "🔗 Ver Mapa")</f>
        <v>🔗 Ver Mapa</v>
      </c>
    </row>
    <row r="14113" spans="1:12" ht="58" x14ac:dyDescent="0.35">
      <c r="A14113" s="5" t="s">
        <v>73</v>
      </c>
      <c r="B14113" s="5" t="s">
        <v>74</v>
      </c>
      <c r="C14113" s="5" t="s">
        <v>3278</v>
      </c>
      <c r="D14113" s="5" t="s">
        <v>76</v>
      </c>
      <c r="E14113" s="5" t="s">
        <v>16</v>
      </c>
      <c r="F14113" s="5" t="s">
        <v>145</v>
      </c>
      <c r="G14113" s="5" t="s">
        <v>2066</v>
      </c>
      <c r="H14113" s="5" t="s">
        <v>3279</v>
      </c>
      <c r="I14113" s="5" t="s">
        <v>31</v>
      </c>
      <c r="J14113" s="5">
        <v>17.740131999999999</v>
      </c>
      <c r="K14113" s="5">
        <v>-98.031383000000005</v>
      </c>
      <c r="L14113" s="5" t="str">
        <f>HYPERLINK("https://maps.google.com/?q=17.740132,-98.031383", "🔗 Ver Mapa")</f>
        <v>🔗 Ver Mapa</v>
      </c>
    </row>
    <row r="14114" spans="1:12" ht="58" x14ac:dyDescent="0.35">
      <c r="A14114" s="6" t="s">
        <v>73</v>
      </c>
      <c r="B14114" s="6" t="s">
        <v>74</v>
      </c>
      <c r="C14114" s="6" t="s">
        <v>3280</v>
      </c>
      <c r="D14114" s="6" t="s">
        <v>76</v>
      </c>
      <c r="E14114" s="6" t="s">
        <v>16</v>
      </c>
      <c r="F14114" s="6" t="s">
        <v>145</v>
      </c>
      <c r="G14114" s="6" t="s">
        <v>537</v>
      </c>
      <c r="H14114" s="6" t="s">
        <v>3281</v>
      </c>
      <c r="I14114" s="6" t="s">
        <v>31</v>
      </c>
      <c r="J14114" s="6">
        <v>17.810052039999999</v>
      </c>
      <c r="K14114" s="6">
        <v>-97.953720809999993</v>
      </c>
      <c r="L14114" s="6" t="str">
        <f>HYPERLINK("https://maps.google.com/?q=17.81005204,-97.95372081", "🔗 Ver Mapa")</f>
        <v>🔗 Ver Mapa</v>
      </c>
    </row>
    <row r="14115" spans="1:12" ht="58" x14ac:dyDescent="0.35">
      <c r="A14115" s="5" t="s">
        <v>73</v>
      </c>
      <c r="B14115" s="5" t="s">
        <v>74</v>
      </c>
      <c r="C14115" s="5" t="s">
        <v>3282</v>
      </c>
      <c r="D14115" s="5" t="s">
        <v>76</v>
      </c>
      <c r="E14115" s="5" t="s">
        <v>16</v>
      </c>
      <c r="F14115" s="5" t="s">
        <v>145</v>
      </c>
      <c r="G14115" s="5" t="s">
        <v>3283</v>
      </c>
      <c r="H14115" s="5" t="s">
        <v>3284</v>
      </c>
      <c r="I14115" s="5" t="s">
        <v>31</v>
      </c>
      <c r="J14115" s="5">
        <v>17.828941</v>
      </c>
      <c r="K14115" s="5">
        <v>-98.004806000000002</v>
      </c>
      <c r="L14115" s="5" t="str">
        <f>HYPERLINK("https://maps.google.com/?q=17.828941,-98.004806", "🔗 Ver Mapa")</f>
        <v>🔗 Ver Mapa</v>
      </c>
    </row>
    <row r="14116" spans="1:12" ht="58" x14ac:dyDescent="0.35">
      <c r="A14116" s="6" t="s">
        <v>73</v>
      </c>
      <c r="B14116" s="6" t="s">
        <v>74</v>
      </c>
      <c r="C14116" s="6" t="s">
        <v>3285</v>
      </c>
      <c r="D14116" s="6" t="s">
        <v>76</v>
      </c>
      <c r="E14116" s="6" t="s">
        <v>140</v>
      </c>
      <c r="F14116" s="6" t="s">
        <v>141</v>
      </c>
      <c r="G14116" s="6" t="s">
        <v>604</v>
      </c>
      <c r="H14116" s="6" t="s">
        <v>3286</v>
      </c>
      <c r="I14116" s="6" t="s">
        <v>31</v>
      </c>
      <c r="J14116" s="6">
        <v>18.118355000000001</v>
      </c>
      <c r="K14116" s="6">
        <v>-96.308396000000002</v>
      </c>
      <c r="L14116" s="6" t="str">
        <f>HYPERLINK("https://maps.google.com/?q=18.118355,-96.308396", "🔗 Ver Mapa")</f>
        <v>🔗 Ver Mapa</v>
      </c>
    </row>
    <row r="14117" spans="1:12" ht="58" x14ac:dyDescent="0.35">
      <c r="A14117" s="5" t="s">
        <v>73</v>
      </c>
      <c r="B14117" s="5" t="s">
        <v>74</v>
      </c>
      <c r="C14117" s="5" t="s">
        <v>3287</v>
      </c>
      <c r="D14117" s="5" t="s">
        <v>76</v>
      </c>
      <c r="E14117" s="5" t="s">
        <v>140</v>
      </c>
      <c r="F14117" s="5" t="s">
        <v>624</v>
      </c>
      <c r="G14117" s="5" t="s">
        <v>3288</v>
      </c>
      <c r="H14117" s="5" t="s">
        <v>3289</v>
      </c>
      <c r="I14117" s="5" t="s">
        <v>31</v>
      </c>
      <c r="J14117" s="5">
        <v>17.470508716638999</v>
      </c>
      <c r="K14117" s="5">
        <v>-96.043633267230007</v>
      </c>
      <c r="L14117" s="5" t="str">
        <f>HYPERLINK("https://maps.google.com/?q=17.47050871663904,-96.04363326723019", "🔗 Ver Mapa")</f>
        <v>🔗 Ver Mapa</v>
      </c>
    </row>
    <row r="14118" spans="1:12" ht="58" x14ac:dyDescent="0.35">
      <c r="A14118" s="6" t="s">
        <v>73</v>
      </c>
      <c r="B14118" s="6" t="s">
        <v>74</v>
      </c>
      <c r="C14118" s="6" t="s">
        <v>3290</v>
      </c>
      <c r="D14118" s="6" t="s">
        <v>76</v>
      </c>
      <c r="E14118" s="6" t="s">
        <v>140</v>
      </c>
      <c r="F14118" s="6" t="s">
        <v>141</v>
      </c>
      <c r="G14118" s="6" t="s">
        <v>258</v>
      </c>
      <c r="H14118" s="6" t="s">
        <v>3291</v>
      </c>
      <c r="I14118" s="6" t="s">
        <v>31</v>
      </c>
      <c r="J14118" s="6">
        <v>18.310807270000002</v>
      </c>
      <c r="K14118" s="6">
        <v>-96.573662650000003</v>
      </c>
      <c r="L14118" s="6" t="str">
        <f>HYPERLINK("https://maps.google.com/?q=18.31080727,-96.57366265", "🔗 Ver Mapa")</f>
        <v>🔗 Ver Mapa</v>
      </c>
    </row>
    <row r="14119" spans="1:12" ht="58" x14ac:dyDescent="0.35">
      <c r="A14119" s="5" t="s">
        <v>73</v>
      </c>
      <c r="B14119" s="5" t="s">
        <v>74</v>
      </c>
      <c r="C14119" s="5" t="s">
        <v>3292</v>
      </c>
      <c r="D14119" s="5" t="s">
        <v>76</v>
      </c>
      <c r="E14119" s="5" t="s">
        <v>90</v>
      </c>
      <c r="F14119" s="5" t="s">
        <v>119</v>
      </c>
      <c r="G14119" s="5" t="s">
        <v>347</v>
      </c>
      <c r="H14119" s="5" t="s">
        <v>3293</v>
      </c>
      <c r="I14119" s="5" t="s">
        <v>31</v>
      </c>
      <c r="J14119" s="5">
        <v>17.437766700000001</v>
      </c>
      <c r="K14119" s="5">
        <v>-96.323133330000005</v>
      </c>
      <c r="L14119" s="5" t="str">
        <f>HYPERLINK("https://maps.google.com/?q=17.4377667,-96.32313333", "🔗 Ver Mapa")</f>
        <v>🔗 Ver Mapa</v>
      </c>
    </row>
    <row r="14120" spans="1:12" ht="58" x14ac:dyDescent="0.35">
      <c r="A14120" s="6" t="s">
        <v>73</v>
      </c>
      <c r="B14120" s="6" t="s">
        <v>74</v>
      </c>
      <c r="C14120" s="6" t="s">
        <v>3294</v>
      </c>
      <c r="D14120" s="6" t="s">
        <v>76</v>
      </c>
      <c r="E14120" s="6" t="s">
        <v>90</v>
      </c>
      <c r="F14120" s="6" t="s">
        <v>678</v>
      </c>
      <c r="G14120" s="6" t="s">
        <v>1104</v>
      </c>
      <c r="H14120" s="6" t="s">
        <v>1111</v>
      </c>
      <c r="I14120" s="6" t="s">
        <v>31</v>
      </c>
      <c r="J14120" s="6">
        <v>17.557635350000002</v>
      </c>
      <c r="K14120" s="6">
        <v>-96.223853869999999</v>
      </c>
      <c r="L14120" s="6" t="str">
        <f>HYPERLINK("https://maps.google.com/?q=17.55763535,-96.22385387", "🔗 Ver Mapa")</f>
        <v>🔗 Ver Mapa</v>
      </c>
    </row>
    <row r="14121" spans="1:12" ht="58" x14ac:dyDescent="0.35">
      <c r="A14121" s="5" t="s">
        <v>73</v>
      </c>
      <c r="B14121" s="5" t="s">
        <v>74</v>
      </c>
      <c r="C14121" s="5" t="s">
        <v>3295</v>
      </c>
      <c r="D14121" s="5" t="s">
        <v>76</v>
      </c>
      <c r="E14121" s="5" t="s">
        <v>90</v>
      </c>
      <c r="F14121" s="5" t="s">
        <v>91</v>
      </c>
      <c r="G14121" s="5" t="s">
        <v>3296</v>
      </c>
      <c r="H14121" s="5" t="s">
        <v>3297</v>
      </c>
      <c r="I14121" s="5" t="s">
        <v>31</v>
      </c>
      <c r="J14121" s="5">
        <v>17.019003999999999</v>
      </c>
      <c r="K14121" s="5">
        <v>-95.830316999999994</v>
      </c>
      <c r="L14121" s="5" t="str">
        <f>HYPERLINK("https://maps.google.com/?q=17.019004,-95.830317", "🔗 Ver Mapa")</f>
        <v>🔗 Ver Mapa</v>
      </c>
    </row>
    <row r="14122" spans="1:12" ht="58" x14ac:dyDescent="0.35">
      <c r="A14122" s="6" t="s">
        <v>73</v>
      </c>
      <c r="B14122" s="6" t="s">
        <v>74</v>
      </c>
      <c r="C14122" s="6" t="s">
        <v>3298</v>
      </c>
      <c r="D14122" s="6" t="s">
        <v>76</v>
      </c>
      <c r="E14122" s="6" t="s">
        <v>39</v>
      </c>
      <c r="F14122" s="6" t="s">
        <v>133</v>
      </c>
      <c r="G14122" s="6" t="s">
        <v>3299</v>
      </c>
      <c r="H14122" s="6" t="s">
        <v>3300</v>
      </c>
      <c r="I14122" s="6" t="s">
        <v>31</v>
      </c>
      <c r="J14122" s="6">
        <v>16.300312139999999</v>
      </c>
      <c r="K14122" s="6">
        <v>-95.726297459999998</v>
      </c>
      <c r="L14122" s="6" t="str">
        <f>HYPERLINK("https://maps.google.com/?q=16.30031214,-95.72629746", "🔗 Ver Mapa")</f>
        <v>🔗 Ver Mapa</v>
      </c>
    </row>
    <row r="14123" spans="1:12" ht="58" x14ac:dyDescent="0.35">
      <c r="A14123" s="5" t="s">
        <v>73</v>
      </c>
      <c r="B14123" s="5" t="s">
        <v>74</v>
      </c>
      <c r="C14123" s="5" t="s">
        <v>3301</v>
      </c>
      <c r="D14123" s="5" t="s">
        <v>76</v>
      </c>
      <c r="E14123" s="5" t="s">
        <v>39</v>
      </c>
      <c r="F14123" s="5" t="s">
        <v>353</v>
      </c>
      <c r="G14123" s="5" t="s">
        <v>1266</v>
      </c>
      <c r="H14123" s="5" t="s">
        <v>3302</v>
      </c>
      <c r="I14123" s="5" t="s">
        <v>31</v>
      </c>
      <c r="J14123" s="5">
        <v>16.43931813</v>
      </c>
      <c r="K14123" s="5">
        <v>-96.598306620000002</v>
      </c>
      <c r="L14123" s="5" t="str">
        <f>HYPERLINK("https://maps.google.com/?q=16.43931813,-96.59830662", "🔗 Ver Mapa")</f>
        <v>🔗 Ver Mapa</v>
      </c>
    </row>
    <row r="14124" spans="1:12" ht="58" x14ac:dyDescent="0.35">
      <c r="A14124" s="6" t="s">
        <v>73</v>
      </c>
      <c r="B14124" s="6" t="s">
        <v>74</v>
      </c>
      <c r="C14124" s="6" t="s">
        <v>3303</v>
      </c>
      <c r="D14124" s="6" t="s">
        <v>76</v>
      </c>
      <c r="E14124" s="6" t="s">
        <v>39</v>
      </c>
      <c r="F14124" s="6" t="s">
        <v>353</v>
      </c>
      <c r="G14124" s="6" t="s">
        <v>534</v>
      </c>
      <c r="H14124" s="6" t="s">
        <v>3304</v>
      </c>
      <c r="I14124" s="6" t="s">
        <v>31</v>
      </c>
      <c r="J14124" s="6">
        <v>16.188891373948</v>
      </c>
      <c r="K14124" s="6">
        <v>-96.772482542293005</v>
      </c>
      <c r="L14124" s="6" t="str">
        <f>HYPERLINK("https://maps.google.com/?q=16.18889137394817,-96.7724825422932", "🔗 Ver Mapa")</f>
        <v>🔗 Ver Mapa</v>
      </c>
    </row>
    <row r="14125" spans="1:12" ht="58" x14ac:dyDescent="0.35">
      <c r="A14125" s="5" t="s">
        <v>73</v>
      </c>
      <c r="B14125" s="5" t="s">
        <v>74</v>
      </c>
      <c r="C14125" s="5" t="s">
        <v>3305</v>
      </c>
      <c r="D14125" s="5" t="s">
        <v>76</v>
      </c>
      <c r="E14125" s="5" t="s">
        <v>39</v>
      </c>
      <c r="F14125" s="5" t="s">
        <v>353</v>
      </c>
      <c r="G14125" s="5" t="s">
        <v>534</v>
      </c>
      <c r="H14125" s="5" t="s">
        <v>3306</v>
      </c>
      <c r="I14125" s="5" t="s">
        <v>31</v>
      </c>
      <c r="J14125" s="5">
        <v>16.0784056</v>
      </c>
      <c r="K14125" s="5">
        <v>-96.850886110000005</v>
      </c>
      <c r="L14125" s="5" t="str">
        <f>HYPERLINK("https://maps.google.com/?q=16.0784056,-96.85088611", "🔗 Ver Mapa")</f>
        <v>🔗 Ver Mapa</v>
      </c>
    </row>
    <row r="14126" spans="1:12" ht="58" x14ac:dyDescent="0.35">
      <c r="A14126" s="6" t="s">
        <v>73</v>
      </c>
      <c r="B14126" s="6" t="s">
        <v>74</v>
      </c>
      <c r="C14126" s="6" t="s">
        <v>3307</v>
      </c>
      <c r="D14126" s="6" t="s">
        <v>76</v>
      </c>
      <c r="E14126" s="6" t="s">
        <v>39</v>
      </c>
      <c r="F14126" s="6" t="s">
        <v>133</v>
      </c>
      <c r="G14126" s="6" t="s">
        <v>2811</v>
      </c>
      <c r="H14126" s="6" t="s">
        <v>3308</v>
      </c>
      <c r="I14126" s="6" t="s">
        <v>31</v>
      </c>
      <c r="J14126" s="6">
        <v>16.34922057</v>
      </c>
      <c r="K14126" s="6">
        <v>-96.181200009999998</v>
      </c>
      <c r="L14126" s="6" t="str">
        <f>HYPERLINK("https://maps.google.com/?q=16.34922057,-96.18120001", "🔗 Ver Mapa")</f>
        <v>🔗 Ver Mapa</v>
      </c>
    </row>
    <row r="14127" spans="1:12" ht="58" x14ac:dyDescent="0.35">
      <c r="A14127" s="5" t="s">
        <v>73</v>
      </c>
      <c r="B14127" s="5" t="s">
        <v>74</v>
      </c>
      <c r="C14127" s="5" t="s">
        <v>3309</v>
      </c>
      <c r="D14127" s="5" t="s">
        <v>76</v>
      </c>
      <c r="E14127" s="5" t="s">
        <v>52</v>
      </c>
      <c r="F14127" s="5" t="s">
        <v>228</v>
      </c>
      <c r="G14127" s="5" t="s">
        <v>3310</v>
      </c>
      <c r="H14127" s="5" t="s">
        <v>3311</v>
      </c>
      <c r="I14127" s="5" t="s">
        <v>31</v>
      </c>
      <c r="J14127" s="5">
        <v>16.718719749577001</v>
      </c>
      <c r="K14127" s="5">
        <v>-96.593327272913996</v>
      </c>
      <c r="L14127" s="5" t="str">
        <f>HYPERLINK("https://maps.google.com/?q=16.718719749576643,-96.59332727291438", "🔗 Ver Mapa")</f>
        <v>🔗 Ver Mapa</v>
      </c>
    </row>
    <row r="14128" spans="1:12" ht="58" x14ac:dyDescent="0.35">
      <c r="A14128" s="6" t="s">
        <v>73</v>
      </c>
      <c r="B14128" s="6" t="s">
        <v>74</v>
      </c>
      <c r="C14128" s="6" t="s">
        <v>3312</v>
      </c>
      <c r="D14128" s="6" t="s">
        <v>76</v>
      </c>
      <c r="E14128" s="6" t="s">
        <v>52</v>
      </c>
      <c r="F14128" s="6" t="s">
        <v>443</v>
      </c>
      <c r="G14128" s="6" t="s">
        <v>444</v>
      </c>
      <c r="H14128" s="6" t="s">
        <v>445</v>
      </c>
      <c r="I14128" s="6" t="s">
        <v>31</v>
      </c>
      <c r="J14128" s="6">
        <v>16.894126329999999</v>
      </c>
      <c r="K14128" s="6">
        <v>-96.937108660000007</v>
      </c>
      <c r="L14128" s="6" t="str">
        <f>HYPERLINK("https://maps.google.com/?q=16.89412633,-96.93710866", "🔗 Ver Mapa")</f>
        <v>🔗 Ver Mapa</v>
      </c>
    </row>
    <row r="14129" spans="1:12" ht="58" x14ac:dyDescent="0.35">
      <c r="A14129" s="5" t="s">
        <v>73</v>
      </c>
      <c r="B14129" s="5" t="s">
        <v>74</v>
      </c>
      <c r="C14129" s="5" t="s">
        <v>3313</v>
      </c>
      <c r="D14129" s="5" t="s">
        <v>76</v>
      </c>
      <c r="E14129" s="5" t="s">
        <v>52</v>
      </c>
      <c r="F14129" s="5" t="s">
        <v>421</v>
      </c>
      <c r="G14129" s="5" t="s">
        <v>1922</v>
      </c>
      <c r="H14129" s="5" t="s">
        <v>1923</v>
      </c>
      <c r="I14129" s="5" t="s">
        <v>31</v>
      </c>
      <c r="J14129" s="5">
        <v>16.5700146</v>
      </c>
      <c r="K14129" s="5">
        <v>-96.556965550000001</v>
      </c>
      <c r="L14129" s="5" t="str">
        <f>HYPERLINK("https://maps.google.com/?q=16.5700146,-96.55696555", "🔗 Ver Mapa")</f>
        <v>🔗 Ver Mapa</v>
      </c>
    </row>
    <row r="14130" spans="1:12" ht="58" x14ac:dyDescent="0.35">
      <c r="A14130" s="6" t="s">
        <v>73</v>
      </c>
      <c r="B14130" s="6" t="s">
        <v>74</v>
      </c>
      <c r="C14130" s="6" t="s">
        <v>3314</v>
      </c>
      <c r="D14130" s="6" t="s">
        <v>76</v>
      </c>
      <c r="E14130" s="6" t="s">
        <v>90</v>
      </c>
      <c r="F14130" s="6" t="s">
        <v>91</v>
      </c>
      <c r="G14130" s="6" t="s">
        <v>3315</v>
      </c>
      <c r="H14130" s="6" t="s">
        <v>3316</v>
      </c>
      <c r="I14130" s="6" t="s">
        <v>31</v>
      </c>
      <c r="J14130" s="6">
        <v>16.934857300000001</v>
      </c>
      <c r="K14130" s="6">
        <v>-95.623106010000001</v>
      </c>
      <c r="L14130" s="6" t="str">
        <f>HYPERLINK("https://maps.google.com/?q=16.9348573,-95.62310601", "🔗 Ver Mapa")</f>
        <v>🔗 Ver Mapa</v>
      </c>
    </row>
    <row r="14131" spans="1:12" ht="58" x14ac:dyDescent="0.35">
      <c r="A14131" s="5" t="s">
        <v>73</v>
      </c>
      <c r="B14131" s="5" t="s">
        <v>74</v>
      </c>
      <c r="C14131" s="5" t="s">
        <v>3317</v>
      </c>
      <c r="D14131" s="5" t="s">
        <v>76</v>
      </c>
      <c r="E14131" s="5" t="s">
        <v>16</v>
      </c>
      <c r="F14131" s="5" t="s">
        <v>21</v>
      </c>
      <c r="G14131" s="5" t="s">
        <v>418</v>
      </c>
      <c r="H14131" s="5" t="s">
        <v>3318</v>
      </c>
      <c r="I14131" s="5" t="s">
        <v>31</v>
      </c>
      <c r="J14131" s="5">
        <v>16.985327714069999</v>
      </c>
      <c r="K14131" s="5">
        <v>-97.579549633650998</v>
      </c>
      <c r="L14131" s="5" t="str">
        <f>HYPERLINK("https://maps.google.com/?q=16.985327714069747,-97.57954963365083", "🔗 Ver Mapa")</f>
        <v>🔗 Ver Mapa</v>
      </c>
    </row>
    <row r="14132" spans="1:12" ht="58" x14ac:dyDescent="0.35">
      <c r="A14132" s="6" t="s">
        <v>73</v>
      </c>
      <c r="B14132" s="6" t="s">
        <v>74</v>
      </c>
      <c r="C14132" s="6" t="s">
        <v>3319</v>
      </c>
      <c r="D14132" s="6" t="s">
        <v>76</v>
      </c>
      <c r="E14132" s="6" t="s">
        <v>16</v>
      </c>
      <c r="F14132" s="6" t="s">
        <v>215</v>
      </c>
      <c r="G14132" s="6" t="s">
        <v>3258</v>
      </c>
      <c r="H14132" s="6" t="s">
        <v>3320</v>
      </c>
      <c r="I14132" s="6" t="s">
        <v>31</v>
      </c>
      <c r="J14132" s="6">
        <v>17.267399000000001</v>
      </c>
      <c r="K14132" s="6">
        <v>-98.270148000000006</v>
      </c>
      <c r="L14132" s="6" t="str">
        <f>HYPERLINK("https://maps.google.com/?q=17.267399,-98.270148", "🔗 Ver Mapa")</f>
        <v>🔗 Ver Mapa</v>
      </c>
    </row>
    <row r="14133" spans="1:12" ht="43.5" x14ac:dyDescent="0.35">
      <c r="A14133" s="5" t="s">
        <v>73</v>
      </c>
      <c r="B14133" s="5" t="s">
        <v>74</v>
      </c>
      <c r="C14133" s="5" t="s">
        <v>3321</v>
      </c>
      <c r="D14133" s="5" t="s">
        <v>76</v>
      </c>
      <c r="E14133" s="5" t="s">
        <v>158</v>
      </c>
      <c r="F14133" s="5" t="s">
        <v>166</v>
      </c>
      <c r="G14133" s="5" t="s">
        <v>2788</v>
      </c>
      <c r="H14133" s="5" t="s">
        <v>3322</v>
      </c>
      <c r="I14133" s="5" t="s">
        <v>31</v>
      </c>
      <c r="J14133" s="5">
        <v>16.837756989999999</v>
      </c>
      <c r="K14133" s="5">
        <v>-95.412907610000005</v>
      </c>
      <c r="L14133" s="5" t="str">
        <f>HYPERLINK("https://maps.google.com/?q=16.83775699,-95.41290761", "🔗 Ver Mapa")</f>
        <v>🔗 Ver Mapa</v>
      </c>
    </row>
    <row r="14134" spans="1:12" ht="58" x14ac:dyDescent="0.35">
      <c r="A14134" s="6" t="s">
        <v>73</v>
      </c>
      <c r="B14134" s="6" t="s">
        <v>74</v>
      </c>
      <c r="C14134" s="6" t="s">
        <v>3323</v>
      </c>
      <c r="D14134" s="6" t="s">
        <v>76</v>
      </c>
      <c r="E14134" s="6" t="s">
        <v>16</v>
      </c>
      <c r="F14134" s="6" t="s">
        <v>145</v>
      </c>
      <c r="G14134" s="6" t="s">
        <v>1863</v>
      </c>
      <c r="H14134" s="6" t="s">
        <v>2770</v>
      </c>
      <c r="I14134" s="6" t="s">
        <v>31</v>
      </c>
      <c r="J14134" s="6">
        <v>17.564885915320001</v>
      </c>
      <c r="K14134" s="6">
        <v>-97.888022721599</v>
      </c>
      <c r="L14134" s="6" t="str">
        <f>HYPERLINK("https://maps.google.com/?q=17.564885915319675,-97.88802272159928", "🔗 Ver Mapa")</f>
        <v>🔗 Ver Mapa</v>
      </c>
    </row>
    <row r="14135" spans="1:12" ht="58" x14ac:dyDescent="0.35">
      <c r="A14135" s="5" t="s">
        <v>73</v>
      </c>
      <c r="B14135" s="5" t="s">
        <v>74</v>
      </c>
      <c r="C14135" s="5" t="s">
        <v>3324</v>
      </c>
      <c r="D14135" s="5" t="s">
        <v>76</v>
      </c>
      <c r="E14135" s="5" t="s">
        <v>110</v>
      </c>
      <c r="F14135" s="5" t="s">
        <v>111</v>
      </c>
      <c r="G14135" s="5" t="s">
        <v>2419</v>
      </c>
      <c r="H14135" s="5" t="s">
        <v>3325</v>
      </c>
      <c r="I14135" s="5" t="s">
        <v>31</v>
      </c>
      <c r="J14135" s="5">
        <v>18.097943000000001</v>
      </c>
      <c r="K14135" s="5">
        <v>-96.862527</v>
      </c>
      <c r="L14135" s="5" t="str">
        <f>HYPERLINK("https://maps.google.com/?q=18.097943,-96.862527", "🔗 Ver Mapa")</f>
        <v>🔗 Ver Mapa</v>
      </c>
    </row>
    <row r="14136" spans="1:12" ht="58" x14ac:dyDescent="0.35">
      <c r="A14136" s="6" t="s">
        <v>73</v>
      </c>
      <c r="B14136" s="6" t="s">
        <v>74</v>
      </c>
      <c r="C14136" s="6" t="s">
        <v>3326</v>
      </c>
      <c r="D14136" s="6" t="s">
        <v>76</v>
      </c>
      <c r="E14136" s="6" t="s">
        <v>110</v>
      </c>
      <c r="F14136" s="6" t="s">
        <v>111</v>
      </c>
      <c r="G14136" s="6" t="s">
        <v>2419</v>
      </c>
      <c r="H14136" s="6" t="s">
        <v>3327</v>
      </c>
      <c r="I14136" s="6" t="s">
        <v>31</v>
      </c>
      <c r="J14136" s="6">
        <v>18.123006</v>
      </c>
      <c r="K14136" s="6">
        <v>-96.76146</v>
      </c>
      <c r="L14136" s="6" t="str">
        <f>HYPERLINK("https://maps.google.com/?q=18.123006,-96.76146", "🔗 Ver Mapa")</f>
        <v>🔗 Ver Mapa</v>
      </c>
    </row>
    <row r="14137" spans="1:12" ht="58" x14ac:dyDescent="0.35">
      <c r="A14137" s="5" t="s">
        <v>73</v>
      </c>
      <c r="B14137" s="5" t="s">
        <v>74</v>
      </c>
      <c r="C14137" s="5" t="s">
        <v>3328</v>
      </c>
      <c r="D14137" s="5" t="s">
        <v>76</v>
      </c>
      <c r="E14137" s="5" t="s">
        <v>110</v>
      </c>
      <c r="F14137" s="5" t="s">
        <v>111</v>
      </c>
      <c r="G14137" s="5" t="s">
        <v>2419</v>
      </c>
      <c r="H14137" s="5" t="s">
        <v>3329</v>
      </c>
      <c r="I14137" s="5" t="s">
        <v>31</v>
      </c>
      <c r="J14137" s="5">
        <v>18.076877845098</v>
      </c>
      <c r="K14137" s="5">
        <v>-96.804898101852004</v>
      </c>
      <c r="L14137" s="5" t="str">
        <f>HYPERLINK("https://maps.google.com/?q=18.076877845097908,-96.80489810185242", "🔗 Ver Mapa")</f>
        <v>🔗 Ver Mapa</v>
      </c>
    </row>
    <row r="14138" spans="1:12" ht="58" x14ac:dyDescent="0.35">
      <c r="A14138" s="6" t="s">
        <v>73</v>
      </c>
      <c r="B14138" s="6" t="s">
        <v>74</v>
      </c>
      <c r="C14138" s="6" t="s">
        <v>3330</v>
      </c>
      <c r="D14138" s="6" t="s">
        <v>76</v>
      </c>
      <c r="E14138" s="6" t="s">
        <v>158</v>
      </c>
      <c r="F14138" s="6" t="s">
        <v>166</v>
      </c>
      <c r="G14138" s="6" t="s">
        <v>812</v>
      </c>
      <c r="H14138" s="6" t="s">
        <v>3331</v>
      </c>
      <c r="I14138" s="6" t="s">
        <v>31</v>
      </c>
      <c r="J14138" s="6">
        <v>16.50951469</v>
      </c>
      <c r="K14138" s="6">
        <v>-95.472251029999995</v>
      </c>
      <c r="L14138" s="6" t="str">
        <f>HYPERLINK("https://maps.google.com/?q=16.50951469,-95.47225103", "🔗 Ver Mapa")</f>
        <v>🔗 Ver Mapa</v>
      </c>
    </row>
    <row r="14139" spans="1:12" ht="58" x14ac:dyDescent="0.35">
      <c r="A14139" s="5" t="s">
        <v>73</v>
      </c>
      <c r="B14139" s="5" t="s">
        <v>74</v>
      </c>
      <c r="C14139" s="5" t="s">
        <v>3332</v>
      </c>
      <c r="D14139" s="5" t="s">
        <v>76</v>
      </c>
      <c r="E14139" s="5" t="s">
        <v>110</v>
      </c>
      <c r="F14139" s="5" t="s">
        <v>111</v>
      </c>
      <c r="G14139" s="5" t="s">
        <v>450</v>
      </c>
      <c r="H14139" s="5" t="s">
        <v>3333</v>
      </c>
      <c r="I14139" s="5" t="s">
        <v>31</v>
      </c>
      <c r="J14139" s="5">
        <v>17.980730995445999</v>
      </c>
      <c r="K14139" s="5">
        <v>-96.952967444893005</v>
      </c>
      <c r="L14139" s="5" t="str">
        <f>HYPERLINK("https://maps.google.com/?q=17.98073099544588,-96.95296744489349", "🔗 Ver Mapa")</f>
        <v>🔗 Ver Mapa</v>
      </c>
    </row>
    <row r="14140" spans="1:12" ht="58" x14ac:dyDescent="0.35">
      <c r="A14140" s="6" t="s">
        <v>73</v>
      </c>
      <c r="B14140" s="6" t="s">
        <v>74</v>
      </c>
      <c r="C14140" s="6" t="s">
        <v>3334</v>
      </c>
      <c r="D14140" s="6" t="s">
        <v>76</v>
      </c>
      <c r="E14140" s="6" t="s">
        <v>52</v>
      </c>
      <c r="F14140" s="6" t="s">
        <v>83</v>
      </c>
      <c r="G14140" s="6" t="s">
        <v>3335</v>
      </c>
      <c r="H14140" s="6" t="s">
        <v>3336</v>
      </c>
      <c r="I14140" s="6" t="s">
        <v>31</v>
      </c>
      <c r="J14140" s="6">
        <v>17.169948120000001</v>
      </c>
      <c r="K14140" s="6">
        <v>-96.768121570000005</v>
      </c>
      <c r="L14140" s="6" t="str">
        <f>HYPERLINK("https://maps.google.com/?q=17.16994812,-96.76812157", "🔗 Ver Mapa")</f>
        <v>🔗 Ver Mapa</v>
      </c>
    </row>
    <row r="14141" spans="1:12" ht="58" x14ac:dyDescent="0.35">
      <c r="A14141" s="5" t="s">
        <v>73</v>
      </c>
      <c r="B14141" s="5" t="s">
        <v>74</v>
      </c>
      <c r="C14141" s="5" t="s">
        <v>3337</v>
      </c>
      <c r="D14141" s="5" t="s">
        <v>76</v>
      </c>
      <c r="E14141" s="5" t="s">
        <v>39</v>
      </c>
      <c r="F14141" s="5" t="s">
        <v>133</v>
      </c>
      <c r="G14141" s="5" t="s">
        <v>2811</v>
      </c>
      <c r="H14141" s="5" t="s">
        <v>3338</v>
      </c>
      <c r="I14141" s="5" t="s">
        <v>31</v>
      </c>
      <c r="J14141" s="5">
        <v>16.371273758438001</v>
      </c>
      <c r="K14141" s="5">
        <v>-96.211852918781005</v>
      </c>
      <c r="L14141" s="5" t="str">
        <f>HYPERLINK("https://maps.google.com/?q=16.371273758438242,-96.21185291878055", "🔗 Ver Mapa")</f>
        <v>🔗 Ver Mapa</v>
      </c>
    </row>
    <row r="14142" spans="1:12" ht="58" x14ac:dyDescent="0.35">
      <c r="A14142" s="6" t="s">
        <v>73</v>
      </c>
      <c r="B14142" s="6" t="s">
        <v>74</v>
      </c>
      <c r="C14142" s="6" t="s">
        <v>3339</v>
      </c>
      <c r="D14142" s="6" t="s">
        <v>76</v>
      </c>
      <c r="E14142" s="6" t="s">
        <v>39</v>
      </c>
      <c r="F14142" s="6" t="s">
        <v>133</v>
      </c>
      <c r="G14142" s="6" t="s">
        <v>2811</v>
      </c>
      <c r="H14142" s="6" t="s">
        <v>3340</v>
      </c>
      <c r="I14142" s="6" t="s">
        <v>31</v>
      </c>
      <c r="J14142" s="6">
        <v>16.863011100000001</v>
      </c>
      <c r="K14142" s="6">
        <v>-95.718538890000005</v>
      </c>
      <c r="L14142" s="6" t="str">
        <f>HYPERLINK("https://maps.google.com/?q=16.8630111,-95.71853889", "🔗 Ver Mapa")</f>
        <v>🔗 Ver Mapa</v>
      </c>
    </row>
    <row r="14143" spans="1:12" ht="58" x14ac:dyDescent="0.35">
      <c r="A14143" s="5" t="s">
        <v>73</v>
      </c>
      <c r="B14143" s="5" t="s">
        <v>74</v>
      </c>
      <c r="C14143" s="5" t="s">
        <v>3341</v>
      </c>
      <c r="D14143" s="5" t="s">
        <v>76</v>
      </c>
      <c r="E14143" s="5" t="s">
        <v>140</v>
      </c>
      <c r="F14143" s="5" t="s">
        <v>141</v>
      </c>
      <c r="G14143" s="5" t="s">
        <v>219</v>
      </c>
      <c r="H14143" s="5" t="s">
        <v>3342</v>
      </c>
      <c r="I14143" s="5" t="s">
        <v>31</v>
      </c>
      <c r="J14143" s="5">
        <v>18.10399769</v>
      </c>
      <c r="K14143" s="5">
        <v>-96.468649720000002</v>
      </c>
      <c r="L14143" s="5" t="str">
        <f>HYPERLINK("https://maps.google.com/?q=18.10399769,-96.46864972", "🔗 Ver Mapa")</f>
        <v>🔗 Ver Mapa</v>
      </c>
    </row>
    <row r="14144" spans="1:12" ht="58" x14ac:dyDescent="0.35">
      <c r="A14144" s="6" t="s">
        <v>73</v>
      </c>
      <c r="B14144" s="6" t="s">
        <v>74</v>
      </c>
      <c r="C14144" s="6" t="s">
        <v>3343</v>
      </c>
      <c r="D14144" s="6" t="s">
        <v>76</v>
      </c>
      <c r="E14144" s="6" t="s">
        <v>17</v>
      </c>
      <c r="F14144" s="6" t="s">
        <v>46</v>
      </c>
      <c r="G14144" s="6" t="s">
        <v>152</v>
      </c>
      <c r="H14144" s="6" t="s">
        <v>1674</v>
      </c>
      <c r="I14144" s="6" t="s">
        <v>31</v>
      </c>
      <c r="J14144" s="6">
        <v>16.232918004794001</v>
      </c>
      <c r="K14144" s="6">
        <v>-97.137450704369002</v>
      </c>
      <c r="L14144" s="6" t="str">
        <f>HYPERLINK("https://maps.google.com/?q=16.23291800479365,-97.13745070436859", "🔗 Ver Mapa")</f>
        <v>🔗 Ver Mapa</v>
      </c>
    </row>
    <row r="14145" spans="1:12" ht="58" x14ac:dyDescent="0.35">
      <c r="A14145" s="5" t="s">
        <v>73</v>
      </c>
      <c r="B14145" s="5" t="s">
        <v>74</v>
      </c>
      <c r="C14145" s="5" t="s">
        <v>3344</v>
      </c>
      <c r="D14145" s="5" t="s">
        <v>76</v>
      </c>
      <c r="E14145" s="5" t="s">
        <v>16</v>
      </c>
      <c r="F14145" s="5" t="s">
        <v>19</v>
      </c>
      <c r="G14145" s="5" t="s">
        <v>1919</v>
      </c>
      <c r="H14145" s="5" t="s">
        <v>3345</v>
      </c>
      <c r="I14145" s="5" t="s">
        <v>31</v>
      </c>
      <c r="J14145" s="5">
        <v>17.124237180000002</v>
      </c>
      <c r="K14145" s="5">
        <v>-97.075329980000006</v>
      </c>
      <c r="L14145" s="5" t="str">
        <f>HYPERLINK("https://maps.google.com/?q=17.12423718,-97.07532998", "🔗 Ver Mapa")</f>
        <v>🔗 Ver Mapa</v>
      </c>
    </row>
    <row r="14146" spans="1:12" ht="58" x14ac:dyDescent="0.35">
      <c r="A14146" s="6" t="s">
        <v>73</v>
      </c>
      <c r="B14146" s="6" t="s">
        <v>74</v>
      </c>
      <c r="C14146" s="6" t="s">
        <v>3346</v>
      </c>
      <c r="D14146" s="6" t="s">
        <v>76</v>
      </c>
      <c r="E14146" s="6" t="s">
        <v>17</v>
      </c>
      <c r="F14146" s="6" t="s">
        <v>59</v>
      </c>
      <c r="G14146" s="6" t="s">
        <v>2191</v>
      </c>
      <c r="H14146" s="6" t="s">
        <v>3347</v>
      </c>
      <c r="I14146" s="6" t="s">
        <v>31</v>
      </c>
      <c r="J14146" s="6">
        <v>16.455316982709999</v>
      </c>
      <c r="K14146" s="6">
        <v>-98.074283412810999</v>
      </c>
      <c r="L14146" s="6" t="str">
        <f>HYPERLINK("https://maps.google.com/?q=16.4553169827103,-98.07428341281054", "🔗 Ver Mapa")</f>
        <v>🔗 Ver Mapa</v>
      </c>
    </row>
    <row r="14147" spans="1:12" ht="58" x14ac:dyDescent="0.35">
      <c r="A14147" s="5" t="s">
        <v>73</v>
      </c>
      <c r="B14147" s="5" t="s">
        <v>74</v>
      </c>
      <c r="C14147" s="5" t="s">
        <v>3348</v>
      </c>
      <c r="D14147" s="5" t="s">
        <v>76</v>
      </c>
      <c r="E14147" s="5" t="s">
        <v>17</v>
      </c>
      <c r="F14147" s="5" t="s">
        <v>20</v>
      </c>
      <c r="G14147" s="5" t="s">
        <v>24</v>
      </c>
      <c r="H14147" s="5" t="s">
        <v>3349</v>
      </c>
      <c r="I14147" s="5" t="s">
        <v>31</v>
      </c>
      <c r="J14147" s="5">
        <v>15.789629</v>
      </c>
      <c r="K14147" s="5">
        <v>-96.402457999999996</v>
      </c>
      <c r="L14147" s="5" t="str">
        <f>HYPERLINK("https://maps.google.com/?q=15.789629,-96.402458", "🔗 Ver Mapa")</f>
        <v>🔗 Ver Mapa</v>
      </c>
    </row>
    <row r="14148" spans="1:12" ht="58" x14ac:dyDescent="0.35">
      <c r="A14148" s="6" t="s">
        <v>73</v>
      </c>
      <c r="B14148" s="6" t="s">
        <v>74</v>
      </c>
      <c r="C14148" s="6" t="s">
        <v>3350</v>
      </c>
      <c r="D14148" s="6" t="s">
        <v>76</v>
      </c>
      <c r="E14148" s="6" t="s">
        <v>16</v>
      </c>
      <c r="F14148" s="6" t="s">
        <v>145</v>
      </c>
      <c r="G14148" s="6" t="s">
        <v>3351</v>
      </c>
      <c r="H14148" s="6" t="s">
        <v>3352</v>
      </c>
      <c r="I14148" s="6" t="s">
        <v>31</v>
      </c>
      <c r="J14148" s="6">
        <v>17.904815849999999</v>
      </c>
      <c r="K14148" s="6">
        <v>-97.697522449999994</v>
      </c>
      <c r="L14148" s="6" t="str">
        <f>HYPERLINK("https://maps.google.com/?q=17.90481585,-97.69752245", "🔗 Ver Mapa")</f>
        <v>🔗 Ver Mapa</v>
      </c>
    </row>
    <row r="14149" spans="1:12" ht="58" x14ac:dyDescent="0.35">
      <c r="A14149" s="5" t="s">
        <v>73</v>
      </c>
      <c r="B14149" s="5" t="s">
        <v>74</v>
      </c>
      <c r="C14149" s="5" t="s">
        <v>3353</v>
      </c>
      <c r="D14149" s="5" t="s">
        <v>76</v>
      </c>
      <c r="E14149" s="5" t="s">
        <v>110</v>
      </c>
      <c r="F14149" s="5" t="s">
        <v>111</v>
      </c>
      <c r="G14149" s="5" t="s">
        <v>3354</v>
      </c>
      <c r="H14149" s="5" t="s">
        <v>3355</v>
      </c>
      <c r="I14149" s="5" t="s">
        <v>31</v>
      </c>
      <c r="J14149" s="5">
        <v>18.356511999999999</v>
      </c>
      <c r="K14149" s="5">
        <v>-96.765379999999993</v>
      </c>
      <c r="L14149" s="5" t="str">
        <f>HYPERLINK("https://maps.google.com/?q=18.356512,-96.76538", "🔗 Ver Mapa")</f>
        <v>🔗 Ver Mapa</v>
      </c>
    </row>
    <row r="14150" spans="1:12" ht="58" x14ac:dyDescent="0.35">
      <c r="A14150" s="6" t="s">
        <v>73</v>
      </c>
      <c r="B14150" s="6" t="s">
        <v>74</v>
      </c>
      <c r="C14150" s="6" t="s">
        <v>3356</v>
      </c>
      <c r="D14150" s="6" t="s">
        <v>76</v>
      </c>
      <c r="E14150" s="6" t="s">
        <v>39</v>
      </c>
      <c r="F14150" s="6" t="s">
        <v>494</v>
      </c>
      <c r="G14150" s="6" t="s">
        <v>1973</v>
      </c>
      <c r="H14150" s="6" t="s">
        <v>3357</v>
      </c>
      <c r="I14150" s="6" t="s">
        <v>31</v>
      </c>
      <c r="J14150" s="6">
        <v>16.619839850000002</v>
      </c>
      <c r="K14150" s="6">
        <v>-97.549035119999999</v>
      </c>
      <c r="L14150" s="6" t="str">
        <f>HYPERLINK("https://maps.google.com/?q=16.61983985,-97.54903512", "🔗 Ver Mapa")</f>
        <v>🔗 Ver Mapa</v>
      </c>
    </row>
    <row r="14151" spans="1:12" ht="58" x14ac:dyDescent="0.35">
      <c r="A14151" s="5" t="s">
        <v>73</v>
      </c>
      <c r="B14151" s="5" t="s">
        <v>74</v>
      </c>
      <c r="C14151" s="5" t="s">
        <v>3358</v>
      </c>
      <c r="D14151" s="5" t="s">
        <v>76</v>
      </c>
      <c r="E14151" s="5" t="s">
        <v>90</v>
      </c>
      <c r="F14151" s="5" t="s">
        <v>91</v>
      </c>
      <c r="G14151" s="5" t="s">
        <v>769</v>
      </c>
      <c r="H14151" s="5" t="s">
        <v>3359</v>
      </c>
      <c r="I14151" s="5" t="s">
        <v>31</v>
      </c>
      <c r="J14151" s="5">
        <v>17.044733730000001</v>
      </c>
      <c r="K14151" s="5">
        <v>-95.883453009999997</v>
      </c>
      <c r="L14151" s="5" t="str">
        <f>HYPERLINK("https://maps.google.com/?q=17.04473373,-95.88345301", "🔗 Ver Mapa")</f>
        <v>🔗 Ver Mapa</v>
      </c>
    </row>
    <row r="14152" spans="1:12" ht="58" x14ac:dyDescent="0.35">
      <c r="A14152" s="6" t="s">
        <v>73</v>
      </c>
      <c r="B14152" s="6" t="s">
        <v>74</v>
      </c>
      <c r="C14152" s="6" t="s">
        <v>3360</v>
      </c>
      <c r="D14152" s="6" t="s">
        <v>76</v>
      </c>
      <c r="E14152" s="6" t="s">
        <v>17</v>
      </c>
      <c r="F14152" s="6" t="s">
        <v>59</v>
      </c>
      <c r="G14152" s="6" t="s">
        <v>415</v>
      </c>
      <c r="H14152" s="6" t="s">
        <v>2478</v>
      </c>
      <c r="I14152" s="6" t="s">
        <v>31</v>
      </c>
      <c r="J14152" s="6">
        <v>16.558364000000001</v>
      </c>
      <c r="K14152" s="6">
        <v>-97.825061000000005</v>
      </c>
      <c r="L14152" s="6" t="str">
        <f>HYPERLINK("https://maps.google.com/?q=16.558364,-97.825061", "🔗 Ver Mapa")</f>
        <v>🔗 Ver Mapa</v>
      </c>
    </row>
    <row r="14153" spans="1:12" ht="58" x14ac:dyDescent="0.35">
      <c r="A14153" s="5" t="s">
        <v>73</v>
      </c>
      <c r="B14153" s="5" t="s">
        <v>74</v>
      </c>
      <c r="C14153" s="5" t="s">
        <v>3361</v>
      </c>
      <c r="D14153" s="5" t="s">
        <v>76</v>
      </c>
      <c r="E14153" s="5" t="s">
        <v>16</v>
      </c>
      <c r="F14153" s="5" t="s">
        <v>145</v>
      </c>
      <c r="G14153" s="5" t="s">
        <v>2066</v>
      </c>
      <c r="H14153" s="5" t="s">
        <v>3362</v>
      </c>
      <c r="I14153" s="5" t="s">
        <v>31</v>
      </c>
      <c r="J14153" s="5">
        <v>17.678889000000002</v>
      </c>
      <c r="K14153" s="5">
        <v>-98.022138999999996</v>
      </c>
      <c r="L14153" s="5" t="str">
        <f>HYPERLINK("https://maps.google.com/?q=17.678889,-98.022139", "🔗 Ver Mapa")</f>
        <v>🔗 Ver Mapa</v>
      </c>
    </row>
    <row r="14154" spans="1:12" ht="58" x14ac:dyDescent="0.35">
      <c r="A14154" s="6" t="s">
        <v>73</v>
      </c>
      <c r="B14154" s="6" t="s">
        <v>74</v>
      </c>
      <c r="C14154" s="6" t="s">
        <v>3363</v>
      </c>
      <c r="D14154" s="6" t="s">
        <v>76</v>
      </c>
      <c r="E14154" s="6" t="s">
        <v>52</v>
      </c>
      <c r="F14154" s="6" t="s">
        <v>53</v>
      </c>
      <c r="G14154" s="6" t="s">
        <v>3364</v>
      </c>
      <c r="H14154" s="6" t="s">
        <v>3365</v>
      </c>
      <c r="I14154" s="6" t="s">
        <v>31</v>
      </c>
      <c r="J14154" s="6">
        <v>17.019085189999998</v>
      </c>
      <c r="K14154" s="6">
        <v>-96.41941894</v>
      </c>
      <c r="L14154" s="6" t="str">
        <f>HYPERLINK("https://maps.google.com/?q=17.01908519,-96.41941894", "🔗 Ver Mapa")</f>
        <v>🔗 Ver Mapa</v>
      </c>
    </row>
    <row r="14155" spans="1:12" ht="43.5" x14ac:dyDescent="0.35">
      <c r="A14155" s="5" t="s">
        <v>73</v>
      </c>
      <c r="B14155" s="5" t="s">
        <v>74</v>
      </c>
      <c r="C14155" s="5" t="s">
        <v>3366</v>
      </c>
      <c r="D14155" s="5" t="s">
        <v>76</v>
      </c>
      <c r="E14155" s="5" t="s">
        <v>52</v>
      </c>
      <c r="F14155" s="5" t="s">
        <v>421</v>
      </c>
      <c r="G14155" s="5" t="s">
        <v>3367</v>
      </c>
      <c r="H14155" s="5" t="s">
        <v>3368</v>
      </c>
      <c r="I14155" s="5" t="s">
        <v>31</v>
      </c>
      <c r="J14155" s="5">
        <v>16.461043</v>
      </c>
      <c r="K14155" s="5">
        <v>-96.788933</v>
      </c>
      <c r="L14155" s="5" t="str">
        <f>HYPERLINK("https://maps.google.com/?q=16.461043,-96.788933", "🔗 Ver Mapa")</f>
        <v>🔗 Ver Mapa</v>
      </c>
    </row>
    <row r="14156" spans="1:12" ht="43.5" x14ac:dyDescent="0.35">
      <c r="A14156" s="6" t="s">
        <v>73</v>
      </c>
      <c r="B14156" s="6" t="s">
        <v>74</v>
      </c>
      <c r="C14156" s="6" t="s">
        <v>3369</v>
      </c>
      <c r="D14156" s="6" t="s">
        <v>76</v>
      </c>
      <c r="E14156" s="6" t="s">
        <v>17</v>
      </c>
      <c r="F14156" s="6" t="s">
        <v>46</v>
      </c>
      <c r="G14156" s="6" t="s">
        <v>212</v>
      </c>
      <c r="H14156" s="6" t="s">
        <v>1077</v>
      </c>
      <c r="I14156" s="6" t="s">
        <v>31</v>
      </c>
      <c r="J14156" s="6">
        <v>16.108757499999999</v>
      </c>
      <c r="K14156" s="6">
        <v>-97.595648580000002</v>
      </c>
      <c r="L14156" s="6" t="str">
        <f>HYPERLINK("https://maps.google.com/?q=16.1087575,-97.59564858", "🔗 Ver Mapa")</f>
        <v>🔗 Ver Mapa</v>
      </c>
    </row>
    <row r="14157" spans="1:12" ht="58" x14ac:dyDescent="0.35">
      <c r="A14157" s="5" t="s">
        <v>73</v>
      </c>
      <c r="B14157" s="5" t="s">
        <v>74</v>
      </c>
      <c r="C14157" s="5" t="s">
        <v>3370</v>
      </c>
      <c r="D14157" s="5" t="s">
        <v>76</v>
      </c>
      <c r="E14157" s="5" t="s">
        <v>52</v>
      </c>
      <c r="F14157" s="5" t="s">
        <v>421</v>
      </c>
      <c r="G14157" s="5" t="s">
        <v>422</v>
      </c>
      <c r="H14157" s="5" t="s">
        <v>1695</v>
      </c>
      <c r="I14157" s="5" t="s">
        <v>31</v>
      </c>
      <c r="J14157" s="5">
        <v>16.642137000000002</v>
      </c>
      <c r="K14157" s="5">
        <v>-96.751092999999997</v>
      </c>
      <c r="L14157" s="5" t="str">
        <f>HYPERLINK("https://maps.google.com/?q=16.642137,-96.751093", "🔗 Ver Mapa")</f>
        <v>🔗 Ver Mapa</v>
      </c>
    </row>
    <row r="14158" spans="1:12" ht="29" x14ac:dyDescent="0.35">
      <c r="A14158" s="6" t="s">
        <v>782</v>
      </c>
      <c r="B14158" s="6" t="s">
        <v>783</v>
      </c>
      <c r="C14158" s="6" t="s">
        <v>3371</v>
      </c>
      <c r="D14158" s="6" t="s">
        <v>785</v>
      </c>
      <c r="E14158" s="6" t="s">
        <v>90</v>
      </c>
      <c r="F14158" s="6" t="s">
        <v>119</v>
      </c>
      <c r="G14158" s="6" t="s">
        <v>347</v>
      </c>
      <c r="H14158" s="6" t="s">
        <v>348</v>
      </c>
      <c r="I14158" s="6" t="s">
        <v>31</v>
      </c>
      <c r="J14158" s="6">
        <v>17.326536572254</v>
      </c>
      <c r="K14158" s="6">
        <v>-96.489939716286003</v>
      </c>
      <c r="L14158" s="6" t="str">
        <f>HYPERLINK("https://maps.google.com/?q=17.3265365722538,-96.4899397162861", "🔗 Ver Mapa")</f>
        <v>🔗 Ver Mapa</v>
      </c>
    </row>
    <row r="14159" spans="1:12" ht="43.5" x14ac:dyDescent="0.35">
      <c r="A14159" s="5" t="s">
        <v>321</v>
      </c>
      <c r="B14159" s="5" t="s">
        <v>322</v>
      </c>
      <c r="C14159" s="5" t="s">
        <v>3372</v>
      </c>
      <c r="D14159" s="5" t="s">
        <v>69</v>
      </c>
      <c r="E14159" s="5" t="s">
        <v>52</v>
      </c>
      <c r="F14159" s="5" t="s">
        <v>1020</v>
      </c>
      <c r="G14159" s="5" t="s">
        <v>1021</v>
      </c>
      <c r="H14159" s="5" t="s">
        <v>1022</v>
      </c>
      <c r="I14159" s="5" t="s">
        <v>31</v>
      </c>
      <c r="J14159" s="5">
        <v>16.992645480370001</v>
      </c>
      <c r="K14159" s="5">
        <v>-96.754520035712005</v>
      </c>
      <c r="L14159" s="5" t="str">
        <f>HYPERLINK("https://maps.google.com/?q=16.99264548037001,-96.75452003571242", "🔗 Ver Mapa")</f>
        <v>🔗 Ver Mapa</v>
      </c>
    </row>
    <row r="14160" spans="1:12" ht="43.5" x14ac:dyDescent="0.35">
      <c r="A14160" s="6" t="s">
        <v>321</v>
      </c>
      <c r="B14160" s="6" t="s">
        <v>322</v>
      </c>
      <c r="C14160" s="6" t="s">
        <v>3372</v>
      </c>
      <c r="D14160" s="6" t="s">
        <v>69</v>
      </c>
      <c r="E14160" s="6" t="s">
        <v>52</v>
      </c>
      <c r="F14160" s="6" t="s">
        <v>1020</v>
      </c>
      <c r="G14160" s="6" t="s">
        <v>1021</v>
      </c>
      <c r="H14160" s="6" t="s">
        <v>1022</v>
      </c>
      <c r="I14160" s="6" t="s">
        <v>31</v>
      </c>
      <c r="J14160" s="6">
        <v>17.049216000000001</v>
      </c>
      <c r="K14160" s="6">
        <v>-96.727602000000005</v>
      </c>
      <c r="L14160" s="6" t="str">
        <f>HYPERLINK("https://maps.google.com/?q=17.049216,-96.727602", "🔗 Ver Mapa")</f>
        <v>🔗 Ver Mapa</v>
      </c>
    </row>
    <row r="14161" spans="1:12" ht="43.5" x14ac:dyDescent="0.35">
      <c r="A14161" s="5" t="s">
        <v>321</v>
      </c>
      <c r="B14161" s="5" t="s">
        <v>322</v>
      </c>
      <c r="C14161" s="5" t="s">
        <v>3373</v>
      </c>
      <c r="D14161" s="5" t="s">
        <v>69</v>
      </c>
      <c r="E14161" s="5" t="s">
        <v>52</v>
      </c>
      <c r="F14161" s="5" t="s">
        <v>1020</v>
      </c>
      <c r="G14161" s="5" t="s">
        <v>1021</v>
      </c>
      <c r="H14161" s="5" t="s">
        <v>1022</v>
      </c>
      <c r="I14161" s="5" t="s">
        <v>31</v>
      </c>
      <c r="J14161" s="5">
        <v>16.992645480370001</v>
      </c>
      <c r="K14161" s="5">
        <v>-96.754520035712005</v>
      </c>
      <c r="L14161" s="5" t="str">
        <f>HYPERLINK("https://maps.google.com/?q=16.99264548037001,-96.75452003571242", "🔗 Ver Mapa")</f>
        <v>🔗 Ver Mapa</v>
      </c>
    </row>
    <row r="14162" spans="1:12" ht="43.5" x14ac:dyDescent="0.35">
      <c r="A14162" s="6" t="s">
        <v>321</v>
      </c>
      <c r="B14162" s="6" t="s">
        <v>322</v>
      </c>
      <c r="C14162" s="6" t="s">
        <v>3373</v>
      </c>
      <c r="D14162" s="6" t="s">
        <v>69</v>
      </c>
      <c r="E14162" s="6" t="s">
        <v>52</v>
      </c>
      <c r="F14162" s="6" t="s">
        <v>1020</v>
      </c>
      <c r="G14162" s="6" t="s">
        <v>1021</v>
      </c>
      <c r="H14162" s="6" t="s">
        <v>1022</v>
      </c>
      <c r="I14162" s="6" t="s">
        <v>31</v>
      </c>
      <c r="J14162" s="6">
        <v>17.049216000000001</v>
      </c>
      <c r="K14162" s="6" t="s">
        <v>3374</v>
      </c>
      <c r="L14162" s="6" t="str">
        <f>HYPERLINK("https://maps.google.com/?q=17.049216,	-96.727602", "🔗 Ver Mapa")</f>
        <v>🔗 Ver Mapa</v>
      </c>
    </row>
    <row r="14163" spans="1:12" ht="58" x14ac:dyDescent="0.35">
      <c r="A14163" s="5" t="s">
        <v>73</v>
      </c>
      <c r="B14163" s="5" t="s">
        <v>74</v>
      </c>
      <c r="C14163" s="5" t="s">
        <v>3375</v>
      </c>
      <c r="D14163" s="5" t="s">
        <v>76</v>
      </c>
      <c r="E14163" s="5" t="s">
        <v>16</v>
      </c>
      <c r="F14163" s="5" t="s">
        <v>409</v>
      </c>
      <c r="G14163" s="5" t="s">
        <v>2327</v>
      </c>
      <c r="H14163" s="5" t="s">
        <v>3035</v>
      </c>
      <c r="I14163" s="5" t="s">
        <v>31</v>
      </c>
      <c r="J14163" s="5">
        <v>17.842004463184999</v>
      </c>
      <c r="K14163" s="5">
        <v>-97.426948091574005</v>
      </c>
      <c r="L14163" s="5" t="str">
        <f>HYPERLINK("https://maps.google.com/?q=17.842004463185255,-97.42694809157382", "🔗 Ver Mapa")</f>
        <v>🔗 Ver Mapa</v>
      </c>
    </row>
    <row r="14164" spans="1:12" ht="58" x14ac:dyDescent="0.35">
      <c r="A14164" s="6" t="s">
        <v>73</v>
      </c>
      <c r="B14164" s="6" t="s">
        <v>74</v>
      </c>
      <c r="C14164" s="6" t="s">
        <v>3376</v>
      </c>
      <c r="D14164" s="6" t="s">
        <v>76</v>
      </c>
      <c r="E14164" s="6" t="s">
        <v>110</v>
      </c>
      <c r="F14164" s="6" t="s">
        <v>126</v>
      </c>
      <c r="G14164" s="6" t="s">
        <v>1519</v>
      </c>
      <c r="H14164" s="6" t="s">
        <v>1520</v>
      </c>
      <c r="I14164" s="6" t="s">
        <v>31</v>
      </c>
      <c r="J14164" s="6">
        <v>17.886437586107998</v>
      </c>
      <c r="K14164" s="6">
        <v>-96.723919602730007</v>
      </c>
      <c r="L14164" s="6" t="str">
        <f>HYPERLINK("https://maps.google.com/?q=17.88643758610804,-96.72391960273018", "🔗 Ver Mapa")</f>
        <v>🔗 Ver Mapa</v>
      </c>
    </row>
    <row r="14165" spans="1:12" ht="58" x14ac:dyDescent="0.35">
      <c r="A14165" s="5" t="s">
        <v>73</v>
      </c>
      <c r="B14165" s="5" t="s">
        <v>74</v>
      </c>
      <c r="C14165" s="5" t="s">
        <v>3377</v>
      </c>
      <c r="D14165" s="5" t="s">
        <v>76</v>
      </c>
      <c r="E14165" s="5" t="s">
        <v>52</v>
      </c>
      <c r="F14165" s="5" t="s">
        <v>228</v>
      </c>
      <c r="G14165" s="5" t="s">
        <v>1952</v>
      </c>
      <c r="H14165" s="5" t="s">
        <v>1953</v>
      </c>
      <c r="I14165" s="5" t="s">
        <v>31</v>
      </c>
      <c r="J14165" s="5">
        <v>16.854798488505001</v>
      </c>
      <c r="K14165" s="5">
        <v>-96.696155113136001</v>
      </c>
      <c r="L14165" s="5" t="str">
        <f>HYPERLINK("https://maps.google.com/?q=16.854798488504954,-96.69615511313609", "🔗 Ver Mapa")</f>
        <v>🔗 Ver Mapa</v>
      </c>
    </row>
    <row r="14166" spans="1:12" ht="29" x14ac:dyDescent="0.35">
      <c r="A14166" s="6" t="s">
        <v>782</v>
      </c>
      <c r="B14166" s="6" t="s">
        <v>783</v>
      </c>
      <c r="C14166" s="6" t="s">
        <v>3378</v>
      </c>
      <c r="D14166" s="6" t="s">
        <v>785</v>
      </c>
      <c r="E14166" s="6" t="s">
        <v>17</v>
      </c>
      <c r="F14166" s="6" t="s">
        <v>20</v>
      </c>
      <c r="G14166" s="6" t="s">
        <v>208</v>
      </c>
      <c r="H14166" s="6" t="s">
        <v>209</v>
      </c>
      <c r="I14166" s="6" t="s">
        <v>31</v>
      </c>
      <c r="J14166" s="6">
        <v>15.8318727</v>
      </c>
      <c r="K14166" s="6">
        <v>-96.3176232</v>
      </c>
      <c r="L14166" s="6" t="str">
        <f>HYPERLINK("https://maps.google.com/?q=15.8318727,-96.3176232", "🔗 Ver Mapa")</f>
        <v>🔗 Ver Mapa</v>
      </c>
    </row>
    <row r="14167" spans="1:12" ht="29" x14ac:dyDescent="0.35">
      <c r="A14167" s="5" t="s">
        <v>782</v>
      </c>
      <c r="B14167" s="5" t="s">
        <v>783</v>
      </c>
      <c r="C14167" s="5" t="s">
        <v>3379</v>
      </c>
      <c r="D14167" s="5" t="s">
        <v>785</v>
      </c>
      <c r="E14167" s="5" t="s">
        <v>16</v>
      </c>
      <c r="F14167" s="5" t="s">
        <v>21</v>
      </c>
      <c r="G14167" s="5" t="s">
        <v>1290</v>
      </c>
      <c r="H14167" s="5" t="s">
        <v>3380</v>
      </c>
      <c r="I14167" s="5" t="s">
        <v>31</v>
      </c>
      <c r="J14167" s="5">
        <v>17.101481923169001</v>
      </c>
      <c r="K14167" s="5">
        <v>-97.760584314156006</v>
      </c>
      <c r="L14167" s="5" t="str">
        <f>HYPERLINK("https://maps.google.com/?q=17.101481923168652,-97.76058431415558", "🔗 Ver Mapa")</f>
        <v>🔗 Ver Mapa</v>
      </c>
    </row>
    <row r="14168" spans="1:12" ht="43.5" x14ac:dyDescent="0.35">
      <c r="A14168" s="6" t="s">
        <v>73</v>
      </c>
      <c r="B14168" s="6" t="s">
        <v>74</v>
      </c>
      <c r="C14168" s="6" t="s">
        <v>3381</v>
      </c>
      <c r="D14168" s="6" t="s">
        <v>76</v>
      </c>
      <c r="E14168" s="6" t="s">
        <v>17</v>
      </c>
      <c r="F14168" s="6" t="s">
        <v>46</v>
      </c>
      <c r="G14168" s="6" t="s">
        <v>546</v>
      </c>
      <c r="H14168" s="6" t="s">
        <v>960</v>
      </c>
      <c r="I14168" s="6" t="s">
        <v>31</v>
      </c>
      <c r="J14168" s="6">
        <v>16.111787149847999</v>
      </c>
      <c r="K14168" s="6">
        <v>-97.14465034493</v>
      </c>
      <c r="L14168" s="6" t="str">
        <f>HYPERLINK("https://maps.google.com/?q=16.111787149847515,-97.14465034492996", "🔗 Ver Mapa")</f>
        <v>🔗 Ver Mapa</v>
      </c>
    </row>
    <row r="14169" spans="1:12" ht="58" x14ac:dyDescent="0.35">
      <c r="A14169" s="5" t="s">
        <v>1615</v>
      </c>
      <c r="B14169" s="5" t="s">
        <v>1616</v>
      </c>
      <c r="C14169" s="5" t="s">
        <v>3382</v>
      </c>
      <c r="D14169" s="5" t="s">
        <v>342</v>
      </c>
      <c r="E14169" s="5" t="s">
        <v>17</v>
      </c>
      <c r="F14169" s="5" t="s">
        <v>20</v>
      </c>
      <c r="G14169" s="5" t="s">
        <v>208</v>
      </c>
      <c r="H14169" s="5" t="s">
        <v>3383</v>
      </c>
      <c r="I14169" s="5" t="s">
        <v>469</v>
      </c>
      <c r="J14169" s="5">
        <v>15.723287855765999</v>
      </c>
      <c r="K14169" s="5">
        <v>-96.164494625122998</v>
      </c>
      <c r="L14169" s="5" t="str">
        <f>HYPERLINK("https://maps.google.com/?q=15.72328785576612,-96.1644946251233", "🔗 Ver Mapa")</f>
        <v>🔗 Ver Mapa</v>
      </c>
    </row>
    <row r="14170" spans="1:12" ht="58" x14ac:dyDescent="0.35">
      <c r="A14170" s="6" t="s">
        <v>1615</v>
      </c>
      <c r="B14170" s="6" t="s">
        <v>1616</v>
      </c>
      <c r="C14170" s="6" t="s">
        <v>3382</v>
      </c>
      <c r="D14170" s="6" t="s">
        <v>342</v>
      </c>
      <c r="E14170" s="6" t="s">
        <v>17</v>
      </c>
      <c r="F14170" s="6" t="s">
        <v>20</v>
      </c>
      <c r="G14170" s="6" t="s">
        <v>208</v>
      </c>
      <c r="H14170" s="6" t="s">
        <v>3383</v>
      </c>
      <c r="I14170" s="6" t="s">
        <v>469</v>
      </c>
      <c r="J14170" s="6">
        <v>15.723454426088001</v>
      </c>
      <c r="K14170" s="6">
        <v>-96.152002659580006</v>
      </c>
      <c r="L14170" s="6" t="str">
        <f>HYPERLINK("https://maps.google.com/?q=15.723454426087672,-96.15200265957952", "🔗 Ver Mapa")</f>
        <v>🔗 Ver Mapa</v>
      </c>
    </row>
    <row r="14171" spans="1:12" ht="58" x14ac:dyDescent="0.35">
      <c r="A14171" s="5" t="s">
        <v>1615</v>
      </c>
      <c r="B14171" s="5" t="s">
        <v>1616</v>
      </c>
      <c r="C14171" s="5" t="s">
        <v>3382</v>
      </c>
      <c r="D14171" s="5" t="s">
        <v>342</v>
      </c>
      <c r="E14171" s="5" t="s">
        <v>17</v>
      </c>
      <c r="F14171" s="5" t="s">
        <v>20</v>
      </c>
      <c r="G14171" s="5" t="s">
        <v>208</v>
      </c>
      <c r="H14171" s="5" t="s">
        <v>3383</v>
      </c>
      <c r="I14171" s="5" t="s">
        <v>469</v>
      </c>
      <c r="J14171" s="5">
        <v>15.784912322331</v>
      </c>
      <c r="K14171" s="5">
        <v>-96.176167598755995</v>
      </c>
      <c r="L14171" s="5" t="str">
        <f>HYPERLINK("https://maps.google.com/?q=15.784912322330928,-96.17616759875611", "🔗 Ver Mapa")</f>
        <v>🔗 Ver Mapa</v>
      </c>
    </row>
    <row r="14172" spans="1:12" ht="58" x14ac:dyDescent="0.35">
      <c r="A14172" s="6" t="s">
        <v>1615</v>
      </c>
      <c r="B14172" s="6" t="s">
        <v>1616</v>
      </c>
      <c r="C14172" s="6" t="s">
        <v>3382</v>
      </c>
      <c r="D14172" s="6" t="s">
        <v>342</v>
      </c>
      <c r="E14172" s="6" t="s">
        <v>17</v>
      </c>
      <c r="F14172" s="6" t="s">
        <v>20</v>
      </c>
      <c r="G14172" s="6" t="s">
        <v>208</v>
      </c>
      <c r="H14172" s="6" t="s">
        <v>3383</v>
      </c>
      <c r="I14172" s="6" t="s">
        <v>469</v>
      </c>
      <c r="J14172" s="6">
        <v>15.789208495851</v>
      </c>
      <c r="K14172" s="6">
        <v>-96.047117558260993</v>
      </c>
      <c r="L14172" s="6" t="str">
        <f>HYPERLINK("https://maps.google.com/?q=15.7892084958509,-96.04711755826116", "🔗 Ver Mapa")</f>
        <v>🔗 Ver Mapa</v>
      </c>
    </row>
    <row r="14173" spans="1:12" ht="58" x14ac:dyDescent="0.35">
      <c r="A14173" s="5" t="s">
        <v>1615</v>
      </c>
      <c r="B14173" s="5" t="s">
        <v>1616</v>
      </c>
      <c r="C14173" s="5" t="s">
        <v>3382</v>
      </c>
      <c r="D14173" s="5" t="s">
        <v>342</v>
      </c>
      <c r="E14173" s="5" t="s">
        <v>17</v>
      </c>
      <c r="F14173" s="5" t="s">
        <v>20</v>
      </c>
      <c r="G14173" s="5" t="s">
        <v>208</v>
      </c>
      <c r="H14173" s="5" t="s">
        <v>3383</v>
      </c>
      <c r="I14173" s="5" t="s">
        <v>469</v>
      </c>
      <c r="J14173" s="5">
        <v>15.82026079433</v>
      </c>
      <c r="K14173" s="5">
        <v>-96.068918553133997</v>
      </c>
      <c r="L14173" s="5" t="str">
        <f>HYPERLINK("https://maps.google.com/?q=15.820260794330242,-96.06891855313421", "🔗 Ver Mapa")</f>
        <v>🔗 Ver Mapa</v>
      </c>
    </row>
    <row r="14174" spans="1:12" ht="58" x14ac:dyDescent="0.35">
      <c r="A14174" s="6" t="s">
        <v>1615</v>
      </c>
      <c r="B14174" s="6" t="s">
        <v>1616</v>
      </c>
      <c r="C14174" s="6" t="s">
        <v>3384</v>
      </c>
      <c r="D14174" s="6" t="s">
        <v>342</v>
      </c>
      <c r="E14174" s="6" t="s">
        <v>17</v>
      </c>
      <c r="F14174" s="6" t="s">
        <v>20</v>
      </c>
      <c r="G14174" s="6" t="s">
        <v>208</v>
      </c>
      <c r="H14174" s="6" t="s">
        <v>3383</v>
      </c>
      <c r="I14174" s="6" t="s">
        <v>469</v>
      </c>
      <c r="J14174" s="6">
        <v>15.723058510843</v>
      </c>
      <c r="K14174" s="6">
        <v>-96.166084325200998</v>
      </c>
      <c r="L14174" s="6" t="str">
        <f>HYPERLINK("https://maps.google.com/?q=15.723058510842812,-96.16608432520057", "🔗 Ver Mapa")</f>
        <v>🔗 Ver Mapa</v>
      </c>
    </row>
    <row r="14175" spans="1:12" ht="58" x14ac:dyDescent="0.35">
      <c r="A14175" s="5" t="s">
        <v>1615</v>
      </c>
      <c r="B14175" s="5" t="s">
        <v>1616</v>
      </c>
      <c r="C14175" s="5" t="s">
        <v>3384</v>
      </c>
      <c r="D14175" s="5" t="s">
        <v>342</v>
      </c>
      <c r="E14175" s="5" t="s">
        <v>17</v>
      </c>
      <c r="F14175" s="5" t="s">
        <v>20</v>
      </c>
      <c r="G14175" s="5" t="s">
        <v>208</v>
      </c>
      <c r="H14175" s="5" t="s">
        <v>3383</v>
      </c>
      <c r="I14175" s="5" t="s">
        <v>469</v>
      </c>
      <c r="J14175" s="5">
        <v>15.723463140924</v>
      </c>
      <c r="K14175" s="5">
        <v>-96.152286595372004</v>
      </c>
      <c r="L14175" s="5" t="str">
        <f>HYPERLINK("https://maps.google.com/?q=15.723463140924428,-96.15228659537196", "🔗 Ver Mapa")</f>
        <v>🔗 Ver Mapa</v>
      </c>
    </row>
    <row r="14176" spans="1:12" ht="58" x14ac:dyDescent="0.35">
      <c r="A14176" s="6" t="s">
        <v>1615</v>
      </c>
      <c r="B14176" s="6" t="s">
        <v>1616</v>
      </c>
      <c r="C14176" s="6" t="s">
        <v>3384</v>
      </c>
      <c r="D14176" s="6" t="s">
        <v>342</v>
      </c>
      <c r="E14176" s="6" t="s">
        <v>17</v>
      </c>
      <c r="F14176" s="6" t="s">
        <v>20</v>
      </c>
      <c r="G14176" s="6" t="s">
        <v>208</v>
      </c>
      <c r="H14176" s="6" t="s">
        <v>3383</v>
      </c>
      <c r="I14176" s="6" t="s">
        <v>469</v>
      </c>
      <c r="J14176" s="6">
        <v>15.784891966622</v>
      </c>
      <c r="K14176" s="6">
        <v>-96.176063885326002</v>
      </c>
      <c r="L14176" s="6" t="str">
        <f>HYPERLINK("https://maps.google.com/?q=15.784891966621863,-96.17606388532576", "🔗 Ver Mapa")</f>
        <v>🔗 Ver Mapa</v>
      </c>
    </row>
    <row r="14177" spans="1:12" ht="58" x14ac:dyDescent="0.35">
      <c r="A14177" s="5" t="s">
        <v>1615</v>
      </c>
      <c r="B14177" s="5" t="s">
        <v>1616</v>
      </c>
      <c r="C14177" s="5" t="s">
        <v>3384</v>
      </c>
      <c r="D14177" s="5" t="s">
        <v>342</v>
      </c>
      <c r="E14177" s="5" t="s">
        <v>17</v>
      </c>
      <c r="F14177" s="5" t="s">
        <v>20</v>
      </c>
      <c r="G14177" s="5" t="s">
        <v>208</v>
      </c>
      <c r="H14177" s="5" t="s">
        <v>3383</v>
      </c>
      <c r="I14177" s="5" t="s">
        <v>469</v>
      </c>
      <c r="J14177" s="5">
        <v>15.788886838679</v>
      </c>
      <c r="K14177" s="5">
        <v>-96.048259800937998</v>
      </c>
      <c r="L14177" s="5" t="str">
        <f>HYPERLINK("https://maps.google.com/?q=15.78888683867888,-96.04825980093837", "🔗 Ver Mapa")</f>
        <v>🔗 Ver Mapa</v>
      </c>
    </row>
    <row r="14178" spans="1:12" ht="58" x14ac:dyDescent="0.35">
      <c r="A14178" s="6" t="s">
        <v>1615</v>
      </c>
      <c r="B14178" s="6" t="s">
        <v>1616</v>
      </c>
      <c r="C14178" s="6" t="s">
        <v>3384</v>
      </c>
      <c r="D14178" s="6" t="s">
        <v>342</v>
      </c>
      <c r="E14178" s="6" t="s">
        <v>17</v>
      </c>
      <c r="F14178" s="6" t="s">
        <v>20</v>
      </c>
      <c r="G14178" s="6" t="s">
        <v>208</v>
      </c>
      <c r="H14178" s="6" t="s">
        <v>3383</v>
      </c>
      <c r="I14178" s="6" t="s">
        <v>469</v>
      </c>
      <c r="J14178" s="6">
        <v>15.821446459496</v>
      </c>
      <c r="K14178" s="6">
        <v>-96.066799229649007</v>
      </c>
      <c r="L14178" s="6" t="str">
        <f>HYPERLINK("https://maps.google.com/?q=15.821446459496123,-96.0667992296493", "🔗 Ver Mapa")</f>
        <v>🔗 Ver Mapa</v>
      </c>
    </row>
    <row r="14180" spans="1:12" ht="20" customHeight="1" x14ac:dyDescent="0.35"/>
    <row r="14181" spans="1:12" ht="20" customHeight="1" x14ac:dyDescent="0.35">
      <c r="A14181" s="8" t="s">
        <v>3385</v>
      </c>
      <c r="B14181" s="9"/>
      <c r="C14181" s="9"/>
      <c r="D14181" s="9"/>
      <c r="E14181" s="9"/>
      <c r="F14181" s="9"/>
      <c r="G14181" s="9"/>
      <c r="H14181" s="9"/>
      <c r="I14181" s="9"/>
      <c r="J14181" s="9"/>
      <c r="K14181" s="9"/>
    </row>
    <row r="14182" spans="1:12" ht="20" customHeight="1" x14ac:dyDescent="0.35">
      <c r="A14182" s="10" t="s">
        <v>3386</v>
      </c>
      <c r="B14182" s="9"/>
      <c r="C14182" s="9"/>
      <c r="D14182" s="9"/>
      <c r="E14182" s="9"/>
      <c r="F14182" s="9"/>
      <c r="G14182" s="9"/>
      <c r="H14182" s="9"/>
      <c r="I14182" s="9"/>
      <c r="J14182" s="9"/>
      <c r="K14182" s="9"/>
      <c r="L14182" s="9"/>
    </row>
    <row r="14183" spans="1:12" ht="20" customHeight="1" x14ac:dyDescent="0.35">
      <c r="A14183" s="10" t="s">
        <v>3387</v>
      </c>
      <c r="B14183" s="9"/>
      <c r="C14183" s="9"/>
      <c r="D14183" s="9"/>
      <c r="E14183" s="9"/>
      <c r="F14183" s="9"/>
      <c r="G14183" s="9"/>
      <c r="H14183" s="9"/>
      <c r="I14183" s="9"/>
      <c r="J14183" s="9"/>
      <c r="K14183" s="9"/>
      <c r="L14183" s="9"/>
    </row>
    <row r="14184" spans="1:12" ht="20" customHeight="1" x14ac:dyDescent="0.35">
      <c r="A14184" s="10" t="s">
        <v>3388</v>
      </c>
      <c r="B14184" s="9"/>
      <c r="C14184" s="9"/>
      <c r="D14184" s="9"/>
      <c r="E14184" s="9"/>
      <c r="F14184" s="9"/>
      <c r="G14184" s="9"/>
      <c r="H14184" s="9"/>
      <c r="I14184" s="9"/>
      <c r="J14184" s="9"/>
      <c r="K14184" s="9"/>
      <c r="L14184" s="9"/>
    </row>
    <row r="14185" spans="1:12" ht="20" customHeight="1" x14ac:dyDescent="0.35"/>
    <row r="14186" spans="1:12" ht="20" customHeight="1" x14ac:dyDescent="0.35">
      <c r="A14186" s="8" t="s">
        <v>3389</v>
      </c>
      <c r="B14186" s="9"/>
      <c r="C14186" s="9"/>
      <c r="D14186" s="9"/>
      <c r="E14186" s="9"/>
      <c r="F14186" s="9"/>
      <c r="G14186" s="9"/>
      <c r="H14186" s="9"/>
      <c r="I14186" s="9"/>
      <c r="J14186" s="9"/>
      <c r="K14186" s="9"/>
      <c r="L14186" s="9"/>
    </row>
    <row r="14187" spans="1:12" ht="20" customHeight="1" x14ac:dyDescent="0.35">
      <c r="A14187" s="11" t="s">
        <v>3390</v>
      </c>
      <c r="B14187" s="9"/>
      <c r="C14187" s="9"/>
      <c r="D14187" s="9"/>
      <c r="E14187" s="9"/>
      <c r="F14187" s="9"/>
      <c r="G14187" s="9"/>
      <c r="H14187" s="9"/>
      <c r="I14187" s="9"/>
      <c r="J14187" s="9"/>
      <c r="K14187" s="9"/>
      <c r="L14187" s="9"/>
    </row>
    <row r="14188" spans="1:12" ht="20" customHeight="1" x14ac:dyDescent="0.35"/>
    <row r="14189" spans="1:12" ht="20" customHeight="1" x14ac:dyDescent="0.35">
      <c r="A14189" s="8" t="s">
        <v>3391</v>
      </c>
      <c r="B14189" s="9"/>
      <c r="C14189" s="9"/>
      <c r="D14189" s="9"/>
      <c r="E14189" s="9"/>
      <c r="F14189" s="9"/>
      <c r="G14189" s="9"/>
      <c r="H14189" s="9"/>
      <c r="I14189" s="9"/>
      <c r="J14189" s="9"/>
      <c r="K14189" s="9"/>
      <c r="L14189" s="9"/>
    </row>
    <row r="14190" spans="1:12" ht="20" customHeight="1" x14ac:dyDescent="0.35">
      <c r="A14190" s="11" t="s">
        <v>3392</v>
      </c>
      <c r="B14190" s="9"/>
      <c r="C14190" s="9"/>
      <c r="D14190" s="9"/>
      <c r="E14190" s="9"/>
      <c r="F14190" s="9"/>
      <c r="G14190" s="9"/>
      <c r="H14190" s="9"/>
      <c r="I14190" s="9"/>
      <c r="J14190" s="9"/>
      <c r="K14190" s="9"/>
      <c r="L14190" s="9"/>
    </row>
  </sheetData>
  <mergeCells count="9">
    <mergeCell ref="A14186:L14186"/>
    <mergeCell ref="A14187:L14187"/>
    <mergeCell ref="A14189:L14189"/>
    <mergeCell ref="A14190:L14190"/>
    <mergeCell ref="A1:L1"/>
    <mergeCell ref="A14181:K14181"/>
    <mergeCell ref="A14182:L14182"/>
    <mergeCell ref="A14183:L14183"/>
    <mergeCell ref="A14184:L14184"/>
  </mergeCells>
  <hyperlinks>
    <hyperlink ref="L3" r:id="rId1" tooltip="🔗 Ver Mapa" display="🔗 Ver Mapa"/>
    <hyperlink ref="L4" r:id="rId2" tooltip="🔗 Ver Mapa" display="🔗 Ver Mapa"/>
    <hyperlink ref="L5" r:id="rId3" tooltip="🔗 Ver Mapa" display="🔗 Ver Mapa"/>
    <hyperlink ref="L6" r:id="rId4" tooltip="🔗 Ver Mapa" display="🔗 Ver Mapa"/>
    <hyperlink ref="L7" r:id="rId5" tooltip="🔗 Ver Mapa" display="🔗 Ver Mapa"/>
    <hyperlink ref="L8" r:id="rId6" tooltip="🔗 Ver Mapa" display="🔗 Ver Mapa"/>
    <hyperlink ref="L9" r:id="rId7" tooltip="🔗 Ver Mapa" display="🔗 Ver Mapa"/>
    <hyperlink ref="L10" r:id="rId8" tooltip="🔗 Ver Mapa" display="🔗 Ver Mapa"/>
    <hyperlink ref="L11" r:id="rId9" tooltip="🔗 Ver Mapa" display="🔗 Ver Mapa"/>
    <hyperlink ref="L12" r:id="rId10" tooltip="🔗 Ver Mapa" display="🔗 Ver Mapa"/>
    <hyperlink ref="L13" r:id="rId11" tooltip="🔗 Ver Mapa" display="🔗 Ver Mapa"/>
    <hyperlink ref="L14" r:id="rId12" tooltip="🔗 Ver Mapa" display="🔗 Ver Mapa"/>
    <hyperlink ref="L15" r:id="rId13" tooltip="🔗 Ver Mapa" display="🔗 Ver Mapa"/>
    <hyperlink ref="L16" r:id="rId14" tooltip="🔗 Ver Mapa" display="🔗 Ver Mapa"/>
    <hyperlink ref="L17" r:id="rId15" tooltip="🔗 Ver Mapa" display="🔗 Ver Mapa"/>
    <hyperlink ref="L18" r:id="rId16" tooltip="🔗 Ver Mapa" display="🔗 Ver Mapa"/>
    <hyperlink ref="L19" r:id="rId17" tooltip="🔗 Ver Mapa" display="🔗 Ver Mapa"/>
    <hyperlink ref="L20" r:id="rId18" tooltip="🔗 Ver Mapa" display="🔗 Ver Mapa"/>
    <hyperlink ref="L21" r:id="rId19" tooltip="🔗 Ver Mapa" display="🔗 Ver Mapa"/>
    <hyperlink ref="L22" r:id="rId20" tooltip="🔗 Ver Mapa" display="🔗 Ver Mapa"/>
    <hyperlink ref="L23" r:id="rId21" tooltip="🔗 Ver Mapa" display="🔗 Ver Mapa"/>
    <hyperlink ref="L24" r:id="rId22" tooltip="🔗 Ver Mapa" display="🔗 Ver Mapa"/>
    <hyperlink ref="L25" r:id="rId23" tooltip="🔗 Ver Mapa" display="🔗 Ver Mapa"/>
    <hyperlink ref="L26" r:id="rId24" tooltip="🔗 Ver Mapa" display="🔗 Ver Mapa"/>
    <hyperlink ref="L27" r:id="rId25" tooltip="🔗 Ver Mapa" display="🔗 Ver Mapa"/>
    <hyperlink ref="L28" r:id="rId26" tooltip="🔗 Ver Mapa" display="🔗 Ver Mapa"/>
    <hyperlink ref="L29" r:id="rId27" tooltip="🔗 Ver Mapa" display="🔗 Ver Mapa"/>
    <hyperlink ref="L30" r:id="rId28" tooltip="🔗 Ver Mapa" display="🔗 Ver Mapa"/>
    <hyperlink ref="L31" r:id="rId29" tooltip="🔗 Ver Mapa" display="🔗 Ver Mapa"/>
    <hyperlink ref="L32" r:id="rId30" tooltip="🔗 Ver Mapa" display="🔗 Ver Mapa"/>
    <hyperlink ref="L33" r:id="rId31" tooltip="🔗 Ver Mapa" display="🔗 Ver Mapa"/>
    <hyperlink ref="L34" r:id="rId32" tooltip="🔗 Ver Mapa" display="🔗 Ver Mapa"/>
    <hyperlink ref="L35" r:id="rId33" tooltip="🔗 Ver Mapa" display="🔗 Ver Mapa"/>
    <hyperlink ref="L36" r:id="rId34" tooltip="🔗 Ver Mapa" display="🔗 Ver Mapa"/>
    <hyperlink ref="L37" r:id="rId35" tooltip="🔗 Ver Mapa" display="🔗 Ver Mapa"/>
    <hyperlink ref="L38" r:id="rId36" tooltip="🔗 Ver Mapa" display="🔗 Ver Mapa"/>
    <hyperlink ref="L39" r:id="rId37" tooltip="🔗 Ver Mapa" display="🔗 Ver Mapa"/>
    <hyperlink ref="L40" r:id="rId38" tooltip="🔗 Ver Mapa" display="🔗 Ver Mapa"/>
    <hyperlink ref="L41" r:id="rId39" tooltip="🔗 Ver Mapa" display="🔗 Ver Mapa"/>
    <hyperlink ref="L42" r:id="rId40" tooltip="🔗 Ver Mapa" display="🔗 Ver Mapa"/>
    <hyperlink ref="L43" r:id="rId41" tooltip="🔗 Ver Mapa" display="🔗 Ver Mapa"/>
    <hyperlink ref="L44" r:id="rId42" tooltip="🔗 Ver Mapa" display="🔗 Ver Mapa"/>
    <hyperlink ref="L45" r:id="rId43" tooltip="🔗 Ver Mapa" display="🔗 Ver Mapa"/>
    <hyperlink ref="L46" r:id="rId44" tooltip="🔗 Ver Mapa" display="🔗 Ver Mapa"/>
    <hyperlink ref="L47" r:id="rId45" tooltip="🔗 Ver Mapa" display="🔗 Ver Mapa"/>
    <hyperlink ref="L48" r:id="rId46" tooltip="🔗 Ver Mapa" display="🔗 Ver Mapa"/>
    <hyperlink ref="L49" r:id="rId47" tooltip="🔗 Ver Mapa" display="🔗 Ver Mapa"/>
    <hyperlink ref="L50" r:id="rId48" tooltip="🔗 Ver Mapa" display="🔗 Ver Mapa"/>
    <hyperlink ref="L51" r:id="rId49" tooltip="🔗 Ver Mapa" display="🔗 Ver Mapa"/>
    <hyperlink ref="L52" r:id="rId50" tooltip="🔗 Ver Mapa" display="🔗 Ver Mapa"/>
    <hyperlink ref="L53" r:id="rId51" tooltip="🔗 Ver Mapa" display="🔗 Ver Mapa"/>
    <hyperlink ref="L54" r:id="rId52" tooltip="🔗 Ver Mapa" display="🔗 Ver Mapa"/>
    <hyperlink ref="L55" r:id="rId53" tooltip="🔗 Ver Mapa" display="🔗 Ver Mapa"/>
    <hyperlink ref="L56" r:id="rId54" tooltip="🔗 Ver Mapa" display="🔗 Ver Mapa"/>
    <hyperlink ref="L57" r:id="rId55" tooltip="🔗 Ver Mapa" display="🔗 Ver Mapa"/>
    <hyperlink ref="L58" r:id="rId56" tooltip="🔗 Ver Mapa" display="🔗 Ver Mapa"/>
    <hyperlink ref="L59" r:id="rId57" tooltip="🔗 Ver Mapa" display="🔗 Ver Mapa"/>
    <hyperlink ref="L60" r:id="rId58" tooltip="🔗 Ver Mapa" display="🔗 Ver Mapa"/>
    <hyperlink ref="L61" r:id="rId59" tooltip="🔗 Ver Mapa" display="🔗 Ver Mapa"/>
    <hyperlink ref="L62" r:id="rId60" tooltip="🔗 Ver Mapa" display="🔗 Ver Mapa"/>
    <hyperlink ref="L63" r:id="rId61" tooltip="🔗 Ver Mapa" display="🔗 Ver Mapa"/>
    <hyperlink ref="L64" r:id="rId62" tooltip="🔗 Ver Mapa" display="🔗 Ver Mapa"/>
    <hyperlink ref="L65" r:id="rId63" tooltip="🔗 Ver Mapa" display="🔗 Ver Mapa"/>
    <hyperlink ref="L66" r:id="rId64" tooltip="🔗 Ver Mapa" display="🔗 Ver Mapa"/>
    <hyperlink ref="L67" r:id="rId65" tooltip="🔗 Ver Mapa" display="🔗 Ver Mapa"/>
    <hyperlink ref="L68" r:id="rId66" tooltip="🔗 Ver Mapa" display="🔗 Ver Mapa"/>
    <hyperlink ref="L69" r:id="rId67" tooltip="🔗 Ver Mapa" display="🔗 Ver Mapa"/>
    <hyperlink ref="L70" r:id="rId68" tooltip="🔗 Ver Mapa" display="🔗 Ver Mapa"/>
    <hyperlink ref="L71" r:id="rId69" tooltip="🔗 Ver Mapa" display="🔗 Ver Mapa"/>
    <hyperlink ref="L72" r:id="rId70" tooltip="🔗 Ver Mapa" display="🔗 Ver Mapa"/>
    <hyperlink ref="L73" r:id="rId71" tooltip="🔗 Ver Mapa" display="🔗 Ver Mapa"/>
    <hyperlink ref="L74" r:id="rId72" tooltip="🔗 Ver Mapa" display="🔗 Ver Mapa"/>
    <hyperlink ref="L75" r:id="rId73" tooltip="🔗 Ver Mapa" display="🔗 Ver Mapa"/>
    <hyperlink ref="L76" r:id="rId74" tooltip="🔗 Ver Mapa" display="🔗 Ver Mapa"/>
    <hyperlink ref="L77" r:id="rId75" tooltip="🔗 Ver Mapa" display="🔗 Ver Mapa"/>
    <hyperlink ref="L78" r:id="rId76" tooltip="🔗 Ver Mapa" display="🔗 Ver Mapa"/>
    <hyperlink ref="L79" r:id="rId77" tooltip="🔗 Ver Mapa" display="🔗 Ver Mapa"/>
    <hyperlink ref="L80" r:id="rId78" tooltip="🔗 Ver Mapa" display="🔗 Ver Mapa"/>
    <hyperlink ref="L81" r:id="rId79" tooltip="🔗 Ver Mapa" display="🔗 Ver Mapa"/>
    <hyperlink ref="L82" r:id="rId80" tooltip="🔗 Ver Mapa" display="🔗 Ver Mapa"/>
    <hyperlink ref="L83" r:id="rId81" tooltip="🔗 Ver Mapa" display="🔗 Ver Mapa"/>
    <hyperlink ref="L84" r:id="rId82" tooltip="🔗 Ver Mapa" display="🔗 Ver Mapa"/>
    <hyperlink ref="L85" r:id="rId83" tooltip="🔗 Ver Mapa" display="🔗 Ver Mapa"/>
    <hyperlink ref="L86" r:id="rId84" tooltip="🔗 Ver Mapa" display="🔗 Ver Mapa"/>
    <hyperlink ref="L87" r:id="rId85" tooltip="🔗 Ver Mapa" display="🔗 Ver Mapa"/>
    <hyperlink ref="L88" r:id="rId86" tooltip="🔗 Ver Mapa" display="🔗 Ver Mapa"/>
    <hyperlink ref="L89" r:id="rId87" tooltip="🔗 Ver Mapa" display="🔗 Ver Mapa"/>
    <hyperlink ref="L90" r:id="rId88" tooltip="🔗 Ver Mapa" display="🔗 Ver Mapa"/>
    <hyperlink ref="L91" r:id="rId89" tooltip="🔗 Ver Mapa" display="🔗 Ver Mapa"/>
    <hyperlink ref="L92" r:id="rId90" tooltip="🔗 Ver Mapa" display="🔗 Ver Mapa"/>
    <hyperlink ref="L93" r:id="rId91" tooltip="🔗 Ver Mapa" display="🔗 Ver Mapa"/>
    <hyperlink ref="L94" r:id="rId92" tooltip="🔗 Ver Mapa" display="🔗 Ver Mapa"/>
    <hyperlink ref="L95" r:id="rId93" tooltip="🔗 Ver Mapa" display="🔗 Ver Mapa"/>
    <hyperlink ref="L96" r:id="rId94" tooltip="🔗 Ver Mapa" display="🔗 Ver Mapa"/>
    <hyperlink ref="L97" r:id="rId95" tooltip="🔗 Ver Mapa" display="🔗 Ver Mapa"/>
    <hyperlink ref="L98" r:id="rId96" tooltip="🔗 Ver Mapa" display="🔗 Ver Mapa"/>
    <hyperlink ref="L99" r:id="rId97" tooltip="🔗 Ver Mapa" display="🔗 Ver Mapa"/>
    <hyperlink ref="L100" r:id="rId98" tooltip="🔗 Ver Mapa" display="🔗 Ver Mapa"/>
    <hyperlink ref="L101" r:id="rId99" tooltip="🔗 Ver Mapa" display="🔗 Ver Mapa"/>
    <hyperlink ref="L102" r:id="rId100" tooltip="🔗 Ver Mapa" display="🔗 Ver Mapa"/>
    <hyperlink ref="L103" r:id="rId101" tooltip="🔗 Ver Mapa" display="🔗 Ver Mapa"/>
    <hyperlink ref="L104" r:id="rId102" tooltip="🔗 Ver Mapa" display="🔗 Ver Mapa"/>
    <hyperlink ref="L105" r:id="rId103" tooltip="🔗 Ver Mapa" display="🔗 Ver Mapa"/>
    <hyperlink ref="L106" r:id="rId104" tooltip="🔗 Ver Mapa" display="🔗 Ver Mapa"/>
    <hyperlink ref="L107" r:id="rId105" tooltip="🔗 Ver Mapa" display="🔗 Ver Mapa"/>
    <hyperlink ref="L108" r:id="rId106" tooltip="🔗 Ver Mapa" display="🔗 Ver Mapa"/>
    <hyperlink ref="L109" r:id="rId107" tooltip="🔗 Ver Mapa" display="🔗 Ver Mapa"/>
    <hyperlink ref="L110" r:id="rId108" tooltip="🔗 Ver Mapa" display="🔗 Ver Mapa"/>
    <hyperlink ref="L111" r:id="rId109" tooltip="🔗 Ver Mapa" display="🔗 Ver Mapa"/>
    <hyperlink ref="L112" r:id="rId110" tooltip="🔗 Ver Mapa" display="🔗 Ver Mapa"/>
    <hyperlink ref="L113" r:id="rId111" tooltip="🔗 Ver Mapa" display="🔗 Ver Mapa"/>
    <hyperlink ref="L114" r:id="rId112" tooltip="🔗 Ver Mapa" display="🔗 Ver Mapa"/>
    <hyperlink ref="L115" r:id="rId113" tooltip="🔗 Ver Mapa" display="🔗 Ver Mapa"/>
    <hyperlink ref="L116" r:id="rId114" tooltip="🔗 Ver Mapa" display="🔗 Ver Mapa"/>
    <hyperlink ref="L117" r:id="rId115" tooltip="🔗 Ver Mapa" display="🔗 Ver Mapa"/>
    <hyperlink ref="L118" r:id="rId116" tooltip="🔗 Ver Mapa" display="🔗 Ver Mapa"/>
    <hyperlink ref="L119" r:id="rId117" tooltip="🔗 Ver Mapa" display="🔗 Ver Mapa"/>
    <hyperlink ref="L120" r:id="rId118" tooltip="🔗 Ver Mapa" display="🔗 Ver Mapa"/>
    <hyperlink ref="L121" r:id="rId119" tooltip="🔗 Ver Mapa" display="🔗 Ver Mapa"/>
    <hyperlink ref="L122" r:id="rId120" tooltip="🔗 Ver Mapa" display="🔗 Ver Mapa"/>
    <hyperlink ref="L123" r:id="rId121" tooltip="🔗 Ver Mapa" display="🔗 Ver Mapa"/>
    <hyperlink ref="L124" r:id="rId122" tooltip="🔗 Ver Mapa" display="🔗 Ver Mapa"/>
    <hyperlink ref="L125" r:id="rId123" tooltip="🔗 Ver Mapa" display="🔗 Ver Mapa"/>
    <hyperlink ref="L126" r:id="rId124" tooltip="🔗 Ver Mapa" display="🔗 Ver Mapa"/>
    <hyperlink ref="L127" r:id="rId125" tooltip="🔗 Ver Mapa" display="🔗 Ver Mapa"/>
    <hyperlink ref="L128" r:id="rId126" tooltip="🔗 Ver Mapa" display="🔗 Ver Mapa"/>
    <hyperlink ref="L129" r:id="rId127" tooltip="🔗 Ver Mapa" display="🔗 Ver Mapa"/>
    <hyperlink ref="L130" r:id="rId128" tooltip="🔗 Ver Mapa" display="🔗 Ver Mapa"/>
    <hyperlink ref="L131" r:id="rId129" tooltip="🔗 Ver Mapa" display="🔗 Ver Mapa"/>
    <hyperlink ref="L132" r:id="rId130" tooltip="🔗 Ver Mapa" display="🔗 Ver Mapa"/>
    <hyperlink ref="L133" r:id="rId131" tooltip="🔗 Ver Mapa" display="🔗 Ver Mapa"/>
    <hyperlink ref="L134" r:id="rId132" tooltip="🔗 Ver Mapa" display="🔗 Ver Mapa"/>
    <hyperlink ref="L135" r:id="rId133" tooltip="🔗 Ver Mapa" display="🔗 Ver Mapa"/>
    <hyperlink ref="L136" r:id="rId134" tooltip="🔗 Ver Mapa" display="🔗 Ver Mapa"/>
    <hyperlink ref="L137" r:id="rId135" tooltip="🔗 Ver Mapa" display="🔗 Ver Mapa"/>
    <hyperlink ref="L138" r:id="rId136" tooltip="🔗 Ver Mapa" display="🔗 Ver Mapa"/>
    <hyperlink ref="L139" r:id="rId137" tooltip="🔗 Ver Mapa" display="🔗 Ver Mapa"/>
    <hyperlink ref="L140" r:id="rId138" tooltip="🔗 Ver Mapa" display="🔗 Ver Mapa"/>
    <hyperlink ref="L141" r:id="rId139" tooltip="🔗 Ver Mapa" display="🔗 Ver Mapa"/>
    <hyperlink ref="L142" r:id="rId140" tooltip="🔗 Ver Mapa" display="🔗 Ver Mapa"/>
    <hyperlink ref="L143" r:id="rId141" tooltip="🔗 Ver Mapa" display="🔗 Ver Mapa"/>
    <hyperlink ref="L144" r:id="rId142" tooltip="🔗 Ver Mapa" display="🔗 Ver Mapa"/>
    <hyperlink ref="L145" r:id="rId143" tooltip="🔗 Ver Mapa" display="🔗 Ver Mapa"/>
    <hyperlink ref="L146" r:id="rId144" tooltip="🔗 Ver Mapa" display="🔗 Ver Mapa"/>
    <hyperlink ref="L147" r:id="rId145" tooltip="🔗 Ver Mapa" display="🔗 Ver Mapa"/>
    <hyperlink ref="L148" r:id="rId146" tooltip="🔗 Ver Mapa" display="🔗 Ver Mapa"/>
    <hyperlink ref="L149" r:id="rId147" tooltip="🔗 Ver Mapa" display="🔗 Ver Mapa"/>
    <hyperlink ref="L150" r:id="rId148" tooltip="🔗 Ver Mapa" display="🔗 Ver Mapa"/>
    <hyperlink ref="L151" r:id="rId149" tooltip="🔗 Ver Mapa" display="🔗 Ver Mapa"/>
    <hyperlink ref="L152" r:id="rId150" tooltip="🔗 Ver Mapa" display="🔗 Ver Mapa"/>
    <hyperlink ref="L153" r:id="rId151" tooltip="🔗 Ver Mapa" display="🔗 Ver Mapa"/>
    <hyperlink ref="L154" r:id="rId152" tooltip="🔗 Ver Mapa" display="🔗 Ver Mapa"/>
    <hyperlink ref="L155" r:id="rId153" tooltip="🔗 Ver Mapa" display="🔗 Ver Mapa"/>
    <hyperlink ref="L156" r:id="rId154" tooltip="🔗 Ver Mapa" display="🔗 Ver Mapa"/>
    <hyperlink ref="L157" r:id="rId155" tooltip="🔗 Ver Mapa" display="🔗 Ver Mapa"/>
    <hyperlink ref="L158" r:id="rId156" tooltip="🔗 Ver Mapa" display="🔗 Ver Mapa"/>
    <hyperlink ref="L159" r:id="rId157" tooltip="🔗 Ver Mapa" display="🔗 Ver Mapa"/>
    <hyperlink ref="L160" r:id="rId158" tooltip="🔗 Ver Mapa" display="🔗 Ver Mapa"/>
    <hyperlink ref="L161" r:id="rId159" tooltip="🔗 Ver Mapa" display="🔗 Ver Mapa"/>
    <hyperlink ref="L162" r:id="rId160" tooltip="🔗 Ver Mapa" display="🔗 Ver Mapa"/>
    <hyperlink ref="L163" r:id="rId161" tooltip="🔗 Ver Mapa" display="🔗 Ver Mapa"/>
    <hyperlink ref="L164" r:id="rId162" tooltip="🔗 Ver Mapa" display="🔗 Ver Mapa"/>
    <hyperlink ref="L165" r:id="rId163" tooltip="🔗 Ver Mapa" display="🔗 Ver Mapa"/>
    <hyperlink ref="L166" r:id="rId164" tooltip="🔗 Ver Mapa" display="🔗 Ver Mapa"/>
    <hyperlink ref="L167" r:id="rId165" tooltip="🔗 Ver Mapa" display="🔗 Ver Mapa"/>
    <hyperlink ref="L168" r:id="rId166" tooltip="🔗 Ver Mapa" display="🔗 Ver Mapa"/>
    <hyperlink ref="L169" r:id="rId167" tooltip="🔗 Ver Mapa" display="🔗 Ver Mapa"/>
    <hyperlink ref="L170" r:id="rId168" tooltip="🔗 Ver Mapa" display="🔗 Ver Mapa"/>
    <hyperlink ref="L171" r:id="rId169" tooltip="🔗 Ver Mapa" display="🔗 Ver Mapa"/>
    <hyperlink ref="L172" r:id="rId170" tooltip="🔗 Ver Mapa" display="🔗 Ver Mapa"/>
    <hyperlink ref="L173" r:id="rId171" tooltip="🔗 Ver Mapa" display="🔗 Ver Mapa"/>
    <hyperlink ref="L174" r:id="rId172" tooltip="🔗 Ver Mapa" display="🔗 Ver Mapa"/>
    <hyperlink ref="L175" r:id="rId173" tooltip="🔗 Ver Mapa" display="🔗 Ver Mapa"/>
    <hyperlink ref="L176" r:id="rId174" tooltip="🔗 Ver Mapa" display="🔗 Ver Mapa"/>
    <hyperlink ref="L177" r:id="rId175" tooltip="🔗 Ver Mapa" display="🔗 Ver Mapa"/>
    <hyperlink ref="L178" r:id="rId176" tooltip="🔗 Ver Mapa" display="🔗 Ver Mapa"/>
    <hyperlink ref="L179" r:id="rId177" tooltip="🔗 Ver Mapa" display="🔗 Ver Mapa"/>
    <hyperlink ref="L180" r:id="rId178" tooltip="🔗 Ver Mapa" display="🔗 Ver Mapa"/>
    <hyperlink ref="L181" r:id="rId179" tooltip="🔗 Ver Mapa" display="🔗 Ver Mapa"/>
    <hyperlink ref="L182" r:id="rId180" tooltip="🔗 Ver Mapa" display="🔗 Ver Mapa"/>
    <hyperlink ref="L183" r:id="rId181" tooltip="🔗 Ver Mapa" display="🔗 Ver Mapa"/>
    <hyperlink ref="L184" r:id="rId182" tooltip="🔗 Ver Mapa" display="🔗 Ver Mapa"/>
    <hyperlink ref="L185" r:id="rId183" tooltip="🔗 Ver Mapa" display="🔗 Ver Mapa"/>
    <hyperlink ref="L186" r:id="rId184" tooltip="🔗 Ver Mapa" display="🔗 Ver Mapa"/>
    <hyperlink ref="L187" r:id="rId185" tooltip="🔗 Ver Mapa" display="🔗 Ver Mapa"/>
    <hyperlink ref="L188" r:id="rId186" tooltip="🔗 Ver Mapa" display="🔗 Ver Mapa"/>
    <hyperlink ref="L189" r:id="rId187" tooltip="🔗 Ver Mapa" display="🔗 Ver Mapa"/>
    <hyperlink ref="L190" r:id="rId188" tooltip="🔗 Ver Mapa" display="🔗 Ver Mapa"/>
    <hyperlink ref="L191" r:id="rId189" tooltip="🔗 Ver Mapa" display="🔗 Ver Mapa"/>
    <hyperlink ref="L192" r:id="rId190" tooltip="🔗 Ver Mapa" display="🔗 Ver Mapa"/>
    <hyperlink ref="L193" r:id="rId191" tooltip="🔗 Ver Mapa" display="🔗 Ver Mapa"/>
    <hyperlink ref="L194" r:id="rId192" tooltip="🔗 Ver Mapa" display="🔗 Ver Mapa"/>
    <hyperlink ref="L195" r:id="rId193" tooltip="🔗 Ver Mapa" display="🔗 Ver Mapa"/>
    <hyperlink ref="L196" r:id="rId194" tooltip="🔗 Ver Mapa" display="🔗 Ver Mapa"/>
    <hyperlink ref="L197" r:id="rId195" tooltip="🔗 Ver Mapa" display="🔗 Ver Mapa"/>
    <hyperlink ref="L198" r:id="rId196" tooltip="🔗 Ver Mapa" display="🔗 Ver Mapa"/>
    <hyperlink ref="L199" r:id="rId197" tooltip="🔗 Ver Mapa" display="🔗 Ver Mapa"/>
    <hyperlink ref="L200" r:id="rId198" tooltip="🔗 Ver Mapa" display="🔗 Ver Mapa"/>
    <hyperlink ref="L201" r:id="rId199" tooltip="🔗 Ver Mapa" display="🔗 Ver Mapa"/>
    <hyperlink ref="L202" r:id="rId200" tooltip="🔗 Ver Mapa" display="🔗 Ver Mapa"/>
    <hyperlink ref="L203" r:id="rId201" tooltip="🔗 Ver Mapa" display="🔗 Ver Mapa"/>
    <hyperlink ref="L204" r:id="rId202" tooltip="🔗 Ver Mapa" display="🔗 Ver Mapa"/>
    <hyperlink ref="L205" r:id="rId203" tooltip="🔗 Ver Mapa" display="🔗 Ver Mapa"/>
    <hyperlink ref="L206" r:id="rId204" tooltip="🔗 Ver Mapa" display="🔗 Ver Mapa"/>
    <hyperlink ref="L207" r:id="rId205" tooltip="🔗 Ver Mapa" display="🔗 Ver Mapa"/>
    <hyperlink ref="L208" r:id="rId206" tooltip="🔗 Ver Mapa" display="🔗 Ver Mapa"/>
    <hyperlink ref="L209" r:id="rId207" tooltip="🔗 Ver Mapa" display="🔗 Ver Mapa"/>
    <hyperlink ref="L210" r:id="rId208" tooltip="🔗 Ver Mapa" display="🔗 Ver Mapa"/>
    <hyperlink ref="L211" r:id="rId209" tooltip="🔗 Ver Mapa" display="🔗 Ver Mapa"/>
    <hyperlink ref="L212" r:id="rId210" tooltip="🔗 Ver Mapa" display="🔗 Ver Mapa"/>
    <hyperlink ref="L213" r:id="rId211" tooltip="🔗 Ver Mapa" display="🔗 Ver Mapa"/>
    <hyperlink ref="L214" r:id="rId212" tooltip="🔗 Ver Mapa" display="🔗 Ver Mapa"/>
    <hyperlink ref="L215" r:id="rId213" tooltip="🔗 Ver Mapa" display="🔗 Ver Mapa"/>
    <hyperlink ref="L216" r:id="rId214" tooltip="🔗 Ver Mapa" display="🔗 Ver Mapa"/>
    <hyperlink ref="L217" r:id="rId215" tooltip="🔗 Ver Mapa" display="🔗 Ver Mapa"/>
    <hyperlink ref="L218" r:id="rId216" tooltip="🔗 Ver Mapa" display="🔗 Ver Mapa"/>
    <hyperlink ref="L219" r:id="rId217" tooltip="🔗 Ver Mapa" display="🔗 Ver Mapa"/>
    <hyperlink ref="L220" r:id="rId218" tooltip="🔗 Ver Mapa" display="🔗 Ver Mapa"/>
    <hyperlink ref="L221" r:id="rId219" tooltip="🔗 Ver Mapa" display="🔗 Ver Mapa"/>
    <hyperlink ref="L222" r:id="rId220" tooltip="🔗 Ver Mapa" display="🔗 Ver Mapa"/>
    <hyperlink ref="L223" r:id="rId221" tooltip="🔗 Ver Mapa" display="🔗 Ver Mapa"/>
    <hyperlink ref="L224" r:id="rId222" tooltip="🔗 Ver Mapa" display="🔗 Ver Mapa"/>
    <hyperlink ref="L225" r:id="rId223" tooltip="🔗 Ver Mapa" display="🔗 Ver Mapa"/>
    <hyperlink ref="L226" r:id="rId224" tooltip="🔗 Ver Mapa" display="🔗 Ver Mapa"/>
    <hyperlink ref="L227" r:id="rId225" tooltip="🔗 Ver Mapa" display="🔗 Ver Mapa"/>
    <hyperlink ref="L228" r:id="rId226" tooltip="🔗 Ver Mapa" display="🔗 Ver Mapa"/>
    <hyperlink ref="L229" r:id="rId227" tooltip="🔗 Ver Mapa" display="🔗 Ver Mapa"/>
    <hyperlink ref="L230" r:id="rId228" tooltip="🔗 Ver Mapa" display="🔗 Ver Mapa"/>
    <hyperlink ref="L231" r:id="rId229" tooltip="🔗 Ver Mapa" display="🔗 Ver Mapa"/>
    <hyperlink ref="L232" r:id="rId230" tooltip="🔗 Ver Mapa" display="🔗 Ver Mapa"/>
    <hyperlink ref="L233" r:id="rId231" tooltip="🔗 Ver Mapa" display="🔗 Ver Mapa"/>
    <hyperlink ref="L234" r:id="rId232" tooltip="🔗 Ver Mapa" display="🔗 Ver Mapa"/>
    <hyperlink ref="L235" r:id="rId233" tooltip="🔗 Ver Mapa" display="🔗 Ver Mapa"/>
    <hyperlink ref="L236" r:id="rId234" tooltip="🔗 Ver Mapa" display="🔗 Ver Mapa"/>
    <hyperlink ref="L237" r:id="rId235" tooltip="🔗 Ver Mapa" display="🔗 Ver Mapa"/>
    <hyperlink ref="L238" r:id="rId236" tooltip="🔗 Ver Mapa" display="🔗 Ver Mapa"/>
    <hyperlink ref="L239" r:id="rId237" tooltip="🔗 Ver Mapa" display="🔗 Ver Mapa"/>
    <hyperlink ref="L240" r:id="rId238" tooltip="🔗 Ver Mapa" display="🔗 Ver Mapa"/>
    <hyperlink ref="L241" r:id="rId239" tooltip="🔗 Ver Mapa" display="🔗 Ver Mapa"/>
    <hyperlink ref="L242" r:id="rId240" tooltip="🔗 Ver Mapa" display="🔗 Ver Mapa"/>
    <hyperlink ref="L243" r:id="rId241" tooltip="🔗 Ver Mapa" display="🔗 Ver Mapa"/>
    <hyperlink ref="L244" r:id="rId242" tooltip="🔗 Ver Mapa" display="🔗 Ver Mapa"/>
    <hyperlink ref="L245" r:id="rId243" tooltip="🔗 Ver Mapa" display="🔗 Ver Mapa"/>
    <hyperlink ref="L246" r:id="rId244" tooltip="🔗 Ver Mapa" display="🔗 Ver Mapa"/>
    <hyperlink ref="L247" r:id="rId245" tooltip="🔗 Ver Mapa" display="🔗 Ver Mapa"/>
    <hyperlink ref="L248" r:id="rId246" tooltip="🔗 Ver Mapa" display="🔗 Ver Mapa"/>
    <hyperlink ref="L249" r:id="rId247" tooltip="🔗 Ver Mapa" display="🔗 Ver Mapa"/>
    <hyperlink ref="L250" r:id="rId248" tooltip="🔗 Ver Mapa" display="🔗 Ver Mapa"/>
    <hyperlink ref="L251" r:id="rId249" tooltip="🔗 Ver Mapa" display="🔗 Ver Mapa"/>
    <hyperlink ref="L252" r:id="rId250" tooltip="🔗 Ver Mapa" display="🔗 Ver Mapa"/>
    <hyperlink ref="L253" r:id="rId251" tooltip="🔗 Ver Mapa" display="🔗 Ver Mapa"/>
    <hyperlink ref="L254" r:id="rId252" tooltip="🔗 Ver Mapa" display="🔗 Ver Mapa"/>
    <hyperlink ref="L255" r:id="rId253" tooltip="🔗 Ver Mapa" display="🔗 Ver Mapa"/>
    <hyperlink ref="L256" r:id="rId254" tooltip="🔗 Ver Mapa" display="🔗 Ver Mapa"/>
    <hyperlink ref="L257" r:id="rId255" tooltip="🔗 Ver Mapa" display="🔗 Ver Mapa"/>
    <hyperlink ref="L258" r:id="rId256" tooltip="🔗 Ver Mapa" display="🔗 Ver Mapa"/>
    <hyperlink ref="L259" r:id="rId257" tooltip="🔗 Ver Mapa" display="🔗 Ver Mapa"/>
    <hyperlink ref="L260" r:id="rId258" tooltip="🔗 Ver Mapa" display="🔗 Ver Mapa"/>
    <hyperlink ref="L261" r:id="rId259" tooltip="🔗 Ver Mapa" display="🔗 Ver Mapa"/>
    <hyperlink ref="L262" r:id="rId260" tooltip="🔗 Ver Mapa" display="🔗 Ver Mapa"/>
    <hyperlink ref="L263" r:id="rId261" tooltip="🔗 Ver Mapa" display="🔗 Ver Mapa"/>
    <hyperlink ref="L264" r:id="rId262" tooltip="🔗 Ver Mapa" display="🔗 Ver Mapa"/>
    <hyperlink ref="L265" r:id="rId263" tooltip="🔗 Ver Mapa" display="🔗 Ver Mapa"/>
    <hyperlink ref="L266" r:id="rId264" tooltip="🔗 Ver Mapa" display="🔗 Ver Mapa"/>
    <hyperlink ref="L267" r:id="rId265" tooltip="🔗 Ver Mapa" display="🔗 Ver Mapa"/>
    <hyperlink ref="L268" r:id="rId266" tooltip="🔗 Ver Mapa" display="🔗 Ver Mapa"/>
    <hyperlink ref="L269" r:id="rId267" tooltip="🔗 Ver Mapa" display="🔗 Ver Mapa"/>
    <hyperlink ref="L270" r:id="rId268" tooltip="🔗 Ver Mapa" display="🔗 Ver Mapa"/>
    <hyperlink ref="L271" r:id="rId269" tooltip="🔗 Ver Mapa" display="🔗 Ver Mapa"/>
    <hyperlink ref="L272" r:id="rId270" tooltip="🔗 Ver Mapa" display="🔗 Ver Mapa"/>
    <hyperlink ref="L273" r:id="rId271" tooltip="🔗 Ver Mapa" display="🔗 Ver Mapa"/>
    <hyperlink ref="L274" r:id="rId272" tooltip="🔗 Ver Mapa" display="🔗 Ver Mapa"/>
    <hyperlink ref="L275" r:id="rId273" tooltip="🔗 Ver Mapa" display="🔗 Ver Mapa"/>
    <hyperlink ref="L276" r:id="rId274" tooltip="🔗 Ver Mapa" display="🔗 Ver Mapa"/>
    <hyperlink ref="L277" r:id="rId275" tooltip="🔗 Ver Mapa" display="🔗 Ver Mapa"/>
    <hyperlink ref="L278" r:id="rId276" tooltip="🔗 Ver Mapa" display="🔗 Ver Mapa"/>
    <hyperlink ref="L279" r:id="rId277" tooltip="🔗 Ver Mapa" display="🔗 Ver Mapa"/>
    <hyperlink ref="L280" r:id="rId278" tooltip="🔗 Ver Mapa" display="🔗 Ver Mapa"/>
    <hyperlink ref="L281" r:id="rId279" tooltip="🔗 Ver Mapa" display="🔗 Ver Mapa"/>
    <hyperlink ref="L282" r:id="rId280" tooltip="🔗 Ver Mapa" display="🔗 Ver Mapa"/>
    <hyperlink ref="L283" r:id="rId281" tooltip="🔗 Ver Mapa" display="🔗 Ver Mapa"/>
    <hyperlink ref="L284" r:id="rId282" tooltip="🔗 Ver Mapa" display="🔗 Ver Mapa"/>
    <hyperlink ref="L285" r:id="rId283" tooltip="🔗 Ver Mapa" display="🔗 Ver Mapa"/>
    <hyperlink ref="L286" r:id="rId284" tooltip="🔗 Ver Mapa" display="🔗 Ver Mapa"/>
    <hyperlink ref="L287" r:id="rId285" tooltip="🔗 Ver Mapa" display="🔗 Ver Mapa"/>
    <hyperlink ref="L288" r:id="rId286" tooltip="🔗 Ver Mapa" display="🔗 Ver Mapa"/>
    <hyperlink ref="L289" r:id="rId287" tooltip="🔗 Ver Mapa" display="🔗 Ver Mapa"/>
    <hyperlink ref="L290" r:id="rId288" tooltip="🔗 Ver Mapa" display="🔗 Ver Mapa"/>
    <hyperlink ref="L291" r:id="rId289" tooltip="🔗 Ver Mapa" display="🔗 Ver Mapa"/>
    <hyperlink ref="L292" r:id="rId290" tooltip="🔗 Ver Mapa" display="🔗 Ver Mapa"/>
    <hyperlink ref="L293" r:id="rId291" tooltip="🔗 Ver Mapa" display="🔗 Ver Mapa"/>
    <hyperlink ref="L294" r:id="rId292" tooltip="🔗 Ver Mapa" display="🔗 Ver Mapa"/>
    <hyperlink ref="L295" r:id="rId293" tooltip="🔗 Ver Mapa" display="🔗 Ver Mapa"/>
    <hyperlink ref="L296" r:id="rId294" tooltip="🔗 Ver Mapa" display="🔗 Ver Mapa"/>
    <hyperlink ref="L297" r:id="rId295" tooltip="🔗 Ver Mapa" display="🔗 Ver Mapa"/>
    <hyperlink ref="L298" r:id="rId296" tooltip="🔗 Ver Mapa" display="🔗 Ver Mapa"/>
    <hyperlink ref="L299" r:id="rId297" tooltip="🔗 Ver Mapa" display="🔗 Ver Mapa"/>
    <hyperlink ref="L300" r:id="rId298" tooltip="🔗 Ver Mapa" display="🔗 Ver Mapa"/>
    <hyperlink ref="L301" r:id="rId299" tooltip="🔗 Ver Mapa" display="🔗 Ver Mapa"/>
    <hyperlink ref="L302" r:id="rId300" tooltip="🔗 Ver Mapa" display="🔗 Ver Mapa"/>
    <hyperlink ref="L303" r:id="rId301" tooltip="🔗 Ver Mapa" display="🔗 Ver Mapa"/>
    <hyperlink ref="L304" r:id="rId302" tooltip="🔗 Ver Mapa" display="🔗 Ver Mapa"/>
    <hyperlink ref="L305" r:id="rId303" tooltip="🔗 Ver Mapa" display="🔗 Ver Mapa"/>
    <hyperlink ref="L306" r:id="rId304" tooltip="🔗 Ver Mapa" display="🔗 Ver Mapa"/>
    <hyperlink ref="L307" r:id="rId305" tooltip="🔗 Ver Mapa" display="🔗 Ver Mapa"/>
    <hyperlink ref="L308" r:id="rId306" tooltip="🔗 Ver Mapa" display="🔗 Ver Mapa"/>
    <hyperlink ref="L309" r:id="rId307" tooltip="🔗 Ver Mapa" display="🔗 Ver Mapa"/>
    <hyperlink ref="L310" r:id="rId308" tooltip="🔗 Ver Mapa" display="🔗 Ver Mapa"/>
    <hyperlink ref="L311" r:id="rId309" tooltip="🔗 Ver Mapa" display="🔗 Ver Mapa"/>
    <hyperlink ref="L312" r:id="rId310" tooltip="🔗 Ver Mapa" display="🔗 Ver Mapa"/>
    <hyperlink ref="L313" r:id="rId311" tooltip="🔗 Ver Mapa" display="🔗 Ver Mapa"/>
    <hyperlink ref="L314" r:id="rId312" tooltip="🔗 Ver Mapa" display="🔗 Ver Mapa"/>
    <hyperlink ref="L315" r:id="rId313" tooltip="🔗 Ver Mapa" display="🔗 Ver Mapa"/>
    <hyperlink ref="L316" r:id="rId314" tooltip="🔗 Ver Mapa" display="🔗 Ver Mapa"/>
    <hyperlink ref="L317" r:id="rId315" tooltip="🔗 Ver Mapa" display="🔗 Ver Mapa"/>
    <hyperlink ref="L318" r:id="rId316" tooltip="🔗 Ver Mapa" display="🔗 Ver Mapa"/>
    <hyperlink ref="L319" r:id="rId317" tooltip="🔗 Ver Mapa" display="🔗 Ver Mapa"/>
    <hyperlink ref="L320" r:id="rId318" tooltip="🔗 Ver Mapa" display="🔗 Ver Mapa"/>
    <hyperlink ref="L321" r:id="rId319" tooltip="🔗 Ver Mapa" display="🔗 Ver Mapa"/>
    <hyperlink ref="L322" r:id="rId320" tooltip="🔗 Ver Mapa" display="🔗 Ver Mapa"/>
    <hyperlink ref="L323" r:id="rId321" tooltip="🔗 Ver Mapa" display="🔗 Ver Mapa"/>
    <hyperlink ref="L324" r:id="rId322" tooltip="🔗 Ver Mapa" display="🔗 Ver Mapa"/>
    <hyperlink ref="L325" r:id="rId323" tooltip="🔗 Ver Mapa" display="🔗 Ver Mapa"/>
    <hyperlink ref="L326" r:id="rId324" tooltip="🔗 Ver Mapa" display="🔗 Ver Mapa"/>
    <hyperlink ref="L327" r:id="rId325" tooltip="🔗 Ver Mapa" display="🔗 Ver Mapa"/>
    <hyperlink ref="L328" r:id="rId326" tooltip="🔗 Ver Mapa" display="🔗 Ver Mapa"/>
    <hyperlink ref="L329" r:id="rId327" tooltip="🔗 Ver Mapa" display="🔗 Ver Mapa"/>
    <hyperlink ref="L330" r:id="rId328" tooltip="🔗 Ver Mapa" display="🔗 Ver Mapa"/>
    <hyperlink ref="L331" r:id="rId329" tooltip="🔗 Ver Mapa" display="🔗 Ver Mapa"/>
    <hyperlink ref="L332" r:id="rId330" tooltip="🔗 Ver Mapa" display="🔗 Ver Mapa"/>
    <hyperlink ref="L333" r:id="rId331" tooltip="🔗 Ver Mapa" display="🔗 Ver Mapa"/>
    <hyperlink ref="L334" r:id="rId332" tooltip="🔗 Ver Mapa" display="🔗 Ver Mapa"/>
    <hyperlink ref="L335" r:id="rId333" tooltip="🔗 Ver Mapa" display="🔗 Ver Mapa"/>
    <hyperlink ref="L336" r:id="rId334" tooltip="🔗 Ver Mapa" display="🔗 Ver Mapa"/>
    <hyperlink ref="L337" r:id="rId335" tooltip="🔗 Ver Mapa" display="🔗 Ver Mapa"/>
    <hyperlink ref="L338" r:id="rId336" tooltip="🔗 Ver Mapa" display="🔗 Ver Mapa"/>
    <hyperlink ref="L339" r:id="rId337" tooltip="🔗 Ver Mapa" display="🔗 Ver Mapa"/>
    <hyperlink ref="L340" r:id="rId338" tooltip="🔗 Ver Mapa" display="🔗 Ver Mapa"/>
    <hyperlink ref="L341" r:id="rId339" tooltip="🔗 Ver Mapa" display="🔗 Ver Mapa"/>
    <hyperlink ref="L342" r:id="rId340" tooltip="🔗 Ver Mapa" display="🔗 Ver Mapa"/>
    <hyperlink ref="L343" r:id="rId341" tooltip="🔗 Ver Mapa" display="🔗 Ver Mapa"/>
    <hyperlink ref="L344" r:id="rId342" tooltip="🔗 Ver Mapa" display="🔗 Ver Mapa"/>
    <hyperlink ref="L345" r:id="rId343" tooltip="🔗 Ver Mapa" display="🔗 Ver Mapa"/>
    <hyperlink ref="L346" r:id="rId344" tooltip="🔗 Ver Mapa" display="🔗 Ver Mapa"/>
    <hyperlink ref="L347" r:id="rId345" tooltip="🔗 Ver Mapa" display="🔗 Ver Mapa"/>
    <hyperlink ref="L348" r:id="rId346" tooltip="🔗 Ver Mapa" display="🔗 Ver Mapa"/>
    <hyperlink ref="L349" r:id="rId347" tooltip="🔗 Ver Mapa" display="🔗 Ver Mapa"/>
    <hyperlink ref="L350" r:id="rId348" tooltip="🔗 Ver Mapa" display="🔗 Ver Mapa"/>
    <hyperlink ref="L351" r:id="rId349" tooltip="🔗 Ver Mapa" display="🔗 Ver Mapa"/>
    <hyperlink ref="L352" r:id="rId350" tooltip="🔗 Ver Mapa" display="🔗 Ver Mapa"/>
    <hyperlink ref="L353" r:id="rId351" tooltip="🔗 Ver Mapa" display="🔗 Ver Mapa"/>
    <hyperlink ref="L354" r:id="rId352" tooltip="🔗 Ver Mapa" display="🔗 Ver Mapa"/>
    <hyperlink ref="L355" r:id="rId353" tooltip="🔗 Ver Mapa" display="🔗 Ver Mapa"/>
    <hyperlink ref="L356" r:id="rId354" tooltip="🔗 Ver Mapa" display="🔗 Ver Mapa"/>
    <hyperlink ref="L357" r:id="rId355" tooltip="🔗 Ver Mapa" display="🔗 Ver Mapa"/>
    <hyperlink ref="L358" r:id="rId356" tooltip="🔗 Ver Mapa" display="🔗 Ver Mapa"/>
    <hyperlink ref="L359" r:id="rId357" tooltip="🔗 Ver Mapa" display="🔗 Ver Mapa"/>
    <hyperlink ref="L360" r:id="rId358" tooltip="🔗 Ver Mapa" display="🔗 Ver Mapa"/>
    <hyperlink ref="L361" r:id="rId359" tooltip="🔗 Ver Mapa" display="🔗 Ver Mapa"/>
    <hyperlink ref="L362" r:id="rId360" tooltip="🔗 Ver Mapa" display="🔗 Ver Mapa"/>
    <hyperlink ref="L363" r:id="rId361" tooltip="🔗 Ver Mapa" display="🔗 Ver Mapa"/>
    <hyperlink ref="L364" r:id="rId362" tooltip="🔗 Ver Mapa" display="🔗 Ver Mapa"/>
    <hyperlink ref="L365" r:id="rId363" tooltip="🔗 Ver Mapa" display="🔗 Ver Mapa"/>
    <hyperlink ref="L366" r:id="rId364" tooltip="🔗 Ver Mapa" display="🔗 Ver Mapa"/>
    <hyperlink ref="L367" r:id="rId365" tooltip="🔗 Ver Mapa" display="🔗 Ver Mapa"/>
    <hyperlink ref="L368" r:id="rId366" tooltip="🔗 Ver Mapa" display="🔗 Ver Mapa"/>
    <hyperlink ref="L369" r:id="rId367" tooltip="🔗 Ver Mapa" display="🔗 Ver Mapa"/>
    <hyperlink ref="L370" r:id="rId368" tooltip="🔗 Ver Mapa" display="🔗 Ver Mapa"/>
    <hyperlink ref="L371" r:id="rId369" tooltip="🔗 Ver Mapa" display="🔗 Ver Mapa"/>
    <hyperlink ref="L372" r:id="rId370" tooltip="🔗 Ver Mapa" display="🔗 Ver Mapa"/>
    <hyperlink ref="L373" r:id="rId371" tooltip="🔗 Ver Mapa" display="🔗 Ver Mapa"/>
    <hyperlink ref="L374" r:id="rId372" tooltip="🔗 Ver Mapa" display="🔗 Ver Mapa"/>
    <hyperlink ref="L375" r:id="rId373" tooltip="🔗 Ver Mapa" display="🔗 Ver Mapa"/>
    <hyperlink ref="L376" r:id="rId374" tooltip="🔗 Ver Mapa" display="🔗 Ver Mapa"/>
    <hyperlink ref="L377" r:id="rId375" tooltip="🔗 Ver Mapa" display="🔗 Ver Mapa"/>
    <hyperlink ref="L378" r:id="rId376" tooltip="🔗 Ver Mapa" display="🔗 Ver Mapa"/>
    <hyperlink ref="L379" r:id="rId377" tooltip="🔗 Ver Mapa" display="🔗 Ver Mapa"/>
    <hyperlink ref="L380" r:id="rId378" tooltip="🔗 Ver Mapa" display="🔗 Ver Mapa"/>
    <hyperlink ref="L381" r:id="rId379" tooltip="🔗 Ver Mapa" display="🔗 Ver Mapa"/>
    <hyperlink ref="L382" r:id="rId380" tooltip="🔗 Ver Mapa" display="🔗 Ver Mapa"/>
    <hyperlink ref="L383" r:id="rId381" tooltip="🔗 Ver Mapa" display="🔗 Ver Mapa"/>
    <hyperlink ref="L384" r:id="rId382" tooltip="🔗 Ver Mapa" display="🔗 Ver Mapa"/>
    <hyperlink ref="L385" r:id="rId383" tooltip="🔗 Ver Mapa" display="🔗 Ver Mapa"/>
    <hyperlink ref="L386" r:id="rId384" tooltip="🔗 Ver Mapa" display="🔗 Ver Mapa"/>
    <hyperlink ref="L387" r:id="rId385" tooltip="🔗 Ver Mapa" display="🔗 Ver Mapa"/>
    <hyperlink ref="L388" r:id="rId386" tooltip="🔗 Ver Mapa" display="🔗 Ver Mapa"/>
    <hyperlink ref="L389" r:id="rId387" tooltip="🔗 Ver Mapa" display="🔗 Ver Mapa"/>
    <hyperlink ref="L390" r:id="rId388" tooltip="🔗 Ver Mapa" display="🔗 Ver Mapa"/>
    <hyperlink ref="L391" r:id="rId389" tooltip="🔗 Ver Mapa" display="🔗 Ver Mapa"/>
    <hyperlink ref="L392" r:id="rId390" tooltip="🔗 Ver Mapa" display="🔗 Ver Mapa"/>
    <hyperlink ref="L393" r:id="rId391" tooltip="🔗 Ver Mapa" display="🔗 Ver Mapa"/>
    <hyperlink ref="L394" r:id="rId392" tooltip="🔗 Ver Mapa" display="🔗 Ver Mapa"/>
    <hyperlink ref="L395" r:id="rId393" tooltip="🔗 Ver Mapa" display="🔗 Ver Mapa"/>
    <hyperlink ref="L396" r:id="rId394" tooltip="🔗 Ver Mapa" display="🔗 Ver Mapa"/>
    <hyperlink ref="L397" r:id="rId395" tooltip="🔗 Ver Mapa" display="🔗 Ver Mapa"/>
    <hyperlink ref="L398" r:id="rId396" tooltip="🔗 Ver Mapa" display="🔗 Ver Mapa"/>
    <hyperlink ref="L399" r:id="rId397" tooltip="🔗 Ver Mapa" display="🔗 Ver Mapa"/>
    <hyperlink ref="L400" r:id="rId398" tooltip="🔗 Ver Mapa" display="🔗 Ver Mapa"/>
    <hyperlink ref="L401" r:id="rId399" tooltip="🔗 Ver Mapa" display="🔗 Ver Mapa"/>
    <hyperlink ref="L402" r:id="rId400" tooltip="🔗 Ver Mapa" display="🔗 Ver Mapa"/>
    <hyperlink ref="L403" r:id="rId401" tooltip="🔗 Ver Mapa" display="🔗 Ver Mapa"/>
    <hyperlink ref="L404" r:id="rId402" tooltip="🔗 Ver Mapa" display="🔗 Ver Mapa"/>
    <hyperlink ref="L405" r:id="rId403" tooltip="🔗 Ver Mapa" display="🔗 Ver Mapa"/>
    <hyperlink ref="L406" r:id="rId404" tooltip="🔗 Ver Mapa" display="🔗 Ver Mapa"/>
    <hyperlink ref="L407" r:id="rId405" tooltip="🔗 Ver Mapa" display="🔗 Ver Mapa"/>
    <hyperlink ref="L408" r:id="rId406" tooltip="🔗 Ver Mapa" display="🔗 Ver Mapa"/>
    <hyperlink ref="L409" r:id="rId407" tooltip="🔗 Ver Mapa" display="🔗 Ver Mapa"/>
    <hyperlink ref="L410" r:id="rId408" tooltip="🔗 Ver Mapa" display="🔗 Ver Mapa"/>
    <hyperlink ref="L411" r:id="rId409" tooltip="🔗 Ver Mapa" display="🔗 Ver Mapa"/>
    <hyperlink ref="L412" r:id="rId410" tooltip="🔗 Ver Mapa" display="🔗 Ver Mapa"/>
    <hyperlink ref="L413" r:id="rId411" tooltip="🔗 Ver Mapa" display="🔗 Ver Mapa"/>
    <hyperlink ref="L414" r:id="rId412" tooltip="🔗 Ver Mapa" display="🔗 Ver Mapa"/>
    <hyperlink ref="L415" r:id="rId413" tooltip="🔗 Ver Mapa" display="🔗 Ver Mapa"/>
    <hyperlink ref="L416" r:id="rId414" tooltip="🔗 Ver Mapa" display="🔗 Ver Mapa"/>
    <hyperlink ref="L417" r:id="rId415" tooltip="🔗 Ver Mapa" display="🔗 Ver Mapa"/>
    <hyperlink ref="L418" r:id="rId416" tooltip="🔗 Ver Mapa" display="🔗 Ver Mapa"/>
    <hyperlink ref="L419" r:id="rId417" tooltip="🔗 Ver Mapa" display="🔗 Ver Mapa"/>
    <hyperlink ref="L420" r:id="rId418" tooltip="🔗 Ver Mapa" display="🔗 Ver Mapa"/>
    <hyperlink ref="L421" r:id="rId419" tooltip="🔗 Ver Mapa" display="🔗 Ver Mapa"/>
    <hyperlink ref="L422" r:id="rId420" tooltip="🔗 Ver Mapa" display="🔗 Ver Mapa"/>
    <hyperlink ref="L423" r:id="rId421" tooltip="🔗 Ver Mapa" display="🔗 Ver Mapa"/>
    <hyperlink ref="L424" r:id="rId422" tooltip="🔗 Ver Mapa" display="🔗 Ver Mapa"/>
    <hyperlink ref="L425" r:id="rId423" tooltip="🔗 Ver Mapa" display="🔗 Ver Mapa"/>
    <hyperlink ref="L426" r:id="rId424" tooltip="🔗 Ver Mapa" display="🔗 Ver Mapa"/>
    <hyperlink ref="L427" r:id="rId425" tooltip="🔗 Ver Mapa" display="🔗 Ver Mapa"/>
    <hyperlink ref="L428" r:id="rId426" tooltip="🔗 Ver Mapa" display="🔗 Ver Mapa"/>
    <hyperlink ref="L429" r:id="rId427" tooltip="🔗 Ver Mapa" display="🔗 Ver Mapa"/>
    <hyperlink ref="L430" r:id="rId428" tooltip="🔗 Ver Mapa" display="🔗 Ver Mapa"/>
    <hyperlink ref="L431" r:id="rId429" tooltip="🔗 Ver Mapa" display="🔗 Ver Mapa"/>
    <hyperlink ref="L432" r:id="rId430" tooltip="🔗 Ver Mapa" display="🔗 Ver Mapa"/>
    <hyperlink ref="L433" r:id="rId431" tooltip="🔗 Ver Mapa" display="🔗 Ver Mapa"/>
    <hyperlink ref="L434" r:id="rId432" tooltip="🔗 Ver Mapa" display="🔗 Ver Mapa"/>
    <hyperlink ref="L435" r:id="rId433" tooltip="🔗 Ver Mapa" display="🔗 Ver Mapa"/>
    <hyperlink ref="L436" r:id="rId434" tooltip="🔗 Ver Mapa" display="🔗 Ver Mapa"/>
    <hyperlink ref="L437" r:id="rId435" tooltip="🔗 Ver Mapa" display="🔗 Ver Mapa"/>
    <hyperlink ref="L438" r:id="rId436" tooltip="🔗 Ver Mapa" display="🔗 Ver Mapa"/>
    <hyperlink ref="L439" r:id="rId437" tooltip="🔗 Ver Mapa" display="🔗 Ver Mapa"/>
    <hyperlink ref="L440" r:id="rId438" tooltip="🔗 Ver Mapa" display="🔗 Ver Mapa"/>
    <hyperlink ref="L441" r:id="rId439" tooltip="🔗 Ver Mapa" display="🔗 Ver Mapa"/>
    <hyperlink ref="L442" r:id="rId440" tooltip="🔗 Ver Mapa" display="🔗 Ver Mapa"/>
    <hyperlink ref="L443" r:id="rId441" tooltip="🔗 Ver Mapa" display="🔗 Ver Mapa"/>
    <hyperlink ref="L444" r:id="rId442" tooltip="🔗 Ver Mapa" display="🔗 Ver Mapa"/>
    <hyperlink ref="L445" r:id="rId443" tooltip="🔗 Ver Mapa" display="🔗 Ver Mapa"/>
    <hyperlink ref="L446" r:id="rId444" tooltip="🔗 Ver Mapa" display="🔗 Ver Mapa"/>
    <hyperlink ref="L447" r:id="rId445" tooltip="🔗 Ver Mapa" display="🔗 Ver Mapa"/>
    <hyperlink ref="L448" r:id="rId446" tooltip="🔗 Ver Mapa" display="🔗 Ver Mapa"/>
    <hyperlink ref="L449" r:id="rId447" tooltip="🔗 Ver Mapa" display="🔗 Ver Mapa"/>
    <hyperlink ref="L450" r:id="rId448" tooltip="🔗 Ver Mapa" display="🔗 Ver Mapa"/>
    <hyperlink ref="L451" r:id="rId449" tooltip="🔗 Ver Mapa" display="🔗 Ver Mapa"/>
    <hyperlink ref="L452" r:id="rId450" tooltip="🔗 Ver Mapa" display="🔗 Ver Mapa"/>
    <hyperlink ref="L453" r:id="rId451" tooltip="🔗 Ver Mapa" display="🔗 Ver Mapa"/>
    <hyperlink ref="L454" r:id="rId452" tooltip="🔗 Ver Mapa" display="🔗 Ver Mapa"/>
    <hyperlink ref="L455" r:id="rId453" tooltip="🔗 Ver Mapa" display="🔗 Ver Mapa"/>
    <hyperlink ref="L456" r:id="rId454" tooltip="🔗 Ver Mapa" display="🔗 Ver Mapa"/>
    <hyperlink ref="L457" r:id="rId455" tooltip="🔗 Ver Mapa" display="🔗 Ver Mapa"/>
    <hyperlink ref="L458" r:id="rId456" tooltip="🔗 Ver Mapa" display="🔗 Ver Mapa"/>
    <hyperlink ref="L459" r:id="rId457" tooltip="🔗 Ver Mapa" display="🔗 Ver Mapa"/>
    <hyperlink ref="L460" r:id="rId458" tooltip="🔗 Ver Mapa" display="🔗 Ver Mapa"/>
    <hyperlink ref="L461" r:id="rId459" tooltip="🔗 Ver Mapa" display="🔗 Ver Mapa"/>
    <hyperlink ref="L462" r:id="rId460" tooltip="🔗 Ver Mapa" display="🔗 Ver Mapa"/>
    <hyperlink ref="L463" r:id="rId461" tooltip="🔗 Ver Mapa" display="🔗 Ver Mapa"/>
    <hyperlink ref="L464" r:id="rId462" tooltip="🔗 Ver Mapa" display="🔗 Ver Mapa"/>
    <hyperlink ref="L465" r:id="rId463" tooltip="🔗 Ver Mapa" display="🔗 Ver Mapa"/>
    <hyperlink ref="L466" r:id="rId464" tooltip="🔗 Ver Mapa" display="🔗 Ver Mapa"/>
    <hyperlink ref="L467" r:id="rId465" tooltip="🔗 Ver Mapa" display="🔗 Ver Mapa"/>
    <hyperlink ref="L468" r:id="rId466" tooltip="🔗 Ver Mapa" display="🔗 Ver Mapa"/>
    <hyperlink ref="L469" r:id="rId467" tooltip="🔗 Ver Mapa" display="🔗 Ver Mapa"/>
    <hyperlink ref="L470" r:id="rId468" tooltip="🔗 Ver Mapa" display="🔗 Ver Mapa"/>
    <hyperlink ref="L471" r:id="rId469" tooltip="🔗 Ver Mapa" display="🔗 Ver Mapa"/>
    <hyperlink ref="L472" r:id="rId470" tooltip="🔗 Ver Mapa" display="🔗 Ver Mapa"/>
    <hyperlink ref="L473" r:id="rId471" tooltip="🔗 Ver Mapa" display="🔗 Ver Mapa"/>
    <hyperlink ref="L474" r:id="rId472" tooltip="🔗 Ver Mapa" display="🔗 Ver Mapa"/>
    <hyperlink ref="L475" r:id="rId473" tooltip="🔗 Ver Mapa" display="🔗 Ver Mapa"/>
    <hyperlink ref="L476" r:id="rId474" tooltip="🔗 Ver Mapa" display="🔗 Ver Mapa"/>
    <hyperlink ref="L477" r:id="rId475" tooltip="🔗 Ver Mapa" display="🔗 Ver Mapa"/>
    <hyperlink ref="L478" r:id="rId476" tooltip="🔗 Ver Mapa" display="🔗 Ver Mapa"/>
    <hyperlink ref="L479" r:id="rId477" tooltip="🔗 Ver Mapa" display="🔗 Ver Mapa"/>
    <hyperlink ref="L480" r:id="rId478" tooltip="🔗 Ver Mapa" display="🔗 Ver Mapa"/>
    <hyperlink ref="L481" r:id="rId479" tooltip="🔗 Ver Mapa" display="🔗 Ver Mapa"/>
    <hyperlink ref="L482" r:id="rId480" tooltip="🔗 Ver Mapa" display="🔗 Ver Mapa"/>
    <hyperlink ref="L483" r:id="rId481" tooltip="🔗 Ver Mapa" display="🔗 Ver Mapa"/>
    <hyperlink ref="L484" r:id="rId482" tooltip="🔗 Ver Mapa" display="🔗 Ver Mapa"/>
    <hyperlink ref="L485" r:id="rId483" tooltip="🔗 Ver Mapa" display="🔗 Ver Mapa"/>
    <hyperlink ref="L486" r:id="rId484" tooltip="🔗 Ver Mapa" display="🔗 Ver Mapa"/>
    <hyperlink ref="L487" r:id="rId485" tooltip="🔗 Ver Mapa" display="🔗 Ver Mapa"/>
    <hyperlink ref="L488" r:id="rId486" tooltip="🔗 Ver Mapa" display="🔗 Ver Mapa"/>
    <hyperlink ref="L489" r:id="rId487" tooltip="🔗 Ver Mapa" display="🔗 Ver Mapa"/>
    <hyperlink ref="L490" r:id="rId488" tooltip="🔗 Ver Mapa" display="🔗 Ver Mapa"/>
    <hyperlink ref="L491" r:id="rId489" tooltip="🔗 Ver Mapa" display="🔗 Ver Mapa"/>
    <hyperlink ref="L492" r:id="rId490" tooltip="🔗 Ver Mapa" display="🔗 Ver Mapa"/>
    <hyperlink ref="L493" r:id="rId491" tooltip="🔗 Ver Mapa" display="🔗 Ver Mapa"/>
    <hyperlink ref="L494" r:id="rId492" tooltip="🔗 Ver Mapa" display="🔗 Ver Mapa"/>
    <hyperlink ref="L495" r:id="rId493" tooltip="🔗 Ver Mapa" display="🔗 Ver Mapa"/>
    <hyperlink ref="L496" r:id="rId494" tooltip="🔗 Ver Mapa" display="🔗 Ver Mapa"/>
    <hyperlink ref="L497" r:id="rId495" tooltip="🔗 Ver Mapa" display="🔗 Ver Mapa"/>
    <hyperlink ref="L498" r:id="rId496" tooltip="🔗 Ver Mapa" display="🔗 Ver Mapa"/>
    <hyperlink ref="L499" r:id="rId497" tooltip="🔗 Ver Mapa" display="🔗 Ver Mapa"/>
    <hyperlink ref="L500" r:id="rId498" tooltip="🔗 Ver Mapa" display="🔗 Ver Mapa"/>
    <hyperlink ref="L501" r:id="rId499" tooltip="🔗 Ver Mapa" display="🔗 Ver Mapa"/>
    <hyperlink ref="L502" r:id="rId500" tooltip="🔗 Ver Mapa" display="🔗 Ver Mapa"/>
    <hyperlink ref="L503" r:id="rId501" tooltip="🔗 Ver Mapa" display="🔗 Ver Mapa"/>
    <hyperlink ref="L504" r:id="rId502" tooltip="🔗 Ver Mapa" display="🔗 Ver Mapa"/>
    <hyperlink ref="L505" r:id="rId503" tooltip="🔗 Ver Mapa" display="🔗 Ver Mapa"/>
    <hyperlink ref="L506" r:id="rId504" tooltip="🔗 Ver Mapa" display="🔗 Ver Mapa"/>
    <hyperlink ref="L507" r:id="rId505" tooltip="🔗 Ver Mapa" display="🔗 Ver Mapa"/>
    <hyperlink ref="L508" r:id="rId506" tooltip="🔗 Ver Mapa" display="🔗 Ver Mapa"/>
    <hyperlink ref="L509" r:id="rId507" tooltip="🔗 Ver Mapa" display="🔗 Ver Mapa"/>
    <hyperlink ref="L510" r:id="rId508" tooltip="🔗 Ver Mapa" display="🔗 Ver Mapa"/>
    <hyperlink ref="L511" r:id="rId509" tooltip="🔗 Ver Mapa" display="🔗 Ver Mapa"/>
    <hyperlink ref="L512" r:id="rId510" tooltip="🔗 Ver Mapa" display="🔗 Ver Mapa"/>
    <hyperlink ref="L513" r:id="rId511" tooltip="🔗 Ver Mapa" display="🔗 Ver Mapa"/>
    <hyperlink ref="L514" r:id="rId512" tooltip="🔗 Ver Mapa" display="🔗 Ver Mapa"/>
    <hyperlink ref="L515" r:id="rId513" tooltip="🔗 Ver Mapa" display="🔗 Ver Mapa"/>
    <hyperlink ref="L516" r:id="rId514" tooltip="🔗 Ver Mapa" display="🔗 Ver Mapa"/>
    <hyperlink ref="L517" r:id="rId515" tooltip="🔗 Ver Mapa" display="🔗 Ver Mapa"/>
    <hyperlink ref="L518" r:id="rId516" tooltip="🔗 Ver Mapa" display="🔗 Ver Mapa"/>
    <hyperlink ref="L519" r:id="rId517" tooltip="🔗 Ver Mapa" display="🔗 Ver Mapa"/>
    <hyperlink ref="L520" r:id="rId518" tooltip="🔗 Ver Mapa" display="🔗 Ver Mapa"/>
    <hyperlink ref="L521" r:id="rId519" tooltip="🔗 Ver Mapa" display="🔗 Ver Mapa"/>
    <hyperlink ref="L522" r:id="rId520" tooltip="🔗 Ver Mapa" display="🔗 Ver Mapa"/>
    <hyperlink ref="L523" r:id="rId521" tooltip="🔗 Ver Mapa" display="🔗 Ver Mapa"/>
    <hyperlink ref="L524" r:id="rId522" tooltip="🔗 Ver Mapa" display="🔗 Ver Mapa"/>
    <hyperlink ref="L525" r:id="rId523" tooltip="🔗 Ver Mapa" display="🔗 Ver Mapa"/>
    <hyperlink ref="L526" r:id="rId524" tooltip="🔗 Ver Mapa" display="🔗 Ver Mapa"/>
    <hyperlink ref="L527" r:id="rId525" tooltip="🔗 Ver Mapa" display="🔗 Ver Mapa"/>
    <hyperlink ref="L528" r:id="rId526" tooltip="🔗 Ver Mapa" display="🔗 Ver Mapa"/>
    <hyperlink ref="L529" r:id="rId527" tooltip="🔗 Ver Mapa" display="🔗 Ver Mapa"/>
    <hyperlink ref="L530" r:id="rId528" tooltip="🔗 Ver Mapa" display="🔗 Ver Mapa"/>
    <hyperlink ref="L531" r:id="rId529" tooltip="🔗 Ver Mapa" display="🔗 Ver Mapa"/>
    <hyperlink ref="L532" r:id="rId530" tooltip="🔗 Ver Mapa" display="🔗 Ver Mapa"/>
    <hyperlink ref="L533" r:id="rId531" tooltip="🔗 Ver Mapa" display="🔗 Ver Mapa"/>
    <hyperlink ref="L534" r:id="rId532" tooltip="🔗 Ver Mapa" display="🔗 Ver Mapa"/>
    <hyperlink ref="L535" r:id="rId533" tooltip="🔗 Ver Mapa" display="🔗 Ver Mapa"/>
    <hyperlink ref="L536" r:id="rId534" tooltip="🔗 Ver Mapa" display="🔗 Ver Mapa"/>
    <hyperlink ref="L537" r:id="rId535" tooltip="🔗 Ver Mapa" display="🔗 Ver Mapa"/>
    <hyperlink ref="L538" r:id="rId536" tooltip="🔗 Ver Mapa" display="🔗 Ver Mapa"/>
    <hyperlink ref="L539" r:id="rId537" tooltip="🔗 Ver Mapa" display="🔗 Ver Mapa"/>
    <hyperlink ref="L540" r:id="rId538" tooltip="🔗 Ver Mapa" display="🔗 Ver Mapa"/>
    <hyperlink ref="L541" r:id="rId539" tooltip="🔗 Ver Mapa" display="🔗 Ver Mapa"/>
    <hyperlink ref="L542" r:id="rId540" tooltip="🔗 Ver Mapa" display="🔗 Ver Mapa"/>
    <hyperlink ref="L543" r:id="rId541" tooltip="🔗 Ver Mapa" display="🔗 Ver Mapa"/>
    <hyperlink ref="L544" r:id="rId542" tooltip="🔗 Ver Mapa" display="🔗 Ver Mapa"/>
    <hyperlink ref="L545" r:id="rId543" tooltip="🔗 Ver Mapa" display="🔗 Ver Mapa"/>
    <hyperlink ref="L546" r:id="rId544" tooltip="🔗 Ver Mapa" display="🔗 Ver Mapa"/>
    <hyperlink ref="L547" r:id="rId545" tooltip="🔗 Ver Mapa" display="🔗 Ver Mapa"/>
    <hyperlink ref="L548" r:id="rId546" tooltip="🔗 Ver Mapa" display="🔗 Ver Mapa"/>
    <hyperlink ref="L549" r:id="rId547" tooltip="🔗 Ver Mapa" display="🔗 Ver Mapa"/>
    <hyperlink ref="L550" r:id="rId548" tooltip="🔗 Ver Mapa" display="🔗 Ver Mapa"/>
    <hyperlink ref="L551" r:id="rId549" tooltip="🔗 Ver Mapa" display="🔗 Ver Mapa"/>
    <hyperlink ref="L552" r:id="rId550" tooltip="🔗 Ver Mapa" display="🔗 Ver Mapa"/>
    <hyperlink ref="L553" r:id="rId551" tooltip="🔗 Ver Mapa" display="🔗 Ver Mapa"/>
    <hyperlink ref="L554" r:id="rId552" tooltip="🔗 Ver Mapa" display="🔗 Ver Mapa"/>
    <hyperlink ref="L555" r:id="rId553" tooltip="🔗 Ver Mapa" display="🔗 Ver Mapa"/>
    <hyperlink ref="L556" r:id="rId554" tooltip="🔗 Ver Mapa" display="🔗 Ver Mapa"/>
    <hyperlink ref="L557" r:id="rId555" tooltip="🔗 Ver Mapa" display="🔗 Ver Mapa"/>
    <hyperlink ref="L558" r:id="rId556" tooltip="🔗 Ver Mapa" display="🔗 Ver Mapa"/>
    <hyperlink ref="L559" r:id="rId557" tooltip="🔗 Ver Mapa" display="🔗 Ver Mapa"/>
    <hyperlink ref="L560" r:id="rId558" tooltip="🔗 Ver Mapa" display="🔗 Ver Mapa"/>
    <hyperlink ref="L561" r:id="rId559" tooltip="🔗 Ver Mapa" display="🔗 Ver Mapa"/>
    <hyperlink ref="L562" r:id="rId560" tooltip="🔗 Ver Mapa" display="🔗 Ver Mapa"/>
    <hyperlink ref="L563" r:id="rId561" tooltip="🔗 Ver Mapa" display="🔗 Ver Mapa"/>
    <hyperlink ref="L564" r:id="rId562" tooltip="🔗 Ver Mapa" display="🔗 Ver Mapa"/>
    <hyperlink ref="L565" r:id="rId563" tooltip="🔗 Ver Mapa" display="🔗 Ver Mapa"/>
    <hyperlink ref="L566" r:id="rId564" tooltip="🔗 Ver Mapa" display="🔗 Ver Mapa"/>
    <hyperlink ref="L567" r:id="rId565" tooltip="🔗 Ver Mapa" display="🔗 Ver Mapa"/>
    <hyperlink ref="L568" r:id="rId566" tooltip="🔗 Ver Mapa" display="🔗 Ver Mapa"/>
    <hyperlink ref="L569" r:id="rId567" tooltip="🔗 Ver Mapa" display="🔗 Ver Mapa"/>
    <hyperlink ref="L570" r:id="rId568" tooltip="🔗 Ver Mapa" display="🔗 Ver Mapa"/>
    <hyperlink ref="L571" r:id="rId569" tooltip="🔗 Ver Mapa" display="🔗 Ver Mapa"/>
    <hyperlink ref="L572" r:id="rId570" tooltip="🔗 Ver Mapa" display="🔗 Ver Mapa"/>
    <hyperlink ref="L573" r:id="rId571" tooltip="🔗 Ver Mapa" display="🔗 Ver Mapa"/>
    <hyperlink ref="L574" r:id="rId572" tooltip="🔗 Ver Mapa" display="🔗 Ver Mapa"/>
    <hyperlink ref="L575" r:id="rId573" tooltip="🔗 Ver Mapa" display="🔗 Ver Mapa"/>
    <hyperlink ref="L576" r:id="rId574" tooltip="🔗 Ver Mapa" display="🔗 Ver Mapa"/>
    <hyperlink ref="L577" r:id="rId575" tooltip="🔗 Ver Mapa" display="🔗 Ver Mapa"/>
    <hyperlink ref="L578" r:id="rId576" tooltip="🔗 Ver Mapa" display="🔗 Ver Mapa"/>
    <hyperlink ref="L579" r:id="rId577" tooltip="🔗 Ver Mapa" display="🔗 Ver Mapa"/>
    <hyperlink ref="L580" r:id="rId578" tooltip="🔗 Ver Mapa" display="🔗 Ver Mapa"/>
    <hyperlink ref="L581" r:id="rId579" tooltip="🔗 Ver Mapa" display="🔗 Ver Mapa"/>
    <hyperlink ref="L582" r:id="rId580" tooltip="🔗 Ver Mapa" display="🔗 Ver Mapa"/>
    <hyperlink ref="L583" r:id="rId581" tooltip="🔗 Ver Mapa" display="🔗 Ver Mapa"/>
    <hyperlink ref="L584" r:id="rId582" tooltip="🔗 Ver Mapa" display="🔗 Ver Mapa"/>
    <hyperlink ref="L585" r:id="rId583" tooltip="🔗 Ver Mapa" display="🔗 Ver Mapa"/>
    <hyperlink ref="L586" r:id="rId584" tooltip="🔗 Ver Mapa" display="🔗 Ver Mapa"/>
    <hyperlink ref="L587" r:id="rId585" tooltip="🔗 Ver Mapa" display="🔗 Ver Mapa"/>
    <hyperlink ref="L588" r:id="rId586" tooltip="🔗 Ver Mapa" display="🔗 Ver Mapa"/>
    <hyperlink ref="L589" r:id="rId587" tooltip="🔗 Ver Mapa" display="🔗 Ver Mapa"/>
    <hyperlink ref="L590" r:id="rId588" tooltip="🔗 Ver Mapa" display="🔗 Ver Mapa"/>
    <hyperlink ref="L591" r:id="rId589" tooltip="🔗 Ver Mapa" display="🔗 Ver Mapa"/>
    <hyperlink ref="L592" r:id="rId590" tooltip="🔗 Ver Mapa" display="🔗 Ver Mapa"/>
    <hyperlink ref="L593" r:id="rId591" tooltip="🔗 Ver Mapa" display="🔗 Ver Mapa"/>
    <hyperlink ref="L594" r:id="rId592" tooltip="🔗 Ver Mapa" display="🔗 Ver Mapa"/>
    <hyperlink ref="L595" r:id="rId593" tooltip="🔗 Ver Mapa" display="🔗 Ver Mapa"/>
    <hyperlink ref="L596" r:id="rId594" tooltip="🔗 Ver Mapa" display="🔗 Ver Mapa"/>
    <hyperlink ref="L597" r:id="rId595" tooltip="🔗 Ver Mapa" display="🔗 Ver Mapa"/>
    <hyperlink ref="L598" r:id="rId596" tooltip="🔗 Ver Mapa" display="🔗 Ver Mapa"/>
    <hyperlink ref="L599" r:id="rId597" tooltip="🔗 Ver Mapa" display="🔗 Ver Mapa"/>
    <hyperlink ref="L600" r:id="rId598" tooltip="🔗 Ver Mapa" display="🔗 Ver Mapa"/>
    <hyperlink ref="L601" r:id="rId599" tooltip="🔗 Ver Mapa" display="🔗 Ver Mapa"/>
    <hyperlink ref="L602" r:id="rId600" tooltip="🔗 Ver Mapa" display="🔗 Ver Mapa"/>
    <hyperlink ref="L603" r:id="rId601" tooltip="🔗 Ver Mapa" display="🔗 Ver Mapa"/>
    <hyperlink ref="L604" r:id="rId602" tooltip="🔗 Ver Mapa" display="🔗 Ver Mapa"/>
    <hyperlink ref="L605" r:id="rId603" tooltip="🔗 Ver Mapa" display="🔗 Ver Mapa"/>
    <hyperlink ref="L606" r:id="rId604" tooltip="🔗 Ver Mapa" display="🔗 Ver Mapa"/>
    <hyperlink ref="L607" r:id="rId605" tooltip="🔗 Ver Mapa" display="🔗 Ver Mapa"/>
    <hyperlink ref="L608" r:id="rId606" tooltip="🔗 Ver Mapa" display="🔗 Ver Mapa"/>
    <hyperlink ref="L609" r:id="rId607" tooltip="🔗 Ver Mapa" display="🔗 Ver Mapa"/>
    <hyperlink ref="L610" r:id="rId608" tooltip="🔗 Ver Mapa" display="🔗 Ver Mapa"/>
    <hyperlink ref="L611" r:id="rId609" tooltip="🔗 Ver Mapa" display="🔗 Ver Mapa"/>
    <hyperlink ref="L612" r:id="rId610" tooltip="🔗 Ver Mapa" display="🔗 Ver Mapa"/>
    <hyperlink ref="L613" r:id="rId611" tooltip="🔗 Ver Mapa" display="🔗 Ver Mapa"/>
    <hyperlink ref="L614" r:id="rId612" tooltip="🔗 Ver Mapa" display="🔗 Ver Mapa"/>
    <hyperlink ref="L615" r:id="rId613" tooltip="🔗 Ver Mapa" display="🔗 Ver Mapa"/>
    <hyperlink ref="L616" r:id="rId614" tooltip="🔗 Ver Mapa" display="🔗 Ver Mapa"/>
    <hyperlink ref="L617" r:id="rId615" tooltip="🔗 Ver Mapa" display="🔗 Ver Mapa"/>
    <hyperlink ref="L618" r:id="rId616" tooltip="🔗 Ver Mapa" display="🔗 Ver Mapa"/>
    <hyperlink ref="L619" r:id="rId617" tooltip="🔗 Ver Mapa" display="🔗 Ver Mapa"/>
    <hyperlink ref="L620" r:id="rId618" tooltip="🔗 Ver Mapa" display="🔗 Ver Mapa"/>
    <hyperlink ref="L621" r:id="rId619" tooltip="🔗 Ver Mapa" display="🔗 Ver Mapa"/>
    <hyperlink ref="L622" r:id="rId620" tooltip="🔗 Ver Mapa" display="🔗 Ver Mapa"/>
    <hyperlink ref="L623" r:id="rId621" tooltip="🔗 Ver Mapa" display="🔗 Ver Mapa"/>
    <hyperlink ref="L624" r:id="rId622" tooltip="🔗 Ver Mapa" display="🔗 Ver Mapa"/>
    <hyperlink ref="L625" r:id="rId623" tooltip="🔗 Ver Mapa" display="🔗 Ver Mapa"/>
    <hyperlink ref="L626" r:id="rId624" tooltip="🔗 Ver Mapa" display="🔗 Ver Mapa"/>
    <hyperlink ref="L627" r:id="rId625" tooltip="🔗 Ver Mapa" display="🔗 Ver Mapa"/>
    <hyperlink ref="L628" r:id="rId626" tooltip="🔗 Ver Mapa" display="🔗 Ver Mapa"/>
    <hyperlink ref="L629" r:id="rId627" tooltip="🔗 Ver Mapa" display="🔗 Ver Mapa"/>
    <hyperlink ref="L630" r:id="rId628" tooltip="🔗 Ver Mapa" display="🔗 Ver Mapa"/>
    <hyperlink ref="L631" r:id="rId629" tooltip="🔗 Ver Mapa" display="🔗 Ver Mapa"/>
    <hyperlink ref="L632" r:id="rId630" tooltip="🔗 Ver Mapa" display="🔗 Ver Mapa"/>
    <hyperlink ref="L633" r:id="rId631" tooltip="🔗 Ver Mapa" display="🔗 Ver Mapa"/>
    <hyperlink ref="L634" r:id="rId632" tooltip="🔗 Ver Mapa" display="🔗 Ver Mapa"/>
    <hyperlink ref="L635" r:id="rId633" tooltip="🔗 Ver Mapa" display="🔗 Ver Mapa"/>
    <hyperlink ref="L636" r:id="rId634" tooltip="🔗 Ver Mapa" display="🔗 Ver Mapa"/>
    <hyperlink ref="L637" r:id="rId635" tooltip="🔗 Ver Mapa" display="🔗 Ver Mapa"/>
    <hyperlink ref="L638" r:id="rId636" tooltip="🔗 Ver Mapa" display="🔗 Ver Mapa"/>
    <hyperlink ref="L639" r:id="rId637" tooltip="🔗 Ver Mapa" display="🔗 Ver Mapa"/>
    <hyperlink ref="L640" r:id="rId638" tooltip="🔗 Ver Mapa" display="🔗 Ver Mapa"/>
    <hyperlink ref="L641" r:id="rId639" tooltip="🔗 Ver Mapa" display="🔗 Ver Mapa"/>
    <hyperlink ref="L642" r:id="rId640" tooltip="🔗 Ver Mapa" display="🔗 Ver Mapa"/>
    <hyperlink ref="L643" r:id="rId641" tooltip="🔗 Ver Mapa" display="🔗 Ver Mapa"/>
    <hyperlink ref="L644" r:id="rId642" tooltip="🔗 Ver Mapa" display="🔗 Ver Mapa"/>
    <hyperlink ref="L645" r:id="rId643" tooltip="🔗 Ver Mapa" display="🔗 Ver Mapa"/>
    <hyperlink ref="L646" r:id="rId644" tooltip="🔗 Ver Mapa" display="🔗 Ver Mapa"/>
    <hyperlink ref="L647" r:id="rId645" tooltip="🔗 Ver Mapa" display="🔗 Ver Mapa"/>
    <hyperlink ref="L648" r:id="rId646" tooltip="🔗 Ver Mapa" display="🔗 Ver Mapa"/>
    <hyperlink ref="L649" r:id="rId647" tooltip="🔗 Ver Mapa" display="🔗 Ver Mapa"/>
    <hyperlink ref="L650" r:id="rId648" tooltip="🔗 Ver Mapa" display="🔗 Ver Mapa"/>
    <hyperlink ref="L651" r:id="rId649" tooltip="🔗 Ver Mapa" display="🔗 Ver Mapa"/>
    <hyperlink ref="L652" r:id="rId650" tooltip="🔗 Ver Mapa" display="🔗 Ver Mapa"/>
    <hyperlink ref="L653" r:id="rId651" tooltip="🔗 Ver Mapa" display="🔗 Ver Mapa"/>
    <hyperlink ref="L654" r:id="rId652" tooltip="🔗 Ver Mapa" display="🔗 Ver Mapa"/>
    <hyperlink ref="L655" r:id="rId653" tooltip="🔗 Ver Mapa" display="🔗 Ver Mapa"/>
    <hyperlink ref="L656" r:id="rId654" tooltip="🔗 Ver Mapa" display="🔗 Ver Mapa"/>
    <hyperlink ref="L657" r:id="rId655" tooltip="🔗 Ver Mapa" display="🔗 Ver Mapa"/>
    <hyperlink ref="L658" r:id="rId656" tooltip="🔗 Ver Mapa" display="🔗 Ver Mapa"/>
    <hyperlink ref="L659" r:id="rId657" tooltip="🔗 Ver Mapa" display="🔗 Ver Mapa"/>
    <hyperlink ref="L660" r:id="rId658" tooltip="🔗 Ver Mapa" display="🔗 Ver Mapa"/>
    <hyperlink ref="L661" r:id="rId659" tooltip="🔗 Ver Mapa" display="🔗 Ver Mapa"/>
    <hyperlink ref="L662" r:id="rId660" tooltip="🔗 Ver Mapa" display="🔗 Ver Mapa"/>
    <hyperlink ref="L663" r:id="rId661" tooltip="🔗 Ver Mapa" display="🔗 Ver Mapa"/>
    <hyperlink ref="L664" r:id="rId662" tooltip="🔗 Ver Mapa" display="🔗 Ver Mapa"/>
    <hyperlink ref="L665" r:id="rId663" tooltip="🔗 Ver Mapa" display="🔗 Ver Mapa"/>
    <hyperlink ref="L666" r:id="rId664" tooltip="🔗 Ver Mapa" display="🔗 Ver Mapa"/>
    <hyperlink ref="L667" r:id="rId665" tooltip="🔗 Ver Mapa" display="🔗 Ver Mapa"/>
    <hyperlink ref="L668" r:id="rId666" tooltip="🔗 Ver Mapa" display="🔗 Ver Mapa"/>
    <hyperlink ref="L669" r:id="rId667" tooltip="🔗 Ver Mapa" display="🔗 Ver Mapa"/>
    <hyperlink ref="L670" r:id="rId668" tooltip="🔗 Ver Mapa" display="🔗 Ver Mapa"/>
    <hyperlink ref="L671" r:id="rId669" tooltip="🔗 Ver Mapa" display="🔗 Ver Mapa"/>
    <hyperlink ref="L672" r:id="rId670" tooltip="🔗 Ver Mapa" display="🔗 Ver Mapa"/>
    <hyperlink ref="L673" r:id="rId671" tooltip="🔗 Ver Mapa" display="🔗 Ver Mapa"/>
    <hyperlink ref="L674" r:id="rId672" tooltip="🔗 Ver Mapa" display="🔗 Ver Mapa"/>
    <hyperlink ref="L675" r:id="rId673" tooltip="🔗 Ver Mapa" display="🔗 Ver Mapa"/>
    <hyperlink ref="L676" r:id="rId674" tooltip="🔗 Ver Mapa" display="🔗 Ver Mapa"/>
    <hyperlink ref="L677" r:id="rId675" tooltip="🔗 Ver Mapa" display="🔗 Ver Mapa"/>
    <hyperlink ref="L678" r:id="rId676" tooltip="🔗 Ver Mapa" display="🔗 Ver Mapa"/>
    <hyperlink ref="L679" r:id="rId677" tooltip="🔗 Ver Mapa" display="🔗 Ver Mapa"/>
    <hyperlink ref="L680" r:id="rId678" tooltip="🔗 Ver Mapa" display="🔗 Ver Mapa"/>
    <hyperlink ref="L681" r:id="rId679" tooltip="🔗 Ver Mapa" display="🔗 Ver Mapa"/>
    <hyperlink ref="L682" r:id="rId680" tooltip="🔗 Ver Mapa" display="🔗 Ver Mapa"/>
    <hyperlink ref="L683" r:id="rId681" tooltip="🔗 Ver Mapa" display="🔗 Ver Mapa"/>
    <hyperlink ref="L684" r:id="rId682" tooltip="🔗 Ver Mapa" display="🔗 Ver Mapa"/>
    <hyperlink ref="L685" r:id="rId683" tooltip="🔗 Ver Mapa" display="🔗 Ver Mapa"/>
    <hyperlink ref="L686" r:id="rId684" tooltip="🔗 Ver Mapa" display="🔗 Ver Mapa"/>
    <hyperlink ref="L687" r:id="rId685" tooltip="🔗 Ver Mapa" display="🔗 Ver Mapa"/>
    <hyperlink ref="L688" r:id="rId686" tooltip="🔗 Ver Mapa" display="🔗 Ver Mapa"/>
    <hyperlink ref="L689" r:id="rId687" tooltip="🔗 Ver Mapa" display="🔗 Ver Mapa"/>
    <hyperlink ref="L690" r:id="rId688" tooltip="🔗 Ver Mapa" display="🔗 Ver Mapa"/>
    <hyperlink ref="L691" r:id="rId689" tooltip="🔗 Ver Mapa" display="🔗 Ver Mapa"/>
    <hyperlink ref="L692" r:id="rId690" tooltip="🔗 Ver Mapa" display="🔗 Ver Mapa"/>
    <hyperlink ref="L693" r:id="rId691" tooltip="🔗 Ver Mapa" display="🔗 Ver Mapa"/>
    <hyperlink ref="L694" r:id="rId692" tooltip="🔗 Ver Mapa" display="🔗 Ver Mapa"/>
    <hyperlink ref="L695" r:id="rId693" tooltip="🔗 Ver Mapa" display="🔗 Ver Mapa"/>
    <hyperlink ref="L696" r:id="rId694" tooltip="🔗 Ver Mapa" display="🔗 Ver Mapa"/>
    <hyperlink ref="L697" r:id="rId695" tooltip="🔗 Ver Mapa" display="🔗 Ver Mapa"/>
    <hyperlink ref="L698" r:id="rId696" tooltip="🔗 Ver Mapa" display="🔗 Ver Mapa"/>
    <hyperlink ref="L699" r:id="rId697" tooltip="🔗 Ver Mapa" display="🔗 Ver Mapa"/>
    <hyperlink ref="L700" r:id="rId698" tooltip="🔗 Ver Mapa" display="🔗 Ver Mapa"/>
    <hyperlink ref="L701" r:id="rId699" tooltip="🔗 Ver Mapa" display="🔗 Ver Mapa"/>
    <hyperlink ref="L702" r:id="rId700" tooltip="🔗 Ver Mapa" display="🔗 Ver Mapa"/>
    <hyperlink ref="L703" r:id="rId701" tooltip="🔗 Ver Mapa" display="🔗 Ver Mapa"/>
    <hyperlink ref="L704" r:id="rId702" tooltip="🔗 Ver Mapa" display="🔗 Ver Mapa"/>
    <hyperlink ref="L705" r:id="rId703" tooltip="🔗 Ver Mapa" display="🔗 Ver Mapa"/>
    <hyperlink ref="L706" r:id="rId704" tooltip="🔗 Ver Mapa" display="🔗 Ver Mapa"/>
    <hyperlink ref="L707" r:id="rId705" tooltip="🔗 Ver Mapa" display="🔗 Ver Mapa"/>
    <hyperlink ref="L708" r:id="rId706" tooltip="🔗 Ver Mapa" display="🔗 Ver Mapa"/>
    <hyperlink ref="L709" r:id="rId707" tooltip="🔗 Ver Mapa" display="🔗 Ver Mapa"/>
    <hyperlink ref="L710" r:id="rId708" tooltip="🔗 Ver Mapa" display="🔗 Ver Mapa"/>
    <hyperlink ref="L711" r:id="rId709" tooltip="🔗 Ver Mapa" display="🔗 Ver Mapa"/>
    <hyperlink ref="L712" r:id="rId710" tooltip="🔗 Ver Mapa" display="🔗 Ver Mapa"/>
    <hyperlink ref="L713" r:id="rId711" tooltip="🔗 Ver Mapa" display="🔗 Ver Mapa"/>
    <hyperlink ref="L714" r:id="rId712" tooltip="🔗 Ver Mapa" display="🔗 Ver Mapa"/>
    <hyperlink ref="L715" r:id="rId713" tooltip="🔗 Ver Mapa" display="🔗 Ver Mapa"/>
    <hyperlink ref="L716" r:id="rId714" tooltip="🔗 Ver Mapa" display="🔗 Ver Mapa"/>
    <hyperlink ref="L717" r:id="rId715" tooltip="🔗 Ver Mapa" display="🔗 Ver Mapa"/>
    <hyperlink ref="L718" r:id="rId716" tooltip="🔗 Ver Mapa" display="🔗 Ver Mapa"/>
    <hyperlink ref="L719" r:id="rId717" tooltip="🔗 Ver Mapa" display="🔗 Ver Mapa"/>
    <hyperlink ref="L720" r:id="rId718" tooltip="🔗 Ver Mapa" display="🔗 Ver Mapa"/>
    <hyperlink ref="L721" r:id="rId719" tooltip="🔗 Ver Mapa" display="🔗 Ver Mapa"/>
    <hyperlink ref="L722" r:id="rId720" tooltip="🔗 Ver Mapa" display="🔗 Ver Mapa"/>
    <hyperlink ref="L723" r:id="rId721" tooltip="🔗 Ver Mapa" display="🔗 Ver Mapa"/>
    <hyperlink ref="L724" r:id="rId722" tooltip="🔗 Ver Mapa" display="🔗 Ver Mapa"/>
    <hyperlink ref="L725" r:id="rId723" tooltip="🔗 Ver Mapa" display="🔗 Ver Mapa"/>
    <hyperlink ref="L726" r:id="rId724" tooltip="🔗 Ver Mapa" display="🔗 Ver Mapa"/>
    <hyperlink ref="L727" r:id="rId725" tooltip="🔗 Ver Mapa" display="🔗 Ver Mapa"/>
    <hyperlink ref="L728" r:id="rId726" tooltip="🔗 Ver Mapa" display="🔗 Ver Mapa"/>
    <hyperlink ref="L729" r:id="rId727" tooltip="🔗 Ver Mapa" display="🔗 Ver Mapa"/>
    <hyperlink ref="L730" r:id="rId728" tooltip="🔗 Ver Mapa" display="🔗 Ver Mapa"/>
    <hyperlink ref="L731" r:id="rId729" tooltip="🔗 Ver Mapa" display="🔗 Ver Mapa"/>
    <hyperlink ref="L732" r:id="rId730" tooltip="🔗 Ver Mapa" display="🔗 Ver Mapa"/>
    <hyperlink ref="L733" r:id="rId731" tooltip="🔗 Ver Mapa" display="🔗 Ver Mapa"/>
    <hyperlink ref="L734" r:id="rId732" tooltip="🔗 Ver Mapa" display="🔗 Ver Mapa"/>
    <hyperlink ref="L735" r:id="rId733" tooltip="🔗 Ver Mapa" display="🔗 Ver Mapa"/>
    <hyperlink ref="L736" r:id="rId734" tooltip="🔗 Ver Mapa" display="🔗 Ver Mapa"/>
    <hyperlink ref="L737" r:id="rId735" tooltip="🔗 Ver Mapa" display="🔗 Ver Mapa"/>
    <hyperlink ref="L738" r:id="rId736" tooltip="🔗 Ver Mapa" display="🔗 Ver Mapa"/>
    <hyperlink ref="L739" r:id="rId737" tooltip="🔗 Ver Mapa" display="🔗 Ver Mapa"/>
    <hyperlink ref="L740" r:id="rId738" tooltip="🔗 Ver Mapa" display="🔗 Ver Mapa"/>
    <hyperlink ref="L741" r:id="rId739" tooltip="🔗 Ver Mapa" display="🔗 Ver Mapa"/>
    <hyperlink ref="L742" r:id="rId740" tooltip="🔗 Ver Mapa" display="🔗 Ver Mapa"/>
    <hyperlink ref="L743" r:id="rId741" tooltip="🔗 Ver Mapa" display="🔗 Ver Mapa"/>
    <hyperlink ref="L744" r:id="rId742" tooltip="🔗 Ver Mapa" display="🔗 Ver Mapa"/>
    <hyperlink ref="L745" r:id="rId743" tooltip="🔗 Ver Mapa" display="🔗 Ver Mapa"/>
    <hyperlink ref="L746" r:id="rId744" tooltip="🔗 Ver Mapa" display="🔗 Ver Mapa"/>
    <hyperlink ref="L747" r:id="rId745" tooltip="🔗 Ver Mapa" display="🔗 Ver Mapa"/>
    <hyperlink ref="L748" r:id="rId746" tooltip="🔗 Ver Mapa" display="🔗 Ver Mapa"/>
    <hyperlink ref="L749" r:id="rId747" tooltip="🔗 Ver Mapa" display="🔗 Ver Mapa"/>
    <hyperlink ref="L750" r:id="rId748" tooltip="🔗 Ver Mapa" display="🔗 Ver Mapa"/>
    <hyperlink ref="L751" r:id="rId749" tooltip="🔗 Ver Mapa" display="🔗 Ver Mapa"/>
    <hyperlink ref="L752" r:id="rId750" tooltip="🔗 Ver Mapa" display="🔗 Ver Mapa"/>
    <hyperlink ref="L753" r:id="rId751" tooltip="🔗 Ver Mapa" display="🔗 Ver Mapa"/>
    <hyperlink ref="L754" r:id="rId752" tooltip="🔗 Ver Mapa" display="🔗 Ver Mapa"/>
    <hyperlink ref="L755" r:id="rId753" tooltip="🔗 Ver Mapa" display="🔗 Ver Mapa"/>
    <hyperlink ref="L756" r:id="rId754" tooltip="🔗 Ver Mapa" display="🔗 Ver Mapa"/>
    <hyperlink ref="L757" r:id="rId755" tooltip="🔗 Ver Mapa" display="🔗 Ver Mapa"/>
    <hyperlink ref="L758" r:id="rId756" tooltip="🔗 Ver Mapa" display="🔗 Ver Mapa"/>
    <hyperlink ref="L759" r:id="rId757" tooltip="🔗 Ver Mapa" display="🔗 Ver Mapa"/>
    <hyperlink ref="L760" r:id="rId758" tooltip="🔗 Ver Mapa" display="🔗 Ver Mapa"/>
    <hyperlink ref="L761" r:id="rId759" tooltip="🔗 Ver Mapa" display="🔗 Ver Mapa"/>
    <hyperlink ref="L762" r:id="rId760" tooltip="🔗 Ver Mapa" display="🔗 Ver Mapa"/>
    <hyperlink ref="L763" r:id="rId761" tooltip="🔗 Ver Mapa" display="🔗 Ver Mapa"/>
    <hyperlink ref="L764" r:id="rId762" tooltip="🔗 Ver Mapa" display="🔗 Ver Mapa"/>
    <hyperlink ref="L765" r:id="rId763" tooltip="🔗 Ver Mapa" display="🔗 Ver Mapa"/>
    <hyperlink ref="L766" r:id="rId764" tooltip="🔗 Ver Mapa" display="🔗 Ver Mapa"/>
    <hyperlink ref="L767" r:id="rId765" tooltip="🔗 Ver Mapa" display="🔗 Ver Mapa"/>
    <hyperlink ref="L768" r:id="rId766" tooltip="🔗 Ver Mapa" display="🔗 Ver Mapa"/>
    <hyperlink ref="L769" r:id="rId767" tooltip="🔗 Ver Mapa" display="🔗 Ver Mapa"/>
    <hyperlink ref="L770" r:id="rId768" tooltip="🔗 Ver Mapa" display="🔗 Ver Mapa"/>
    <hyperlink ref="L771" r:id="rId769" tooltip="🔗 Ver Mapa" display="🔗 Ver Mapa"/>
    <hyperlink ref="L772" r:id="rId770" tooltip="🔗 Ver Mapa" display="🔗 Ver Mapa"/>
    <hyperlink ref="L773" r:id="rId771" tooltip="🔗 Ver Mapa" display="🔗 Ver Mapa"/>
    <hyperlink ref="L774" r:id="rId772" tooltip="🔗 Ver Mapa" display="🔗 Ver Mapa"/>
    <hyperlink ref="L775" r:id="rId773" tooltip="🔗 Ver Mapa" display="🔗 Ver Mapa"/>
    <hyperlink ref="L776" r:id="rId774" tooltip="🔗 Ver Mapa" display="🔗 Ver Mapa"/>
    <hyperlink ref="L777" r:id="rId775" tooltip="🔗 Ver Mapa" display="🔗 Ver Mapa"/>
    <hyperlink ref="L778" r:id="rId776" tooltip="🔗 Ver Mapa" display="🔗 Ver Mapa"/>
    <hyperlink ref="L779" r:id="rId777" tooltip="🔗 Ver Mapa" display="🔗 Ver Mapa"/>
    <hyperlink ref="L780" r:id="rId778" tooltip="🔗 Ver Mapa" display="🔗 Ver Mapa"/>
    <hyperlink ref="L781" r:id="rId779" tooltip="🔗 Ver Mapa" display="🔗 Ver Mapa"/>
    <hyperlink ref="L782" r:id="rId780" tooltip="🔗 Ver Mapa" display="🔗 Ver Mapa"/>
    <hyperlink ref="L783" r:id="rId781" tooltip="🔗 Ver Mapa" display="🔗 Ver Mapa"/>
    <hyperlink ref="L784" r:id="rId782" tooltip="🔗 Ver Mapa" display="🔗 Ver Mapa"/>
    <hyperlink ref="L785" r:id="rId783" tooltip="🔗 Ver Mapa" display="🔗 Ver Mapa"/>
    <hyperlink ref="L786" r:id="rId784" tooltip="🔗 Ver Mapa" display="🔗 Ver Mapa"/>
    <hyperlink ref="L787" r:id="rId785" tooltip="🔗 Ver Mapa" display="🔗 Ver Mapa"/>
    <hyperlink ref="L788" r:id="rId786" tooltip="🔗 Ver Mapa" display="🔗 Ver Mapa"/>
    <hyperlink ref="L789" r:id="rId787" tooltip="🔗 Ver Mapa" display="🔗 Ver Mapa"/>
    <hyperlink ref="L790" r:id="rId788" tooltip="🔗 Ver Mapa" display="🔗 Ver Mapa"/>
    <hyperlink ref="L791" r:id="rId789" tooltip="🔗 Ver Mapa" display="🔗 Ver Mapa"/>
    <hyperlink ref="L792" r:id="rId790" tooltip="🔗 Ver Mapa" display="🔗 Ver Mapa"/>
    <hyperlink ref="L793" r:id="rId791" tooltip="🔗 Ver Mapa" display="🔗 Ver Mapa"/>
    <hyperlink ref="L794" r:id="rId792" tooltip="🔗 Ver Mapa" display="🔗 Ver Mapa"/>
    <hyperlink ref="L795" r:id="rId793" tooltip="🔗 Ver Mapa" display="🔗 Ver Mapa"/>
    <hyperlink ref="L796" r:id="rId794" tooltip="🔗 Ver Mapa" display="🔗 Ver Mapa"/>
    <hyperlink ref="L797" r:id="rId795" tooltip="🔗 Ver Mapa" display="🔗 Ver Mapa"/>
    <hyperlink ref="L798" r:id="rId796" tooltip="🔗 Ver Mapa" display="🔗 Ver Mapa"/>
    <hyperlink ref="L799" r:id="rId797" tooltip="🔗 Ver Mapa" display="🔗 Ver Mapa"/>
    <hyperlink ref="L800" r:id="rId798" tooltip="🔗 Ver Mapa" display="🔗 Ver Mapa"/>
    <hyperlink ref="L801" r:id="rId799" tooltip="🔗 Ver Mapa" display="🔗 Ver Mapa"/>
    <hyperlink ref="L802" r:id="rId800" tooltip="🔗 Ver Mapa" display="🔗 Ver Mapa"/>
    <hyperlink ref="L803" r:id="rId801" tooltip="🔗 Ver Mapa" display="🔗 Ver Mapa"/>
    <hyperlink ref="L804" r:id="rId802" tooltip="🔗 Ver Mapa" display="🔗 Ver Mapa"/>
    <hyperlink ref="L805" r:id="rId803" tooltip="🔗 Ver Mapa" display="🔗 Ver Mapa"/>
    <hyperlink ref="L806" r:id="rId804" tooltip="🔗 Ver Mapa" display="🔗 Ver Mapa"/>
    <hyperlink ref="L807" r:id="rId805" tooltip="🔗 Ver Mapa" display="🔗 Ver Mapa"/>
    <hyperlink ref="L808" r:id="rId806" tooltip="🔗 Ver Mapa" display="🔗 Ver Mapa"/>
    <hyperlink ref="L809" r:id="rId807" tooltip="🔗 Ver Mapa" display="🔗 Ver Mapa"/>
    <hyperlink ref="L810" r:id="rId808" tooltip="🔗 Ver Mapa" display="🔗 Ver Mapa"/>
    <hyperlink ref="L811" r:id="rId809" tooltip="🔗 Ver Mapa" display="🔗 Ver Mapa"/>
    <hyperlink ref="L812" r:id="rId810" tooltip="🔗 Ver Mapa" display="🔗 Ver Mapa"/>
    <hyperlink ref="L813" r:id="rId811" tooltip="🔗 Ver Mapa" display="🔗 Ver Mapa"/>
    <hyperlink ref="L814" r:id="rId812" tooltip="🔗 Ver Mapa" display="🔗 Ver Mapa"/>
    <hyperlink ref="L815" r:id="rId813" tooltip="🔗 Ver Mapa" display="🔗 Ver Mapa"/>
    <hyperlink ref="L816" r:id="rId814" tooltip="🔗 Ver Mapa" display="🔗 Ver Mapa"/>
    <hyperlink ref="L817" r:id="rId815" tooltip="🔗 Ver Mapa" display="🔗 Ver Mapa"/>
    <hyperlink ref="L818" r:id="rId816" tooltip="🔗 Ver Mapa" display="🔗 Ver Mapa"/>
    <hyperlink ref="L819" r:id="rId817" tooltip="🔗 Ver Mapa" display="🔗 Ver Mapa"/>
    <hyperlink ref="L820" r:id="rId818" tooltip="🔗 Ver Mapa" display="🔗 Ver Mapa"/>
    <hyperlink ref="L821" r:id="rId819" tooltip="🔗 Ver Mapa" display="🔗 Ver Mapa"/>
    <hyperlink ref="L822" r:id="rId820" tooltip="🔗 Ver Mapa" display="🔗 Ver Mapa"/>
    <hyperlink ref="L823" r:id="rId821" tooltip="🔗 Ver Mapa" display="🔗 Ver Mapa"/>
    <hyperlink ref="L824" r:id="rId822" tooltip="🔗 Ver Mapa" display="🔗 Ver Mapa"/>
    <hyperlink ref="L825" r:id="rId823" tooltip="🔗 Ver Mapa" display="🔗 Ver Mapa"/>
    <hyperlink ref="L826" r:id="rId824" tooltip="🔗 Ver Mapa" display="🔗 Ver Mapa"/>
    <hyperlink ref="L827" r:id="rId825" tooltip="🔗 Ver Mapa" display="🔗 Ver Mapa"/>
    <hyperlink ref="L828" r:id="rId826" tooltip="🔗 Ver Mapa" display="🔗 Ver Mapa"/>
    <hyperlink ref="L829" r:id="rId827" tooltip="🔗 Ver Mapa" display="🔗 Ver Mapa"/>
    <hyperlink ref="L830" r:id="rId828" tooltip="🔗 Ver Mapa" display="🔗 Ver Mapa"/>
    <hyperlink ref="L831" r:id="rId829" tooltip="🔗 Ver Mapa" display="🔗 Ver Mapa"/>
    <hyperlink ref="L832" r:id="rId830" tooltip="🔗 Ver Mapa" display="🔗 Ver Mapa"/>
    <hyperlink ref="L833" r:id="rId831" tooltip="🔗 Ver Mapa" display="🔗 Ver Mapa"/>
    <hyperlink ref="L834" r:id="rId832" tooltip="🔗 Ver Mapa" display="🔗 Ver Mapa"/>
    <hyperlink ref="L835" r:id="rId833" tooltip="🔗 Ver Mapa" display="🔗 Ver Mapa"/>
    <hyperlink ref="L836" r:id="rId834" tooltip="🔗 Ver Mapa" display="🔗 Ver Mapa"/>
    <hyperlink ref="L837" r:id="rId835" tooltip="🔗 Ver Mapa" display="🔗 Ver Mapa"/>
    <hyperlink ref="L838" r:id="rId836" tooltip="🔗 Ver Mapa" display="🔗 Ver Mapa"/>
    <hyperlink ref="L839" r:id="rId837" tooltip="🔗 Ver Mapa" display="🔗 Ver Mapa"/>
    <hyperlink ref="L840" r:id="rId838" tooltip="🔗 Ver Mapa" display="🔗 Ver Mapa"/>
    <hyperlink ref="L841" r:id="rId839" tooltip="🔗 Ver Mapa" display="🔗 Ver Mapa"/>
    <hyperlink ref="L842" r:id="rId840" tooltip="🔗 Ver Mapa" display="🔗 Ver Mapa"/>
    <hyperlink ref="L843" r:id="rId841" tooltip="🔗 Ver Mapa" display="🔗 Ver Mapa"/>
    <hyperlink ref="L844" r:id="rId842" tooltip="🔗 Ver Mapa" display="🔗 Ver Mapa"/>
    <hyperlink ref="L845" r:id="rId843" tooltip="🔗 Ver Mapa" display="🔗 Ver Mapa"/>
    <hyperlink ref="L846" r:id="rId844" tooltip="🔗 Ver Mapa" display="🔗 Ver Mapa"/>
    <hyperlink ref="L847" r:id="rId845" tooltip="🔗 Ver Mapa" display="🔗 Ver Mapa"/>
    <hyperlink ref="L848" r:id="rId846" tooltip="🔗 Ver Mapa" display="🔗 Ver Mapa"/>
    <hyperlink ref="L849" r:id="rId847" tooltip="🔗 Ver Mapa" display="🔗 Ver Mapa"/>
    <hyperlink ref="L850" r:id="rId848" tooltip="🔗 Ver Mapa" display="🔗 Ver Mapa"/>
    <hyperlink ref="L851" r:id="rId849" tooltip="🔗 Ver Mapa" display="🔗 Ver Mapa"/>
    <hyperlink ref="L852" r:id="rId850" tooltip="🔗 Ver Mapa" display="🔗 Ver Mapa"/>
    <hyperlink ref="L853" r:id="rId851" tooltip="🔗 Ver Mapa" display="🔗 Ver Mapa"/>
    <hyperlink ref="L854" r:id="rId852" tooltip="🔗 Ver Mapa" display="🔗 Ver Mapa"/>
    <hyperlink ref="L855" r:id="rId853" tooltip="🔗 Ver Mapa" display="🔗 Ver Mapa"/>
    <hyperlink ref="L856" r:id="rId854" tooltip="🔗 Ver Mapa" display="🔗 Ver Mapa"/>
    <hyperlink ref="L857" r:id="rId855" tooltip="🔗 Ver Mapa" display="🔗 Ver Mapa"/>
    <hyperlink ref="L858" r:id="rId856" tooltip="🔗 Ver Mapa" display="🔗 Ver Mapa"/>
    <hyperlink ref="L859" r:id="rId857" tooltip="🔗 Ver Mapa" display="🔗 Ver Mapa"/>
    <hyperlink ref="L860" r:id="rId858" tooltip="🔗 Ver Mapa" display="🔗 Ver Mapa"/>
    <hyperlink ref="L861" r:id="rId859" tooltip="🔗 Ver Mapa" display="🔗 Ver Mapa"/>
    <hyperlink ref="L862" r:id="rId860" tooltip="🔗 Ver Mapa" display="🔗 Ver Mapa"/>
    <hyperlink ref="L863" r:id="rId861" tooltip="🔗 Ver Mapa" display="🔗 Ver Mapa"/>
    <hyperlink ref="L864" r:id="rId862" tooltip="🔗 Ver Mapa" display="🔗 Ver Mapa"/>
    <hyperlink ref="L865" r:id="rId863" tooltip="🔗 Ver Mapa" display="🔗 Ver Mapa"/>
    <hyperlink ref="L866" r:id="rId864" tooltip="🔗 Ver Mapa" display="🔗 Ver Mapa"/>
    <hyperlink ref="L867" r:id="rId865" tooltip="🔗 Ver Mapa" display="🔗 Ver Mapa"/>
    <hyperlink ref="L868" r:id="rId866" tooltip="🔗 Ver Mapa" display="🔗 Ver Mapa"/>
    <hyperlink ref="L869" r:id="rId867" tooltip="🔗 Ver Mapa" display="🔗 Ver Mapa"/>
    <hyperlink ref="L870" r:id="rId868" tooltip="🔗 Ver Mapa" display="🔗 Ver Mapa"/>
    <hyperlink ref="L871" r:id="rId869" tooltip="🔗 Ver Mapa" display="🔗 Ver Mapa"/>
    <hyperlink ref="L872" r:id="rId870" tooltip="🔗 Ver Mapa" display="🔗 Ver Mapa"/>
    <hyperlink ref="L873" r:id="rId871" tooltip="🔗 Ver Mapa" display="🔗 Ver Mapa"/>
    <hyperlink ref="L874" r:id="rId872" tooltip="🔗 Ver Mapa" display="🔗 Ver Mapa"/>
    <hyperlink ref="L875" r:id="rId873" tooltip="🔗 Ver Mapa" display="🔗 Ver Mapa"/>
    <hyperlink ref="L876" r:id="rId874" tooltip="🔗 Ver Mapa" display="🔗 Ver Mapa"/>
    <hyperlink ref="L877" r:id="rId875" tooltip="🔗 Ver Mapa" display="🔗 Ver Mapa"/>
    <hyperlink ref="L878" r:id="rId876" tooltip="🔗 Ver Mapa" display="🔗 Ver Mapa"/>
    <hyperlink ref="L879" r:id="rId877" tooltip="🔗 Ver Mapa" display="🔗 Ver Mapa"/>
    <hyperlink ref="L880" r:id="rId878" tooltip="🔗 Ver Mapa" display="🔗 Ver Mapa"/>
    <hyperlink ref="L881" r:id="rId879" tooltip="🔗 Ver Mapa" display="🔗 Ver Mapa"/>
    <hyperlink ref="L882" r:id="rId880" tooltip="🔗 Ver Mapa" display="🔗 Ver Mapa"/>
    <hyperlink ref="L883" r:id="rId881" tooltip="🔗 Ver Mapa" display="🔗 Ver Mapa"/>
    <hyperlink ref="L884" r:id="rId882" tooltip="🔗 Ver Mapa" display="🔗 Ver Mapa"/>
    <hyperlink ref="L885" r:id="rId883" tooltip="🔗 Ver Mapa" display="🔗 Ver Mapa"/>
    <hyperlink ref="L886" r:id="rId884" tooltip="🔗 Ver Mapa" display="🔗 Ver Mapa"/>
    <hyperlink ref="L887" r:id="rId885" tooltip="🔗 Ver Mapa" display="🔗 Ver Mapa"/>
    <hyperlink ref="L888" r:id="rId886" tooltip="🔗 Ver Mapa" display="🔗 Ver Mapa"/>
    <hyperlink ref="L889" r:id="rId887" tooltip="🔗 Ver Mapa" display="🔗 Ver Mapa"/>
    <hyperlink ref="L890" r:id="rId888" tooltip="🔗 Ver Mapa" display="🔗 Ver Mapa"/>
    <hyperlink ref="L891" r:id="rId889" tooltip="🔗 Ver Mapa" display="🔗 Ver Mapa"/>
    <hyperlink ref="L892" r:id="rId890" tooltip="🔗 Ver Mapa" display="🔗 Ver Mapa"/>
    <hyperlink ref="L893" r:id="rId891" tooltip="🔗 Ver Mapa" display="🔗 Ver Mapa"/>
    <hyperlink ref="L894" r:id="rId892" tooltip="🔗 Ver Mapa" display="🔗 Ver Mapa"/>
    <hyperlink ref="L895" r:id="rId893" tooltip="🔗 Ver Mapa" display="🔗 Ver Mapa"/>
    <hyperlink ref="L896" r:id="rId894" tooltip="🔗 Ver Mapa" display="🔗 Ver Mapa"/>
    <hyperlink ref="L897" r:id="rId895" tooltip="🔗 Ver Mapa" display="🔗 Ver Mapa"/>
    <hyperlink ref="L898" r:id="rId896" tooltip="🔗 Ver Mapa" display="🔗 Ver Mapa"/>
    <hyperlink ref="L899" r:id="rId897" tooltip="🔗 Ver Mapa" display="🔗 Ver Mapa"/>
    <hyperlink ref="L900" r:id="rId898" tooltip="🔗 Ver Mapa" display="🔗 Ver Mapa"/>
    <hyperlink ref="L901" r:id="rId899" tooltip="🔗 Ver Mapa" display="🔗 Ver Mapa"/>
    <hyperlink ref="L902" r:id="rId900" tooltip="🔗 Ver Mapa" display="🔗 Ver Mapa"/>
    <hyperlink ref="L903" r:id="rId901" tooltip="🔗 Ver Mapa" display="🔗 Ver Mapa"/>
    <hyperlink ref="L904" r:id="rId902" tooltip="🔗 Ver Mapa" display="🔗 Ver Mapa"/>
    <hyperlink ref="L905" r:id="rId903" tooltip="🔗 Ver Mapa" display="🔗 Ver Mapa"/>
    <hyperlink ref="L906" r:id="rId904" tooltip="🔗 Ver Mapa" display="🔗 Ver Mapa"/>
    <hyperlink ref="L907" r:id="rId905" tooltip="🔗 Ver Mapa" display="🔗 Ver Mapa"/>
    <hyperlink ref="L908" r:id="rId906" tooltip="🔗 Ver Mapa" display="🔗 Ver Mapa"/>
    <hyperlink ref="L909" r:id="rId907" tooltip="🔗 Ver Mapa" display="🔗 Ver Mapa"/>
    <hyperlink ref="L910" r:id="rId908" tooltip="🔗 Ver Mapa" display="🔗 Ver Mapa"/>
    <hyperlink ref="L911" r:id="rId909" tooltip="🔗 Ver Mapa" display="🔗 Ver Mapa"/>
    <hyperlink ref="L912" r:id="rId910" tooltip="🔗 Ver Mapa" display="🔗 Ver Mapa"/>
    <hyperlink ref="L913" r:id="rId911" tooltip="🔗 Ver Mapa" display="🔗 Ver Mapa"/>
    <hyperlink ref="L914" r:id="rId912" tooltip="🔗 Ver Mapa" display="🔗 Ver Mapa"/>
    <hyperlink ref="L915" r:id="rId913" tooltip="🔗 Ver Mapa" display="🔗 Ver Mapa"/>
    <hyperlink ref="L916" r:id="rId914" tooltip="🔗 Ver Mapa" display="🔗 Ver Mapa"/>
    <hyperlink ref="L917" r:id="rId915" tooltip="🔗 Ver Mapa" display="🔗 Ver Mapa"/>
    <hyperlink ref="L918" r:id="rId916" tooltip="🔗 Ver Mapa" display="🔗 Ver Mapa"/>
    <hyperlink ref="L919" r:id="rId917" tooltip="🔗 Ver Mapa" display="🔗 Ver Mapa"/>
    <hyperlink ref="L920" r:id="rId918" tooltip="🔗 Ver Mapa" display="🔗 Ver Mapa"/>
    <hyperlink ref="L921" r:id="rId919" tooltip="🔗 Ver Mapa" display="🔗 Ver Mapa"/>
    <hyperlink ref="L922" r:id="rId920" tooltip="🔗 Ver Mapa" display="🔗 Ver Mapa"/>
    <hyperlink ref="L923" r:id="rId921" tooltip="🔗 Ver Mapa" display="🔗 Ver Mapa"/>
    <hyperlink ref="L924" r:id="rId922" tooltip="🔗 Ver Mapa" display="🔗 Ver Mapa"/>
    <hyperlink ref="L925" r:id="rId923" tooltip="🔗 Ver Mapa" display="🔗 Ver Mapa"/>
    <hyperlink ref="L926" r:id="rId924" tooltip="🔗 Ver Mapa" display="🔗 Ver Mapa"/>
    <hyperlink ref="L927" r:id="rId925" tooltip="🔗 Ver Mapa" display="🔗 Ver Mapa"/>
    <hyperlink ref="L928" r:id="rId926" tooltip="🔗 Ver Mapa" display="🔗 Ver Mapa"/>
    <hyperlink ref="L929" r:id="rId927" tooltip="🔗 Ver Mapa" display="🔗 Ver Mapa"/>
    <hyperlink ref="L930" r:id="rId928" tooltip="🔗 Ver Mapa" display="🔗 Ver Mapa"/>
    <hyperlink ref="L931" r:id="rId929" tooltip="🔗 Ver Mapa" display="🔗 Ver Mapa"/>
    <hyperlink ref="L932" r:id="rId930" tooltip="🔗 Ver Mapa" display="🔗 Ver Mapa"/>
    <hyperlink ref="L933" r:id="rId931" tooltip="🔗 Ver Mapa" display="🔗 Ver Mapa"/>
    <hyperlink ref="L934" r:id="rId932" tooltip="🔗 Ver Mapa" display="🔗 Ver Mapa"/>
    <hyperlink ref="L935" r:id="rId933" tooltip="🔗 Ver Mapa" display="🔗 Ver Mapa"/>
    <hyperlink ref="L936" r:id="rId934" tooltip="🔗 Ver Mapa" display="🔗 Ver Mapa"/>
    <hyperlink ref="L937" r:id="rId935" tooltip="🔗 Ver Mapa" display="🔗 Ver Mapa"/>
    <hyperlink ref="L938" r:id="rId936" tooltip="🔗 Ver Mapa" display="🔗 Ver Mapa"/>
    <hyperlink ref="L939" r:id="rId937" tooltip="🔗 Ver Mapa" display="🔗 Ver Mapa"/>
    <hyperlink ref="L940" r:id="rId938" tooltip="🔗 Ver Mapa" display="🔗 Ver Mapa"/>
    <hyperlink ref="L941" r:id="rId939" tooltip="🔗 Ver Mapa" display="🔗 Ver Mapa"/>
    <hyperlink ref="L942" r:id="rId940" tooltip="🔗 Ver Mapa" display="🔗 Ver Mapa"/>
    <hyperlink ref="L943" r:id="rId941" tooltip="🔗 Ver Mapa" display="🔗 Ver Mapa"/>
    <hyperlink ref="L944" r:id="rId942" tooltip="🔗 Ver Mapa" display="🔗 Ver Mapa"/>
    <hyperlink ref="L945" r:id="rId943" tooltip="🔗 Ver Mapa" display="🔗 Ver Mapa"/>
    <hyperlink ref="L946" r:id="rId944" tooltip="🔗 Ver Mapa" display="🔗 Ver Mapa"/>
    <hyperlink ref="L947" r:id="rId945" tooltip="🔗 Ver Mapa" display="🔗 Ver Mapa"/>
    <hyperlink ref="L948" r:id="rId946" tooltip="🔗 Ver Mapa" display="🔗 Ver Mapa"/>
    <hyperlink ref="L949" r:id="rId947" tooltip="🔗 Ver Mapa" display="🔗 Ver Mapa"/>
    <hyperlink ref="L950" r:id="rId948" tooltip="🔗 Ver Mapa" display="🔗 Ver Mapa"/>
    <hyperlink ref="L951" r:id="rId949" tooltip="🔗 Ver Mapa" display="🔗 Ver Mapa"/>
    <hyperlink ref="L952" r:id="rId950" tooltip="🔗 Ver Mapa" display="🔗 Ver Mapa"/>
    <hyperlink ref="L953" r:id="rId951" tooltip="🔗 Ver Mapa" display="🔗 Ver Mapa"/>
    <hyperlink ref="L954" r:id="rId952" tooltip="🔗 Ver Mapa" display="🔗 Ver Mapa"/>
    <hyperlink ref="L955" r:id="rId953" tooltip="🔗 Ver Mapa" display="🔗 Ver Mapa"/>
    <hyperlink ref="L956" r:id="rId954" tooltip="🔗 Ver Mapa" display="🔗 Ver Mapa"/>
    <hyperlink ref="L957" r:id="rId955" tooltip="🔗 Ver Mapa" display="🔗 Ver Mapa"/>
    <hyperlink ref="L958" r:id="rId956" tooltip="🔗 Ver Mapa" display="🔗 Ver Mapa"/>
    <hyperlink ref="L959" r:id="rId957" tooltip="🔗 Ver Mapa" display="🔗 Ver Mapa"/>
    <hyperlink ref="L960" r:id="rId958" tooltip="🔗 Ver Mapa" display="🔗 Ver Mapa"/>
    <hyperlink ref="L961" r:id="rId959" tooltip="🔗 Ver Mapa" display="🔗 Ver Mapa"/>
    <hyperlink ref="L962" r:id="rId960" tooltip="🔗 Ver Mapa" display="🔗 Ver Mapa"/>
    <hyperlink ref="L963" r:id="rId961" tooltip="🔗 Ver Mapa" display="🔗 Ver Mapa"/>
    <hyperlink ref="L964" r:id="rId962" tooltip="🔗 Ver Mapa" display="🔗 Ver Mapa"/>
    <hyperlink ref="L965" r:id="rId963" tooltip="🔗 Ver Mapa" display="🔗 Ver Mapa"/>
    <hyperlink ref="L966" r:id="rId964" tooltip="🔗 Ver Mapa" display="🔗 Ver Mapa"/>
    <hyperlink ref="L967" r:id="rId965" tooltip="🔗 Ver Mapa" display="🔗 Ver Mapa"/>
    <hyperlink ref="L968" r:id="rId966" tooltip="🔗 Ver Mapa" display="🔗 Ver Mapa"/>
    <hyperlink ref="L969" r:id="rId967" tooltip="🔗 Ver Mapa" display="🔗 Ver Mapa"/>
    <hyperlink ref="L970" r:id="rId968" tooltip="🔗 Ver Mapa" display="🔗 Ver Mapa"/>
    <hyperlink ref="L971" r:id="rId969" tooltip="🔗 Ver Mapa" display="🔗 Ver Mapa"/>
    <hyperlink ref="L972" r:id="rId970" tooltip="🔗 Ver Mapa" display="🔗 Ver Mapa"/>
    <hyperlink ref="L973" r:id="rId971" tooltip="🔗 Ver Mapa" display="🔗 Ver Mapa"/>
    <hyperlink ref="L974" r:id="rId972" tooltip="🔗 Ver Mapa" display="🔗 Ver Mapa"/>
    <hyperlink ref="L975" r:id="rId973" tooltip="🔗 Ver Mapa" display="🔗 Ver Mapa"/>
    <hyperlink ref="L976" r:id="rId974" tooltip="🔗 Ver Mapa" display="🔗 Ver Mapa"/>
    <hyperlink ref="L977" r:id="rId975" tooltip="🔗 Ver Mapa" display="🔗 Ver Mapa"/>
    <hyperlink ref="L978" r:id="rId976" tooltip="🔗 Ver Mapa" display="🔗 Ver Mapa"/>
    <hyperlink ref="L979" r:id="rId977" tooltip="🔗 Ver Mapa" display="🔗 Ver Mapa"/>
    <hyperlink ref="L980" r:id="rId978" tooltip="🔗 Ver Mapa" display="🔗 Ver Mapa"/>
    <hyperlink ref="L981" r:id="rId979" tooltip="🔗 Ver Mapa" display="🔗 Ver Mapa"/>
    <hyperlink ref="L982" r:id="rId980" tooltip="🔗 Ver Mapa" display="🔗 Ver Mapa"/>
    <hyperlink ref="L983" r:id="rId981" tooltip="🔗 Ver Mapa" display="🔗 Ver Mapa"/>
    <hyperlink ref="L984" r:id="rId982" tooltip="🔗 Ver Mapa" display="🔗 Ver Mapa"/>
    <hyperlink ref="L985" r:id="rId983" tooltip="🔗 Ver Mapa" display="🔗 Ver Mapa"/>
    <hyperlink ref="L986" r:id="rId984" tooltip="🔗 Ver Mapa" display="🔗 Ver Mapa"/>
    <hyperlink ref="L987" r:id="rId985" tooltip="🔗 Ver Mapa" display="🔗 Ver Mapa"/>
    <hyperlink ref="L988" r:id="rId986" tooltip="🔗 Ver Mapa" display="🔗 Ver Mapa"/>
    <hyperlink ref="L989" r:id="rId987" tooltip="🔗 Ver Mapa" display="🔗 Ver Mapa"/>
    <hyperlink ref="L990" r:id="rId988" tooltip="🔗 Ver Mapa" display="🔗 Ver Mapa"/>
    <hyperlink ref="L991" r:id="rId989" tooltip="🔗 Ver Mapa" display="🔗 Ver Mapa"/>
    <hyperlink ref="L992" r:id="rId990" tooltip="🔗 Ver Mapa" display="🔗 Ver Mapa"/>
    <hyperlink ref="L993" r:id="rId991" tooltip="🔗 Ver Mapa" display="🔗 Ver Mapa"/>
    <hyperlink ref="L994" r:id="rId992" tooltip="🔗 Ver Mapa" display="🔗 Ver Mapa"/>
    <hyperlink ref="L995" r:id="rId993" tooltip="🔗 Ver Mapa" display="🔗 Ver Mapa"/>
    <hyperlink ref="L996" r:id="rId994" tooltip="🔗 Ver Mapa" display="🔗 Ver Mapa"/>
    <hyperlink ref="L997" r:id="rId995" tooltip="🔗 Ver Mapa" display="🔗 Ver Mapa"/>
    <hyperlink ref="L998" r:id="rId996" tooltip="🔗 Ver Mapa" display="🔗 Ver Mapa"/>
    <hyperlink ref="L999" r:id="rId997" tooltip="🔗 Ver Mapa" display="🔗 Ver Mapa"/>
    <hyperlink ref="L1000" r:id="rId998" tooltip="🔗 Ver Mapa" display="🔗 Ver Mapa"/>
    <hyperlink ref="L1001" r:id="rId999" tooltip="🔗 Ver Mapa" display="🔗 Ver Mapa"/>
    <hyperlink ref="L1002" r:id="rId1000" tooltip="🔗 Ver Mapa" display="🔗 Ver Mapa"/>
    <hyperlink ref="L1003" r:id="rId1001" tooltip="🔗 Ver Mapa" display="🔗 Ver Mapa"/>
    <hyperlink ref="L1004" r:id="rId1002" tooltip="🔗 Ver Mapa" display="🔗 Ver Mapa"/>
    <hyperlink ref="L1005" r:id="rId1003" tooltip="🔗 Ver Mapa" display="🔗 Ver Mapa"/>
    <hyperlink ref="L1006" r:id="rId1004" tooltip="🔗 Ver Mapa" display="🔗 Ver Mapa"/>
    <hyperlink ref="L1007" r:id="rId1005" tooltip="🔗 Ver Mapa" display="🔗 Ver Mapa"/>
    <hyperlink ref="L1008" r:id="rId1006" tooltip="🔗 Ver Mapa" display="🔗 Ver Mapa"/>
    <hyperlink ref="L1009" r:id="rId1007" tooltip="🔗 Ver Mapa" display="🔗 Ver Mapa"/>
    <hyperlink ref="L1010" r:id="rId1008" tooltip="🔗 Ver Mapa" display="🔗 Ver Mapa"/>
    <hyperlink ref="L1011" r:id="rId1009" tooltip="🔗 Ver Mapa" display="🔗 Ver Mapa"/>
    <hyperlink ref="L1012" r:id="rId1010" tooltip="🔗 Ver Mapa" display="🔗 Ver Mapa"/>
    <hyperlink ref="L1013" r:id="rId1011" tooltip="🔗 Ver Mapa" display="🔗 Ver Mapa"/>
    <hyperlink ref="L1014" r:id="rId1012" tooltip="🔗 Ver Mapa" display="🔗 Ver Mapa"/>
    <hyperlink ref="L1015" r:id="rId1013" tooltip="🔗 Ver Mapa" display="🔗 Ver Mapa"/>
    <hyperlink ref="L1016" r:id="rId1014" tooltip="🔗 Ver Mapa" display="🔗 Ver Mapa"/>
    <hyperlink ref="L1017" r:id="rId1015" tooltip="🔗 Ver Mapa" display="🔗 Ver Mapa"/>
    <hyperlink ref="L1018" r:id="rId1016" tooltip="🔗 Ver Mapa" display="🔗 Ver Mapa"/>
    <hyperlink ref="L1019" r:id="rId1017" tooltip="🔗 Ver Mapa" display="🔗 Ver Mapa"/>
    <hyperlink ref="L1020" r:id="rId1018" tooltip="🔗 Ver Mapa" display="🔗 Ver Mapa"/>
    <hyperlink ref="L1021" r:id="rId1019" tooltip="🔗 Ver Mapa" display="🔗 Ver Mapa"/>
    <hyperlink ref="L1022" r:id="rId1020" tooltip="🔗 Ver Mapa" display="🔗 Ver Mapa"/>
    <hyperlink ref="L1023" r:id="rId1021" tooltip="🔗 Ver Mapa" display="🔗 Ver Mapa"/>
    <hyperlink ref="L1024" r:id="rId1022" tooltip="🔗 Ver Mapa" display="🔗 Ver Mapa"/>
    <hyperlink ref="L1025" r:id="rId1023" tooltip="🔗 Ver Mapa" display="🔗 Ver Mapa"/>
    <hyperlink ref="L1026" r:id="rId1024" tooltip="🔗 Ver Mapa" display="🔗 Ver Mapa"/>
    <hyperlink ref="L1027" r:id="rId1025" tooltip="🔗 Ver Mapa" display="🔗 Ver Mapa"/>
    <hyperlink ref="L1028" r:id="rId1026" tooltip="🔗 Ver Mapa" display="🔗 Ver Mapa"/>
    <hyperlink ref="L1029" r:id="rId1027" tooltip="🔗 Ver Mapa" display="🔗 Ver Mapa"/>
    <hyperlink ref="L1030" r:id="rId1028" tooltip="🔗 Ver Mapa" display="🔗 Ver Mapa"/>
    <hyperlink ref="L1031" r:id="rId1029" tooltip="🔗 Ver Mapa" display="🔗 Ver Mapa"/>
    <hyperlink ref="L1032" r:id="rId1030" tooltip="🔗 Ver Mapa" display="🔗 Ver Mapa"/>
    <hyperlink ref="L1033" r:id="rId1031" tooltip="🔗 Ver Mapa" display="🔗 Ver Mapa"/>
    <hyperlink ref="L1034" r:id="rId1032" tooltip="🔗 Ver Mapa" display="🔗 Ver Mapa"/>
    <hyperlink ref="L1035" r:id="rId1033" tooltip="🔗 Ver Mapa" display="🔗 Ver Mapa"/>
    <hyperlink ref="L1036" r:id="rId1034" tooltip="🔗 Ver Mapa" display="🔗 Ver Mapa"/>
    <hyperlink ref="L1037" r:id="rId1035" tooltip="🔗 Ver Mapa" display="🔗 Ver Mapa"/>
    <hyperlink ref="L1038" r:id="rId1036" tooltip="🔗 Ver Mapa" display="🔗 Ver Mapa"/>
    <hyperlink ref="L1039" r:id="rId1037" tooltip="🔗 Ver Mapa" display="🔗 Ver Mapa"/>
    <hyperlink ref="L1040" r:id="rId1038" tooltip="🔗 Ver Mapa" display="🔗 Ver Mapa"/>
    <hyperlink ref="L1041" r:id="rId1039" tooltip="🔗 Ver Mapa" display="🔗 Ver Mapa"/>
    <hyperlink ref="L1042" r:id="rId1040" tooltip="🔗 Ver Mapa" display="🔗 Ver Mapa"/>
    <hyperlink ref="L1043" r:id="rId1041" tooltip="🔗 Ver Mapa" display="🔗 Ver Mapa"/>
    <hyperlink ref="L1044" r:id="rId1042" tooltip="🔗 Ver Mapa" display="🔗 Ver Mapa"/>
    <hyperlink ref="L1045" r:id="rId1043" tooltip="🔗 Ver Mapa" display="🔗 Ver Mapa"/>
    <hyperlink ref="L1046" r:id="rId1044" tooltip="🔗 Ver Mapa" display="🔗 Ver Mapa"/>
    <hyperlink ref="L1047" r:id="rId1045" tooltip="🔗 Ver Mapa" display="🔗 Ver Mapa"/>
    <hyperlink ref="L1048" r:id="rId1046" tooltip="🔗 Ver Mapa" display="🔗 Ver Mapa"/>
    <hyperlink ref="L1049" r:id="rId1047" tooltip="🔗 Ver Mapa" display="🔗 Ver Mapa"/>
    <hyperlink ref="L1050" r:id="rId1048" tooltip="🔗 Ver Mapa" display="🔗 Ver Mapa"/>
    <hyperlink ref="L1051" r:id="rId1049" tooltip="🔗 Ver Mapa" display="🔗 Ver Mapa"/>
    <hyperlink ref="L1052" r:id="rId1050" tooltip="🔗 Ver Mapa" display="🔗 Ver Mapa"/>
    <hyperlink ref="L1053" r:id="rId1051" tooltip="🔗 Ver Mapa" display="🔗 Ver Mapa"/>
    <hyperlink ref="L1054" r:id="rId1052" tooltip="🔗 Ver Mapa" display="🔗 Ver Mapa"/>
    <hyperlink ref="L1055" r:id="rId1053" tooltip="🔗 Ver Mapa" display="🔗 Ver Mapa"/>
    <hyperlink ref="L1056" r:id="rId1054" tooltip="🔗 Ver Mapa" display="🔗 Ver Mapa"/>
    <hyperlink ref="L1057" r:id="rId1055" tooltip="🔗 Ver Mapa" display="🔗 Ver Mapa"/>
    <hyperlink ref="L1058" r:id="rId1056" tooltip="🔗 Ver Mapa" display="🔗 Ver Mapa"/>
    <hyperlink ref="L1059" r:id="rId1057" tooltip="🔗 Ver Mapa" display="🔗 Ver Mapa"/>
    <hyperlink ref="L1060" r:id="rId1058" tooltip="🔗 Ver Mapa" display="🔗 Ver Mapa"/>
    <hyperlink ref="L1061" r:id="rId1059" tooltip="🔗 Ver Mapa" display="🔗 Ver Mapa"/>
    <hyperlink ref="L1062" r:id="rId1060" tooltip="🔗 Ver Mapa" display="🔗 Ver Mapa"/>
    <hyperlink ref="L1063" r:id="rId1061" tooltip="🔗 Ver Mapa" display="🔗 Ver Mapa"/>
    <hyperlink ref="L1064" r:id="rId1062" tooltip="🔗 Ver Mapa" display="🔗 Ver Mapa"/>
    <hyperlink ref="L1065" r:id="rId1063" tooltip="🔗 Ver Mapa" display="🔗 Ver Mapa"/>
    <hyperlink ref="L1066" r:id="rId1064" tooltip="🔗 Ver Mapa" display="🔗 Ver Mapa"/>
    <hyperlink ref="L1067" r:id="rId1065" tooltip="🔗 Ver Mapa" display="🔗 Ver Mapa"/>
    <hyperlink ref="L1068" r:id="rId1066" tooltip="🔗 Ver Mapa" display="🔗 Ver Mapa"/>
    <hyperlink ref="L1069" r:id="rId1067" tooltip="🔗 Ver Mapa" display="🔗 Ver Mapa"/>
    <hyperlink ref="L1070" r:id="rId1068" tooltip="🔗 Ver Mapa" display="🔗 Ver Mapa"/>
    <hyperlink ref="L1071" r:id="rId1069" tooltip="🔗 Ver Mapa" display="🔗 Ver Mapa"/>
    <hyperlink ref="L1072" r:id="rId1070" tooltip="🔗 Ver Mapa" display="🔗 Ver Mapa"/>
    <hyperlink ref="L1073" r:id="rId1071" tooltip="🔗 Ver Mapa" display="🔗 Ver Mapa"/>
    <hyperlink ref="L1074" r:id="rId1072" tooltip="🔗 Ver Mapa" display="🔗 Ver Mapa"/>
    <hyperlink ref="L1075" r:id="rId1073" tooltip="🔗 Ver Mapa" display="🔗 Ver Mapa"/>
    <hyperlink ref="L1076" r:id="rId1074" tooltip="🔗 Ver Mapa" display="🔗 Ver Mapa"/>
    <hyperlink ref="L1077" r:id="rId1075" tooltip="🔗 Ver Mapa" display="🔗 Ver Mapa"/>
    <hyperlink ref="L1078" r:id="rId1076" tooltip="🔗 Ver Mapa" display="🔗 Ver Mapa"/>
    <hyperlink ref="L1079" r:id="rId1077" tooltip="🔗 Ver Mapa" display="🔗 Ver Mapa"/>
    <hyperlink ref="L1080" r:id="rId1078" tooltip="🔗 Ver Mapa" display="🔗 Ver Mapa"/>
    <hyperlink ref="L1081" r:id="rId1079" tooltip="🔗 Ver Mapa" display="🔗 Ver Mapa"/>
    <hyperlink ref="L1082" r:id="rId1080" tooltip="🔗 Ver Mapa" display="🔗 Ver Mapa"/>
    <hyperlink ref="L1083" r:id="rId1081" tooltip="🔗 Ver Mapa" display="🔗 Ver Mapa"/>
    <hyperlink ref="L1084" r:id="rId1082" tooltip="🔗 Ver Mapa" display="🔗 Ver Mapa"/>
    <hyperlink ref="L1085" r:id="rId1083" tooltip="🔗 Ver Mapa" display="🔗 Ver Mapa"/>
    <hyperlink ref="L1086" r:id="rId1084" tooltip="🔗 Ver Mapa" display="🔗 Ver Mapa"/>
    <hyperlink ref="L1087" r:id="rId1085" tooltip="🔗 Ver Mapa" display="🔗 Ver Mapa"/>
    <hyperlink ref="L1088" r:id="rId1086" tooltip="🔗 Ver Mapa" display="🔗 Ver Mapa"/>
    <hyperlink ref="L1089" r:id="rId1087" tooltip="🔗 Ver Mapa" display="🔗 Ver Mapa"/>
    <hyperlink ref="L1090" r:id="rId1088" tooltip="🔗 Ver Mapa" display="🔗 Ver Mapa"/>
    <hyperlink ref="L1091" r:id="rId1089" tooltip="🔗 Ver Mapa" display="🔗 Ver Mapa"/>
    <hyperlink ref="L1092" r:id="rId1090" tooltip="🔗 Ver Mapa" display="🔗 Ver Mapa"/>
    <hyperlink ref="L1093" r:id="rId1091" tooltip="🔗 Ver Mapa" display="🔗 Ver Mapa"/>
    <hyperlink ref="L1094" r:id="rId1092" tooltip="🔗 Ver Mapa" display="🔗 Ver Mapa"/>
    <hyperlink ref="L1095" r:id="rId1093" tooltip="🔗 Ver Mapa" display="🔗 Ver Mapa"/>
    <hyperlink ref="L1096" r:id="rId1094" tooltip="🔗 Ver Mapa" display="🔗 Ver Mapa"/>
    <hyperlink ref="L1097" r:id="rId1095" tooltip="🔗 Ver Mapa" display="🔗 Ver Mapa"/>
    <hyperlink ref="L1098" r:id="rId1096" tooltip="🔗 Ver Mapa" display="🔗 Ver Mapa"/>
    <hyperlink ref="L1099" r:id="rId1097" tooltip="🔗 Ver Mapa" display="🔗 Ver Mapa"/>
    <hyperlink ref="L1100" r:id="rId1098" tooltip="🔗 Ver Mapa" display="🔗 Ver Mapa"/>
    <hyperlink ref="L1101" r:id="rId1099" tooltip="🔗 Ver Mapa" display="🔗 Ver Mapa"/>
    <hyperlink ref="L1102" r:id="rId1100" tooltip="🔗 Ver Mapa" display="🔗 Ver Mapa"/>
    <hyperlink ref="L1103" r:id="rId1101" tooltip="🔗 Ver Mapa" display="🔗 Ver Mapa"/>
    <hyperlink ref="L1104" r:id="rId1102" tooltip="🔗 Ver Mapa" display="🔗 Ver Mapa"/>
    <hyperlink ref="L1105" r:id="rId1103" tooltip="🔗 Ver Mapa" display="🔗 Ver Mapa"/>
    <hyperlink ref="L1106" r:id="rId1104" tooltip="🔗 Ver Mapa" display="🔗 Ver Mapa"/>
    <hyperlink ref="L1107" r:id="rId1105" tooltip="🔗 Ver Mapa" display="🔗 Ver Mapa"/>
    <hyperlink ref="L1108" r:id="rId1106" tooltip="🔗 Ver Mapa" display="🔗 Ver Mapa"/>
    <hyperlink ref="L1109" r:id="rId1107" tooltip="🔗 Ver Mapa" display="🔗 Ver Mapa"/>
    <hyperlink ref="L1110" r:id="rId1108" tooltip="🔗 Ver Mapa" display="🔗 Ver Mapa"/>
    <hyperlink ref="L1111" r:id="rId1109" tooltip="🔗 Ver Mapa" display="🔗 Ver Mapa"/>
    <hyperlink ref="L1112" r:id="rId1110" tooltip="🔗 Ver Mapa" display="🔗 Ver Mapa"/>
    <hyperlink ref="L1113" r:id="rId1111" tooltip="🔗 Ver Mapa" display="🔗 Ver Mapa"/>
    <hyperlink ref="L1114" r:id="rId1112" tooltip="🔗 Ver Mapa" display="🔗 Ver Mapa"/>
    <hyperlink ref="L1115" r:id="rId1113" tooltip="🔗 Ver Mapa" display="🔗 Ver Mapa"/>
    <hyperlink ref="L1116" r:id="rId1114" tooltip="🔗 Ver Mapa" display="🔗 Ver Mapa"/>
    <hyperlink ref="L1117" r:id="rId1115" tooltip="🔗 Ver Mapa" display="🔗 Ver Mapa"/>
    <hyperlink ref="L1118" r:id="rId1116" tooltip="🔗 Ver Mapa" display="🔗 Ver Mapa"/>
    <hyperlink ref="L1119" r:id="rId1117" tooltip="🔗 Ver Mapa" display="🔗 Ver Mapa"/>
    <hyperlink ref="L1120" r:id="rId1118" tooltip="🔗 Ver Mapa" display="🔗 Ver Mapa"/>
    <hyperlink ref="L1121" r:id="rId1119" tooltip="🔗 Ver Mapa" display="🔗 Ver Mapa"/>
    <hyperlink ref="L1122" r:id="rId1120" tooltip="🔗 Ver Mapa" display="🔗 Ver Mapa"/>
    <hyperlink ref="L1123" r:id="rId1121" tooltip="🔗 Ver Mapa" display="🔗 Ver Mapa"/>
    <hyperlink ref="L1124" r:id="rId1122" tooltip="🔗 Ver Mapa" display="🔗 Ver Mapa"/>
    <hyperlink ref="L1125" r:id="rId1123" tooltip="🔗 Ver Mapa" display="🔗 Ver Mapa"/>
    <hyperlink ref="L1126" r:id="rId1124" tooltip="🔗 Ver Mapa" display="🔗 Ver Mapa"/>
    <hyperlink ref="L1127" r:id="rId1125" tooltip="🔗 Ver Mapa" display="🔗 Ver Mapa"/>
    <hyperlink ref="L1128" r:id="rId1126" tooltip="🔗 Ver Mapa" display="🔗 Ver Mapa"/>
    <hyperlink ref="L1129" r:id="rId1127" tooltip="🔗 Ver Mapa" display="🔗 Ver Mapa"/>
    <hyperlink ref="L1130" r:id="rId1128" tooltip="🔗 Ver Mapa" display="🔗 Ver Mapa"/>
    <hyperlink ref="L1131" r:id="rId1129" tooltip="🔗 Ver Mapa" display="🔗 Ver Mapa"/>
    <hyperlink ref="L1132" r:id="rId1130" tooltip="🔗 Ver Mapa" display="🔗 Ver Mapa"/>
    <hyperlink ref="L1133" r:id="rId1131" tooltip="🔗 Ver Mapa" display="🔗 Ver Mapa"/>
    <hyperlink ref="L1134" r:id="rId1132" tooltip="🔗 Ver Mapa" display="🔗 Ver Mapa"/>
    <hyperlink ref="L1135" r:id="rId1133" tooltip="🔗 Ver Mapa" display="🔗 Ver Mapa"/>
    <hyperlink ref="L1136" r:id="rId1134" tooltip="🔗 Ver Mapa" display="🔗 Ver Mapa"/>
    <hyperlink ref="L1137" r:id="rId1135" tooltip="🔗 Ver Mapa" display="🔗 Ver Mapa"/>
    <hyperlink ref="L1138" r:id="rId1136" tooltip="🔗 Ver Mapa" display="🔗 Ver Mapa"/>
    <hyperlink ref="L1139" r:id="rId1137" tooltip="🔗 Ver Mapa" display="🔗 Ver Mapa"/>
    <hyperlink ref="L1140" r:id="rId1138" tooltip="🔗 Ver Mapa" display="🔗 Ver Mapa"/>
    <hyperlink ref="L1141" r:id="rId1139" tooltip="🔗 Ver Mapa" display="🔗 Ver Mapa"/>
    <hyperlink ref="L1142" r:id="rId1140" tooltip="🔗 Ver Mapa" display="🔗 Ver Mapa"/>
    <hyperlink ref="L1143" r:id="rId1141" tooltip="🔗 Ver Mapa" display="🔗 Ver Mapa"/>
    <hyperlink ref="L1144" r:id="rId1142" tooltip="🔗 Ver Mapa" display="🔗 Ver Mapa"/>
    <hyperlink ref="L1145" r:id="rId1143" tooltip="🔗 Ver Mapa" display="🔗 Ver Mapa"/>
    <hyperlink ref="L1146" r:id="rId1144" tooltip="🔗 Ver Mapa" display="🔗 Ver Mapa"/>
    <hyperlink ref="L1147" r:id="rId1145" tooltip="🔗 Ver Mapa" display="🔗 Ver Mapa"/>
    <hyperlink ref="L1148" r:id="rId1146" tooltip="🔗 Ver Mapa" display="🔗 Ver Mapa"/>
    <hyperlink ref="L1149" r:id="rId1147" tooltip="🔗 Ver Mapa" display="🔗 Ver Mapa"/>
    <hyperlink ref="L1150" r:id="rId1148" tooltip="🔗 Ver Mapa" display="🔗 Ver Mapa"/>
    <hyperlink ref="L1151" r:id="rId1149" tooltip="🔗 Ver Mapa" display="🔗 Ver Mapa"/>
    <hyperlink ref="L1152" r:id="rId1150" tooltip="🔗 Ver Mapa" display="🔗 Ver Mapa"/>
    <hyperlink ref="L1153" r:id="rId1151" tooltip="🔗 Ver Mapa" display="🔗 Ver Mapa"/>
    <hyperlink ref="L1154" r:id="rId1152" tooltip="🔗 Ver Mapa" display="🔗 Ver Mapa"/>
    <hyperlink ref="L1155" r:id="rId1153" tooltip="🔗 Ver Mapa" display="🔗 Ver Mapa"/>
    <hyperlink ref="L1156" r:id="rId1154" tooltip="🔗 Ver Mapa" display="🔗 Ver Mapa"/>
    <hyperlink ref="L1157" r:id="rId1155" tooltip="🔗 Ver Mapa" display="🔗 Ver Mapa"/>
    <hyperlink ref="L1158" r:id="rId1156" tooltip="🔗 Ver Mapa" display="🔗 Ver Mapa"/>
    <hyperlink ref="L1159" r:id="rId1157" tooltip="🔗 Ver Mapa" display="🔗 Ver Mapa"/>
    <hyperlink ref="L1160" r:id="rId1158" tooltip="🔗 Ver Mapa" display="🔗 Ver Mapa"/>
    <hyperlink ref="L1161" r:id="rId1159" tooltip="🔗 Ver Mapa" display="🔗 Ver Mapa"/>
    <hyperlink ref="L1162" r:id="rId1160" tooltip="🔗 Ver Mapa" display="🔗 Ver Mapa"/>
    <hyperlink ref="L1163" r:id="rId1161" tooltip="🔗 Ver Mapa" display="🔗 Ver Mapa"/>
    <hyperlink ref="L1164" r:id="rId1162" tooltip="🔗 Ver Mapa" display="🔗 Ver Mapa"/>
    <hyperlink ref="L1165" r:id="rId1163" tooltip="🔗 Ver Mapa" display="🔗 Ver Mapa"/>
    <hyperlink ref="L1166" r:id="rId1164" tooltip="🔗 Ver Mapa" display="🔗 Ver Mapa"/>
    <hyperlink ref="L1167" r:id="rId1165" tooltip="🔗 Ver Mapa" display="🔗 Ver Mapa"/>
    <hyperlink ref="L1168" r:id="rId1166" tooltip="🔗 Ver Mapa" display="🔗 Ver Mapa"/>
    <hyperlink ref="L1169" r:id="rId1167" tooltip="🔗 Ver Mapa" display="🔗 Ver Mapa"/>
    <hyperlink ref="L1170" r:id="rId1168" tooltip="🔗 Ver Mapa" display="🔗 Ver Mapa"/>
    <hyperlink ref="L1171" r:id="rId1169" tooltip="🔗 Ver Mapa" display="🔗 Ver Mapa"/>
    <hyperlink ref="L1172" r:id="rId1170" tooltip="🔗 Ver Mapa" display="🔗 Ver Mapa"/>
    <hyperlink ref="L1173" r:id="rId1171" tooltip="🔗 Ver Mapa" display="🔗 Ver Mapa"/>
    <hyperlink ref="L1174" r:id="rId1172" tooltip="🔗 Ver Mapa" display="🔗 Ver Mapa"/>
    <hyperlink ref="L1175" r:id="rId1173" tooltip="🔗 Ver Mapa" display="🔗 Ver Mapa"/>
    <hyperlink ref="L1176" r:id="rId1174" tooltip="🔗 Ver Mapa" display="🔗 Ver Mapa"/>
    <hyperlink ref="L1177" r:id="rId1175" tooltip="🔗 Ver Mapa" display="🔗 Ver Mapa"/>
    <hyperlink ref="L1178" r:id="rId1176" tooltip="🔗 Ver Mapa" display="🔗 Ver Mapa"/>
    <hyperlink ref="L1179" r:id="rId1177" tooltip="🔗 Ver Mapa" display="🔗 Ver Mapa"/>
    <hyperlink ref="L1180" r:id="rId1178" tooltip="🔗 Ver Mapa" display="🔗 Ver Mapa"/>
    <hyperlink ref="L1181" r:id="rId1179" tooltip="🔗 Ver Mapa" display="🔗 Ver Mapa"/>
    <hyperlink ref="L1182" r:id="rId1180" tooltip="🔗 Ver Mapa" display="🔗 Ver Mapa"/>
    <hyperlink ref="L1183" r:id="rId1181" tooltip="🔗 Ver Mapa" display="🔗 Ver Mapa"/>
    <hyperlink ref="L1184" r:id="rId1182" tooltip="🔗 Ver Mapa" display="🔗 Ver Mapa"/>
    <hyperlink ref="L1185" r:id="rId1183" tooltip="🔗 Ver Mapa" display="🔗 Ver Mapa"/>
    <hyperlink ref="L1186" r:id="rId1184" tooltip="🔗 Ver Mapa" display="🔗 Ver Mapa"/>
    <hyperlink ref="L1187" r:id="rId1185" tooltip="🔗 Ver Mapa" display="🔗 Ver Mapa"/>
    <hyperlink ref="L1188" r:id="rId1186" tooltip="🔗 Ver Mapa" display="🔗 Ver Mapa"/>
    <hyperlink ref="L1189" r:id="rId1187" tooltip="🔗 Ver Mapa" display="🔗 Ver Mapa"/>
    <hyperlink ref="L1190" r:id="rId1188" tooltip="🔗 Ver Mapa" display="🔗 Ver Mapa"/>
    <hyperlink ref="L1191" r:id="rId1189" tooltip="🔗 Ver Mapa" display="🔗 Ver Mapa"/>
    <hyperlink ref="L1192" r:id="rId1190" tooltip="🔗 Ver Mapa" display="🔗 Ver Mapa"/>
    <hyperlink ref="L1193" r:id="rId1191" tooltip="🔗 Ver Mapa" display="🔗 Ver Mapa"/>
    <hyperlink ref="L1194" r:id="rId1192" tooltip="🔗 Ver Mapa" display="🔗 Ver Mapa"/>
    <hyperlink ref="L1195" r:id="rId1193" tooltip="🔗 Ver Mapa" display="🔗 Ver Mapa"/>
    <hyperlink ref="L1196" r:id="rId1194" tooltip="🔗 Ver Mapa" display="🔗 Ver Mapa"/>
    <hyperlink ref="L1197" r:id="rId1195" tooltip="🔗 Ver Mapa" display="🔗 Ver Mapa"/>
    <hyperlink ref="L1198" r:id="rId1196" tooltip="🔗 Ver Mapa" display="🔗 Ver Mapa"/>
    <hyperlink ref="L1199" r:id="rId1197" tooltip="🔗 Ver Mapa" display="🔗 Ver Mapa"/>
    <hyperlink ref="L1200" r:id="rId1198" tooltip="🔗 Ver Mapa" display="🔗 Ver Mapa"/>
    <hyperlink ref="L1201" r:id="rId1199" tooltip="🔗 Ver Mapa" display="🔗 Ver Mapa"/>
    <hyperlink ref="L1202" r:id="rId1200" tooltip="🔗 Ver Mapa" display="🔗 Ver Mapa"/>
    <hyperlink ref="L1203" r:id="rId1201" tooltip="🔗 Ver Mapa" display="🔗 Ver Mapa"/>
    <hyperlink ref="L1204" r:id="rId1202" tooltip="🔗 Ver Mapa" display="🔗 Ver Mapa"/>
    <hyperlink ref="L1205" r:id="rId1203" tooltip="🔗 Ver Mapa" display="🔗 Ver Mapa"/>
    <hyperlink ref="L1206" r:id="rId1204" tooltip="🔗 Ver Mapa" display="🔗 Ver Mapa"/>
    <hyperlink ref="L1207" r:id="rId1205" tooltip="🔗 Ver Mapa" display="🔗 Ver Mapa"/>
    <hyperlink ref="L1208" r:id="rId1206" tooltip="🔗 Ver Mapa" display="🔗 Ver Mapa"/>
    <hyperlink ref="L1209" r:id="rId1207" tooltip="🔗 Ver Mapa" display="🔗 Ver Mapa"/>
    <hyperlink ref="L1210" r:id="rId1208" tooltip="🔗 Ver Mapa" display="🔗 Ver Mapa"/>
    <hyperlink ref="L1211" r:id="rId1209" tooltip="🔗 Ver Mapa" display="🔗 Ver Mapa"/>
    <hyperlink ref="L1212" r:id="rId1210" tooltip="🔗 Ver Mapa" display="🔗 Ver Mapa"/>
    <hyperlink ref="L1213" r:id="rId1211" tooltip="🔗 Ver Mapa" display="🔗 Ver Mapa"/>
    <hyperlink ref="L1214" r:id="rId1212" tooltip="🔗 Ver Mapa" display="🔗 Ver Mapa"/>
    <hyperlink ref="L1215" r:id="rId1213" tooltip="🔗 Ver Mapa" display="🔗 Ver Mapa"/>
    <hyperlink ref="L1216" r:id="rId1214" tooltip="🔗 Ver Mapa" display="🔗 Ver Mapa"/>
    <hyperlink ref="L1217" r:id="rId1215" tooltip="🔗 Ver Mapa" display="🔗 Ver Mapa"/>
    <hyperlink ref="L1218" r:id="rId1216" tooltip="🔗 Ver Mapa" display="🔗 Ver Mapa"/>
    <hyperlink ref="L1219" r:id="rId1217" tooltip="🔗 Ver Mapa" display="🔗 Ver Mapa"/>
    <hyperlink ref="L1220" r:id="rId1218" tooltip="🔗 Ver Mapa" display="🔗 Ver Mapa"/>
    <hyperlink ref="L1221" r:id="rId1219" tooltip="🔗 Ver Mapa" display="🔗 Ver Mapa"/>
    <hyperlink ref="L1222" r:id="rId1220" tooltip="🔗 Ver Mapa" display="🔗 Ver Mapa"/>
    <hyperlink ref="L1223" r:id="rId1221" tooltip="🔗 Ver Mapa" display="🔗 Ver Mapa"/>
    <hyperlink ref="L1224" r:id="rId1222" tooltip="🔗 Ver Mapa" display="🔗 Ver Mapa"/>
    <hyperlink ref="L1225" r:id="rId1223" tooltip="🔗 Ver Mapa" display="🔗 Ver Mapa"/>
    <hyperlink ref="L1226" r:id="rId1224" tooltip="🔗 Ver Mapa" display="🔗 Ver Mapa"/>
    <hyperlink ref="L1227" r:id="rId1225" tooltip="🔗 Ver Mapa" display="🔗 Ver Mapa"/>
    <hyperlink ref="L1228" r:id="rId1226" tooltip="🔗 Ver Mapa" display="🔗 Ver Mapa"/>
    <hyperlink ref="L1229" r:id="rId1227" tooltip="🔗 Ver Mapa" display="🔗 Ver Mapa"/>
    <hyperlink ref="L1230" r:id="rId1228" tooltip="🔗 Ver Mapa" display="🔗 Ver Mapa"/>
    <hyperlink ref="L1231" r:id="rId1229" tooltip="🔗 Ver Mapa" display="🔗 Ver Mapa"/>
    <hyperlink ref="L1232" r:id="rId1230" tooltip="🔗 Ver Mapa" display="🔗 Ver Mapa"/>
    <hyperlink ref="L1233" r:id="rId1231" tooltip="🔗 Ver Mapa" display="🔗 Ver Mapa"/>
    <hyperlink ref="L1234" r:id="rId1232" tooltip="🔗 Ver Mapa" display="🔗 Ver Mapa"/>
    <hyperlink ref="L1235" r:id="rId1233" tooltip="🔗 Ver Mapa" display="🔗 Ver Mapa"/>
    <hyperlink ref="L1236" r:id="rId1234" tooltip="🔗 Ver Mapa" display="🔗 Ver Mapa"/>
    <hyperlink ref="L1237" r:id="rId1235" tooltip="🔗 Ver Mapa" display="🔗 Ver Mapa"/>
    <hyperlink ref="L1238" r:id="rId1236" tooltip="🔗 Ver Mapa" display="🔗 Ver Mapa"/>
    <hyperlink ref="L1239" r:id="rId1237" tooltip="🔗 Ver Mapa" display="🔗 Ver Mapa"/>
    <hyperlink ref="L1240" r:id="rId1238" tooltip="🔗 Ver Mapa" display="🔗 Ver Mapa"/>
    <hyperlink ref="L1241" r:id="rId1239" tooltip="🔗 Ver Mapa" display="🔗 Ver Mapa"/>
    <hyperlink ref="L1242" r:id="rId1240" tooltip="🔗 Ver Mapa" display="🔗 Ver Mapa"/>
    <hyperlink ref="L1243" r:id="rId1241" tooltip="🔗 Ver Mapa" display="🔗 Ver Mapa"/>
    <hyperlink ref="L1244" r:id="rId1242" tooltip="🔗 Ver Mapa" display="🔗 Ver Mapa"/>
    <hyperlink ref="L1245" r:id="rId1243" tooltip="🔗 Ver Mapa" display="🔗 Ver Mapa"/>
    <hyperlink ref="L1246" r:id="rId1244" tooltip="🔗 Ver Mapa" display="🔗 Ver Mapa"/>
    <hyperlink ref="L1247" r:id="rId1245" tooltip="🔗 Ver Mapa" display="🔗 Ver Mapa"/>
    <hyperlink ref="L1248" r:id="rId1246" tooltip="🔗 Ver Mapa" display="🔗 Ver Mapa"/>
    <hyperlink ref="L1249" r:id="rId1247" tooltip="🔗 Ver Mapa" display="🔗 Ver Mapa"/>
    <hyperlink ref="L1250" r:id="rId1248" tooltip="🔗 Ver Mapa" display="🔗 Ver Mapa"/>
    <hyperlink ref="L1251" r:id="rId1249" tooltip="🔗 Ver Mapa" display="🔗 Ver Mapa"/>
    <hyperlink ref="L1252" r:id="rId1250" tooltip="🔗 Ver Mapa" display="🔗 Ver Mapa"/>
    <hyperlink ref="L1253" r:id="rId1251" tooltip="🔗 Ver Mapa" display="🔗 Ver Mapa"/>
    <hyperlink ref="L1254" r:id="rId1252" tooltip="🔗 Ver Mapa" display="🔗 Ver Mapa"/>
    <hyperlink ref="L1255" r:id="rId1253" tooltip="🔗 Ver Mapa" display="🔗 Ver Mapa"/>
    <hyperlink ref="L1256" r:id="rId1254" tooltip="🔗 Ver Mapa" display="🔗 Ver Mapa"/>
    <hyperlink ref="L1257" r:id="rId1255" tooltip="🔗 Ver Mapa" display="🔗 Ver Mapa"/>
    <hyperlink ref="L1258" r:id="rId1256" tooltip="🔗 Ver Mapa" display="🔗 Ver Mapa"/>
    <hyperlink ref="L1259" r:id="rId1257" tooltip="🔗 Ver Mapa" display="🔗 Ver Mapa"/>
    <hyperlink ref="L1260" r:id="rId1258" tooltip="🔗 Ver Mapa" display="🔗 Ver Mapa"/>
    <hyperlink ref="L1261" r:id="rId1259" tooltip="🔗 Ver Mapa" display="🔗 Ver Mapa"/>
    <hyperlink ref="L1262" r:id="rId1260" tooltip="🔗 Ver Mapa" display="🔗 Ver Mapa"/>
    <hyperlink ref="L1263" r:id="rId1261" tooltip="🔗 Ver Mapa" display="🔗 Ver Mapa"/>
    <hyperlink ref="L1264" r:id="rId1262" tooltip="🔗 Ver Mapa" display="🔗 Ver Mapa"/>
    <hyperlink ref="L1265" r:id="rId1263" tooltip="🔗 Ver Mapa" display="🔗 Ver Mapa"/>
    <hyperlink ref="L1266" r:id="rId1264" tooltip="🔗 Ver Mapa" display="🔗 Ver Mapa"/>
    <hyperlink ref="L1267" r:id="rId1265" tooltip="🔗 Ver Mapa" display="🔗 Ver Mapa"/>
    <hyperlink ref="L1268" r:id="rId1266" tooltip="🔗 Ver Mapa" display="🔗 Ver Mapa"/>
    <hyperlink ref="L1269" r:id="rId1267" tooltip="🔗 Ver Mapa" display="🔗 Ver Mapa"/>
    <hyperlink ref="L1270" r:id="rId1268" tooltip="🔗 Ver Mapa" display="🔗 Ver Mapa"/>
    <hyperlink ref="L1271" r:id="rId1269" tooltip="🔗 Ver Mapa" display="🔗 Ver Mapa"/>
    <hyperlink ref="L1272" r:id="rId1270" tooltip="🔗 Ver Mapa" display="🔗 Ver Mapa"/>
    <hyperlink ref="L1273" r:id="rId1271" tooltip="🔗 Ver Mapa" display="🔗 Ver Mapa"/>
    <hyperlink ref="L1274" r:id="rId1272" tooltip="🔗 Ver Mapa" display="🔗 Ver Mapa"/>
    <hyperlink ref="L1275" r:id="rId1273" tooltip="🔗 Ver Mapa" display="🔗 Ver Mapa"/>
    <hyperlink ref="L1276" r:id="rId1274" tooltip="🔗 Ver Mapa" display="🔗 Ver Mapa"/>
    <hyperlink ref="L1277" r:id="rId1275" tooltip="🔗 Ver Mapa" display="🔗 Ver Mapa"/>
    <hyperlink ref="L1278" r:id="rId1276" tooltip="🔗 Ver Mapa" display="🔗 Ver Mapa"/>
    <hyperlink ref="L1279" r:id="rId1277" tooltip="🔗 Ver Mapa" display="🔗 Ver Mapa"/>
    <hyperlink ref="L1280" r:id="rId1278" tooltip="🔗 Ver Mapa" display="🔗 Ver Mapa"/>
    <hyperlink ref="L1281" r:id="rId1279" tooltip="🔗 Ver Mapa" display="🔗 Ver Mapa"/>
    <hyperlink ref="L1282" r:id="rId1280" tooltip="🔗 Ver Mapa" display="🔗 Ver Mapa"/>
    <hyperlink ref="L1283" r:id="rId1281" tooltip="🔗 Ver Mapa" display="🔗 Ver Mapa"/>
    <hyperlink ref="L1284" r:id="rId1282" tooltip="🔗 Ver Mapa" display="🔗 Ver Mapa"/>
    <hyperlink ref="L1285" r:id="rId1283" tooltip="🔗 Ver Mapa" display="🔗 Ver Mapa"/>
    <hyperlink ref="L1286" r:id="rId1284" tooltip="🔗 Ver Mapa" display="🔗 Ver Mapa"/>
    <hyperlink ref="L1287" r:id="rId1285" tooltip="🔗 Ver Mapa" display="🔗 Ver Mapa"/>
    <hyperlink ref="L1288" r:id="rId1286" tooltip="🔗 Ver Mapa" display="🔗 Ver Mapa"/>
    <hyperlink ref="L1289" r:id="rId1287" tooltip="🔗 Ver Mapa" display="🔗 Ver Mapa"/>
    <hyperlink ref="L1290" r:id="rId1288" tooltip="🔗 Ver Mapa" display="🔗 Ver Mapa"/>
    <hyperlink ref="L1291" r:id="rId1289" tooltip="🔗 Ver Mapa" display="🔗 Ver Mapa"/>
    <hyperlink ref="L1292" r:id="rId1290" tooltip="🔗 Ver Mapa" display="🔗 Ver Mapa"/>
    <hyperlink ref="L1293" r:id="rId1291" tooltip="🔗 Ver Mapa" display="🔗 Ver Mapa"/>
    <hyperlink ref="L1294" r:id="rId1292" tooltip="🔗 Ver Mapa" display="🔗 Ver Mapa"/>
    <hyperlink ref="L1295" r:id="rId1293" tooltip="🔗 Ver Mapa" display="🔗 Ver Mapa"/>
    <hyperlink ref="L1296" r:id="rId1294" tooltip="🔗 Ver Mapa" display="🔗 Ver Mapa"/>
    <hyperlink ref="L1297" r:id="rId1295" tooltip="🔗 Ver Mapa" display="🔗 Ver Mapa"/>
    <hyperlink ref="L1298" r:id="rId1296" tooltip="🔗 Ver Mapa" display="🔗 Ver Mapa"/>
    <hyperlink ref="L1299" r:id="rId1297" tooltip="🔗 Ver Mapa" display="🔗 Ver Mapa"/>
    <hyperlink ref="L1300" r:id="rId1298" tooltip="🔗 Ver Mapa" display="🔗 Ver Mapa"/>
    <hyperlink ref="L1301" r:id="rId1299" tooltip="🔗 Ver Mapa" display="🔗 Ver Mapa"/>
    <hyperlink ref="L1302" r:id="rId1300" tooltip="🔗 Ver Mapa" display="🔗 Ver Mapa"/>
    <hyperlink ref="L1303" r:id="rId1301" tooltip="🔗 Ver Mapa" display="🔗 Ver Mapa"/>
    <hyperlink ref="L1304" r:id="rId1302" tooltip="🔗 Ver Mapa" display="🔗 Ver Mapa"/>
    <hyperlink ref="L1305" r:id="rId1303" tooltip="🔗 Ver Mapa" display="🔗 Ver Mapa"/>
    <hyperlink ref="L1306" r:id="rId1304" tooltip="🔗 Ver Mapa" display="🔗 Ver Mapa"/>
    <hyperlink ref="L1307" r:id="rId1305" tooltip="🔗 Ver Mapa" display="🔗 Ver Mapa"/>
    <hyperlink ref="L1308" r:id="rId1306" tooltip="🔗 Ver Mapa" display="🔗 Ver Mapa"/>
    <hyperlink ref="L1309" r:id="rId1307" tooltip="🔗 Ver Mapa" display="🔗 Ver Mapa"/>
    <hyperlink ref="L1310" r:id="rId1308" tooltip="🔗 Ver Mapa" display="🔗 Ver Mapa"/>
    <hyperlink ref="L1311" r:id="rId1309" tooltip="🔗 Ver Mapa" display="🔗 Ver Mapa"/>
    <hyperlink ref="L1312" r:id="rId1310" tooltip="🔗 Ver Mapa" display="🔗 Ver Mapa"/>
    <hyperlink ref="L1313" r:id="rId1311" tooltip="🔗 Ver Mapa" display="🔗 Ver Mapa"/>
    <hyperlink ref="L1314" r:id="rId1312" tooltip="🔗 Ver Mapa" display="🔗 Ver Mapa"/>
    <hyperlink ref="L1315" r:id="rId1313" tooltip="🔗 Ver Mapa" display="🔗 Ver Mapa"/>
    <hyperlink ref="L1316" r:id="rId1314" tooltip="🔗 Ver Mapa" display="🔗 Ver Mapa"/>
    <hyperlink ref="L1317" r:id="rId1315" tooltip="🔗 Ver Mapa" display="🔗 Ver Mapa"/>
    <hyperlink ref="L1318" r:id="rId1316" tooltip="🔗 Ver Mapa" display="🔗 Ver Mapa"/>
    <hyperlink ref="L1319" r:id="rId1317" tooltip="🔗 Ver Mapa" display="🔗 Ver Mapa"/>
    <hyperlink ref="L1320" r:id="rId1318" tooltip="🔗 Ver Mapa" display="🔗 Ver Mapa"/>
    <hyperlink ref="L1321" r:id="rId1319" tooltip="🔗 Ver Mapa" display="🔗 Ver Mapa"/>
    <hyperlink ref="L1322" r:id="rId1320" tooltip="🔗 Ver Mapa" display="🔗 Ver Mapa"/>
    <hyperlink ref="L1323" r:id="rId1321" tooltip="🔗 Ver Mapa" display="🔗 Ver Mapa"/>
    <hyperlink ref="L1324" r:id="rId1322" tooltip="🔗 Ver Mapa" display="🔗 Ver Mapa"/>
    <hyperlink ref="L1325" r:id="rId1323" tooltip="🔗 Ver Mapa" display="🔗 Ver Mapa"/>
    <hyperlink ref="L1326" r:id="rId1324" tooltip="🔗 Ver Mapa" display="🔗 Ver Mapa"/>
    <hyperlink ref="L1327" r:id="rId1325" tooltip="🔗 Ver Mapa" display="🔗 Ver Mapa"/>
    <hyperlink ref="L1328" r:id="rId1326" tooltip="🔗 Ver Mapa" display="🔗 Ver Mapa"/>
    <hyperlink ref="L1329" r:id="rId1327" tooltip="🔗 Ver Mapa" display="🔗 Ver Mapa"/>
    <hyperlink ref="L1330" r:id="rId1328" tooltip="🔗 Ver Mapa" display="🔗 Ver Mapa"/>
    <hyperlink ref="L1331" r:id="rId1329" tooltip="🔗 Ver Mapa" display="🔗 Ver Mapa"/>
    <hyperlink ref="L1332" r:id="rId1330" tooltip="🔗 Ver Mapa" display="🔗 Ver Mapa"/>
    <hyperlink ref="L1333" r:id="rId1331" tooltip="🔗 Ver Mapa" display="🔗 Ver Mapa"/>
    <hyperlink ref="L1334" r:id="rId1332" tooltip="🔗 Ver Mapa" display="🔗 Ver Mapa"/>
    <hyperlink ref="L1335" r:id="rId1333" tooltip="🔗 Ver Mapa" display="🔗 Ver Mapa"/>
    <hyperlink ref="L1336" r:id="rId1334" tooltip="🔗 Ver Mapa" display="🔗 Ver Mapa"/>
    <hyperlink ref="L1337" r:id="rId1335" tooltip="🔗 Ver Mapa" display="🔗 Ver Mapa"/>
    <hyperlink ref="L1338" r:id="rId1336" tooltip="🔗 Ver Mapa" display="🔗 Ver Mapa"/>
    <hyperlink ref="L1339" r:id="rId1337" tooltip="🔗 Ver Mapa" display="🔗 Ver Mapa"/>
    <hyperlink ref="L1340" r:id="rId1338" tooltip="🔗 Ver Mapa" display="🔗 Ver Mapa"/>
    <hyperlink ref="L1341" r:id="rId1339" tooltip="🔗 Ver Mapa" display="🔗 Ver Mapa"/>
    <hyperlink ref="L1342" r:id="rId1340" tooltip="🔗 Ver Mapa" display="🔗 Ver Mapa"/>
    <hyperlink ref="L1343" r:id="rId1341" tooltip="🔗 Ver Mapa" display="🔗 Ver Mapa"/>
    <hyperlink ref="L1344" r:id="rId1342" tooltip="🔗 Ver Mapa" display="🔗 Ver Mapa"/>
    <hyperlink ref="L1345" r:id="rId1343" tooltip="🔗 Ver Mapa" display="🔗 Ver Mapa"/>
    <hyperlink ref="L1346" r:id="rId1344" tooltip="🔗 Ver Mapa" display="🔗 Ver Mapa"/>
    <hyperlink ref="L1347" r:id="rId1345" tooltip="🔗 Ver Mapa" display="🔗 Ver Mapa"/>
    <hyperlink ref="L1348" r:id="rId1346" tooltip="🔗 Ver Mapa" display="🔗 Ver Mapa"/>
    <hyperlink ref="L1349" r:id="rId1347" tooltip="🔗 Ver Mapa" display="🔗 Ver Mapa"/>
    <hyperlink ref="L1350" r:id="rId1348" tooltip="🔗 Ver Mapa" display="🔗 Ver Mapa"/>
    <hyperlink ref="L1351" r:id="rId1349" tooltip="🔗 Ver Mapa" display="🔗 Ver Mapa"/>
    <hyperlink ref="L1352" r:id="rId1350" tooltip="🔗 Ver Mapa" display="🔗 Ver Mapa"/>
    <hyperlink ref="L1353" r:id="rId1351" tooltip="🔗 Ver Mapa" display="🔗 Ver Mapa"/>
    <hyperlink ref="L1354" r:id="rId1352" tooltip="🔗 Ver Mapa" display="🔗 Ver Mapa"/>
    <hyperlink ref="L1355" r:id="rId1353" tooltip="🔗 Ver Mapa" display="🔗 Ver Mapa"/>
    <hyperlink ref="L1356" r:id="rId1354" tooltip="🔗 Ver Mapa" display="🔗 Ver Mapa"/>
    <hyperlink ref="L1357" r:id="rId1355" tooltip="🔗 Ver Mapa" display="🔗 Ver Mapa"/>
    <hyperlink ref="L1358" r:id="rId1356" tooltip="🔗 Ver Mapa" display="🔗 Ver Mapa"/>
    <hyperlink ref="L1359" r:id="rId1357" tooltip="🔗 Ver Mapa" display="🔗 Ver Mapa"/>
    <hyperlink ref="L1360" r:id="rId1358" tooltip="🔗 Ver Mapa" display="🔗 Ver Mapa"/>
    <hyperlink ref="L1361" r:id="rId1359" tooltip="🔗 Ver Mapa" display="🔗 Ver Mapa"/>
    <hyperlink ref="L1362" r:id="rId1360" tooltip="🔗 Ver Mapa" display="🔗 Ver Mapa"/>
    <hyperlink ref="L1363" r:id="rId1361" tooltip="🔗 Ver Mapa" display="🔗 Ver Mapa"/>
    <hyperlink ref="L1364" r:id="rId1362" tooltip="🔗 Ver Mapa" display="🔗 Ver Mapa"/>
    <hyperlink ref="L1365" r:id="rId1363" tooltip="🔗 Ver Mapa" display="🔗 Ver Mapa"/>
    <hyperlink ref="L1366" r:id="rId1364" tooltip="🔗 Ver Mapa" display="🔗 Ver Mapa"/>
    <hyperlink ref="L1367" r:id="rId1365" tooltip="🔗 Ver Mapa" display="🔗 Ver Mapa"/>
    <hyperlink ref="L1368" r:id="rId1366" tooltip="🔗 Ver Mapa" display="🔗 Ver Mapa"/>
    <hyperlink ref="L1369" r:id="rId1367" tooltip="🔗 Ver Mapa" display="🔗 Ver Mapa"/>
    <hyperlink ref="L1370" r:id="rId1368" tooltip="🔗 Ver Mapa" display="🔗 Ver Mapa"/>
    <hyperlink ref="L1371" r:id="rId1369" tooltip="🔗 Ver Mapa" display="🔗 Ver Mapa"/>
    <hyperlink ref="L1372" r:id="rId1370" tooltip="🔗 Ver Mapa" display="🔗 Ver Mapa"/>
    <hyperlink ref="L1373" r:id="rId1371" tooltip="🔗 Ver Mapa" display="🔗 Ver Mapa"/>
    <hyperlink ref="L1374" r:id="rId1372" tooltip="🔗 Ver Mapa" display="🔗 Ver Mapa"/>
    <hyperlink ref="L1375" r:id="rId1373" tooltip="🔗 Ver Mapa" display="🔗 Ver Mapa"/>
    <hyperlink ref="L1376" r:id="rId1374" tooltip="🔗 Ver Mapa" display="🔗 Ver Mapa"/>
    <hyperlink ref="L1377" r:id="rId1375" tooltip="🔗 Ver Mapa" display="🔗 Ver Mapa"/>
    <hyperlink ref="L1378" r:id="rId1376" tooltip="🔗 Ver Mapa" display="🔗 Ver Mapa"/>
    <hyperlink ref="L1379" r:id="rId1377" tooltip="🔗 Ver Mapa" display="🔗 Ver Mapa"/>
    <hyperlink ref="L1380" r:id="rId1378" tooltip="🔗 Ver Mapa" display="🔗 Ver Mapa"/>
    <hyperlink ref="L1381" r:id="rId1379" tooltip="🔗 Ver Mapa" display="🔗 Ver Mapa"/>
    <hyperlink ref="L1382" r:id="rId1380" tooltip="🔗 Ver Mapa" display="🔗 Ver Mapa"/>
    <hyperlink ref="L1383" r:id="rId1381" tooltip="🔗 Ver Mapa" display="🔗 Ver Mapa"/>
    <hyperlink ref="L1384" r:id="rId1382" tooltip="🔗 Ver Mapa" display="🔗 Ver Mapa"/>
    <hyperlink ref="L1385" r:id="rId1383" tooltip="🔗 Ver Mapa" display="🔗 Ver Mapa"/>
    <hyperlink ref="L1386" r:id="rId1384" tooltip="🔗 Ver Mapa" display="🔗 Ver Mapa"/>
    <hyperlink ref="L1387" r:id="rId1385" tooltip="🔗 Ver Mapa" display="🔗 Ver Mapa"/>
    <hyperlink ref="L1388" r:id="rId1386" tooltip="🔗 Ver Mapa" display="🔗 Ver Mapa"/>
    <hyperlink ref="L1389" r:id="rId1387" tooltip="🔗 Ver Mapa" display="🔗 Ver Mapa"/>
    <hyperlink ref="L1390" r:id="rId1388" tooltip="🔗 Ver Mapa" display="🔗 Ver Mapa"/>
    <hyperlink ref="L1391" r:id="rId1389" tooltip="🔗 Ver Mapa" display="🔗 Ver Mapa"/>
    <hyperlink ref="L1392" r:id="rId1390" tooltip="🔗 Ver Mapa" display="🔗 Ver Mapa"/>
    <hyperlink ref="L1393" r:id="rId1391" tooltip="🔗 Ver Mapa" display="🔗 Ver Mapa"/>
    <hyperlink ref="L1394" r:id="rId1392" tooltip="🔗 Ver Mapa" display="🔗 Ver Mapa"/>
    <hyperlink ref="L1395" r:id="rId1393" tooltip="🔗 Ver Mapa" display="🔗 Ver Mapa"/>
    <hyperlink ref="L1396" r:id="rId1394" tooltip="🔗 Ver Mapa" display="🔗 Ver Mapa"/>
    <hyperlink ref="L1397" r:id="rId1395" tooltip="🔗 Ver Mapa" display="🔗 Ver Mapa"/>
    <hyperlink ref="L1398" r:id="rId1396" tooltip="🔗 Ver Mapa" display="🔗 Ver Mapa"/>
    <hyperlink ref="L1399" r:id="rId1397" tooltip="🔗 Ver Mapa" display="🔗 Ver Mapa"/>
    <hyperlink ref="L1400" r:id="rId1398" tooltip="🔗 Ver Mapa" display="🔗 Ver Mapa"/>
    <hyperlink ref="L1401" r:id="rId1399" tooltip="🔗 Ver Mapa" display="🔗 Ver Mapa"/>
    <hyperlink ref="L1402" r:id="rId1400" tooltip="🔗 Ver Mapa" display="🔗 Ver Mapa"/>
    <hyperlink ref="L1403" r:id="rId1401" tooltip="🔗 Ver Mapa" display="🔗 Ver Mapa"/>
    <hyperlink ref="L1404" r:id="rId1402" tooltip="🔗 Ver Mapa" display="🔗 Ver Mapa"/>
    <hyperlink ref="L1405" r:id="rId1403" tooltip="🔗 Ver Mapa" display="🔗 Ver Mapa"/>
    <hyperlink ref="L1406" r:id="rId1404" tooltip="🔗 Ver Mapa" display="🔗 Ver Mapa"/>
    <hyperlink ref="L1407" r:id="rId1405" tooltip="🔗 Ver Mapa" display="🔗 Ver Mapa"/>
    <hyperlink ref="L1408" r:id="rId1406" tooltip="🔗 Ver Mapa" display="🔗 Ver Mapa"/>
    <hyperlink ref="L1409" r:id="rId1407" tooltip="🔗 Ver Mapa" display="🔗 Ver Mapa"/>
    <hyperlink ref="L1410" r:id="rId1408" tooltip="🔗 Ver Mapa" display="🔗 Ver Mapa"/>
    <hyperlink ref="L1411" r:id="rId1409" tooltip="🔗 Ver Mapa" display="🔗 Ver Mapa"/>
    <hyperlink ref="L1412" r:id="rId1410" tooltip="🔗 Ver Mapa" display="🔗 Ver Mapa"/>
    <hyperlink ref="L1413" r:id="rId1411" tooltip="🔗 Ver Mapa" display="🔗 Ver Mapa"/>
    <hyperlink ref="L1414" r:id="rId1412" tooltip="🔗 Ver Mapa" display="🔗 Ver Mapa"/>
    <hyperlink ref="L1415" r:id="rId1413" tooltip="🔗 Ver Mapa" display="🔗 Ver Mapa"/>
    <hyperlink ref="L1416" r:id="rId1414" tooltip="🔗 Ver Mapa" display="🔗 Ver Mapa"/>
    <hyperlink ref="L1417" r:id="rId1415" tooltip="🔗 Ver Mapa" display="🔗 Ver Mapa"/>
    <hyperlink ref="L1418" r:id="rId1416" tooltip="🔗 Ver Mapa" display="🔗 Ver Mapa"/>
    <hyperlink ref="L1419" r:id="rId1417" tooltip="🔗 Ver Mapa" display="🔗 Ver Mapa"/>
    <hyperlink ref="L1420" r:id="rId1418" tooltip="🔗 Ver Mapa" display="🔗 Ver Mapa"/>
    <hyperlink ref="L1421" r:id="rId1419" tooltip="🔗 Ver Mapa" display="🔗 Ver Mapa"/>
    <hyperlink ref="L1422" r:id="rId1420" tooltip="🔗 Ver Mapa" display="🔗 Ver Mapa"/>
    <hyperlink ref="L1423" r:id="rId1421" tooltip="🔗 Ver Mapa" display="🔗 Ver Mapa"/>
    <hyperlink ref="L1424" r:id="rId1422" tooltip="🔗 Ver Mapa" display="🔗 Ver Mapa"/>
    <hyperlink ref="L1425" r:id="rId1423" tooltip="🔗 Ver Mapa" display="🔗 Ver Mapa"/>
    <hyperlink ref="L1426" r:id="rId1424" tooltip="🔗 Ver Mapa" display="🔗 Ver Mapa"/>
    <hyperlink ref="L1427" r:id="rId1425" tooltip="🔗 Ver Mapa" display="🔗 Ver Mapa"/>
    <hyperlink ref="L1428" r:id="rId1426" tooltip="🔗 Ver Mapa" display="🔗 Ver Mapa"/>
    <hyperlink ref="L1429" r:id="rId1427" tooltip="🔗 Ver Mapa" display="🔗 Ver Mapa"/>
    <hyperlink ref="L1430" r:id="rId1428" tooltip="🔗 Ver Mapa" display="🔗 Ver Mapa"/>
    <hyperlink ref="L1431" r:id="rId1429" tooltip="🔗 Ver Mapa" display="🔗 Ver Mapa"/>
    <hyperlink ref="L1432" r:id="rId1430" tooltip="🔗 Ver Mapa" display="🔗 Ver Mapa"/>
    <hyperlink ref="L1433" r:id="rId1431" tooltip="🔗 Ver Mapa" display="🔗 Ver Mapa"/>
    <hyperlink ref="L1434" r:id="rId1432" tooltip="🔗 Ver Mapa" display="🔗 Ver Mapa"/>
    <hyperlink ref="L1435" r:id="rId1433" tooltip="🔗 Ver Mapa" display="🔗 Ver Mapa"/>
    <hyperlink ref="L1436" r:id="rId1434" tooltip="🔗 Ver Mapa" display="🔗 Ver Mapa"/>
    <hyperlink ref="L1437" r:id="rId1435" tooltip="🔗 Ver Mapa" display="🔗 Ver Mapa"/>
    <hyperlink ref="L1438" r:id="rId1436" tooltip="🔗 Ver Mapa" display="🔗 Ver Mapa"/>
    <hyperlink ref="L1439" r:id="rId1437" tooltip="🔗 Ver Mapa" display="🔗 Ver Mapa"/>
    <hyperlink ref="L1440" r:id="rId1438" tooltip="🔗 Ver Mapa" display="🔗 Ver Mapa"/>
    <hyperlink ref="L1441" r:id="rId1439" tooltip="🔗 Ver Mapa" display="🔗 Ver Mapa"/>
    <hyperlink ref="L1442" r:id="rId1440" tooltip="🔗 Ver Mapa" display="🔗 Ver Mapa"/>
    <hyperlink ref="L1443" r:id="rId1441" tooltip="🔗 Ver Mapa" display="🔗 Ver Mapa"/>
    <hyperlink ref="L1444" r:id="rId1442" tooltip="🔗 Ver Mapa" display="🔗 Ver Mapa"/>
    <hyperlink ref="L1445" r:id="rId1443" tooltip="🔗 Ver Mapa" display="🔗 Ver Mapa"/>
    <hyperlink ref="L1446" r:id="rId1444" tooltip="🔗 Ver Mapa" display="🔗 Ver Mapa"/>
    <hyperlink ref="L1447" r:id="rId1445" tooltip="🔗 Ver Mapa" display="🔗 Ver Mapa"/>
    <hyperlink ref="L1448" r:id="rId1446" tooltip="🔗 Ver Mapa" display="🔗 Ver Mapa"/>
    <hyperlink ref="L1449" r:id="rId1447" tooltip="🔗 Ver Mapa" display="🔗 Ver Mapa"/>
    <hyperlink ref="L1450" r:id="rId1448" tooltip="🔗 Ver Mapa" display="🔗 Ver Mapa"/>
    <hyperlink ref="L1451" r:id="rId1449" tooltip="🔗 Ver Mapa" display="🔗 Ver Mapa"/>
    <hyperlink ref="L1452" r:id="rId1450" tooltip="🔗 Ver Mapa" display="🔗 Ver Mapa"/>
    <hyperlink ref="L1453" r:id="rId1451" tooltip="🔗 Ver Mapa" display="🔗 Ver Mapa"/>
    <hyperlink ref="L1454" r:id="rId1452" tooltip="🔗 Ver Mapa" display="🔗 Ver Mapa"/>
    <hyperlink ref="L1455" r:id="rId1453" tooltip="🔗 Ver Mapa" display="🔗 Ver Mapa"/>
    <hyperlink ref="L1456" r:id="rId1454" tooltip="🔗 Ver Mapa" display="🔗 Ver Mapa"/>
    <hyperlink ref="L1457" r:id="rId1455" tooltip="🔗 Ver Mapa" display="🔗 Ver Mapa"/>
    <hyperlink ref="L1458" r:id="rId1456" tooltip="🔗 Ver Mapa" display="🔗 Ver Mapa"/>
    <hyperlink ref="L1459" r:id="rId1457" tooltip="🔗 Ver Mapa" display="🔗 Ver Mapa"/>
    <hyperlink ref="L1460" r:id="rId1458" tooltip="🔗 Ver Mapa" display="🔗 Ver Mapa"/>
    <hyperlink ref="L1461" r:id="rId1459" tooltip="🔗 Ver Mapa" display="🔗 Ver Mapa"/>
    <hyperlink ref="L1462" r:id="rId1460" tooltip="🔗 Ver Mapa" display="🔗 Ver Mapa"/>
    <hyperlink ref="L1463" r:id="rId1461" tooltip="🔗 Ver Mapa" display="🔗 Ver Mapa"/>
    <hyperlink ref="L1464" r:id="rId1462" tooltip="🔗 Ver Mapa" display="🔗 Ver Mapa"/>
    <hyperlink ref="L1465" r:id="rId1463" tooltip="🔗 Ver Mapa" display="🔗 Ver Mapa"/>
    <hyperlink ref="L1466" r:id="rId1464" tooltip="🔗 Ver Mapa" display="🔗 Ver Mapa"/>
    <hyperlink ref="L1467" r:id="rId1465" tooltip="🔗 Ver Mapa" display="🔗 Ver Mapa"/>
    <hyperlink ref="L1468" r:id="rId1466" tooltip="🔗 Ver Mapa" display="🔗 Ver Mapa"/>
    <hyperlink ref="L1469" r:id="rId1467" tooltip="🔗 Ver Mapa" display="🔗 Ver Mapa"/>
    <hyperlink ref="L1470" r:id="rId1468" tooltip="🔗 Ver Mapa" display="🔗 Ver Mapa"/>
    <hyperlink ref="L1471" r:id="rId1469" tooltip="🔗 Ver Mapa" display="🔗 Ver Mapa"/>
    <hyperlink ref="L1472" r:id="rId1470" tooltip="🔗 Ver Mapa" display="🔗 Ver Mapa"/>
    <hyperlink ref="L1473" r:id="rId1471" tooltip="🔗 Ver Mapa" display="🔗 Ver Mapa"/>
    <hyperlink ref="L1474" r:id="rId1472" tooltip="🔗 Ver Mapa" display="🔗 Ver Mapa"/>
    <hyperlink ref="L1475" r:id="rId1473" tooltip="🔗 Ver Mapa" display="🔗 Ver Mapa"/>
    <hyperlink ref="L1476" r:id="rId1474" tooltip="🔗 Ver Mapa" display="🔗 Ver Mapa"/>
    <hyperlink ref="L1477" r:id="rId1475" tooltip="🔗 Ver Mapa" display="🔗 Ver Mapa"/>
    <hyperlink ref="L1478" r:id="rId1476" tooltip="🔗 Ver Mapa" display="🔗 Ver Mapa"/>
    <hyperlink ref="L1479" r:id="rId1477" tooltip="🔗 Ver Mapa" display="🔗 Ver Mapa"/>
    <hyperlink ref="L1480" r:id="rId1478" tooltip="🔗 Ver Mapa" display="🔗 Ver Mapa"/>
    <hyperlink ref="L1481" r:id="rId1479" tooltip="🔗 Ver Mapa" display="🔗 Ver Mapa"/>
    <hyperlink ref="L1482" r:id="rId1480" tooltip="🔗 Ver Mapa" display="🔗 Ver Mapa"/>
    <hyperlink ref="L1483" r:id="rId1481" tooltip="🔗 Ver Mapa" display="🔗 Ver Mapa"/>
    <hyperlink ref="L1484" r:id="rId1482" tooltip="🔗 Ver Mapa" display="🔗 Ver Mapa"/>
    <hyperlink ref="L1485" r:id="rId1483" tooltip="🔗 Ver Mapa" display="🔗 Ver Mapa"/>
    <hyperlink ref="L1486" r:id="rId1484" tooltip="🔗 Ver Mapa" display="🔗 Ver Mapa"/>
    <hyperlink ref="L1487" r:id="rId1485" tooltip="🔗 Ver Mapa" display="🔗 Ver Mapa"/>
    <hyperlink ref="L1488" r:id="rId1486" tooltip="🔗 Ver Mapa" display="🔗 Ver Mapa"/>
    <hyperlink ref="L1489" r:id="rId1487" tooltip="🔗 Ver Mapa" display="🔗 Ver Mapa"/>
    <hyperlink ref="L1490" r:id="rId1488" tooltip="🔗 Ver Mapa" display="🔗 Ver Mapa"/>
    <hyperlink ref="L1491" r:id="rId1489" tooltip="🔗 Ver Mapa" display="🔗 Ver Mapa"/>
    <hyperlink ref="L1492" r:id="rId1490" tooltip="🔗 Ver Mapa" display="🔗 Ver Mapa"/>
    <hyperlink ref="L1493" r:id="rId1491" tooltip="🔗 Ver Mapa" display="🔗 Ver Mapa"/>
    <hyperlink ref="L1494" r:id="rId1492" tooltip="🔗 Ver Mapa" display="🔗 Ver Mapa"/>
    <hyperlink ref="L1495" r:id="rId1493" tooltip="🔗 Ver Mapa" display="🔗 Ver Mapa"/>
    <hyperlink ref="L1496" r:id="rId1494" tooltip="🔗 Ver Mapa" display="🔗 Ver Mapa"/>
    <hyperlink ref="L1497" r:id="rId1495" tooltip="🔗 Ver Mapa" display="🔗 Ver Mapa"/>
    <hyperlink ref="L1498" r:id="rId1496" tooltip="🔗 Ver Mapa" display="🔗 Ver Mapa"/>
    <hyperlink ref="L1499" r:id="rId1497" tooltip="🔗 Ver Mapa" display="🔗 Ver Mapa"/>
    <hyperlink ref="L1500" r:id="rId1498" tooltip="🔗 Ver Mapa" display="🔗 Ver Mapa"/>
    <hyperlink ref="L1501" r:id="rId1499" tooltip="🔗 Ver Mapa" display="🔗 Ver Mapa"/>
    <hyperlink ref="L1502" r:id="rId1500" tooltip="🔗 Ver Mapa" display="🔗 Ver Mapa"/>
    <hyperlink ref="L1503" r:id="rId1501" tooltip="🔗 Ver Mapa" display="🔗 Ver Mapa"/>
    <hyperlink ref="L1504" r:id="rId1502" tooltip="🔗 Ver Mapa" display="🔗 Ver Mapa"/>
    <hyperlink ref="L1505" r:id="rId1503" tooltip="🔗 Ver Mapa" display="🔗 Ver Mapa"/>
    <hyperlink ref="L1506" r:id="rId1504" tooltip="🔗 Ver Mapa" display="🔗 Ver Mapa"/>
    <hyperlink ref="L1507" r:id="rId1505" tooltip="🔗 Ver Mapa" display="🔗 Ver Mapa"/>
    <hyperlink ref="L1508" r:id="rId1506" tooltip="🔗 Ver Mapa" display="🔗 Ver Mapa"/>
    <hyperlink ref="L1509" r:id="rId1507" tooltip="🔗 Ver Mapa" display="🔗 Ver Mapa"/>
    <hyperlink ref="L1510" r:id="rId1508" tooltip="🔗 Ver Mapa" display="🔗 Ver Mapa"/>
    <hyperlink ref="L1511" r:id="rId1509" tooltip="🔗 Ver Mapa" display="🔗 Ver Mapa"/>
    <hyperlink ref="L1512" r:id="rId1510" tooltip="🔗 Ver Mapa" display="🔗 Ver Mapa"/>
    <hyperlink ref="L1513" r:id="rId1511" tooltip="🔗 Ver Mapa" display="🔗 Ver Mapa"/>
    <hyperlink ref="L1514" r:id="rId1512" tooltip="🔗 Ver Mapa" display="🔗 Ver Mapa"/>
    <hyperlink ref="L1515" r:id="rId1513" tooltip="🔗 Ver Mapa" display="🔗 Ver Mapa"/>
    <hyperlink ref="L1516" r:id="rId1514" tooltip="🔗 Ver Mapa" display="🔗 Ver Mapa"/>
    <hyperlink ref="L1517" r:id="rId1515" tooltip="🔗 Ver Mapa" display="🔗 Ver Mapa"/>
    <hyperlink ref="L1518" r:id="rId1516" tooltip="🔗 Ver Mapa" display="🔗 Ver Mapa"/>
    <hyperlink ref="L1519" r:id="rId1517" tooltip="🔗 Ver Mapa" display="🔗 Ver Mapa"/>
    <hyperlink ref="L1520" r:id="rId1518" tooltip="🔗 Ver Mapa" display="🔗 Ver Mapa"/>
    <hyperlink ref="L1521" r:id="rId1519" tooltip="🔗 Ver Mapa" display="🔗 Ver Mapa"/>
    <hyperlink ref="L1522" r:id="rId1520" tooltip="🔗 Ver Mapa" display="🔗 Ver Mapa"/>
    <hyperlink ref="L1523" r:id="rId1521" tooltip="🔗 Ver Mapa" display="🔗 Ver Mapa"/>
    <hyperlink ref="L1524" r:id="rId1522" tooltip="🔗 Ver Mapa" display="🔗 Ver Mapa"/>
    <hyperlink ref="L1525" r:id="rId1523" tooltip="🔗 Ver Mapa" display="🔗 Ver Mapa"/>
    <hyperlink ref="L1526" r:id="rId1524" tooltip="🔗 Ver Mapa" display="🔗 Ver Mapa"/>
    <hyperlink ref="L1527" r:id="rId1525" tooltip="🔗 Ver Mapa" display="🔗 Ver Mapa"/>
    <hyperlink ref="L1528" r:id="rId1526" tooltip="🔗 Ver Mapa" display="🔗 Ver Mapa"/>
    <hyperlink ref="L1529" r:id="rId1527" tooltip="🔗 Ver Mapa" display="🔗 Ver Mapa"/>
    <hyperlink ref="L1530" r:id="rId1528" tooltip="🔗 Ver Mapa" display="🔗 Ver Mapa"/>
    <hyperlink ref="L1531" r:id="rId1529" tooltip="🔗 Ver Mapa" display="🔗 Ver Mapa"/>
    <hyperlink ref="L1532" r:id="rId1530" tooltip="🔗 Ver Mapa" display="🔗 Ver Mapa"/>
    <hyperlink ref="L1533" r:id="rId1531" tooltip="🔗 Ver Mapa" display="🔗 Ver Mapa"/>
    <hyperlink ref="L1534" r:id="rId1532" tooltip="🔗 Ver Mapa" display="🔗 Ver Mapa"/>
    <hyperlink ref="L1535" r:id="rId1533" tooltip="🔗 Ver Mapa" display="🔗 Ver Mapa"/>
    <hyperlink ref="L1536" r:id="rId1534" tooltip="🔗 Ver Mapa" display="🔗 Ver Mapa"/>
    <hyperlink ref="L1537" r:id="rId1535" tooltip="🔗 Ver Mapa" display="🔗 Ver Mapa"/>
    <hyperlink ref="L1538" r:id="rId1536" tooltip="🔗 Ver Mapa" display="🔗 Ver Mapa"/>
    <hyperlink ref="L1539" r:id="rId1537" tooltip="🔗 Ver Mapa" display="🔗 Ver Mapa"/>
    <hyperlink ref="L1540" r:id="rId1538" tooltip="🔗 Ver Mapa" display="🔗 Ver Mapa"/>
    <hyperlink ref="L1541" r:id="rId1539" tooltip="🔗 Ver Mapa" display="🔗 Ver Mapa"/>
    <hyperlink ref="L1542" r:id="rId1540" tooltip="🔗 Ver Mapa" display="🔗 Ver Mapa"/>
    <hyperlink ref="L1543" r:id="rId1541" tooltip="🔗 Ver Mapa" display="🔗 Ver Mapa"/>
    <hyperlink ref="L1544" r:id="rId1542" tooltip="🔗 Ver Mapa" display="🔗 Ver Mapa"/>
    <hyperlink ref="L1545" r:id="rId1543" tooltip="🔗 Ver Mapa" display="🔗 Ver Mapa"/>
    <hyperlink ref="L1546" r:id="rId1544" tooltip="🔗 Ver Mapa" display="🔗 Ver Mapa"/>
    <hyperlink ref="L1547" r:id="rId1545" tooltip="🔗 Ver Mapa" display="🔗 Ver Mapa"/>
    <hyperlink ref="L1548" r:id="rId1546" tooltip="🔗 Ver Mapa" display="🔗 Ver Mapa"/>
    <hyperlink ref="L1549" r:id="rId1547" tooltip="🔗 Ver Mapa" display="🔗 Ver Mapa"/>
    <hyperlink ref="L1550" r:id="rId1548" tooltip="🔗 Ver Mapa" display="🔗 Ver Mapa"/>
    <hyperlink ref="L1551" r:id="rId1549" tooltip="🔗 Ver Mapa" display="🔗 Ver Mapa"/>
    <hyperlink ref="L1552" r:id="rId1550" tooltip="🔗 Ver Mapa" display="🔗 Ver Mapa"/>
    <hyperlink ref="L1553" r:id="rId1551" tooltip="🔗 Ver Mapa" display="🔗 Ver Mapa"/>
    <hyperlink ref="L1554" r:id="rId1552" tooltip="🔗 Ver Mapa" display="🔗 Ver Mapa"/>
    <hyperlink ref="L1555" r:id="rId1553" tooltip="🔗 Ver Mapa" display="🔗 Ver Mapa"/>
    <hyperlink ref="L1556" r:id="rId1554" tooltip="🔗 Ver Mapa" display="🔗 Ver Mapa"/>
    <hyperlink ref="L1557" r:id="rId1555" tooltip="🔗 Ver Mapa" display="🔗 Ver Mapa"/>
    <hyperlink ref="L1558" r:id="rId1556" tooltip="🔗 Ver Mapa" display="🔗 Ver Mapa"/>
    <hyperlink ref="L1559" r:id="rId1557" tooltip="🔗 Ver Mapa" display="🔗 Ver Mapa"/>
    <hyperlink ref="L1560" r:id="rId1558" tooltip="🔗 Ver Mapa" display="🔗 Ver Mapa"/>
    <hyperlink ref="L1561" r:id="rId1559" tooltip="🔗 Ver Mapa" display="🔗 Ver Mapa"/>
    <hyperlink ref="L1562" r:id="rId1560" tooltip="🔗 Ver Mapa" display="🔗 Ver Mapa"/>
    <hyperlink ref="L1563" r:id="rId1561" tooltip="🔗 Ver Mapa" display="🔗 Ver Mapa"/>
    <hyperlink ref="L1564" r:id="rId1562" tooltip="🔗 Ver Mapa" display="🔗 Ver Mapa"/>
    <hyperlink ref="L1565" r:id="rId1563" tooltip="🔗 Ver Mapa" display="🔗 Ver Mapa"/>
    <hyperlink ref="L1566" r:id="rId1564" tooltip="🔗 Ver Mapa" display="🔗 Ver Mapa"/>
    <hyperlink ref="L1567" r:id="rId1565" tooltip="🔗 Ver Mapa" display="🔗 Ver Mapa"/>
    <hyperlink ref="L1568" r:id="rId1566" tooltip="🔗 Ver Mapa" display="🔗 Ver Mapa"/>
    <hyperlink ref="L1569" r:id="rId1567" tooltip="🔗 Ver Mapa" display="🔗 Ver Mapa"/>
    <hyperlink ref="L1570" r:id="rId1568" tooltip="🔗 Ver Mapa" display="🔗 Ver Mapa"/>
    <hyperlink ref="L1571" r:id="rId1569" tooltip="🔗 Ver Mapa" display="🔗 Ver Mapa"/>
    <hyperlink ref="L1572" r:id="rId1570" tooltip="🔗 Ver Mapa" display="🔗 Ver Mapa"/>
    <hyperlink ref="L1573" r:id="rId1571" tooltip="🔗 Ver Mapa" display="🔗 Ver Mapa"/>
    <hyperlink ref="L1574" r:id="rId1572" tooltip="🔗 Ver Mapa" display="🔗 Ver Mapa"/>
    <hyperlink ref="L1575" r:id="rId1573" tooltip="🔗 Ver Mapa" display="🔗 Ver Mapa"/>
    <hyperlink ref="L1576" r:id="rId1574" tooltip="🔗 Ver Mapa" display="🔗 Ver Mapa"/>
    <hyperlink ref="L1577" r:id="rId1575" tooltip="🔗 Ver Mapa" display="🔗 Ver Mapa"/>
    <hyperlink ref="L1578" r:id="rId1576" tooltip="🔗 Ver Mapa" display="🔗 Ver Mapa"/>
    <hyperlink ref="L1579" r:id="rId1577" tooltip="🔗 Ver Mapa" display="🔗 Ver Mapa"/>
    <hyperlink ref="L1580" r:id="rId1578" tooltip="🔗 Ver Mapa" display="🔗 Ver Mapa"/>
    <hyperlink ref="L1581" r:id="rId1579" tooltip="🔗 Ver Mapa" display="🔗 Ver Mapa"/>
    <hyperlink ref="L1582" r:id="rId1580" tooltip="🔗 Ver Mapa" display="🔗 Ver Mapa"/>
    <hyperlink ref="L1583" r:id="rId1581" tooltip="🔗 Ver Mapa" display="🔗 Ver Mapa"/>
    <hyperlink ref="L1584" r:id="rId1582" tooltip="🔗 Ver Mapa" display="🔗 Ver Mapa"/>
    <hyperlink ref="L1585" r:id="rId1583" tooltip="🔗 Ver Mapa" display="🔗 Ver Mapa"/>
    <hyperlink ref="L1586" r:id="rId1584" tooltip="🔗 Ver Mapa" display="🔗 Ver Mapa"/>
    <hyperlink ref="L1587" r:id="rId1585" tooltip="🔗 Ver Mapa" display="🔗 Ver Mapa"/>
    <hyperlink ref="L1588" r:id="rId1586" tooltip="🔗 Ver Mapa" display="🔗 Ver Mapa"/>
    <hyperlink ref="L1589" r:id="rId1587" tooltip="🔗 Ver Mapa" display="🔗 Ver Mapa"/>
    <hyperlink ref="L1590" r:id="rId1588" tooltip="🔗 Ver Mapa" display="🔗 Ver Mapa"/>
    <hyperlink ref="L1591" r:id="rId1589" tooltip="🔗 Ver Mapa" display="🔗 Ver Mapa"/>
    <hyperlink ref="L1592" r:id="rId1590" tooltip="🔗 Ver Mapa" display="🔗 Ver Mapa"/>
    <hyperlink ref="L1593" r:id="rId1591" tooltip="🔗 Ver Mapa" display="🔗 Ver Mapa"/>
    <hyperlink ref="L1594" r:id="rId1592" tooltip="🔗 Ver Mapa" display="🔗 Ver Mapa"/>
    <hyperlink ref="L1595" r:id="rId1593" tooltip="🔗 Ver Mapa" display="🔗 Ver Mapa"/>
    <hyperlink ref="L1596" r:id="rId1594" tooltip="🔗 Ver Mapa" display="🔗 Ver Mapa"/>
    <hyperlink ref="L1597" r:id="rId1595" tooltip="🔗 Ver Mapa" display="🔗 Ver Mapa"/>
    <hyperlink ref="L1598" r:id="rId1596" tooltip="🔗 Ver Mapa" display="🔗 Ver Mapa"/>
    <hyperlink ref="L1599" r:id="rId1597" tooltip="🔗 Ver Mapa" display="🔗 Ver Mapa"/>
    <hyperlink ref="L1600" r:id="rId1598" tooltip="🔗 Ver Mapa" display="🔗 Ver Mapa"/>
    <hyperlink ref="L1601" r:id="rId1599" tooltip="🔗 Ver Mapa" display="🔗 Ver Mapa"/>
    <hyperlink ref="L1602" r:id="rId1600" tooltip="🔗 Ver Mapa" display="🔗 Ver Mapa"/>
    <hyperlink ref="L1603" r:id="rId1601" tooltip="🔗 Ver Mapa" display="🔗 Ver Mapa"/>
    <hyperlink ref="L1604" r:id="rId1602" tooltip="🔗 Ver Mapa" display="🔗 Ver Mapa"/>
    <hyperlink ref="L1605" r:id="rId1603" tooltip="🔗 Ver Mapa" display="🔗 Ver Mapa"/>
    <hyperlink ref="L1606" r:id="rId1604" tooltip="🔗 Ver Mapa" display="🔗 Ver Mapa"/>
    <hyperlink ref="L1607" r:id="rId1605" tooltip="🔗 Ver Mapa" display="🔗 Ver Mapa"/>
    <hyperlink ref="L1608" r:id="rId1606" tooltip="🔗 Ver Mapa" display="🔗 Ver Mapa"/>
    <hyperlink ref="L1609" r:id="rId1607" tooltip="🔗 Ver Mapa" display="🔗 Ver Mapa"/>
    <hyperlink ref="L1610" r:id="rId1608" tooltip="🔗 Ver Mapa" display="🔗 Ver Mapa"/>
    <hyperlink ref="L1611" r:id="rId1609" tooltip="🔗 Ver Mapa" display="🔗 Ver Mapa"/>
    <hyperlink ref="L1612" r:id="rId1610" tooltip="🔗 Ver Mapa" display="🔗 Ver Mapa"/>
    <hyperlink ref="L1613" r:id="rId1611" tooltip="🔗 Ver Mapa" display="🔗 Ver Mapa"/>
    <hyperlink ref="L1614" r:id="rId1612" tooltip="🔗 Ver Mapa" display="🔗 Ver Mapa"/>
    <hyperlink ref="L1615" r:id="rId1613" tooltip="🔗 Ver Mapa" display="🔗 Ver Mapa"/>
    <hyperlink ref="L1616" r:id="rId1614" tooltip="🔗 Ver Mapa" display="🔗 Ver Mapa"/>
    <hyperlink ref="L1617" r:id="rId1615" tooltip="🔗 Ver Mapa" display="🔗 Ver Mapa"/>
    <hyperlink ref="L1618" r:id="rId1616" tooltip="🔗 Ver Mapa" display="🔗 Ver Mapa"/>
    <hyperlink ref="L1619" r:id="rId1617" tooltip="🔗 Ver Mapa" display="🔗 Ver Mapa"/>
    <hyperlink ref="L1620" r:id="rId1618" tooltip="🔗 Ver Mapa" display="🔗 Ver Mapa"/>
    <hyperlink ref="L1621" r:id="rId1619" tooltip="🔗 Ver Mapa" display="🔗 Ver Mapa"/>
    <hyperlink ref="L1622" r:id="rId1620" tooltip="🔗 Ver Mapa" display="🔗 Ver Mapa"/>
    <hyperlink ref="L1623" r:id="rId1621" tooltip="🔗 Ver Mapa" display="🔗 Ver Mapa"/>
    <hyperlink ref="L1624" r:id="rId1622" tooltip="🔗 Ver Mapa" display="🔗 Ver Mapa"/>
    <hyperlink ref="L1625" r:id="rId1623" tooltip="🔗 Ver Mapa" display="🔗 Ver Mapa"/>
    <hyperlink ref="L1626" r:id="rId1624" tooltip="🔗 Ver Mapa" display="🔗 Ver Mapa"/>
    <hyperlink ref="L1627" r:id="rId1625" tooltip="🔗 Ver Mapa" display="🔗 Ver Mapa"/>
    <hyperlink ref="L1628" r:id="rId1626" tooltip="🔗 Ver Mapa" display="🔗 Ver Mapa"/>
    <hyperlink ref="L1629" r:id="rId1627" tooltip="🔗 Ver Mapa" display="🔗 Ver Mapa"/>
    <hyperlink ref="L1630" r:id="rId1628" tooltip="🔗 Ver Mapa" display="🔗 Ver Mapa"/>
    <hyperlink ref="L1631" r:id="rId1629" tooltip="🔗 Ver Mapa" display="🔗 Ver Mapa"/>
    <hyperlink ref="L1632" r:id="rId1630" tooltip="🔗 Ver Mapa" display="🔗 Ver Mapa"/>
    <hyperlink ref="L1633" r:id="rId1631" tooltip="🔗 Ver Mapa" display="🔗 Ver Mapa"/>
    <hyperlink ref="L1634" r:id="rId1632" tooltip="🔗 Ver Mapa" display="🔗 Ver Mapa"/>
    <hyperlink ref="L1635" r:id="rId1633" tooltip="🔗 Ver Mapa" display="🔗 Ver Mapa"/>
    <hyperlink ref="L1636" r:id="rId1634" tooltip="🔗 Ver Mapa" display="🔗 Ver Mapa"/>
    <hyperlink ref="L1637" r:id="rId1635" tooltip="🔗 Ver Mapa" display="🔗 Ver Mapa"/>
    <hyperlink ref="L1638" r:id="rId1636" tooltip="🔗 Ver Mapa" display="🔗 Ver Mapa"/>
    <hyperlink ref="L1639" r:id="rId1637" tooltip="🔗 Ver Mapa" display="🔗 Ver Mapa"/>
    <hyperlink ref="L1640" r:id="rId1638" tooltip="🔗 Ver Mapa" display="🔗 Ver Mapa"/>
    <hyperlink ref="L1641" r:id="rId1639" tooltip="🔗 Ver Mapa" display="🔗 Ver Mapa"/>
    <hyperlink ref="L1642" r:id="rId1640" tooltip="🔗 Ver Mapa" display="🔗 Ver Mapa"/>
    <hyperlink ref="L1643" r:id="rId1641" tooltip="🔗 Ver Mapa" display="🔗 Ver Mapa"/>
    <hyperlink ref="L1644" r:id="rId1642" tooltip="🔗 Ver Mapa" display="🔗 Ver Mapa"/>
    <hyperlink ref="L1645" r:id="rId1643" tooltip="🔗 Ver Mapa" display="🔗 Ver Mapa"/>
    <hyperlink ref="L1646" r:id="rId1644" tooltip="🔗 Ver Mapa" display="🔗 Ver Mapa"/>
    <hyperlink ref="L1647" r:id="rId1645" tooltip="🔗 Ver Mapa" display="🔗 Ver Mapa"/>
    <hyperlink ref="L1648" r:id="rId1646" tooltip="🔗 Ver Mapa" display="🔗 Ver Mapa"/>
    <hyperlink ref="L1649" r:id="rId1647" tooltip="🔗 Ver Mapa" display="🔗 Ver Mapa"/>
    <hyperlink ref="L1650" r:id="rId1648" tooltip="🔗 Ver Mapa" display="🔗 Ver Mapa"/>
    <hyperlink ref="L1651" r:id="rId1649" tooltip="🔗 Ver Mapa" display="🔗 Ver Mapa"/>
    <hyperlink ref="L1652" r:id="rId1650" tooltip="🔗 Ver Mapa" display="🔗 Ver Mapa"/>
    <hyperlink ref="L1653" r:id="rId1651" tooltip="🔗 Ver Mapa" display="🔗 Ver Mapa"/>
    <hyperlink ref="L1654" r:id="rId1652" tooltip="🔗 Ver Mapa" display="🔗 Ver Mapa"/>
    <hyperlink ref="L1655" r:id="rId1653" tooltip="🔗 Ver Mapa" display="🔗 Ver Mapa"/>
    <hyperlink ref="L1656" r:id="rId1654" tooltip="🔗 Ver Mapa" display="🔗 Ver Mapa"/>
    <hyperlink ref="L1657" r:id="rId1655" tooltip="🔗 Ver Mapa" display="🔗 Ver Mapa"/>
    <hyperlink ref="L1658" r:id="rId1656" tooltip="🔗 Ver Mapa" display="🔗 Ver Mapa"/>
    <hyperlink ref="L1659" r:id="rId1657" tooltip="🔗 Ver Mapa" display="🔗 Ver Mapa"/>
    <hyperlink ref="L1660" r:id="rId1658" tooltip="🔗 Ver Mapa" display="🔗 Ver Mapa"/>
    <hyperlink ref="L1661" r:id="rId1659" tooltip="🔗 Ver Mapa" display="🔗 Ver Mapa"/>
    <hyperlink ref="L1662" r:id="rId1660" tooltip="🔗 Ver Mapa" display="🔗 Ver Mapa"/>
    <hyperlink ref="L1663" r:id="rId1661" tooltip="🔗 Ver Mapa" display="🔗 Ver Mapa"/>
    <hyperlink ref="L1664" r:id="rId1662" tooltip="🔗 Ver Mapa" display="🔗 Ver Mapa"/>
    <hyperlink ref="L1665" r:id="rId1663" tooltip="🔗 Ver Mapa" display="🔗 Ver Mapa"/>
    <hyperlink ref="L1666" r:id="rId1664" tooltip="🔗 Ver Mapa" display="🔗 Ver Mapa"/>
    <hyperlink ref="L1667" r:id="rId1665" tooltip="🔗 Ver Mapa" display="🔗 Ver Mapa"/>
    <hyperlink ref="L1668" r:id="rId1666" tooltip="🔗 Ver Mapa" display="🔗 Ver Mapa"/>
    <hyperlink ref="L1669" r:id="rId1667" tooltip="🔗 Ver Mapa" display="🔗 Ver Mapa"/>
    <hyperlink ref="L1670" r:id="rId1668" tooltip="🔗 Ver Mapa" display="🔗 Ver Mapa"/>
    <hyperlink ref="L1671" r:id="rId1669" tooltip="🔗 Ver Mapa" display="🔗 Ver Mapa"/>
    <hyperlink ref="L1672" r:id="rId1670" tooltip="🔗 Ver Mapa" display="🔗 Ver Mapa"/>
    <hyperlink ref="L1673" r:id="rId1671" tooltip="🔗 Ver Mapa" display="🔗 Ver Mapa"/>
    <hyperlink ref="L1674" r:id="rId1672" tooltip="🔗 Ver Mapa" display="🔗 Ver Mapa"/>
    <hyperlink ref="L1675" r:id="rId1673" tooltip="🔗 Ver Mapa" display="🔗 Ver Mapa"/>
    <hyperlink ref="L1676" r:id="rId1674" tooltip="🔗 Ver Mapa" display="🔗 Ver Mapa"/>
    <hyperlink ref="L1677" r:id="rId1675" tooltip="🔗 Ver Mapa" display="🔗 Ver Mapa"/>
    <hyperlink ref="L1678" r:id="rId1676" tooltip="🔗 Ver Mapa" display="🔗 Ver Mapa"/>
    <hyperlink ref="L1679" r:id="rId1677" tooltip="🔗 Ver Mapa" display="🔗 Ver Mapa"/>
    <hyperlink ref="L1680" r:id="rId1678" tooltip="🔗 Ver Mapa" display="🔗 Ver Mapa"/>
    <hyperlink ref="L1681" r:id="rId1679" tooltip="🔗 Ver Mapa" display="🔗 Ver Mapa"/>
    <hyperlink ref="L1682" r:id="rId1680" tooltip="🔗 Ver Mapa" display="🔗 Ver Mapa"/>
    <hyperlink ref="L1683" r:id="rId1681" tooltip="🔗 Ver Mapa" display="🔗 Ver Mapa"/>
    <hyperlink ref="L1684" r:id="rId1682" tooltip="🔗 Ver Mapa" display="🔗 Ver Mapa"/>
    <hyperlink ref="L1685" r:id="rId1683" tooltip="🔗 Ver Mapa" display="🔗 Ver Mapa"/>
    <hyperlink ref="L1686" r:id="rId1684" tooltip="🔗 Ver Mapa" display="🔗 Ver Mapa"/>
    <hyperlink ref="L1687" r:id="rId1685" tooltip="🔗 Ver Mapa" display="🔗 Ver Mapa"/>
    <hyperlink ref="L1688" r:id="rId1686" tooltip="🔗 Ver Mapa" display="🔗 Ver Mapa"/>
    <hyperlink ref="L1689" r:id="rId1687" tooltip="🔗 Ver Mapa" display="🔗 Ver Mapa"/>
    <hyperlink ref="L1690" r:id="rId1688" tooltip="🔗 Ver Mapa" display="🔗 Ver Mapa"/>
    <hyperlink ref="L1691" r:id="rId1689" tooltip="🔗 Ver Mapa" display="🔗 Ver Mapa"/>
    <hyperlink ref="L1692" r:id="rId1690" tooltip="🔗 Ver Mapa" display="🔗 Ver Mapa"/>
    <hyperlink ref="L1693" r:id="rId1691" tooltip="🔗 Ver Mapa" display="🔗 Ver Mapa"/>
    <hyperlink ref="L1694" r:id="rId1692" tooltip="🔗 Ver Mapa" display="🔗 Ver Mapa"/>
    <hyperlink ref="L1695" r:id="rId1693" tooltip="🔗 Ver Mapa" display="🔗 Ver Mapa"/>
    <hyperlink ref="L1696" r:id="rId1694" tooltip="🔗 Ver Mapa" display="🔗 Ver Mapa"/>
    <hyperlink ref="L1697" r:id="rId1695" tooltip="🔗 Ver Mapa" display="🔗 Ver Mapa"/>
    <hyperlink ref="L1698" r:id="rId1696" tooltip="🔗 Ver Mapa" display="🔗 Ver Mapa"/>
    <hyperlink ref="L1699" r:id="rId1697" tooltip="🔗 Ver Mapa" display="🔗 Ver Mapa"/>
    <hyperlink ref="L1700" r:id="rId1698" tooltip="🔗 Ver Mapa" display="🔗 Ver Mapa"/>
    <hyperlink ref="L1701" r:id="rId1699" tooltip="🔗 Ver Mapa" display="🔗 Ver Mapa"/>
    <hyperlink ref="L1702" r:id="rId1700" tooltip="🔗 Ver Mapa" display="🔗 Ver Mapa"/>
    <hyperlink ref="L1703" r:id="rId1701" tooltip="🔗 Ver Mapa" display="🔗 Ver Mapa"/>
    <hyperlink ref="L1704" r:id="rId1702" tooltip="🔗 Ver Mapa" display="🔗 Ver Mapa"/>
    <hyperlink ref="L1705" r:id="rId1703" tooltip="🔗 Ver Mapa" display="🔗 Ver Mapa"/>
    <hyperlink ref="L1706" r:id="rId1704" tooltip="🔗 Ver Mapa" display="🔗 Ver Mapa"/>
    <hyperlink ref="L1707" r:id="rId1705" tooltip="🔗 Ver Mapa" display="🔗 Ver Mapa"/>
    <hyperlink ref="L1708" r:id="rId1706" tooltip="🔗 Ver Mapa" display="🔗 Ver Mapa"/>
    <hyperlink ref="L1709" r:id="rId1707" tooltip="🔗 Ver Mapa" display="🔗 Ver Mapa"/>
    <hyperlink ref="L1710" r:id="rId1708" tooltip="🔗 Ver Mapa" display="🔗 Ver Mapa"/>
    <hyperlink ref="L1711" r:id="rId1709" tooltip="🔗 Ver Mapa" display="🔗 Ver Mapa"/>
    <hyperlink ref="L1712" r:id="rId1710" tooltip="🔗 Ver Mapa" display="🔗 Ver Mapa"/>
    <hyperlink ref="L1713" r:id="rId1711" tooltip="🔗 Ver Mapa" display="🔗 Ver Mapa"/>
    <hyperlink ref="L1714" r:id="rId1712" tooltip="🔗 Ver Mapa" display="🔗 Ver Mapa"/>
    <hyperlink ref="L1715" r:id="rId1713" tooltip="🔗 Ver Mapa" display="🔗 Ver Mapa"/>
    <hyperlink ref="L1716" r:id="rId1714" tooltip="🔗 Ver Mapa" display="🔗 Ver Mapa"/>
    <hyperlink ref="L1717" r:id="rId1715" tooltip="🔗 Ver Mapa" display="🔗 Ver Mapa"/>
    <hyperlink ref="L1718" r:id="rId1716" tooltip="🔗 Ver Mapa" display="🔗 Ver Mapa"/>
    <hyperlink ref="L1719" r:id="rId1717" tooltip="🔗 Ver Mapa" display="🔗 Ver Mapa"/>
    <hyperlink ref="L1720" r:id="rId1718" tooltip="🔗 Ver Mapa" display="🔗 Ver Mapa"/>
    <hyperlink ref="L1721" r:id="rId1719" tooltip="🔗 Ver Mapa" display="🔗 Ver Mapa"/>
    <hyperlink ref="L1722" r:id="rId1720" tooltip="🔗 Ver Mapa" display="🔗 Ver Mapa"/>
    <hyperlink ref="L1723" r:id="rId1721" tooltip="🔗 Ver Mapa" display="🔗 Ver Mapa"/>
    <hyperlink ref="L1724" r:id="rId1722" tooltip="🔗 Ver Mapa" display="🔗 Ver Mapa"/>
    <hyperlink ref="L1725" r:id="rId1723" tooltip="🔗 Ver Mapa" display="🔗 Ver Mapa"/>
    <hyperlink ref="L1726" r:id="rId1724" tooltip="🔗 Ver Mapa" display="🔗 Ver Mapa"/>
    <hyperlink ref="L1727" r:id="rId1725" tooltip="🔗 Ver Mapa" display="🔗 Ver Mapa"/>
    <hyperlink ref="L1728" r:id="rId1726" tooltip="🔗 Ver Mapa" display="🔗 Ver Mapa"/>
    <hyperlink ref="L1729" r:id="rId1727" tooltip="🔗 Ver Mapa" display="🔗 Ver Mapa"/>
    <hyperlink ref="L1730" r:id="rId1728" tooltip="🔗 Ver Mapa" display="🔗 Ver Mapa"/>
    <hyperlink ref="L1731" r:id="rId1729" tooltip="🔗 Ver Mapa" display="🔗 Ver Mapa"/>
    <hyperlink ref="L1732" r:id="rId1730" tooltip="🔗 Ver Mapa" display="🔗 Ver Mapa"/>
    <hyperlink ref="L1733" r:id="rId1731" tooltip="🔗 Ver Mapa" display="🔗 Ver Mapa"/>
    <hyperlink ref="L1734" r:id="rId1732" tooltip="🔗 Ver Mapa" display="🔗 Ver Mapa"/>
    <hyperlink ref="L1735" r:id="rId1733" tooltip="🔗 Ver Mapa" display="🔗 Ver Mapa"/>
    <hyperlink ref="L1736" r:id="rId1734" tooltip="🔗 Ver Mapa" display="🔗 Ver Mapa"/>
    <hyperlink ref="L1737" r:id="rId1735" tooltip="🔗 Ver Mapa" display="🔗 Ver Mapa"/>
    <hyperlink ref="L1738" r:id="rId1736" tooltip="🔗 Ver Mapa" display="🔗 Ver Mapa"/>
    <hyperlink ref="L1739" r:id="rId1737" tooltip="🔗 Ver Mapa" display="🔗 Ver Mapa"/>
    <hyperlink ref="L1740" r:id="rId1738" tooltip="🔗 Ver Mapa" display="🔗 Ver Mapa"/>
    <hyperlink ref="L1741" r:id="rId1739" tooltip="🔗 Ver Mapa" display="🔗 Ver Mapa"/>
    <hyperlink ref="L1742" r:id="rId1740" tooltip="🔗 Ver Mapa" display="🔗 Ver Mapa"/>
    <hyperlink ref="L1743" r:id="rId1741" tooltip="🔗 Ver Mapa" display="🔗 Ver Mapa"/>
    <hyperlink ref="L1744" r:id="rId1742" tooltip="🔗 Ver Mapa" display="🔗 Ver Mapa"/>
    <hyperlink ref="L1745" r:id="rId1743" tooltip="🔗 Ver Mapa" display="🔗 Ver Mapa"/>
    <hyperlink ref="L1746" r:id="rId1744" tooltip="🔗 Ver Mapa" display="🔗 Ver Mapa"/>
    <hyperlink ref="L1747" r:id="rId1745" tooltip="🔗 Ver Mapa" display="🔗 Ver Mapa"/>
    <hyperlink ref="L1748" r:id="rId1746" tooltip="🔗 Ver Mapa" display="🔗 Ver Mapa"/>
    <hyperlink ref="L1749" r:id="rId1747" tooltip="🔗 Ver Mapa" display="🔗 Ver Mapa"/>
    <hyperlink ref="L1750" r:id="rId1748" tooltip="🔗 Ver Mapa" display="🔗 Ver Mapa"/>
    <hyperlink ref="L1751" r:id="rId1749" tooltip="🔗 Ver Mapa" display="🔗 Ver Mapa"/>
    <hyperlink ref="L1752" r:id="rId1750" tooltip="🔗 Ver Mapa" display="🔗 Ver Mapa"/>
    <hyperlink ref="L1753" r:id="rId1751" tooltip="🔗 Ver Mapa" display="🔗 Ver Mapa"/>
    <hyperlink ref="L1754" r:id="rId1752" tooltip="🔗 Ver Mapa" display="🔗 Ver Mapa"/>
    <hyperlink ref="L1755" r:id="rId1753" tooltip="🔗 Ver Mapa" display="🔗 Ver Mapa"/>
    <hyperlink ref="L1756" r:id="rId1754" tooltip="🔗 Ver Mapa" display="🔗 Ver Mapa"/>
    <hyperlink ref="L1757" r:id="rId1755" tooltip="🔗 Ver Mapa" display="🔗 Ver Mapa"/>
    <hyperlink ref="L1758" r:id="rId1756" tooltip="🔗 Ver Mapa" display="🔗 Ver Mapa"/>
    <hyperlink ref="L1759" r:id="rId1757" tooltip="🔗 Ver Mapa" display="🔗 Ver Mapa"/>
    <hyperlink ref="L1760" r:id="rId1758" tooltip="🔗 Ver Mapa" display="🔗 Ver Mapa"/>
    <hyperlink ref="L1761" r:id="rId1759" tooltip="🔗 Ver Mapa" display="🔗 Ver Mapa"/>
    <hyperlink ref="L1762" r:id="rId1760" tooltip="🔗 Ver Mapa" display="🔗 Ver Mapa"/>
    <hyperlink ref="L1763" r:id="rId1761" tooltip="🔗 Ver Mapa" display="🔗 Ver Mapa"/>
    <hyperlink ref="L1764" r:id="rId1762" tooltip="🔗 Ver Mapa" display="🔗 Ver Mapa"/>
    <hyperlink ref="L1765" r:id="rId1763" tooltip="🔗 Ver Mapa" display="🔗 Ver Mapa"/>
    <hyperlink ref="L1766" r:id="rId1764" tooltip="🔗 Ver Mapa" display="🔗 Ver Mapa"/>
    <hyperlink ref="L1767" r:id="rId1765" tooltip="🔗 Ver Mapa" display="🔗 Ver Mapa"/>
    <hyperlink ref="L1768" r:id="rId1766" tooltip="🔗 Ver Mapa" display="🔗 Ver Mapa"/>
    <hyperlink ref="L1769" r:id="rId1767" tooltip="🔗 Ver Mapa" display="🔗 Ver Mapa"/>
    <hyperlink ref="L1770" r:id="rId1768" tooltip="🔗 Ver Mapa" display="🔗 Ver Mapa"/>
    <hyperlink ref="L1771" r:id="rId1769" tooltip="🔗 Ver Mapa" display="🔗 Ver Mapa"/>
    <hyperlink ref="L1772" r:id="rId1770" tooltip="🔗 Ver Mapa" display="🔗 Ver Mapa"/>
    <hyperlink ref="L1773" r:id="rId1771" tooltip="🔗 Ver Mapa" display="🔗 Ver Mapa"/>
    <hyperlink ref="L1774" r:id="rId1772" tooltip="🔗 Ver Mapa" display="🔗 Ver Mapa"/>
    <hyperlink ref="L1775" r:id="rId1773" tooltip="🔗 Ver Mapa" display="🔗 Ver Mapa"/>
    <hyperlink ref="L1776" r:id="rId1774" tooltip="🔗 Ver Mapa" display="🔗 Ver Mapa"/>
    <hyperlink ref="L1777" r:id="rId1775" tooltip="🔗 Ver Mapa" display="🔗 Ver Mapa"/>
    <hyperlink ref="L1778" r:id="rId1776" tooltip="🔗 Ver Mapa" display="🔗 Ver Mapa"/>
    <hyperlink ref="L1779" r:id="rId1777" tooltip="🔗 Ver Mapa" display="🔗 Ver Mapa"/>
    <hyperlink ref="L1780" r:id="rId1778" tooltip="🔗 Ver Mapa" display="🔗 Ver Mapa"/>
    <hyperlink ref="L1781" r:id="rId1779" tooltip="🔗 Ver Mapa" display="🔗 Ver Mapa"/>
    <hyperlink ref="L1782" r:id="rId1780" tooltip="🔗 Ver Mapa" display="🔗 Ver Mapa"/>
    <hyperlink ref="L1783" r:id="rId1781" tooltip="🔗 Ver Mapa" display="🔗 Ver Mapa"/>
    <hyperlink ref="L1784" r:id="rId1782" tooltip="🔗 Ver Mapa" display="🔗 Ver Mapa"/>
    <hyperlink ref="L1785" r:id="rId1783" tooltip="🔗 Ver Mapa" display="🔗 Ver Mapa"/>
    <hyperlink ref="L1786" r:id="rId1784" tooltip="🔗 Ver Mapa" display="🔗 Ver Mapa"/>
    <hyperlink ref="L1787" r:id="rId1785" tooltip="🔗 Ver Mapa" display="🔗 Ver Mapa"/>
    <hyperlink ref="L1788" r:id="rId1786" tooltip="🔗 Ver Mapa" display="🔗 Ver Mapa"/>
    <hyperlink ref="L1789" r:id="rId1787" tooltip="🔗 Ver Mapa" display="🔗 Ver Mapa"/>
    <hyperlink ref="L1790" r:id="rId1788" tooltip="🔗 Ver Mapa" display="🔗 Ver Mapa"/>
    <hyperlink ref="L1791" r:id="rId1789" tooltip="🔗 Ver Mapa" display="🔗 Ver Mapa"/>
    <hyperlink ref="L1792" r:id="rId1790" tooltip="🔗 Ver Mapa" display="🔗 Ver Mapa"/>
    <hyperlink ref="L1793" r:id="rId1791" tooltip="🔗 Ver Mapa" display="🔗 Ver Mapa"/>
    <hyperlink ref="L1794" r:id="rId1792" tooltip="🔗 Ver Mapa" display="🔗 Ver Mapa"/>
    <hyperlink ref="L1795" r:id="rId1793" tooltip="🔗 Ver Mapa" display="🔗 Ver Mapa"/>
    <hyperlink ref="L1796" r:id="rId1794" tooltip="🔗 Ver Mapa" display="🔗 Ver Mapa"/>
    <hyperlink ref="L1797" r:id="rId1795" tooltip="🔗 Ver Mapa" display="🔗 Ver Mapa"/>
    <hyperlink ref="L1798" r:id="rId1796" tooltip="🔗 Ver Mapa" display="🔗 Ver Mapa"/>
    <hyperlink ref="L1799" r:id="rId1797" tooltip="🔗 Ver Mapa" display="🔗 Ver Mapa"/>
    <hyperlink ref="L1800" r:id="rId1798" tooltip="🔗 Ver Mapa" display="🔗 Ver Mapa"/>
    <hyperlink ref="L1801" r:id="rId1799" tooltip="🔗 Ver Mapa" display="🔗 Ver Mapa"/>
    <hyperlink ref="L1802" r:id="rId1800" tooltip="🔗 Ver Mapa" display="🔗 Ver Mapa"/>
    <hyperlink ref="L1803" r:id="rId1801" tooltip="🔗 Ver Mapa" display="🔗 Ver Mapa"/>
    <hyperlink ref="L1804" r:id="rId1802" tooltip="🔗 Ver Mapa" display="🔗 Ver Mapa"/>
    <hyperlink ref="L1805" r:id="rId1803" tooltip="🔗 Ver Mapa" display="🔗 Ver Mapa"/>
    <hyperlink ref="L1806" r:id="rId1804" tooltip="🔗 Ver Mapa" display="🔗 Ver Mapa"/>
    <hyperlink ref="L1807" r:id="rId1805" tooltip="🔗 Ver Mapa" display="🔗 Ver Mapa"/>
    <hyperlink ref="L1808" r:id="rId1806" tooltip="🔗 Ver Mapa" display="🔗 Ver Mapa"/>
    <hyperlink ref="L1809" r:id="rId1807" tooltip="🔗 Ver Mapa" display="🔗 Ver Mapa"/>
    <hyperlink ref="L1810" r:id="rId1808" tooltip="🔗 Ver Mapa" display="🔗 Ver Mapa"/>
    <hyperlink ref="L1811" r:id="rId1809" tooltip="🔗 Ver Mapa" display="🔗 Ver Mapa"/>
    <hyperlink ref="L1812" r:id="rId1810" tooltip="🔗 Ver Mapa" display="🔗 Ver Mapa"/>
    <hyperlink ref="L1813" r:id="rId1811" tooltip="🔗 Ver Mapa" display="🔗 Ver Mapa"/>
    <hyperlink ref="L1814" r:id="rId1812" tooltip="🔗 Ver Mapa" display="🔗 Ver Mapa"/>
    <hyperlink ref="L1815" r:id="rId1813" tooltip="🔗 Ver Mapa" display="🔗 Ver Mapa"/>
    <hyperlink ref="L1816" r:id="rId1814" tooltip="🔗 Ver Mapa" display="🔗 Ver Mapa"/>
    <hyperlink ref="L1817" r:id="rId1815" tooltip="🔗 Ver Mapa" display="🔗 Ver Mapa"/>
    <hyperlink ref="L1818" r:id="rId1816" tooltip="🔗 Ver Mapa" display="🔗 Ver Mapa"/>
    <hyperlink ref="L1819" r:id="rId1817" tooltip="🔗 Ver Mapa" display="🔗 Ver Mapa"/>
    <hyperlink ref="L1820" r:id="rId1818" tooltip="🔗 Ver Mapa" display="🔗 Ver Mapa"/>
    <hyperlink ref="L1821" r:id="rId1819" tooltip="🔗 Ver Mapa" display="🔗 Ver Mapa"/>
    <hyperlink ref="L1822" r:id="rId1820" tooltip="🔗 Ver Mapa" display="🔗 Ver Mapa"/>
    <hyperlink ref="L1823" r:id="rId1821" tooltip="🔗 Ver Mapa" display="🔗 Ver Mapa"/>
    <hyperlink ref="L1824" r:id="rId1822" tooltip="🔗 Ver Mapa" display="🔗 Ver Mapa"/>
    <hyperlink ref="L1825" r:id="rId1823" tooltip="🔗 Ver Mapa" display="🔗 Ver Mapa"/>
    <hyperlink ref="L1826" r:id="rId1824" tooltip="🔗 Ver Mapa" display="🔗 Ver Mapa"/>
    <hyperlink ref="L1827" r:id="rId1825" tooltip="🔗 Ver Mapa" display="🔗 Ver Mapa"/>
    <hyperlink ref="L1828" r:id="rId1826" tooltip="🔗 Ver Mapa" display="🔗 Ver Mapa"/>
    <hyperlink ref="L1829" r:id="rId1827" tooltip="🔗 Ver Mapa" display="🔗 Ver Mapa"/>
    <hyperlink ref="L1830" r:id="rId1828" tooltip="🔗 Ver Mapa" display="🔗 Ver Mapa"/>
    <hyperlink ref="L1831" r:id="rId1829" tooltip="🔗 Ver Mapa" display="🔗 Ver Mapa"/>
    <hyperlink ref="L1832" r:id="rId1830" tooltip="🔗 Ver Mapa" display="🔗 Ver Mapa"/>
    <hyperlink ref="L1833" r:id="rId1831" tooltip="🔗 Ver Mapa" display="🔗 Ver Mapa"/>
    <hyperlink ref="L1834" r:id="rId1832" tooltip="🔗 Ver Mapa" display="🔗 Ver Mapa"/>
    <hyperlink ref="L1835" r:id="rId1833" tooltip="🔗 Ver Mapa" display="🔗 Ver Mapa"/>
    <hyperlink ref="L1836" r:id="rId1834" tooltip="🔗 Ver Mapa" display="🔗 Ver Mapa"/>
    <hyperlink ref="L1837" r:id="rId1835" tooltip="🔗 Ver Mapa" display="🔗 Ver Mapa"/>
    <hyperlink ref="L1838" r:id="rId1836" tooltip="🔗 Ver Mapa" display="🔗 Ver Mapa"/>
    <hyperlink ref="L1839" r:id="rId1837" tooltip="🔗 Ver Mapa" display="🔗 Ver Mapa"/>
    <hyperlink ref="L1840" r:id="rId1838" tooltip="🔗 Ver Mapa" display="🔗 Ver Mapa"/>
    <hyperlink ref="L1841" r:id="rId1839" tooltip="🔗 Ver Mapa" display="🔗 Ver Mapa"/>
    <hyperlink ref="L1842" r:id="rId1840" tooltip="🔗 Ver Mapa" display="🔗 Ver Mapa"/>
    <hyperlink ref="L1843" r:id="rId1841" tooltip="🔗 Ver Mapa" display="🔗 Ver Mapa"/>
    <hyperlink ref="L1844" r:id="rId1842" tooltip="🔗 Ver Mapa" display="🔗 Ver Mapa"/>
    <hyperlink ref="L1845" r:id="rId1843" tooltip="🔗 Ver Mapa" display="🔗 Ver Mapa"/>
    <hyperlink ref="L1846" r:id="rId1844" tooltip="🔗 Ver Mapa" display="🔗 Ver Mapa"/>
    <hyperlink ref="L1847" r:id="rId1845" tooltip="🔗 Ver Mapa" display="🔗 Ver Mapa"/>
    <hyperlink ref="L1848" r:id="rId1846" tooltip="🔗 Ver Mapa" display="🔗 Ver Mapa"/>
    <hyperlink ref="L1849" r:id="rId1847" tooltip="🔗 Ver Mapa" display="🔗 Ver Mapa"/>
    <hyperlink ref="L1850" r:id="rId1848" tooltip="🔗 Ver Mapa" display="🔗 Ver Mapa"/>
    <hyperlink ref="L1851" r:id="rId1849" tooltip="🔗 Ver Mapa" display="🔗 Ver Mapa"/>
    <hyperlink ref="L1852" r:id="rId1850" tooltip="🔗 Ver Mapa" display="🔗 Ver Mapa"/>
    <hyperlink ref="L1853" r:id="rId1851" tooltip="🔗 Ver Mapa" display="🔗 Ver Mapa"/>
    <hyperlink ref="L1854" r:id="rId1852" tooltip="🔗 Ver Mapa" display="🔗 Ver Mapa"/>
    <hyperlink ref="L1855" r:id="rId1853" tooltip="🔗 Ver Mapa" display="🔗 Ver Mapa"/>
    <hyperlink ref="L1856" r:id="rId1854" tooltip="🔗 Ver Mapa" display="🔗 Ver Mapa"/>
    <hyperlink ref="L1857" r:id="rId1855" tooltip="🔗 Ver Mapa" display="🔗 Ver Mapa"/>
    <hyperlink ref="L1858" r:id="rId1856" tooltip="🔗 Ver Mapa" display="🔗 Ver Mapa"/>
    <hyperlink ref="L1859" r:id="rId1857" tooltip="🔗 Ver Mapa" display="🔗 Ver Mapa"/>
    <hyperlink ref="L1860" r:id="rId1858" tooltip="🔗 Ver Mapa" display="🔗 Ver Mapa"/>
    <hyperlink ref="L1861" r:id="rId1859" tooltip="🔗 Ver Mapa" display="🔗 Ver Mapa"/>
    <hyperlink ref="L1862" r:id="rId1860" tooltip="🔗 Ver Mapa" display="🔗 Ver Mapa"/>
    <hyperlink ref="L1863" r:id="rId1861" tooltip="🔗 Ver Mapa" display="🔗 Ver Mapa"/>
    <hyperlink ref="L1864" r:id="rId1862" tooltip="🔗 Ver Mapa" display="🔗 Ver Mapa"/>
    <hyperlink ref="L1865" r:id="rId1863" tooltip="🔗 Ver Mapa" display="🔗 Ver Mapa"/>
    <hyperlink ref="L1866" r:id="rId1864" tooltip="🔗 Ver Mapa" display="🔗 Ver Mapa"/>
    <hyperlink ref="L1867" r:id="rId1865" tooltip="🔗 Ver Mapa" display="🔗 Ver Mapa"/>
    <hyperlink ref="L1868" r:id="rId1866" tooltip="🔗 Ver Mapa" display="🔗 Ver Mapa"/>
    <hyperlink ref="L1869" r:id="rId1867" tooltip="🔗 Ver Mapa" display="🔗 Ver Mapa"/>
    <hyperlink ref="L1870" r:id="rId1868" tooltip="🔗 Ver Mapa" display="🔗 Ver Mapa"/>
    <hyperlink ref="L1871" r:id="rId1869" tooltip="🔗 Ver Mapa" display="🔗 Ver Mapa"/>
    <hyperlink ref="L1872" r:id="rId1870" tooltip="🔗 Ver Mapa" display="🔗 Ver Mapa"/>
    <hyperlink ref="L1873" r:id="rId1871" tooltip="🔗 Ver Mapa" display="🔗 Ver Mapa"/>
    <hyperlink ref="L1874" r:id="rId1872" tooltip="🔗 Ver Mapa" display="🔗 Ver Mapa"/>
    <hyperlink ref="L1875" r:id="rId1873" tooltip="🔗 Ver Mapa" display="🔗 Ver Mapa"/>
    <hyperlink ref="L1876" r:id="rId1874" tooltip="🔗 Ver Mapa" display="🔗 Ver Mapa"/>
    <hyperlink ref="L1877" r:id="rId1875" tooltip="🔗 Ver Mapa" display="🔗 Ver Mapa"/>
    <hyperlink ref="L1878" r:id="rId1876" tooltip="🔗 Ver Mapa" display="🔗 Ver Mapa"/>
    <hyperlink ref="L1879" r:id="rId1877" tooltip="🔗 Ver Mapa" display="🔗 Ver Mapa"/>
    <hyperlink ref="L1880" r:id="rId1878" tooltip="🔗 Ver Mapa" display="🔗 Ver Mapa"/>
    <hyperlink ref="L1881" r:id="rId1879" tooltip="🔗 Ver Mapa" display="🔗 Ver Mapa"/>
    <hyperlink ref="L1882" r:id="rId1880" tooltip="🔗 Ver Mapa" display="🔗 Ver Mapa"/>
    <hyperlink ref="L1883" r:id="rId1881" tooltip="🔗 Ver Mapa" display="🔗 Ver Mapa"/>
    <hyperlink ref="L1884" r:id="rId1882" tooltip="🔗 Ver Mapa" display="🔗 Ver Mapa"/>
    <hyperlink ref="L1885" r:id="rId1883" tooltip="🔗 Ver Mapa" display="🔗 Ver Mapa"/>
    <hyperlink ref="L1886" r:id="rId1884" tooltip="🔗 Ver Mapa" display="🔗 Ver Mapa"/>
    <hyperlink ref="L1887" r:id="rId1885" tooltip="🔗 Ver Mapa" display="🔗 Ver Mapa"/>
    <hyperlink ref="L1888" r:id="rId1886" tooltip="🔗 Ver Mapa" display="🔗 Ver Mapa"/>
    <hyperlink ref="L1889" r:id="rId1887" tooltip="🔗 Ver Mapa" display="🔗 Ver Mapa"/>
    <hyperlink ref="L1890" r:id="rId1888" tooltip="🔗 Ver Mapa" display="🔗 Ver Mapa"/>
    <hyperlink ref="L1891" r:id="rId1889" tooltip="🔗 Ver Mapa" display="🔗 Ver Mapa"/>
    <hyperlink ref="L1892" r:id="rId1890" tooltip="🔗 Ver Mapa" display="🔗 Ver Mapa"/>
    <hyperlink ref="L1893" r:id="rId1891" tooltip="🔗 Ver Mapa" display="🔗 Ver Mapa"/>
    <hyperlink ref="L1894" r:id="rId1892" tooltip="🔗 Ver Mapa" display="🔗 Ver Mapa"/>
    <hyperlink ref="L1895" r:id="rId1893" tooltip="🔗 Ver Mapa" display="🔗 Ver Mapa"/>
    <hyperlink ref="L1896" r:id="rId1894" tooltip="🔗 Ver Mapa" display="🔗 Ver Mapa"/>
    <hyperlink ref="L1897" r:id="rId1895" tooltip="🔗 Ver Mapa" display="🔗 Ver Mapa"/>
    <hyperlink ref="L1898" r:id="rId1896" tooltip="🔗 Ver Mapa" display="🔗 Ver Mapa"/>
    <hyperlink ref="L1899" r:id="rId1897" tooltip="🔗 Ver Mapa" display="🔗 Ver Mapa"/>
    <hyperlink ref="L1900" r:id="rId1898" tooltip="🔗 Ver Mapa" display="🔗 Ver Mapa"/>
    <hyperlink ref="L1901" r:id="rId1899" tooltip="🔗 Ver Mapa" display="🔗 Ver Mapa"/>
    <hyperlink ref="L1902" r:id="rId1900" tooltip="🔗 Ver Mapa" display="🔗 Ver Mapa"/>
    <hyperlink ref="L1903" r:id="rId1901" tooltip="🔗 Ver Mapa" display="🔗 Ver Mapa"/>
    <hyperlink ref="L1904" r:id="rId1902" tooltip="🔗 Ver Mapa" display="🔗 Ver Mapa"/>
    <hyperlink ref="L1905" r:id="rId1903" tooltip="🔗 Ver Mapa" display="🔗 Ver Mapa"/>
    <hyperlink ref="L1906" r:id="rId1904" tooltip="🔗 Ver Mapa" display="🔗 Ver Mapa"/>
    <hyperlink ref="L1907" r:id="rId1905" tooltip="🔗 Ver Mapa" display="🔗 Ver Mapa"/>
    <hyperlink ref="L1908" r:id="rId1906" tooltip="🔗 Ver Mapa" display="🔗 Ver Mapa"/>
    <hyperlink ref="L1909" r:id="rId1907" tooltip="🔗 Ver Mapa" display="🔗 Ver Mapa"/>
    <hyperlink ref="L1910" r:id="rId1908" tooltip="🔗 Ver Mapa" display="🔗 Ver Mapa"/>
    <hyperlink ref="L1911" r:id="rId1909" tooltip="🔗 Ver Mapa" display="🔗 Ver Mapa"/>
    <hyperlink ref="L1912" r:id="rId1910" tooltip="🔗 Ver Mapa" display="🔗 Ver Mapa"/>
    <hyperlink ref="L1913" r:id="rId1911" tooltip="🔗 Ver Mapa" display="🔗 Ver Mapa"/>
    <hyperlink ref="L1914" r:id="rId1912" tooltip="🔗 Ver Mapa" display="🔗 Ver Mapa"/>
    <hyperlink ref="L1915" r:id="rId1913" tooltip="🔗 Ver Mapa" display="🔗 Ver Mapa"/>
    <hyperlink ref="L1916" r:id="rId1914" tooltip="🔗 Ver Mapa" display="🔗 Ver Mapa"/>
    <hyperlink ref="L1917" r:id="rId1915" tooltip="🔗 Ver Mapa" display="🔗 Ver Mapa"/>
    <hyperlink ref="L1918" r:id="rId1916" tooltip="🔗 Ver Mapa" display="🔗 Ver Mapa"/>
    <hyperlink ref="L1919" r:id="rId1917" tooltip="🔗 Ver Mapa" display="🔗 Ver Mapa"/>
    <hyperlink ref="L1920" r:id="rId1918" tooltip="🔗 Ver Mapa" display="🔗 Ver Mapa"/>
    <hyperlink ref="L1921" r:id="rId1919" tooltip="🔗 Ver Mapa" display="🔗 Ver Mapa"/>
    <hyperlink ref="L1922" r:id="rId1920" tooltip="🔗 Ver Mapa" display="🔗 Ver Mapa"/>
    <hyperlink ref="L1923" r:id="rId1921" tooltip="🔗 Ver Mapa" display="🔗 Ver Mapa"/>
    <hyperlink ref="L1924" r:id="rId1922" tooltip="🔗 Ver Mapa" display="🔗 Ver Mapa"/>
    <hyperlink ref="L1925" r:id="rId1923" tooltip="🔗 Ver Mapa" display="🔗 Ver Mapa"/>
    <hyperlink ref="L1926" r:id="rId1924" tooltip="🔗 Ver Mapa" display="🔗 Ver Mapa"/>
    <hyperlink ref="L1927" r:id="rId1925" tooltip="🔗 Ver Mapa" display="🔗 Ver Mapa"/>
    <hyperlink ref="L1928" r:id="rId1926" tooltip="🔗 Ver Mapa" display="🔗 Ver Mapa"/>
    <hyperlink ref="L1929" r:id="rId1927" tooltip="🔗 Ver Mapa" display="🔗 Ver Mapa"/>
    <hyperlink ref="L1930" r:id="rId1928" tooltip="🔗 Ver Mapa" display="🔗 Ver Mapa"/>
    <hyperlink ref="L1931" r:id="rId1929" tooltip="🔗 Ver Mapa" display="🔗 Ver Mapa"/>
    <hyperlink ref="L1932" r:id="rId1930" tooltip="🔗 Ver Mapa" display="🔗 Ver Mapa"/>
    <hyperlink ref="L1933" r:id="rId1931" tooltip="🔗 Ver Mapa" display="🔗 Ver Mapa"/>
    <hyperlink ref="L1934" r:id="rId1932" tooltip="🔗 Ver Mapa" display="🔗 Ver Mapa"/>
    <hyperlink ref="L1935" r:id="rId1933" tooltip="🔗 Ver Mapa" display="🔗 Ver Mapa"/>
    <hyperlink ref="L1936" r:id="rId1934" tooltip="🔗 Ver Mapa" display="🔗 Ver Mapa"/>
    <hyperlink ref="L1937" r:id="rId1935" tooltip="🔗 Ver Mapa" display="🔗 Ver Mapa"/>
    <hyperlink ref="L1938" r:id="rId1936" tooltip="🔗 Ver Mapa" display="🔗 Ver Mapa"/>
    <hyperlink ref="L1939" r:id="rId1937" tooltip="🔗 Ver Mapa" display="🔗 Ver Mapa"/>
    <hyperlink ref="L1940" r:id="rId1938" tooltip="🔗 Ver Mapa" display="🔗 Ver Mapa"/>
    <hyperlink ref="L1941" r:id="rId1939" tooltip="🔗 Ver Mapa" display="🔗 Ver Mapa"/>
    <hyperlink ref="L1942" r:id="rId1940" tooltip="🔗 Ver Mapa" display="🔗 Ver Mapa"/>
    <hyperlink ref="L1943" r:id="rId1941" tooltip="🔗 Ver Mapa" display="🔗 Ver Mapa"/>
    <hyperlink ref="L1944" r:id="rId1942" tooltip="🔗 Ver Mapa" display="🔗 Ver Mapa"/>
    <hyperlink ref="L1945" r:id="rId1943" tooltip="🔗 Ver Mapa" display="🔗 Ver Mapa"/>
    <hyperlink ref="L1946" r:id="rId1944" tooltip="🔗 Ver Mapa" display="🔗 Ver Mapa"/>
    <hyperlink ref="L1947" r:id="rId1945" tooltip="🔗 Ver Mapa" display="🔗 Ver Mapa"/>
    <hyperlink ref="L1948" r:id="rId1946" tooltip="🔗 Ver Mapa" display="🔗 Ver Mapa"/>
    <hyperlink ref="L1949" r:id="rId1947" tooltip="🔗 Ver Mapa" display="🔗 Ver Mapa"/>
    <hyperlink ref="L1950" r:id="rId1948" tooltip="🔗 Ver Mapa" display="🔗 Ver Mapa"/>
    <hyperlink ref="L1951" r:id="rId1949" tooltip="🔗 Ver Mapa" display="🔗 Ver Mapa"/>
    <hyperlink ref="L1952" r:id="rId1950" tooltip="🔗 Ver Mapa" display="🔗 Ver Mapa"/>
    <hyperlink ref="L1953" r:id="rId1951" tooltip="🔗 Ver Mapa" display="🔗 Ver Mapa"/>
    <hyperlink ref="L1954" r:id="rId1952" tooltip="🔗 Ver Mapa" display="🔗 Ver Mapa"/>
    <hyperlink ref="L1955" r:id="rId1953" tooltip="🔗 Ver Mapa" display="🔗 Ver Mapa"/>
    <hyperlink ref="L1956" r:id="rId1954" tooltip="🔗 Ver Mapa" display="🔗 Ver Mapa"/>
    <hyperlink ref="L1957" r:id="rId1955" tooltip="🔗 Ver Mapa" display="🔗 Ver Mapa"/>
    <hyperlink ref="L1958" r:id="rId1956" tooltip="🔗 Ver Mapa" display="🔗 Ver Mapa"/>
    <hyperlink ref="L1959" r:id="rId1957" tooltip="🔗 Ver Mapa" display="🔗 Ver Mapa"/>
    <hyperlink ref="L1960" r:id="rId1958" tooltip="🔗 Ver Mapa" display="🔗 Ver Mapa"/>
    <hyperlink ref="L1961" r:id="rId1959" tooltip="🔗 Ver Mapa" display="🔗 Ver Mapa"/>
    <hyperlink ref="L1962" r:id="rId1960" tooltip="🔗 Ver Mapa" display="🔗 Ver Mapa"/>
    <hyperlink ref="L1963" r:id="rId1961" tooltip="🔗 Ver Mapa" display="🔗 Ver Mapa"/>
    <hyperlink ref="L1964" r:id="rId1962" tooltip="🔗 Ver Mapa" display="🔗 Ver Mapa"/>
    <hyperlink ref="L1965" r:id="rId1963" tooltip="🔗 Ver Mapa" display="🔗 Ver Mapa"/>
    <hyperlink ref="L1966" r:id="rId1964" tooltip="🔗 Ver Mapa" display="🔗 Ver Mapa"/>
    <hyperlink ref="L1967" r:id="rId1965" tooltip="🔗 Ver Mapa" display="🔗 Ver Mapa"/>
    <hyperlink ref="L1968" r:id="rId1966" tooltip="🔗 Ver Mapa" display="🔗 Ver Mapa"/>
    <hyperlink ref="L1969" r:id="rId1967" tooltip="🔗 Ver Mapa" display="🔗 Ver Mapa"/>
    <hyperlink ref="L1970" r:id="rId1968" tooltip="🔗 Ver Mapa" display="🔗 Ver Mapa"/>
    <hyperlink ref="L1971" r:id="rId1969" tooltip="🔗 Ver Mapa" display="🔗 Ver Mapa"/>
    <hyperlink ref="L1972" r:id="rId1970" tooltip="🔗 Ver Mapa" display="🔗 Ver Mapa"/>
    <hyperlink ref="L1973" r:id="rId1971" tooltip="🔗 Ver Mapa" display="🔗 Ver Mapa"/>
    <hyperlink ref="L1974" r:id="rId1972" tooltip="🔗 Ver Mapa" display="🔗 Ver Mapa"/>
    <hyperlink ref="L1975" r:id="rId1973" tooltip="🔗 Ver Mapa" display="🔗 Ver Mapa"/>
    <hyperlink ref="L1976" r:id="rId1974" tooltip="🔗 Ver Mapa" display="🔗 Ver Mapa"/>
    <hyperlink ref="L1977" r:id="rId1975" tooltip="🔗 Ver Mapa" display="🔗 Ver Mapa"/>
    <hyperlink ref="L1978" r:id="rId1976" tooltip="🔗 Ver Mapa" display="🔗 Ver Mapa"/>
    <hyperlink ref="L1979" r:id="rId1977" tooltip="🔗 Ver Mapa" display="🔗 Ver Mapa"/>
    <hyperlink ref="L1980" r:id="rId1978" tooltip="🔗 Ver Mapa" display="🔗 Ver Mapa"/>
    <hyperlink ref="L1981" r:id="rId1979" tooltip="🔗 Ver Mapa" display="🔗 Ver Mapa"/>
    <hyperlink ref="L1982" r:id="rId1980" tooltip="🔗 Ver Mapa" display="🔗 Ver Mapa"/>
    <hyperlink ref="L1983" r:id="rId1981" tooltip="🔗 Ver Mapa" display="🔗 Ver Mapa"/>
    <hyperlink ref="L1984" r:id="rId1982" tooltip="🔗 Ver Mapa" display="🔗 Ver Mapa"/>
    <hyperlink ref="L1985" r:id="rId1983" tooltip="🔗 Ver Mapa" display="🔗 Ver Mapa"/>
    <hyperlink ref="L1986" r:id="rId1984" tooltip="🔗 Ver Mapa" display="🔗 Ver Mapa"/>
    <hyperlink ref="L1987" r:id="rId1985" tooltip="🔗 Ver Mapa" display="🔗 Ver Mapa"/>
    <hyperlink ref="L1988" r:id="rId1986" tooltip="🔗 Ver Mapa" display="🔗 Ver Mapa"/>
    <hyperlink ref="L1989" r:id="rId1987" tooltip="🔗 Ver Mapa" display="🔗 Ver Mapa"/>
    <hyperlink ref="L1990" r:id="rId1988" tooltip="🔗 Ver Mapa" display="🔗 Ver Mapa"/>
    <hyperlink ref="L1991" r:id="rId1989" tooltip="🔗 Ver Mapa" display="🔗 Ver Mapa"/>
    <hyperlink ref="L1992" r:id="rId1990" tooltip="🔗 Ver Mapa" display="🔗 Ver Mapa"/>
    <hyperlink ref="L1993" r:id="rId1991" tooltip="🔗 Ver Mapa" display="🔗 Ver Mapa"/>
    <hyperlink ref="L1994" r:id="rId1992" tooltip="🔗 Ver Mapa" display="🔗 Ver Mapa"/>
    <hyperlink ref="L1995" r:id="rId1993" tooltip="🔗 Ver Mapa" display="🔗 Ver Mapa"/>
    <hyperlink ref="L1996" r:id="rId1994" tooltip="🔗 Ver Mapa" display="🔗 Ver Mapa"/>
    <hyperlink ref="L1997" r:id="rId1995" tooltip="🔗 Ver Mapa" display="🔗 Ver Mapa"/>
    <hyperlink ref="L1998" r:id="rId1996" tooltip="🔗 Ver Mapa" display="🔗 Ver Mapa"/>
    <hyperlink ref="L1999" r:id="rId1997" tooltip="🔗 Ver Mapa" display="🔗 Ver Mapa"/>
    <hyperlink ref="L2000" r:id="rId1998" tooltip="🔗 Ver Mapa" display="🔗 Ver Mapa"/>
    <hyperlink ref="L2001" r:id="rId1999" tooltip="🔗 Ver Mapa" display="🔗 Ver Mapa"/>
    <hyperlink ref="L2002" r:id="rId2000" tooltip="🔗 Ver Mapa" display="🔗 Ver Mapa"/>
    <hyperlink ref="L2003" r:id="rId2001" tooltip="🔗 Ver Mapa" display="🔗 Ver Mapa"/>
    <hyperlink ref="L2004" r:id="rId2002" tooltip="🔗 Ver Mapa" display="🔗 Ver Mapa"/>
    <hyperlink ref="L2005" r:id="rId2003" tooltip="🔗 Ver Mapa" display="🔗 Ver Mapa"/>
    <hyperlink ref="L2006" r:id="rId2004" tooltip="🔗 Ver Mapa" display="🔗 Ver Mapa"/>
    <hyperlink ref="L2007" r:id="rId2005" tooltip="🔗 Ver Mapa" display="🔗 Ver Mapa"/>
    <hyperlink ref="L2008" r:id="rId2006" tooltip="🔗 Ver Mapa" display="🔗 Ver Mapa"/>
    <hyperlink ref="L2009" r:id="rId2007" tooltip="🔗 Ver Mapa" display="🔗 Ver Mapa"/>
    <hyperlink ref="L2010" r:id="rId2008" tooltip="🔗 Ver Mapa" display="🔗 Ver Mapa"/>
    <hyperlink ref="L2011" r:id="rId2009" tooltip="🔗 Ver Mapa" display="🔗 Ver Mapa"/>
    <hyperlink ref="L2012" r:id="rId2010" tooltip="🔗 Ver Mapa" display="🔗 Ver Mapa"/>
    <hyperlink ref="L2013" r:id="rId2011" tooltip="🔗 Ver Mapa" display="🔗 Ver Mapa"/>
    <hyperlink ref="L2014" r:id="rId2012" tooltip="🔗 Ver Mapa" display="🔗 Ver Mapa"/>
    <hyperlink ref="L2015" r:id="rId2013" tooltip="🔗 Ver Mapa" display="🔗 Ver Mapa"/>
    <hyperlink ref="L2016" r:id="rId2014" tooltip="🔗 Ver Mapa" display="🔗 Ver Mapa"/>
    <hyperlink ref="L2017" r:id="rId2015" tooltip="🔗 Ver Mapa" display="🔗 Ver Mapa"/>
    <hyperlink ref="L2018" r:id="rId2016" tooltip="🔗 Ver Mapa" display="🔗 Ver Mapa"/>
    <hyperlink ref="L2019" r:id="rId2017" tooltip="🔗 Ver Mapa" display="🔗 Ver Mapa"/>
    <hyperlink ref="L2020" r:id="rId2018" tooltip="🔗 Ver Mapa" display="🔗 Ver Mapa"/>
    <hyperlink ref="L2021" r:id="rId2019" tooltip="🔗 Ver Mapa" display="🔗 Ver Mapa"/>
    <hyperlink ref="L2022" r:id="rId2020" tooltip="🔗 Ver Mapa" display="🔗 Ver Mapa"/>
    <hyperlink ref="L2023" r:id="rId2021" tooltip="🔗 Ver Mapa" display="🔗 Ver Mapa"/>
    <hyperlink ref="L2024" r:id="rId2022" tooltip="🔗 Ver Mapa" display="🔗 Ver Mapa"/>
    <hyperlink ref="L2025" r:id="rId2023" tooltip="🔗 Ver Mapa" display="🔗 Ver Mapa"/>
    <hyperlink ref="L2026" r:id="rId2024" tooltip="🔗 Ver Mapa" display="🔗 Ver Mapa"/>
    <hyperlink ref="L2027" r:id="rId2025" tooltip="🔗 Ver Mapa" display="🔗 Ver Mapa"/>
    <hyperlink ref="L2028" r:id="rId2026" tooltip="🔗 Ver Mapa" display="🔗 Ver Mapa"/>
    <hyperlink ref="L2029" r:id="rId2027" tooltip="🔗 Ver Mapa" display="🔗 Ver Mapa"/>
    <hyperlink ref="L2030" r:id="rId2028" tooltip="🔗 Ver Mapa" display="🔗 Ver Mapa"/>
    <hyperlink ref="L2031" r:id="rId2029" tooltip="🔗 Ver Mapa" display="🔗 Ver Mapa"/>
    <hyperlink ref="L2032" r:id="rId2030" tooltip="🔗 Ver Mapa" display="🔗 Ver Mapa"/>
    <hyperlink ref="L2033" r:id="rId2031" tooltip="🔗 Ver Mapa" display="🔗 Ver Mapa"/>
    <hyperlink ref="L2034" r:id="rId2032" tooltip="🔗 Ver Mapa" display="🔗 Ver Mapa"/>
    <hyperlink ref="L2035" r:id="rId2033" tooltip="🔗 Ver Mapa" display="🔗 Ver Mapa"/>
    <hyperlink ref="L2036" r:id="rId2034" tooltip="🔗 Ver Mapa" display="🔗 Ver Mapa"/>
    <hyperlink ref="L2037" r:id="rId2035" tooltip="🔗 Ver Mapa" display="🔗 Ver Mapa"/>
    <hyperlink ref="L2038" r:id="rId2036" tooltip="🔗 Ver Mapa" display="🔗 Ver Mapa"/>
    <hyperlink ref="L2039" r:id="rId2037" tooltip="🔗 Ver Mapa" display="🔗 Ver Mapa"/>
    <hyperlink ref="L2040" r:id="rId2038" tooltip="🔗 Ver Mapa" display="🔗 Ver Mapa"/>
    <hyperlink ref="L2041" r:id="rId2039" tooltip="🔗 Ver Mapa" display="🔗 Ver Mapa"/>
    <hyperlink ref="L2042" r:id="rId2040" tooltip="🔗 Ver Mapa" display="🔗 Ver Mapa"/>
    <hyperlink ref="L2043" r:id="rId2041" tooltip="🔗 Ver Mapa" display="🔗 Ver Mapa"/>
    <hyperlink ref="L2044" r:id="rId2042" tooltip="🔗 Ver Mapa" display="🔗 Ver Mapa"/>
    <hyperlink ref="L2045" r:id="rId2043" tooltip="🔗 Ver Mapa" display="🔗 Ver Mapa"/>
    <hyperlink ref="L2046" r:id="rId2044" tooltip="🔗 Ver Mapa" display="🔗 Ver Mapa"/>
    <hyperlink ref="L2047" r:id="rId2045" tooltip="🔗 Ver Mapa" display="🔗 Ver Mapa"/>
    <hyperlink ref="L2048" r:id="rId2046" tooltip="🔗 Ver Mapa" display="🔗 Ver Mapa"/>
    <hyperlink ref="L2049" r:id="rId2047" tooltip="🔗 Ver Mapa" display="🔗 Ver Mapa"/>
    <hyperlink ref="L2050" r:id="rId2048" tooltip="🔗 Ver Mapa" display="🔗 Ver Mapa"/>
    <hyperlink ref="L2051" r:id="rId2049" tooltip="🔗 Ver Mapa" display="🔗 Ver Mapa"/>
    <hyperlink ref="L2052" r:id="rId2050" tooltip="🔗 Ver Mapa" display="🔗 Ver Mapa"/>
    <hyperlink ref="L2053" r:id="rId2051" tooltip="🔗 Ver Mapa" display="🔗 Ver Mapa"/>
    <hyperlink ref="L2054" r:id="rId2052" tooltip="🔗 Ver Mapa" display="🔗 Ver Mapa"/>
    <hyperlink ref="L2055" r:id="rId2053" tooltip="🔗 Ver Mapa" display="🔗 Ver Mapa"/>
    <hyperlink ref="L2056" r:id="rId2054" tooltip="🔗 Ver Mapa" display="🔗 Ver Mapa"/>
    <hyperlink ref="L2057" r:id="rId2055" tooltip="🔗 Ver Mapa" display="🔗 Ver Mapa"/>
    <hyperlink ref="L2058" r:id="rId2056" tooltip="🔗 Ver Mapa" display="🔗 Ver Mapa"/>
    <hyperlink ref="L2059" r:id="rId2057" tooltip="🔗 Ver Mapa" display="🔗 Ver Mapa"/>
    <hyperlink ref="L2060" r:id="rId2058" tooltip="🔗 Ver Mapa" display="🔗 Ver Mapa"/>
    <hyperlink ref="L2061" r:id="rId2059" tooltip="🔗 Ver Mapa" display="🔗 Ver Mapa"/>
    <hyperlink ref="L2062" r:id="rId2060" tooltip="🔗 Ver Mapa" display="🔗 Ver Mapa"/>
    <hyperlink ref="L2063" r:id="rId2061" tooltip="🔗 Ver Mapa" display="🔗 Ver Mapa"/>
    <hyperlink ref="L2064" r:id="rId2062" tooltip="🔗 Ver Mapa" display="🔗 Ver Mapa"/>
    <hyperlink ref="L2065" r:id="rId2063" tooltip="🔗 Ver Mapa" display="🔗 Ver Mapa"/>
    <hyperlink ref="L2066" r:id="rId2064" tooltip="🔗 Ver Mapa" display="🔗 Ver Mapa"/>
    <hyperlink ref="L2067" r:id="rId2065" tooltip="🔗 Ver Mapa" display="🔗 Ver Mapa"/>
    <hyperlink ref="L2068" r:id="rId2066" tooltip="🔗 Ver Mapa" display="🔗 Ver Mapa"/>
    <hyperlink ref="L2069" r:id="rId2067" tooltip="🔗 Ver Mapa" display="🔗 Ver Mapa"/>
    <hyperlink ref="L2070" r:id="rId2068" tooltip="🔗 Ver Mapa" display="🔗 Ver Mapa"/>
    <hyperlink ref="L2071" r:id="rId2069" tooltip="🔗 Ver Mapa" display="🔗 Ver Mapa"/>
    <hyperlink ref="L2072" r:id="rId2070" tooltip="🔗 Ver Mapa" display="🔗 Ver Mapa"/>
    <hyperlink ref="L2073" r:id="rId2071" tooltip="🔗 Ver Mapa" display="🔗 Ver Mapa"/>
    <hyperlink ref="L2074" r:id="rId2072" tooltip="🔗 Ver Mapa" display="🔗 Ver Mapa"/>
    <hyperlink ref="L2075" r:id="rId2073" tooltip="🔗 Ver Mapa" display="🔗 Ver Mapa"/>
    <hyperlink ref="L2076" r:id="rId2074" tooltip="🔗 Ver Mapa" display="🔗 Ver Mapa"/>
    <hyperlink ref="L2077" r:id="rId2075" tooltip="🔗 Ver Mapa" display="🔗 Ver Mapa"/>
    <hyperlink ref="L2078" r:id="rId2076" tooltip="🔗 Ver Mapa" display="🔗 Ver Mapa"/>
    <hyperlink ref="L2079" r:id="rId2077" tooltip="🔗 Ver Mapa" display="🔗 Ver Mapa"/>
    <hyperlink ref="L2080" r:id="rId2078" tooltip="🔗 Ver Mapa" display="🔗 Ver Mapa"/>
    <hyperlink ref="L2081" r:id="rId2079" tooltip="🔗 Ver Mapa" display="🔗 Ver Mapa"/>
    <hyperlink ref="L2082" r:id="rId2080" tooltip="🔗 Ver Mapa" display="🔗 Ver Mapa"/>
    <hyperlink ref="L2083" r:id="rId2081" tooltip="🔗 Ver Mapa" display="🔗 Ver Mapa"/>
    <hyperlink ref="L2084" r:id="rId2082" tooltip="🔗 Ver Mapa" display="🔗 Ver Mapa"/>
    <hyperlink ref="L2085" r:id="rId2083" tooltip="🔗 Ver Mapa" display="🔗 Ver Mapa"/>
    <hyperlink ref="L2086" r:id="rId2084" tooltip="🔗 Ver Mapa" display="🔗 Ver Mapa"/>
    <hyperlink ref="L2087" r:id="rId2085" tooltip="🔗 Ver Mapa" display="🔗 Ver Mapa"/>
    <hyperlink ref="L2088" r:id="rId2086" tooltip="🔗 Ver Mapa" display="🔗 Ver Mapa"/>
    <hyperlink ref="L2089" r:id="rId2087" tooltip="🔗 Ver Mapa" display="🔗 Ver Mapa"/>
    <hyperlink ref="L2090" r:id="rId2088" tooltip="🔗 Ver Mapa" display="🔗 Ver Mapa"/>
    <hyperlink ref="L2091" r:id="rId2089" tooltip="🔗 Ver Mapa" display="🔗 Ver Mapa"/>
    <hyperlink ref="L2092" r:id="rId2090" tooltip="🔗 Ver Mapa" display="🔗 Ver Mapa"/>
    <hyperlink ref="L2093" r:id="rId2091" tooltip="🔗 Ver Mapa" display="🔗 Ver Mapa"/>
    <hyperlink ref="L2094" r:id="rId2092" tooltip="🔗 Ver Mapa" display="🔗 Ver Mapa"/>
    <hyperlink ref="L2095" r:id="rId2093" tooltip="🔗 Ver Mapa" display="🔗 Ver Mapa"/>
    <hyperlink ref="L2096" r:id="rId2094" tooltip="🔗 Ver Mapa" display="🔗 Ver Mapa"/>
    <hyperlink ref="L2097" r:id="rId2095" tooltip="🔗 Ver Mapa" display="🔗 Ver Mapa"/>
    <hyperlink ref="L2098" r:id="rId2096" tooltip="🔗 Ver Mapa" display="🔗 Ver Mapa"/>
    <hyperlink ref="L2099" r:id="rId2097" tooltip="🔗 Ver Mapa" display="🔗 Ver Mapa"/>
    <hyperlink ref="L2100" r:id="rId2098" tooltip="🔗 Ver Mapa" display="🔗 Ver Mapa"/>
    <hyperlink ref="L2101" r:id="rId2099" tooltip="🔗 Ver Mapa" display="🔗 Ver Mapa"/>
    <hyperlink ref="L2102" r:id="rId2100" tooltip="🔗 Ver Mapa" display="🔗 Ver Mapa"/>
    <hyperlink ref="L2103" r:id="rId2101" tooltip="🔗 Ver Mapa" display="🔗 Ver Mapa"/>
    <hyperlink ref="L2104" r:id="rId2102" tooltip="🔗 Ver Mapa" display="🔗 Ver Mapa"/>
    <hyperlink ref="L2105" r:id="rId2103" tooltip="🔗 Ver Mapa" display="🔗 Ver Mapa"/>
    <hyperlink ref="L2106" r:id="rId2104" tooltip="🔗 Ver Mapa" display="🔗 Ver Mapa"/>
    <hyperlink ref="L2107" r:id="rId2105" tooltip="🔗 Ver Mapa" display="🔗 Ver Mapa"/>
    <hyperlink ref="L2108" r:id="rId2106" tooltip="🔗 Ver Mapa" display="🔗 Ver Mapa"/>
    <hyperlink ref="L2109" r:id="rId2107" tooltip="🔗 Ver Mapa" display="🔗 Ver Mapa"/>
    <hyperlink ref="L2110" r:id="rId2108" tooltip="🔗 Ver Mapa" display="🔗 Ver Mapa"/>
    <hyperlink ref="L2111" r:id="rId2109" tooltip="🔗 Ver Mapa" display="🔗 Ver Mapa"/>
    <hyperlink ref="L2112" r:id="rId2110" tooltip="🔗 Ver Mapa" display="🔗 Ver Mapa"/>
    <hyperlink ref="L2113" r:id="rId2111" tooltip="🔗 Ver Mapa" display="🔗 Ver Mapa"/>
    <hyperlink ref="L2114" r:id="rId2112" tooltip="🔗 Ver Mapa" display="🔗 Ver Mapa"/>
    <hyperlink ref="L2115" r:id="rId2113" tooltip="🔗 Ver Mapa" display="🔗 Ver Mapa"/>
    <hyperlink ref="L2116" r:id="rId2114" tooltip="🔗 Ver Mapa" display="🔗 Ver Mapa"/>
    <hyperlink ref="L2117" r:id="rId2115" tooltip="🔗 Ver Mapa" display="🔗 Ver Mapa"/>
    <hyperlink ref="L2118" r:id="rId2116" tooltip="🔗 Ver Mapa" display="🔗 Ver Mapa"/>
    <hyperlink ref="L2119" r:id="rId2117" tooltip="🔗 Ver Mapa" display="🔗 Ver Mapa"/>
    <hyperlink ref="L2120" r:id="rId2118" tooltip="🔗 Ver Mapa" display="🔗 Ver Mapa"/>
    <hyperlink ref="L2121" r:id="rId2119" tooltip="🔗 Ver Mapa" display="🔗 Ver Mapa"/>
    <hyperlink ref="L2122" r:id="rId2120" tooltip="🔗 Ver Mapa" display="🔗 Ver Mapa"/>
    <hyperlink ref="L2123" r:id="rId2121" tooltip="🔗 Ver Mapa" display="🔗 Ver Mapa"/>
    <hyperlink ref="L2124" r:id="rId2122" tooltip="🔗 Ver Mapa" display="🔗 Ver Mapa"/>
    <hyperlink ref="L2125" r:id="rId2123" tooltip="🔗 Ver Mapa" display="🔗 Ver Mapa"/>
    <hyperlink ref="L2126" r:id="rId2124" tooltip="🔗 Ver Mapa" display="🔗 Ver Mapa"/>
    <hyperlink ref="L2127" r:id="rId2125" tooltip="🔗 Ver Mapa" display="🔗 Ver Mapa"/>
    <hyperlink ref="L2128" r:id="rId2126" tooltip="🔗 Ver Mapa" display="🔗 Ver Mapa"/>
    <hyperlink ref="L2129" r:id="rId2127" tooltip="🔗 Ver Mapa" display="🔗 Ver Mapa"/>
    <hyperlink ref="L2130" r:id="rId2128" tooltip="🔗 Ver Mapa" display="🔗 Ver Mapa"/>
    <hyperlink ref="L2131" r:id="rId2129" tooltip="🔗 Ver Mapa" display="🔗 Ver Mapa"/>
    <hyperlink ref="L2132" r:id="rId2130" tooltip="🔗 Ver Mapa" display="🔗 Ver Mapa"/>
    <hyperlink ref="L2133" r:id="rId2131" tooltip="🔗 Ver Mapa" display="🔗 Ver Mapa"/>
    <hyperlink ref="L2134" r:id="rId2132" tooltip="🔗 Ver Mapa" display="🔗 Ver Mapa"/>
    <hyperlink ref="L2135" r:id="rId2133" tooltip="🔗 Ver Mapa" display="🔗 Ver Mapa"/>
    <hyperlink ref="L2136" r:id="rId2134" tooltip="🔗 Ver Mapa" display="🔗 Ver Mapa"/>
    <hyperlink ref="L2137" r:id="rId2135" tooltip="🔗 Ver Mapa" display="🔗 Ver Mapa"/>
    <hyperlink ref="L2138" r:id="rId2136" tooltip="🔗 Ver Mapa" display="🔗 Ver Mapa"/>
    <hyperlink ref="L2139" r:id="rId2137" tooltip="🔗 Ver Mapa" display="🔗 Ver Mapa"/>
    <hyperlink ref="L2140" r:id="rId2138" tooltip="🔗 Ver Mapa" display="🔗 Ver Mapa"/>
    <hyperlink ref="L2141" r:id="rId2139" tooltip="🔗 Ver Mapa" display="🔗 Ver Mapa"/>
    <hyperlink ref="L2142" r:id="rId2140" tooltip="🔗 Ver Mapa" display="🔗 Ver Mapa"/>
    <hyperlink ref="L2143" r:id="rId2141" tooltip="🔗 Ver Mapa" display="🔗 Ver Mapa"/>
    <hyperlink ref="L2144" r:id="rId2142" tooltip="🔗 Ver Mapa" display="🔗 Ver Mapa"/>
    <hyperlink ref="L2145" r:id="rId2143" tooltip="🔗 Ver Mapa" display="🔗 Ver Mapa"/>
    <hyperlink ref="L2146" r:id="rId2144" tooltip="🔗 Ver Mapa" display="🔗 Ver Mapa"/>
    <hyperlink ref="L2147" r:id="rId2145" tooltip="🔗 Ver Mapa" display="🔗 Ver Mapa"/>
    <hyperlink ref="L2148" r:id="rId2146" tooltip="🔗 Ver Mapa" display="🔗 Ver Mapa"/>
    <hyperlink ref="L2149" r:id="rId2147" tooltip="🔗 Ver Mapa" display="🔗 Ver Mapa"/>
    <hyperlink ref="L2150" r:id="rId2148" tooltip="🔗 Ver Mapa" display="🔗 Ver Mapa"/>
    <hyperlink ref="L2151" r:id="rId2149" tooltip="🔗 Ver Mapa" display="🔗 Ver Mapa"/>
    <hyperlink ref="L2152" r:id="rId2150" tooltip="🔗 Ver Mapa" display="🔗 Ver Mapa"/>
    <hyperlink ref="L2153" r:id="rId2151" tooltip="🔗 Ver Mapa" display="🔗 Ver Mapa"/>
    <hyperlink ref="L2154" r:id="rId2152" tooltip="🔗 Ver Mapa" display="🔗 Ver Mapa"/>
    <hyperlink ref="L2155" r:id="rId2153" tooltip="🔗 Ver Mapa" display="🔗 Ver Mapa"/>
    <hyperlink ref="L2156" r:id="rId2154" tooltip="🔗 Ver Mapa" display="🔗 Ver Mapa"/>
    <hyperlink ref="L2157" r:id="rId2155" tooltip="🔗 Ver Mapa" display="🔗 Ver Mapa"/>
    <hyperlink ref="L2158" r:id="rId2156" tooltip="🔗 Ver Mapa" display="🔗 Ver Mapa"/>
    <hyperlink ref="L2159" r:id="rId2157" tooltip="🔗 Ver Mapa" display="🔗 Ver Mapa"/>
    <hyperlink ref="L2160" r:id="rId2158" tooltip="🔗 Ver Mapa" display="🔗 Ver Mapa"/>
    <hyperlink ref="L2161" r:id="rId2159" tooltip="🔗 Ver Mapa" display="🔗 Ver Mapa"/>
    <hyperlink ref="L2162" r:id="rId2160" tooltip="🔗 Ver Mapa" display="🔗 Ver Mapa"/>
    <hyperlink ref="L2163" r:id="rId2161" tooltip="🔗 Ver Mapa" display="🔗 Ver Mapa"/>
    <hyperlink ref="L2164" r:id="rId2162" tooltip="🔗 Ver Mapa" display="🔗 Ver Mapa"/>
    <hyperlink ref="L2165" r:id="rId2163" tooltip="🔗 Ver Mapa" display="🔗 Ver Mapa"/>
    <hyperlink ref="L2166" r:id="rId2164" tooltip="🔗 Ver Mapa" display="🔗 Ver Mapa"/>
    <hyperlink ref="L2167" r:id="rId2165" tooltip="🔗 Ver Mapa" display="🔗 Ver Mapa"/>
    <hyperlink ref="L2168" r:id="rId2166" tooltip="🔗 Ver Mapa" display="🔗 Ver Mapa"/>
    <hyperlink ref="L2169" r:id="rId2167" tooltip="🔗 Ver Mapa" display="🔗 Ver Mapa"/>
    <hyperlink ref="L2170" r:id="rId2168" tooltip="🔗 Ver Mapa" display="🔗 Ver Mapa"/>
    <hyperlink ref="L2171" r:id="rId2169" tooltip="🔗 Ver Mapa" display="🔗 Ver Mapa"/>
    <hyperlink ref="L2172" r:id="rId2170" tooltip="🔗 Ver Mapa" display="🔗 Ver Mapa"/>
    <hyperlink ref="L2173" r:id="rId2171" tooltip="🔗 Ver Mapa" display="🔗 Ver Mapa"/>
    <hyperlink ref="L2174" r:id="rId2172" tooltip="🔗 Ver Mapa" display="🔗 Ver Mapa"/>
    <hyperlink ref="L2175" r:id="rId2173" tooltip="🔗 Ver Mapa" display="🔗 Ver Mapa"/>
    <hyperlink ref="L2176" r:id="rId2174" tooltip="🔗 Ver Mapa" display="🔗 Ver Mapa"/>
    <hyperlink ref="L2177" r:id="rId2175" tooltip="🔗 Ver Mapa" display="🔗 Ver Mapa"/>
    <hyperlink ref="L2178" r:id="rId2176" tooltip="🔗 Ver Mapa" display="🔗 Ver Mapa"/>
    <hyperlink ref="L2179" r:id="rId2177" tooltip="🔗 Ver Mapa" display="🔗 Ver Mapa"/>
    <hyperlink ref="L2180" r:id="rId2178" tooltip="🔗 Ver Mapa" display="🔗 Ver Mapa"/>
    <hyperlink ref="L2181" r:id="rId2179" tooltip="🔗 Ver Mapa" display="🔗 Ver Mapa"/>
    <hyperlink ref="L2182" r:id="rId2180" tooltip="🔗 Ver Mapa" display="🔗 Ver Mapa"/>
    <hyperlink ref="L2183" r:id="rId2181" tooltip="🔗 Ver Mapa" display="🔗 Ver Mapa"/>
    <hyperlink ref="L2184" r:id="rId2182" tooltip="🔗 Ver Mapa" display="🔗 Ver Mapa"/>
    <hyperlink ref="L2185" r:id="rId2183" tooltip="🔗 Ver Mapa" display="🔗 Ver Mapa"/>
    <hyperlink ref="L2186" r:id="rId2184" tooltip="🔗 Ver Mapa" display="🔗 Ver Mapa"/>
    <hyperlink ref="L2187" r:id="rId2185" tooltip="🔗 Ver Mapa" display="🔗 Ver Mapa"/>
    <hyperlink ref="L2188" r:id="rId2186" tooltip="🔗 Ver Mapa" display="🔗 Ver Mapa"/>
    <hyperlink ref="L2189" r:id="rId2187" tooltip="🔗 Ver Mapa" display="🔗 Ver Mapa"/>
    <hyperlink ref="L2190" r:id="rId2188" tooltip="🔗 Ver Mapa" display="🔗 Ver Mapa"/>
    <hyperlink ref="L2191" r:id="rId2189" tooltip="🔗 Ver Mapa" display="🔗 Ver Mapa"/>
    <hyperlink ref="L2192" r:id="rId2190" tooltip="🔗 Ver Mapa" display="🔗 Ver Mapa"/>
    <hyperlink ref="L2193" r:id="rId2191" tooltip="🔗 Ver Mapa" display="🔗 Ver Mapa"/>
    <hyperlink ref="L2194" r:id="rId2192" tooltip="🔗 Ver Mapa" display="🔗 Ver Mapa"/>
    <hyperlink ref="L2195" r:id="rId2193" tooltip="🔗 Ver Mapa" display="🔗 Ver Mapa"/>
    <hyperlink ref="L2196" r:id="rId2194" tooltip="🔗 Ver Mapa" display="🔗 Ver Mapa"/>
    <hyperlink ref="L2197" r:id="rId2195" tooltip="🔗 Ver Mapa" display="🔗 Ver Mapa"/>
    <hyperlink ref="L2198" r:id="rId2196" tooltip="🔗 Ver Mapa" display="🔗 Ver Mapa"/>
    <hyperlink ref="L2199" r:id="rId2197" tooltip="🔗 Ver Mapa" display="🔗 Ver Mapa"/>
    <hyperlink ref="L2200" r:id="rId2198" tooltip="🔗 Ver Mapa" display="🔗 Ver Mapa"/>
    <hyperlink ref="L2201" r:id="rId2199" tooltip="🔗 Ver Mapa" display="🔗 Ver Mapa"/>
    <hyperlink ref="L2202" r:id="rId2200" tooltip="🔗 Ver Mapa" display="🔗 Ver Mapa"/>
    <hyperlink ref="L2203" r:id="rId2201" tooltip="🔗 Ver Mapa" display="🔗 Ver Mapa"/>
    <hyperlink ref="L2204" r:id="rId2202" tooltip="🔗 Ver Mapa" display="🔗 Ver Mapa"/>
    <hyperlink ref="L2205" r:id="rId2203" tooltip="🔗 Ver Mapa" display="🔗 Ver Mapa"/>
    <hyperlink ref="L2206" r:id="rId2204" tooltip="🔗 Ver Mapa" display="🔗 Ver Mapa"/>
    <hyperlink ref="L2207" r:id="rId2205" tooltip="🔗 Ver Mapa" display="🔗 Ver Mapa"/>
    <hyperlink ref="L2208" r:id="rId2206" tooltip="🔗 Ver Mapa" display="🔗 Ver Mapa"/>
    <hyperlink ref="L2209" r:id="rId2207" tooltip="🔗 Ver Mapa" display="🔗 Ver Mapa"/>
    <hyperlink ref="L2210" r:id="rId2208" tooltip="🔗 Ver Mapa" display="🔗 Ver Mapa"/>
    <hyperlink ref="L2211" r:id="rId2209" tooltip="🔗 Ver Mapa" display="🔗 Ver Mapa"/>
    <hyperlink ref="L2212" r:id="rId2210" tooltip="🔗 Ver Mapa" display="🔗 Ver Mapa"/>
    <hyperlink ref="L2213" r:id="rId2211" tooltip="🔗 Ver Mapa" display="🔗 Ver Mapa"/>
    <hyperlink ref="L2214" r:id="rId2212" tooltip="🔗 Ver Mapa" display="🔗 Ver Mapa"/>
    <hyperlink ref="L2215" r:id="rId2213" tooltip="🔗 Ver Mapa" display="🔗 Ver Mapa"/>
    <hyperlink ref="L2216" r:id="rId2214" tooltip="🔗 Ver Mapa" display="🔗 Ver Mapa"/>
    <hyperlink ref="L2217" r:id="rId2215" tooltip="🔗 Ver Mapa" display="🔗 Ver Mapa"/>
    <hyperlink ref="L2218" r:id="rId2216" tooltip="🔗 Ver Mapa" display="🔗 Ver Mapa"/>
    <hyperlink ref="L2219" r:id="rId2217" tooltip="🔗 Ver Mapa" display="🔗 Ver Mapa"/>
    <hyperlink ref="L2220" r:id="rId2218" tooltip="🔗 Ver Mapa" display="🔗 Ver Mapa"/>
    <hyperlink ref="L2221" r:id="rId2219" tooltip="🔗 Ver Mapa" display="🔗 Ver Mapa"/>
    <hyperlink ref="L2222" r:id="rId2220" tooltip="🔗 Ver Mapa" display="🔗 Ver Mapa"/>
    <hyperlink ref="L2223" r:id="rId2221" tooltip="🔗 Ver Mapa" display="🔗 Ver Mapa"/>
    <hyperlink ref="L2224" r:id="rId2222" tooltip="🔗 Ver Mapa" display="🔗 Ver Mapa"/>
    <hyperlink ref="L2225" r:id="rId2223" tooltip="🔗 Ver Mapa" display="🔗 Ver Mapa"/>
    <hyperlink ref="L2226" r:id="rId2224" tooltip="🔗 Ver Mapa" display="🔗 Ver Mapa"/>
    <hyperlink ref="L2227" r:id="rId2225" tooltip="🔗 Ver Mapa" display="🔗 Ver Mapa"/>
    <hyperlink ref="L2228" r:id="rId2226" tooltip="🔗 Ver Mapa" display="🔗 Ver Mapa"/>
    <hyperlink ref="L2229" r:id="rId2227" tooltip="🔗 Ver Mapa" display="🔗 Ver Mapa"/>
    <hyperlink ref="L2230" r:id="rId2228" tooltip="🔗 Ver Mapa" display="🔗 Ver Mapa"/>
    <hyperlink ref="L2231" r:id="rId2229" tooltip="🔗 Ver Mapa" display="🔗 Ver Mapa"/>
    <hyperlink ref="L2232" r:id="rId2230" tooltip="🔗 Ver Mapa" display="🔗 Ver Mapa"/>
    <hyperlink ref="L2233" r:id="rId2231" tooltip="🔗 Ver Mapa" display="🔗 Ver Mapa"/>
    <hyperlink ref="L2234" r:id="rId2232" tooltip="🔗 Ver Mapa" display="🔗 Ver Mapa"/>
    <hyperlink ref="L2235" r:id="rId2233" tooltip="🔗 Ver Mapa" display="🔗 Ver Mapa"/>
    <hyperlink ref="L2236" r:id="rId2234" tooltip="🔗 Ver Mapa" display="🔗 Ver Mapa"/>
    <hyperlink ref="L2237" r:id="rId2235" tooltip="🔗 Ver Mapa" display="🔗 Ver Mapa"/>
    <hyperlink ref="L2238" r:id="rId2236" tooltip="🔗 Ver Mapa" display="🔗 Ver Mapa"/>
    <hyperlink ref="L2239" r:id="rId2237" tooltip="🔗 Ver Mapa" display="🔗 Ver Mapa"/>
    <hyperlink ref="L2240" r:id="rId2238" tooltip="🔗 Ver Mapa" display="🔗 Ver Mapa"/>
    <hyperlink ref="L2241" r:id="rId2239" tooltip="🔗 Ver Mapa" display="🔗 Ver Mapa"/>
    <hyperlink ref="L2242" r:id="rId2240" tooltip="🔗 Ver Mapa" display="🔗 Ver Mapa"/>
    <hyperlink ref="L2243" r:id="rId2241" tooltip="🔗 Ver Mapa" display="🔗 Ver Mapa"/>
    <hyperlink ref="L2244" r:id="rId2242" tooltip="🔗 Ver Mapa" display="🔗 Ver Mapa"/>
    <hyperlink ref="L2245" r:id="rId2243" tooltip="🔗 Ver Mapa" display="🔗 Ver Mapa"/>
    <hyperlink ref="L2246" r:id="rId2244" tooltip="🔗 Ver Mapa" display="🔗 Ver Mapa"/>
    <hyperlink ref="L2247" r:id="rId2245" tooltip="🔗 Ver Mapa" display="🔗 Ver Mapa"/>
    <hyperlink ref="L2248" r:id="rId2246" tooltip="🔗 Ver Mapa" display="🔗 Ver Mapa"/>
    <hyperlink ref="L2249" r:id="rId2247" tooltip="🔗 Ver Mapa" display="🔗 Ver Mapa"/>
    <hyperlink ref="L2250" r:id="rId2248" tooltip="🔗 Ver Mapa" display="🔗 Ver Mapa"/>
    <hyperlink ref="L2251" r:id="rId2249" tooltip="🔗 Ver Mapa" display="🔗 Ver Mapa"/>
    <hyperlink ref="L2252" r:id="rId2250" tooltip="🔗 Ver Mapa" display="🔗 Ver Mapa"/>
    <hyperlink ref="L2253" r:id="rId2251" tooltip="🔗 Ver Mapa" display="🔗 Ver Mapa"/>
    <hyperlink ref="L2254" r:id="rId2252" tooltip="🔗 Ver Mapa" display="🔗 Ver Mapa"/>
    <hyperlink ref="L2255" r:id="rId2253" tooltip="🔗 Ver Mapa" display="🔗 Ver Mapa"/>
    <hyperlink ref="L2256" r:id="rId2254" tooltip="🔗 Ver Mapa" display="🔗 Ver Mapa"/>
    <hyperlink ref="L2257" r:id="rId2255" tooltip="🔗 Ver Mapa" display="🔗 Ver Mapa"/>
    <hyperlink ref="L2258" r:id="rId2256" tooltip="🔗 Ver Mapa" display="🔗 Ver Mapa"/>
    <hyperlink ref="L2259" r:id="rId2257" tooltip="🔗 Ver Mapa" display="🔗 Ver Mapa"/>
    <hyperlink ref="L2260" r:id="rId2258" tooltip="🔗 Ver Mapa" display="🔗 Ver Mapa"/>
    <hyperlink ref="L2261" r:id="rId2259" tooltip="🔗 Ver Mapa" display="🔗 Ver Mapa"/>
    <hyperlink ref="L2262" r:id="rId2260" tooltip="🔗 Ver Mapa" display="🔗 Ver Mapa"/>
    <hyperlink ref="L2263" r:id="rId2261" tooltip="🔗 Ver Mapa" display="🔗 Ver Mapa"/>
    <hyperlink ref="L2264" r:id="rId2262" tooltip="🔗 Ver Mapa" display="🔗 Ver Mapa"/>
    <hyperlink ref="L2265" r:id="rId2263" tooltip="🔗 Ver Mapa" display="🔗 Ver Mapa"/>
    <hyperlink ref="L2266" r:id="rId2264" tooltip="🔗 Ver Mapa" display="🔗 Ver Mapa"/>
    <hyperlink ref="L2267" r:id="rId2265" tooltip="🔗 Ver Mapa" display="🔗 Ver Mapa"/>
    <hyperlink ref="L2268" r:id="rId2266" tooltip="🔗 Ver Mapa" display="🔗 Ver Mapa"/>
    <hyperlink ref="L2269" r:id="rId2267" tooltip="🔗 Ver Mapa" display="🔗 Ver Mapa"/>
    <hyperlink ref="L2270" r:id="rId2268" tooltip="🔗 Ver Mapa" display="🔗 Ver Mapa"/>
    <hyperlink ref="L2271" r:id="rId2269" tooltip="🔗 Ver Mapa" display="🔗 Ver Mapa"/>
    <hyperlink ref="L2272" r:id="rId2270" tooltip="🔗 Ver Mapa" display="🔗 Ver Mapa"/>
    <hyperlink ref="L2273" r:id="rId2271" tooltip="🔗 Ver Mapa" display="🔗 Ver Mapa"/>
    <hyperlink ref="L2274" r:id="rId2272" tooltip="🔗 Ver Mapa" display="🔗 Ver Mapa"/>
    <hyperlink ref="L2275" r:id="rId2273" tooltip="🔗 Ver Mapa" display="🔗 Ver Mapa"/>
    <hyperlink ref="L2276" r:id="rId2274" tooltip="🔗 Ver Mapa" display="🔗 Ver Mapa"/>
    <hyperlink ref="L2277" r:id="rId2275" tooltip="🔗 Ver Mapa" display="🔗 Ver Mapa"/>
    <hyperlink ref="L2278" r:id="rId2276" tooltip="🔗 Ver Mapa" display="🔗 Ver Mapa"/>
    <hyperlink ref="L2279" r:id="rId2277" tooltip="🔗 Ver Mapa" display="🔗 Ver Mapa"/>
    <hyperlink ref="L2280" r:id="rId2278" tooltip="🔗 Ver Mapa" display="🔗 Ver Mapa"/>
    <hyperlink ref="L2281" r:id="rId2279" tooltip="🔗 Ver Mapa" display="🔗 Ver Mapa"/>
    <hyperlink ref="L2282" r:id="rId2280" tooltip="🔗 Ver Mapa" display="🔗 Ver Mapa"/>
    <hyperlink ref="L2283" r:id="rId2281" tooltip="🔗 Ver Mapa" display="🔗 Ver Mapa"/>
    <hyperlink ref="L2284" r:id="rId2282" tooltip="🔗 Ver Mapa" display="🔗 Ver Mapa"/>
    <hyperlink ref="L2285" r:id="rId2283" tooltip="🔗 Ver Mapa" display="🔗 Ver Mapa"/>
    <hyperlink ref="L2286" r:id="rId2284" tooltip="🔗 Ver Mapa" display="🔗 Ver Mapa"/>
    <hyperlink ref="L2287" r:id="rId2285" tooltip="🔗 Ver Mapa" display="🔗 Ver Mapa"/>
    <hyperlink ref="L2288" r:id="rId2286" tooltip="🔗 Ver Mapa" display="🔗 Ver Mapa"/>
    <hyperlink ref="L2289" r:id="rId2287" tooltip="🔗 Ver Mapa" display="🔗 Ver Mapa"/>
    <hyperlink ref="L2290" r:id="rId2288" tooltip="🔗 Ver Mapa" display="🔗 Ver Mapa"/>
    <hyperlink ref="L2291" r:id="rId2289" tooltip="🔗 Ver Mapa" display="🔗 Ver Mapa"/>
    <hyperlink ref="L2292" r:id="rId2290" tooltip="🔗 Ver Mapa" display="🔗 Ver Mapa"/>
    <hyperlink ref="L2293" r:id="rId2291" tooltip="🔗 Ver Mapa" display="🔗 Ver Mapa"/>
    <hyperlink ref="L2294" r:id="rId2292" tooltip="🔗 Ver Mapa" display="🔗 Ver Mapa"/>
    <hyperlink ref="L2295" r:id="rId2293" tooltip="🔗 Ver Mapa" display="🔗 Ver Mapa"/>
    <hyperlink ref="L2296" r:id="rId2294" tooltip="🔗 Ver Mapa" display="🔗 Ver Mapa"/>
    <hyperlink ref="L2297" r:id="rId2295" tooltip="🔗 Ver Mapa" display="🔗 Ver Mapa"/>
    <hyperlink ref="L2298" r:id="rId2296" tooltip="🔗 Ver Mapa" display="🔗 Ver Mapa"/>
    <hyperlink ref="L2299" r:id="rId2297" tooltip="🔗 Ver Mapa" display="🔗 Ver Mapa"/>
    <hyperlink ref="L2300" r:id="rId2298" tooltip="🔗 Ver Mapa" display="🔗 Ver Mapa"/>
    <hyperlink ref="L2301" r:id="rId2299" tooltip="🔗 Ver Mapa" display="🔗 Ver Mapa"/>
    <hyperlink ref="L2302" r:id="rId2300" tooltip="🔗 Ver Mapa" display="🔗 Ver Mapa"/>
    <hyperlink ref="L2303" r:id="rId2301" tooltip="🔗 Ver Mapa" display="🔗 Ver Mapa"/>
    <hyperlink ref="L2304" r:id="rId2302" tooltip="🔗 Ver Mapa" display="🔗 Ver Mapa"/>
    <hyperlink ref="L2305" r:id="rId2303" tooltip="🔗 Ver Mapa" display="🔗 Ver Mapa"/>
    <hyperlink ref="L2306" r:id="rId2304" tooltip="🔗 Ver Mapa" display="🔗 Ver Mapa"/>
    <hyperlink ref="L2307" r:id="rId2305" tooltip="🔗 Ver Mapa" display="🔗 Ver Mapa"/>
    <hyperlink ref="L2308" r:id="rId2306" tooltip="🔗 Ver Mapa" display="🔗 Ver Mapa"/>
    <hyperlink ref="L2309" r:id="rId2307" tooltip="🔗 Ver Mapa" display="🔗 Ver Mapa"/>
    <hyperlink ref="L2310" r:id="rId2308" tooltip="🔗 Ver Mapa" display="🔗 Ver Mapa"/>
    <hyperlink ref="L2311" r:id="rId2309" tooltip="🔗 Ver Mapa" display="🔗 Ver Mapa"/>
    <hyperlink ref="L2312" r:id="rId2310" tooltip="🔗 Ver Mapa" display="🔗 Ver Mapa"/>
    <hyperlink ref="L2313" r:id="rId2311" tooltip="🔗 Ver Mapa" display="🔗 Ver Mapa"/>
    <hyperlink ref="L2314" r:id="rId2312" tooltip="🔗 Ver Mapa" display="🔗 Ver Mapa"/>
    <hyperlink ref="L2315" r:id="rId2313" tooltip="🔗 Ver Mapa" display="🔗 Ver Mapa"/>
    <hyperlink ref="L2316" r:id="rId2314" tooltip="🔗 Ver Mapa" display="🔗 Ver Mapa"/>
    <hyperlink ref="L2317" r:id="rId2315" tooltip="🔗 Ver Mapa" display="🔗 Ver Mapa"/>
    <hyperlink ref="L2318" r:id="rId2316" tooltip="🔗 Ver Mapa" display="🔗 Ver Mapa"/>
    <hyperlink ref="L2319" r:id="rId2317" tooltip="🔗 Ver Mapa" display="🔗 Ver Mapa"/>
    <hyperlink ref="L2320" r:id="rId2318" tooltip="🔗 Ver Mapa" display="🔗 Ver Mapa"/>
    <hyperlink ref="L2321" r:id="rId2319" tooltip="🔗 Ver Mapa" display="🔗 Ver Mapa"/>
    <hyperlink ref="L2322" r:id="rId2320" tooltip="🔗 Ver Mapa" display="🔗 Ver Mapa"/>
    <hyperlink ref="L2323" r:id="rId2321" tooltip="🔗 Ver Mapa" display="🔗 Ver Mapa"/>
    <hyperlink ref="L2324" r:id="rId2322" tooltip="🔗 Ver Mapa" display="🔗 Ver Mapa"/>
    <hyperlink ref="L2325" r:id="rId2323" tooltip="🔗 Ver Mapa" display="🔗 Ver Mapa"/>
    <hyperlink ref="L2326" r:id="rId2324" tooltip="🔗 Ver Mapa" display="🔗 Ver Mapa"/>
    <hyperlink ref="L2327" r:id="rId2325" tooltip="🔗 Ver Mapa" display="🔗 Ver Mapa"/>
    <hyperlink ref="L2328" r:id="rId2326" tooltip="🔗 Ver Mapa" display="🔗 Ver Mapa"/>
    <hyperlink ref="L2329" r:id="rId2327" tooltip="🔗 Ver Mapa" display="🔗 Ver Mapa"/>
    <hyperlink ref="L2330" r:id="rId2328" tooltip="🔗 Ver Mapa" display="🔗 Ver Mapa"/>
    <hyperlink ref="L2331" r:id="rId2329" tooltip="🔗 Ver Mapa" display="🔗 Ver Mapa"/>
    <hyperlink ref="L2332" r:id="rId2330" tooltip="🔗 Ver Mapa" display="🔗 Ver Mapa"/>
    <hyperlink ref="L2333" r:id="rId2331" tooltip="🔗 Ver Mapa" display="🔗 Ver Mapa"/>
    <hyperlink ref="L2334" r:id="rId2332" tooltip="🔗 Ver Mapa" display="🔗 Ver Mapa"/>
    <hyperlink ref="L2335" r:id="rId2333" tooltip="🔗 Ver Mapa" display="🔗 Ver Mapa"/>
    <hyperlink ref="L2336" r:id="rId2334" tooltip="🔗 Ver Mapa" display="🔗 Ver Mapa"/>
    <hyperlink ref="L2337" r:id="rId2335" tooltip="🔗 Ver Mapa" display="🔗 Ver Mapa"/>
    <hyperlink ref="L2338" r:id="rId2336" tooltip="🔗 Ver Mapa" display="🔗 Ver Mapa"/>
    <hyperlink ref="L2339" r:id="rId2337" tooltip="🔗 Ver Mapa" display="🔗 Ver Mapa"/>
    <hyperlink ref="L2340" r:id="rId2338" tooltip="🔗 Ver Mapa" display="🔗 Ver Mapa"/>
    <hyperlink ref="L2341" r:id="rId2339" tooltip="🔗 Ver Mapa" display="🔗 Ver Mapa"/>
    <hyperlink ref="L2342" r:id="rId2340" tooltip="🔗 Ver Mapa" display="🔗 Ver Mapa"/>
    <hyperlink ref="L2343" r:id="rId2341" tooltip="🔗 Ver Mapa" display="🔗 Ver Mapa"/>
    <hyperlink ref="L2344" r:id="rId2342" tooltip="🔗 Ver Mapa" display="🔗 Ver Mapa"/>
    <hyperlink ref="L2345" r:id="rId2343" tooltip="🔗 Ver Mapa" display="🔗 Ver Mapa"/>
    <hyperlink ref="L2346" r:id="rId2344" tooltip="🔗 Ver Mapa" display="🔗 Ver Mapa"/>
    <hyperlink ref="L2347" r:id="rId2345" tooltip="🔗 Ver Mapa" display="🔗 Ver Mapa"/>
    <hyperlink ref="L2348" r:id="rId2346" tooltip="🔗 Ver Mapa" display="🔗 Ver Mapa"/>
    <hyperlink ref="L2349" r:id="rId2347" tooltip="🔗 Ver Mapa" display="🔗 Ver Mapa"/>
    <hyperlink ref="L2350" r:id="rId2348" tooltip="🔗 Ver Mapa" display="🔗 Ver Mapa"/>
    <hyperlink ref="L2351" r:id="rId2349" tooltip="🔗 Ver Mapa" display="🔗 Ver Mapa"/>
    <hyperlink ref="L2352" r:id="rId2350" tooltip="🔗 Ver Mapa" display="🔗 Ver Mapa"/>
    <hyperlink ref="L2353" r:id="rId2351" tooltip="🔗 Ver Mapa" display="🔗 Ver Mapa"/>
    <hyperlink ref="L2354" r:id="rId2352" tooltip="🔗 Ver Mapa" display="🔗 Ver Mapa"/>
    <hyperlink ref="L2355" r:id="rId2353" tooltip="🔗 Ver Mapa" display="🔗 Ver Mapa"/>
    <hyperlink ref="L2356" r:id="rId2354" tooltip="🔗 Ver Mapa" display="🔗 Ver Mapa"/>
    <hyperlink ref="L2357" r:id="rId2355" tooltip="🔗 Ver Mapa" display="🔗 Ver Mapa"/>
    <hyperlink ref="L2358" r:id="rId2356" tooltip="🔗 Ver Mapa" display="🔗 Ver Mapa"/>
    <hyperlink ref="L2359" r:id="rId2357" tooltip="🔗 Ver Mapa" display="🔗 Ver Mapa"/>
    <hyperlink ref="L2360" r:id="rId2358" tooltip="🔗 Ver Mapa" display="🔗 Ver Mapa"/>
    <hyperlink ref="L2361" r:id="rId2359" tooltip="🔗 Ver Mapa" display="🔗 Ver Mapa"/>
    <hyperlink ref="L2362" r:id="rId2360" tooltip="🔗 Ver Mapa" display="🔗 Ver Mapa"/>
    <hyperlink ref="L2363" r:id="rId2361" tooltip="🔗 Ver Mapa" display="🔗 Ver Mapa"/>
    <hyperlink ref="L2364" r:id="rId2362" tooltip="🔗 Ver Mapa" display="🔗 Ver Mapa"/>
    <hyperlink ref="L2365" r:id="rId2363" tooltip="🔗 Ver Mapa" display="🔗 Ver Mapa"/>
    <hyperlink ref="L2366" r:id="rId2364" tooltip="🔗 Ver Mapa" display="🔗 Ver Mapa"/>
    <hyperlink ref="L2367" r:id="rId2365" tooltip="🔗 Ver Mapa" display="🔗 Ver Mapa"/>
    <hyperlink ref="L2368" r:id="rId2366" tooltip="🔗 Ver Mapa" display="🔗 Ver Mapa"/>
    <hyperlink ref="L2369" r:id="rId2367" tooltip="🔗 Ver Mapa" display="🔗 Ver Mapa"/>
    <hyperlink ref="L2370" r:id="rId2368" tooltip="🔗 Ver Mapa" display="🔗 Ver Mapa"/>
    <hyperlink ref="L2371" r:id="rId2369" tooltip="🔗 Ver Mapa" display="🔗 Ver Mapa"/>
    <hyperlink ref="L2372" r:id="rId2370" tooltip="🔗 Ver Mapa" display="🔗 Ver Mapa"/>
    <hyperlink ref="L2373" r:id="rId2371" tooltip="🔗 Ver Mapa" display="🔗 Ver Mapa"/>
    <hyperlink ref="L2374" r:id="rId2372" tooltip="🔗 Ver Mapa" display="🔗 Ver Mapa"/>
    <hyperlink ref="L2375" r:id="rId2373" tooltip="🔗 Ver Mapa" display="🔗 Ver Mapa"/>
    <hyperlink ref="L2376" r:id="rId2374" tooltip="🔗 Ver Mapa" display="🔗 Ver Mapa"/>
    <hyperlink ref="L2377" r:id="rId2375" tooltip="🔗 Ver Mapa" display="🔗 Ver Mapa"/>
    <hyperlink ref="L2378" r:id="rId2376" tooltip="🔗 Ver Mapa" display="🔗 Ver Mapa"/>
    <hyperlink ref="L2379" r:id="rId2377" tooltip="🔗 Ver Mapa" display="🔗 Ver Mapa"/>
    <hyperlink ref="L2380" r:id="rId2378" tooltip="🔗 Ver Mapa" display="🔗 Ver Mapa"/>
    <hyperlink ref="L2381" r:id="rId2379" tooltip="🔗 Ver Mapa" display="🔗 Ver Mapa"/>
    <hyperlink ref="L2382" r:id="rId2380" tooltip="🔗 Ver Mapa" display="🔗 Ver Mapa"/>
    <hyperlink ref="L2383" r:id="rId2381" tooltip="🔗 Ver Mapa" display="🔗 Ver Mapa"/>
    <hyperlink ref="L2384" r:id="rId2382" tooltip="🔗 Ver Mapa" display="🔗 Ver Mapa"/>
    <hyperlink ref="L2385" r:id="rId2383" tooltip="🔗 Ver Mapa" display="🔗 Ver Mapa"/>
    <hyperlink ref="L2386" r:id="rId2384" tooltip="🔗 Ver Mapa" display="🔗 Ver Mapa"/>
    <hyperlink ref="L2387" r:id="rId2385" tooltip="🔗 Ver Mapa" display="🔗 Ver Mapa"/>
    <hyperlink ref="L2388" r:id="rId2386" tooltip="🔗 Ver Mapa" display="🔗 Ver Mapa"/>
    <hyperlink ref="L2389" r:id="rId2387" tooltip="🔗 Ver Mapa" display="🔗 Ver Mapa"/>
    <hyperlink ref="L2390" r:id="rId2388" tooltip="🔗 Ver Mapa" display="🔗 Ver Mapa"/>
    <hyperlink ref="L2391" r:id="rId2389" tooltip="🔗 Ver Mapa" display="🔗 Ver Mapa"/>
    <hyperlink ref="L2392" r:id="rId2390" tooltip="🔗 Ver Mapa" display="🔗 Ver Mapa"/>
    <hyperlink ref="L2393" r:id="rId2391" tooltip="🔗 Ver Mapa" display="🔗 Ver Mapa"/>
    <hyperlink ref="L2394" r:id="rId2392" tooltip="🔗 Ver Mapa" display="🔗 Ver Mapa"/>
    <hyperlink ref="L2395" r:id="rId2393" tooltip="🔗 Ver Mapa" display="🔗 Ver Mapa"/>
    <hyperlink ref="L2396" r:id="rId2394" tooltip="🔗 Ver Mapa" display="🔗 Ver Mapa"/>
    <hyperlink ref="L2397" r:id="rId2395" tooltip="🔗 Ver Mapa" display="🔗 Ver Mapa"/>
    <hyperlink ref="L2398" r:id="rId2396" tooltip="🔗 Ver Mapa" display="🔗 Ver Mapa"/>
    <hyperlink ref="L2399" r:id="rId2397" tooltip="🔗 Ver Mapa" display="🔗 Ver Mapa"/>
    <hyperlink ref="L2400" r:id="rId2398" tooltip="🔗 Ver Mapa" display="🔗 Ver Mapa"/>
    <hyperlink ref="L2401" r:id="rId2399" tooltip="🔗 Ver Mapa" display="🔗 Ver Mapa"/>
    <hyperlink ref="L2402" r:id="rId2400" tooltip="🔗 Ver Mapa" display="🔗 Ver Mapa"/>
    <hyperlink ref="L2403" r:id="rId2401" tooltip="🔗 Ver Mapa" display="🔗 Ver Mapa"/>
    <hyperlink ref="L2404" r:id="rId2402" tooltip="🔗 Ver Mapa" display="🔗 Ver Mapa"/>
    <hyperlink ref="L2405" r:id="rId2403" tooltip="🔗 Ver Mapa" display="🔗 Ver Mapa"/>
    <hyperlink ref="L2406" r:id="rId2404" tooltip="🔗 Ver Mapa" display="🔗 Ver Mapa"/>
    <hyperlink ref="L2407" r:id="rId2405" tooltip="🔗 Ver Mapa" display="🔗 Ver Mapa"/>
    <hyperlink ref="L2408" r:id="rId2406" tooltip="🔗 Ver Mapa" display="🔗 Ver Mapa"/>
    <hyperlink ref="L2409" r:id="rId2407" tooltip="🔗 Ver Mapa" display="🔗 Ver Mapa"/>
    <hyperlink ref="L2410" r:id="rId2408" tooltip="🔗 Ver Mapa" display="🔗 Ver Mapa"/>
    <hyperlink ref="L2411" r:id="rId2409" tooltip="🔗 Ver Mapa" display="🔗 Ver Mapa"/>
    <hyperlink ref="L2412" r:id="rId2410" tooltip="🔗 Ver Mapa" display="🔗 Ver Mapa"/>
    <hyperlink ref="L2413" r:id="rId2411" tooltip="🔗 Ver Mapa" display="🔗 Ver Mapa"/>
    <hyperlink ref="L2414" r:id="rId2412" tooltip="🔗 Ver Mapa" display="🔗 Ver Mapa"/>
    <hyperlink ref="L2415" r:id="rId2413" tooltip="🔗 Ver Mapa" display="🔗 Ver Mapa"/>
    <hyperlink ref="L2416" r:id="rId2414" tooltip="🔗 Ver Mapa" display="🔗 Ver Mapa"/>
    <hyperlink ref="L2417" r:id="rId2415" tooltip="🔗 Ver Mapa" display="🔗 Ver Mapa"/>
    <hyperlink ref="L2418" r:id="rId2416" tooltip="🔗 Ver Mapa" display="🔗 Ver Mapa"/>
    <hyperlink ref="L2419" r:id="rId2417" tooltip="🔗 Ver Mapa" display="🔗 Ver Mapa"/>
    <hyperlink ref="L2420" r:id="rId2418" tooltip="🔗 Ver Mapa" display="🔗 Ver Mapa"/>
    <hyperlink ref="L2421" r:id="rId2419" tooltip="🔗 Ver Mapa" display="🔗 Ver Mapa"/>
    <hyperlink ref="L2422" r:id="rId2420" tooltip="🔗 Ver Mapa" display="🔗 Ver Mapa"/>
    <hyperlink ref="L2423" r:id="rId2421" tooltip="🔗 Ver Mapa" display="🔗 Ver Mapa"/>
    <hyperlink ref="L2424" r:id="rId2422" tooltip="🔗 Ver Mapa" display="🔗 Ver Mapa"/>
    <hyperlink ref="L2425" r:id="rId2423" tooltip="🔗 Ver Mapa" display="🔗 Ver Mapa"/>
    <hyperlink ref="L2426" r:id="rId2424" tooltip="🔗 Ver Mapa" display="🔗 Ver Mapa"/>
    <hyperlink ref="L2427" r:id="rId2425" tooltip="🔗 Ver Mapa" display="🔗 Ver Mapa"/>
    <hyperlink ref="L2428" r:id="rId2426" tooltip="🔗 Ver Mapa" display="🔗 Ver Mapa"/>
    <hyperlink ref="L2429" r:id="rId2427" tooltip="🔗 Ver Mapa" display="🔗 Ver Mapa"/>
    <hyperlink ref="L2430" r:id="rId2428" tooltip="🔗 Ver Mapa" display="🔗 Ver Mapa"/>
    <hyperlink ref="L2431" r:id="rId2429" tooltip="🔗 Ver Mapa" display="🔗 Ver Mapa"/>
    <hyperlink ref="L2432" r:id="rId2430" tooltip="🔗 Ver Mapa" display="🔗 Ver Mapa"/>
    <hyperlink ref="L2433" r:id="rId2431" tooltip="🔗 Ver Mapa" display="🔗 Ver Mapa"/>
    <hyperlink ref="L2434" r:id="rId2432" tooltip="🔗 Ver Mapa" display="🔗 Ver Mapa"/>
    <hyperlink ref="L2435" r:id="rId2433" tooltip="🔗 Ver Mapa" display="🔗 Ver Mapa"/>
    <hyperlink ref="L2436" r:id="rId2434" tooltip="🔗 Ver Mapa" display="🔗 Ver Mapa"/>
    <hyperlink ref="L2437" r:id="rId2435" tooltip="🔗 Ver Mapa" display="🔗 Ver Mapa"/>
    <hyperlink ref="L2438" r:id="rId2436" tooltip="🔗 Ver Mapa" display="🔗 Ver Mapa"/>
    <hyperlink ref="L2439" r:id="rId2437" tooltip="🔗 Ver Mapa" display="🔗 Ver Mapa"/>
    <hyperlink ref="L2440" r:id="rId2438" tooltip="🔗 Ver Mapa" display="🔗 Ver Mapa"/>
    <hyperlink ref="L2441" r:id="rId2439" tooltip="🔗 Ver Mapa" display="🔗 Ver Mapa"/>
    <hyperlink ref="L2442" r:id="rId2440" tooltip="🔗 Ver Mapa" display="🔗 Ver Mapa"/>
    <hyperlink ref="L2443" r:id="rId2441" tooltip="🔗 Ver Mapa" display="🔗 Ver Mapa"/>
    <hyperlink ref="L2444" r:id="rId2442" tooltip="🔗 Ver Mapa" display="🔗 Ver Mapa"/>
    <hyperlink ref="L2445" r:id="rId2443" tooltip="🔗 Ver Mapa" display="🔗 Ver Mapa"/>
    <hyperlink ref="L2446" r:id="rId2444" tooltip="🔗 Ver Mapa" display="🔗 Ver Mapa"/>
    <hyperlink ref="L2447" r:id="rId2445" tooltip="🔗 Ver Mapa" display="🔗 Ver Mapa"/>
    <hyperlink ref="L2448" r:id="rId2446" tooltip="🔗 Ver Mapa" display="🔗 Ver Mapa"/>
    <hyperlink ref="L2449" r:id="rId2447" tooltip="🔗 Ver Mapa" display="🔗 Ver Mapa"/>
    <hyperlink ref="L2450" r:id="rId2448" tooltip="🔗 Ver Mapa" display="🔗 Ver Mapa"/>
    <hyperlink ref="L2451" r:id="rId2449" tooltip="🔗 Ver Mapa" display="🔗 Ver Mapa"/>
    <hyperlink ref="L2452" r:id="rId2450" tooltip="🔗 Ver Mapa" display="🔗 Ver Mapa"/>
    <hyperlink ref="L2453" r:id="rId2451" tooltip="🔗 Ver Mapa" display="🔗 Ver Mapa"/>
    <hyperlink ref="L2454" r:id="rId2452" tooltip="🔗 Ver Mapa" display="🔗 Ver Mapa"/>
    <hyperlink ref="L2455" r:id="rId2453" tooltip="🔗 Ver Mapa" display="🔗 Ver Mapa"/>
    <hyperlink ref="L2456" r:id="rId2454" tooltip="🔗 Ver Mapa" display="🔗 Ver Mapa"/>
    <hyperlink ref="L2457" r:id="rId2455" tooltip="🔗 Ver Mapa" display="🔗 Ver Mapa"/>
    <hyperlink ref="L2458" r:id="rId2456" tooltip="🔗 Ver Mapa" display="🔗 Ver Mapa"/>
    <hyperlink ref="L2459" r:id="rId2457" tooltip="🔗 Ver Mapa" display="🔗 Ver Mapa"/>
    <hyperlink ref="L2460" r:id="rId2458" tooltip="🔗 Ver Mapa" display="🔗 Ver Mapa"/>
    <hyperlink ref="L2461" r:id="rId2459" tooltip="🔗 Ver Mapa" display="🔗 Ver Mapa"/>
    <hyperlink ref="L2462" r:id="rId2460" tooltip="🔗 Ver Mapa" display="🔗 Ver Mapa"/>
    <hyperlink ref="L2463" r:id="rId2461" tooltip="🔗 Ver Mapa" display="🔗 Ver Mapa"/>
    <hyperlink ref="L2464" r:id="rId2462" tooltip="🔗 Ver Mapa" display="🔗 Ver Mapa"/>
    <hyperlink ref="L2465" r:id="rId2463" tooltip="🔗 Ver Mapa" display="🔗 Ver Mapa"/>
    <hyperlink ref="L2466" r:id="rId2464" tooltip="🔗 Ver Mapa" display="🔗 Ver Mapa"/>
    <hyperlink ref="L2467" r:id="rId2465" tooltip="🔗 Ver Mapa" display="🔗 Ver Mapa"/>
    <hyperlink ref="L2468" r:id="rId2466" tooltip="🔗 Ver Mapa" display="🔗 Ver Mapa"/>
    <hyperlink ref="L2469" r:id="rId2467" tooltip="🔗 Ver Mapa" display="🔗 Ver Mapa"/>
    <hyperlink ref="L2470" r:id="rId2468" tooltip="🔗 Ver Mapa" display="🔗 Ver Mapa"/>
    <hyperlink ref="L2471" r:id="rId2469" tooltip="🔗 Ver Mapa" display="🔗 Ver Mapa"/>
    <hyperlink ref="L2472" r:id="rId2470" tooltip="🔗 Ver Mapa" display="🔗 Ver Mapa"/>
    <hyperlink ref="L2473" r:id="rId2471" tooltip="🔗 Ver Mapa" display="🔗 Ver Mapa"/>
    <hyperlink ref="L2474" r:id="rId2472" tooltip="🔗 Ver Mapa" display="🔗 Ver Mapa"/>
    <hyperlink ref="L2475" r:id="rId2473" tooltip="🔗 Ver Mapa" display="🔗 Ver Mapa"/>
    <hyperlink ref="L2476" r:id="rId2474" tooltip="🔗 Ver Mapa" display="🔗 Ver Mapa"/>
    <hyperlink ref="L2477" r:id="rId2475" tooltip="🔗 Ver Mapa" display="🔗 Ver Mapa"/>
    <hyperlink ref="L2478" r:id="rId2476" tooltip="🔗 Ver Mapa" display="🔗 Ver Mapa"/>
    <hyperlink ref="L2479" r:id="rId2477" tooltip="🔗 Ver Mapa" display="🔗 Ver Mapa"/>
    <hyperlink ref="L2480" r:id="rId2478" tooltip="🔗 Ver Mapa" display="🔗 Ver Mapa"/>
    <hyperlink ref="L2481" r:id="rId2479" tooltip="🔗 Ver Mapa" display="🔗 Ver Mapa"/>
    <hyperlink ref="L2482" r:id="rId2480" tooltip="🔗 Ver Mapa" display="🔗 Ver Mapa"/>
    <hyperlink ref="L2483" r:id="rId2481" tooltip="🔗 Ver Mapa" display="🔗 Ver Mapa"/>
    <hyperlink ref="L2484" r:id="rId2482" tooltip="🔗 Ver Mapa" display="🔗 Ver Mapa"/>
    <hyperlink ref="L2485" r:id="rId2483" tooltip="🔗 Ver Mapa" display="🔗 Ver Mapa"/>
    <hyperlink ref="L2486" r:id="rId2484" tooltip="🔗 Ver Mapa" display="🔗 Ver Mapa"/>
    <hyperlink ref="L2487" r:id="rId2485" tooltip="🔗 Ver Mapa" display="🔗 Ver Mapa"/>
    <hyperlink ref="L2488" r:id="rId2486" tooltip="🔗 Ver Mapa" display="🔗 Ver Mapa"/>
    <hyperlink ref="L2489" r:id="rId2487" tooltip="🔗 Ver Mapa" display="🔗 Ver Mapa"/>
    <hyperlink ref="L2490" r:id="rId2488" tooltip="🔗 Ver Mapa" display="🔗 Ver Mapa"/>
    <hyperlink ref="L2491" r:id="rId2489" tooltip="🔗 Ver Mapa" display="🔗 Ver Mapa"/>
    <hyperlink ref="L2492" r:id="rId2490" tooltip="🔗 Ver Mapa" display="🔗 Ver Mapa"/>
    <hyperlink ref="L2493" r:id="rId2491" tooltip="🔗 Ver Mapa" display="🔗 Ver Mapa"/>
    <hyperlink ref="L2494" r:id="rId2492" tooltip="🔗 Ver Mapa" display="🔗 Ver Mapa"/>
    <hyperlink ref="L2495" r:id="rId2493" tooltip="🔗 Ver Mapa" display="🔗 Ver Mapa"/>
    <hyperlink ref="L2496" r:id="rId2494" tooltip="🔗 Ver Mapa" display="🔗 Ver Mapa"/>
    <hyperlink ref="L2497" r:id="rId2495" tooltip="🔗 Ver Mapa" display="🔗 Ver Mapa"/>
    <hyperlink ref="L2498" r:id="rId2496" tooltip="🔗 Ver Mapa" display="🔗 Ver Mapa"/>
    <hyperlink ref="L2499" r:id="rId2497" tooltip="🔗 Ver Mapa" display="🔗 Ver Mapa"/>
    <hyperlink ref="L2500" r:id="rId2498" tooltip="🔗 Ver Mapa" display="🔗 Ver Mapa"/>
    <hyperlink ref="L2501" r:id="rId2499" tooltip="🔗 Ver Mapa" display="🔗 Ver Mapa"/>
    <hyperlink ref="L2502" r:id="rId2500" tooltip="🔗 Ver Mapa" display="🔗 Ver Mapa"/>
    <hyperlink ref="L2503" r:id="rId2501" tooltip="🔗 Ver Mapa" display="🔗 Ver Mapa"/>
    <hyperlink ref="L2504" r:id="rId2502" tooltip="🔗 Ver Mapa" display="🔗 Ver Mapa"/>
    <hyperlink ref="L2505" r:id="rId2503" tooltip="🔗 Ver Mapa" display="🔗 Ver Mapa"/>
    <hyperlink ref="L2506" r:id="rId2504" tooltip="🔗 Ver Mapa" display="🔗 Ver Mapa"/>
    <hyperlink ref="L2507" r:id="rId2505" tooltip="🔗 Ver Mapa" display="🔗 Ver Mapa"/>
    <hyperlink ref="L2508" r:id="rId2506" tooltip="🔗 Ver Mapa" display="🔗 Ver Mapa"/>
    <hyperlink ref="L2509" r:id="rId2507" tooltip="🔗 Ver Mapa" display="🔗 Ver Mapa"/>
    <hyperlink ref="L2510" r:id="rId2508" tooltip="🔗 Ver Mapa" display="🔗 Ver Mapa"/>
    <hyperlink ref="L2511" r:id="rId2509" tooltip="🔗 Ver Mapa" display="🔗 Ver Mapa"/>
    <hyperlink ref="L2512" r:id="rId2510" tooltip="🔗 Ver Mapa" display="🔗 Ver Mapa"/>
    <hyperlink ref="L2513" r:id="rId2511" tooltip="🔗 Ver Mapa" display="🔗 Ver Mapa"/>
    <hyperlink ref="L2514" r:id="rId2512" tooltip="🔗 Ver Mapa" display="🔗 Ver Mapa"/>
    <hyperlink ref="L2515" r:id="rId2513" tooltip="🔗 Ver Mapa" display="🔗 Ver Mapa"/>
    <hyperlink ref="L2516" r:id="rId2514" tooltip="🔗 Ver Mapa" display="🔗 Ver Mapa"/>
    <hyperlink ref="L2517" r:id="rId2515" tooltip="🔗 Ver Mapa" display="🔗 Ver Mapa"/>
    <hyperlink ref="L2518" r:id="rId2516" tooltip="🔗 Ver Mapa" display="🔗 Ver Mapa"/>
    <hyperlink ref="L2519" r:id="rId2517" tooltip="🔗 Ver Mapa" display="🔗 Ver Mapa"/>
    <hyperlink ref="L2520" r:id="rId2518" tooltip="🔗 Ver Mapa" display="🔗 Ver Mapa"/>
    <hyperlink ref="L2521" r:id="rId2519" tooltip="🔗 Ver Mapa" display="🔗 Ver Mapa"/>
    <hyperlink ref="L2522" r:id="rId2520" tooltip="🔗 Ver Mapa" display="🔗 Ver Mapa"/>
    <hyperlink ref="L2523" r:id="rId2521" tooltip="🔗 Ver Mapa" display="🔗 Ver Mapa"/>
    <hyperlink ref="L2524" r:id="rId2522" tooltip="🔗 Ver Mapa" display="🔗 Ver Mapa"/>
    <hyperlink ref="L2525" r:id="rId2523" tooltip="🔗 Ver Mapa" display="🔗 Ver Mapa"/>
    <hyperlink ref="L2526" r:id="rId2524" tooltip="🔗 Ver Mapa" display="🔗 Ver Mapa"/>
    <hyperlink ref="L2527" r:id="rId2525" tooltip="🔗 Ver Mapa" display="🔗 Ver Mapa"/>
    <hyperlink ref="L2528" r:id="rId2526" tooltip="🔗 Ver Mapa" display="🔗 Ver Mapa"/>
    <hyperlink ref="L2529" r:id="rId2527" tooltip="🔗 Ver Mapa" display="🔗 Ver Mapa"/>
    <hyperlink ref="L2530" r:id="rId2528" tooltip="🔗 Ver Mapa" display="🔗 Ver Mapa"/>
    <hyperlink ref="L2531" r:id="rId2529" tooltip="🔗 Ver Mapa" display="🔗 Ver Mapa"/>
    <hyperlink ref="L2532" r:id="rId2530" tooltip="🔗 Ver Mapa" display="🔗 Ver Mapa"/>
    <hyperlink ref="L2533" r:id="rId2531" tooltip="🔗 Ver Mapa" display="🔗 Ver Mapa"/>
    <hyperlink ref="L2534" r:id="rId2532" tooltip="🔗 Ver Mapa" display="🔗 Ver Mapa"/>
    <hyperlink ref="L2535" r:id="rId2533" tooltip="🔗 Ver Mapa" display="🔗 Ver Mapa"/>
    <hyperlink ref="L2536" r:id="rId2534" tooltip="🔗 Ver Mapa" display="🔗 Ver Mapa"/>
    <hyperlink ref="L2537" r:id="rId2535" tooltip="🔗 Ver Mapa" display="🔗 Ver Mapa"/>
    <hyperlink ref="L2538" r:id="rId2536" tooltip="🔗 Ver Mapa" display="🔗 Ver Mapa"/>
    <hyperlink ref="L2539" r:id="rId2537" tooltip="🔗 Ver Mapa" display="🔗 Ver Mapa"/>
    <hyperlink ref="L2540" r:id="rId2538" tooltip="🔗 Ver Mapa" display="🔗 Ver Mapa"/>
    <hyperlink ref="L2541" r:id="rId2539" tooltip="🔗 Ver Mapa" display="🔗 Ver Mapa"/>
    <hyperlink ref="L2542" r:id="rId2540" tooltip="🔗 Ver Mapa" display="🔗 Ver Mapa"/>
    <hyperlink ref="L2543" r:id="rId2541" tooltip="🔗 Ver Mapa" display="🔗 Ver Mapa"/>
    <hyperlink ref="L2544" r:id="rId2542" tooltip="🔗 Ver Mapa" display="🔗 Ver Mapa"/>
    <hyperlink ref="L2545" r:id="rId2543" tooltip="🔗 Ver Mapa" display="🔗 Ver Mapa"/>
    <hyperlink ref="L2546" r:id="rId2544" tooltip="🔗 Ver Mapa" display="🔗 Ver Mapa"/>
    <hyperlink ref="L2547" r:id="rId2545" tooltip="🔗 Ver Mapa" display="🔗 Ver Mapa"/>
    <hyperlink ref="L2548" r:id="rId2546" tooltip="🔗 Ver Mapa" display="🔗 Ver Mapa"/>
    <hyperlink ref="L2549" r:id="rId2547" tooltip="🔗 Ver Mapa" display="🔗 Ver Mapa"/>
    <hyperlink ref="L2550" r:id="rId2548" tooltip="🔗 Ver Mapa" display="🔗 Ver Mapa"/>
    <hyperlink ref="L2551" r:id="rId2549" tooltip="🔗 Ver Mapa" display="🔗 Ver Mapa"/>
    <hyperlink ref="L2552" r:id="rId2550" tooltip="🔗 Ver Mapa" display="🔗 Ver Mapa"/>
    <hyperlink ref="L2553" r:id="rId2551" tooltip="🔗 Ver Mapa" display="🔗 Ver Mapa"/>
    <hyperlink ref="L2554" r:id="rId2552" tooltip="🔗 Ver Mapa" display="🔗 Ver Mapa"/>
    <hyperlink ref="L2555" r:id="rId2553" tooltip="🔗 Ver Mapa" display="🔗 Ver Mapa"/>
    <hyperlink ref="L2556" r:id="rId2554" tooltip="🔗 Ver Mapa" display="🔗 Ver Mapa"/>
    <hyperlink ref="L2557" r:id="rId2555" tooltip="🔗 Ver Mapa" display="🔗 Ver Mapa"/>
    <hyperlink ref="L2558" r:id="rId2556" tooltip="🔗 Ver Mapa" display="🔗 Ver Mapa"/>
    <hyperlink ref="L2559" r:id="rId2557" tooltip="🔗 Ver Mapa" display="🔗 Ver Mapa"/>
    <hyperlink ref="L2560" r:id="rId2558" tooltip="🔗 Ver Mapa" display="🔗 Ver Mapa"/>
    <hyperlink ref="L2561" r:id="rId2559" tooltip="🔗 Ver Mapa" display="🔗 Ver Mapa"/>
    <hyperlink ref="L2562" r:id="rId2560" tooltip="🔗 Ver Mapa" display="🔗 Ver Mapa"/>
    <hyperlink ref="L2563" r:id="rId2561" tooltip="🔗 Ver Mapa" display="🔗 Ver Mapa"/>
    <hyperlink ref="L2564" r:id="rId2562" tooltip="🔗 Ver Mapa" display="🔗 Ver Mapa"/>
    <hyperlink ref="L2565" r:id="rId2563" tooltip="🔗 Ver Mapa" display="🔗 Ver Mapa"/>
    <hyperlink ref="L2566" r:id="rId2564" tooltip="🔗 Ver Mapa" display="🔗 Ver Mapa"/>
    <hyperlink ref="L2567" r:id="rId2565" tooltip="🔗 Ver Mapa" display="🔗 Ver Mapa"/>
    <hyperlink ref="L2568" r:id="rId2566" tooltip="🔗 Ver Mapa" display="🔗 Ver Mapa"/>
    <hyperlink ref="L2569" r:id="rId2567" tooltip="🔗 Ver Mapa" display="🔗 Ver Mapa"/>
    <hyperlink ref="L2570" r:id="rId2568" tooltip="🔗 Ver Mapa" display="🔗 Ver Mapa"/>
    <hyperlink ref="L2571" r:id="rId2569" tooltip="🔗 Ver Mapa" display="🔗 Ver Mapa"/>
    <hyperlink ref="L2572" r:id="rId2570" tooltip="🔗 Ver Mapa" display="🔗 Ver Mapa"/>
    <hyperlink ref="L2573" r:id="rId2571" tooltip="🔗 Ver Mapa" display="🔗 Ver Mapa"/>
    <hyperlink ref="L2574" r:id="rId2572" tooltip="🔗 Ver Mapa" display="🔗 Ver Mapa"/>
    <hyperlink ref="L2575" r:id="rId2573" tooltip="🔗 Ver Mapa" display="🔗 Ver Mapa"/>
    <hyperlink ref="L2576" r:id="rId2574" tooltip="🔗 Ver Mapa" display="🔗 Ver Mapa"/>
    <hyperlink ref="L2577" r:id="rId2575" tooltip="🔗 Ver Mapa" display="🔗 Ver Mapa"/>
    <hyperlink ref="L2578" r:id="rId2576" tooltip="🔗 Ver Mapa" display="🔗 Ver Mapa"/>
    <hyperlink ref="L2579" r:id="rId2577" tooltip="🔗 Ver Mapa" display="🔗 Ver Mapa"/>
    <hyperlink ref="L2580" r:id="rId2578" tooltip="🔗 Ver Mapa" display="🔗 Ver Mapa"/>
    <hyperlink ref="L2581" r:id="rId2579" tooltip="🔗 Ver Mapa" display="🔗 Ver Mapa"/>
    <hyperlink ref="L2582" r:id="rId2580" tooltip="🔗 Ver Mapa" display="🔗 Ver Mapa"/>
    <hyperlink ref="L2583" r:id="rId2581" tooltip="🔗 Ver Mapa" display="🔗 Ver Mapa"/>
    <hyperlink ref="L2584" r:id="rId2582" tooltip="🔗 Ver Mapa" display="🔗 Ver Mapa"/>
    <hyperlink ref="L2585" r:id="rId2583" tooltip="🔗 Ver Mapa" display="🔗 Ver Mapa"/>
    <hyperlink ref="L2586" r:id="rId2584" tooltip="🔗 Ver Mapa" display="🔗 Ver Mapa"/>
    <hyperlink ref="L2587" r:id="rId2585" tooltip="🔗 Ver Mapa" display="🔗 Ver Mapa"/>
    <hyperlink ref="L2588" r:id="rId2586" tooltip="🔗 Ver Mapa" display="🔗 Ver Mapa"/>
    <hyperlink ref="L2589" r:id="rId2587" tooltip="🔗 Ver Mapa" display="🔗 Ver Mapa"/>
    <hyperlink ref="L2590" r:id="rId2588" tooltip="🔗 Ver Mapa" display="🔗 Ver Mapa"/>
    <hyperlink ref="L2591" r:id="rId2589" tooltip="🔗 Ver Mapa" display="🔗 Ver Mapa"/>
    <hyperlink ref="L2592" r:id="rId2590" tooltip="🔗 Ver Mapa" display="🔗 Ver Mapa"/>
    <hyperlink ref="L2593" r:id="rId2591" tooltip="🔗 Ver Mapa" display="🔗 Ver Mapa"/>
    <hyperlink ref="L2594" r:id="rId2592" tooltip="🔗 Ver Mapa" display="🔗 Ver Mapa"/>
    <hyperlink ref="L2595" r:id="rId2593" tooltip="🔗 Ver Mapa" display="🔗 Ver Mapa"/>
    <hyperlink ref="L2596" r:id="rId2594" tooltip="🔗 Ver Mapa" display="🔗 Ver Mapa"/>
    <hyperlink ref="L2597" r:id="rId2595" tooltip="🔗 Ver Mapa" display="🔗 Ver Mapa"/>
    <hyperlink ref="L2598" r:id="rId2596" tooltip="🔗 Ver Mapa" display="🔗 Ver Mapa"/>
    <hyperlink ref="L2599" r:id="rId2597" tooltip="🔗 Ver Mapa" display="🔗 Ver Mapa"/>
    <hyperlink ref="L2600" r:id="rId2598" tooltip="🔗 Ver Mapa" display="🔗 Ver Mapa"/>
    <hyperlink ref="L2601" r:id="rId2599" tooltip="🔗 Ver Mapa" display="🔗 Ver Mapa"/>
    <hyperlink ref="L2602" r:id="rId2600" tooltip="🔗 Ver Mapa" display="🔗 Ver Mapa"/>
    <hyperlink ref="L2603" r:id="rId2601" tooltip="🔗 Ver Mapa" display="🔗 Ver Mapa"/>
    <hyperlink ref="L2604" r:id="rId2602" tooltip="🔗 Ver Mapa" display="🔗 Ver Mapa"/>
    <hyperlink ref="L2605" r:id="rId2603" tooltip="🔗 Ver Mapa" display="🔗 Ver Mapa"/>
    <hyperlink ref="L2606" r:id="rId2604" tooltip="🔗 Ver Mapa" display="🔗 Ver Mapa"/>
    <hyperlink ref="L2607" r:id="rId2605" tooltip="🔗 Ver Mapa" display="🔗 Ver Mapa"/>
    <hyperlink ref="L2608" r:id="rId2606" tooltip="🔗 Ver Mapa" display="🔗 Ver Mapa"/>
    <hyperlink ref="L2609" r:id="rId2607" tooltip="🔗 Ver Mapa" display="🔗 Ver Mapa"/>
    <hyperlink ref="L2610" r:id="rId2608" tooltip="🔗 Ver Mapa" display="🔗 Ver Mapa"/>
    <hyperlink ref="L2611" r:id="rId2609" tooltip="🔗 Ver Mapa" display="🔗 Ver Mapa"/>
    <hyperlink ref="L2612" r:id="rId2610" tooltip="🔗 Ver Mapa" display="🔗 Ver Mapa"/>
    <hyperlink ref="L2613" r:id="rId2611" tooltip="🔗 Ver Mapa" display="🔗 Ver Mapa"/>
    <hyperlink ref="L2614" r:id="rId2612" tooltip="🔗 Ver Mapa" display="🔗 Ver Mapa"/>
    <hyperlink ref="L2615" r:id="rId2613" tooltip="🔗 Ver Mapa" display="🔗 Ver Mapa"/>
    <hyperlink ref="L2616" r:id="rId2614" tooltip="🔗 Ver Mapa" display="🔗 Ver Mapa"/>
    <hyperlink ref="L2617" r:id="rId2615" tooltip="🔗 Ver Mapa" display="🔗 Ver Mapa"/>
    <hyperlink ref="L2618" r:id="rId2616" tooltip="🔗 Ver Mapa" display="🔗 Ver Mapa"/>
    <hyperlink ref="L2619" r:id="rId2617" tooltip="🔗 Ver Mapa" display="🔗 Ver Mapa"/>
    <hyperlink ref="L2620" r:id="rId2618" tooltip="🔗 Ver Mapa" display="🔗 Ver Mapa"/>
    <hyperlink ref="L2621" r:id="rId2619" tooltip="🔗 Ver Mapa" display="🔗 Ver Mapa"/>
    <hyperlink ref="L2622" r:id="rId2620" tooltip="🔗 Ver Mapa" display="🔗 Ver Mapa"/>
    <hyperlink ref="L2623" r:id="rId2621" tooltip="🔗 Ver Mapa" display="🔗 Ver Mapa"/>
    <hyperlink ref="L2624" r:id="rId2622" tooltip="🔗 Ver Mapa" display="🔗 Ver Mapa"/>
    <hyperlink ref="L2625" r:id="rId2623" tooltip="🔗 Ver Mapa" display="🔗 Ver Mapa"/>
    <hyperlink ref="L2626" r:id="rId2624" tooltip="🔗 Ver Mapa" display="🔗 Ver Mapa"/>
    <hyperlink ref="L2627" r:id="rId2625" tooltip="🔗 Ver Mapa" display="🔗 Ver Mapa"/>
    <hyperlink ref="L2628" r:id="rId2626" tooltip="🔗 Ver Mapa" display="🔗 Ver Mapa"/>
    <hyperlink ref="L2629" r:id="rId2627" tooltip="🔗 Ver Mapa" display="🔗 Ver Mapa"/>
    <hyperlink ref="L2630" r:id="rId2628" tooltip="🔗 Ver Mapa" display="🔗 Ver Mapa"/>
    <hyperlink ref="L2631" r:id="rId2629" tooltip="🔗 Ver Mapa" display="🔗 Ver Mapa"/>
    <hyperlink ref="L2632" r:id="rId2630" tooltip="🔗 Ver Mapa" display="🔗 Ver Mapa"/>
    <hyperlink ref="L2633" r:id="rId2631" tooltip="🔗 Ver Mapa" display="🔗 Ver Mapa"/>
    <hyperlink ref="L2634" r:id="rId2632" tooltip="🔗 Ver Mapa" display="🔗 Ver Mapa"/>
    <hyperlink ref="L2635" r:id="rId2633" tooltip="🔗 Ver Mapa" display="🔗 Ver Mapa"/>
    <hyperlink ref="L2636" r:id="rId2634" tooltip="🔗 Ver Mapa" display="🔗 Ver Mapa"/>
    <hyperlink ref="L2637" r:id="rId2635" tooltip="🔗 Ver Mapa" display="🔗 Ver Mapa"/>
    <hyperlink ref="L2638" r:id="rId2636" tooltip="🔗 Ver Mapa" display="🔗 Ver Mapa"/>
    <hyperlink ref="L2639" r:id="rId2637" tooltip="🔗 Ver Mapa" display="🔗 Ver Mapa"/>
    <hyperlink ref="L2640" r:id="rId2638" tooltip="🔗 Ver Mapa" display="🔗 Ver Mapa"/>
    <hyperlink ref="L2641" r:id="rId2639" tooltip="🔗 Ver Mapa" display="🔗 Ver Mapa"/>
    <hyperlink ref="L2642" r:id="rId2640" tooltip="🔗 Ver Mapa" display="🔗 Ver Mapa"/>
    <hyperlink ref="L2643" r:id="rId2641" tooltip="🔗 Ver Mapa" display="🔗 Ver Mapa"/>
    <hyperlink ref="L2644" r:id="rId2642" tooltip="🔗 Ver Mapa" display="🔗 Ver Mapa"/>
    <hyperlink ref="L2645" r:id="rId2643" tooltip="🔗 Ver Mapa" display="🔗 Ver Mapa"/>
    <hyperlink ref="L2646" r:id="rId2644" tooltip="🔗 Ver Mapa" display="🔗 Ver Mapa"/>
    <hyperlink ref="L2647" r:id="rId2645" tooltip="🔗 Ver Mapa" display="🔗 Ver Mapa"/>
    <hyperlink ref="L2648" r:id="rId2646" tooltip="🔗 Ver Mapa" display="🔗 Ver Mapa"/>
    <hyperlink ref="L2649" r:id="rId2647" tooltip="🔗 Ver Mapa" display="🔗 Ver Mapa"/>
    <hyperlink ref="L2650" r:id="rId2648" tooltip="🔗 Ver Mapa" display="🔗 Ver Mapa"/>
    <hyperlink ref="L2651" r:id="rId2649" tooltip="🔗 Ver Mapa" display="🔗 Ver Mapa"/>
    <hyperlink ref="L2652" r:id="rId2650" tooltip="🔗 Ver Mapa" display="🔗 Ver Mapa"/>
    <hyperlink ref="L2653" r:id="rId2651" tooltip="🔗 Ver Mapa" display="🔗 Ver Mapa"/>
    <hyperlink ref="L2654" r:id="rId2652" tooltip="🔗 Ver Mapa" display="🔗 Ver Mapa"/>
    <hyperlink ref="L2655" r:id="rId2653" tooltip="🔗 Ver Mapa" display="🔗 Ver Mapa"/>
    <hyperlink ref="L2656" r:id="rId2654" tooltip="🔗 Ver Mapa" display="🔗 Ver Mapa"/>
    <hyperlink ref="L2657" r:id="rId2655" tooltip="🔗 Ver Mapa" display="🔗 Ver Mapa"/>
    <hyperlink ref="L2658" r:id="rId2656" tooltip="🔗 Ver Mapa" display="🔗 Ver Mapa"/>
    <hyperlink ref="L2659" r:id="rId2657" tooltip="🔗 Ver Mapa" display="🔗 Ver Mapa"/>
    <hyperlink ref="L2660" r:id="rId2658" tooltip="🔗 Ver Mapa" display="🔗 Ver Mapa"/>
    <hyperlink ref="L2661" r:id="rId2659" tooltip="🔗 Ver Mapa" display="🔗 Ver Mapa"/>
    <hyperlink ref="L2662" r:id="rId2660" tooltip="🔗 Ver Mapa" display="🔗 Ver Mapa"/>
    <hyperlink ref="L2663" r:id="rId2661" tooltip="🔗 Ver Mapa" display="🔗 Ver Mapa"/>
    <hyperlink ref="L2664" r:id="rId2662" tooltip="🔗 Ver Mapa" display="🔗 Ver Mapa"/>
    <hyperlink ref="L2665" r:id="rId2663" tooltip="🔗 Ver Mapa" display="🔗 Ver Mapa"/>
    <hyperlink ref="L2666" r:id="rId2664" tooltip="🔗 Ver Mapa" display="🔗 Ver Mapa"/>
    <hyperlink ref="L2667" r:id="rId2665" tooltip="🔗 Ver Mapa" display="🔗 Ver Mapa"/>
    <hyperlink ref="L2668" r:id="rId2666" tooltip="🔗 Ver Mapa" display="🔗 Ver Mapa"/>
    <hyperlink ref="L2669" r:id="rId2667" tooltip="🔗 Ver Mapa" display="🔗 Ver Mapa"/>
    <hyperlink ref="L2670" r:id="rId2668" tooltip="🔗 Ver Mapa" display="🔗 Ver Mapa"/>
    <hyperlink ref="L2671" r:id="rId2669" tooltip="🔗 Ver Mapa" display="🔗 Ver Mapa"/>
    <hyperlink ref="L2672" r:id="rId2670" tooltip="🔗 Ver Mapa" display="🔗 Ver Mapa"/>
    <hyperlink ref="L2673" r:id="rId2671" tooltip="🔗 Ver Mapa" display="🔗 Ver Mapa"/>
    <hyperlink ref="L2674" r:id="rId2672" tooltip="🔗 Ver Mapa" display="🔗 Ver Mapa"/>
    <hyperlink ref="L2675" r:id="rId2673" tooltip="🔗 Ver Mapa" display="🔗 Ver Mapa"/>
    <hyperlink ref="L2676" r:id="rId2674" tooltip="🔗 Ver Mapa" display="🔗 Ver Mapa"/>
    <hyperlink ref="L2677" r:id="rId2675" tooltip="🔗 Ver Mapa" display="🔗 Ver Mapa"/>
    <hyperlink ref="L2678" r:id="rId2676" tooltip="🔗 Ver Mapa" display="🔗 Ver Mapa"/>
    <hyperlink ref="L2679" r:id="rId2677" tooltip="🔗 Ver Mapa" display="🔗 Ver Mapa"/>
    <hyperlink ref="L2680" r:id="rId2678" tooltip="🔗 Ver Mapa" display="🔗 Ver Mapa"/>
    <hyperlink ref="L2681" r:id="rId2679" tooltip="🔗 Ver Mapa" display="🔗 Ver Mapa"/>
    <hyperlink ref="L2682" r:id="rId2680" tooltip="🔗 Ver Mapa" display="🔗 Ver Mapa"/>
    <hyperlink ref="L2683" r:id="rId2681" tooltip="🔗 Ver Mapa" display="🔗 Ver Mapa"/>
    <hyperlink ref="L2684" r:id="rId2682" tooltip="🔗 Ver Mapa" display="🔗 Ver Mapa"/>
    <hyperlink ref="L2685" r:id="rId2683" tooltip="🔗 Ver Mapa" display="🔗 Ver Mapa"/>
    <hyperlink ref="L2686" r:id="rId2684" tooltip="🔗 Ver Mapa" display="🔗 Ver Mapa"/>
    <hyperlink ref="L2687" r:id="rId2685" tooltip="🔗 Ver Mapa" display="🔗 Ver Mapa"/>
    <hyperlink ref="L2688" r:id="rId2686" tooltip="🔗 Ver Mapa" display="🔗 Ver Mapa"/>
    <hyperlink ref="L2689" r:id="rId2687" tooltip="🔗 Ver Mapa" display="🔗 Ver Mapa"/>
    <hyperlink ref="L2690" r:id="rId2688" tooltip="🔗 Ver Mapa" display="🔗 Ver Mapa"/>
    <hyperlink ref="L2691" r:id="rId2689" tooltip="🔗 Ver Mapa" display="🔗 Ver Mapa"/>
    <hyperlink ref="L2692" r:id="rId2690" tooltip="🔗 Ver Mapa" display="🔗 Ver Mapa"/>
    <hyperlink ref="L2693" r:id="rId2691" tooltip="🔗 Ver Mapa" display="🔗 Ver Mapa"/>
    <hyperlink ref="L2694" r:id="rId2692" tooltip="🔗 Ver Mapa" display="🔗 Ver Mapa"/>
    <hyperlink ref="L2695" r:id="rId2693" tooltip="🔗 Ver Mapa" display="🔗 Ver Mapa"/>
    <hyperlink ref="L2696" r:id="rId2694" tooltip="🔗 Ver Mapa" display="🔗 Ver Mapa"/>
    <hyperlink ref="L2697" r:id="rId2695" tooltip="🔗 Ver Mapa" display="🔗 Ver Mapa"/>
    <hyperlink ref="L2698" r:id="rId2696" tooltip="🔗 Ver Mapa" display="🔗 Ver Mapa"/>
    <hyperlink ref="L2699" r:id="rId2697" tooltip="🔗 Ver Mapa" display="🔗 Ver Mapa"/>
    <hyperlink ref="L2700" r:id="rId2698" tooltip="🔗 Ver Mapa" display="🔗 Ver Mapa"/>
    <hyperlink ref="L2701" r:id="rId2699" tooltip="🔗 Ver Mapa" display="🔗 Ver Mapa"/>
    <hyperlink ref="L2702" r:id="rId2700" tooltip="🔗 Ver Mapa" display="🔗 Ver Mapa"/>
    <hyperlink ref="L2703" r:id="rId2701" tooltip="🔗 Ver Mapa" display="🔗 Ver Mapa"/>
    <hyperlink ref="L2704" r:id="rId2702" tooltip="🔗 Ver Mapa" display="🔗 Ver Mapa"/>
    <hyperlink ref="L2705" r:id="rId2703" tooltip="🔗 Ver Mapa" display="🔗 Ver Mapa"/>
    <hyperlink ref="L2706" r:id="rId2704" tooltip="🔗 Ver Mapa" display="🔗 Ver Mapa"/>
    <hyperlink ref="L2707" r:id="rId2705" tooltip="🔗 Ver Mapa" display="🔗 Ver Mapa"/>
    <hyperlink ref="L2708" r:id="rId2706" tooltip="🔗 Ver Mapa" display="🔗 Ver Mapa"/>
    <hyperlink ref="L2709" r:id="rId2707" tooltip="🔗 Ver Mapa" display="🔗 Ver Mapa"/>
    <hyperlink ref="L2710" r:id="rId2708" tooltip="🔗 Ver Mapa" display="🔗 Ver Mapa"/>
    <hyperlink ref="L2711" r:id="rId2709" tooltip="🔗 Ver Mapa" display="🔗 Ver Mapa"/>
    <hyperlink ref="L2712" r:id="rId2710" tooltip="🔗 Ver Mapa" display="🔗 Ver Mapa"/>
    <hyperlink ref="L2713" r:id="rId2711" tooltip="🔗 Ver Mapa" display="🔗 Ver Mapa"/>
    <hyperlink ref="L2714" r:id="rId2712" tooltip="🔗 Ver Mapa" display="🔗 Ver Mapa"/>
    <hyperlink ref="L2715" r:id="rId2713" tooltip="🔗 Ver Mapa" display="🔗 Ver Mapa"/>
    <hyperlink ref="L2716" r:id="rId2714" tooltip="🔗 Ver Mapa" display="🔗 Ver Mapa"/>
    <hyperlink ref="L2717" r:id="rId2715" tooltip="🔗 Ver Mapa" display="🔗 Ver Mapa"/>
    <hyperlink ref="L2718" r:id="rId2716" tooltip="🔗 Ver Mapa" display="🔗 Ver Mapa"/>
    <hyperlink ref="L2719" r:id="rId2717" tooltip="🔗 Ver Mapa" display="🔗 Ver Mapa"/>
    <hyperlink ref="L2720" r:id="rId2718" tooltip="🔗 Ver Mapa" display="🔗 Ver Mapa"/>
    <hyperlink ref="L2721" r:id="rId2719" tooltip="🔗 Ver Mapa" display="🔗 Ver Mapa"/>
    <hyperlink ref="L2722" r:id="rId2720" tooltip="🔗 Ver Mapa" display="🔗 Ver Mapa"/>
    <hyperlink ref="L2723" r:id="rId2721" tooltip="🔗 Ver Mapa" display="🔗 Ver Mapa"/>
    <hyperlink ref="L2724" r:id="rId2722" tooltip="🔗 Ver Mapa" display="🔗 Ver Mapa"/>
    <hyperlink ref="L2725" r:id="rId2723" tooltip="🔗 Ver Mapa" display="🔗 Ver Mapa"/>
    <hyperlink ref="L2726" r:id="rId2724" tooltip="🔗 Ver Mapa" display="🔗 Ver Mapa"/>
    <hyperlink ref="L2727" r:id="rId2725" tooltip="🔗 Ver Mapa" display="🔗 Ver Mapa"/>
    <hyperlink ref="L2728" r:id="rId2726" tooltip="🔗 Ver Mapa" display="🔗 Ver Mapa"/>
    <hyperlink ref="L2729" r:id="rId2727" tooltip="🔗 Ver Mapa" display="🔗 Ver Mapa"/>
    <hyperlink ref="L2730" r:id="rId2728" tooltip="🔗 Ver Mapa" display="🔗 Ver Mapa"/>
    <hyperlink ref="L2731" r:id="rId2729" tooltip="🔗 Ver Mapa" display="🔗 Ver Mapa"/>
    <hyperlink ref="L2732" r:id="rId2730" tooltip="🔗 Ver Mapa" display="🔗 Ver Mapa"/>
    <hyperlink ref="L2733" r:id="rId2731" tooltip="🔗 Ver Mapa" display="🔗 Ver Mapa"/>
    <hyperlink ref="L2734" r:id="rId2732" tooltip="🔗 Ver Mapa" display="🔗 Ver Mapa"/>
    <hyperlink ref="L2735" r:id="rId2733" tooltip="🔗 Ver Mapa" display="🔗 Ver Mapa"/>
    <hyperlink ref="L2736" r:id="rId2734" tooltip="🔗 Ver Mapa" display="🔗 Ver Mapa"/>
    <hyperlink ref="L2737" r:id="rId2735" tooltip="🔗 Ver Mapa" display="🔗 Ver Mapa"/>
    <hyperlink ref="L2738" r:id="rId2736" tooltip="🔗 Ver Mapa" display="🔗 Ver Mapa"/>
    <hyperlink ref="L2739" r:id="rId2737" tooltip="🔗 Ver Mapa" display="🔗 Ver Mapa"/>
    <hyperlink ref="L2740" r:id="rId2738" tooltip="🔗 Ver Mapa" display="🔗 Ver Mapa"/>
    <hyperlink ref="L2741" r:id="rId2739" tooltip="🔗 Ver Mapa" display="🔗 Ver Mapa"/>
    <hyperlink ref="L2742" r:id="rId2740" tooltip="🔗 Ver Mapa" display="🔗 Ver Mapa"/>
    <hyperlink ref="L2743" r:id="rId2741" tooltip="🔗 Ver Mapa" display="🔗 Ver Mapa"/>
    <hyperlink ref="L2744" r:id="rId2742" tooltip="🔗 Ver Mapa" display="🔗 Ver Mapa"/>
    <hyperlink ref="L2745" r:id="rId2743" tooltip="🔗 Ver Mapa" display="🔗 Ver Mapa"/>
    <hyperlink ref="L2746" r:id="rId2744" tooltip="🔗 Ver Mapa" display="🔗 Ver Mapa"/>
    <hyperlink ref="L2747" r:id="rId2745" tooltip="🔗 Ver Mapa" display="🔗 Ver Mapa"/>
    <hyperlink ref="L2748" r:id="rId2746" tooltip="🔗 Ver Mapa" display="🔗 Ver Mapa"/>
    <hyperlink ref="L2749" r:id="rId2747" tooltip="🔗 Ver Mapa" display="🔗 Ver Mapa"/>
    <hyperlink ref="L2750" r:id="rId2748" tooltip="🔗 Ver Mapa" display="🔗 Ver Mapa"/>
    <hyperlink ref="L2751" r:id="rId2749" tooltip="🔗 Ver Mapa" display="🔗 Ver Mapa"/>
    <hyperlink ref="L2752" r:id="rId2750" tooltip="🔗 Ver Mapa" display="🔗 Ver Mapa"/>
    <hyperlink ref="L2753" r:id="rId2751" tooltip="🔗 Ver Mapa" display="🔗 Ver Mapa"/>
    <hyperlink ref="L2754" r:id="rId2752" tooltip="🔗 Ver Mapa" display="🔗 Ver Mapa"/>
    <hyperlink ref="L2755" r:id="rId2753" tooltip="🔗 Ver Mapa" display="🔗 Ver Mapa"/>
    <hyperlink ref="L2756" r:id="rId2754" tooltip="🔗 Ver Mapa" display="🔗 Ver Mapa"/>
    <hyperlink ref="L2757" r:id="rId2755" tooltip="🔗 Ver Mapa" display="🔗 Ver Mapa"/>
    <hyperlink ref="L2758" r:id="rId2756" tooltip="🔗 Ver Mapa" display="🔗 Ver Mapa"/>
    <hyperlink ref="L2759" r:id="rId2757" tooltip="🔗 Ver Mapa" display="🔗 Ver Mapa"/>
    <hyperlink ref="L2760" r:id="rId2758" tooltip="🔗 Ver Mapa" display="🔗 Ver Mapa"/>
    <hyperlink ref="L2761" r:id="rId2759" tooltip="🔗 Ver Mapa" display="🔗 Ver Mapa"/>
    <hyperlink ref="L2762" r:id="rId2760" tooltip="🔗 Ver Mapa" display="🔗 Ver Mapa"/>
    <hyperlink ref="L2763" r:id="rId2761" tooltip="🔗 Ver Mapa" display="🔗 Ver Mapa"/>
    <hyperlink ref="L2764" r:id="rId2762" tooltip="🔗 Ver Mapa" display="🔗 Ver Mapa"/>
    <hyperlink ref="L2765" r:id="rId2763" tooltip="🔗 Ver Mapa" display="🔗 Ver Mapa"/>
    <hyperlink ref="L2766" r:id="rId2764" tooltip="🔗 Ver Mapa" display="🔗 Ver Mapa"/>
    <hyperlink ref="L2767" r:id="rId2765" tooltip="🔗 Ver Mapa" display="🔗 Ver Mapa"/>
    <hyperlink ref="L2768" r:id="rId2766" tooltip="🔗 Ver Mapa" display="🔗 Ver Mapa"/>
    <hyperlink ref="L2769" r:id="rId2767" tooltip="🔗 Ver Mapa" display="🔗 Ver Mapa"/>
    <hyperlink ref="L2770" r:id="rId2768" tooltip="🔗 Ver Mapa" display="🔗 Ver Mapa"/>
    <hyperlink ref="L2771" r:id="rId2769" tooltip="🔗 Ver Mapa" display="🔗 Ver Mapa"/>
    <hyperlink ref="L2772" r:id="rId2770" tooltip="🔗 Ver Mapa" display="🔗 Ver Mapa"/>
    <hyperlink ref="L2773" r:id="rId2771" tooltip="🔗 Ver Mapa" display="🔗 Ver Mapa"/>
    <hyperlink ref="L2774" r:id="rId2772" tooltip="🔗 Ver Mapa" display="🔗 Ver Mapa"/>
    <hyperlink ref="L2775" r:id="rId2773" tooltip="🔗 Ver Mapa" display="🔗 Ver Mapa"/>
    <hyperlink ref="L2776" r:id="rId2774" tooltip="🔗 Ver Mapa" display="🔗 Ver Mapa"/>
    <hyperlink ref="L2777" r:id="rId2775" tooltip="🔗 Ver Mapa" display="🔗 Ver Mapa"/>
    <hyperlink ref="L2778" r:id="rId2776" tooltip="🔗 Ver Mapa" display="🔗 Ver Mapa"/>
    <hyperlink ref="L2779" r:id="rId2777" tooltip="🔗 Ver Mapa" display="🔗 Ver Mapa"/>
    <hyperlink ref="L2780" r:id="rId2778" tooltip="🔗 Ver Mapa" display="🔗 Ver Mapa"/>
    <hyperlink ref="L2781" r:id="rId2779" tooltip="🔗 Ver Mapa" display="🔗 Ver Mapa"/>
    <hyperlink ref="L2782" r:id="rId2780" tooltip="🔗 Ver Mapa" display="🔗 Ver Mapa"/>
    <hyperlink ref="L2783" r:id="rId2781" tooltip="🔗 Ver Mapa" display="🔗 Ver Mapa"/>
    <hyperlink ref="L2784" r:id="rId2782" tooltip="🔗 Ver Mapa" display="🔗 Ver Mapa"/>
    <hyperlink ref="L2785" r:id="rId2783" tooltip="🔗 Ver Mapa" display="🔗 Ver Mapa"/>
    <hyperlink ref="L2786" r:id="rId2784" tooltip="🔗 Ver Mapa" display="🔗 Ver Mapa"/>
    <hyperlink ref="L2787" r:id="rId2785" tooltip="🔗 Ver Mapa" display="🔗 Ver Mapa"/>
    <hyperlink ref="L2788" r:id="rId2786" tooltip="🔗 Ver Mapa" display="🔗 Ver Mapa"/>
    <hyperlink ref="L2789" r:id="rId2787" tooltip="🔗 Ver Mapa" display="🔗 Ver Mapa"/>
    <hyperlink ref="L2790" r:id="rId2788" tooltip="🔗 Ver Mapa" display="🔗 Ver Mapa"/>
    <hyperlink ref="L2791" r:id="rId2789" tooltip="🔗 Ver Mapa" display="🔗 Ver Mapa"/>
    <hyperlink ref="L2792" r:id="rId2790" tooltip="🔗 Ver Mapa" display="🔗 Ver Mapa"/>
    <hyperlink ref="L2793" r:id="rId2791" tooltip="🔗 Ver Mapa" display="🔗 Ver Mapa"/>
    <hyperlink ref="L2794" r:id="rId2792" tooltip="🔗 Ver Mapa" display="🔗 Ver Mapa"/>
    <hyperlink ref="L2795" r:id="rId2793" tooltip="🔗 Ver Mapa" display="🔗 Ver Mapa"/>
    <hyperlink ref="L2796" r:id="rId2794" tooltip="🔗 Ver Mapa" display="🔗 Ver Mapa"/>
    <hyperlink ref="L2797" r:id="rId2795" tooltip="🔗 Ver Mapa" display="🔗 Ver Mapa"/>
    <hyperlink ref="L2798" r:id="rId2796" tooltip="🔗 Ver Mapa" display="🔗 Ver Mapa"/>
    <hyperlink ref="L2799" r:id="rId2797" tooltip="🔗 Ver Mapa" display="🔗 Ver Mapa"/>
    <hyperlink ref="L2800" r:id="rId2798" tooltip="🔗 Ver Mapa" display="🔗 Ver Mapa"/>
    <hyperlink ref="L2801" r:id="rId2799" tooltip="🔗 Ver Mapa" display="🔗 Ver Mapa"/>
    <hyperlink ref="L2802" r:id="rId2800" tooltip="🔗 Ver Mapa" display="🔗 Ver Mapa"/>
    <hyperlink ref="L2803" r:id="rId2801" tooltip="🔗 Ver Mapa" display="🔗 Ver Mapa"/>
    <hyperlink ref="L2804" r:id="rId2802" tooltip="🔗 Ver Mapa" display="🔗 Ver Mapa"/>
    <hyperlink ref="L2805" r:id="rId2803" tooltip="🔗 Ver Mapa" display="🔗 Ver Mapa"/>
    <hyperlink ref="L2806" r:id="rId2804" tooltip="🔗 Ver Mapa" display="🔗 Ver Mapa"/>
    <hyperlink ref="L2807" r:id="rId2805" tooltip="🔗 Ver Mapa" display="🔗 Ver Mapa"/>
    <hyperlink ref="L2808" r:id="rId2806" tooltip="🔗 Ver Mapa" display="🔗 Ver Mapa"/>
    <hyperlink ref="L2809" r:id="rId2807" tooltip="🔗 Ver Mapa" display="🔗 Ver Mapa"/>
    <hyperlink ref="L2810" r:id="rId2808" tooltip="🔗 Ver Mapa" display="🔗 Ver Mapa"/>
    <hyperlink ref="L2811" r:id="rId2809" tooltip="🔗 Ver Mapa" display="🔗 Ver Mapa"/>
    <hyperlink ref="L2812" r:id="rId2810" tooltip="🔗 Ver Mapa" display="🔗 Ver Mapa"/>
    <hyperlink ref="L2813" r:id="rId2811" tooltip="🔗 Ver Mapa" display="🔗 Ver Mapa"/>
    <hyperlink ref="L2814" r:id="rId2812" tooltip="🔗 Ver Mapa" display="🔗 Ver Mapa"/>
    <hyperlink ref="L2815" r:id="rId2813" tooltip="🔗 Ver Mapa" display="🔗 Ver Mapa"/>
    <hyperlink ref="L2816" r:id="rId2814" tooltip="🔗 Ver Mapa" display="🔗 Ver Mapa"/>
    <hyperlink ref="L2817" r:id="rId2815" tooltip="🔗 Ver Mapa" display="🔗 Ver Mapa"/>
    <hyperlink ref="L2818" r:id="rId2816" tooltip="🔗 Ver Mapa" display="🔗 Ver Mapa"/>
    <hyperlink ref="L2819" r:id="rId2817" tooltip="🔗 Ver Mapa" display="🔗 Ver Mapa"/>
    <hyperlink ref="L2820" r:id="rId2818" tooltip="🔗 Ver Mapa" display="🔗 Ver Mapa"/>
    <hyperlink ref="L2821" r:id="rId2819" tooltip="🔗 Ver Mapa" display="🔗 Ver Mapa"/>
    <hyperlink ref="L2822" r:id="rId2820" tooltip="🔗 Ver Mapa" display="🔗 Ver Mapa"/>
    <hyperlink ref="L2823" r:id="rId2821" tooltip="🔗 Ver Mapa" display="🔗 Ver Mapa"/>
    <hyperlink ref="L2824" r:id="rId2822" tooltip="🔗 Ver Mapa" display="🔗 Ver Mapa"/>
    <hyperlink ref="L2825" r:id="rId2823" tooltip="🔗 Ver Mapa" display="🔗 Ver Mapa"/>
    <hyperlink ref="L2826" r:id="rId2824" tooltip="🔗 Ver Mapa" display="🔗 Ver Mapa"/>
    <hyperlink ref="L2827" r:id="rId2825" tooltip="🔗 Ver Mapa" display="🔗 Ver Mapa"/>
    <hyperlink ref="L2828" r:id="rId2826" tooltip="🔗 Ver Mapa" display="🔗 Ver Mapa"/>
    <hyperlink ref="L2829" r:id="rId2827" tooltip="🔗 Ver Mapa" display="🔗 Ver Mapa"/>
    <hyperlink ref="L2830" r:id="rId2828" tooltip="🔗 Ver Mapa" display="🔗 Ver Mapa"/>
    <hyperlink ref="L2831" r:id="rId2829" tooltip="🔗 Ver Mapa" display="🔗 Ver Mapa"/>
    <hyperlink ref="L2832" r:id="rId2830" tooltip="🔗 Ver Mapa" display="🔗 Ver Mapa"/>
    <hyperlink ref="L2833" r:id="rId2831" tooltip="🔗 Ver Mapa" display="🔗 Ver Mapa"/>
    <hyperlink ref="L2834" r:id="rId2832" tooltip="🔗 Ver Mapa" display="🔗 Ver Mapa"/>
    <hyperlink ref="L2835" r:id="rId2833" tooltip="🔗 Ver Mapa" display="🔗 Ver Mapa"/>
    <hyperlink ref="L2836" r:id="rId2834" tooltip="🔗 Ver Mapa" display="🔗 Ver Mapa"/>
    <hyperlink ref="L2837" r:id="rId2835" tooltip="🔗 Ver Mapa" display="🔗 Ver Mapa"/>
    <hyperlink ref="L2838" r:id="rId2836" tooltip="🔗 Ver Mapa" display="🔗 Ver Mapa"/>
    <hyperlink ref="L2839" r:id="rId2837" tooltip="🔗 Ver Mapa" display="🔗 Ver Mapa"/>
    <hyperlink ref="L2840" r:id="rId2838" tooltip="🔗 Ver Mapa" display="🔗 Ver Mapa"/>
    <hyperlink ref="L2841" r:id="rId2839" tooltip="🔗 Ver Mapa" display="🔗 Ver Mapa"/>
    <hyperlink ref="L2842" r:id="rId2840" tooltip="🔗 Ver Mapa" display="🔗 Ver Mapa"/>
    <hyperlink ref="L2843" r:id="rId2841" tooltip="🔗 Ver Mapa" display="🔗 Ver Mapa"/>
    <hyperlink ref="L2844" r:id="rId2842" tooltip="🔗 Ver Mapa" display="🔗 Ver Mapa"/>
    <hyperlink ref="L2845" r:id="rId2843" tooltip="🔗 Ver Mapa" display="🔗 Ver Mapa"/>
    <hyperlink ref="L2846" r:id="rId2844" tooltip="🔗 Ver Mapa" display="🔗 Ver Mapa"/>
    <hyperlink ref="L2847" r:id="rId2845" tooltip="🔗 Ver Mapa" display="🔗 Ver Mapa"/>
    <hyperlink ref="L2848" r:id="rId2846" tooltip="🔗 Ver Mapa" display="🔗 Ver Mapa"/>
    <hyperlink ref="L2849" r:id="rId2847" tooltip="🔗 Ver Mapa" display="🔗 Ver Mapa"/>
    <hyperlink ref="L2850" r:id="rId2848" tooltip="🔗 Ver Mapa" display="🔗 Ver Mapa"/>
    <hyperlink ref="L2851" r:id="rId2849" tooltip="🔗 Ver Mapa" display="🔗 Ver Mapa"/>
    <hyperlink ref="L2852" r:id="rId2850" tooltip="🔗 Ver Mapa" display="🔗 Ver Mapa"/>
    <hyperlink ref="L2853" r:id="rId2851" tooltip="🔗 Ver Mapa" display="🔗 Ver Mapa"/>
    <hyperlink ref="L2854" r:id="rId2852" tooltip="🔗 Ver Mapa" display="🔗 Ver Mapa"/>
    <hyperlink ref="L2855" r:id="rId2853" tooltip="🔗 Ver Mapa" display="🔗 Ver Mapa"/>
    <hyperlink ref="L2856" r:id="rId2854" tooltip="🔗 Ver Mapa" display="🔗 Ver Mapa"/>
    <hyperlink ref="L2857" r:id="rId2855" tooltip="🔗 Ver Mapa" display="🔗 Ver Mapa"/>
    <hyperlink ref="L2858" r:id="rId2856" tooltip="🔗 Ver Mapa" display="🔗 Ver Mapa"/>
    <hyperlink ref="L2859" r:id="rId2857" tooltip="🔗 Ver Mapa" display="🔗 Ver Mapa"/>
    <hyperlink ref="L2860" r:id="rId2858" tooltip="🔗 Ver Mapa" display="🔗 Ver Mapa"/>
    <hyperlink ref="L2861" r:id="rId2859" tooltip="🔗 Ver Mapa" display="🔗 Ver Mapa"/>
    <hyperlink ref="L2862" r:id="rId2860" tooltip="🔗 Ver Mapa" display="🔗 Ver Mapa"/>
    <hyperlink ref="L2863" r:id="rId2861" tooltip="🔗 Ver Mapa" display="🔗 Ver Mapa"/>
    <hyperlink ref="L2864" r:id="rId2862" tooltip="🔗 Ver Mapa" display="🔗 Ver Mapa"/>
    <hyperlink ref="L2865" r:id="rId2863" tooltip="🔗 Ver Mapa" display="🔗 Ver Mapa"/>
    <hyperlink ref="L2866" r:id="rId2864" tooltip="🔗 Ver Mapa" display="🔗 Ver Mapa"/>
    <hyperlink ref="L2867" r:id="rId2865" tooltip="🔗 Ver Mapa" display="🔗 Ver Mapa"/>
    <hyperlink ref="L2868" r:id="rId2866" tooltip="🔗 Ver Mapa" display="🔗 Ver Mapa"/>
    <hyperlink ref="L2869" r:id="rId2867" tooltip="🔗 Ver Mapa" display="🔗 Ver Mapa"/>
    <hyperlink ref="L2870" r:id="rId2868" tooltip="🔗 Ver Mapa" display="🔗 Ver Mapa"/>
    <hyperlink ref="L2871" r:id="rId2869" tooltip="🔗 Ver Mapa" display="🔗 Ver Mapa"/>
    <hyperlink ref="L2872" r:id="rId2870" tooltip="🔗 Ver Mapa" display="🔗 Ver Mapa"/>
    <hyperlink ref="L2873" r:id="rId2871" tooltip="🔗 Ver Mapa" display="🔗 Ver Mapa"/>
    <hyperlink ref="L2874" r:id="rId2872" tooltip="🔗 Ver Mapa" display="🔗 Ver Mapa"/>
    <hyperlink ref="L2875" r:id="rId2873" tooltip="🔗 Ver Mapa" display="🔗 Ver Mapa"/>
    <hyperlink ref="L2876" r:id="rId2874" tooltip="🔗 Ver Mapa" display="🔗 Ver Mapa"/>
    <hyperlink ref="L2877" r:id="rId2875" tooltip="🔗 Ver Mapa" display="🔗 Ver Mapa"/>
    <hyperlink ref="L2878" r:id="rId2876" tooltip="🔗 Ver Mapa" display="🔗 Ver Mapa"/>
    <hyperlink ref="L2879" r:id="rId2877" tooltip="🔗 Ver Mapa" display="🔗 Ver Mapa"/>
    <hyperlink ref="L2880" r:id="rId2878" tooltip="🔗 Ver Mapa" display="🔗 Ver Mapa"/>
    <hyperlink ref="L2881" r:id="rId2879" tooltip="🔗 Ver Mapa" display="🔗 Ver Mapa"/>
    <hyperlink ref="L2882" r:id="rId2880" tooltip="🔗 Ver Mapa" display="🔗 Ver Mapa"/>
    <hyperlink ref="L2883" r:id="rId2881" tooltip="🔗 Ver Mapa" display="🔗 Ver Mapa"/>
    <hyperlink ref="L2884" r:id="rId2882" tooltip="🔗 Ver Mapa" display="🔗 Ver Mapa"/>
    <hyperlink ref="L2885" r:id="rId2883" tooltip="🔗 Ver Mapa" display="🔗 Ver Mapa"/>
    <hyperlink ref="L2886" r:id="rId2884" tooltip="🔗 Ver Mapa" display="🔗 Ver Mapa"/>
    <hyperlink ref="L2887" r:id="rId2885" tooltip="🔗 Ver Mapa" display="🔗 Ver Mapa"/>
    <hyperlink ref="L2888" r:id="rId2886" tooltip="🔗 Ver Mapa" display="🔗 Ver Mapa"/>
    <hyperlink ref="L2889" r:id="rId2887" tooltip="🔗 Ver Mapa" display="🔗 Ver Mapa"/>
    <hyperlink ref="L2890" r:id="rId2888" tooltip="🔗 Ver Mapa" display="🔗 Ver Mapa"/>
    <hyperlink ref="L2891" r:id="rId2889" tooltip="🔗 Ver Mapa" display="🔗 Ver Mapa"/>
    <hyperlink ref="L2892" r:id="rId2890" tooltip="🔗 Ver Mapa" display="🔗 Ver Mapa"/>
    <hyperlink ref="L2893" r:id="rId2891" tooltip="🔗 Ver Mapa" display="🔗 Ver Mapa"/>
    <hyperlink ref="L2894" r:id="rId2892" tooltip="🔗 Ver Mapa" display="🔗 Ver Mapa"/>
    <hyperlink ref="L2895" r:id="rId2893" tooltip="🔗 Ver Mapa" display="🔗 Ver Mapa"/>
    <hyperlink ref="L2896" r:id="rId2894" tooltip="🔗 Ver Mapa" display="🔗 Ver Mapa"/>
    <hyperlink ref="L2897" r:id="rId2895" tooltip="🔗 Ver Mapa" display="🔗 Ver Mapa"/>
    <hyperlink ref="L2898" r:id="rId2896" tooltip="🔗 Ver Mapa" display="🔗 Ver Mapa"/>
    <hyperlink ref="L2899" r:id="rId2897" tooltip="🔗 Ver Mapa" display="🔗 Ver Mapa"/>
    <hyperlink ref="L2900" r:id="rId2898" tooltip="🔗 Ver Mapa" display="🔗 Ver Mapa"/>
    <hyperlink ref="L2901" r:id="rId2899" tooltip="🔗 Ver Mapa" display="🔗 Ver Mapa"/>
    <hyperlink ref="L2902" r:id="rId2900" tooltip="🔗 Ver Mapa" display="🔗 Ver Mapa"/>
    <hyperlink ref="L2903" r:id="rId2901" tooltip="🔗 Ver Mapa" display="🔗 Ver Mapa"/>
    <hyperlink ref="L2904" r:id="rId2902" tooltip="🔗 Ver Mapa" display="🔗 Ver Mapa"/>
    <hyperlink ref="L2905" r:id="rId2903" tooltip="🔗 Ver Mapa" display="🔗 Ver Mapa"/>
    <hyperlink ref="L2906" r:id="rId2904" tooltip="🔗 Ver Mapa" display="🔗 Ver Mapa"/>
    <hyperlink ref="L2907" r:id="rId2905" tooltip="🔗 Ver Mapa" display="🔗 Ver Mapa"/>
    <hyperlink ref="L2908" r:id="rId2906" tooltip="🔗 Ver Mapa" display="🔗 Ver Mapa"/>
    <hyperlink ref="L2909" r:id="rId2907" tooltip="🔗 Ver Mapa" display="🔗 Ver Mapa"/>
    <hyperlink ref="L2910" r:id="rId2908" tooltip="🔗 Ver Mapa" display="🔗 Ver Mapa"/>
    <hyperlink ref="L2911" r:id="rId2909" tooltip="🔗 Ver Mapa" display="🔗 Ver Mapa"/>
    <hyperlink ref="L2912" r:id="rId2910" tooltip="🔗 Ver Mapa" display="🔗 Ver Mapa"/>
    <hyperlink ref="L2913" r:id="rId2911" tooltip="🔗 Ver Mapa" display="🔗 Ver Mapa"/>
    <hyperlink ref="L2914" r:id="rId2912" tooltip="🔗 Ver Mapa" display="🔗 Ver Mapa"/>
    <hyperlink ref="L2915" r:id="rId2913" tooltip="🔗 Ver Mapa" display="🔗 Ver Mapa"/>
    <hyperlink ref="L2916" r:id="rId2914" tooltip="🔗 Ver Mapa" display="🔗 Ver Mapa"/>
    <hyperlink ref="L2917" r:id="rId2915" tooltip="🔗 Ver Mapa" display="🔗 Ver Mapa"/>
    <hyperlink ref="L2918" r:id="rId2916" tooltip="🔗 Ver Mapa" display="🔗 Ver Mapa"/>
    <hyperlink ref="L2919" r:id="rId2917" tooltip="🔗 Ver Mapa" display="🔗 Ver Mapa"/>
    <hyperlink ref="L2920" r:id="rId2918" tooltip="🔗 Ver Mapa" display="🔗 Ver Mapa"/>
    <hyperlink ref="L2921" r:id="rId2919" tooltip="🔗 Ver Mapa" display="🔗 Ver Mapa"/>
    <hyperlink ref="L2922" r:id="rId2920" tooltip="🔗 Ver Mapa" display="🔗 Ver Mapa"/>
    <hyperlink ref="L2923" r:id="rId2921" tooltip="🔗 Ver Mapa" display="🔗 Ver Mapa"/>
    <hyperlink ref="L2924" r:id="rId2922" tooltip="🔗 Ver Mapa" display="🔗 Ver Mapa"/>
    <hyperlink ref="L2925" r:id="rId2923" tooltip="🔗 Ver Mapa" display="🔗 Ver Mapa"/>
    <hyperlink ref="L2926" r:id="rId2924" tooltip="🔗 Ver Mapa" display="🔗 Ver Mapa"/>
    <hyperlink ref="L2927" r:id="rId2925" tooltip="🔗 Ver Mapa" display="🔗 Ver Mapa"/>
    <hyperlink ref="L2928" r:id="rId2926" tooltip="🔗 Ver Mapa" display="🔗 Ver Mapa"/>
    <hyperlink ref="L2929" r:id="rId2927" tooltip="🔗 Ver Mapa" display="🔗 Ver Mapa"/>
    <hyperlink ref="L2930" r:id="rId2928" tooltip="🔗 Ver Mapa" display="🔗 Ver Mapa"/>
    <hyperlink ref="L2931" r:id="rId2929" tooltip="🔗 Ver Mapa" display="🔗 Ver Mapa"/>
    <hyperlink ref="L2932" r:id="rId2930" tooltip="🔗 Ver Mapa" display="🔗 Ver Mapa"/>
    <hyperlink ref="L2933" r:id="rId2931" tooltip="🔗 Ver Mapa" display="🔗 Ver Mapa"/>
    <hyperlink ref="L2934" r:id="rId2932" tooltip="🔗 Ver Mapa" display="🔗 Ver Mapa"/>
    <hyperlink ref="L2935" r:id="rId2933" tooltip="🔗 Ver Mapa" display="🔗 Ver Mapa"/>
    <hyperlink ref="L2936" r:id="rId2934" tooltip="🔗 Ver Mapa" display="🔗 Ver Mapa"/>
    <hyperlink ref="L2937" r:id="rId2935" tooltip="🔗 Ver Mapa" display="🔗 Ver Mapa"/>
    <hyperlink ref="L2938" r:id="rId2936" tooltip="🔗 Ver Mapa" display="🔗 Ver Mapa"/>
    <hyperlink ref="L2939" r:id="rId2937" tooltip="🔗 Ver Mapa" display="🔗 Ver Mapa"/>
    <hyperlink ref="L2940" r:id="rId2938" tooltip="🔗 Ver Mapa" display="🔗 Ver Mapa"/>
    <hyperlink ref="L2941" r:id="rId2939" tooltip="🔗 Ver Mapa" display="🔗 Ver Mapa"/>
    <hyperlink ref="L2942" r:id="rId2940" tooltip="🔗 Ver Mapa" display="🔗 Ver Mapa"/>
    <hyperlink ref="L2943" r:id="rId2941" tooltip="🔗 Ver Mapa" display="🔗 Ver Mapa"/>
    <hyperlink ref="L2944" r:id="rId2942" tooltip="🔗 Ver Mapa" display="🔗 Ver Mapa"/>
    <hyperlink ref="L2945" r:id="rId2943" tooltip="🔗 Ver Mapa" display="🔗 Ver Mapa"/>
    <hyperlink ref="L2946" r:id="rId2944" tooltip="🔗 Ver Mapa" display="🔗 Ver Mapa"/>
    <hyperlink ref="L2947" r:id="rId2945" tooltip="🔗 Ver Mapa" display="🔗 Ver Mapa"/>
    <hyperlink ref="L2948" r:id="rId2946" tooltip="🔗 Ver Mapa" display="🔗 Ver Mapa"/>
    <hyperlink ref="L2949" r:id="rId2947" tooltip="🔗 Ver Mapa" display="🔗 Ver Mapa"/>
    <hyperlink ref="L2950" r:id="rId2948" tooltip="🔗 Ver Mapa" display="🔗 Ver Mapa"/>
    <hyperlink ref="L2951" r:id="rId2949" tooltip="🔗 Ver Mapa" display="🔗 Ver Mapa"/>
    <hyperlink ref="L2952" r:id="rId2950" tooltip="🔗 Ver Mapa" display="🔗 Ver Mapa"/>
    <hyperlink ref="L2953" r:id="rId2951" tooltip="🔗 Ver Mapa" display="🔗 Ver Mapa"/>
    <hyperlink ref="L2954" r:id="rId2952" tooltip="🔗 Ver Mapa" display="🔗 Ver Mapa"/>
    <hyperlink ref="L2955" r:id="rId2953" tooltip="🔗 Ver Mapa" display="🔗 Ver Mapa"/>
    <hyperlink ref="L2956" r:id="rId2954" tooltip="🔗 Ver Mapa" display="🔗 Ver Mapa"/>
    <hyperlink ref="L2957" r:id="rId2955" tooltip="🔗 Ver Mapa" display="🔗 Ver Mapa"/>
    <hyperlink ref="L2958" r:id="rId2956" tooltip="🔗 Ver Mapa" display="🔗 Ver Mapa"/>
    <hyperlink ref="L2959" r:id="rId2957" tooltip="🔗 Ver Mapa" display="🔗 Ver Mapa"/>
    <hyperlink ref="L2960" r:id="rId2958" tooltip="🔗 Ver Mapa" display="🔗 Ver Mapa"/>
    <hyperlink ref="L2961" r:id="rId2959" tooltip="🔗 Ver Mapa" display="🔗 Ver Mapa"/>
    <hyperlink ref="L2962" r:id="rId2960" tooltip="🔗 Ver Mapa" display="🔗 Ver Mapa"/>
    <hyperlink ref="L2963" r:id="rId2961" tooltip="🔗 Ver Mapa" display="🔗 Ver Mapa"/>
    <hyperlink ref="L2964" r:id="rId2962" tooltip="🔗 Ver Mapa" display="🔗 Ver Mapa"/>
    <hyperlink ref="L2965" r:id="rId2963" tooltip="🔗 Ver Mapa" display="🔗 Ver Mapa"/>
    <hyperlink ref="L2966" r:id="rId2964" tooltip="🔗 Ver Mapa" display="🔗 Ver Mapa"/>
    <hyperlink ref="L2967" r:id="rId2965" tooltip="🔗 Ver Mapa" display="🔗 Ver Mapa"/>
    <hyperlink ref="L2968" r:id="rId2966" tooltip="🔗 Ver Mapa" display="🔗 Ver Mapa"/>
    <hyperlink ref="L2969" r:id="rId2967" tooltip="🔗 Ver Mapa" display="🔗 Ver Mapa"/>
    <hyperlink ref="L2970" r:id="rId2968" tooltip="🔗 Ver Mapa" display="🔗 Ver Mapa"/>
    <hyperlink ref="L2971" r:id="rId2969" tooltip="🔗 Ver Mapa" display="🔗 Ver Mapa"/>
    <hyperlink ref="L2972" r:id="rId2970" tooltip="🔗 Ver Mapa" display="🔗 Ver Mapa"/>
    <hyperlink ref="L2973" r:id="rId2971" tooltip="🔗 Ver Mapa" display="🔗 Ver Mapa"/>
    <hyperlink ref="L2974" r:id="rId2972" tooltip="🔗 Ver Mapa" display="🔗 Ver Mapa"/>
    <hyperlink ref="L2975" r:id="rId2973" tooltip="🔗 Ver Mapa" display="🔗 Ver Mapa"/>
    <hyperlink ref="L2976" r:id="rId2974" tooltip="🔗 Ver Mapa" display="🔗 Ver Mapa"/>
    <hyperlink ref="L2977" r:id="rId2975" tooltip="🔗 Ver Mapa" display="🔗 Ver Mapa"/>
    <hyperlink ref="L2978" r:id="rId2976" tooltip="🔗 Ver Mapa" display="🔗 Ver Mapa"/>
    <hyperlink ref="L2979" r:id="rId2977" tooltip="🔗 Ver Mapa" display="🔗 Ver Mapa"/>
    <hyperlink ref="L2980" r:id="rId2978" tooltip="🔗 Ver Mapa" display="🔗 Ver Mapa"/>
    <hyperlink ref="L2981" r:id="rId2979" tooltip="🔗 Ver Mapa" display="🔗 Ver Mapa"/>
    <hyperlink ref="L2982" r:id="rId2980" tooltip="🔗 Ver Mapa" display="🔗 Ver Mapa"/>
    <hyperlink ref="L2983" r:id="rId2981" tooltip="🔗 Ver Mapa" display="🔗 Ver Mapa"/>
    <hyperlink ref="L2984" r:id="rId2982" tooltip="🔗 Ver Mapa" display="🔗 Ver Mapa"/>
    <hyperlink ref="L2985" r:id="rId2983" tooltip="🔗 Ver Mapa" display="🔗 Ver Mapa"/>
    <hyperlink ref="L2986" r:id="rId2984" tooltip="🔗 Ver Mapa" display="🔗 Ver Mapa"/>
    <hyperlink ref="L2987" r:id="rId2985" tooltip="🔗 Ver Mapa" display="🔗 Ver Mapa"/>
    <hyperlink ref="L2988" r:id="rId2986" tooltip="🔗 Ver Mapa" display="🔗 Ver Mapa"/>
    <hyperlink ref="L2989" r:id="rId2987" tooltip="🔗 Ver Mapa" display="🔗 Ver Mapa"/>
    <hyperlink ref="L2990" r:id="rId2988" tooltip="🔗 Ver Mapa" display="🔗 Ver Mapa"/>
    <hyperlink ref="L2991" r:id="rId2989" tooltip="🔗 Ver Mapa" display="🔗 Ver Mapa"/>
    <hyperlink ref="L2992" r:id="rId2990" tooltip="🔗 Ver Mapa" display="🔗 Ver Mapa"/>
    <hyperlink ref="L2993" r:id="rId2991" tooltip="🔗 Ver Mapa" display="🔗 Ver Mapa"/>
    <hyperlink ref="L2994" r:id="rId2992" tooltip="🔗 Ver Mapa" display="🔗 Ver Mapa"/>
    <hyperlink ref="L2995" r:id="rId2993" tooltip="🔗 Ver Mapa" display="🔗 Ver Mapa"/>
    <hyperlink ref="L2996" r:id="rId2994" tooltip="🔗 Ver Mapa" display="🔗 Ver Mapa"/>
    <hyperlink ref="L2997" r:id="rId2995" tooltip="🔗 Ver Mapa" display="🔗 Ver Mapa"/>
    <hyperlink ref="L2998" r:id="rId2996" tooltip="🔗 Ver Mapa" display="🔗 Ver Mapa"/>
    <hyperlink ref="L2999" r:id="rId2997" tooltip="🔗 Ver Mapa" display="🔗 Ver Mapa"/>
    <hyperlink ref="L3000" r:id="rId2998" tooltip="🔗 Ver Mapa" display="🔗 Ver Mapa"/>
    <hyperlink ref="L3001" r:id="rId2999" tooltip="🔗 Ver Mapa" display="🔗 Ver Mapa"/>
    <hyperlink ref="L3002" r:id="rId3000" tooltip="🔗 Ver Mapa" display="🔗 Ver Mapa"/>
    <hyperlink ref="L3003" r:id="rId3001" tooltip="🔗 Ver Mapa" display="🔗 Ver Mapa"/>
    <hyperlink ref="L3004" r:id="rId3002" tooltip="🔗 Ver Mapa" display="🔗 Ver Mapa"/>
    <hyperlink ref="L3005" r:id="rId3003" tooltip="🔗 Ver Mapa" display="🔗 Ver Mapa"/>
    <hyperlink ref="L3006" r:id="rId3004" tooltip="🔗 Ver Mapa" display="🔗 Ver Mapa"/>
    <hyperlink ref="L3007" r:id="rId3005" tooltip="🔗 Ver Mapa" display="🔗 Ver Mapa"/>
    <hyperlink ref="L3008" r:id="rId3006" tooltip="🔗 Ver Mapa" display="🔗 Ver Mapa"/>
    <hyperlink ref="L3009" r:id="rId3007" tooltip="🔗 Ver Mapa" display="🔗 Ver Mapa"/>
    <hyperlink ref="L3010" r:id="rId3008" tooltip="🔗 Ver Mapa" display="🔗 Ver Mapa"/>
    <hyperlink ref="L3011" r:id="rId3009" tooltip="🔗 Ver Mapa" display="🔗 Ver Mapa"/>
    <hyperlink ref="L3012" r:id="rId3010" tooltip="🔗 Ver Mapa" display="🔗 Ver Mapa"/>
    <hyperlink ref="L3013" r:id="rId3011" tooltip="🔗 Ver Mapa" display="🔗 Ver Mapa"/>
    <hyperlink ref="L3014" r:id="rId3012" tooltip="🔗 Ver Mapa" display="🔗 Ver Mapa"/>
    <hyperlink ref="L3015" r:id="rId3013" tooltip="🔗 Ver Mapa" display="🔗 Ver Mapa"/>
    <hyperlink ref="L3016" r:id="rId3014" tooltip="🔗 Ver Mapa" display="🔗 Ver Mapa"/>
    <hyperlink ref="L3017" r:id="rId3015" tooltip="🔗 Ver Mapa" display="🔗 Ver Mapa"/>
    <hyperlink ref="L3018" r:id="rId3016" tooltip="🔗 Ver Mapa" display="🔗 Ver Mapa"/>
    <hyperlink ref="L3019" r:id="rId3017" tooltip="🔗 Ver Mapa" display="🔗 Ver Mapa"/>
    <hyperlink ref="L3020" r:id="rId3018" tooltip="🔗 Ver Mapa" display="🔗 Ver Mapa"/>
    <hyperlink ref="L3021" r:id="rId3019" tooltip="🔗 Ver Mapa" display="🔗 Ver Mapa"/>
    <hyperlink ref="L3022" r:id="rId3020" tooltip="🔗 Ver Mapa" display="🔗 Ver Mapa"/>
    <hyperlink ref="L3023" r:id="rId3021" tooltip="🔗 Ver Mapa" display="🔗 Ver Mapa"/>
    <hyperlink ref="L3024" r:id="rId3022" tooltip="🔗 Ver Mapa" display="🔗 Ver Mapa"/>
    <hyperlink ref="L3025" r:id="rId3023" tooltip="🔗 Ver Mapa" display="🔗 Ver Mapa"/>
    <hyperlink ref="L3026" r:id="rId3024" tooltip="🔗 Ver Mapa" display="🔗 Ver Mapa"/>
    <hyperlink ref="L3027" r:id="rId3025" tooltip="🔗 Ver Mapa" display="🔗 Ver Mapa"/>
    <hyperlink ref="L3028" r:id="rId3026" tooltip="🔗 Ver Mapa" display="🔗 Ver Mapa"/>
    <hyperlink ref="L3029" r:id="rId3027" tooltip="🔗 Ver Mapa" display="🔗 Ver Mapa"/>
    <hyperlink ref="L3030" r:id="rId3028" tooltip="🔗 Ver Mapa" display="🔗 Ver Mapa"/>
    <hyperlink ref="L3031" r:id="rId3029" tooltip="🔗 Ver Mapa" display="🔗 Ver Mapa"/>
    <hyperlink ref="L3032" r:id="rId3030" tooltip="🔗 Ver Mapa" display="🔗 Ver Mapa"/>
    <hyperlink ref="L3033" r:id="rId3031" tooltip="🔗 Ver Mapa" display="🔗 Ver Mapa"/>
    <hyperlink ref="L3034" r:id="rId3032" tooltip="🔗 Ver Mapa" display="🔗 Ver Mapa"/>
    <hyperlink ref="L3035" r:id="rId3033" tooltip="🔗 Ver Mapa" display="🔗 Ver Mapa"/>
    <hyperlink ref="L3036" r:id="rId3034" tooltip="🔗 Ver Mapa" display="🔗 Ver Mapa"/>
    <hyperlink ref="L3037" r:id="rId3035" tooltip="🔗 Ver Mapa" display="🔗 Ver Mapa"/>
    <hyperlink ref="L3038" r:id="rId3036" tooltip="🔗 Ver Mapa" display="🔗 Ver Mapa"/>
    <hyperlink ref="L3039" r:id="rId3037" tooltip="🔗 Ver Mapa" display="🔗 Ver Mapa"/>
    <hyperlink ref="L3040" r:id="rId3038" tooltip="🔗 Ver Mapa" display="🔗 Ver Mapa"/>
    <hyperlink ref="L3041" r:id="rId3039" tooltip="🔗 Ver Mapa" display="🔗 Ver Mapa"/>
    <hyperlink ref="L3042" r:id="rId3040" tooltip="🔗 Ver Mapa" display="🔗 Ver Mapa"/>
    <hyperlink ref="L3043" r:id="rId3041" tooltip="🔗 Ver Mapa" display="🔗 Ver Mapa"/>
    <hyperlink ref="L3044" r:id="rId3042" tooltip="🔗 Ver Mapa" display="🔗 Ver Mapa"/>
    <hyperlink ref="L3045" r:id="rId3043" tooltip="🔗 Ver Mapa" display="🔗 Ver Mapa"/>
    <hyperlink ref="L3046" r:id="rId3044" tooltip="🔗 Ver Mapa" display="🔗 Ver Mapa"/>
    <hyperlink ref="L3047" r:id="rId3045" tooltip="🔗 Ver Mapa" display="🔗 Ver Mapa"/>
    <hyperlink ref="L3048" r:id="rId3046" tooltip="🔗 Ver Mapa" display="🔗 Ver Mapa"/>
    <hyperlink ref="L3049" r:id="rId3047" tooltip="🔗 Ver Mapa" display="🔗 Ver Mapa"/>
    <hyperlink ref="L3050" r:id="rId3048" tooltip="🔗 Ver Mapa" display="🔗 Ver Mapa"/>
    <hyperlink ref="L3051" r:id="rId3049" tooltip="🔗 Ver Mapa" display="🔗 Ver Mapa"/>
    <hyperlink ref="L3052" r:id="rId3050" tooltip="🔗 Ver Mapa" display="🔗 Ver Mapa"/>
    <hyperlink ref="L3053" r:id="rId3051" tooltip="🔗 Ver Mapa" display="🔗 Ver Mapa"/>
    <hyperlink ref="L3054" r:id="rId3052" tooltip="🔗 Ver Mapa" display="🔗 Ver Mapa"/>
    <hyperlink ref="L3055" r:id="rId3053" tooltip="🔗 Ver Mapa" display="🔗 Ver Mapa"/>
    <hyperlink ref="L3056" r:id="rId3054" tooltip="🔗 Ver Mapa" display="🔗 Ver Mapa"/>
    <hyperlink ref="L3057" r:id="rId3055" tooltip="🔗 Ver Mapa" display="🔗 Ver Mapa"/>
    <hyperlink ref="L3058" r:id="rId3056" tooltip="🔗 Ver Mapa" display="🔗 Ver Mapa"/>
    <hyperlink ref="L3059" r:id="rId3057" tooltip="🔗 Ver Mapa" display="🔗 Ver Mapa"/>
    <hyperlink ref="L3060" r:id="rId3058" tooltip="🔗 Ver Mapa" display="🔗 Ver Mapa"/>
    <hyperlink ref="L3061" r:id="rId3059" tooltip="🔗 Ver Mapa" display="🔗 Ver Mapa"/>
    <hyperlink ref="L3062" r:id="rId3060" tooltip="🔗 Ver Mapa" display="🔗 Ver Mapa"/>
    <hyperlink ref="L3063" r:id="rId3061" tooltip="🔗 Ver Mapa" display="🔗 Ver Mapa"/>
    <hyperlink ref="L3064" r:id="rId3062" tooltip="🔗 Ver Mapa" display="🔗 Ver Mapa"/>
    <hyperlink ref="L3065" r:id="rId3063" tooltip="🔗 Ver Mapa" display="🔗 Ver Mapa"/>
    <hyperlink ref="L3066" r:id="rId3064" tooltip="🔗 Ver Mapa" display="🔗 Ver Mapa"/>
    <hyperlink ref="L3067" r:id="rId3065" tooltip="🔗 Ver Mapa" display="🔗 Ver Mapa"/>
    <hyperlink ref="L3068" r:id="rId3066" tooltip="🔗 Ver Mapa" display="🔗 Ver Mapa"/>
    <hyperlink ref="L3069" r:id="rId3067" tooltip="🔗 Ver Mapa" display="🔗 Ver Mapa"/>
    <hyperlink ref="L3070" r:id="rId3068" tooltip="🔗 Ver Mapa" display="🔗 Ver Mapa"/>
    <hyperlink ref="L3071" r:id="rId3069" tooltip="🔗 Ver Mapa" display="🔗 Ver Mapa"/>
    <hyperlink ref="L3072" r:id="rId3070" tooltip="🔗 Ver Mapa" display="🔗 Ver Mapa"/>
    <hyperlink ref="L3073" r:id="rId3071" tooltip="🔗 Ver Mapa" display="🔗 Ver Mapa"/>
    <hyperlink ref="L3074" r:id="rId3072" tooltip="🔗 Ver Mapa" display="🔗 Ver Mapa"/>
    <hyperlink ref="L3075" r:id="rId3073" tooltip="🔗 Ver Mapa" display="🔗 Ver Mapa"/>
    <hyperlink ref="L3076" r:id="rId3074" tooltip="🔗 Ver Mapa" display="🔗 Ver Mapa"/>
    <hyperlink ref="L3077" r:id="rId3075" tooltip="🔗 Ver Mapa" display="🔗 Ver Mapa"/>
    <hyperlink ref="L3078" r:id="rId3076" tooltip="🔗 Ver Mapa" display="🔗 Ver Mapa"/>
    <hyperlink ref="L3079" r:id="rId3077" tooltip="🔗 Ver Mapa" display="🔗 Ver Mapa"/>
    <hyperlink ref="L3080" r:id="rId3078" tooltip="🔗 Ver Mapa" display="🔗 Ver Mapa"/>
    <hyperlink ref="L3081" r:id="rId3079" tooltip="🔗 Ver Mapa" display="🔗 Ver Mapa"/>
    <hyperlink ref="L3082" r:id="rId3080" tooltip="🔗 Ver Mapa" display="🔗 Ver Mapa"/>
    <hyperlink ref="L3083" r:id="rId3081" tooltip="🔗 Ver Mapa" display="🔗 Ver Mapa"/>
    <hyperlink ref="L3084" r:id="rId3082" tooltip="🔗 Ver Mapa" display="🔗 Ver Mapa"/>
    <hyperlink ref="L3085" r:id="rId3083" tooltip="🔗 Ver Mapa" display="🔗 Ver Mapa"/>
    <hyperlink ref="L3086" r:id="rId3084" tooltip="🔗 Ver Mapa" display="🔗 Ver Mapa"/>
    <hyperlink ref="L3087" r:id="rId3085" tooltip="🔗 Ver Mapa" display="🔗 Ver Mapa"/>
    <hyperlink ref="L3088" r:id="rId3086" tooltip="🔗 Ver Mapa" display="🔗 Ver Mapa"/>
    <hyperlink ref="L3089" r:id="rId3087" tooltip="🔗 Ver Mapa" display="🔗 Ver Mapa"/>
    <hyperlink ref="L3090" r:id="rId3088" tooltip="🔗 Ver Mapa" display="🔗 Ver Mapa"/>
    <hyperlink ref="L3091" r:id="rId3089" tooltip="🔗 Ver Mapa" display="🔗 Ver Mapa"/>
    <hyperlink ref="L3092" r:id="rId3090" tooltip="🔗 Ver Mapa" display="🔗 Ver Mapa"/>
    <hyperlink ref="L3093" r:id="rId3091" tooltip="🔗 Ver Mapa" display="🔗 Ver Mapa"/>
    <hyperlink ref="L3094" r:id="rId3092" tooltip="🔗 Ver Mapa" display="🔗 Ver Mapa"/>
    <hyperlink ref="L3095" r:id="rId3093" tooltip="🔗 Ver Mapa" display="🔗 Ver Mapa"/>
    <hyperlink ref="L3096" r:id="rId3094" tooltip="🔗 Ver Mapa" display="🔗 Ver Mapa"/>
    <hyperlink ref="L3097" r:id="rId3095" tooltip="🔗 Ver Mapa" display="🔗 Ver Mapa"/>
    <hyperlink ref="L3098" r:id="rId3096" tooltip="🔗 Ver Mapa" display="🔗 Ver Mapa"/>
    <hyperlink ref="L3099" r:id="rId3097" tooltip="🔗 Ver Mapa" display="🔗 Ver Mapa"/>
    <hyperlink ref="L3100" r:id="rId3098" tooltip="🔗 Ver Mapa" display="🔗 Ver Mapa"/>
    <hyperlink ref="L3101" r:id="rId3099" tooltip="🔗 Ver Mapa" display="🔗 Ver Mapa"/>
    <hyperlink ref="L3102" r:id="rId3100" tooltip="🔗 Ver Mapa" display="🔗 Ver Mapa"/>
    <hyperlink ref="L3103" r:id="rId3101" tooltip="🔗 Ver Mapa" display="🔗 Ver Mapa"/>
    <hyperlink ref="L3104" r:id="rId3102" tooltip="🔗 Ver Mapa" display="🔗 Ver Mapa"/>
    <hyperlink ref="L3105" r:id="rId3103" tooltip="🔗 Ver Mapa" display="🔗 Ver Mapa"/>
    <hyperlink ref="L3106" r:id="rId3104" tooltip="🔗 Ver Mapa" display="🔗 Ver Mapa"/>
    <hyperlink ref="L3107" r:id="rId3105" tooltip="🔗 Ver Mapa" display="🔗 Ver Mapa"/>
    <hyperlink ref="L3108" r:id="rId3106" tooltip="🔗 Ver Mapa" display="🔗 Ver Mapa"/>
    <hyperlink ref="L3109" r:id="rId3107" tooltip="🔗 Ver Mapa" display="🔗 Ver Mapa"/>
    <hyperlink ref="L3110" r:id="rId3108" tooltip="🔗 Ver Mapa" display="🔗 Ver Mapa"/>
    <hyperlink ref="L3111" r:id="rId3109" tooltip="🔗 Ver Mapa" display="🔗 Ver Mapa"/>
    <hyperlink ref="L3112" r:id="rId3110" tooltip="🔗 Ver Mapa" display="🔗 Ver Mapa"/>
    <hyperlink ref="L3113" r:id="rId3111" tooltip="🔗 Ver Mapa" display="🔗 Ver Mapa"/>
    <hyperlink ref="L3114" r:id="rId3112" tooltip="🔗 Ver Mapa" display="🔗 Ver Mapa"/>
    <hyperlink ref="L3115" r:id="rId3113" tooltip="🔗 Ver Mapa" display="🔗 Ver Mapa"/>
    <hyperlink ref="L3116" r:id="rId3114" tooltip="🔗 Ver Mapa" display="🔗 Ver Mapa"/>
    <hyperlink ref="L3117" r:id="rId3115" tooltip="🔗 Ver Mapa" display="🔗 Ver Mapa"/>
    <hyperlink ref="L3118" r:id="rId3116" tooltip="🔗 Ver Mapa" display="🔗 Ver Mapa"/>
    <hyperlink ref="L3119" r:id="rId3117" tooltip="🔗 Ver Mapa" display="🔗 Ver Mapa"/>
    <hyperlink ref="L3120" r:id="rId3118" tooltip="🔗 Ver Mapa" display="🔗 Ver Mapa"/>
    <hyperlink ref="L3121" r:id="rId3119" tooltip="🔗 Ver Mapa" display="🔗 Ver Mapa"/>
    <hyperlink ref="L3122" r:id="rId3120" tooltip="🔗 Ver Mapa" display="🔗 Ver Mapa"/>
    <hyperlink ref="L3123" r:id="rId3121" tooltip="🔗 Ver Mapa" display="🔗 Ver Mapa"/>
    <hyperlink ref="L3124" r:id="rId3122" tooltip="🔗 Ver Mapa" display="🔗 Ver Mapa"/>
    <hyperlink ref="L3125" r:id="rId3123" tooltip="🔗 Ver Mapa" display="🔗 Ver Mapa"/>
    <hyperlink ref="L3126" r:id="rId3124" tooltip="🔗 Ver Mapa" display="🔗 Ver Mapa"/>
    <hyperlink ref="L3127" r:id="rId3125" tooltip="🔗 Ver Mapa" display="🔗 Ver Mapa"/>
    <hyperlink ref="L3128" r:id="rId3126" tooltip="🔗 Ver Mapa" display="🔗 Ver Mapa"/>
    <hyperlink ref="L3129" r:id="rId3127" tooltip="🔗 Ver Mapa" display="🔗 Ver Mapa"/>
    <hyperlink ref="L3130" r:id="rId3128" tooltip="🔗 Ver Mapa" display="🔗 Ver Mapa"/>
    <hyperlink ref="L3131" r:id="rId3129" tooltip="🔗 Ver Mapa" display="🔗 Ver Mapa"/>
    <hyperlink ref="L3132" r:id="rId3130" tooltip="🔗 Ver Mapa" display="🔗 Ver Mapa"/>
    <hyperlink ref="L3133" r:id="rId3131" tooltip="🔗 Ver Mapa" display="🔗 Ver Mapa"/>
    <hyperlink ref="L3134" r:id="rId3132" tooltip="🔗 Ver Mapa" display="🔗 Ver Mapa"/>
    <hyperlink ref="L3135" r:id="rId3133" tooltip="🔗 Ver Mapa" display="🔗 Ver Mapa"/>
    <hyperlink ref="L3136" r:id="rId3134" tooltip="🔗 Ver Mapa" display="🔗 Ver Mapa"/>
    <hyperlink ref="L3137" r:id="rId3135" tooltip="🔗 Ver Mapa" display="🔗 Ver Mapa"/>
    <hyperlink ref="L3138" r:id="rId3136" tooltip="🔗 Ver Mapa" display="🔗 Ver Mapa"/>
    <hyperlink ref="L3139" r:id="rId3137" tooltip="🔗 Ver Mapa" display="🔗 Ver Mapa"/>
    <hyperlink ref="L3140" r:id="rId3138" tooltip="🔗 Ver Mapa" display="🔗 Ver Mapa"/>
    <hyperlink ref="L3141" r:id="rId3139" tooltip="🔗 Ver Mapa" display="🔗 Ver Mapa"/>
    <hyperlink ref="L3142" r:id="rId3140" tooltip="🔗 Ver Mapa" display="🔗 Ver Mapa"/>
    <hyperlink ref="L3143" r:id="rId3141" tooltip="🔗 Ver Mapa" display="🔗 Ver Mapa"/>
    <hyperlink ref="L3144" r:id="rId3142" tooltip="🔗 Ver Mapa" display="🔗 Ver Mapa"/>
    <hyperlink ref="L3145" r:id="rId3143" tooltip="🔗 Ver Mapa" display="🔗 Ver Mapa"/>
    <hyperlink ref="L3146" r:id="rId3144" tooltip="🔗 Ver Mapa" display="🔗 Ver Mapa"/>
    <hyperlink ref="L3147" r:id="rId3145" tooltip="🔗 Ver Mapa" display="🔗 Ver Mapa"/>
    <hyperlink ref="L3148" r:id="rId3146" tooltip="🔗 Ver Mapa" display="🔗 Ver Mapa"/>
    <hyperlink ref="L3149" r:id="rId3147" tooltip="🔗 Ver Mapa" display="🔗 Ver Mapa"/>
    <hyperlink ref="L3150" r:id="rId3148" tooltip="🔗 Ver Mapa" display="🔗 Ver Mapa"/>
    <hyperlink ref="L3151" r:id="rId3149" tooltip="🔗 Ver Mapa" display="🔗 Ver Mapa"/>
    <hyperlink ref="L3152" r:id="rId3150" tooltip="🔗 Ver Mapa" display="🔗 Ver Mapa"/>
    <hyperlink ref="L3153" r:id="rId3151" tooltip="🔗 Ver Mapa" display="🔗 Ver Mapa"/>
    <hyperlink ref="L3154" r:id="rId3152" tooltip="🔗 Ver Mapa" display="🔗 Ver Mapa"/>
    <hyperlink ref="L3155" r:id="rId3153" tooltip="🔗 Ver Mapa" display="🔗 Ver Mapa"/>
    <hyperlink ref="L3156" r:id="rId3154" tooltip="🔗 Ver Mapa" display="🔗 Ver Mapa"/>
    <hyperlink ref="L3157" r:id="rId3155" tooltip="🔗 Ver Mapa" display="🔗 Ver Mapa"/>
    <hyperlink ref="L3158" r:id="rId3156" tooltip="🔗 Ver Mapa" display="🔗 Ver Mapa"/>
    <hyperlink ref="L3159" r:id="rId3157" tooltip="🔗 Ver Mapa" display="🔗 Ver Mapa"/>
    <hyperlink ref="L3160" r:id="rId3158" tooltip="🔗 Ver Mapa" display="🔗 Ver Mapa"/>
    <hyperlink ref="L3161" r:id="rId3159" tooltip="🔗 Ver Mapa" display="🔗 Ver Mapa"/>
    <hyperlink ref="L3162" r:id="rId3160" tooltip="🔗 Ver Mapa" display="🔗 Ver Mapa"/>
    <hyperlink ref="L3163" r:id="rId3161" tooltip="🔗 Ver Mapa" display="🔗 Ver Mapa"/>
    <hyperlink ref="L3164" r:id="rId3162" tooltip="🔗 Ver Mapa" display="🔗 Ver Mapa"/>
    <hyperlink ref="L3165" r:id="rId3163" tooltip="🔗 Ver Mapa" display="🔗 Ver Mapa"/>
    <hyperlink ref="L3166" r:id="rId3164" tooltip="🔗 Ver Mapa" display="🔗 Ver Mapa"/>
    <hyperlink ref="L3167" r:id="rId3165" tooltip="🔗 Ver Mapa" display="🔗 Ver Mapa"/>
    <hyperlink ref="L3168" r:id="rId3166" tooltip="🔗 Ver Mapa" display="🔗 Ver Mapa"/>
    <hyperlink ref="L3169" r:id="rId3167" tooltip="🔗 Ver Mapa" display="🔗 Ver Mapa"/>
    <hyperlink ref="L3170" r:id="rId3168" tooltip="🔗 Ver Mapa" display="🔗 Ver Mapa"/>
    <hyperlink ref="L3171" r:id="rId3169" tooltip="🔗 Ver Mapa" display="🔗 Ver Mapa"/>
    <hyperlink ref="L3172" r:id="rId3170" tooltip="🔗 Ver Mapa" display="🔗 Ver Mapa"/>
    <hyperlink ref="L3173" r:id="rId3171" tooltip="🔗 Ver Mapa" display="🔗 Ver Mapa"/>
    <hyperlink ref="L3174" r:id="rId3172" tooltip="🔗 Ver Mapa" display="🔗 Ver Mapa"/>
    <hyperlink ref="L3175" r:id="rId3173" tooltip="🔗 Ver Mapa" display="🔗 Ver Mapa"/>
    <hyperlink ref="L3176" r:id="rId3174" tooltip="🔗 Ver Mapa" display="🔗 Ver Mapa"/>
    <hyperlink ref="L3177" r:id="rId3175" tooltip="🔗 Ver Mapa" display="🔗 Ver Mapa"/>
    <hyperlink ref="L3178" r:id="rId3176" tooltip="🔗 Ver Mapa" display="🔗 Ver Mapa"/>
    <hyperlink ref="L3179" r:id="rId3177" tooltip="🔗 Ver Mapa" display="🔗 Ver Mapa"/>
    <hyperlink ref="L3180" r:id="rId3178" tooltip="🔗 Ver Mapa" display="🔗 Ver Mapa"/>
    <hyperlink ref="L3181" r:id="rId3179" tooltip="🔗 Ver Mapa" display="🔗 Ver Mapa"/>
    <hyperlink ref="L3182" r:id="rId3180" tooltip="🔗 Ver Mapa" display="🔗 Ver Mapa"/>
    <hyperlink ref="L3183" r:id="rId3181" tooltip="🔗 Ver Mapa" display="🔗 Ver Mapa"/>
    <hyperlink ref="L3184" r:id="rId3182" tooltip="🔗 Ver Mapa" display="🔗 Ver Mapa"/>
    <hyperlink ref="L3185" r:id="rId3183" tooltip="🔗 Ver Mapa" display="🔗 Ver Mapa"/>
    <hyperlink ref="L3186" r:id="rId3184" tooltip="🔗 Ver Mapa" display="🔗 Ver Mapa"/>
    <hyperlink ref="L3187" r:id="rId3185" tooltip="🔗 Ver Mapa" display="🔗 Ver Mapa"/>
    <hyperlink ref="L3188" r:id="rId3186" tooltip="🔗 Ver Mapa" display="🔗 Ver Mapa"/>
    <hyperlink ref="L3189" r:id="rId3187" tooltip="🔗 Ver Mapa" display="🔗 Ver Mapa"/>
    <hyperlink ref="L3190" r:id="rId3188" tooltip="🔗 Ver Mapa" display="🔗 Ver Mapa"/>
    <hyperlink ref="L3191" r:id="rId3189" tooltip="🔗 Ver Mapa" display="🔗 Ver Mapa"/>
    <hyperlink ref="L3192" r:id="rId3190" tooltip="🔗 Ver Mapa" display="🔗 Ver Mapa"/>
    <hyperlink ref="L3193" r:id="rId3191" tooltip="🔗 Ver Mapa" display="🔗 Ver Mapa"/>
    <hyperlink ref="L3194" r:id="rId3192" tooltip="🔗 Ver Mapa" display="🔗 Ver Mapa"/>
    <hyperlink ref="L3195" r:id="rId3193" tooltip="🔗 Ver Mapa" display="🔗 Ver Mapa"/>
    <hyperlink ref="L3196" r:id="rId3194" tooltip="🔗 Ver Mapa" display="🔗 Ver Mapa"/>
    <hyperlink ref="L3197" r:id="rId3195" tooltip="🔗 Ver Mapa" display="🔗 Ver Mapa"/>
    <hyperlink ref="L3198" r:id="rId3196" tooltip="🔗 Ver Mapa" display="🔗 Ver Mapa"/>
    <hyperlink ref="L3199" r:id="rId3197" tooltip="🔗 Ver Mapa" display="🔗 Ver Mapa"/>
    <hyperlink ref="L3200" r:id="rId3198" tooltip="🔗 Ver Mapa" display="🔗 Ver Mapa"/>
    <hyperlink ref="L3201" r:id="rId3199" tooltip="🔗 Ver Mapa" display="🔗 Ver Mapa"/>
    <hyperlink ref="L3202" r:id="rId3200" tooltip="🔗 Ver Mapa" display="🔗 Ver Mapa"/>
    <hyperlink ref="L3203" r:id="rId3201" tooltip="🔗 Ver Mapa" display="🔗 Ver Mapa"/>
    <hyperlink ref="L3204" r:id="rId3202" tooltip="🔗 Ver Mapa" display="🔗 Ver Mapa"/>
    <hyperlink ref="L3205" r:id="rId3203" tooltip="🔗 Ver Mapa" display="🔗 Ver Mapa"/>
    <hyperlink ref="L3206" r:id="rId3204" tooltip="🔗 Ver Mapa" display="🔗 Ver Mapa"/>
    <hyperlink ref="L3207" r:id="rId3205" tooltip="🔗 Ver Mapa" display="🔗 Ver Mapa"/>
    <hyperlink ref="L3208" r:id="rId3206" tooltip="🔗 Ver Mapa" display="🔗 Ver Mapa"/>
    <hyperlink ref="L3209" r:id="rId3207" tooltip="🔗 Ver Mapa" display="🔗 Ver Mapa"/>
    <hyperlink ref="L3210" r:id="rId3208" tooltip="🔗 Ver Mapa" display="🔗 Ver Mapa"/>
    <hyperlink ref="L3211" r:id="rId3209" tooltip="🔗 Ver Mapa" display="🔗 Ver Mapa"/>
    <hyperlink ref="L3212" r:id="rId3210" tooltip="🔗 Ver Mapa" display="🔗 Ver Mapa"/>
    <hyperlink ref="L3213" r:id="rId3211" tooltip="🔗 Ver Mapa" display="🔗 Ver Mapa"/>
    <hyperlink ref="L3214" r:id="rId3212" tooltip="🔗 Ver Mapa" display="🔗 Ver Mapa"/>
    <hyperlink ref="L3215" r:id="rId3213" tooltip="🔗 Ver Mapa" display="🔗 Ver Mapa"/>
    <hyperlink ref="L3216" r:id="rId3214" tooltip="🔗 Ver Mapa" display="🔗 Ver Mapa"/>
    <hyperlink ref="L3217" r:id="rId3215" tooltip="🔗 Ver Mapa" display="🔗 Ver Mapa"/>
    <hyperlink ref="L3218" r:id="rId3216" tooltip="🔗 Ver Mapa" display="🔗 Ver Mapa"/>
    <hyperlink ref="L3219" r:id="rId3217" tooltip="🔗 Ver Mapa" display="🔗 Ver Mapa"/>
    <hyperlink ref="L3220" r:id="rId3218" tooltip="🔗 Ver Mapa" display="🔗 Ver Mapa"/>
    <hyperlink ref="L3221" r:id="rId3219" tooltip="🔗 Ver Mapa" display="🔗 Ver Mapa"/>
    <hyperlink ref="L3222" r:id="rId3220" tooltip="🔗 Ver Mapa" display="🔗 Ver Mapa"/>
    <hyperlink ref="L3223" r:id="rId3221" tooltip="🔗 Ver Mapa" display="🔗 Ver Mapa"/>
    <hyperlink ref="L3224" r:id="rId3222" tooltip="🔗 Ver Mapa" display="🔗 Ver Mapa"/>
    <hyperlink ref="L3225" r:id="rId3223" tooltip="🔗 Ver Mapa" display="🔗 Ver Mapa"/>
    <hyperlink ref="L3226" r:id="rId3224" tooltip="🔗 Ver Mapa" display="🔗 Ver Mapa"/>
    <hyperlink ref="L3227" r:id="rId3225" tooltip="🔗 Ver Mapa" display="🔗 Ver Mapa"/>
    <hyperlink ref="L3228" r:id="rId3226" tooltip="🔗 Ver Mapa" display="🔗 Ver Mapa"/>
    <hyperlink ref="L3229" r:id="rId3227" tooltip="🔗 Ver Mapa" display="🔗 Ver Mapa"/>
    <hyperlink ref="L3230" r:id="rId3228" tooltip="🔗 Ver Mapa" display="🔗 Ver Mapa"/>
    <hyperlink ref="L3231" r:id="rId3229" tooltip="🔗 Ver Mapa" display="🔗 Ver Mapa"/>
    <hyperlink ref="L3232" r:id="rId3230" tooltip="🔗 Ver Mapa" display="🔗 Ver Mapa"/>
    <hyperlink ref="L3233" r:id="rId3231" tooltip="🔗 Ver Mapa" display="🔗 Ver Mapa"/>
    <hyperlink ref="L3234" r:id="rId3232" tooltip="🔗 Ver Mapa" display="🔗 Ver Mapa"/>
    <hyperlink ref="L3235" r:id="rId3233" tooltip="🔗 Ver Mapa" display="🔗 Ver Mapa"/>
    <hyperlink ref="L3236" r:id="rId3234" tooltip="🔗 Ver Mapa" display="🔗 Ver Mapa"/>
    <hyperlink ref="L3237" r:id="rId3235" tooltip="🔗 Ver Mapa" display="🔗 Ver Mapa"/>
    <hyperlink ref="L3238" r:id="rId3236" tooltip="🔗 Ver Mapa" display="🔗 Ver Mapa"/>
    <hyperlink ref="L3239" r:id="rId3237" tooltip="🔗 Ver Mapa" display="🔗 Ver Mapa"/>
    <hyperlink ref="L3240" r:id="rId3238" tooltip="🔗 Ver Mapa" display="🔗 Ver Mapa"/>
    <hyperlink ref="L3241" r:id="rId3239" tooltip="🔗 Ver Mapa" display="🔗 Ver Mapa"/>
    <hyperlink ref="L3242" r:id="rId3240" tooltip="🔗 Ver Mapa" display="🔗 Ver Mapa"/>
    <hyperlink ref="L3243" r:id="rId3241" tooltip="🔗 Ver Mapa" display="🔗 Ver Mapa"/>
    <hyperlink ref="L3244" r:id="rId3242" tooltip="🔗 Ver Mapa" display="🔗 Ver Mapa"/>
    <hyperlink ref="L3245" r:id="rId3243" tooltip="🔗 Ver Mapa" display="🔗 Ver Mapa"/>
    <hyperlink ref="L3246" r:id="rId3244" tooltip="🔗 Ver Mapa" display="🔗 Ver Mapa"/>
    <hyperlink ref="L3247" r:id="rId3245" tooltip="🔗 Ver Mapa" display="🔗 Ver Mapa"/>
    <hyperlink ref="L3248" r:id="rId3246" tooltip="🔗 Ver Mapa" display="🔗 Ver Mapa"/>
    <hyperlink ref="L3249" r:id="rId3247" tooltip="🔗 Ver Mapa" display="🔗 Ver Mapa"/>
    <hyperlink ref="L3250" r:id="rId3248" tooltip="🔗 Ver Mapa" display="🔗 Ver Mapa"/>
    <hyperlink ref="L3251" r:id="rId3249" tooltip="🔗 Ver Mapa" display="🔗 Ver Mapa"/>
    <hyperlink ref="L3252" r:id="rId3250" tooltip="🔗 Ver Mapa" display="🔗 Ver Mapa"/>
    <hyperlink ref="L3253" r:id="rId3251" tooltip="🔗 Ver Mapa" display="🔗 Ver Mapa"/>
    <hyperlink ref="L3254" r:id="rId3252" tooltip="🔗 Ver Mapa" display="🔗 Ver Mapa"/>
    <hyperlink ref="L3255" r:id="rId3253" tooltip="🔗 Ver Mapa" display="🔗 Ver Mapa"/>
    <hyperlink ref="L3256" r:id="rId3254" tooltip="🔗 Ver Mapa" display="🔗 Ver Mapa"/>
    <hyperlink ref="L3257" r:id="rId3255" tooltip="🔗 Ver Mapa" display="🔗 Ver Mapa"/>
    <hyperlink ref="L3258" r:id="rId3256" tooltip="🔗 Ver Mapa" display="🔗 Ver Mapa"/>
    <hyperlink ref="L3259" r:id="rId3257" tooltip="🔗 Ver Mapa" display="🔗 Ver Mapa"/>
    <hyperlink ref="L3260" r:id="rId3258" tooltip="🔗 Ver Mapa" display="🔗 Ver Mapa"/>
    <hyperlink ref="L3261" r:id="rId3259" tooltip="🔗 Ver Mapa" display="🔗 Ver Mapa"/>
    <hyperlink ref="L3262" r:id="rId3260" tooltip="🔗 Ver Mapa" display="🔗 Ver Mapa"/>
    <hyperlink ref="L3263" r:id="rId3261" tooltip="🔗 Ver Mapa" display="🔗 Ver Mapa"/>
    <hyperlink ref="L3264" r:id="rId3262" tooltip="🔗 Ver Mapa" display="🔗 Ver Mapa"/>
    <hyperlink ref="L3265" r:id="rId3263" tooltip="🔗 Ver Mapa" display="🔗 Ver Mapa"/>
    <hyperlink ref="L3266" r:id="rId3264" tooltip="🔗 Ver Mapa" display="🔗 Ver Mapa"/>
    <hyperlink ref="L3267" r:id="rId3265" tooltip="🔗 Ver Mapa" display="🔗 Ver Mapa"/>
    <hyperlink ref="L3268" r:id="rId3266" tooltip="🔗 Ver Mapa" display="🔗 Ver Mapa"/>
    <hyperlink ref="L3269" r:id="rId3267" tooltip="🔗 Ver Mapa" display="🔗 Ver Mapa"/>
    <hyperlink ref="L3270" r:id="rId3268" tooltip="🔗 Ver Mapa" display="🔗 Ver Mapa"/>
    <hyperlink ref="L3271" r:id="rId3269" tooltip="🔗 Ver Mapa" display="🔗 Ver Mapa"/>
    <hyperlink ref="L3272" r:id="rId3270" tooltip="🔗 Ver Mapa" display="🔗 Ver Mapa"/>
    <hyperlink ref="L3273" r:id="rId3271" tooltip="🔗 Ver Mapa" display="🔗 Ver Mapa"/>
    <hyperlink ref="L3274" r:id="rId3272" tooltip="🔗 Ver Mapa" display="🔗 Ver Mapa"/>
    <hyperlink ref="L3275" r:id="rId3273" tooltip="🔗 Ver Mapa" display="🔗 Ver Mapa"/>
    <hyperlink ref="L3276" r:id="rId3274" tooltip="🔗 Ver Mapa" display="🔗 Ver Mapa"/>
    <hyperlink ref="L3277" r:id="rId3275" tooltip="🔗 Ver Mapa" display="🔗 Ver Mapa"/>
    <hyperlink ref="L3278" r:id="rId3276" tooltip="🔗 Ver Mapa" display="🔗 Ver Mapa"/>
    <hyperlink ref="L3279" r:id="rId3277" tooltip="🔗 Ver Mapa" display="🔗 Ver Mapa"/>
    <hyperlink ref="L3280" r:id="rId3278" tooltip="🔗 Ver Mapa" display="🔗 Ver Mapa"/>
    <hyperlink ref="L3281" r:id="rId3279" tooltip="🔗 Ver Mapa" display="🔗 Ver Mapa"/>
    <hyperlink ref="L3282" r:id="rId3280" tooltip="🔗 Ver Mapa" display="🔗 Ver Mapa"/>
    <hyperlink ref="L3283" r:id="rId3281" tooltip="🔗 Ver Mapa" display="🔗 Ver Mapa"/>
    <hyperlink ref="L3284" r:id="rId3282" tooltip="🔗 Ver Mapa" display="🔗 Ver Mapa"/>
    <hyperlink ref="L3285" r:id="rId3283" tooltip="🔗 Ver Mapa" display="🔗 Ver Mapa"/>
    <hyperlink ref="L3286" r:id="rId3284" tooltip="🔗 Ver Mapa" display="🔗 Ver Mapa"/>
    <hyperlink ref="L3287" r:id="rId3285" tooltip="🔗 Ver Mapa" display="🔗 Ver Mapa"/>
    <hyperlink ref="L3288" r:id="rId3286" tooltip="🔗 Ver Mapa" display="🔗 Ver Mapa"/>
    <hyperlink ref="L3289" r:id="rId3287" tooltip="🔗 Ver Mapa" display="🔗 Ver Mapa"/>
    <hyperlink ref="L3290" r:id="rId3288" tooltip="🔗 Ver Mapa" display="🔗 Ver Mapa"/>
    <hyperlink ref="L3291" r:id="rId3289" tooltip="🔗 Ver Mapa" display="🔗 Ver Mapa"/>
    <hyperlink ref="L3292" r:id="rId3290" tooltip="🔗 Ver Mapa" display="🔗 Ver Mapa"/>
    <hyperlink ref="L3293" r:id="rId3291" tooltip="🔗 Ver Mapa" display="🔗 Ver Mapa"/>
    <hyperlink ref="L3294" r:id="rId3292" tooltip="🔗 Ver Mapa" display="🔗 Ver Mapa"/>
    <hyperlink ref="L3295" r:id="rId3293" tooltip="🔗 Ver Mapa" display="🔗 Ver Mapa"/>
    <hyperlink ref="L3296" r:id="rId3294" tooltip="🔗 Ver Mapa" display="🔗 Ver Mapa"/>
    <hyperlink ref="L3297" r:id="rId3295" tooltip="🔗 Ver Mapa" display="🔗 Ver Mapa"/>
    <hyperlink ref="L3298" r:id="rId3296" tooltip="🔗 Ver Mapa" display="🔗 Ver Mapa"/>
    <hyperlink ref="L3299" r:id="rId3297" tooltip="🔗 Ver Mapa" display="🔗 Ver Mapa"/>
    <hyperlink ref="L3300" r:id="rId3298" tooltip="🔗 Ver Mapa" display="🔗 Ver Mapa"/>
    <hyperlink ref="L3301" r:id="rId3299" tooltip="🔗 Ver Mapa" display="🔗 Ver Mapa"/>
    <hyperlink ref="L3302" r:id="rId3300" tooltip="🔗 Ver Mapa" display="🔗 Ver Mapa"/>
    <hyperlink ref="L3303" r:id="rId3301" tooltip="🔗 Ver Mapa" display="🔗 Ver Mapa"/>
    <hyperlink ref="L3304" r:id="rId3302" tooltip="🔗 Ver Mapa" display="🔗 Ver Mapa"/>
    <hyperlink ref="L3305" r:id="rId3303" tooltip="🔗 Ver Mapa" display="🔗 Ver Mapa"/>
    <hyperlink ref="L3306" r:id="rId3304" tooltip="🔗 Ver Mapa" display="🔗 Ver Mapa"/>
    <hyperlink ref="L3307" r:id="rId3305" tooltip="🔗 Ver Mapa" display="🔗 Ver Mapa"/>
    <hyperlink ref="L3308" r:id="rId3306" tooltip="🔗 Ver Mapa" display="🔗 Ver Mapa"/>
    <hyperlink ref="L3309" r:id="rId3307" tooltip="🔗 Ver Mapa" display="🔗 Ver Mapa"/>
    <hyperlink ref="L3310" r:id="rId3308" tooltip="🔗 Ver Mapa" display="🔗 Ver Mapa"/>
    <hyperlink ref="L3311" r:id="rId3309" tooltip="🔗 Ver Mapa" display="🔗 Ver Mapa"/>
    <hyperlink ref="L3312" r:id="rId3310" tooltip="🔗 Ver Mapa" display="🔗 Ver Mapa"/>
    <hyperlink ref="L3313" r:id="rId3311" tooltip="🔗 Ver Mapa" display="🔗 Ver Mapa"/>
    <hyperlink ref="L3314" r:id="rId3312" tooltip="🔗 Ver Mapa" display="🔗 Ver Mapa"/>
    <hyperlink ref="L3315" r:id="rId3313" tooltip="🔗 Ver Mapa" display="🔗 Ver Mapa"/>
    <hyperlink ref="L3316" r:id="rId3314" tooltip="🔗 Ver Mapa" display="🔗 Ver Mapa"/>
    <hyperlink ref="L3317" r:id="rId3315" tooltip="🔗 Ver Mapa" display="🔗 Ver Mapa"/>
    <hyperlink ref="L3318" r:id="rId3316" tooltip="🔗 Ver Mapa" display="🔗 Ver Mapa"/>
    <hyperlink ref="L3319" r:id="rId3317" tooltip="🔗 Ver Mapa" display="🔗 Ver Mapa"/>
    <hyperlink ref="L3320" r:id="rId3318" tooltip="🔗 Ver Mapa" display="🔗 Ver Mapa"/>
    <hyperlink ref="L3321" r:id="rId3319" tooltip="🔗 Ver Mapa" display="🔗 Ver Mapa"/>
    <hyperlink ref="L3322" r:id="rId3320" tooltip="🔗 Ver Mapa" display="🔗 Ver Mapa"/>
    <hyperlink ref="L3323" r:id="rId3321" tooltip="🔗 Ver Mapa" display="🔗 Ver Mapa"/>
    <hyperlink ref="L3324" r:id="rId3322" tooltip="🔗 Ver Mapa" display="🔗 Ver Mapa"/>
    <hyperlink ref="L3325" r:id="rId3323" tooltip="🔗 Ver Mapa" display="🔗 Ver Mapa"/>
    <hyperlink ref="L3326" r:id="rId3324" tooltip="🔗 Ver Mapa" display="🔗 Ver Mapa"/>
    <hyperlink ref="L3327" r:id="rId3325" tooltip="🔗 Ver Mapa" display="🔗 Ver Mapa"/>
    <hyperlink ref="L3328" r:id="rId3326" tooltip="🔗 Ver Mapa" display="🔗 Ver Mapa"/>
    <hyperlink ref="L3329" r:id="rId3327" tooltip="🔗 Ver Mapa" display="🔗 Ver Mapa"/>
    <hyperlink ref="L3330" r:id="rId3328" tooltip="🔗 Ver Mapa" display="🔗 Ver Mapa"/>
    <hyperlink ref="L3331" r:id="rId3329" tooltip="🔗 Ver Mapa" display="🔗 Ver Mapa"/>
    <hyperlink ref="L3332" r:id="rId3330" tooltip="🔗 Ver Mapa" display="🔗 Ver Mapa"/>
    <hyperlink ref="L3333" r:id="rId3331" tooltip="🔗 Ver Mapa" display="🔗 Ver Mapa"/>
    <hyperlink ref="L3334" r:id="rId3332" tooltip="🔗 Ver Mapa" display="🔗 Ver Mapa"/>
    <hyperlink ref="L3335" r:id="rId3333" tooltip="🔗 Ver Mapa" display="🔗 Ver Mapa"/>
    <hyperlink ref="L3336" r:id="rId3334" tooltip="🔗 Ver Mapa" display="🔗 Ver Mapa"/>
    <hyperlink ref="L3337" r:id="rId3335" tooltip="🔗 Ver Mapa" display="🔗 Ver Mapa"/>
    <hyperlink ref="L3338" r:id="rId3336" tooltip="🔗 Ver Mapa" display="🔗 Ver Mapa"/>
    <hyperlink ref="L3339" r:id="rId3337" tooltip="🔗 Ver Mapa" display="🔗 Ver Mapa"/>
    <hyperlink ref="L3340" r:id="rId3338" tooltip="🔗 Ver Mapa" display="🔗 Ver Mapa"/>
    <hyperlink ref="L3341" r:id="rId3339" tooltip="🔗 Ver Mapa" display="🔗 Ver Mapa"/>
    <hyperlink ref="L3342" r:id="rId3340" tooltip="🔗 Ver Mapa" display="🔗 Ver Mapa"/>
    <hyperlink ref="L3343" r:id="rId3341" tooltip="🔗 Ver Mapa" display="🔗 Ver Mapa"/>
    <hyperlink ref="L3344" r:id="rId3342" tooltip="🔗 Ver Mapa" display="🔗 Ver Mapa"/>
    <hyperlink ref="L3345" r:id="rId3343" tooltip="🔗 Ver Mapa" display="🔗 Ver Mapa"/>
    <hyperlink ref="L3346" r:id="rId3344" tooltip="🔗 Ver Mapa" display="🔗 Ver Mapa"/>
    <hyperlink ref="L3347" r:id="rId3345" tooltip="🔗 Ver Mapa" display="🔗 Ver Mapa"/>
    <hyperlink ref="L3348" r:id="rId3346" tooltip="🔗 Ver Mapa" display="🔗 Ver Mapa"/>
    <hyperlink ref="L3349" r:id="rId3347" tooltip="🔗 Ver Mapa" display="🔗 Ver Mapa"/>
    <hyperlink ref="L3350" r:id="rId3348" tooltip="🔗 Ver Mapa" display="🔗 Ver Mapa"/>
    <hyperlink ref="L3351" r:id="rId3349" tooltip="🔗 Ver Mapa" display="🔗 Ver Mapa"/>
    <hyperlink ref="L3352" r:id="rId3350" tooltip="🔗 Ver Mapa" display="🔗 Ver Mapa"/>
    <hyperlink ref="L3353" r:id="rId3351" tooltip="🔗 Ver Mapa" display="🔗 Ver Mapa"/>
    <hyperlink ref="L3354" r:id="rId3352" tooltip="🔗 Ver Mapa" display="🔗 Ver Mapa"/>
    <hyperlink ref="L3355" r:id="rId3353" tooltip="🔗 Ver Mapa" display="🔗 Ver Mapa"/>
    <hyperlink ref="L3356" r:id="rId3354" tooltip="🔗 Ver Mapa" display="🔗 Ver Mapa"/>
    <hyperlink ref="L3357" r:id="rId3355" tooltip="🔗 Ver Mapa" display="🔗 Ver Mapa"/>
    <hyperlink ref="L3358" r:id="rId3356" tooltip="🔗 Ver Mapa" display="🔗 Ver Mapa"/>
    <hyperlink ref="L3359" r:id="rId3357" tooltip="🔗 Ver Mapa" display="🔗 Ver Mapa"/>
    <hyperlink ref="L3360" r:id="rId3358" tooltip="🔗 Ver Mapa" display="🔗 Ver Mapa"/>
    <hyperlink ref="L3361" r:id="rId3359" tooltip="🔗 Ver Mapa" display="🔗 Ver Mapa"/>
    <hyperlink ref="L3362" r:id="rId3360" tooltip="🔗 Ver Mapa" display="🔗 Ver Mapa"/>
    <hyperlink ref="L3363" r:id="rId3361" tooltip="🔗 Ver Mapa" display="🔗 Ver Mapa"/>
    <hyperlink ref="L3364" r:id="rId3362" tooltip="🔗 Ver Mapa" display="🔗 Ver Mapa"/>
    <hyperlink ref="L3365" r:id="rId3363" tooltip="🔗 Ver Mapa" display="🔗 Ver Mapa"/>
    <hyperlink ref="L3366" r:id="rId3364" tooltip="🔗 Ver Mapa" display="🔗 Ver Mapa"/>
    <hyperlink ref="L3367" r:id="rId3365" tooltip="🔗 Ver Mapa" display="🔗 Ver Mapa"/>
    <hyperlink ref="L3368" r:id="rId3366" tooltip="🔗 Ver Mapa" display="🔗 Ver Mapa"/>
    <hyperlink ref="L3369" r:id="rId3367" tooltip="🔗 Ver Mapa" display="🔗 Ver Mapa"/>
    <hyperlink ref="L3370" r:id="rId3368" tooltip="🔗 Ver Mapa" display="🔗 Ver Mapa"/>
    <hyperlink ref="L3371" r:id="rId3369" tooltip="🔗 Ver Mapa" display="🔗 Ver Mapa"/>
    <hyperlink ref="L3372" r:id="rId3370" tooltip="🔗 Ver Mapa" display="🔗 Ver Mapa"/>
    <hyperlink ref="L3373" r:id="rId3371" tooltip="🔗 Ver Mapa" display="🔗 Ver Mapa"/>
    <hyperlink ref="L3374" r:id="rId3372" tooltip="🔗 Ver Mapa" display="🔗 Ver Mapa"/>
    <hyperlink ref="L3375" r:id="rId3373" tooltip="🔗 Ver Mapa" display="🔗 Ver Mapa"/>
    <hyperlink ref="L3376" r:id="rId3374" tooltip="🔗 Ver Mapa" display="🔗 Ver Mapa"/>
    <hyperlink ref="L3377" r:id="rId3375" tooltip="🔗 Ver Mapa" display="🔗 Ver Mapa"/>
    <hyperlink ref="L3378" r:id="rId3376" tooltip="🔗 Ver Mapa" display="🔗 Ver Mapa"/>
    <hyperlink ref="L3379" r:id="rId3377" tooltip="🔗 Ver Mapa" display="🔗 Ver Mapa"/>
    <hyperlink ref="L3380" r:id="rId3378" tooltip="🔗 Ver Mapa" display="🔗 Ver Mapa"/>
    <hyperlink ref="L3381" r:id="rId3379" tooltip="🔗 Ver Mapa" display="🔗 Ver Mapa"/>
    <hyperlink ref="L3382" r:id="rId3380" tooltip="🔗 Ver Mapa" display="🔗 Ver Mapa"/>
    <hyperlink ref="L3383" r:id="rId3381" tooltip="🔗 Ver Mapa" display="🔗 Ver Mapa"/>
    <hyperlink ref="L3384" r:id="rId3382" tooltip="🔗 Ver Mapa" display="🔗 Ver Mapa"/>
    <hyperlink ref="L3385" r:id="rId3383" tooltip="🔗 Ver Mapa" display="🔗 Ver Mapa"/>
    <hyperlink ref="L3386" r:id="rId3384" tooltip="🔗 Ver Mapa" display="🔗 Ver Mapa"/>
    <hyperlink ref="L3387" r:id="rId3385" tooltip="🔗 Ver Mapa" display="🔗 Ver Mapa"/>
    <hyperlink ref="L3388" r:id="rId3386" tooltip="🔗 Ver Mapa" display="🔗 Ver Mapa"/>
    <hyperlink ref="L3389" r:id="rId3387" tooltip="🔗 Ver Mapa" display="🔗 Ver Mapa"/>
    <hyperlink ref="L3390" r:id="rId3388" tooltip="🔗 Ver Mapa" display="🔗 Ver Mapa"/>
    <hyperlink ref="L3391" r:id="rId3389" tooltip="🔗 Ver Mapa" display="🔗 Ver Mapa"/>
    <hyperlink ref="L3392" r:id="rId3390" tooltip="🔗 Ver Mapa" display="🔗 Ver Mapa"/>
    <hyperlink ref="L3393" r:id="rId3391" tooltip="🔗 Ver Mapa" display="🔗 Ver Mapa"/>
    <hyperlink ref="L3394" r:id="rId3392" tooltip="🔗 Ver Mapa" display="🔗 Ver Mapa"/>
    <hyperlink ref="L3395" r:id="rId3393" tooltip="🔗 Ver Mapa" display="🔗 Ver Mapa"/>
    <hyperlink ref="L3396" r:id="rId3394" tooltip="🔗 Ver Mapa" display="🔗 Ver Mapa"/>
    <hyperlink ref="L3397" r:id="rId3395" tooltip="🔗 Ver Mapa" display="🔗 Ver Mapa"/>
    <hyperlink ref="L3398" r:id="rId3396" tooltip="🔗 Ver Mapa" display="🔗 Ver Mapa"/>
    <hyperlink ref="L3399" r:id="rId3397" tooltip="🔗 Ver Mapa" display="🔗 Ver Mapa"/>
    <hyperlink ref="L3400" r:id="rId3398" tooltip="🔗 Ver Mapa" display="🔗 Ver Mapa"/>
    <hyperlink ref="L3401" r:id="rId3399" tooltip="🔗 Ver Mapa" display="🔗 Ver Mapa"/>
    <hyperlink ref="L3402" r:id="rId3400" tooltip="🔗 Ver Mapa" display="🔗 Ver Mapa"/>
    <hyperlink ref="L3403" r:id="rId3401" tooltip="🔗 Ver Mapa" display="🔗 Ver Mapa"/>
    <hyperlink ref="L3404" r:id="rId3402" tooltip="🔗 Ver Mapa" display="🔗 Ver Mapa"/>
    <hyperlink ref="L3405" r:id="rId3403" tooltip="🔗 Ver Mapa" display="🔗 Ver Mapa"/>
    <hyperlink ref="L3406" r:id="rId3404" tooltip="🔗 Ver Mapa" display="🔗 Ver Mapa"/>
    <hyperlink ref="L3407" r:id="rId3405" tooltip="🔗 Ver Mapa" display="🔗 Ver Mapa"/>
    <hyperlink ref="L3408" r:id="rId3406" tooltip="🔗 Ver Mapa" display="🔗 Ver Mapa"/>
    <hyperlink ref="L3409" r:id="rId3407" tooltip="🔗 Ver Mapa" display="🔗 Ver Mapa"/>
    <hyperlink ref="L3410" r:id="rId3408" tooltip="🔗 Ver Mapa" display="🔗 Ver Mapa"/>
    <hyperlink ref="L3411" r:id="rId3409" tooltip="🔗 Ver Mapa" display="🔗 Ver Mapa"/>
    <hyperlink ref="L3412" r:id="rId3410" tooltip="🔗 Ver Mapa" display="🔗 Ver Mapa"/>
    <hyperlink ref="L3413" r:id="rId3411" tooltip="🔗 Ver Mapa" display="🔗 Ver Mapa"/>
    <hyperlink ref="L3414" r:id="rId3412" tooltip="🔗 Ver Mapa" display="🔗 Ver Mapa"/>
    <hyperlink ref="L3415" r:id="rId3413" tooltip="🔗 Ver Mapa" display="🔗 Ver Mapa"/>
    <hyperlink ref="L3416" r:id="rId3414" tooltip="🔗 Ver Mapa" display="🔗 Ver Mapa"/>
    <hyperlink ref="L3417" r:id="rId3415" tooltip="🔗 Ver Mapa" display="🔗 Ver Mapa"/>
    <hyperlink ref="L3418" r:id="rId3416" tooltip="🔗 Ver Mapa" display="🔗 Ver Mapa"/>
    <hyperlink ref="L3419" r:id="rId3417" tooltip="🔗 Ver Mapa" display="🔗 Ver Mapa"/>
    <hyperlink ref="L3420" r:id="rId3418" tooltip="🔗 Ver Mapa" display="🔗 Ver Mapa"/>
    <hyperlink ref="L3421" r:id="rId3419" tooltip="🔗 Ver Mapa" display="🔗 Ver Mapa"/>
    <hyperlink ref="L3422" r:id="rId3420" tooltip="🔗 Ver Mapa" display="🔗 Ver Mapa"/>
    <hyperlink ref="L3423" r:id="rId3421" tooltip="🔗 Ver Mapa" display="🔗 Ver Mapa"/>
    <hyperlink ref="L3424" r:id="rId3422" tooltip="🔗 Ver Mapa" display="🔗 Ver Mapa"/>
    <hyperlink ref="L3425" r:id="rId3423" tooltip="🔗 Ver Mapa" display="🔗 Ver Mapa"/>
    <hyperlink ref="L3426" r:id="rId3424" tooltip="🔗 Ver Mapa" display="🔗 Ver Mapa"/>
    <hyperlink ref="L3427" r:id="rId3425" tooltip="🔗 Ver Mapa" display="🔗 Ver Mapa"/>
    <hyperlink ref="L3428" r:id="rId3426" tooltip="🔗 Ver Mapa" display="🔗 Ver Mapa"/>
    <hyperlink ref="L3429" r:id="rId3427" tooltip="🔗 Ver Mapa" display="🔗 Ver Mapa"/>
    <hyperlink ref="L3430" r:id="rId3428" tooltip="🔗 Ver Mapa" display="🔗 Ver Mapa"/>
    <hyperlink ref="L3431" r:id="rId3429" tooltip="🔗 Ver Mapa" display="🔗 Ver Mapa"/>
    <hyperlink ref="L3432" r:id="rId3430" tooltip="🔗 Ver Mapa" display="🔗 Ver Mapa"/>
    <hyperlink ref="L3433" r:id="rId3431" tooltip="🔗 Ver Mapa" display="🔗 Ver Mapa"/>
    <hyperlink ref="L3434" r:id="rId3432" tooltip="🔗 Ver Mapa" display="🔗 Ver Mapa"/>
    <hyperlink ref="L3435" r:id="rId3433" tooltip="🔗 Ver Mapa" display="🔗 Ver Mapa"/>
    <hyperlink ref="L3436" r:id="rId3434" tooltip="🔗 Ver Mapa" display="🔗 Ver Mapa"/>
    <hyperlink ref="L3437" r:id="rId3435" tooltip="🔗 Ver Mapa" display="🔗 Ver Mapa"/>
    <hyperlink ref="L3438" r:id="rId3436" tooltip="🔗 Ver Mapa" display="🔗 Ver Mapa"/>
    <hyperlink ref="L3439" r:id="rId3437" tooltip="🔗 Ver Mapa" display="🔗 Ver Mapa"/>
    <hyperlink ref="L3440" r:id="rId3438" tooltip="🔗 Ver Mapa" display="🔗 Ver Mapa"/>
    <hyperlink ref="L3441" r:id="rId3439" tooltip="🔗 Ver Mapa" display="🔗 Ver Mapa"/>
    <hyperlink ref="L3442" r:id="rId3440" tooltip="🔗 Ver Mapa" display="🔗 Ver Mapa"/>
    <hyperlink ref="L3443" r:id="rId3441" tooltip="🔗 Ver Mapa" display="🔗 Ver Mapa"/>
    <hyperlink ref="L3444" r:id="rId3442" tooltip="🔗 Ver Mapa" display="🔗 Ver Mapa"/>
    <hyperlink ref="L3445" r:id="rId3443" tooltip="🔗 Ver Mapa" display="🔗 Ver Mapa"/>
    <hyperlink ref="L3446" r:id="rId3444" tooltip="🔗 Ver Mapa" display="🔗 Ver Mapa"/>
    <hyperlink ref="L3447" r:id="rId3445" tooltip="🔗 Ver Mapa" display="🔗 Ver Mapa"/>
    <hyperlink ref="L3448" r:id="rId3446" tooltip="🔗 Ver Mapa" display="🔗 Ver Mapa"/>
    <hyperlink ref="L3449" r:id="rId3447" tooltip="🔗 Ver Mapa" display="🔗 Ver Mapa"/>
    <hyperlink ref="L3450" r:id="rId3448" tooltip="🔗 Ver Mapa" display="🔗 Ver Mapa"/>
    <hyperlink ref="L3451" r:id="rId3449" tooltip="🔗 Ver Mapa" display="🔗 Ver Mapa"/>
    <hyperlink ref="L3452" r:id="rId3450" tooltip="🔗 Ver Mapa" display="🔗 Ver Mapa"/>
    <hyperlink ref="L3453" r:id="rId3451" tooltip="🔗 Ver Mapa" display="🔗 Ver Mapa"/>
    <hyperlink ref="L3454" r:id="rId3452" tooltip="🔗 Ver Mapa" display="🔗 Ver Mapa"/>
    <hyperlink ref="L3455" r:id="rId3453" tooltip="🔗 Ver Mapa" display="🔗 Ver Mapa"/>
    <hyperlink ref="L3456" r:id="rId3454" tooltip="🔗 Ver Mapa" display="🔗 Ver Mapa"/>
    <hyperlink ref="L3457" r:id="rId3455" tooltip="🔗 Ver Mapa" display="🔗 Ver Mapa"/>
    <hyperlink ref="L3458" r:id="rId3456" tooltip="🔗 Ver Mapa" display="🔗 Ver Mapa"/>
    <hyperlink ref="L3459" r:id="rId3457" tooltip="🔗 Ver Mapa" display="🔗 Ver Mapa"/>
    <hyperlink ref="L3460" r:id="rId3458" tooltip="🔗 Ver Mapa" display="🔗 Ver Mapa"/>
    <hyperlink ref="L3461" r:id="rId3459" tooltip="🔗 Ver Mapa" display="🔗 Ver Mapa"/>
    <hyperlink ref="L3462" r:id="rId3460" tooltip="🔗 Ver Mapa" display="🔗 Ver Mapa"/>
    <hyperlink ref="L3463" r:id="rId3461" tooltip="🔗 Ver Mapa" display="🔗 Ver Mapa"/>
    <hyperlink ref="L3464" r:id="rId3462" tooltip="🔗 Ver Mapa" display="🔗 Ver Mapa"/>
    <hyperlink ref="L3465" r:id="rId3463" tooltip="🔗 Ver Mapa" display="🔗 Ver Mapa"/>
    <hyperlink ref="L3466" r:id="rId3464" tooltip="🔗 Ver Mapa" display="🔗 Ver Mapa"/>
    <hyperlink ref="L3467" r:id="rId3465" tooltip="🔗 Ver Mapa" display="🔗 Ver Mapa"/>
    <hyperlink ref="L3468" r:id="rId3466" tooltip="🔗 Ver Mapa" display="🔗 Ver Mapa"/>
    <hyperlink ref="L3469" r:id="rId3467" tooltip="🔗 Ver Mapa" display="🔗 Ver Mapa"/>
    <hyperlink ref="L3470" r:id="rId3468" tooltip="🔗 Ver Mapa" display="🔗 Ver Mapa"/>
    <hyperlink ref="L3471" r:id="rId3469" tooltip="🔗 Ver Mapa" display="🔗 Ver Mapa"/>
    <hyperlink ref="L3472" r:id="rId3470" tooltip="🔗 Ver Mapa" display="🔗 Ver Mapa"/>
    <hyperlink ref="L3473" r:id="rId3471" tooltip="🔗 Ver Mapa" display="🔗 Ver Mapa"/>
    <hyperlink ref="L3474" r:id="rId3472" tooltip="🔗 Ver Mapa" display="🔗 Ver Mapa"/>
    <hyperlink ref="L3475" r:id="rId3473" tooltip="🔗 Ver Mapa" display="🔗 Ver Mapa"/>
    <hyperlink ref="L3476" r:id="rId3474" tooltip="🔗 Ver Mapa" display="🔗 Ver Mapa"/>
    <hyperlink ref="L3477" r:id="rId3475" tooltip="🔗 Ver Mapa" display="🔗 Ver Mapa"/>
    <hyperlink ref="L3478" r:id="rId3476" tooltip="🔗 Ver Mapa" display="🔗 Ver Mapa"/>
    <hyperlink ref="L3479" r:id="rId3477" tooltip="🔗 Ver Mapa" display="🔗 Ver Mapa"/>
    <hyperlink ref="L3480" r:id="rId3478" tooltip="🔗 Ver Mapa" display="🔗 Ver Mapa"/>
    <hyperlink ref="L3481" r:id="rId3479" tooltip="🔗 Ver Mapa" display="🔗 Ver Mapa"/>
    <hyperlink ref="L3482" r:id="rId3480" tooltip="🔗 Ver Mapa" display="🔗 Ver Mapa"/>
    <hyperlink ref="L3483" r:id="rId3481" tooltip="🔗 Ver Mapa" display="🔗 Ver Mapa"/>
    <hyperlink ref="L3484" r:id="rId3482" tooltip="🔗 Ver Mapa" display="🔗 Ver Mapa"/>
    <hyperlink ref="L3485" r:id="rId3483" tooltip="🔗 Ver Mapa" display="🔗 Ver Mapa"/>
    <hyperlink ref="L3486" r:id="rId3484" tooltip="🔗 Ver Mapa" display="🔗 Ver Mapa"/>
    <hyperlink ref="L3487" r:id="rId3485" tooltip="🔗 Ver Mapa" display="🔗 Ver Mapa"/>
    <hyperlink ref="L3488" r:id="rId3486" tooltip="🔗 Ver Mapa" display="🔗 Ver Mapa"/>
    <hyperlink ref="L3489" r:id="rId3487" tooltip="🔗 Ver Mapa" display="🔗 Ver Mapa"/>
    <hyperlink ref="L3490" r:id="rId3488" tooltip="🔗 Ver Mapa" display="🔗 Ver Mapa"/>
    <hyperlink ref="L3491" r:id="rId3489" tooltip="🔗 Ver Mapa" display="🔗 Ver Mapa"/>
    <hyperlink ref="L3492" r:id="rId3490" tooltip="🔗 Ver Mapa" display="🔗 Ver Mapa"/>
    <hyperlink ref="L3493" r:id="rId3491" tooltip="🔗 Ver Mapa" display="🔗 Ver Mapa"/>
    <hyperlink ref="L3494" r:id="rId3492" tooltip="🔗 Ver Mapa" display="🔗 Ver Mapa"/>
    <hyperlink ref="L3495" r:id="rId3493" tooltip="🔗 Ver Mapa" display="🔗 Ver Mapa"/>
    <hyperlink ref="L3496" r:id="rId3494" tooltip="🔗 Ver Mapa" display="🔗 Ver Mapa"/>
    <hyperlink ref="L3497" r:id="rId3495" tooltip="🔗 Ver Mapa" display="🔗 Ver Mapa"/>
    <hyperlink ref="L3498" r:id="rId3496" tooltip="🔗 Ver Mapa" display="🔗 Ver Mapa"/>
    <hyperlink ref="L3499" r:id="rId3497" tooltip="🔗 Ver Mapa" display="🔗 Ver Mapa"/>
    <hyperlink ref="L3500" r:id="rId3498" tooltip="🔗 Ver Mapa" display="🔗 Ver Mapa"/>
    <hyperlink ref="L3501" r:id="rId3499" tooltip="🔗 Ver Mapa" display="🔗 Ver Mapa"/>
    <hyperlink ref="L3502" r:id="rId3500" tooltip="🔗 Ver Mapa" display="🔗 Ver Mapa"/>
    <hyperlink ref="L3503" r:id="rId3501" tooltip="🔗 Ver Mapa" display="🔗 Ver Mapa"/>
    <hyperlink ref="L3504" r:id="rId3502" tooltip="🔗 Ver Mapa" display="🔗 Ver Mapa"/>
    <hyperlink ref="L3505" r:id="rId3503" tooltip="🔗 Ver Mapa" display="🔗 Ver Mapa"/>
    <hyperlink ref="L3506" r:id="rId3504" tooltip="🔗 Ver Mapa" display="🔗 Ver Mapa"/>
    <hyperlink ref="L3507" r:id="rId3505" tooltip="🔗 Ver Mapa" display="🔗 Ver Mapa"/>
    <hyperlink ref="L3508" r:id="rId3506" tooltip="🔗 Ver Mapa" display="🔗 Ver Mapa"/>
    <hyperlink ref="L3509" r:id="rId3507" tooltip="🔗 Ver Mapa" display="🔗 Ver Mapa"/>
    <hyperlink ref="L3510" r:id="rId3508" tooltip="🔗 Ver Mapa" display="🔗 Ver Mapa"/>
    <hyperlink ref="L3511" r:id="rId3509" tooltip="🔗 Ver Mapa" display="🔗 Ver Mapa"/>
    <hyperlink ref="L3512" r:id="rId3510" tooltip="🔗 Ver Mapa" display="🔗 Ver Mapa"/>
    <hyperlink ref="L3513" r:id="rId3511" tooltip="🔗 Ver Mapa" display="🔗 Ver Mapa"/>
    <hyperlink ref="L3514" r:id="rId3512" tooltip="🔗 Ver Mapa" display="🔗 Ver Mapa"/>
    <hyperlink ref="L3515" r:id="rId3513" tooltip="🔗 Ver Mapa" display="🔗 Ver Mapa"/>
    <hyperlink ref="L3516" r:id="rId3514" tooltip="🔗 Ver Mapa" display="🔗 Ver Mapa"/>
    <hyperlink ref="L3517" r:id="rId3515" tooltip="🔗 Ver Mapa" display="🔗 Ver Mapa"/>
    <hyperlink ref="L3518" r:id="rId3516" tooltip="🔗 Ver Mapa" display="🔗 Ver Mapa"/>
    <hyperlink ref="L3519" r:id="rId3517" tooltip="🔗 Ver Mapa" display="🔗 Ver Mapa"/>
    <hyperlink ref="L3520" r:id="rId3518" tooltip="🔗 Ver Mapa" display="🔗 Ver Mapa"/>
    <hyperlink ref="L3521" r:id="rId3519" tooltip="🔗 Ver Mapa" display="🔗 Ver Mapa"/>
    <hyperlink ref="L3522" r:id="rId3520" tooltip="🔗 Ver Mapa" display="🔗 Ver Mapa"/>
    <hyperlink ref="L3523" r:id="rId3521" tooltip="🔗 Ver Mapa" display="🔗 Ver Mapa"/>
    <hyperlink ref="L3524" r:id="rId3522" tooltip="🔗 Ver Mapa" display="🔗 Ver Mapa"/>
    <hyperlink ref="L3525" r:id="rId3523" tooltip="🔗 Ver Mapa" display="🔗 Ver Mapa"/>
    <hyperlink ref="L3526" r:id="rId3524" tooltip="🔗 Ver Mapa" display="🔗 Ver Mapa"/>
    <hyperlink ref="L3527" r:id="rId3525" tooltip="🔗 Ver Mapa" display="🔗 Ver Mapa"/>
    <hyperlink ref="L3528" r:id="rId3526" tooltip="🔗 Ver Mapa" display="🔗 Ver Mapa"/>
    <hyperlink ref="L3529" r:id="rId3527" tooltip="🔗 Ver Mapa" display="🔗 Ver Mapa"/>
    <hyperlink ref="L3530" r:id="rId3528" tooltip="🔗 Ver Mapa" display="🔗 Ver Mapa"/>
    <hyperlink ref="L3531" r:id="rId3529" tooltip="🔗 Ver Mapa" display="🔗 Ver Mapa"/>
    <hyperlink ref="L3532" r:id="rId3530" tooltip="🔗 Ver Mapa" display="🔗 Ver Mapa"/>
    <hyperlink ref="L3533" r:id="rId3531" tooltip="🔗 Ver Mapa" display="🔗 Ver Mapa"/>
    <hyperlink ref="L3534" r:id="rId3532" tooltip="🔗 Ver Mapa" display="🔗 Ver Mapa"/>
    <hyperlink ref="L3535" r:id="rId3533" tooltip="🔗 Ver Mapa" display="🔗 Ver Mapa"/>
    <hyperlink ref="L3536" r:id="rId3534" tooltip="🔗 Ver Mapa" display="🔗 Ver Mapa"/>
    <hyperlink ref="L3537" r:id="rId3535" tooltip="🔗 Ver Mapa" display="🔗 Ver Mapa"/>
    <hyperlink ref="L3538" r:id="rId3536" tooltip="🔗 Ver Mapa" display="🔗 Ver Mapa"/>
    <hyperlink ref="L3539" r:id="rId3537" tooltip="🔗 Ver Mapa" display="🔗 Ver Mapa"/>
    <hyperlink ref="L3540" r:id="rId3538" tooltip="🔗 Ver Mapa" display="🔗 Ver Mapa"/>
    <hyperlink ref="L3541" r:id="rId3539" tooltip="🔗 Ver Mapa" display="🔗 Ver Mapa"/>
    <hyperlink ref="L3542" r:id="rId3540" tooltip="🔗 Ver Mapa" display="🔗 Ver Mapa"/>
    <hyperlink ref="L3543" r:id="rId3541" tooltip="🔗 Ver Mapa" display="🔗 Ver Mapa"/>
    <hyperlink ref="L3544" r:id="rId3542" tooltip="🔗 Ver Mapa" display="🔗 Ver Mapa"/>
    <hyperlink ref="L3545" r:id="rId3543" tooltip="🔗 Ver Mapa" display="🔗 Ver Mapa"/>
    <hyperlink ref="L3546" r:id="rId3544" tooltip="🔗 Ver Mapa" display="🔗 Ver Mapa"/>
    <hyperlink ref="L3547" r:id="rId3545" tooltip="🔗 Ver Mapa" display="🔗 Ver Mapa"/>
    <hyperlink ref="L3548" r:id="rId3546" tooltip="🔗 Ver Mapa" display="🔗 Ver Mapa"/>
    <hyperlink ref="L3549" r:id="rId3547" tooltip="🔗 Ver Mapa" display="🔗 Ver Mapa"/>
    <hyperlink ref="L3550" r:id="rId3548" tooltip="🔗 Ver Mapa" display="🔗 Ver Mapa"/>
    <hyperlink ref="L3551" r:id="rId3549" tooltip="🔗 Ver Mapa" display="🔗 Ver Mapa"/>
    <hyperlink ref="L3552" r:id="rId3550" tooltip="🔗 Ver Mapa" display="🔗 Ver Mapa"/>
    <hyperlink ref="L3553" r:id="rId3551" tooltip="🔗 Ver Mapa" display="🔗 Ver Mapa"/>
    <hyperlink ref="L3554" r:id="rId3552" tooltip="🔗 Ver Mapa" display="🔗 Ver Mapa"/>
    <hyperlink ref="L3555" r:id="rId3553" tooltip="🔗 Ver Mapa" display="🔗 Ver Mapa"/>
    <hyperlink ref="L3556" r:id="rId3554" tooltip="🔗 Ver Mapa" display="🔗 Ver Mapa"/>
    <hyperlink ref="L3557" r:id="rId3555" tooltip="🔗 Ver Mapa" display="🔗 Ver Mapa"/>
    <hyperlink ref="L3558" r:id="rId3556" tooltip="🔗 Ver Mapa" display="🔗 Ver Mapa"/>
    <hyperlink ref="L3559" r:id="rId3557" tooltip="🔗 Ver Mapa" display="🔗 Ver Mapa"/>
    <hyperlink ref="L3560" r:id="rId3558" tooltip="🔗 Ver Mapa" display="🔗 Ver Mapa"/>
    <hyperlink ref="L3561" r:id="rId3559" tooltip="🔗 Ver Mapa" display="🔗 Ver Mapa"/>
    <hyperlink ref="L3562" r:id="rId3560" tooltip="🔗 Ver Mapa" display="🔗 Ver Mapa"/>
    <hyperlink ref="L3563" r:id="rId3561" tooltip="🔗 Ver Mapa" display="🔗 Ver Mapa"/>
    <hyperlink ref="L3564" r:id="rId3562" tooltip="🔗 Ver Mapa" display="🔗 Ver Mapa"/>
    <hyperlink ref="L3565" r:id="rId3563" tooltip="🔗 Ver Mapa" display="🔗 Ver Mapa"/>
    <hyperlink ref="L3566" r:id="rId3564" tooltip="🔗 Ver Mapa" display="🔗 Ver Mapa"/>
    <hyperlink ref="L3567" r:id="rId3565" tooltip="🔗 Ver Mapa" display="🔗 Ver Mapa"/>
    <hyperlink ref="L3568" r:id="rId3566" tooltip="🔗 Ver Mapa" display="🔗 Ver Mapa"/>
    <hyperlink ref="L3569" r:id="rId3567" tooltip="🔗 Ver Mapa" display="🔗 Ver Mapa"/>
    <hyperlink ref="L3570" r:id="rId3568" tooltip="🔗 Ver Mapa" display="🔗 Ver Mapa"/>
    <hyperlink ref="L3571" r:id="rId3569" tooltip="🔗 Ver Mapa" display="🔗 Ver Mapa"/>
    <hyperlink ref="L3572" r:id="rId3570" tooltip="🔗 Ver Mapa" display="🔗 Ver Mapa"/>
    <hyperlink ref="L3573" r:id="rId3571" tooltip="🔗 Ver Mapa" display="🔗 Ver Mapa"/>
    <hyperlink ref="L3574" r:id="rId3572" tooltip="🔗 Ver Mapa" display="🔗 Ver Mapa"/>
    <hyperlink ref="L3575" r:id="rId3573" tooltip="🔗 Ver Mapa" display="🔗 Ver Mapa"/>
    <hyperlink ref="L3576" r:id="rId3574" tooltip="🔗 Ver Mapa" display="🔗 Ver Mapa"/>
    <hyperlink ref="L3577" r:id="rId3575" tooltip="🔗 Ver Mapa" display="🔗 Ver Mapa"/>
    <hyperlink ref="L3578" r:id="rId3576" tooltip="🔗 Ver Mapa" display="🔗 Ver Mapa"/>
    <hyperlink ref="L3579" r:id="rId3577" tooltip="🔗 Ver Mapa" display="🔗 Ver Mapa"/>
    <hyperlink ref="L3580" r:id="rId3578" tooltip="🔗 Ver Mapa" display="🔗 Ver Mapa"/>
    <hyperlink ref="L3581" r:id="rId3579" tooltip="🔗 Ver Mapa" display="🔗 Ver Mapa"/>
    <hyperlink ref="L3582" r:id="rId3580" tooltip="🔗 Ver Mapa" display="🔗 Ver Mapa"/>
    <hyperlink ref="L3583" r:id="rId3581" tooltip="🔗 Ver Mapa" display="🔗 Ver Mapa"/>
    <hyperlink ref="L3584" r:id="rId3582" tooltip="🔗 Ver Mapa" display="🔗 Ver Mapa"/>
    <hyperlink ref="L3585" r:id="rId3583" tooltip="🔗 Ver Mapa" display="🔗 Ver Mapa"/>
    <hyperlink ref="L3586" r:id="rId3584" tooltip="🔗 Ver Mapa" display="🔗 Ver Mapa"/>
    <hyperlink ref="L3587" r:id="rId3585" tooltip="🔗 Ver Mapa" display="🔗 Ver Mapa"/>
    <hyperlink ref="L3588" r:id="rId3586" tooltip="🔗 Ver Mapa" display="🔗 Ver Mapa"/>
    <hyperlink ref="L3589" r:id="rId3587" tooltip="🔗 Ver Mapa" display="🔗 Ver Mapa"/>
    <hyperlink ref="L3590" r:id="rId3588" tooltip="🔗 Ver Mapa" display="🔗 Ver Mapa"/>
    <hyperlink ref="L3591" r:id="rId3589" tooltip="🔗 Ver Mapa" display="🔗 Ver Mapa"/>
    <hyperlink ref="L3592" r:id="rId3590" tooltip="🔗 Ver Mapa" display="🔗 Ver Mapa"/>
    <hyperlink ref="L3593" r:id="rId3591" tooltip="🔗 Ver Mapa" display="🔗 Ver Mapa"/>
    <hyperlink ref="L3594" r:id="rId3592" tooltip="🔗 Ver Mapa" display="🔗 Ver Mapa"/>
    <hyperlink ref="L3595" r:id="rId3593" tooltip="🔗 Ver Mapa" display="🔗 Ver Mapa"/>
    <hyperlink ref="L3596" r:id="rId3594" tooltip="🔗 Ver Mapa" display="🔗 Ver Mapa"/>
    <hyperlink ref="L3597" r:id="rId3595" tooltip="🔗 Ver Mapa" display="🔗 Ver Mapa"/>
    <hyperlink ref="L3598" r:id="rId3596" tooltip="🔗 Ver Mapa" display="🔗 Ver Mapa"/>
    <hyperlink ref="L3599" r:id="rId3597" tooltip="🔗 Ver Mapa" display="🔗 Ver Mapa"/>
    <hyperlink ref="L3600" r:id="rId3598" tooltip="🔗 Ver Mapa" display="🔗 Ver Mapa"/>
    <hyperlink ref="L3601" r:id="rId3599" tooltip="🔗 Ver Mapa" display="🔗 Ver Mapa"/>
    <hyperlink ref="L3602" r:id="rId3600" tooltip="🔗 Ver Mapa" display="🔗 Ver Mapa"/>
    <hyperlink ref="L3603" r:id="rId3601" tooltip="🔗 Ver Mapa" display="🔗 Ver Mapa"/>
    <hyperlink ref="L3604" r:id="rId3602" tooltip="🔗 Ver Mapa" display="🔗 Ver Mapa"/>
    <hyperlink ref="L3605" r:id="rId3603" tooltip="🔗 Ver Mapa" display="🔗 Ver Mapa"/>
    <hyperlink ref="L3606" r:id="rId3604" tooltip="🔗 Ver Mapa" display="🔗 Ver Mapa"/>
    <hyperlink ref="L3607" r:id="rId3605" tooltip="🔗 Ver Mapa" display="🔗 Ver Mapa"/>
    <hyperlink ref="L3608" r:id="rId3606" tooltip="🔗 Ver Mapa" display="🔗 Ver Mapa"/>
    <hyperlink ref="L3609" r:id="rId3607" tooltip="🔗 Ver Mapa" display="🔗 Ver Mapa"/>
    <hyperlink ref="L3610" r:id="rId3608" tooltip="🔗 Ver Mapa" display="🔗 Ver Mapa"/>
    <hyperlink ref="L3611" r:id="rId3609" tooltip="🔗 Ver Mapa" display="🔗 Ver Mapa"/>
    <hyperlink ref="L3612" r:id="rId3610" tooltip="🔗 Ver Mapa" display="🔗 Ver Mapa"/>
    <hyperlink ref="L3613" r:id="rId3611" tooltip="🔗 Ver Mapa" display="🔗 Ver Mapa"/>
    <hyperlink ref="L3614" r:id="rId3612" tooltip="🔗 Ver Mapa" display="🔗 Ver Mapa"/>
    <hyperlink ref="L3615" r:id="rId3613" tooltip="🔗 Ver Mapa" display="🔗 Ver Mapa"/>
    <hyperlink ref="L3616" r:id="rId3614" tooltip="🔗 Ver Mapa" display="🔗 Ver Mapa"/>
    <hyperlink ref="L3617" r:id="rId3615" tooltip="🔗 Ver Mapa" display="🔗 Ver Mapa"/>
    <hyperlink ref="L3618" r:id="rId3616" tooltip="🔗 Ver Mapa" display="🔗 Ver Mapa"/>
    <hyperlink ref="L3619" r:id="rId3617" tooltip="🔗 Ver Mapa" display="🔗 Ver Mapa"/>
    <hyperlink ref="L3620" r:id="rId3618" tooltip="🔗 Ver Mapa" display="🔗 Ver Mapa"/>
    <hyperlink ref="L3621" r:id="rId3619" tooltip="🔗 Ver Mapa" display="🔗 Ver Mapa"/>
    <hyperlink ref="L3622" r:id="rId3620" tooltip="🔗 Ver Mapa" display="🔗 Ver Mapa"/>
    <hyperlink ref="L3623" r:id="rId3621" tooltip="🔗 Ver Mapa" display="🔗 Ver Mapa"/>
    <hyperlink ref="L3624" r:id="rId3622" tooltip="🔗 Ver Mapa" display="🔗 Ver Mapa"/>
    <hyperlink ref="L3625" r:id="rId3623" tooltip="🔗 Ver Mapa" display="🔗 Ver Mapa"/>
    <hyperlink ref="L3626" r:id="rId3624" tooltip="🔗 Ver Mapa" display="🔗 Ver Mapa"/>
    <hyperlink ref="L3627" r:id="rId3625" tooltip="🔗 Ver Mapa" display="🔗 Ver Mapa"/>
    <hyperlink ref="L3628" r:id="rId3626" tooltip="🔗 Ver Mapa" display="🔗 Ver Mapa"/>
    <hyperlink ref="L3629" r:id="rId3627" tooltip="🔗 Ver Mapa" display="🔗 Ver Mapa"/>
    <hyperlink ref="L3630" r:id="rId3628" tooltip="🔗 Ver Mapa" display="🔗 Ver Mapa"/>
    <hyperlink ref="L3631" r:id="rId3629" tooltip="🔗 Ver Mapa" display="🔗 Ver Mapa"/>
    <hyperlink ref="L3632" r:id="rId3630" tooltip="🔗 Ver Mapa" display="🔗 Ver Mapa"/>
    <hyperlink ref="L3633" r:id="rId3631" tooltip="🔗 Ver Mapa" display="🔗 Ver Mapa"/>
    <hyperlink ref="L3634" r:id="rId3632" tooltip="🔗 Ver Mapa" display="🔗 Ver Mapa"/>
    <hyperlink ref="L3635" r:id="rId3633" tooltip="🔗 Ver Mapa" display="🔗 Ver Mapa"/>
    <hyperlink ref="L3636" r:id="rId3634" tooltip="🔗 Ver Mapa" display="🔗 Ver Mapa"/>
    <hyperlink ref="L3637" r:id="rId3635" tooltip="🔗 Ver Mapa" display="🔗 Ver Mapa"/>
    <hyperlink ref="L3638" r:id="rId3636" tooltip="🔗 Ver Mapa" display="🔗 Ver Mapa"/>
    <hyperlink ref="L3639" r:id="rId3637" tooltip="🔗 Ver Mapa" display="🔗 Ver Mapa"/>
    <hyperlink ref="L3640" r:id="rId3638" tooltip="🔗 Ver Mapa" display="🔗 Ver Mapa"/>
    <hyperlink ref="L3641" r:id="rId3639" tooltip="🔗 Ver Mapa" display="🔗 Ver Mapa"/>
    <hyperlink ref="L3642" r:id="rId3640" tooltip="🔗 Ver Mapa" display="🔗 Ver Mapa"/>
    <hyperlink ref="L3643" r:id="rId3641" tooltip="🔗 Ver Mapa" display="🔗 Ver Mapa"/>
    <hyperlink ref="L3644" r:id="rId3642" tooltip="🔗 Ver Mapa" display="🔗 Ver Mapa"/>
    <hyperlink ref="L3645" r:id="rId3643" tooltip="🔗 Ver Mapa" display="🔗 Ver Mapa"/>
    <hyperlink ref="L3646" r:id="rId3644" tooltip="🔗 Ver Mapa" display="🔗 Ver Mapa"/>
    <hyperlink ref="L3647" r:id="rId3645" tooltip="🔗 Ver Mapa" display="🔗 Ver Mapa"/>
    <hyperlink ref="L3648" r:id="rId3646" tooltip="🔗 Ver Mapa" display="🔗 Ver Mapa"/>
    <hyperlink ref="L3649" r:id="rId3647" tooltip="🔗 Ver Mapa" display="🔗 Ver Mapa"/>
    <hyperlink ref="L3650" r:id="rId3648" tooltip="🔗 Ver Mapa" display="🔗 Ver Mapa"/>
    <hyperlink ref="L3651" r:id="rId3649" tooltip="🔗 Ver Mapa" display="🔗 Ver Mapa"/>
    <hyperlink ref="L3652" r:id="rId3650" tooltip="🔗 Ver Mapa" display="🔗 Ver Mapa"/>
    <hyperlink ref="L3653" r:id="rId3651" tooltip="🔗 Ver Mapa" display="🔗 Ver Mapa"/>
    <hyperlink ref="L3654" r:id="rId3652" tooltip="🔗 Ver Mapa" display="🔗 Ver Mapa"/>
    <hyperlink ref="L3655" r:id="rId3653" tooltip="🔗 Ver Mapa" display="🔗 Ver Mapa"/>
    <hyperlink ref="L3656" r:id="rId3654" tooltip="🔗 Ver Mapa" display="🔗 Ver Mapa"/>
    <hyperlink ref="L3657" r:id="rId3655" tooltip="🔗 Ver Mapa" display="🔗 Ver Mapa"/>
    <hyperlink ref="L3658" r:id="rId3656" tooltip="🔗 Ver Mapa" display="🔗 Ver Mapa"/>
    <hyperlink ref="L3659" r:id="rId3657" tooltip="🔗 Ver Mapa" display="🔗 Ver Mapa"/>
    <hyperlink ref="L3660" r:id="rId3658" tooltip="🔗 Ver Mapa" display="🔗 Ver Mapa"/>
    <hyperlink ref="L3661" r:id="rId3659" tooltip="🔗 Ver Mapa" display="🔗 Ver Mapa"/>
    <hyperlink ref="L3662" r:id="rId3660" tooltip="🔗 Ver Mapa" display="🔗 Ver Mapa"/>
    <hyperlink ref="L3663" r:id="rId3661" tooltip="🔗 Ver Mapa" display="🔗 Ver Mapa"/>
    <hyperlink ref="L3664" r:id="rId3662" tooltip="🔗 Ver Mapa" display="🔗 Ver Mapa"/>
    <hyperlink ref="L3665" r:id="rId3663" tooltip="🔗 Ver Mapa" display="🔗 Ver Mapa"/>
    <hyperlink ref="L3666" r:id="rId3664" tooltip="🔗 Ver Mapa" display="🔗 Ver Mapa"/>
    <hyperlink ref="L3667" r:id="rId3665" tooltip="🔗 Ver Mapa" display="🔗 Ver Mapa"/>
    <hyperlink ref="L3668" r:id="rId3666" tooltip="🔗 Ver Mapa" display="🔗 Ver Mapa"/>
    <hyperlink ref="L3669" r:id="rId3667" tooltip="🔗 Ver Mapa" display="🔗 Ver Mapa"/>
    <hyperlink ref="L3670" r:id="rId3668" tooltip="🔗 Ver Mapa" display="🔗 Ver Mapa"/>
    <hyperlink ref="L3671" r:id="rId3669" tooltip="🔗 Ver Mapa" display="🔗 Ver Mapa"/>
    <hyperlink ref="L3672" r:id="rId3670" tooltip="🔗 Ver Mapa" display="🔗 Ver Mapa"/>
    <hyperlink ref="L3673" r:id="rId3671" tooltip="🔗 Ver Mapa" display="🔗 Ver Mapa"/>
    <hyperlink ref="L3674" r:id="rId3672" tooltip="🔗 Ver Mapa" display="🔗 Ver Mapa"/>
    <hyperlink ref="L3675" r:id="rId3673" tooltip="🔗 Ver Mapa" display="🔗 Ver Mapa"/>
    <hyperlink ref="L3676" r:id="rId3674" tooltip="🔗 Ver Mapa" display="🔗 Ver Mapa"/>
    <hyperlink ref="L3677" r:id="rId3675" tooltip="🔗 Ver Mapa" display="🔗 Ver Mapa"/>
    <hyperlink ref="L3678" r:id="rId3676" tooltip="🔗 Ver Mapa" display="🔗 Ver Mapa"/>
    <hyperlink ref="L3679" r:id="rId3677" tooltip="🔗 Ver Mapa" display="🔗 Ver Mapa"/>
    <hyperlink ref="L3680" r:id="rId3678" tooltip="🔗 Ver Mapa" display="🔗 Ver Mapa"/>
    <hyperlink ref="L3681" r:id="rId3679" tooltip="🔗 Ver Mapa" display="🔗 Ver Mapa"/>
    <hyperlink ref="L3682" r:id="rId3680" tooltip="🔗 Ver Mapa" display="🔗 Ver Mapa"/>
    <hyperlink ref="L3683" r:id="rId3681" tooltip="🔗 Ver Mapa" display="🔗 Ver Mapa"/>
    <hyperlink ref="L3684" r:id="rId3682" tooltip="🔗 Ver Mapa" display="🔗 Ver Mapa"/>
    <hyperlink ref="L3685" r:id="rId3683" tooltip="🔗 Ver Mapa" display="🔗 Ver Mapa"/>
    <hyperlink ref="L3686" r:id="rId3684" tooltip="🔗 Ver Mapa" display="🔗 Ver Mapa"/>
    <hyperlink ref="L3687" r:id="rId3685" tooltip="🔗 Ver Mapa" display="🔗 Ver Mapa"/>
    <hyperlink ref="L3688" r:id="rId3686" tooltip="🔗 Ver Mapa" display="🔗 Ver Mapa"/>
    <hyperlink ref="L3689" r:id="rId3687" tooltip="🔗 Ver Mapa" display="🔗 Ver Mapa"/>
    <hyperlink ref="L3690" r:id="rId3688" tooltip="🔗 Ver Mapa" display="🔗 Ver Mapa"/>
    <hyperlink ref="L3691" r:id="rId3689" tooltip="🔗 Ver Mapa" display="🔗 Ver Mapa"/>
    <hyperlink ref="L3692" r:id="rId3690" tooltip="🔗 Ver Mapa" display="🔗 Ver Mapa"/>
    <hyperlink ref="L3693" r:id="rId3691" tooltip="🔗 Ver Mapa" display="🔗 Ver Mapa"/>
    <hyperlink ref="L3694" r:id="rId3692" tooltip="🔗 Ver Mapa" display="🔗 Ver Mapa"/>
    <hyperlink ref="L3695" r:id="rId3693" tooltip="🔗 Ver Mapa" display="🔗 Ver Mapa"/>
    <hyperlink ref="L3696" r:id="rId3694" tooltip="🔗 Ver Mapa" display="🔗 Ver Mapa"/>
    <hyperlink ref="L3697" r:id="rId3695" tooltip="🔗 Ver Mapa" display="🔗 Ver Mapa"/>
    <hyperlink ref="L3698" r:id="rId3696" tooltip="🔗 Ver Mapa" display="🔗 Ver Mapa"/>
    <hyperlink ref="L3699" r:id="rId3697" tooltip="🔗 Ver Mapa" display="🔗 Ver Mapa"/>
    <hyperlink ref="L3700" r:id="rId3698" tooltip="🔗 Ver Mapa" display="🔗 Ver Mapa"/>
    <hyperlink ref="L3701" r:id="rId3699" tooltip="🔗 Ver Mapa" display="🔗 Ver Mapa"/>
    <hyperlink ref="L3702" r:id="rId3700" tooltip="🔗 Ver Mapa" display="🔗 Ver Mapa"/>
    <hyperlink ref="L3703" r:id="rId3701" tooltip="🔗 Ver Mapa" display="🔗 Ver Mapa"/>
    <hyperlink ref="L3704" r:id="rId3702" tooltip="🔗 Ver Mapa" display="🔗 Ver Mapa"/>
    <hyperlink ref="L3705" r:id="rId3703" tooltip="🔗 Ver Mapa" display="🔗 Ver Mapa"/>
    <hyperlink ref="L3706" r:id="rId3704" tooltip="🔗 Ver Mapa" display="🔗 Ver Mapa"/>
    <hyperlink ref="L3707" r:id="rId3705" tooltip="🔗 Ver Mapa" display="🔗 Ver Mapa"/>
    <hyperlink ref="L3708" r:id="rId3706" tooltip="🔗 Ver Mapa" display="🔗 Ver Mapa"/>
    <hyperlink ref="L3709" r:id="rId3707" tooltip="🔗 Ver Mapa" display="🔗 Ver Mapa"/>
    <hyperlink ref="L3710" r:id="rId3708" tooltip="🔗 Ver Mapa" display="🔗 Ver Mapa"/>
    <hyperlink ref="L3711" r:id="rId3709" tooltip="🔗 Ver Mapa" display="🔗 Ver Mapa"/>
    <hyperlink ref="L3712" r:id="rId3710" tooltip="🔗 Ver Mapa" display="🔗 Ver Mapa"/>
    <hyperlink ref="L3713" r:id="rId3711" tooltip="🔗 Ver Mapa" display="🔗 Ver Mapa"/>
    <hyperlink ref="L3714" r:id="rId3712" tooltip="🔗 Ver Mapa" display="🔗 Ver Mapa"/>
    <hyperlink ref="L3715" r:id="rId3713" tooltip="🔗 Ver Mapa" display="🔗 Ver Mapa"/>
    <hyperlink ref="L3716" r:id="rId3714" tooltip="🔗 Ver Mapa" display="🔗 Ver Mapa"/>
    <hyperlink ref="L3717" r:id="rId3715" tooltip="🔗 Ver Mapa" display="🔗 Ver Mapa"/>
    <hyperlink ref="L3718" r:id="rId3716" tooltip="🔗 Ver Mapa" display="🔗 Ver Mapa"/>
    <hyperlink ref="L3719" r:id="rId3717" tooltip="🔗 Ver Mapa" display="🔗 Ver Mapa"/>
    <hyperlink ref="L3720" r:id="rId3718" tooltip="🔗 Ver Mapa" display="🔗 Ver Mapa"/>
    <hyperlink ref="L3721" r:id="rId3719" tooltip="🔗 Ver Mapa" display="🔗 Ver Mapa"/>
    <hyperlink ref="L3722" r:id="rId3720" tooltip="🔗 Ver Mapa" display="🔗 Ver Mapa"/>
    <hyperlink ref="L3723" r:id="rId3721" tooltip="🔗 Ver Mapa" display="🔗 Ver Mapa"/>
    <hyperlink ref="L3724" r:id="rId3722" tooltip="🔗 Ver Mapa" display="🔗 Ver Mapa"/>
    <hyperlink ref="L3725" r:id="rId3723" tooltip="🔗 Ver Mapa" display="🔗 Ver Mapa"/>
    <hyperlink ref="L3726" r:id="rId3724" tooltip="🔗 Ver Mapa" display="🔗 Ver Mapa"/>
    <hyperlink ref="L3727" r:id="rId3725" tooltip="🔗 Ver Mapa" display="🔗 Ver Mapa"/>
    <hyperlink ref="L3728" r:id="rId3726" tooltip="🔗 Ver Mapa" display="🔗 Ver Mapa"/>
    <hyperlink ref="L3729" r:id="rId3727" tooltip="🔗 Ver Mapa" display="🔗 Ver Mapa"/>
    <hyperlink ref="L3730" r:id="rId3728" tooltip="🔗 Ver Mapa" display="🔗 Ver Mapa"/>
    <hyperlink ref="L3731" r:id="rId3729" tooltip="🔗 Ver Mapa" display="🔗 Ver Mapa"/>
    <hyperlink ref="L3732" r:id="rId3730" tooltip="🔗 Ver Mapa" display="🔗 Ver Mapa"/>
    <hyperlink ref="L3733" r:id="rId3731" tooltip="🔗 Ver Mapa" display="🔗 Ver Mapa"/>
    <hyperlink ref="L3734" r:id="rId3732" tooltip="🔗 Ver Mapa" display="🔗 Ver Mapa"/>
    <hyperlink ref="L3735" r:id="rId3733" tooltip="🔗 Ver Mapa" display="🔗 Ver Mapa"/>
    <hyperlink ref="L3736" r:id="rId3734" tooltip="🔗 Ver Mapa" display="🔗 Ver Mapa"/>
    <hyperlink ref="L3737" r:id="rId3735" tooltip="🔗 Ver Mapa" display="🔗 Ver Mapa"/>
    <hyperlink ref="L3738" r:id="rId3736" tooltip="🔗 Ver Mapa" display="🔗 Ver Mapa"/>
    <hyperlink ref="L3739" r:id="rId3737" tooltip="🔗 Ver Mapa" display="🔗 Ver Mapa"/>
    <hyperlink ref="L3740" r:id="rId3738" tooltip="🔗 Ver Mapa" display="🔗 Ver Mapa"/>
    <hyperlink ref="L3741" r:id="rId3739" tooltip="🔗 Ver Mapa" display="🔗 Ver Mapa"/>
    <hyperlink ref="L3742" r:id="rId3740" tooltip="🔗 Ver Mapa" display="🔗 Ver Mapa"/>
    <hyperlink ref="L3743" r:id="rId3741" tooltip="🔗 Ver Mapa" display="🔗 Ver Mapa"/>
    <hyperlink ref="L3744" r:id="rId3742" tooltip="🔗 Ver Mapa" display="🔗 Ver Mapa"/>
    <hyperlink ref="L3745" r:id="rId3743" tooltip="🔗 Ver Mapa" display="🔗 Ver Mapa"/>
    <hyperlink ref="L3746" r:id="rId3744" tooltip="🔗 Ver Mapa" display="🔗 Ver Mapa"/>
    <hyperlink ref="L3747" r:id="rId3745" tooltip="🔗 Ver Mapa" display="🔗 Ver Mapa"/>
    <hyperlink ref="L3748" r:id="rId3746" tooltip="🔗 Ver Mapa" display="🔗 Ver Mapa"/>
    <hyperlink ref="L3749" r:id="rId3747" tooltip="🔗 Ver Mapa" display="🔗 Ver Mapa"/>
    <hyperlink ref="L3750" r:id="rId3748" tooltip="🔗 Ver Mapa" display="🔗 Ver Mapa"/>
    <hyperlink ref="L3751" r:id="rId3749" tooltip="🔗 Ver Mapa" display="🔗 Ver Mapa"/>
    <hyperlink ref="L3752" r:id="rId3750" tooltip="🔗 Ver Mapa" display="🔗 Ver Mapa"/>
    <hyperlink ref="L3753" r:id="rId3751" tooltip="🔗 Ver Mapa" display="🔗 Ver Mapa"/>
    <hyperlink ref="L3754" r:id="rId3752" tooltip="🔗 Ver Mapa" display="🔗 Ver Mapa"/>
    <hyperlink ref="L3755" r:id="rId3753" tooltip="🔗 Ver Mapa" display="🔗 Ver Mapa"/>
    <hyperlink ref="L3756" r:id="rId3754" tooltip="🔗 Ver Mapa" display="🔗 Ver Mapa"/>
    <hyperlink ref="L3757" r:id="rId3755" tooltip="🔗 Ver Mapa" display="🔗 Ver Mapa"/>
    <hyperlink ref="L3758" r:id="rId3756" tooltip="🔗 Ver Mapa" display="🔗 Ver Mapa"/>
    <hyperlink ref="L3759" r:id="rId3757" tooltip="🔗 Ver Mapa" display="🔗 Ver Mapa"/>
    <hyperlink ref="L3760" r:id="rId3758" tooltip="🔗 Ver Mapa" display="🔗 Ver Mapa"/>
    <hyperlink ref="L3761" r:id="rId3759" tooltip="🔗 Ver Mapa" display="🔗 Ver Mapa"/>
    <hyperlink ref="L3762" r:id="rId3760" tooltip="🔗 Ver Mapa" display="🔗 Ver Mapa"/>
    <hyperlink ref="L3763" r:id="rId3761" tooltip="🔗 Ver Mapa" display="🔗 Ver Mapa"/>
    <hyperlink ref="L3764" r:id="rId3762" tooltip="🔗 Ver Mapa" display="🔗 Ver Mapa"/>
    <hyperlink ref="L3765" r:id="rId3763" tooltip="🔗 Ver Mapa" display="🔗 Ver Mapa"/>
    <hyperlink ref="L3766" r:id="rId3764" tooltip="🔗 Ver Mapa" display="🔗 Ver Mapa"/>
    <hyperlink ref="L3767" r:id="rId3765" tooltip="🔗 Ver Mapa" display="🔗 Ver Mapa"/>
    <hyperlink ref="L3768" r:id="rId3766" tooltip="🔗 Ver Mapa" display="🔗 Ver Mapa"/>
    <hyperlink ref="L3769" r:id="rId3767" tooltip="🔗 Ver Mapa" display="🔗 Ver Mapa"/>
    <hyperlink ref="L3770" r:id="rId3768" tooltip="🔗 Ver Mapa" display="🔗 Ver Mapa"/>
    <hyperlink ref="L3771" r:id="rId3769" tooltip="🔗 Ver Mapa" display="🔗 Ver Mapa"/>
    <hyperlink ref="L3772" r:id="rId3770" tooltip="🔗 Ver Mapa" display="🔗 Ver Mapa"/>
    <hyperlink ref="L3773" r:id="rId3771" tooltip="🔗 Ver Mapa" display="🔗 Ver Mapa"/>
    <hyperlink ref="L3774" r:id="rId3772" tooltip="🔗 Ver Mapa" display="🔗 Ver Mapa"/>
    <hyperlink ref="L3775" r:id="rId3773" tooltip="🔗 Ver Mapa" display="🔗 Ver Mapa"/>
    <hyperlink ref="L3776" r:id="rId3774" tooltip="🔗 Ver Mapa" display="🔗 Ver Mapa"/>
    <hyperlink ref="L3777" r:id="rId3775" tooltip="🔗 Ver Mapa" display="🔗 Ver Mapa"/>
    <hyperlink ref="L3778" r:id="rId3776" tooltip="🔗 Ver Mapa" display="🔗 Ver Mapa"/>
    <hyperlink ref="L3779" r:id="rId3777" tooltip="🔗 Ver Mapa" display="🔗 Ver Mapa"/>
    <hyperlink ref="L3780" r:id="rId3778" tooltip="🔗 Ver Mapa" display="🔗 Ver Mapa"/>
    <hyperlink ref="L3781" r:id="rId3779" tooltip="🔗 Ver Mapa" display="🔗 Ver Mapa"/>
    <hyperlink ref="L3782" r:id="rId3780" tooltip="🔗 Ver Mapa" display="🔗 Ver Mapa"/>
    <hyperlink ref="L3783" r:id="rId3781" tooltip="🔗 Ver Mapa" display="🔗 Ver Mapa"/>
    <hyperlink ref="L3784" r:id="rId3782" tooltip="🔗 Ver Mapa" display="🔗 Ver Mapa"/>
    <hyperlink ref="L3785" r:id="rId3783" tooltip="🔗 Ver Mapa" display="🔗 Ver Mapa"/>
    <hyperlink ref="L3786" r:id="rId3784" tooltip="🔗 Ver Mapa" display="🔗 Ver Mapa"/>
    <hyperlink ref="L3787" r:id="rId3785" tooltip="🔗 Ver Mapa" display="🔗 Ver Mapa"/>
    <hyperlink ref="L3788" r:id="rId3786" tooltip="🔗 Ver Mapa" display="🔗 Ver Mapa"/>
    <hyperlink ref="L3789" r:id="rId3787" tooltip="🔗 Ver Mapa" display="🔗 Ver Mapa"/>
    <hyperlink ref="L3790" r:id="rId3788" tooltip="🔗 Ver Mapa" display="🔗 Ver Mapa"/>
    <hyperlink ref="L3791" r:id="rId3789" tooltip="🔗 Ver Mapa" display="🔗 Ver Mapa"/>
    <hyperlink ref="L3792" r:id="rId3790" tooltip="🔗 Ver Mapa" display="🔗 Ver Mapa"/>
    <hyperlink ref="L3793" r:id="rId3791" tooltip="🔗 Ver Mapa" display="🔗 Ver Mapa"/>
    <hyperlink ref="L3794" r:id="rId3792" tooltip="🔗 Ver Mapa" display="🔗 Ver Mapa"/>
    <hyperlink ref="L3795" r:id="rId3793" tooltip="🔗 Ver Mapa" display="🔗 Ver Mapa"/>
    <hyperlink ref="L3796" r:id="rId3794" tooltip="🔗 Ver Mapa" display="🔗 Ver Mapa"/>
    <hyperlink ref="L3797" r:id="rId3795" tooltip="🔗 Ver Mapa" display="🔗 Ver Mapa"/>
    <hyperlink ref="L3798" r:id="rId3796" tooltip="🔗 Ver Mapa" display="🔗 Ver Mapa"/>
    <hyperlink ref="L3799" r:id="rId3797" tooltip="🔗 Ver Mapa" display="🔗 Ver Mapa"/>
    <hyperlink ref="L3800" r:id="rId3798" tooltip="🔗 Ver Mapa" display="🔗 Ver Mapa"/>
    <hyperlink ref="L3801" r:id="rId3799" tooltip="🔗 Ver Mapa" display="🔗 Ver Mapa"/>
    <hyperlink ref="L3802" r:id="rId3800" tooltip="🔗 Ver Mapa" display="🔗 Ver Mapa"/>
    <hyperlink ref="L3803" r:id="rId3801" tooltip="🔗 Ver Mapa" display="🔗 Ver Mapa"/>
    <hyperlink ref="L3804" r:id="rId3802" tooltip="🔗 Ver Mapa" display="🔗 Ver Mapa"/>
    <hyperlink ref="L3805" r:id="rId3803" tooltip="🔗 Ver Mapa" display="🔗 Ver Mapa"/>
    <hyperlink ref="L3806" r:id="rId3804" tooltip="🔗 Ver Mapa" display="🔗 Ver Mapa"/>
    <hyperlink ref="L3807" r:id="rId3805" tooltip="🔗 Ver Mapa" display="🔗 Ver Mapa"/>
    <hyperlink ref="L3808" r:id="rId3806" tooltip="🔗 Ver Mapa" display="🔗 Ver Mapa"/>
    <hyperlink ref="L3809" r:id="rId3807" tooltip="🔗 Ver Mapa" display="🔗 Ver Mapa"/>
    <hyperlink ref="L3810" r:id="rId3808" tooltip="🔗 Ver Mapa" display="🔗 Ver Mapa"/>
    <hyperlink ref="L3811" r:id="rId3809" tooltip="🔗 Ver Mapa" display="🔗 Ver Mapa"/>
    <hyperlink ref="L3812" r:id="rId3810" tooltip="🔗 Ver Mapa" display="🔗 Ver Mapa"/>
    <hyperlink ref="L3813" r:id="rId3811" tooltip="🔗 Ver Mapa" display="🔗 Ver Mapa"/>
    <hyperlink ref="L3814" r:id="rId3812" tooltip="🔗 Ver Mapa" display="🔗 Ver Mapa"/>
    <hyperlink ref="L3815" r:id="rId3813" tooltip="🔗 Ver Mapa" display="🔗 Ver Mapa"/>
    <hyperlink ref="L3816" r:id="rId3814" tooltip="🔗 Ver Mapa" display="🔗 Ver Mapa"/>
    <hyperlink ref="L3817" r:id="rId3815" tooltip="🔗 Ver Mapa" display="🔗 Ver Mapa"/>
    <hyperlink ref="L3818" r:id="rId3816" tooltip="🔗 Ver Mapa" display="🔗 Ver Mapa"/>
    <hyperlink ref="L3819" r:id="rId3817" tooltip="🔗 Ver Mapa" display="🔗 Ver Mapa"/>
    <hyperlink ref="L3820" r:id="rId3818" tooltip="🔗 Ver Mapa" display="🔗 Ver Mapa"/>
    <hyperlink ref="L3821" r:id="rId3819" tooltip="🔗 Ver Mapa" display="🔗 Ver Mapa"/>
    <hyperlink ref="L3822" r:id="rId3820" tooltip="🔗 Ver Mapa" display="🔗 Ver Mapa"/>
    <hyperlink ref="L3823" r:id="rId3821" tooltip="🔗 Ver Mapa" display="🔗 Ver Mapa"/>
    <hyperlink ref="L3824" r:id="rId3822" tooltip="🔗 Ver Mapa" display="🔗 Ver Mapa"/>
    <hyperlink ref="L3825" r:id="rId3823" tooltip="🔗 Ver Mapa" display="🔗 Ver Mapa"/>
    <hyperlink ref="L3826" r:id="rId3824" tooltip="🔗 Ver Mapa" display="🔗 Ver Mapa"/>
    <hyperlink ref="L3827" r:id="rId3825" tooltip="🔗 Ver Mapa" display="🔗 Ver Mapa"/>
    <hyperlink ref="L3828" r:id="rId3826" tooltip="🔗 Ver Mapa" display="🔗 Ver Mapa"/>
    <hyperlink ref="L3829" r:id="rId3827" tooltip="🔗 Ver Mapa" display="🔗 Ver Mapa"/>
    <hyperlink ref="L3830" r:id="rId3828" tooltip="🔗 Ver Mapa" display="🔗 Ver Mapa"/>
    <hyperlink ref="L3831" r:id="rId3829" tooltip="🔗 Ver Mapa" display="🔗 Ver Mapa"/>
    <hyperlink ref="L3832" r:id="rId3830" tooltip="🔗 Ver Mapa" display="🔗 Ver Mapa"/>
    <hyperlink ref="L3833" r:id="rId3831" tooltip="🔗 Ver Mapa" display="🔗 Ver Mapa"/>
    <hyperlink ref="L3834" r:id="rId3832" tooltip="🔗 Ver Mapa" display="🔗 Ver Mapa"/>
    <hyperlink ref="L3835" r:id="rId3833" tooltip="🔗 Ver Mapa" display="🔗 Ver Mapa"/>
    <hyperlink ref="L3836" r:id="rId3834" tooltip="🔗 Ver Mapa" display="🔗 Ver Mapa"/>
    <hyperlink ref="L3837" r:id="rId3835" tooltip="🔗 Ver Mapa" display="🔗 Ver Mapa"/>
    <hyperlink ref="L3838" r:id="rId3836" tooltip="🔗 Ver Mapa" display="🔗 Ver Mapa"/>
    <hyperlink ref="L3839" r:id="rId3837" tooltip="🔗 Ver Mapa" display="🔗 Ver Mapa"/>
    <hyperlink ref="L3840" r:id="rId3838" tooltip="🔗 Ver Mapa" display="🔗 Ver Mapa"/>
    <hyperlink ref="L3841" r:id="rId3839" tooltip="🔗 Ver Mapa" display="🔗 Ver Mapa"/>
    <hyperlink ref="L3842" r:id="rId3840" tooltip="🔗 Ver Mapa" display="🔗 Ver Mapa"/>
    <hyperlink ref="L3843" r:id="rId3841" tooltip="🔗 Ver Mapa" display="🔗 Ver Mapa"/>
    <hyperlink ref="L3844" r:id="rId3842" tooltip="🔗 Ver Mapa" display="🔗 Ver Mapa"/>
    <hyperlink ref="L3845" r:id="rId3843" tooltip="🔗 Ver Mapa" display="🔗 Ver Mapa"/>
    <hyperlink ref="L3846" r:id="rId3844" tooltip="🔗 Ver Mapa" display="🔗 Ver Mapa"/>
    <hyperlink ref="L3847" r:id="rId3845" tooltip="🔗 Ver Mapa" display="🔗 Ver Mapa"/>
    <hyperlink ref="L3848" r:id="rId3846" tooltip="🔗 Ver Mapa" display="🔗 Ver Mapa"/>
    <hyperlink ref="L3849" r:id="rId3847" tooltip="🔗 Ver Mapa" display="🔗 Ver Mapa"/>
    <hyperlink ref="L3850" r:id="rId3848" tooltip="🔗 Ver Mapa" display="🔗 Ver Mapa"/>
    <hyperlink ref="L3851" r:id="rId3849" tooltip="🔗 Ver Mapa" display="🔗 Ver Mapa"/>
    <hyperlink ref="L3852" r:id="rId3850" tooltip="🔗 Ver Mapa" display="🔗 Ver Mapa"/>
    <hyperlink ref="L3853" r:id="rId3851" tooltip="🔗 Ver Mapa" display="🔗 Ver Mapa"/>
    <hyperlink ref="L3854" r:id="rId3852" tooltip="🔗 Ver Mapa" display="🔗 Ver Mapa"/>
    <hyperlink ref="L3855" r:id="rId3853" tooltip="🔗 Ver Mapa" display="🔗 Ver Mapa"/>
    <hyperlink ref="L3856" r:id="rId3854" tooltip="🔗 Ver Mapa" display="🔗 Ver Mapa"/>
    <hyperlink ref="L3857" r:id="rId3855" tooltip="🔗 Ver Mapa" display="🔗 Ver Mapa"/>
    <hyperlink ref="L3858" r:id="rId3856" tooltip="🔗 Ver Mapa" display="🔗 Ver Mapa"/>
    <hyperlink ref="L3859" r:id="rId3857" tooltip="🔗 Ver Mapa" display="🔗 Ver Mapa"/>
    <hyperlink ref="L3860" r:id="rId3858" tooltip="🔗 Ver Mapa" display="🔗 Ver Mapa"/>
    <hyperlink ref="L3861" r:id="rId3859" tooltip="🔗 Ver Mapa" display="🔗 Ver Mapa"/>
    <hyperlink ref="L3862" r:id="rId3860" tooltip="🔗 Ver Mapa" display="🔗 Ver Mapa"/>
    <hyperlink ref="L3863" r:id="rId3861" tooltip="🔗 Ver Mapa" display="🔗 Ver Mapa"/>
    <hyperlink ref="L3864" r:id="rId3862" tooltip="🔗 Ver Mapa" display="🔗 Ver Mapa"/>
    <hyperlink ref="L3865" r:id="rId3863" tooltip="🔗 Ver Mapa" display="🔗 Ver Mapa"/>
    <hyperlink ref="L3866" r:id="rId3864" tooltip="🔗 Ver Mapa" display="🔗 Ver Mapa"/>
    <hyperlink ref="L3867" r:id="rId3865" tooltip="🔗 Ver Mapa" display="🔗 Ver Mapa"/>
    <hyperlink ref="L3868" r:id="rId3866" tooltip="🔗 Ver Mapa" display="🔗 Ver Mapa"/>
    <hyperlink ref="L3869" r:id="rId3867" tooltip="🔗 Ver Mapa" display="🔗 Ver Mapa"/>
    <hyperlink ref="L3870" r:id="rId3868" tooltip="🔗 Ver Mapa" display="🔗 Ver Mapa"/>
    <hyperlink ref="L3871" r:id="rId3869" tooltip="🔗 Ver Mapa" display="🔗 Ver Mapa"/>
    <hyperlink ref="L3872" r:id="rId3870" tooltip="🔗 Ver Mapa" display="🔗 Ver Mapa"/>
    <hyperlink ref="L3873" r:id="rId3871" tooltip="🔗 Ver Mapa" display="🔗 Ver Mapa"/>
    <hyperlink ref="L3874" r:id="rId3872" tooltip="🔗 Ver Mapa" display="🔗 Ver Mapa"/>
    <hyperlink ref="L3875" r:id="rId3873" tooltip="🔗 Ver Mapa" display="🔗 Ver Mapa"/>
    <hyperlink ref="L3876" r:id="rId3874" tooltip="🔗 Ver Mapa" display="🔗 Ver Mapa"/>
    <hyperlink ref="L3877" r:id="rId3875" tooltip="🔗 Ver Mapa" display="🔗 Ver Mapa"/>
    <hyperlink ref="L3878" r:id="rId3876" tooltip="🔗 Ver Mapa" display="🔗 Ver Mapa"/>
    <hyperlink ref="L3879" r:id="rId3877" tooltip="🔗 Ver Mapa" display="🔗 Ver Mapa"/>
    <hyperlink ref="L3880" r:id="rId3878" tooltip="🔗 Ver Mapa" display="🔗 Ver Mapa"/>
    <hyperlink ref="L3881" r:id="rId3879" tooltip="🔗 Ver Mapa" display="🔗 Ver Mapa"/>
    <hyperlink ref="L3882" r:id="rId3880" tooltip="🔗 Ver Mapa" display="🔗 Ver Mapa"/>
    <hyperlink ref="L3883" r:id="rId3881" tooltip="🔗 Ver Mapa" display="🔗 Ver Mapa"/>
    <hyperlink ref="L3884" r:id="rId3882" tooltip="🔗 Ver Mapa" display="🔗 Ver Mapa"/>
    <hyperlink ref="L3885" r:id="rId3883" tooltip="🔗 Ver Mapa" display="🔗 Ver Mapa"/>
    <hyperlink ref="L3886" r:id="rId3884" tooltip="🔗 Ver Mapa" display="🔗 Ver Mapa"/>
    <hyperlink ref="L3887" r:id="rId3885" tooltip="🔗 Ver Mapa" display="🔗 Ver Mapa"/>
    <hyperlink ref="L3888" r:id="rId3886" tooltip="🔗 Ver Mapa" display="🔗 Ver Mapa"/>
    <hyperlink ref="L3889" r:id="rId3887" tooltip="🔗 Ver Mapa" display="🔗 Ver Mapa"/>
    <hyperlink ref="L3890" r:id="rId3888" tooltip="🔗 Ver Mapa" display="🔗 Ver Mapa"/>
    <hyperlink ref="L3891" r:id="rId3889" tooltip="🔗 Ver Mapa" display="🔗 Ver Mapa"/>
    <hyperlink ref="L3892" r:id="rId3890" tooltip="🔗 Ver Mapa" display="🔗 Ver Mapa"/>
    <hyperlink ref="L3893" r:id="rId3891" tooltip="🔗 Ver Mapa" display="🔗 Ver Mapa"/>
    <hyperlink ref="L3894" r:id="rId3892" tooltip="🔗 Ver Mapa" display="🔗 Ver Mapa"/>
    <hyperlink ref="L3895" r:id="rId3893" tooltip="🔗 Ver Mapa" display="🔗 Ver Mapa"/>
    <hyperlink ref="L3896" r:id="rId3894" tooltip="🔗 Ver Mapa" display="🔗 Ver Mapa"/>
    <hyperlink ref="L3897" r:id="rId3895" tooltip="🔗 Ver Mapa" display="🔗 Ver Mapa"/>
    <hyperlink ref="L3898" r:id="rId3896" tooltip="🔗 Ver Mapa" display="🔗 Ver Mapa"/>
    <hyperlink ref="L3899" r:id="rId3897" tooltip="🔗 Ver Mapa" display="🔗 Ver Mapa"/>
    <hyperlink ref="L3900" r:id="rId3898" tooltip="🔗 Ver Mapa" display="🔗 Ver Mapa"/>
    <hyperlink ref="L3901" r:id="rId3899" tooltip="🔗 Ver Mapa" display="🔗 Ver Mapa"/>
    <hyperlink ref="L3902" r:id="rId3900" tooltip="🔗 Ver Mapa" display="🔗 Ver Mapa"/>
    <hyperlink ref="L3903" r:id="rId3901" tooltip="🔗 Ver Mapa" display="🔗 Ver Mapa"/>
    <hyperlink ref="L3904" r:id="rId3902" tooltip="🔗 Ver Mapa" display="🔗 Ver Mapa"/>
    <hyperlink ref="L3905" r:id="rId3903" tooltip="🔗 Ver Mapa" display="🔗 Ver Mapa"/>
    <hyperlink ref="L3906" r:id="rId3904" tooltip="🔗 Ver Mapa" display="🔗 Ver Mapa"/>
    <hyperlink ref="L3907" r:id="rId3905" tooltip="🔗 Ver Mapa" display="🔗 Ver Mapa"/>
    <hyperlink ref="L3908" r:id="rId3906" tooltip="🔗 Ver Mapa" display="🔗 Ver Mapa"/>
    <hyperlink ref="L3909" r:id="rId3907" tooltip="🔗 Ver Mapa" display="🔗 Ver Mapa"/>
    <hyperlink ref="L3910" r:id="rId3908" tooltip="🔗 Ver Mapa" display="🔗 Ver Mapa"/>
    <hyperlink ref="L3911" r:id="rId3909" tooltip="🔗 Ver Mapa" display="🔗 Ver Mapa"/>
    <hyperlink ref="L3912" r:id="rId3910" tooltip="🔗 Ver Mapa" display="🔗 Ver Mapa"/>
    <hyperlink ref="L3913" r:id="rId3911" tooltip="🔗 Ver Mapa" display="🔗 Ver Mapa"/>
    <hyperlink ref="L3914" r:id="rId3912" tooltip="🔗 Ver Mapa" display="🔗 Ver Mapa"/>
    <hyperlink ref="L3915" r:id="rId3913" tooltip="🔗 Ver Mapa" display="🔗 Ver Mapa"/>
    <hyperlink ref="L3916" r:id="rId3914" tooltip="🔗 Ver Mapa" display="🔗 Ver Mapa"/>
    <hyperlink ref="L3917" r:id="rId3915" tooltip="🔗 Ver Mapa" display="🔗 Ver Mapa"/>
    <hyperlink ref="L3918" r:id="rId3916" tooltip="🔗 Ver Mapa" display="🔗 Ver Mapa"/>
    <hyperlink ref="L3919" r:id="rId3917" tooltip="🔗 Ver Mapa" display="🔗 Ver Mapa"/>
    <hyperlink ref="L3920" r:id="rId3918" tooltip="🔗 Ver Mapa" display="🔗 Ver Mapa"/>
    <hyperlink ref="L3921" r:id="rId3919" tooltip="🔗 Ver Mapa" display="🔗 Ver Mapa"/>
    <hyperlink ref="L3922" r:id="rId3920" tooltip="🔗 Ver Mapa" display="🔗 Ver Mapa"/>
    <hyperlink ref="L3923" r:id="rId3921" tooltip="🔗 Ver Mapa" display="🔗 Ver Mapa"/>
    <hyperlink ref="L3924" r:id="rId3922" tooltip="🔗 Ver Mapa" display="🔗 Ver Mapa"/>
    <hyperlink ref="L3925" r:id="rId3923" tooltip="🔗 Ver Mapa" display="🔗 Ver Mapa"/>
    <hyperlink ref="L3926" r:id="rId3924" tooltip="🔗 Ver Mapa" display="🔗 Ver Mapa"/>
    <hyperlink ref="L3927" r:id="rId3925" tooltip="🔗 Ver Mapa" display="🔗 Ver Mapa"/>
    <hyperlink ref="L3928" r:id="rId3926" tooltip="🔗 Ver Mapa" display="🔗 Ver Mapa"/>
    <hyperlink ref="L3929" r:id="rId3927" tooltip="🔗 Ver Mapa" display="🔗 Ver Mapa"/>
    <hyperlink ref="L3930" r:id="rId3928" tooltip="🔗 Ver Mapa" display="🔗 Ver Mapa"/>
    <hyperlink ref="L3931" r:id="rId3929" tooltip="🔗 Ver Mapa" display="🔗 Ver Mapa"/>
    <hyperlink ref="L3932" r:id="rId3930" tooltip="🔗 Ver Mapa" display="🔗 Ver Mapa"/>
    <hyperlink ref="L3933" r:id="rId3931" tooltip="🔗 Ver Mapa" display="🔗 Ver Mapa"/>
    <hyperlink ref="L3934" r:id="rId3932" tooltip="🔗 Ver Mapa" display="🔗 Ver Mapa"/>
    <hyperlink ref="L3935" r:id="rId3933" tooltip="🔗 Ver Mapa" display="🔗 Ver Mapa"/>
    <hyperlink ref="L3936" r:id="rId3934" tooltip="🔗 Ver Mapa" display="🔗 Ver Mapa"/>
    <hyperlink ref="L3937" r:id="rId3935" tooltip="🔗 Ver Mapa" display="🔗 Ver Mapa"/>
    <hyperlink ref="L3938" r:id="rId3936" tooltip="🔗 Ver Mapa" display="🔗 Ver Mapa"/>
    <hyperlink ref="L3939" r:id="rId3937" tooltip="🔗 Ver Mapa" display="🔗 Ver Mapa"/>
    <hyperlink ref="L3940" r:id="rId3938" tooltip="🔗 Ver Mapa" display="🔗 Ver Mapa"/>
    <hyperlink ref="L3941" r:id="rId3939" tooltip="🔗 Ver Mapa" display="🔗 Ver Mapa"/>
    <hyperlink ref="L3942" r:id="rId3940" tooltip="🔗 Ver Mapa" display="🔗 Ver Mapa"/>
    <hyperlink ref="L3943" r:id="rId3941" tooltip="🔗 Ver Mapa" display="🔗 Ver Mapa"/>
    <hyperlink ref="L3944" r:id="rId3942" tooltip="🔗 Ver Mapa" display="🔗 Ver Mapa"/>
    <hyperlink ref="L3945" r:id="rId3943" tooltip="🔗 Ver Mapa" display="🔗 Ver Mapa"/>
    <hyperlink ref="L3946" r:id="rId3944" tooltip="🔗 Ver Mapa" display="🔗 Ver Mapa"/>
    <hyperlink ref="L3947" r:id="rId3945" tooltip="🔗 Ver Mapa" display="🔗 Ver Mapa"/>
    <hyperlink ref="L3948" r:id="rId3946" tooltip="🔗 Ver Mapa" display="🔗 Ver Mapa"/>
    <hyperlink ref="L3949" r:id="rId3947" tooltip="🔗 Ver Mapa" display="🔗 Ver Mapa"/>
    <hyperlink ref="L3950" r:id="rId3948" tooltip="🔗 Ver Mapa" display="🔗 Ver Mapa"/>
    <hyperlink ref="L3951" r:id="rId3949" tooltip="🔗 Ver Mapa" display="🔗 Ver Mapa"/>
    <hyperlink ref="L3952" r:id="rId3950" tooltip="🔗 Ver Mapa" display="🔗 Ver Mapa"/>
    <hyperlink ref="L3953" r:id="rId3951" tooltip="🔗 Ver Mapa" display="🔗 Ver Mapa"/>
    <hyperlink ref="L3954" r:id="rId3952" tooltip="🔗 Ver Mapa" display="🔗 Ver Mapa"/>
    <hyperlink ref="L3955" r:id="rId3953" tooltip="🔗 Ver Mapa" display="🔗 Ver Mapa"/>
    <hyperlink ref="L3956" r:id="rId3954" tooltip="🔗 Ver Mapa" display="🔗 Ver Mapa"/>
    <hyperlink ref="L3957" r:id="rId3955" tooltip="🔗 Ver Mapa" display="🔗 Ver Mapa"/>
    <hyperlink ref="L3958" r:id="rId3956" tooltip="🔗 Ver Mapa" display="🔗 Ver Mapa"/>
    <hyperlink ref="L3959" r:id="rId3957" tooltip="🔗 Ver Mapa" display="🔗 Ver Mapa"/>
    <hyperlink ref="L3960" r:id="rId3958" tooltip="🔗 Ver Mapa" display="🔗 Ver Mapa"/>
    <hyperlink ref="L3961" r:id="rId3959" tooltip="🔗 Ver Mapa" display="🔗 Ver Mapa"/>
    <hyperlink ref="L3962" r:id="rId3960" tooltip="🔗 Ver Mapa" display="🔗 Ver Mapa"/>
    <hyperlink ref="L3963" r:id="rId3961" tooltip="🔗 Ver Mapa" display="🔗 Ver Mapa"/>
    <hyperlink ref="L3964" r:id="rId3962" tooltip="🔗 Ver Mapa" display="🔗 Ver Mapa"/>
    <hyperlink ref="L3965" r:id="rId3963" tooltip="🔗 Ver Mapa" display="🔗 Ver Mapa"/>
    <hyperlink ref="L3966" r:id="rId3964" tooltip="🔗 Ver Mapa" display="🔗 Ver Mapa"/>
    <hyperlink ref="L3967" r:id="rId3965" tooltip="🔗 Ver Mapa" display="🔗 Ver Mapa"/>
    <hyperlink ref="L3968" r:id="rId3966" tooltip="🔗 Ver Mapa" display="🔗 Ver Mapa"/>
    <hyperlink ref="L3969" r:id="rId3967" tooltip="🔗 Ver Mapa" display="🔗 Ver Mapa"/>
    <hyperlink ref="L3970" r:id="rId3968" tooltip="🔗 Ver Mapa" display="🔗 Ver Mapa"/>
    <hyperlink ref="L3971" r:id="rId3969" tooltip="🔗 Ver Mapa" display="🔗 Ver Mapa"/>
    <hyperlink ref="L3972" r:id="rId3970" tooltip="🔗 Ver Mapa" display="🔗 Ver Mapa"/>
    <hyperlink ref="L3973" r:id="rId3971" tooltip="🔗 Ver Mapa" display="🔗 Ver Mapa"/>
    <hyperlink ref="L3974" r:id="rId3972" tooltip="🔗 Ver Mapa" display="🔗 Ver Mapa"/>
    <hyperlink ref="L3975" r:id="rId3973" tooltip="🔗 Ver Mapa" display="🔗 Ver Mapa"/>
    <hyperlink ref="L3976" r:id="rId3974" tooltip="🔗 Ver Mapa" display="🔗 Ver Mapa"/>
    <hyperlink ref="L3977" r:id="rId3975" tooltip="🔗 Ver Mapa" display="🔗 Ver Mapa"/>
    <hyperlink ref="L3978" r:id="rId3976" tooltip="🔗 Ver Mapa" display="🔗 Ver Mapa"/>
    <hyperlink ref="L3979" r:id="rId3977" tooltip="🔗 Ver Mapa" display="🔗 Ver Mapa"/>
    <hyperlink ref="L3980" r:id="rId3978" tooltip="🔗 Ver Mapa" display="🔗 Ver Mapa"/>
    <hyperlink ref="L3981" r:id="rId3979" tooltip="🔗 Ver Mapa" display="🔗 Ver Mapa"/>
    <hyperlink ref="L3982" r:id="rId3980" tooltip="🔗 Ver Mapa" display="🔗 Ver Mapa"/>
    <hyperlink ref="L3983" r:id="rId3981" tooltip="🔗 Ver Mapa" display="🔗 Ver Mapa"/>
    <hyperlink ref="L3984" r:id="rId3982" tooltip="🔗 Ver Mapa" display="🔗 Ver Mapa"/>
    <hyperlink ref="L3985" r:id="rId3983" tooltip="🔗 Ver Mapa" display="🔗 Ver Mapa"/>
    <hyperlink ref="L3986" r:id="rId3984" tooltip="🔗 Ver Mapa" display="🔗 Ver Mapa"/>
    <hyperlink ref="L3987" r:id="rId3985" tooltip="🔗 Ver Mapa" display="🔗 Ver Mapa"/>
    <hyperlink ref="L3988" r:id="rId3986" tooltip="🔗 Ver Mapa" display="🔗 Ver Mapa"/>
    <hyperlink ref="L3989" r:id="rId3987" tooltip="🔗 Ver Mapa" display="🔗 Ver Mapa"/>
    <hyperlink ref="L3990" r:id="rId3988" tooltip="🔗 Ver Mapa" display="🔗 Ver Mapa"/>
    <hyperlink ref="L3991" r:id="rId3989" tooltip="🔗 Ver Mapa" display="🔗 Ver Mapa"/>
    <hyperlink ref="L3992" r:id="rId3990" tooltip="🔗 Ver Mapa" display="🔗 Ver Mapa"/>
    <hyperlink ref="L3993" r:id="rId3991" tooltip="🔗 Ver Mapa" display="🔗 Ver Mapa"/>
    <hyperlink ref="L3994" r:id="rId3992" tooltip="🔗 Ver Mapa" display="🔗 Ver Mapa"/>
    <hyperlink ref="L3995" r:id="rId3993" tooltip="🔗 Ver Mapa" display="🔗 Ver Mapa"/>
    <hyperlink ref="L3996" r:id="rId3994" tooltip="🔗 Ver Mapa" display="🔗 Ver Mapa"/>
    <hyperlink ref="L3997" r:id="rId3995" tooltip="🔗 Ver Mapa" display="🔗 Ver Mapa"/>
    <hyperlink ref="L3998" r:id="rId3996" tooltip="🔗 Ver Mapa" display="🔗 Ver Mapa"/>
    <hyperlink ref="L3999" r:id="rId3997" tooltip="🔗 Ver Mapa" display="🔗 Ver Mapa"/>
    <hyperlink ref="L4000" r:id="rId3998" tooltip="🔗 Ver Mapa" display="🔗 Ver Mapa"/>
    <hyperlink ref="L4001" r:id="rId3999" tooltip="🔗 Ver Mapa" display="🔗 Ver Mapa"/>
    <hyperlink ref="L4002" r:id="rId4000" tooltip="🔗 Ver Mapa" display="🔗 Ver Mapa"/>
    <hyperlink ref="L4003" r:id="rId4001" tooltip="🔗 Ver Mapa" display="🔗 Ver Mapa"/>
    <hyperlink ref="L4004" r:id="rId4002" tooltip="🔗 Ver Mapa" display="🔗 Ver Mapa"/>
    <hyperlink ref="L4005" r:id="rId4003" tooltip="🔗 Ver Mapa" display="🔗 Ver Mapa"/>
    <hyperlink ref="L4006" r:id="rId4004" tooltip="🔗 Ver Mapa" display="🔗 Ver Mapa"/>
    <hyperlink ref="L4007" r:id="rId4005" tooltip="🔗 Ver Mapa" display="🔗 Ver Mapa"/>
    <hyperlink ref="L4008" r:id="rId4006" tooltip="🔗 Ver Mapa" display="🔗 Ver Mapa"/>
    <hyperlink ref="L4009" r:id="rId4007" tooltip="🔗 Ver Mapa" display="🔗 Ver Mapa"/>
    <hyperlink ref="L4010" r:id="rId4008" tooltip="🔗 Ver Mapa" display="🔗 Ver Mapa"/>
    <hyperlink ref="L4011" r:id="rId4009" tooltip="🔗 Ver Mapa" display="🔗 Ver Mapa"/>
    <hyperlink ref="L4012" r:id="rId4010" tooltip="🔗 Ver Mapa" display="🔗 Ver Mapa"/>
    <hyperlink ref="L4013" r:id="rId4011" tooltip="🔗 Ver Mapa" display="🔗 Ver Mapa"/>
    <hyperlink ref="L4014" r:id="rId4012" tooltip="🔗 Ver Mapa" display="🔗 Ver Mapa"/>
    <hyperlink ref="L4015" r:id="rId4013" tooltip="🔗 Ver Mapa" display="🔗 Ver Mapa"/>
    <hyperlink ref="L4016" r:id="rId4014" tooltip="🔗 Ver Mapa" display="🔗 Ver Mapa"/>
    <hyperlink ref="L4017" r:id="rId4015" tooltip="🔗 Ver Mapa" display="🔗 Ver Mapa"/>
    <hyperlink ref="L4018" r:id="rId4016" tooltip="🔗 Ver Mapa" display="🔗 Ver Mapa"/>
    <hyperlink ref="L4019" r:id="rId4017" tooltip="🔗 Ver Mapa" display="🔗 Ver Mapa"/>
    <hyperlink ref="L4020" r:id="rId4018" tooltip="🔗 Ver Mapa" display="🔗 Ver Mapa"/>
    <hyperlink ref="L4021" r:id="rId4019" tooltip="🔗 Ver Mapa" display="🔗 Ver Mapa"/>
    <hyperlink ref="L4022" r:id="rId4020" tooltip="🔗 Ver Mapa" display="🔗 Ver Mapa"/>
    <hyperlink ref="L4023" r:id="rId4021" tooltip="🔗 Ver Mapa" display="🔗 Ver Mapa"/>
    <hyperlink ref="L4024" r:id="rId4022" tooltip="🔗 Ver Mapa" display="🔗 Ver Mapa"/>
    <hyperlink ref="L4025" r:id="rId4023" tooltip="🔗 Ver Mapa" display="🔗 Ver Mapa"/>
    <hyperlink ref="L4026" r:id="rId4024" tooltip="🔗 Ver Mapa" display="🔗 Ver Mapa"/>
    <hyperlink ref="L4027" r:id="rId4025" tooltip="🔗 Ver Mapa" display="🔗 Ver Mapa"/>
    <hyperlink ref="L4028" r:id="rId4026" tooltip="🔗 Ver Mapa" display="🔗 Ver Mapa"/>
    <hyperlink ref="L4029" r:id="rId4027" tooltip="🔗 Ver Mapa" display="🔗 Ver Mapa"/>
    <hyperlink ref="L4030" r:id="rId4028" tooltip="🔗 Ver Mapa" display="🔗 Ver Mapa"/>
    <hyperlink ref="L4031" r:id="rId4029" tooltip="🔗 Ver Mapa" display="🔗 Ver Mapa"/>
    <hyperlink ref="L4032" r:id="rId4030" tooltip="🔗 Ver Mapa" display="🔗 Ver Mapa"/>
    <hyperlink ref="L4033" r:id="rId4031" tooltip="🔗 Ver Mapa" display="🔗 Ver Mapa"/>
    <hyperlink ref="L4034" r:id="rId4032" tooltip="🔗 Ver Mapa" display="🔗 Ver Mapa"/>
    <hyperlink ref="L4035" r:id="rId4033" tooltip="🔗 Ver Mapa" display="🔗 Ver Mapa"/>
    <hyperlink ref="L4036" r:id="rId4034" tooltip="🔗 Ver Mapa" display="🔗 Ver Mapa"/>
    <hyperlink ref="L4037" r:id="rId4035" tooltip="🔗 Ver Mapa" display="🔗 Ver Mapa"/>
    <hyperlink ref="L4038" r:id="rId4036" tooltip="🔗 Ver Mapa" display="🔗 Ver Mapa"/>
    <hyperlink ref="L4039" r:id="rId4037" tooltip="🔗 Ver Mapa" display="🔗 Ver Mapa"/>
    <hyperlink ref="L4040" r:id="rId4038" tooltip="🔗 Ver Mapa" display="🔗 Ver Mapa"/>
    <hyperlink ref="L4041" r:id="rId4039" tooltip="🔗 Ver Mapa" display="🔗 Ver Mapa"/>
    <hyperlink ref="L4042" r:id="rId4040" tooltip="🔗 Ver Mapa" display="🔗 Ver Mapa"/>
    <hyperlink ref="L4043" r:id="rId4041" tooltip="🔗 Ver Mapa" display="🔗 Ver Mapa"/>
    <hyperlink ref="L4044" r:id="rId4042" tooltip="🔗 Ver Mapa" display="🔗 Ver Mapa"/>
    <hyperlink ref="L4045" r:id="rId4043" tooltip="🔗 Ver Mapa" display="🔗 Ver Mapa"/>
    <hyperlink ref="L4046" r:id="rId4044" tooltip="🔗 Ver Mapa" display="🔗 Ver Mapa"/>
    <hyperlink ref="L4047" r:id="rId4045" tooltip="🔗 Ver Mapa" display="🔗 Ver Mapa"/>
    <hyperlink ref="L4048" r:id="rId4046" tooltip="🔗 Ver Mapa" display="🔗 Ver Mapa"/>
    <hyperlink ref="L4049" r:id="rId4047" tooltip="🔗 Ver Mapa" display="🔗 Ver Mapa"/>
    <hyperlink ref="L4050" r:id="rId4048" tooltip="🔗 Ver Mapa" display="🔗 Ver Mapa"/>
    <hyperlink ref="L4051" r:id="rId4049" tooltip="🔗 Ver Mapa" display="🔗 Ver Mapa"/>
    <hyperlink ref="L4052" r:id="rId4050" tooltip="🔗 Ver Mapa" display="🔗 Ver Mapa"/>
    <hyperlink ref="L4053" r:id="rId4051" tooltip="🔗 Ver Mapa" display="🔗 Ver Mapa"/>
    <hyperlink ref="L4054" r:id="rId4052" tooltip="🔗 Ver Mapa" display="🔗 Ver Mapa"/>
    <hyperlink ref="L4055" r:id="rId4053" tooltip="🔗 Ver Mapa" display="🔗 Ver Mapa"/>
    <hyperlink ref="L4056" r:id="rId4054" tooltip="🔗 Ver Mapa" display="🔗 Ver Mapa"/>
    <hyperlink ref="L4057" r:id="rId4055" tooltip="🔗 Ver Mapa" display="🔗 Ver Mapa"/>
    <hyperlink ref="L4058" r:id="rId4056" tooltip="🔗 Ver Mapa" display="🔗 Ver Mapa"/>
    <hyperlink ref="L4059" r:id="rId4057" tooltip="🔗 Ver Mapa" display="🔗 Ver Mapa"/>
    <hyperlink ref="L4060" r:id="rId4058" tooltip="🔗 Ver Mapa" display="🔗 Ver Mapa"/>
    <hyperlink ref="L4061" r:id="rId4059" tooltip="🔗 Ver Mapa" display="🔗 Ver Mapa"/>
    <hyperlink ref="L4062" r:id="rId4060" tooltip="🔗 Ver Mapa" display="🔗 Ver Mapa"/>
    <hyperlink ref="L4063" r:id="rId4061" tooltip="🔗 Ver Mapa" display="🔗 Ver Mapa"/>
    <hyperlink ref="L4064" r:id="rId4062" tooltip="🔗 Ver Mapa" display="🔗 Ver Mapa"/>
    <hyperlink ref="L4065" r:id="rId4063" tooltip="🔗 Ver Mapa" display="🔗 Ver Mapa"/>
    <hyperlink ref="L4066" r:id="rId4064" tooltip="🔗 Ver Mapa" display="🔗 Ver Mapa"/>
    <hyperlink ref="L4067" r:id="rId4065" tooltip="🔗 Ver Mapa" display="🔗 Ver Mapa"/>
    <hyperlink ref="L4068" r:id="rId4066" tooltip="🔗 Ver Mapa" display="🔗 Ver Mapa"/>
    <hyperlink ref="L4069" r:id="rId4067" tooltip="🔗 Ver Mapa" display="🔗 Ver Mapa"/>
    <hyperlink ref="L4070" r:id="rId4068" tooltip="🔗 Ver Mapa" display="🔗 Ver Mapa"/>
    <hyperlink ref="L4071" r:id="rId4069" tooltip="🔗 Ver Mapa" display="🔗 Ver Mapa"/>
    <hyperlink ref="L4072" r:id="rId4070" tooltip="🔗 Ver Mapa" display="🔗 Ver Mapa"/>
    <hyperlink ref="L4073" r:id="rId4071" tooltip="🔗 Ver Mapa" display="🔗 Ver Mapa"/>
    <hyperlink ref="L4074" r:id="rId4072" tooltip="🔗 Ver Mapa" display="🔗 Ver Mapa"/>
    <hyperlink ref="L4075" r:id="rId4073" tooltip="🔗 Ver Mapa" display="🔗 Ver Mapa"/>
    <hyperlink ref="L4076" r:id="rId4074" tooltip="🔗 Ver Mapa" display="🔗 Ver Mapa"/>
    <hyperlink ref="L4077" r:id="rId4075" tooltip="🔗 Ver Mapa" display="🔗 Ver Mapa"/>
    <hyperlink ref="L4078" r:id="rId4076" tooltip="🔗 Ver Mapa" display="🔗 Ver Mapa"/>
    <hyperlink ref="L4079" r:id="rId4077" tooltip="🔗 Ver Mapa" display="🔗 Ver Mapa"/>
    <hyperlink ref="L4080" r:id="rId4078" tooltip="🔗 Ver Mapa" display="🔗 Ver Mapa"/>
    <hyperlink ref="L4081" r:id="rId4079" tooltip="🔗 Ver Mapa" display="🔗 Ver Mapa"/>
    <hyperlink ref="L4082" r:id="rId4080" tooltip="🔗 Ver Mapa" display="🔗 Ver Mapa"/>
    <hyperlink ref="L4083" r:id="rId4081" tooltip="🔗 Ver Mapa" display="🔗 Ver Mapa"/>
    <hyperlink ref="L4084" r:id="rId4082" tooltip="🔗 Ver Mapa" display="🔗 Ver Mapa"/>
    <hyperlink ref="L4085" r:id="rId4083" tooltip="🔗 Ver Mapa" display="🔗 Ver Mapa"/>
    <hyperlink ref="L4086" r:id="rId4084" tooltip="🔗 Ver Mapa" display="🔗 Ver Mapa"/>
    <hyperlink ref="L4087" r:id="rId4085" tooltip="🔗 Ver Mapa" display="🔗 Ver Mapa"/>
    <hyperlink ref="L4088" r:id="rId4086" tooltip="🔗 Ver Mapa" display="🔗 Ver Mapa"/>
    <hyperlink ref="L4089" r:id="rId4087" tooltip="🔗 Ver Mapa" display="🔗 Ver Mapa"/>
    <hyperlink ref="L4090" r:id="rId4088" tooltip="🔗 Ver Mapa" display="🔗 Ver Mapa"/>
    <hyperlink ref="L4091" r:id="rId4089" tooltip="🔗 Ver Mapa" display="🔗 Ver Mapa"/>
    <hyperlink ref="L4092" r:id="rId4090" tooltip="🔗 Ver Mapa" display="🔗 Ver Mapa"/>
    <hyperlink ref="L4093" r:id="rId4091" tooltip="🔗 Ver Mapa" display="🔗 Ver Mapa"/>
    <hyperlink ref="L4094" r:id="rId4092" tooltip="🔗 Ver Mapa" display="🔗 Ver Mapa"/>
    <hyperlink ref="L4095" r:id="rId4093" tooltip="🔗 Ver Mapa" display="🔗 Ver Mapa"/>
    <hyperlink ref="L4096" r:id="rId4094" tooltip="🔗 Ver Mapa" display="🔗 Ver Mapa"/>
    <hyperlink ref="L4097" r:id="rId4095" tooltip="🔗 Ver Mapa" display="🔗 Ver Mapa"/>
    <hyperlink ref="L4098" r:id="rId4096" tooltip="🔗 Ver Mapa" display="🔗 Ver Mapa"/>
    <hyperlink ref="L4099" r:id="rId4097" tooltip="🔗 Ver Mapa" display="🔗 Ver Mapa"/>
    <hyperlink ref="L4100" r:id="rId4098" tooltip="🔗 Ver Mapa" display="🔗 Ver Mapa"/>
    <hyperlink ref="L4101" r:id="rId4099" tooltip="🔗 Ver Mapa" display="🔗 Ver Mapa"/>
    <hyperlink ref="L4102" r:id="rId4100" tooltip="🔗 Ver Mapa" display="🔗 Ver Mapa"/>
    <hyperlink ref="L4103" r:id="rId4101" tooltip="🔗 Ver Mapa" display="🔗 Ver Mapa"/>
    <hyperlink ref="L4104" r:id="rId4102" tooltip="🔗 Ver Mapa" display="🔗 Ver Mapa"/>
    <hyperlink ref="L4105" r:id="rId4103" tooltip="🔗 Ver Mapa" display="🔗 Ver Mapa"/>
    <hyperlink ref="L4106" r:id="rId4104" tooltip="🔗 Ver Mapa" display="🔗 Ver Mapa"/>
    <hyperlink ref="L4107" r:id="rId4105" tooltip="🔗 Ver Mapa" display="🔗 Ver Mapa"/>
    <hyperlink ref="L4108" r:id="rId4106" tooltip="🔗 Ver Mapa" display="🔗 Ver Mapa"/>
    <hyperlink ref="L4109" r:id="rId4107" tooltip="🔗 Ver Mapa" display="🔗 Ver Mapa"/>
    <hyperlink ref="L4110" r:id="rId4108" tooltip="🔗 Ver Mapa" display="🔗 Ver Mapa"/>
    <hyperlink ref="L4111" r:id="rId4109" tooltip="🔗 Ver Mapa" display="🔗 Ver Mapa"/>
    <hyperlink ref="L4112" r:id="rId4110" tooltip="🔗 Ver Mapa" display="🔗 Ver Mapa"/>
    <hyperlink ref="L4113" r:id="rId4111" tooltip="🔗 Ver Mapa" display="🔗 Ver Mapa"/>
    <hyperlink ref="L4114" r:id="rId4112" tooltip="🔗 Ver Mapa" display="🔗 Ver Mapa"/>
    <hyperlink ref="L4115" r:id="rId4113" tooltip="🔗 Ver Mapa" display="🔗 Ver Mapa"/>
    <hyperlink ref="L4116" r:id="rId4114" tooltip="🔗 Ver Mapa" display="🔗 Ver Mapa"/>
    <hyperlink ref="L4117" r:id="rId4115" tooltip="🔗 Ver Mapa" display="🔗 Ver Mapa"/>
    <hyperlink ref="L4118" r:id="rId4116" tooltip="🔗 Ver Mapa" display="🔗 Ver Mapa"/>
    <hyperlink ref="L4119" r:id="rId4117" tooltip="🔗 Ver Mapa" display="🔗 Ver Mapa"/>
    <hyperlink ref="L4120" r:id="rId4118" tooltip="🔗 Ver Mapa" display="🔗 Ver Mapa"/>
    <hyperlink ref="L4121" r:id="rId4119" tooltip="🔗 Ver Mapa" display="🔗 Ver Mapa"/>
    <hyperlink ref="L4122" r:id="rId4120" tooltip="🔗 Ver Mapa" display="🔗 Ver Mapa"/>
    <hyperlink ref="L4123" r:id="rId4121" tooltip="🔗 Ver Mapa" display="🔗 Ver Mapa"/>
    <hyperlink ref="L4124" r:id="rId4122" tooltip="🔗 Ver Mapa" display="🔗 Ver Mapa"/>
    <hyperlink ref="L4125" r:id="rId4123" tooltip="🔗 Ver Mapa" display="🔗 Ver Mapa"/>
    <hyperlink ref="L4126" r:id="rId4124" tooltip="🔗 Ver Mapa" display="🔗 Ver Mapa"/>
    <hyperlink ref="L4127" r:id="rId4125" tooltip="🔗 Ver Mapa" display="🔗 Ver Mapa"/>
    <hyperlink ref="L4128" r:id="rId4126" tooltip="🔗 Ver Mapa" display="🔗 Ver Mapa"/>
    <hyperlink ref="L4129" r:id="rId4127" tooltip="🔗 Ver Mapa" display="🔗 Ver Mapa"/>
    <hyperlink ref="L4130" r:id="rId4128" tooltip="🔗 Ver Mapa" display="🔗 Ver Mapa"/>
    <hyperlink ref="L4131" r:id="rId4129" tooltip="🔗 Ver Mapa" display="🔗 Ver Mapa"/>
    <hyperlink ref="L4132" r:id="rId4130" tooltip="🔗 Ver Mapa" display="🔗 Ver Mapa"/>
    <hyperlink ref="L4133" r:id="rId4131" tooltip="🔗 Ver Mapa" display="🔗 Ver Mapa"/>
    <hyperlink ref="L4134" r:id="rId4132" tooltip="🔗 Ver Mapa" display="🔗 Ver Mapa"/>
    <hyperlink ref="L4135" r:id="rId4133" tooltip="🔗 Ver Mapa" display="🔗 Ver Mapa"/>
    <hyperlink ref="L4136" r:id="rId4134" tooltip="🔗 Ver Mapa" display="🔗 Ver Mapa"/>
    <hyperlink ref="L4137" r:id="rId4135" tooltip="🔗 Ver Mapa" display="🔗 Ver Mapa"/>
    <hyperlink ref="L4138" r:id="rId4136" tooltip="🔗 Ver Mapa" display="🔗 Ver Mapa"/>
    <hyperlink ref="L4139" r:id="rId4137" tooltip="🔗 Ver Mapa" display="🔗 Ver Mapa"/>
    <hyperlink ref="L4140" r:id="rId4138" tooltip="🔗 Ver Mapa" display="🔗 Ver Mapa"/>
    <hyperlink ref="L4141" r:id="rId4139" tooltip="🔗 Ver Mapa" display="🔗 Ver Mapa"/>
    <hyperlink ref="L4142" r:id="rId4140" tooltip="🔗 Ver Mapa" display="🔗 Ver Mapa"/>
    <hyperlink ref="L4143" r:id="rId4141" tooltip="🔗 Ver Mapa" display="🔗 Ver Mapa"/>
    <hyperlink ref="L4144" r:id="rId4142" tooltip="🔗 Ver Mapa" display="🔗 Ver Mapa"/>
    <hyperlink ref="L4145" r:id="rId4143" tooltip="🔗 Ver Mapa" display="🔗 Ver Mapa"/>
    <hyperlink ref="L4146" r:id="rId4144" tooltip="🔗 Ver Mapa" display="🔗 Ver Mapa"/>
    <hyperlink ref="L4147" r:id="rId4145" tooltip="🔗 Ver Mapa" display="🔗 Ver Mapa"/>
    <hyperlink ref="L4148" r:id="rId4146" tooltip="🔗 Ver Mapa" display="🔗 Ver Mapa"/>
    <hyperlink ref="L4149" r:id="rId4147" tooltip="🔗 Ver Mapa" display="🔗 Ver Mapa"/>
    <hyperlink ref="L4150" r:id="rId4148" tooltip="🔗 Ver Mapa" display="🔗 Ver Mapa"/>
    <hyperlink ref="L4151" r:id="rId4149" tooltip="🔗 Ver Mapa" display="🔗 Ver Mapa"/>
    <hyperlink ref="L4152" r:id="rId4150" tooltip="🔗 Ver Mapa" display="🔗 Ver Mapa"/>
    <hyperlink ref="L4153" r:id="rId4151" tooltip="🔗 Ver Mapa" display="🔗 Ver Mapa"/>
    <hyperlink ref="L4154" r:id="rId4152" tooltip="🔗 Ver Mapa" display="🔗 Ver Mapa"/>
    <hyperlink ref="L4155" r:id="rId4153" tooltip="🔗 Ver Mapa" display="🔗 Ver Mapa"/>
    <hyperlink ref="L4156" r:id="rId4154" tooltip="🔗 Ver Mapa" display="🔗 Ver Mapa"/>
    <hyperlink ref="L4157" r:id="rId4155" tooltip="🔗 Ver Mapa" display="🔗 Ver Mapa"/>
    <hyperlink ref="L4158" r:id="rId4156" tooltip="🔗 Ver Mapa" display="🔗 Ver Mapa"/>
    <hyperlink ref="L4159" r:id="rId4157" tooltip="🔗 Ver Mapa" display="🔗 Ver Mapa"/>
    <hyperlink ref="L4160" r:id="rId4158" tooltip="🔗 Ver Mapa" display="🔗 Ver Mapa"/>
    <hyperlink ref="L4161" r:id="rId4159" tooltip="🔗 Ver Mapa" display="🔗 Ver Mapa"/>
    <hyperlink ref="L4162" r:id="rId4160" tooltip="🔗 Ver Mapa" display="🔗 Ver Mapa"/>
    <hyperlink ref="L4163" r:id="rId4161" tooltip="🔗 Ver Mapa" display="🔗 Ver Mapa"/>
    <hyperlink ref="L4164" r:id="rId4162" tooltip="🔗 Ver Mapa" display="🔗 Ver Mapa"/>
    <hyperlink ref="L4165" r:id="rId4163" tooltip="🔗 Ver Mapa" display="🔗 Ver Mapa"/>
    <hyperlink ref="L4166" r:id="rId4164" tooltip="🔗 Ver Mapa" display="🔗 Ver Mapa"/>
    <hyperlink ref="L4167" r:id="rId4165" tooltip="🔗 Ver Mapa" display="🔗 Ver Mapa"/>
    <hyperlink ref="L4168" r:id="rId4166" tooltip="🔗 Ver Mapa" display="🔗 Ver Mapa"/>
    <hyperlink ref="L4169" r:id="rId4167" tooltip="🔗 Ver Mapa" display="🔗 Ver Mapa"/>
    <hyperlink ref="L4170" r:id="rId4168" tooltip="🔗 Ver Mapa" display="🔗 Ver Mapa"/>
    <hyperlink ref="L4171" r:id="rId4169" tooltip="🔗 Ver Mapa" display="🔗 Ver Mapa"/>
    <hyperlink ref="L4172" r:id="rId4170" tooltip="🔗 Ver Mapa" display="🔗 Ver Mapa"/>
    <hyperlink ref="L4173" r:id="rId4171" tooltip="🔗 Ver Mapa" display="🔗 Ver Mapa"/>
    <hyperlink ref="L4174" r:id="rId4172" tooltip="🔗 Ver Mapa" display="🔗 Ver Mapa"/>
    <hyperlink ref="L4175" r:id="rId4173" tooltip="🔗 Ver Mapa" display="🔗 Ver Mapa"/>
    <hyperlink ref="L4176" r:id="rId4174" tooltip="🔗 Ver Mapa" display="🔗 Ver Mapa"/>
    <hyperlink ref="L4177" r:id="rId4175" tooltip="🔗 Ver Mapa" display="🔗 Ver Mapa"/>
    <hyperlink ref="L4178" r:id="rId4176" tooltip="🔗 Ver Mapa" display="🔗 Ver Mapa"/>
    <hyperlink ref="L4179" r:id="rId4177" tooltip="🔗 Ver Mapa" display="🔗 Ver Mapa"/>
    <hyperlink ref="L4180" r:id="rId4178" tooltip="🔗 Ver Mapa" display="🔗 Ver Mapa"/>
    <hyperlink ref="L4181" r:id="rId4179" tooltip="🔗 Ver Mapa" display="🔗 Ver Mapa"/>
    <hyperlink ref="L4182" r:id="rId4180" tooltip="🔗 Ver Mapa" display="🔗 Ver Mapa"/>
    <hyperlink ref="L4183" r:id="rId4181" tooltip="🔗 Ver Mapa" display="🔗 Ver Mapa"/>
    <hyperlink ref="L4184" r:id="rId4182" tooltip="🔗 Ver Mapa" display="🔗 Ver Mapa"/>
    <hyperlink ref="L4185" r:id="rId4183" tooltip="🔗 Ver Mapa" display="🔗 Ver Mapa"/>
    <hyperlink ref="L4186" r:id="rId4184" tooltip="🔗 Ver Mapa" display="🔗 Ver Mapa"/>
    <hyperlink ref="L4187" r:id="rId4185" tooltip="🔗 Ver Mapa" display="🔗 Ver Mapa"/>
    <hyperlink ref="L4188" r:id="rId4186" tooltip="🔗 Ver Mapa" display="🔗 Ver Mapa"/>
    <hyperlink ref="L4189" r:id="rId4187" tooltip="🔗 Ver Mapa" display="🔗 Ver Mapa"/>
    <hyperlink ref="L4190" r:id="rId4188" tooltip="🔗 Ver Mapa" display="🔗 Ver Mapa"/>
    <hyperlink ref="L4191" r:id="rId4189" tooltip="🔗 Ver Mapa" display="🔗 Ver Mapa"/>
    <hyperlink ref="L4192" r:id="rId4190" tooltip="🔗 Ver Mapa" display="🔗 Ver Mapa"/>
    <hyperlink ref="L4193" r:id="rId4191" tooltip="🔗 Ver Mapa" display="🔗 Ver Mapa"/>
    <hyperlink ref="L4194" r:id="rId4192" tooltip="🔗 Ver Mapa" display="🔗 Ver Mapa"/>
    <hyperlink ref="L4195" r:id="rId4193" tooltip="🔗 Ver Mapa" display="🔗 Ver Mapa"/>
    <hyperlink ref="L4196" r:id="rId4194" tooltip="🔗 Ver Mapa" display="🔗 Ver Mapa"/>
    <hyperlink ref="L4197" r:id="rId4195" tooltip="🔗 Ver Mapa" display="🔗 Ver Mapa"/>
    <hyperlink ref="L4198" r:id="rId4196" tooltip="🔗 Ver Mapa" display="🔗 Ver Mapa"/>
    <hyperlink ref="L4199" r:id="rId4197" tooltip="🔗 Ver Mapa" display="🔗 Ver Mapa"/>
    <hyperlink ref="L4200" r:id="rId4198" tooltip="🔗 Ver Mapa" display="🔗 Ver Mapa"/>
    <hyperlink ref="L4201" r:id="rId4199" tooltip="🔗 Ver Mapa" display="🔗 Ver Mapa"/>
    <hyperlink ref="L4202" r:id="rId4200" tooltip="🔗 Ver Mapa" display="🔗 Ver Mapa"/>
    <hyperlink ref="L4203" r:id="rId4201" tooltip="🔗 Ver Mapa" display="🔗 Ver Mapa"/>
    <hyperlink ref="L4204" r:id="rId4202" tooltip="🔗 Ver Mapa" display="🔗 Ver Mapa"/>
    <hyperlink ref="L4205" r:id="rId4203" tooltip="🔗 Ver Mapa" display="🔗 Ver Mapa"/>
    <hyperlink ref="L4206" r:id="rId4204" tooltip="🔗 Ver Mapa" display="🔗 Ver Mapa"/>
    <hyperlink ref="L4207" r:id="rId4205" tooltip="🔗 Ver Mapa" display="🔗 Ver Mapa"/>
    <hyperlink ref="L4208" r:id="rId4206" tooltip="🔗 Ver Mapa" display="🔗 Ver Mapa"/>
    <hyperlink ref="L4209" r:id="rId4207" tooltip="🔗 Ver Mapa" display="🔗 Ver Mapa"/>
    <hyperlink ref="L4210" r:id="rId4208" tooltip="🔗 Ver Mapa" display="🔗 Ver Mapa"/>
    <hyperlink ref="L4211" r:id="rId4209" tooltip="🔗 Ver Mapa" display="🔗 Ver Mapa"/>
    <hyperlink ref="L4212" r:id="rId4210" tooltip="🔗 Ver Mapa" display="🔗 Ver Mapa"/>
    <hyperlink ref="L4213" r:id="rId4211" tooltip="🔗 Ver Mapa" display="🔗 Ver Mapa"/>
    <hyperlink ref="L4214" r:id="rId4212" tooltip="🔗 Ver Mapa" display="🔗 Ver Mapa"/>
    <hyperlink ref="L4215" r:id="rId4213" tooltip="🔗 Ver Mapa" display="🔗 Ver Mapa"/>
    <hyperlink ref="L4216" r:id="rId4214" tooltip="🔗 Ver Mapa" display="🔗 Ver Mapa"/>
    <hyperlink ref="L4217" r:id="rId4215" tooltip="🔗 Ver Mapa" display="🔗 Ver Mapa"/>
    <hyperlink ref="L4218" r:id="rId4216" tooltip="🔗 Ver Mapa" display="🔗 Ver Mapa"/>
    <hyperlink ref="L4219" r:id="rId4217" tooltip="🔗 Ver Mapa" display="🔗 Ver Mapa"/>
    <hyperlink ref="L4220" r:id="rId4218" tooltip="🔗 Ver Mapa" display="🔗 Ver Mapa"/>
    <hyperlink ref="L4221" r:id="rId4219" tooltip="🔗 Ver Mapa" display="🔗 Ver Mapa"/>
    <hyperlink ref="L4222" r:id="rId4220" tooltip="🔗 Ver Mapa" display="🔗 Ver Mapa"/>
    <hyperlink ref="L4223" r:id="rId4221" tooltip="🔗 Ver Mapa" display="🔗 Ver Mapa"/>
    <hyperlink ref="L4224" r:id="rId4222" tooltip="🔗 Ver Mapa" display="🔗 Ver Mapa"/>
    <hyperlink ref="L4225" r:id="rId4223" tooltip="🔗 Ver Mapa" display="🔗 Ver Mapa"/>
    <hyperlink ref="L4226" r:id="rId4224" tooltip="🔗 Ver Mapa" display="🔗 Ver Mapa"/>
    <hyperlink ref="L4227" r:id="rId4225" tooltip="🔗 Ver Mapa" display="🔗 Ver Mapa"/>
    <hyperlink ref="L4228" r:id="rId4226" tooltip="🔗 Ver Mapa" display="🔗 Ver Mapa"/>
    <hyperlink ref="L4229" r:id="rId4227" tooltip="🔗 Ver Mapa" display="🔗 Ver Mapa"/>
    <hyperlink ref="L4230" r:id="rId4228" tooltip="🔗 Ver Mapa" display="🔗 Ver Mapa"/>
    <hyperlink ref="L4231" r:id="rId4229" tooltip="🔗 Ver Mapa" display="🔗 Ver Mapa"/>
    <hyperlink ref="L4232" r:id="rId4230" tooltip="🔗 Ver Mapa" display="🔗 Ver Mapa"/>
    <hyperlink ref="L4233" r:id="rId4231" tooltip="🔗 Ver Mapa" display="🔗 Ver Mapa"/>
    <hyperlink ref="L4234" r:id="rId4232" tooltip="🔗 Ver Mapa" display="🔗 Ver Mapa"/>
    <hyperlink ref="L4235" r:id="rId4233" tooltip="🔗 Ver Mapa" display="🔗 Ver Mapa"/>
    <hyperlink ref="L4236" r:id="rId4234" tooltip="🔗 Ver Mapa" display="🔗 Ver Mapa"/>
    <hyperlink ref="L4237" r:id="rId4235" tooltip="🔗 Ver Mapa" display="🔗 Ver Mapa"/>
    <hyperlink ref="L4238" r:id="rId4236" tooltip="🔗 Ver Mapa" display="🔗 Ver Mapa"/>
    <hyperlink ref="L4239" r:id="rId4237" tooltip="🔗 Ver Mapa" display="🔗 Ver Mapa"/>
    <hyperlink ref="L4240" r:id="rId4238" tooltip="🔗 Ver Mapa" display="🔗 Ver Mapa"/>
    <hyperlink ref="L4241" r:id="rId4239" tooltip="🔗 Ver Mapa" display="🔗 Ver Mapa"/>
    <hyperlink ref="L4242" r:id="rId4240" tooltip="🔗 Ver Mapa" display="🔗 Ver Mapa"/>
    <hyperlink ref="L4243" r:id="rId4241" tooltip="🔗 Ver Mapa" display="🔗 Ver Mapa"/>
    <hyperlink ref="L4244" r:id="rId4242" tooltip="🔗 Ver Mapa" display="🔗 Ver Mapa"/>
    <hyperlink ref="L4245" r:id="rId4243" tooltip="🔗 Ver Mapa" display="🔗 Ver Mapa"/>
    <hyperlink ref="L4246" r:id="rId4244" tooltip="🔗 Ver Mapa" display="🔗 Ver Mapa"/>
    <hyperlink ref="L4247" r:id="rId4245" tooltip="🔗 Ver Mapa" display="🔗 Ver Mapa"/>
    <hyperlink ref="L4248" r:id="rId4246" tooltip="🔗 Ver Mapa" display="🔗 Ver Mapa"/>
    <hyperlink ref="L4249" r:id="rId4247" tooltip="🔗 Ver Mapa" display="🔗 Ver Mapa"/>
    <hyperlink ref="L4250" r:id="rId4248" tooltip="🔗 Ver Mapa" display="🔗 Ver Mapa"/>
    <hyperlink ref="L4251" r:id="rId4249" tooltip="🔗 Ver Mapa" display="🔗 Ver Mapa"/>
    <hyperlink ref="L4252" r:id="rId4250" tooltip="🔗 Ver Mapa" display="🔗 Ver Mapa"/>
    <hyperlink ref="L4253" r:id="rId4251" tooltip="🔗 Ver Mapa" display="🔗 Ver Mapa"/>
    <hyperlink ref="L4254" r:id="rId4252" tooltip="🔗 Ver Mapa" display="🔗 Ver Mapa"/>
    <hyperlink ref="L4255" r:id="rId4253" tooltip="🔗 Ver Mapa" display="🔗 Ver Mapa"/>
    <hyperlink ref="L4256" r:id="rId4254" tooltip="🔗 Ver Mapa" display="🔗 Ver Mapa"/>
    <hyperlink ref="L4257" r:id="rId4255" tooltip="🔗 Ver Mapa" display="🔗 Ver Mapa"/>
    <hyperlink ref="L4258" r:id="rId4256" tooltip="🔗 Ver Mapa" display="🔗 Ver Mapa"/>
    <hyperlink ref="L4259" r:id="rId4257" tooltip="🔗 Ver Mapa" display="🔗 Ver Mapa"/>
    <hyperlink ref="L4260" r:id="rId4258" tooltip="🔗 Ver Mapa" display="🔗 Ver Mapa"/>
    <hyperlink ref="L4261" r:id="rId4259" tooltip="🔗 Ver Mapa" display="🔗 Ver Mapa"/>
    <hyperlink ref="L4262" r:id="rId4260" tooltip="🔗 Ver Mapa" display="🔗 Ver Mapa"/>
    <hyperlink ref="L4263" r:id="rId4261" tooltip="🔗 Ver Mapa" display="🔗 Ver Mapa"/>
    <hyperlink ref="L4264" r:id="rId4262" tooltip="🔗 Ver Mapa" display="🔗 Ver Mapa"/>
    <hyperlink ref="L4265" r:id="rId4263" tooltip="🔗 Ver Mapa" display="🔗 Ver Mapa"/>
    <hyperlink ref="L4266" r:id="rId4264" tooltip="🔗 Ver Mapa" display="🔗 Ver Mapa"/>
    <hyperlink ref="L4267" r:id="rId4265" tooltip="🔗 Ver Mapa" display="🔗 Ver Mapa"/>
    <hyperlink ref="L4268" r:id="rId4266" tooltip="🔗 Ver Mapa" display="🔗 Ver Mapa"/>
    <hyperlink ref="L4269" r:id="rId4267" tooltip="🔗 Ver Mapa" display="🔗 Ver Mapa"/>
    <hyperlink ref="L4270" r:id="rId4268" tooltip="🔗 Ver Mapa" display="🔗 Ver Mapa"/>
    <hyperlink ref="L4271" r:id="rId4269" tooltip="🔗 Ver Mapa" display="🔗 Ver Mapa"/>
    <hyperlink ref="L4272" r:id="rId4270" tooltip="🔗 Ver Mapa" display="🔗 Ver Mapa"/>
    <hyperlink ref="L4273" r:id="rId4271" tooltip="🔗 Ver Mapa" display="🔗 Ver Mapa"/>
    <hyperlink ref="L4274" r:id="rId4272" tooltip="🔗 Ver Mapa" display="🔗 Ver Mapa"/>
    <hyperlink ref="L4275" r:id="rId4273" tooltip="🔗 Ver Mapa" display="🔗 Ver Mapa"/>
    <hyperlink ref="L4276" r:id="rId4274" tooltip="🔗 Ver Mapa" display="🔗 Ver Mapa"/>
    <hyperlink ref="L4277" r:id="rId4275" tooltip="🔗 Ver Mapa" display="🔗 Ver Mapa"/>
    <hyperlink ref="L4278" r:id="rId4276" tooltip="🔗 Ver Mapa" display="🔗 Ver Mapa"/>
    <hyperlink ref="L4279" r:id="rId4277" tooltip="🔗 Ver Mapa" display="🔗 Ver Mapa"/>
    <hyperlink ref="L4280" r:id="rId4278" tooltip="🔗 Ver Mapa" display="🔗 Ver Mapa"/>
    <hyperlink ref="L4281" r:id="rId4279" tooltip="🔗 Ver Mapa" display="🔗 Ver Mapa"/>
    <hyperlink ref="L4282" r:id="rId4280" tooltip="🔗 Ver Mapa" display="🔗 Ver Mapa"/>
    <hyperlink ref="L4283" r:id="rId4281" tooltip="🔗 Ver Mapa" display="🔗 Ver Mapa"/>
    <hyperlink ref="L4284" r:id="rId4282" tooltip="🔗 Ver Mapa" display="🔗 Ver Mapa"/>
    <hyperlink ref="L4285" r:id="rId4283" tooltip="🔗 Ver Mapa" display="🔗 Ver Mapa"/>
    <hyperlink ref="L4286" r:id="rId4284" tooltip="🔗 Ver Mapa" display="🔗 Ver Mapa"/>
    <hyperlink ref="L4287" r:id="rId4285" tooltip="🔗 Ver Mapa" display="🔗 Ver Mapa"/>
    <hyperlink ref="L4288" r:id="rId4286" tooltip="🔗 Ver Mapa" display="🔗 Ver Mapa"/>
    <hyperlink ref="L4289" r:id="rId4287" tooltip="🔗 Ver Mapa" display="🔗 Ver Mapa"/>
    <hyperlink ref="L4290" r:id="rId4288" tooltip="🔗 Ver Mapa" display="🔗 Ver Mapa"/>
    <hyperlink ref="L4291" r:id="rId4289" tooltip="🔗 Ver Mapa" display="🔗 Ver Mapa"/>
    <hyperlink ref="L4292" r:id="rId4290" tooltip="🔗 Ver Mapa" display="🔗 Ver Mapa"/>
    <hyperlink ref="L4293" r:id="rId4291" tooltip="🔗 Ver Mapa" display="🔗 Ver Mapa"/>
    <hyperlink ref="L4294" r:id="rId4292" tooltip="🔗 Ver Mapa" display="🔗 Ver Mapa"/>
    <hyperlink ref="L4295" r:id="rId4293" tooltip="🔗 Ver Mapa" display="🔗 Ver Mapa"/>
    <hyperlink ref="L4296" r:id="rId4294" tooltip="🔗 Ver Mapa" display="🔗 Ver Mapa"/>
    <hyperlink ref="L4297" r:id="rId4295" tooltip="🔗 Ver Mapa" display="🔗 Ver Mapa"/>
    <hyperlink ref="L4298" r:id="rId4296" tooltip="🔗 Ver Mapa" display="🔗 Ver Mapa"/>
    <hyperlink ref="L4299" r:id="rId4297" tooltip="🔗 Ver Mapa" display="🔗 Ver Mapa"/>
    <hyperlink ref="L4300" r:id="rId4298" tooltip="🔗 Ver Mapa" display="🔗 Ver Mapa"/>
    <hyperlink ref="L4301" r:id="rId4299" tooltip="🔗 Ver Mapa" display="🔗 Ver Mapa"/>
    <hyperlink ref="L4302" r:id="rId4300" tooltip="🔗 Ver Mapa" display="🔗 Ver Mapa"/>
    <hyperlink ref="L4303" r:id="rId4301" tooltip="🔗 Ver Mapa" display="🔗 Ver Mapa"/>
    <hyperlink ref="L4304" r:id="rId4302" tooltip="🔗 Ver Mapa" display="🔗 Ver Mapa"/>
    <hyperlink ref="L4305" r:id="rId4303" tooltip="🔗 Ver Mapa" display="🔗 Ver Mapa"/>
    <hyperlink ref="L4306" r:id="rId4304" tooltip="🔗 Ver Mapa" display="🔗 Ver Mapa"/>
    <hyperlink ref="L4307" r:id="rId4305" tooltip="🔗 Ver Mapa" display="🔗 Ver Mapa"/>
    <hyperlink ref="L4308" r:id="rId4306" tooltip="🔗 Ver Mapa" display="🔗 Ver Mapa"/>
    <hyperlink ref="L4309" r:id="rId4307" tooltip="🔗 Ver Mapa" display="🔗 Ver Mapa"/>
    <hyperlink ref="L4310" r:id="rId4308" tooltip="🔗 Ver Mapa" display="🔗 Ver Mapa"/>
    <hyperlink ref="L4311" r:id="rId4309" tooltip="🔗 Ver Mapa" display="🔗 Ver Mapa"/>
    <hyperlink ref="L4312" r:id="rId4310" tooltip="🔗 Ver Mapa" display="🔗 Ver Mapa"/>
    <hyperlink ref="L4313" r:id="rId4311" tooltip="🔗 Ver Mapa" display="🔗 Ver Mapa"/>
    <hyperlink ref="L4314" r:id="rId4312" tooltip="🔗 Ver Mapa" display="🔗 Ver Mapa"/>
    <hyperlink ref="L4315" r:id="rId4313" tooltip="🔗 Ver Mapa" display="🔗 Ver Mapa"/>
    <hyperlink ref="L4316" r:id="rId4314" tooltip="🔗 Ver Mapa" display="🔗 Ver Mapa"/>
    <hyperlink ref="L4317" r:id="rId4315" tooltip="🔗 Ver Mapa" display="🔗 Ver Mapa"/>
    <hyperlink ref="L4318" r:id="rId4316" tooltip="🔗 Ver Mapa" display="🔗 Ver Mapa"/>
    <hyperlink ref="L4319" r:id="rId4317" tooltip="🔗 Ver Mapa" display="🔗 Ver Mapa"/>
    <hyperlink ref="L4320" r:id="rId4318" tooltip="🔗 Ver Mapa" display="🔗 Ver Mapa"/>
    <hyperlink ref="L4321" r:id="rId4319" tooltip="🔗 Ver Mapa" display="🔗 Ver Mapa"/>
    <hyperlink ref="L4322" r:id="rId4320" tooltip="🔗 Ver Mapa" display="🔗 Ver Mapa"/>
    <hyperlink ref="L4323" r:id="rId4321" tooltip="🔗 Ver Mapa" display="🔗 Ver Mapa"/>
    <hyperlink ref="L4324" r:id="rId4322" tooltip="🔗 Ver Mapa" display="🔗 Ver Mapa"/>
    <hyperlink ref="L4325" r:id="rId4323" tooltip="🔗 Ver Mapa" display="🔗 Ver Mapa"/>
    <hyperlink ref="L4326" r:id="rId4324" tooltip="🔗 Ver Mapa" display="🔗 Ver Mapa"/>
    <hyperlink ref="L4327" r:id="rId4325" tooltip="🔗 Ver Mapa" display="🔗 Ver Mapa"/>
    <hyperlink ref="L4328" r:id="rId4326" tooltip="🔗 Ver Mapa" display="🔗 Ver Mapa"/>
    <hyperlink ref="L4329" r:id="rId4327" tooltip="🔗 Ver Mapa" display="🔗 Ver Mapa"/>
    <hyperlink ref="L4330" r:id="rId4328" tooltip="🔗 Ver Mapa" display="🔗 Ver Mapa"/>
    <hyperlink ref="L4331" r:id="rId4329" tooltip="🔗 Ver Mapa" display="🔗 Ver Mapa"/>
    <hyperlink ref="L4332" r:id="rId4330" tooltip="🔗 Ver Mapa" display="🔗 Ver Mapa"/>
    <hyperlink ref="L4333" r:id="rId4331" tooltip="🔗 Ver Mapa" display="🔗 Ver Mapa"/>
    <hyperlink ref="L4334" r:id="rId4332" tooltip="🔗 Ver Mapa" display="🔗 Ver Mapa"/>
    <hyperlink ref="L4335" r:id="rId4333" tooltip="🔗 Ver Mapa" display="🔗 Ver Mapa"/>
    <hyperlink ref="L4336" r:id="rId4334" tooltip="🔗 Ver Mapa" display="🔗 Ver Mapa"/>
    <hyperlink ref="L4337" r:id="rId4335" tooltip="🔗 Ver Mapa" display="🔗 Ver Mapa"/>
    <hyperlink ref="L4338" r:id="rId4336" tooltip="🔗 Ver Mapa" display="🔗 Ver Mapa"/>
    <hyperlink ref="L4339" r:id="rId4337" tooltip="🔗 Ver Mapa" display="🔗 Ver Mapa"/>
    <hyperlink ref="L4340" r:id="rId4338" tooltip="🔗 Ver Mapa" display="🔗 Ver Mapa"/>
    <hyperlink ref="L4341" r:id="rId4339" tooltip="🔗 Ver Mapa" display="🔗 Ver Mapa"/>
    <hyperlink ref="L4342" r:id="rId4340" tooltip="🔗 Ver Mapa" display="🔗 Ver Mapa"/>
    <hyperlink ref="L4343" r:id="rId4341" tooltip="🔗 Ver Mapa" display="🔗 Ver Mapa"/>
    <hyperlink ref="L4344" r:id="rId4342" tooltip="🔗 Ver Mapa" display="🔗 Ver Mapa"/>
    <hyperlink ref="L4345" r:id="rId4343" tooltip="🔗 Ver Mapa" display="🔗 Ver Mapa"/>
    <hyperlink ref="L4346" r:id="rId4344" tooltip="🔗 Ver Mapa" display="🔗 Ver Mapa"/>
    <hyperlink ref="L4347" r:id="rId4345" tooltip="🔗 Ver Mapa" display="🔗 Ver Mapa"/>
    <hyperlink ref="L4348" r:id="rId4346" tooltip="🔗 Ver Mapa" display="🔗 Ver Mapa"/>
    <hyperlink ref="L4349" r:id="rId4347" tooltip="🔗 Ver Mapa" display="🔗 Ver Mapa"/>
    <hyperlink ref="L4350" r:id="rId4348" tooltip="🔗 Ver Mapa" display="🔗 Ver Mapa"/>
    <hyperlink ref="L4351" r:id="rId4349" tooltip="🔗 Ver Mapa" display="🔗 Ver Mapa"/>
    <hyperlink ref="L4352" r:id="rId4350" tooltip="🔗 Ver Mapa" display="🔗 Ver Mapa"/>
    <hyperlink ref="L4353" r:id="rId4351" tooltip="🔗 Ver Mapa" display="🔗 Ver Mapa"/>
    <hyperlink ref="L4354" r:id="rId4352" tooltip="🔗 Ver Mapa" display="🔗 Ver Mapa"/>
    <hyperlink ref="L4355" r:id="rId4353" tooltip="🔗 Ver Mapa" display="🔗 Ver Mapa"/>
    <hyperlink ref="L4356" r:id="rId4354" tooltip="🔗 Ver Mapa" display="🔗 Ver Mapa"/>
    <hyperlink ref="L4357" r:id="rId4355" tooltip="🔗 Ver Mapa" display="🔗 Ver Mapa"/>
    <hyperlink ref="L4358" r:id="rId4356" tooltip="🔗 Ver Mapa" display="🔗 Ver Mapa"/>
    <hyperlink ref="L4359" r:id="rId4357" tooltip="🔗 Ver Mapa" display="🔗 Ver Mapa"/>
    <hyperlink ref="L4360" r:id="rId4358" tooltip="🔗 Ver Mapa" display="🔗 Ver Mapa"/>
    <hyperlink ref="L4361" r:id="rId4359" tooltip="🔗 Ver Mapa" display="🔗 Ver Mapa"/>
    <hyperlink ref="L4362" r:id="rId4360" tooltip="🔗 Ver Mapa" display="🔗 Ver Mapa"/>
    <hyperlink ref="L4363" r:id="rId4361" tooltip="🔗 Ver Mapa" display="🔗 Ver Mapa"/>
    <hyperlink ref="L4364" r:id="rId4362" tooltip="🔗 Ver Mapa" display="🔗 Ver Mapa"/>
    <hyperlink ref="L4365" r:id="rId4363" tooltip="🔗 Ver Mapa" display="🔗 Ver Mapa"/>
    <hyperlink ref="L4366" r:id="rId4364" tooltip="🔗 Ver Mapa" display="🔗 Ver Mapa"/>
    <hyperlink ref="L4367" r:id="rId4365" tooltip="🔗 Ver Mapa" display="🔗 Ver Mapa"/>
    <hyperlink ref="L4368" r:id="rId4366" tooltip="🔗 Ver Mapa" display="🔗 Ver Mapa"/>
    <hyperlink ref="L4369" r:id="rId4367" tooltip="🔗 Ver Mapa" display="🔗 Ver Mapa"/>
    <hyperlink ref="L4370" r:id="rId4368" tooltip="🔗 Ver Mapa" display="🔗 Ver Mapa"/>
    <hyperlink ref="L4371" r:id="rId4369" tooltip="🔗 Ver Mapa" display="🔗 Ver Mapa"/>
    <hyperlink ref="L4372" r:id="rId4370" tooltip="🔗 Ver Mapa" display="🔗 Ver Mapa"/>
    <hyperlink ref="L4373" r:id="rId4371" tooltip="🔗 Ver Mapa" display="🔗 Ver Mapa"/>
    <hyperlink ref="L4374" r:id="rId4372" tooltip="🔗 Ver Mapa" display="🔗 Ver Mapa"/>
    <hyperlink ref="L4375" r:id="rId4373" tooltip="🔗 Ver Mapa" display="🔗 Ver Mapa"/>
    <hyperlink ref="L4376" r:id="rId4374" tooltip="🔗 Ver Mapa" display="🔗 Ver Mapa"/>
    <hyperlink ref="L4377" r:id="rId4375" tooltip="🔗 Ver Mapa" display="🔗 Ver Mapa"/>
    <hyperlink ref="L4378" r:id="rId4376" tooltip="🔗 Ver Mapa" display="🔗 Ver Mapa"/>
    <hyperlink ref="L4379" r:id="rId4377" tooltip="🔗 Ver Mapa" display="🔗 Ver Mapa"/>
    <hyperlink ref="L4380" r:id="rId4378" tooltip="🔗 Ver Mapa" display="🔗 Ver Mapa"/>
    <hyperlink ref="L4381" r:id="rId4379" tooltip="🔗 Ver Mapa" display="🔗 Ver Mapa"/>
    <hyperlink ref="L4382" r:id="rId4380" tooltip="🔗 Ver Mapa" display="🔗 Ver Mapa"/>
    <hyperlink ref="L4383" r:id="rId4381" tooltip="🔗 Ver Mapa" display="🔗 Ver Mapa"/>
    <hyperlink ref="L4384" r:id="rId4382" tooltip="🔗 Ver Mapa" display="🔗 Ver Mapa"/>
    <hyperlink ref="L4385" r:id="rId4383" tooltip="🔗 Ver Mapa" display="🔗 Ver Mapa"/>
    <hyperlink ref="L4386" r:id="rId4384" tooltip="🔗 Ver Mapa" display="🔗 Ver Mapa"/>
    <hyperlink ref="L4387" r:id="rId4385" tooltip="🔗 Ver Mapa" display="🔗 Ver Mapa"/>
    <hyperlink ref="L4388" r:id="rId4386" tooltip="🔗 Ver Mapa" display="🔗 Ver Mapa"/>
    <hyperlink ref="L4389" r:id="rId4387" tooltip="🔗 Ver Mapa" display="🔗 Ver Mapa"/>
    <hyperlink ref="L4390" r:id="rId4388" tooltip="🔗 Ver Mapa" display="🔗 Ver Mapa"/>
    <hyperlink ref="L4391" r:id="rId4389" tooltip="🔗 Ver Mapa" display="🔗 Ver Mapa"/>
    <hyperlink ref="L4392" r:id="rId4390" tooltip="🔗 Ver Mapa" display="🔗 Ver Mapa"/>
    <hyperlink ref="L4393" r:id="rId4391" tooltip="🔗 Ver Mapa" display="🔗 Ver Mapa"/>
    <hyperlink ref="L4394" r:id="rId4392" tooltip="🔗 Ver Mapa" display="🔗 Ver Mapa"/>
    <hyperlink ref="L4395" r:id="rId4393" tooltip="🔗 Ver Mapa" display="🔗 Ver Mapa"/>
    <hyperlink ref="L4396" r:id="rId4394" tooltip="🔗 Ver Mapa" display="🔗 Ver Mapa"/>
    <hyperlink ref="L4397" r:id="rId4395" tooltip="🔗 Ver Mapa" display="🔗 Ver Mapa"/>
    <hyperlink ref="L4398" r:id="rId4396" tooltip="🔗 Ver Mapa" display="🔗 Ver Mapa"/>
    <hyperlink ref="L4399" r:id="rId4397" tooltip="🔗 Ver Mapa" display="🔗 Ver Mapa"/>
    <hyperlink ref="L4400" r:id="rId4398" tooltip="🔗 Ver Mapa" display="🔗 Ver Mapa"/>
    <hyperlink ref="L4401" r:id="rId4399" tooltip="🔗 Ver Mapa" display="🔗 Ver Mapa"/>
    <hyperlink ref="L4402" r:id="rId4400" tooltip="🔗 Ver Mapa" display="🔗 Ver Mapa"/>
    <hyperlink ref="L4403" r:id="rId4401" tooltip="🔗 Ver Mapa" display="🔗 Ver Mapa"/>
    <hyperlink ref="L4404" r:id="rId4402" tooltip="🔗 Ver Mapa" display="🔗 Ver Mapa"/>
    <hyperlink ref="L4405" r:id="rId4403" tooltip="🔗 Ver Mapa" display="🔗 Ver Mapa"/>
    <hyperlink ref="L4406" r:id="rId4404" tooltip="🔗 Ver Mapa" display="🔗 Ver Mapa"/>
    <hyperlink ref="L4407" r:id="rId4405" tooltip="🔗 Ver Mapa" display="🔗 Ver Mapa"/>
    <hyperlink ref="L4408" r:id="rId4406" tooltip="🔗 Ver Mapa" display="🔗 Ver Mapa"/>
    <hyperlink ref="L4409" r:id="rId4407" tooltip="🔗 Ver Mapa" display="🔗 Ver Mapa"/>
    <hyperlink ref="L4410" r:id="rId4408" tooltip="🔗 Ver Mapa" display="🔗 Ver Mapa"/>
    <hyperlink ref="L4411" r:id="rId4409" tooltip="🔗 Ver Mapa" display="🔗 Ver Mapa"/>
    <hyperlink ref="L4412" r:id="rId4410" tooltip="🔗 Ver Mapa" display="🔗 Ver Mapa"/>
    <hyperlink ref="L4413" r:id="rId4411" tooltip="🔗 Ver Mapa" display="🔗 Ver Mapa"/>
    <hyperlink ref="L4414" r:id="rId4412" tooltip="🔗 Ver Mapa" display="🔗 Ver Mapa"/>
    <hyperlink ref="L4415" r:id="rId4413" tooltip="🔗 Ver Mapa" display="🔗 Ver Mapa"/>
    <hyperlink ref="L4416" r:id="rId4414" tooltip="🔗 Ver Mapa" display="🔗 Ver Mapa"/>
    <hyperlink ref="L4417" r:id="rId4415" tooltip="🔗 Ver Mapa" display="🔗 Ver Mapa"/>
    <hyperlink ref="L4418" r:id="rId4416" tooltip="🔗 Ver Mapa" display="🔗 Ver Mapa"/>
    <hyperlink ref="L4419" r:id="rId4417" tooltip="🔗 Ver Mapa" display="🔗 Ver Mapa"/>
    <hyperlink ref="L4420" r:id="rId4418" tooltip="🔗 Ver Mapa" display="🔗 Ver Mapa"/>
    <hyperlink ref="L4421" r:id="rId4419" tooltip="🔗 Ver Mapa" display="🔗 Ver Mapa"/>
    <hyperlink ref="L4422" r:id="rId4420" tooltip="🔗 Ver Mapa" display="🔗 Ver Mapa"/>
    <hyperlink ref="L4423" r:id="rId4421" tooltip="🔗 Ver Mapa" display="🔗 Ver Mapa"/>
    <hyperlink ref="L4424" r:id="rId4422" tooltip="🔗 Ver Mapa" display="🔗 Ver Mapa"/>
    <hyperlink ref="L4425" r:id="rId4423" tooltip="🔗 Ver Mapa" display="🔗 Ver Mapa"/>
    <hyperlink ref="L4426" r:id="rId4424" tooltip="🔗 Ver Mapa" display="🔗 Ver Mapa"/>
    <hyperlink ref="L4427" r:id="rId4425" tooltip="🔗 Ver Mapa" display="🔗 Ver Mapa"/>
    <hyperlink ref="L4428" r:id="rId4426" tooltip="🔗 Ver Mapa" display="🔗 Ver Mapa"/>
    <hyperlink ref="L4429" r:id="rId4427" tooltip="🔗 Ver Mapa" display="🔗 Ver Mapa"/>
    <hyperlink ref="L4430" r:id="rId4428" tooltip="🔗 Ver Mapa" display="🔗 Ver Mapa"/>
    <hyperlink ref="L4431" r:id="rId4429" tooltip="🔗 Ver Mapa" display="🔗 Ver Mapa"/>
    <hyperlink ref="L4432" r:id="rId4430" tooltip="🔗 Ver Mapa" display="🔗 Ver Mapa"/>
    <hyperlink ref="L4433" r:id="rId4431" tooltip="🔗 Ver Mapa" display="🔗 Ver Mapa"/>
    <hyperlink ref="L4434" r:id="rId4432" tooltip="🔗 Ver Mapa" display="🔗 Ver Mapa"/>
    <hyperlink ref="L4435" r:id="rId4433" tooltip="🔗 Ver Mapa" display="🔗 Ver Mapa"/>
    <hyperlink ref="L4436" r:id="rId4434" tooltip="🔗 Ver Mapa" display="🔗 Ver Mapa"/>
    <hyperlink ref="L4437" r:id="rId4435" tooltip="🔗 Ver Mapa" display="🔗 Ver Mapa"/>
    <hyperlink ref="L4438" r:id="rId4436" tooltip="🔗 Ver Mapa" display="🔗 Ver Mapa"/>
    <hyperlink ref="L4439" r:id="rId4437" tooltip="🔗 Ver Mapa" display="🔗 Ver Mapa"/>
    <hyperlink ref="L4440" r:id="rId4438" tooltip="🔗 Ver Mapa" display="🔗 Ver Mapa"/>
    <hyperlink ref="L4441" r:id="rId4439" tooltip="🔗 Ver Mapa" display="🔗 Ver Mapa"/>
    <hyperlink ref="L4442" r:id="rId4440" tooltip="🔗 Ver Mapa" display="🔗 Ver Mapa"/>
    <hyperlink ref="L4443" r:id="rId4441" tooltip="🔗 Ver Mapa" display="🔗 Ver Mapa"/>
    <hyperlink ref="L4444" r:id="rId4442" tooltip="🔗 Ver Mapa" display="🔗 Ver Mapa"/>
    <hyperlink ref="L4445" r:id="rId4443" tooltip="🔗 Ver Mapa" display="🔗 Ver Mapa"/>
    <hyperlink ref="L4446" r:id="rId4444" tooltip="🔗 Ver Mapa" display="🔗 Ver Mapa"/>
    <hyperlink ref="L4447" r:id="rId4445" tooltip="🔗 Ver Mapa" display="🔗 Ver Mapa"/>
    <hyperlink ref="L4448" r:id="rId4446" tooltip="🔗 Ver Mapa" display="🔗 Ver Mapa"/>
    <hyperlink ref="L4449" r:id="rId4447" tooltip="🔗 Ver Mapa" display="🔗 Ver Mapa"/>
    <hyperlink ref="L4450" r:id="rId4448" tooltip="🔗 Ver Mapa" display="🔗 Ver Mapa"/>
    <hyperlink ref="L4451" r:id="rId4449" tooltip="🔗 Ver Mapa" display="🔗 Ver Mapa"/>
    <hyperlink ref="L4452" r:id="rId4450" tooltip="🔗 Ver Mapa" display="🔗 Ver Mapa"/>
    <hyperlink ref="L4453" r:id="rId4451" tooltip="🔗 Ver Mapa" display="🔗 Ver Mapa"/>
    <hyperlink ref="L4454" r:id="rId4452" tooltip="🔗 Ver Mapa" display="🔗 Ver Mapa"/>
    <hyperlink ref="L4455" r:id="rId4453" tooltip="🔗 Ver Mapa" display="🔗 Ver Mapa"/>
    <hyperlink ref="L4456" r:id="rId4454" tooltip="🔗 Ver Mapa" display="🔗 Ver Mapa"/>
    <hyperlink ref="L4457" r:id="rId4455" tooltip="🔗 Ver Mapa" display="🔗 Ver Mapa"/>
    <hyperlink ref="L4458" r:id="rId4456" tooltip="🔗 Ver Mapa" display="🔗 Ver Mapa"/>
    <hyperlink ref="L4459" r:id="rId4457" tooltip="🔗 Ver Mapa" display="🔗 Ver Mapa"/>
    <hyperlink ref="L4460" r:id="rId4458" tooltip="🔗 Ver Mapa" display="🔗 Ver Mapa"/>
    <hyperlink ref="L4461" r:id="rId4459" tooltip="🔗 Ver Mapa" display="🔗 Ver Mapa"/>
    <hyperlink ref="L4462" r:id="rId4460" tooltip="🔗 Ver Mapa" display="🔗 Ver Mapa"/>
    <hyperlink ref="L4463" r:id="rId4461" tooltip="🔗 Ver Mapa" display="🔗 Ver Mapa"/>
    <hyperlink ref="L4464" r:id="rId4462" tooltip="🔗 Ver Mapa" display="🔗 Ver Mapa"/>
    <hyperlink ref="L4465" r:id="rId4463" tooltip="🔗 Ver Mapa" display="🔗 Ver Mapa"/>
    <hyperlink ref="L4466" r:id="rId4464" tooltip="🔗 Ver Mapa" display="🔗 Ver Mapa"/>
    <hyperlink ref="L4467" r:id="rId4465" tooltip="🔗 Ver Mapa" display="🔗 Ver Mapa"/>
    <hyperlink ref="L4468" r:id="rId4466" tooltip="🔗 Ver Mapa" display="🔗 Ver Mapa"/>
    <hyperlink ref="L4469" r:id="rId4467" tooltip="🔗 Ver Mapa" display="🔗 Ver Mapa"/>
    <hyperlink ref="L4470" r:id="rId4468" tooltip="🔗 Ver Mapa" display="🔗 Ver Mapa"/>
    <hyperlink ref="L4471" r:id="rId4469" tooltip="🔗 Ver Mapa" display="🔗 Ver Mapa"/>
    <hyperlink ref="L4472" r:id="rId4470" tooltip="🔗 Ver Mapa" display="🔗 Ver Mapa"/>
    <hyperlink ref="L4473" r:id="rId4471" tooltip="🔗 Ver Mapa" display="🔗 Ver Mapa"/>
    <hyperlink ref="L4474" r:id="rId4472" tooltip="🔗 Ver Mapa" display="🔗 Ver Mapa"/>
    <hyperlink ref="L4475" r:id="rId4473" tooltip="🔗 Ver Mapa" display="🔗 Ver Mapa"/>
    <hyperlink ref="L4476" r:id="rId4474" tooltip="🔗 Ver Mapa" display="🔗 Ver Mapa"/>
    <hyperlink ref="L4477" r:id="rId4475" tooltip="🔗 Ver Mapa" display="🔗 Ver Mapa"/>
    <hyperlink ref="L4478" r:id="rId4476" tooltip="🔗 Ver Mapa" display="🔗 Ver Mapa"/>
    <hyperlink ref="L4479" r:id="rId4477" tooltip="🔗 Ver Mapa" display="🔗 Ver Mapa"/>
    <hyperlink ref="L4480" r:id="rId4478" tooltip="🔗 Ver Mapa" display="🔗 Ver Mapa"/>
    <hyperlink ref="L4481" r:id="rId4479" tooltip="🔗 Ver Mapa" display="🔗 Ver Mapa"/>
    <hyperlink ref="L4482" r:id="rId4480" tooltip="🔗 Ver Mapa" display="🔗 Ver Mapa"/>
    <hyperlink ref="L4483" r:id="rId4481" tooltip="🔗 Ver Mapa" display="🔗 Ver Mapa"/>
    <hyperlink ref="L4484" r:id="rId4482" tooltip="🔗 Ver Mapa" display="🔗 Ver Mapa"/>
    <hyperlink ref="L4485" r:id="rId4483" tooltip="🔗 Ver Mapa" display="🔗 Ver Mapa"/>
    <hyperlink ref="L4486" r:id="rId4484" tooltip="🔗 Ver Mapa" display="🔗 Ver Mapa"/>
    <hyperlink ref="L4487" r:id="rId4485" tooltip="🔗 Ver Mapa" display="🔗 Ver Mapa"/>
    <hyperlink ref="L4488" r:id="rId4486" tooltip="🔗 Ver Mapa" display="🔗 Ver Mapa"/>
    <hyperlink ref="L4489" r:id="rId4487" tooltip="🔗 Ver Mapa" display="🔗 Ver Mapa"/>
    <hyperlink ref="L4490" r:id="rId4488" tooltip="🔗 Ver Mapa" display="🔗 Ver Mapa"/>
    <hyperlink ref="L4491" r:id="rId4489" tooltip="🔗 Ver Mapa" display="🔗 Ver Mapa"/>
    <hyperlink ref="L4492" r:id="rId4490" tooltip="🔗 Ver Mapa" display="🔗 Ver Mapa"/>
    <hyperlink ref="L4493" r:id="rId4491" tooltip="🔗 Ver Mapa" display="🔗 Ver Mapa"/>
    <hyperlink ref="L4494" r:id="rId4492" tooltip="🔗 Ver Mapa" display="🔗 Ver Mapa"/>
    <hyperlink ref="L4495" r:id="rId4493" tooltip="🔗 Ver Mapa" display="🔗 Ver Mapa"/>
    <hyperlink ref="L4496" r:id="rId4494" tooltip="🔗 Ver Mapa" display="🔗 Ver Mapa"/>
    <hyperlink ref="L4497" r:id="rId4495" tooltip="🔗 Ver Mapa" display="🔗 Ver Mapa"/>
    <hyperlink ref="L4498" r:id="rId4496" tooltip="🔗 Ver Mapa" display="🔗 Ver Mapa"/>
    <hyperlink ref="L4499" r:id="rId4497" tooltip="🔗 Ver Mapa" display="🔗 Ver Mapa"/>
    <hyperlink ref="L4500" r:id="rId4498" tooltip="🔗 Ver Mapa" display="🔗 Ver Mapa"/>
    <hyperlink ref="L4501" r:id="rId4499" tooltip="🔗 Ver Mapa" display="🔗 Ver Mapa"/>
    <hyperlink ref="L4502" r:id="rId4500" tooltip="🔗 Ver Mapa" display="🔗 Ver Mapa"/>
    <hyperlink ref="L4503" r:id="rId4501" tooltip="🔗 Ver Mapa" display="🔗 Ver Mapa"/>
    <hyperlink ref="L4504" r:id="rId4502" tooltip="🔗 Ver Mapa" display="🔗 Ver Mapa"/>
    <hyperlink ref="L4505" r:id="rId4503" tooltip="🔗 Ver Mapa" display="🔗 Ver Mapa"/>
    <hyperlink ref="L4506" r:id="rId4504" tooltip="🔗 Ver Mapa" display="🔗 Ver Mapa"/>
    <hyperlink ref="L4507" r:id="rId4505" tooltip="🔗 Ver Mapa" display="🔗 Ver Mapa"/>
    <hyperlink ref="L4508" r:id="rId4506" tooltip="🔗 Ver Mapa" display="🔗 Ver Mapa"/>
    <hyperlink ref="L4509" r:id="rId4507" tooltip="🔗 Ver Mapa" display="🔗 Ver Mapa"/>
    <hyperlink ref="L4510" r:id="rId4508" tooltip="🔗 Ver Mapa" display="🔗 Ver Mapa"/>
    <hyperlink ref="L4511" r:id="rId4509" tooltip="🔗 Ver Mapa" display="🔗 Ver Mapa"/>
    <hyperlink ref="L4512" r:id="rId4510" tooltip="🔗 Ver Mapa" display="🔗 Ver Mapa"/>
    <hyperlink ref="L4513" r:id="rId4511" tooltip="🔗 Ver Mapa" display="🔗 Ver Mapa"/>
    <hyperlink ref="L4514" r:id="rId4512" tooltip="🔗 Ver Mapa" display="🔗 Ver Mapa"/>
    <hyperlink ref="L4515" r:id="rId4513" tooltip="🔗 Ver Mapa" display="🔗 Ver Mapa"/>
    <hyperlink ref="L4516" r:id="rId4514" tooltip="🔗 Ver Mapa" display="🔗 Ver Mapa"/>
    <hyperlink ref="L4517" r:id="rId4515" tooltip="🔗 Ver Mapa" display="🔗 Ver Mapa"/>
    <hyperlink ref="L4518" r:id="rId4516" tooltip="🔗 Ver Mapa" display="🔗 Ver Mapa"/>
    <hyperlink ref="L4519" r:id="rId4517" tooltip="🔗 Ver Mapa" display="🔗 Ver Mapa"/>
    <hyperlink ref="L4520" r:id="rId4518" tooltip="🔗 Ver Mapa" display="🔗 Ver Mapa"/>
    <hyperlink ref="L4521" r:id="rId4519" tooltip="🔗 Ver Mapa" display="🔗 Ver Mapa"/>
    <hyperlink ref="L4522" r:id="rId4520" tooltip="🔗 Ver Mapa" display="🔗 Ver Mapa"/>
    <hyperlink ref="L4523" r:id="rId4521" tooltip="🔗 Ver Mapa" display="🔗 Ver Mapa"/>
    <hyperlink ref="L4524" r:id="rId4522" tooltip="🔗 Ver Mapa" display="🔗 Ver Mapa"/>
    <hyperlink ref="L4525" r:id="rId4523" tooltip="🔗 Ver Mapa" display="🔗 Ver Mapa"/>
    <hyperlink ref="L4526" r:id="rId4524" tooltip="🔗 Ver Mapa" display="🔗 Ver Mapa"/>
    <hyperlink ref="L4527" r:id="rId4525" tooltip="🔗 Ver Mapa" display="🔗 Ver Mapa"/>
    <hyperlink ref="L4528" r:id="rId4526" tooltip="🔗 Ver Mapa" display="🔗 Ver Mapa"/>
    <hyperlink ref="L4529" r:id="rId4527" tooltip="🔗 Ver Mapa" display="🔗 Ver Mapa"/>
    <hyperlink ref="L4530" r:id="rId4528" tooltip="🔗 Ver Mapa" display="🔗 Ver Mapa"/>
    <hyperlink ref="L4531" r:id="rId4529" tooltip="🔗 Ver Mapa" display="🔗 Ver Mapa"/>
    <hyperlink ref="L4532" r:id="rId4530" tooltip="🔗 Ver Mapa" display="🔗 Ver Mapa"/>
    <hyperlink ref="L4533" r:id="rId4531" tooltip="🔗 Ver Mapa" display="🔗 Ver Mapa"/>
    <hyperlink ref="L4534" r:id="rId4532" tooltip="🔗 Ver Mapa" display="🔗 Ver Mapa"/>
    <hyperlink ref="L4535" r:id="rId4533" tooltip="🔗 Ver Mapa" display="🔗 Ver Mapa"/>
    <hyperlink ref="L4536" r:id="rId4534" tooltip="🔗 Ver Mapa" display="🔗 Ver Mapa"/>
    <hyperlink ref="L4537" r:id="rId4535" tooltip="🔗 Ver Mapa" display="🔗 Ver Mapa"/>
    <hyperlink ref="L4538" r:id="rId4536" tooltip="🔗 Ver Mapa" display="🔗 Ver Mapa"/>
    <hyperlink ref="L4539" r:id="rId4537" tooltip="🔗 Ver Mapa" display="🔗 Ver Mapa"/>
    <hyperlink ref="L4540" r:id="rId4538" tooltip="🔗 Ver Mapa" display="🔗 Ver Mapa"/>
    <hyperlink ref="L4541" r:id="rId4539" tooltip="🔗 Ver Mapa" display="🔗 Ver Mapa"/>
    <hyperlink ref="L4542" r:id="rId4540" tooltip="🔗 Ver Mapa" display="🔗 Ver Mapa"/>
    <hyperlink ref="L4543" r:id="rId4541" tooltip="🔗 Ver Mapa" display="🔗 Ver Mapa"/>
    <hyperlink ref="L4544" r:id="rId4542" tooltip="🔗 Ver Mapa" display="🔗 Ver Mapa"/>
    <hyperlink ref="L4545" r:id="rId4543" tooltip="🔗 Ver Mapa" display="🔗 Ver Mapa"/>
    <hyperlink ref="L4546" r:id="rId4544" tooltip="🔗 Ver Mapa" display="🔗 Ver Mapa"/>
    <hyperlink ref="L4547" r:id="rId4545" tooltip="🔗 Ver Mapa" display="🔗 Ver Mapa"/>
    <hyperlink ref="L4548" r:id="rId4546" tooltip="🔗 Ver Mapa" display="🔗 Ver Mapa"/>
    <hyperlink ref="L4549" r:id="rId4547" tooltip="🔗 Ver Mapa" display="🔗 Ver Mapa"/>
    <hyperlink ref="L4550" r:id="rId4548" tooltip="🔗 Ver Mapa" display="🔗 Ver Mapa"/>
    <hyperlink ref="L4551" r:id="rId4549" tooltip="🔗 Ver Mapa" display="🔗 Ver Mapa"/>
    <hyperlink ref="L4552" r:id="rId4550" tooltip="🔗 Ver Mapa" display="🔗 Ver Mapa"/>
    <hyperlink ref="L4553" r:id="rId4551" tooltip="🔗 Ver Mapa" display="🔗 Ver Mapa"/>
    <hyperlink ref="L4554" r:id="rId4552" tooltip="🔗 Ver Mapa" display="🔗 Ver Mapa"/>
    <hyperlink ref="L4555" r:id="rId4553" tooltip="🔗 Ver Mapa" display="🔗 Ver Mapa"/>
    <hyperlink ref="L4556" r:id="rId4554" tooltip="🔗 Ver Mapa" display="🔗 Ver Mapa"/>
    <hyperlink ref="L4557" r:id="rId4555" tooltip="🔗 Ver Mapa" display="🔗 Ver Mapa"/>
    <hyperlink ref="L4558" r:id="rId4556" tooltip="🔗 Ver Mapa" display="🔗 Ver Mapa"/>
    <hyperlink ref="L4559" r:id="rId4557" tooltip="🔗 Ver Mapa" display="🔗 Ver Mapa"/>
    <hyperlink ref="L4560" r:id="rId4558" tooltip="🔗 Ver Mapa" display="🔗 Ver Mapa"/>
    <hyperlink ref="L4561" r:id="rId4559" tooltip="🔗 Ver Mapa" display="🔗 Ver Mapa"/>
    <hyperlink ref="L4562" r:id="rId4560" tooltip="🔗 Ver Mapa" display="🔗 Ver Mapa"/>
    <hyperlink ref="L4563" r:id="rId4561" tooltip="🔗 Ver Mapa" display="🔗 Ver Mapa"/>
    <hyperlink ref="L4564" r:id="rId4562" tooltip="🔗 Ver Mapa" display="🔗 Ver Mapa"/>
    <hyperlink ref="L4565" r:id="rId4563" tooltip="🔗 Ver Mapa" display="🔗 Ver Mapa"/>
    <hyperlink ref="L4566" r:id="rId4564" tooltip="🔗 Ver Mapa" display="🔗 Ver Mapa"/>
    <hyperlink ref="L4567" r:id="rId4565" tooltip="🔗 Ver Mapa" display="🔗 Ver Mapa"/>
    <hyperlink ref="L4568" r:id="rId4566" tooltip="🔗 Ver Mapa" display="🔗 Ver Mapa"/>
    <hyperlink ref="L4569" r:id="rId4567" tooltip="🔗 Ver Mapa" display="🔗 Ver Mapa"/>
    <hyperlink ref="L4570" r:id="rId4568" tooltip="🔗 Ver Mapa" display="🔗 Ver Mapa"/>
    <hyperlink ref="L4571" r:id="rId4569" tooltip="🔗 Ver Mapa" display="🔗 Ver Mapa"/>
    <hyperlink ref="L4572" r:id="rId4570" tooltip="🔗 Ver Mapa" display="🔗 Ver Mapa"/>
    <hyperlink ref="L4573" r:id="rId4571" tooltip="🔗 Ver Mapa" display="🔗 Ver Mapa"/>
    <hyperlink ref="L4574" r:id="rId4572" tooltip="🔗 Ver Mapa" display="🔗 Ver Mapa"/>
    <hyperlink ref="L4575" r:id="rId4573" tooltip="🔗 Ver Mapa" display="🔗 Ver Mapa"/>
    <hyperlink ref="L4576" r:id="rId4574" tooltip="🔗 Ver Mapa" display="🔗 Ver Mapa"/>
    <hyperlink ref="L4577" r:id="rId4575" tooltip="🔗 Ver Mapa" display="🔗 Ver Mapa"/>
    <hyperlink ref="L4578" r:id="rId4576" tooltip="🔗 Ver Mapa" display="🔗 Ver Mapa"/>
    <hyperlink ref="L4579" r:id="rId4577" tooltip="🔗 Ver Mapa" display="🔗 Ver Mapa"/>
    <hyperlink ref="L4580" r:id="rId4578" tooltip="🔗 Ver Mapa" display="🔗 Ver Mapa"/>
    <hyperlink ref="L4581" r:id="rId4579" tooltip="🔗 Ver Mapa" display="🔗 Ver Mapa"/>
    <hyperlink ref="L4582" r:id="rId4580" tooltip="🔗 Ver Mapa" display="🔗 Ver Mapa"/>
    <hyperlink ref="L4583" r:id="rId4581" tooltip="🔗 Ver Mapa" display="🔗 Ver Mapa"/>
    <hyperlink ref="L4584" r:id="rId4582" tooltip="🔗 Ver Mapa" display="🔗 Ver Mapa"/>
    <hyperlink ref="L4585" r:id="rId4583" tooltip="🔗 Ver Mapa" display="🔗 Ver Mapa"/>
    <hyperlink ref="L4586" r:id="rId4584" tooltip="🔗 Ver Mapa" display="🔗 Ver Mapa"/>
    <hyperlink ref="L4587" r:id="rId4585" tooltip="🔗 Ver Mapa" display="🔗 Ver Mapa"/>
    <hyperlink ref="L4588" r:id="rId4586" tooltip="🔗 Ver Mapa" display="🔗 Ver Mapa"/>
    <hyperlink ref="L4589" r:id="rId4587" tooltip="🔗 Ver Mapa" display="🔗 Ver Mapa"/>
    <hyperlink ref="L4590" r:id="rId4588" tooltip="🔗 Ver Mapa" display="🔗 Ver Mapa"/>
    <hyperlink ref="L4591" r:id="rId4589" tooltip="🔗 Ver Mapa" display="🔗 Ver Mapa"/>
    <hyperlink ref="L4592" r:id="rId4590" tooltip="🔗 Ver Mapa" display="🔗 Ver Mapa"/>
    <hyperlink ref="L4593" r:id="rId4591" tooltip="🔗 Ver Mapa" display="🔗 Ver Mapa"/>
    <hyperlink ref="L4594" r:id="rId4592" tooltip="🔗 Ver Mapa" display="🔗 Ver Mapa"/>
    <hyperlink ref="L4595" r:id="rId4593" tooltip="🔗 Ver Mapa" display="🔗 Ver Mapa"/>
    <hyperlink ref="L4596" r:id="rId4594" tooltip="🔗 Ver Mapa" display="🔗 Ver Mapa"/>
    <hyperlink ref="L4597" r:id="rId4595" tooltip="🔗 Ver Mapa" display="🔗 Ver Mapa"/>
    <hyperlink ref="L4598" r:id="rId4596" tooltip="🔗 Ver Mapa" display="🔗 Ver Mapa"/>
    <hyperlink ref="L4599" r:id="rId4597" tooltip="🔗 Ver Mapa" display="🔗 Ver Mapa"/>
    <hyperlink ref="L4600" r:id="rId4598" tooltip="🔗 Ver Mapa" display="🔗 Ver Mapa"/>
    <hyperlink ref="L4601" r:id="rId4599" tooltip="🔗 Ver Mapa" display="🔗 Ver Mapa"/>
    <hyperlink ref="L4602" r:id="rId4600" tooltip="🔗 Ver Mapa" display="🔗 Ver Mapa"/>
    <hyperlink ref="L4603" r:id="rId4601" tooltip="🔗 Ver Mapa" display="🔗 Ver Mapa"/>
    <hyperlink ref="L4604" r:id="rId4602" tooltip="🔗 Ver Mapa" display="🔗 Ver Mapa"/>
    <hyperlink ref="L4605" r:id="rId4603" tooltip="🔗 Ver Mapa" display="🔗 Ver Mapa"/>
    <hyperlink ref="L4606" r:id="rId4604" tooltip="🔗 Ver Mapa" display="🔗 Ver Mapa"/>
    <hyperlink ref="L4607" r:id="rId4605" tooltip="🔗 Ver Mapa" display="🔗 Ver Mapa"/>
    <hyperlink ref="L4608" r:id="rId4606" tooltip="🔗 Ver Mapa" display="🔗 Ver Mapa"/>
    <hyperlink ref="L4609" r:id="rId4607" tooltip="🔗 Ver Mapa" display="🔗 Ver Mapa"/>
    <hyperlink ref="L4610" r:id="rId4608" tooltip="🔗 Ver Mapa" display="🔗 Ver Mapa"/>
    <hyperlink ref="L4611" r:id="rId4609" tooltip="🔗 Ver Mapa" display="🔗 Ver Mapa"/>
    <hyperlink ref="L4612" r:id="rId4610" tooltip="🔗 Ver Mapa" display="🔗 Ver Mapa"/>
    <hyperlink ref="L4613" r:id="rId4611" tooltip="🔗 Ver Mapa" display="🔗 Ver Mapa"/>
    <hyperlink ref="L4614" r:id="rId4612" tooltip="🔗 Ver Mapa" display="🔗 Ver Mapa"/>
    <hyperlink ref="L4615" r:id="rId4613" tooltip="🔗 Ver Mapa" display="🔗 Ver Mapa"/>
    <hyperlink ref="L4616" r:id="rId4614" tooltip="🔗 Ver Mapa" display="🔗 Ver Mapa"/>
    <hyperlink ref="L4617" r:id="rId4615" tooltip="🔗 Ver Mapa" display="🔗 Ver Mapa"/>
    <hyperlink ref="L4618" r:id="rId4616" tooltip="🔗 Ver Mapa" display="🔗 Ver Mapa"/>
    <hyperlink ref="L4619" r:id="rId4617" tooltip="🔗 Ver Mapa" display="🔗 Ver Mapa"/>
    <hyperlink ref="L4620" r:id="rId4618" tooltip="🔗 Ver Mapa" display="🔗 Ver Mapa"/>
    <hyperlink ref="L4621" r:id="rId4619" tooltip="🔗 Ver Mapa" display="🔗 Ver Mapa"/>
    <hyperlink ref="L4622" r:id="rId4620" tooltip="🔗 Ver Mapa" display="🔗 Ver Mapa"/>
    <hyperlink ref="L4623" r:id="rId4621" tooltip="🔗 Ver Mapa" display="🔗 Ver Mapa"/>
    <hyperlink ref="L4624" r:id="rId4622" tooltip="🔗 Ver Mapa" display="🔗 Ver Mapa"/>
    <hyperlink ref="L4625" r:id="rId4623" tooltip="🔗 Ver Mapa" display="🔗 Ver Mapa"/>
    <hyperlink ref="L4626" r:id="rId4624" tooltip="🔗 Ver Mapa" display="🔗 Ver Mapa"/>
    <hyperlink ref="L4627" r:id="rId4625" tooltip="🔗 Ver Mapa" display="🔗 Ver Mapa"/>
    <hyperlink ref="L4628" r:id="rId4626" tooltip="🔗 Ver Mapa" display="🔗 Ver Mapa"/>
    <hyperlink ref="L4629" r:id="rId4627" tooltip="🔗 Ver Mapa" display="🔗 Ver Mapa"/>
    <hyperlink ref="L4630" r:id="rId4628" tooltip="🔗 Ver Mapa" display="🔗 Ver Mapa"/>
    <hyperlink ref="L4631" r:id="rId4629" tooltip="🔗 Ver Mapa" display="🔗 Ver Mapa"/>
    <hyperlink ref="L4632" r:id="rId4630" tooltip="🔗 Ver Mapa" display="🔗 Ver Mapa"/>
    <hyperlink ref="L4633" r:id="rId4631" tooltip="🔗 Ver Mapa" display="🔗 Ver Mapa"/>
    <hyperlink ref="L4634" r:id="rId4632" tooltip="🔗 Ver Mapa" display="🔗 Ver Mapa"/>
    <hyperlink ref="L4635" r:id="rId4633" tooltip="🔗 Ver Mapa" display="🔗 Ver Mapa"/>
    <hyperlink ref="L4636" r:id="rId4634" tooltip="🔗 Ver Mapa" display="🔗 Ver Mapa"/>
    <hyperlink ref="L4637" r:id="rId4635" tooltip="🔗 Ver Mapa" display="🔗 Ver Mapa"/>
    <hyperlink ref="L4638" r:id="rId4636" tooltip="🔗 Ver Mapa" display="🔗 Ver Mapa"/>
    <hyperlink ref="L4639" r:id="rId4637" tooltip="🔗 Ver Mapa" display="🔗 Ver Mapa"/>
    <hyperlink ref="L4640" r:id="rId4638" tooltip="🔗 Ver Mapa" display="🔗 Ver Mapa"/>
    <hyperlink ref="L4641" r:id="rId4639" tooltip="🔗 Ver Mapa" display="🔗 Ver Mapa"/>
    <hyperlink ref="L4642" r:id="rId4640" tooltip="🔗 Ver Mapa" display="🔗 Ver Mapa"/>
    <hyperlink ref="L4643" r:id="rId4641" tooltip="🔗 Ver Mapa" display="🔗 Ver Mapa"/>
    <hyperlink ref="L4644" r:id="rId4642" tooltip="🔗 Ver Mapa" display="🔗 Ver Mapa"/>
    <hyperlink ref="L4645" r:id="rId4643" tooltip="🔗 Ver Mapa" display="🔗 Ver Mapa"/>
    <hyperlink ref="L4646" r:id="rId4644" tooltip="🔗 Ver Mapa" display="🔗 Ver Mapa"/>
    <hyperlink ref="L4647" r:id="rId4645" tooltip="🔗 Ver Mapa" display="🔗 Ver Mapa"/>
    <hyperlink ref="L4648" r:id="rId4646" tooltip="🔗 Ver Mapa" display="🔗 Ver Mapa"/>
    <hyperlink ref="L4649" r:id="rId4647" tooltip="🔗 Ver Mapa" display="🔗 Ver Mapa"/>
    <hyperlink ref="L4650" r:id="rId4648" tooltip="🔗 Ver Mapa" display="🔗 Ver Mapa"/>
    <hyperlink ref="L4651" r:id="rId4649" tooltip="🔗 Ver Mapa" display="🔗 Ver Mapa"/>
    <hyperlink ref="L4652" r:id="rId4650" tooltip="🔗 Ver Mapa" display="🔗 Ver Mapa"/>
    <hyperlink ref="L4653" r:id="rId4651" tooltip="🔗 Ver Mapa" display="🔗 Ver Mapa"/>
    <hyperlink ref="L4654" r:id="rId4652" tooltip="🔗 Ver Mapa" display="🔗 Ver Mapa"/>
    <hyperlink ref="L4655" r:id="rId4653" tooltip="🔗 Ver Mapa" display="🔗 Ver Mapa"/>
    <hyperlink ref="L4656" r:id="rId4654" tooltip="🔗 Ver Mapa" display="🔗 Ver Mapa"/>
    <hyperlink ref="L4657" r:id="rId4655" tooltip="🔗 Ver Mapa" display="🔗 Ver Mapa"/>
    <hyperlink ref="L4658" r:id="rId4656" tooltip="🔗 Ver Mapa" display="🔗 Ver Mapa"/>
    <hyperlink ref="L4659" r:id="rId4657" tooltip="🔗 Ver Mapa" display="🔗 Ver Mapa"/>
    <hyperlink ref="L4660" r:id="rId4658" tooltip="🔗 Ver Mapa" display="🔗 Ver Mapa"/>
    <hyperlink ref="L4661" r:id="rId4659" tooltip="🔗 Ver Mapa" display="🔗 Ver Mapa"/>
    <hyperlink ref="L4662" r:id="rId4660" tooltip="🔗 Ver Mapa" display="🔗 Ver Mapa"/>
    <hyperlink ref="L4663" r:id="rId4661" tooltip="🔗 Ver Mapa" display="🔗 Ver Mapa"/>
    <hyperlink ref="L4664" r:id="rId4662" tooltip="🔗 Ver Mapa" display="🔗 Ver Mapa"/>
    <hyperlink ref="L4665" r:id="rId4663" tooltip="🔗 Ver Mapa" display="🔗 Ver Mapa"/>
    <hyperlink ref="L4666" r:id="rId4664" tooltip="🔗 Ver Mapa" display="🔗 Ver Mapa"/>
    <hyperlink ref="L4667" r:id="rId4665" tooltip="🔗 Ver Mapa" display="🔗 Ver Mapa"/>
    <hyperlink ref="L4668" r:id="rId4666" tooltip="🔗 Ver Mapa" display="🔗 Ver Mapa"/>
    <hyperlink ref="L4669" r:id="rId4667" tooltip="🔗 Ver Mapa" display="🔗 Ver Mapa"/>
    <hyperlink ref="L4670" r:id="rId4668" tooltip="🔗 Ver Mapa" display="🔗 Ver Mapa"/>
    <hyperlink ref="L4671" r:id="rId4669" tooltip="🔗 Ver Mapa" display="🔗 Ver Mapa"/>
    <hyperlink ref="L4672" r:id="rId4670" tooltip="🔗 Ver Mapa" display="🔗 Ver Mapa"/>
    <hyperlink ref="L4673" r:id="rId4671" tooltip="🔗 Ver Mapa" display="🔗 Ver Mapa"/>
    <hyperlink ref="L4674" r:id="rId4672" tooltip="🔗 Ver Mapa" display="🔗 Ver Mapa"/>
    <hyperlink ref="L4675" r:id="rId4673" tooltip="🔗 Ver Mapa" display="🔗 Ver Mapa"/>
    <hyperlink ref="L4676" r:id="rId4674" tooltip="🔗 Ver Mapa" display="🔗 Ver Mapa"/>
    <hyperlink ref="L4677" r:id="rId4675" tooltip="🔗 Ver Mapa" display="🔗 Ver Mapa"/>
    <hyperlink ref="L4678" r:id="rId4676" tooltip="🔗 Ver Mapa" display="🔗 Ver Mapa"/>
    <hyperlink ref="L4679" r:id="rId4677" tooltip="🔗 Ver Mapa" display="🔗 Ver Mapa"/>
    <hyperlink ref="L4680" r:id="rId4678" tooltip="🔗 Ver Mapa" display="🔗 Ver Mapa"/>
    <hyperlink ref="L4681" r:id="rId4679" tooltip="🔗 Ver Mapa" display="🔗 Ver Mapa"/>
    <hyperlink ref="L4682" r:id="rId4680" tooltip="🔗 Ver Mapa" display="🔗 Ver Mapa"/>
    <hyperlink ref="L4683" r:id="rId4681" tooltip="🔗 Ver Mapa" display="🔗 Ver Mapa"/>
    <hyperlink ref="L4684" r:id="rId4682" tooltip="🔗 Ver Mapa" display="🔗 Ver Mapa"/>
    <hyperlink ref="L4685" r:id="rId4683" tooltip="🔗 Ver Mapa" display="🔗 Ver Mapa"/>
    <hyperlink ref="L4686" r:id="rId4684" tooltip="🔗 Ver Mapa" display="🔗 Ver Mapa"/>
    <hyperlink ref="L4687" r:id="rId4685" tooltip="🔗 Ver Mapa" display="🔗 Ver Mapa"/>
    <hyperlink ref="L4688" r:id="rId4686" tooltip="🔗 Ver Mapa" display="🔗 Ver Mapa"/>
    <hyperlink ref="L4689" r:id="rId4687" tooltip="🔗 Ver Mapa" display="🔗 Ver Mapa"/>
    <hyperlink ref="L4690" r:id="rId4688" tooltip="🔗 Ver Mapa" display="🔗 Ver Mapa"/>
    <hyperlink ref="L4691" r:id="rId4689" tooltip="🔗 Ver Mapa" display="🔗 Ver Mapa"/>
    <hyperlink ref="L4692" r:id="rId4690" tooltip="🔗 Ver Mapa" display="🔗 Ver Mapa"/>
    <hyperlink ref="L4693" r:id="rId4691" tooltip="🔗 Ver Mapa" display="🔗 Ver Mapa"/>
    <hyperlink ref="L4694" r:id="rId4692" tooltip="🔗 Ver Mapa" display="🔗 Ver Mapa"/>
    <hyperlink ref="L4695" r:id="rId4693" tooltip="🔗 Ver Mapa" display="🔗 Ver Mapa"/>
    <hyperlink ref="L4696" r:id="rId4694" tooltip="🔗 Ver Mapa" display="🔗 Ver Mapa"/>
    <hyperlink ref="L4697" r:id="rId4695" tooltip="🔗 Ver Mapa" display="🔗 Ver Mapa"/>
    <hyperlink ref="L4698" r:id="rId4696" tooltip="🔗 Ver Mapa" display="🔗 Ver Mapa"/>
    <hyperlink ref="L4699" r:id="rId4697" tooltip="🔗 Ver Mapa" display="🔗 Ver Mapa"/>
    <hyperlink ref="L4700" r:id="rId4698" tooltip="🔗 Ver Mapa" display="🔗 Ver Mapa"/>
    <hyperlink ref="L4701" r:id="rId4699" tooltip="🔗 Ver Mapa" display="🔗 Ver Mapa"/>
    <hyperlink ref="L4702" r:id="rId4700" tooltip="🔗 Ver Mapa" display="🔗 Ver Mapa"/>
    <hyperlink ref="L4703" r:id="rId4701" tooltip="🔗 Ver Mapa" display="🔗 Ver Mapa"/>
    <hyperlink ref="L4704" r:id="rId4702" tooltip="🔗 Ver Mapa" display="🔗 Ver Mapa"/>
    <hyperlink ref="L4705" r:id="rId4703" tooltip="🔗 Ver Mapa" display="🔗 Ver Mapa"/>
    <hyperlink ref="L4706" r:id="rId4704" tooltip="🔗 Ver Mapa" display="🔗 Ver Mapa"/>
    <hyperlink ref="L4707" r:id="rId4705" tooltip="🔗 Ver Mapa" display="🔗 Ver Mapa"/>
    <hyperlink ref="L4708" r:id="rId4706" tooltip="🔗 Ver Mapa" display="🔗 Ver Mapa"/>
    <hyperlink ref="L4709" r:id="rId4707" tooltip="🔗 Ver Mapa" display="🔗 Ver Mapa"/>
    <hyperlink ref="L4710" r:id="rId4708" tooltip="🔗 Ver Mapa" display="🔗 Ver Mapa"/>
    <hyperlink ref="L4711" r:id="rId4709" tooltip="🔗 Ver Mapa" display="🔗 Ver Mapa"/>
    <hyperlink ref="L4712" r:id="rId4710" tooltip="🔗 Ver Mapa" display="🔗 Ver Mapa"/>
    <hyperlink ref="L4713" r:id="rId4711" tooltip="🔗 Ver Mapa" display="🔗 Ver Mapa"/>
    <hyperlink ref="L4714" r:id="rId4712" tooltip="🔗 Ver Mapa" display="🔗 Ver Mapa"/>
    <hyperlink ref="L4715" r:id="rId4713" tooltip="🔗 Ver Mapa" display="🔗 Ver Mapa"/>
    <hyperlink ref="L4716" r:id="rId4714" tooltip="🔗 Ver Mapa" display="🔗 Ver Mapa"/>
    <hyperlink ref="L4717" r:id="rId4715" tooltip="🔗 Ver Mapa" display="🔗 Ver Mapa"/>
    <hyperlink ref="L4718" r:id="rId4716" tooltip="🔗 Ver Mapa" display="🔗 Ver Mapa"/>
    <hyperlink ref="L4719" r:id="rId4717" tooltip="🔗 Ver Mapa" display="🔗 Ver Mapa"/>
    <hyperlink ref="L4720" r:id="rId4718" tooltip="🔗 Ver Mapa" display="🔗 Ver Mapa"/>
    <hyperlink ref="L4721" r:id="rId4719" tooltip="🔗 Ver Mapa" display="🔗 Ver Mapa"/>
    <hyperlink ref="L4722" r:id="rId4720" tooltip="🔗 Ver Mapa" display="🔗 Ver Mapa"/>
    <hyperlink ref="L4723" r:id="rId4721" tooltip="🔗 Ver Mapa" display="🔗 Ver Mapa"/>
    <hyperlink ref="L4724" r:id="rId4722" tooltip="🔗 Ver Mapa" display="🔗 Ver Mapa"/>
    <hyperlink ref="L4725" r:id="rId4723" tooltip="🔗 Ver Mapa" display="🔗 Ver Mapa"/>
    <hyperlink ref="L4726" r:id="rId4724" tooltip="🔗 Ver Mapa" display="🔗 Ver Mapa"/>
    <hyperlink ref="L4727" r:id="rId4725" tooltip="🔗 Ver Mapa" display="🔗 Ver Mapa"/>
    <hyperlink ref="L4728" r:id="rId4726" tooltip="🔗 Ver Mapa" display="🔗 Ver Mapa"/>
    <hyperlink ref="L4729" r:id="rId4727" tooltip="🔗 Ver Mapa" display="🔗 Ver Mapa"/>
    <hyperlink ref="L4730" r:id="rId4728" tooltip="🔗 Ver Mapa" display="🔗 Ver Mapa"/>
    <hyperlink ref="L4731" r:id="rId4729" tooltip="🔗 Ver Mapa" display="🔗 Ver Mapa"/>
    <hyperlink ref="L4732" r:id="rId4730" tooltip="🔗 Ver Mapa" display="🔗 Ver Mapa"/>
    <hyperlink ref="L4733" r:id="rId4731" tooltip="🔗 Ver Mapa" display="🔗 Ver Mapa"/>
    <hyperlink ref="L4734" r:id="rId4732" tooltip="🔗 Ver Mapa" display="🔗 Ver Mapa"/>
    <hyperlink ref="L4735" r:id="rId4733" tooltip="🔗 Ver Mapa" display="🔗 Ver Mapa"/>
    <hyperlink ref="L4736" r:id="rId4734" tooltip="🔗 Ver Mapa" display="🔗 Ver Mapa"/>
    <hyperlink ref="L4737" r:id="rId4735" tooltip="🔗 Ver Mapa" display="🔗 Ver Mapa"/>
    <hyperlink ref="L4738" r:id="rId4736" tooltip="🔗 Ver Mapa" display="🔗 Ver Mapa"/>
    <hyperlink ref="L4739" r:id="rId4737" tooltip="🔗 Ver Mapa" display="🔗 Ver Mapa"/>
    <hyperlink ref="L4740" r:id="rId4738" tooltip="🔗 Ver Mapa" display="🔗 Ver Mapa"/>
    <hyperlink ref="L4741" r:id="rId4739" tooltip="🔗 Ver Mapa" display="🔗 Ver Mapa"/>
    <hyperlink ref="L4742" r:id="rId4740" tooltip="🔗 Ver Mapa" display="🔗 Ver Mapa"/>
    <hyperlink ref="L4743" r:id="rId4741" tooltip="🔗 Ver Mapa" display="🔗 Ver Mapa"/>
    <hyperlink ref="L4744" r:id="rId4742" tooltip="🔗 Ver Mapa" display="🔗 Ver Mapa"/>
    <hyperlink ref="L4745" r:id="rId4743" tooltip="🔗 Ver Mapa" display="🔗 Ver Mapa"/>
    <hyperlink ref="L4746" r:id="rId4744" tooltip="🔗 Ver Mapa" display="🔗 Ver Mapa"/>
    <hyperlink ref="L4747" r:id="rId4745" tooltip="🔗 Ver Mapa" display="🔗 Ver Mapa"/>
    <hyperlink ref="L4748" r:id="rId4746" tooltip="🔗 Ver Mapa" display="🔗 Ver Mapa"/>
    <hyperlink ref="L4749" r:id="rId4747" tooltip="🔗 Ver Mapa" display="🔗 Ver Mapa"/>
    <hyperlink ref="L4750" r:id="rId4748" tooltip="🔗 Ver Mapa" display="🔗 Ver Mapa"/>
    <hyperlink ref="L4751" r:id="rId4749" tooltip="🔗 Ver Mapa" display="🔗 Ver Mapa"/>
    <hyperlink ref="L4752" r:id="rId4750" tooltip="🔗 Ver Mapa" display="🔗 Ver Mapa"/>
    <hyperlink ref="L4753" r:id="rId4751" tooltip="🔗 Ver Mapa" display="🔗 Ver Mapa"/>
    <hyperlink ref="L4754" r:id="rId4752" tooltip="🔗 Ver Mapa" display="🔗 Ver Mapa"/>
    <hyperlink ref="L4755" r:id="rId4753" tooltip="🔗 Ver Mapa" display="🔗 Ver Mapa"/>
    <hyperlink ref="L4756" r:id="rId4754" tooltip="🔗 Ver Mapa" display="🔗 Ver Mapa"/>
    <hyperlink ref="L4757" r:id="rId4755" tooltip="🔗 Ver Mapa" display="🔗 Ver Mapa"/>
    <hyperlink ref="L4758" r:id="rId4756" tooltip="🔗 Ver Mapa" display="🔗 Ver Mapa"/>
    <hyperlink ref="L4759" r:id="rId4757" tooltip="🔗 Ver Mapa" display="🔗 Ver Mapa"/>
    <hyperlink ref="L4760" r:id="rId4758" tooltip="🔗 Ver Mapa" display="🔗 Ver Mapa"/>
    <hyperlink ref="L4761" r:id="rId4759" tooltip="🔗 Ver Mapa" display="🔗 Ver Mapa"/>
    <hyperlink ref="L4762" r:id="rId4760" tooltip="🔗 Ver Mapa" display="🔗 Ver Mapa"/>
    <hyperlink ref="L4763" r:id="rId4761" tooltip="🔗 Ver Mapa" display="🔗 Ver Mapa"/>
    <hyperlink ref="L4764" r:id="rId4762" tooltip="🔗 Ver Mapa" display="🔗 Ver Mapa"/>
    <hyperlink ref="L4765" r:id="rId4763" tooltip="🔗 Ver Mapa" display="🔗 Ver Mapa"/>
    <hyperlink ref="L4766" r:id="rId4764" tooltip="🔗 Ver Mapa" display="🔗 Ver Mapa"/>
    <hyperlink ref="L4767" r:id="rId4765" tooltip="🔗 Ver Mapa" display="🔗 Ver Mapa"/>
    <hyperlink ref="L4768" r:id="rId4766" tooltip="🔗 Ver Mapa" display="🔗 Ver Mapa"/>
    <hyperlink ref="L4769" r:id="rId4767" tooltip="🔗 Ver Mapa" display="🔗 Ver Mapa"/>
    <hyperlink ref="L4770" r:id="rId4768" tooltip="🔗 Ver Mapa" display="🔗 Ver Mapa"/>
    <hyperlink ref="L4771" r:id="rId4769" tooltip="🔗 Ver Mapa" display="🔗 Ver Mapa"/>
    <hyperlink ref="L4772" r:id="rId4770" tooltip="🔗 Ver Mapa" display="🔗 Ver Mapa"/>
    <hyperlink ref="L4773" r:id="rId4771" tooltip="🔗 Ver Mapa" display="🔗 Ver Mapa"/>
    <hyperlink ref="L4774" r:id="rId4772" tooltip="🔗 Ver Mapa" display="🔗 Ver Mapa"/>
    <hyperlink ref="L4775" r:id="rId4773" tooltip="🔗 Ver Mapa" display="🔗 Ver Mapa"/>
    <hyperlink ref="L4776" r:id="rId4774" tooltip="🔗 Ver Mapa" display="🔗 Ver Mapa"/>
    <hyperlink ref="L4777" r:id="rId4775" tooltip="🔗 Ver Mapa" display="🔗 Ver Mapa"/>
    <hyperlink ref="L4778" r:id="rId4776" tooltip="🔗 Ver Mapa" display="🔗 Ver Mapa"/>
    <hyperlink ref="L4779" r:id="rId4777" tooltip="🔗 Ver Mapa" display="🔗 Ver Mapa"/>
    <hyperlink ref="L4780" r:id="rId4778" tooltip="🔗 Ver Mapa" display="🔗 Ver Mapa"/>
    <hyperlink ref="L4781" r:id="rId4779" tooltip="🔗 Ver Mapa" display="🔗 Ver Mapa"/>
    <hyperlink ref="L4782" r:id="rId4780" tooltip="🔗 Ver Mapa" display="🔗 Ver Mapa"/>
    <hyperlink ref="L4783" r:id="rId4781" tooltip="🔗 Ver Mapa" display="🔗 Ver Mapa"/>
    <hyperlink ref="L4784" r:id="rId4782" tooltip="🔗 Ver Mapa" display="🔗 Ver Mapa"/>
    <hyperlink ref="L4785" r:id="rId4783" tooltip="🔗 Ver Mapa" display="🔗 Ver Mapa"/>
    <hyperlink ref="L4786" r:id="rId4784" tooltip="🔗 Ver Mapa" display="🔗 Ver Mapa"/>
    <hyperlink ref="L4787" r:id="rId4785" tooltip="🔗 Ver Mapa" display="🔗 Ver Mapa"/>
    <hyperlink ref="L4788" r:id="rId4786" tooltip="🔗 Ver Mapa" display="🔗 Ver Mapa"/>
    <hyperlink ref="L4789" r:id="rId4787" tooltip="🔗 Ver Mapa" display="🔗 Ver Mapa"/>
    <hyperlink ref="L4790" r:id="rId4788" tooltip="🔗 Ver Mapa" display="🔗 Ver Mapa"/>
    <hyperlink ref="L4791" r:id="rId4789" tooltip="🔗 Ver Mapa" display="🔗 Ver Mapa"/>
    <hyperlink ref="L4792" r:id="rId4790" tooltip="🔗 Ver Mapa" display="🔗 Ver Mapa"/>
    <hyperlink ref="L4793" r:id="rId4791" tooltip="🔗 Ver Mapa" display="🔗 Ver Mapa"/>
    <hyperlink ref="L4794" r:id="rId4792" tooltip="🔗 Ver Mapa" display="🔗 Ver Mapa"/>
    <hyperlink ref="L4795" r:id="rId4793" tooltip="🔗 Ver Mapa" display="🔗 Ver Mapa"/>
    <hyperlink ref="L4796" r:id="rId4794" tooltip="🔗 Ver Mapa" display="🔗 Ver Mapa"/>
    <hyperlink ref="L4797" r:id="rId4795" tooltip="🔗 Ver Mapa" display="🔗 Ver Mapa"/>
    <hyperlink ref="L4798" r:id="rId4796" tooltip="🔗 Ver Mapa" display="🔗 Ver Mapa"/>
    <hyperlink ref="L4799" r:id="rId4797" tooltip="🔗 Ver Mapa" display="🔗 Ver Mapa"/>
    <hyperlink ref="L4800" r:id="rId4798" tooltip="🔗 Ver Mapa" display="🔗 Ver Mapa"/>
    <hyperlink ref="L4801" r:id="rId4799" tooltip="🔗 Ver Mapa" display="🔗 Ver Mapa"/>
    <hyperlink ref="L4802" r:id="rId4800" tooltip="🔗 Ver Mapa" display="🔗 Ver Mapa"/>
    <hyperlink ref="L4803" r:id="rId4801" tooltip="🔗 Ver Mapa" display="🔗 Ver Mapa"/>
    <hyperlink ref="L4804" r:id="rId4802" tooltip="🔗 Ver Mapa" display="🔗 Ver Mapa"/>
    <hyperlink ref="L4805" r:id="rId4803" tooltip="🔗 Ver Mapa" display="🔗 Ver Mapa"/>
    <hyperlink ref="L4806" r:id="rId4804" tooltip="🔗 Ver Mapa" display="🔗 Ver Mapa"/>
    <hyperlink ref="L4807" r:id="rId4805" tooltip="🔗 Ver Mapa" display="🔗 Ver Mapa"/>
    <hyperlink ref="L4808" r:id="rId4806" tooltip="🔗 Ver Mapa" display="🔗 Ver Mapa"/>
    <hyperlink ref="L4809" r:id="rId4807" tooltip="🔗 Ver Mapa" display="🔗 Ver Mapa"/>
    <hyperlink ref="L4810" r:id="rId4808" tooltip="🔗 Ver Mapa" display="🔗 Ver Mapa"/>
    <hyperlink ref="L4811" r:id="rId4809" tooltip="🔗 Ver Mapa" display="🔗 Ver Mapa"/>
    <hyperlink ref="L4812" r:id="rId4810" tooltip="🔗 Ver Mapa" display="🔗 Ver Mapa"/>
    <hyperlink ref="L4813" r:id="rId4811" tooltip="🔗 Ver Mapa" display="🔗 Ver Mapa"/>
    <hyperlink ref="L4814" r:id="rId4812" tooltip="🔗 Ver Mapa" display="🔗 Ver Mapa"/>
    <hyperlink ref="L4815" r:id="rId4813" tooltip="🔗 Ver Mapa" display="🔗 Ver Mapa"/>
    <hyperlink ref="L4816" r:id="rId4814" tooltip="🔗 Ver Mapa" display="🔗 Ver Mapa"/>
    <hyperlink ref="L4817" r:id="rId4815" tooltip="🔗 Ver Mapa" display="🔗 Ver Mapa"/>
    <hyperlink ref="L4818" r:id="rId4816" tooltip="🔗 Ver Mapa" display="🔗 Ver Mapa"/>
    <hyperlink ref="L4819" r:id="rId4817" tooltip="🔗 Ver Mapa" display="🔗 Ver Mapa"/>
    <hyperlink ref="L4820" r:id="rId4818" tooltip="🔗 Ver Mapa" display="🔗 Ver Mapa"/>
    <hyperlink ref="L4821" r:id="rId4819" tooltip="🔗 Ver Mapa" display="🔗 Ver Mapa"/>
    <hyperlink ref="L4822" r:id="rId4820" tooltip="🔗 Ver Mapa" display="🔗 Ver Mapa"/>
    <hyperlink ref="L4823" r:id="rId4821" tooltip="🔗 Ver Mapa" display="🔗 Ver Mapa"/>
    <hyperlink ref="L4824" r:id="rId4822" tooltip="🔗 Ver Mapa" display="🔗 Ver Mapa"/>
    <hyperlink ref="L4825" r:id="rId4823" tooltip="🔗 Ver Mapa" display="🔗 Ver Mapa"/>
    <hyperlink ref="L4826" r:id="rId4824" tooltip="🔗 Ver Mapa" display="🔗 Ver Mapa"/>
    <hyperlink ref="L4827" r:id="rId4825" tooltip="🔗 Ver Mapa" display="🔗 Ver Mapa"/>
    <hyperlink ref="L4828" r:id="rId4826" tooltip="🔗 Ver Mapa" display="🔗 Ver Mapa"/>
    <hyperlink ref="L4829" r:id="rId4827" tooltip="🔗 Ver Mapa" display="🔗 Ver Mapa"/>
    <hyperlink ref="L4830" r:id="rId4828" tooltip="🔗 Ver Mapa" display="🔗 Ver Mapa"/>
    <hyperlink ref="L4831" r:id="rId4829" tooltip="🔗 Ver Mapa" display="🔗 Ver Mapa"/>
    <hyperlink ref="L4832" r:id="rId4830" tooltip="🔗 Ver Mapa" display="🔗 Ver Mapa"/>
    <hyperlink ref="L4833" r:id="rId4831" tooltip="🔗 Ver Mapa" display="🔗 Ver Mapa"/>
    <hyperlink ref="L4834" r:id="rId4832" tooltip="🔗 Ver Mapa" display="🔗 Ver Mapa"/>
    <hyperlink ref="L4835" r:id="rId4833" tooltip="🔗 Ver Mapa" display="🔗 Ver Mapa"/>
    <hyperlink ref="L4836" r:id="rId4834" tooltip="🔗 Ver Mapa" display="🔗 Ver Mapa"/>
    <hyperlink ref="L4837" r:id="rId4835" tooltip="🔗 Ver Mapa" display="🔗 Ver Mapa"/>
    <hyperlink ref="L4838" r:id="rId4836" tooltip="🔗 Ver Mapa" display="🔗 Ver Mapa"/>
    <hyperlink ref="L4839" r:id="rId4837" tooltip="🔗 Ver Mapa" display="🔗 Ver Mapa"/>
    <hyperlink ref="L4840" r:id="rId4838" tooltip="🔗 Ver Mapa" display="🔗 Ver Mapa"/>
    <hyperlink ref="L4841" r:id="rId4839" tooltip="🔗 Ver Mapa" display="🔗 Ver Mapa"/>
    <hyperlink ref="L4842" r:id="rId4840" tooltip="🔗 Ver Mapa" display="🔗 Ver Mapa"/>
    <hyperlink ref="L4843" r:id="rId4841" tooltip="🔗 Ver Mapa" display="🔗 Ver Mapa"/>
    <hyperlink ref="L4844" r:id="rId4842" tooltip="🔗 Ver Mapa" display="🔗 Ver Mapa"/>
    <hyperlink ref="L4845" r:id="rId4843" tooltip="🔗 Ver Mapa" display="🔗 Ver Mapa"/>
    <hyperlink ref="L4846" r:id="rId4844" tooltip="🔗 Ver Mapa" display="🔗 Ver Mapa"/>
    <hyperlink ref="L4847" r:id="rId4845" tooltip="🔗 Ver Mapa" display="🔗 Ver Mapa"/>
    <hyperlink ref="L4848" r:id="rId4846" tooltip="🔗 Ver Mapa" display="🔗 Ver Mapa"/>
    <hyperlink ref="L4849" r:id="rId4847" tooltip="🔗 Ver Mapa" display="🔗 Ver Mapa"/>
    <hyperlink ref="L4850" r:id="rId4848" tooltip="🔗 Ver Mapa" display="🔗 Ver Mapa"/>
    <hyperlink ref="L4851" r:id="rId4849" tooltip="🔗 Ver Mapa" display="🔗 Ver Mapa"/>
    <hyperlink ref="L4852" r:id="rId4850" tooltip="🔗 Ver Mapa" display="🔗 Ver Mapa"/>
    <hyperlink ref="L4853" r:id="rId4851" tooltip="🔗 Ver Mapa" display="🔗 Ver Mapa"/>
    <hyperlink ref="L4854" r:id="rId4852" tooltip="🔗 Ver Mapa" display="🔗 Ver Mapa"/>
    <hyperlink ref="L4855" r:id="rId4853" tooltip="🔗 Ver Mapa" display="🔗 Ver Mapa"/>
    <hyperlink ref="L4856" r:id="rId4854" tooltip="🔗 Ver Mapa" display="🔗 Ver Mapa"/>
    <hyperlink ref="L4857" r:id="rId4855" tooltip="🔗 Ver Mapa" display="🔗 Ver Mapa"/>
    <hyperlink ref="L4858" r:id="rId4856" tooltip="🔗 Ver Mapa" display="🔗 Ver Mapa"/>
    <hyperlink ref="L4859" r:id="rId4857" tooltip="🔗 Ver Mapa" display="🔗 Ver Mapa"/>
    <hyperlink ref="L4860" r:id="rId4858" tooltip="🔗 Ver Mapa" display="🔗 Ver Mapa"/>
    <hyperlink ref="L4861" r:id="rId4859" tooltip="🔗 Ver Mapa" display="🔗 Ver Mapa"/>
    <hyperlink ref="L4862" r:id="rId4860" tooltip="🔗 Ver Mapa" display="🔗 Ver Mapa"/>
    <hyperlink ref="L4863" r:id="rId4861" tooltip="🔗 Ver Mapa" display="🔗 Ver Mapa"/>
    <hyperlink ref="L4864" r:id="rId4862" tooltip="🔗 Ver Mapa" display="🔗 Ver Mapa"/>
    <hyperlink ref="L4865" r:id="rId4863" tooltip="🔗 Ver Mapa" display="🔗 Ver Mapa"/>
    <hyperlink ref="L4866" r:id="rId4864" tooltip="🔗 Ver Mapa" display="🔗 Ver Mapa"/>
    <hyperlink ref="L4867" r:id="rId4865" tooltip="🔗 Ver Mapa" display="🔗 Ver Mapa"/>
    <hyperlink ref="L4868" r:id="rId4866" tooltip="🔗 Ver Mapa" display="🔗 Ver Mapa"/>
    <hyperlink ref="L4869" r:id="rId4867" tooltip="🔗 Ver Mapa" display="🔗 Ver Mapa"/>
    <hyperlink ref="L4870" r:id="rId4868" tooltip="🔗 Ver Mapa" display="🔗 Ver Mapa"/>
    <hyperlink ref="L4871" r:id="rId4869" tooltip="🔗 Ver Mapa" display="🔗 Ver Mapa"/>
    <hyperlink ref="L4872" r:id="rId4870" tooltip="🔗 Ver Mapa" display="🔗 Ver Mapa"/>
    <hyperlink ref="L4873" r:id="rId4871" tooltip="🔗 Ver Mapa" display="🔗 Ver Mapa"/>
    <hyperlink ref="L4874" r:id="rId4872" tooltip="🔗 Ver Mapa" display="🔗 Ver Mapa"/>
    <hyperlink ref="L4875" r:id="rId4873" tooltip="🔗 Ver Mapa" display="🔗 Ver Mapa"/>
    <hyperlink ref="L4876" r:id="rId4874" tooltip="🔗 Ver Mapa" display="🔗 Ver Mapa"/>
    <hyperlink ref="L4877" r:id="rId4875" tooltip="🔗 Ver Mapa" display="🔗 Ver Mapa"/>
    <hyperlink ref="L4878" r:id="rId4876" tooltip="🔗 Ver Mapa" display="🔗 Ver Mapa"/>
    <hyperlink ref="L4879" r:id="rId4877" tooltip="🔗 Ver Mapa" display="🔗 Ver Mapa"/>
    <hyperlink ref="L4880" r:id="rId4878" tooltip="🔗 Ver Mapa" display="🔗 Ver Mapa"/>
    <hyperlink ref="L4881" r:id="rId4879" tooltip="🔗 Ver Mapa" display="🔗 Ver Mapa"/>
    <hyperlink ref="L4882" r:id="rId4880" tooltip="🔗 Ver Mapa" display="🔗 Ver Mapa"/>
    <hyperlink ref="L4883" r:id="rId4881" tooltip="🔗 Ver Mapa" display="🔗 Ver Mapa"/>
    <hyperlink ref="L4884" r:id="rId4882" tooltip="🔗 Ver Mapa" display="🔗 Ver Mapa"/>
    <hyperlink ref="L4885" r:id="rId4883" tooltip="🔗 Ver Mapa" display="🔗 Ver Mapa"/>
    <hyperlink ref="L4886" r:id="rId4884" tooltip="🔗 Ver Mapa" display="🔗 Ver Mapa"/>
    <hyperlink ref="L4887" r:id="rId4885" tooltip="🔗 Ver Mapa" display="🔗 Ver Mapa"/>
    <hyperlink ref="L4888" r:id="rId4886" tooltip="🔗 Ver Mapa" display="🔗 Ver Mapa"/>
    <hyperlink ref="L4889" r:id="rId4887" tooltip="🔗 Ver Mapa" display="🔗 Ver Mapa"/>
    <hyperlink ref="L4890" r:id="rId4888" tooltip="🔗 Ver Mapa" display="🔗 Ver Mapa"/>
    <hyperlink ref="L4891" r:id="rId4889" tooltip="🔗 Ver Mapa" display="🔗 Ver Mapa"/>
    <hyperlink ref="L4892" r:id="rId4890" tooltip="🔗 Ver Mapa" display="🔗 Ver Mapa"/>
    <hyperlink ref="L4893" r:id="rId4891" tooltip="🔗 Ver Mapa" display="🔗 Ver Mapa"/>
    <hyperlink ref="L4894" r:id="rId4892" tooltip="🔗 Ver Mapa" display="🔗 Ver Mapa"/>
    <hyperlink ref="L4895" r:id="rId4893" tooltip="🔗 Ver Mapa" display="🔗 Ver Mapa"/>
    <hyperlink ref="L4896" r:id="rId4894" tooltip="🔗 Ver Mapa" display="🔗 Ver Mapa"/>
    <hyperlink ref="L4897" r:id="rId4895" tooltip="🔗 Ver Mapa" display="🔗 Ver Mapa"/>
    <hyperlink ref="L4898" r:id="rId4896" tooltip="🔗 Ver Mapa" display="🔗 Ver Mapa"/>
    <hyperlink ref="L4899" r:id="rId4897" tooltip="🔗 Ver Mapa" display="🔗 Ver Mapa"/>
    <hyperlink ref="L4900" r:id="rId4898" tooltip="🔗 Ver Mapa" display="🔗 Ver Mapa"/>
    <hyperlink ref="L4901" r:id="rId4899" tooltip="🔗 Ver Mapa" display="🔗 Ver Mapa"/>
    <hyperlink ref="L4902" r:id="rId4900" tooltip="🔗 Ver Mapa" display="🔗 Ver Mapa"/>
    <hyperlink ref="L4903" r:id="rId4901" tooltip="🔗 Ver Mapa" display="🔗 Ver Mapa"/>
    <hyperlink ref="L4904" r:id="rId4902" tooltip="🔗 Ver Mapa" display="🔗 Ver Mapa"/>
    <hyperlink ref="L4905" r:id="rId4903" tooltip="🔗 Ver Mapa" display="🔗 Ver Mapa"/>
    <hyperlink ref="L4906" r:id="rId4904" tooltip="🔗 Ver Mapa" display="🔗 Ver Mapa"/>
    <hyperlink ref="L4907" r:id="rId4905" tooltip="🔗 Ver Mapa" display="🔗 Ver Mapa"/>
    <hyperlink ref="L4908" r:id="rId4906" tooltip="🔗 Ver Mapa" display="🔗 Ver Mapa"/>
    <hyperlink ref="L4909" r:id="rId4907" tooltip="🔗 Ver Mapa" display="🔗 Ver Mapa"/>
    <hyperlink ref="L4910" r:id="rId4908" tooltip="🔗 Ver Mapa" display="🔗 Ver Mapa"/>
    <hyperlink ref="L4911" r:id="rId4909" tooltip="🔗 Ver Mapa" display="🔗 Ver Mapa"/>
    <hyperlink ref="L4912" r:id="rId4910" tooltip="🔗 Ver Mapa" display="🔗 Ver Mapa"/>
    <hyperlink ref="L4913" r:id="rId4911" tooltip="🔗 Ver Mapa" display="🔗 Ver Mapa"/>
    <hyperlink ref="L4914" r:id="rId4912" tooltip="🔗 Ver Mapa" display="🔗 Ver Mapa"/>
    <hyperlink ref="L4915" r:id="rId4913" tooltip="🔗 Ver Mapa" display="🔗 Ver Mapa"/>
    <hyperlink ref="L4916" r:id="rId4914" tooltip="🔗 Ver Mapa" display="🔗 Ver Mapa"/>
    <hyperlink ref="L4917" r:id="rId4915" tooltip="🔗 Ver Mapa" display="🔗 Ver Mapa"/>
    <hyperlink ref="L4918" r:id="rId4916" tooltip="🔗 Ver Mapa" display="🔗 Ver Mapa"/>
    <hyperlink ref="L4919" r:id="rId4917" tooltip="🔗 Ver Mapa" display="🔗 Ver Mapa"/>
    <hyperlink ref="L4920" r:id="rId4918" tooltip="🔗 Ver Mapa" display="🔗 Ver Mapa"/>
    <hyperlink ref="L4921" r:id="rId4919" tooltip="🔗 Ver Mapa" display="🔗 Ver Mapa"/>
    <hyperlink ref="L4922" r:id="rId4920" tooltip="🔗 Ver Mapa" display="🔗 Ver Mapa"/>
    <hyperlink ref="L4923" r:id="rId4921" tooltip="🔗 Ver Mapa" display="🔗 Ver Mapa"/>
    <hyperlink ref="L4924" r:id="rId4922" tooltip="🔗 Ver Mapa" display="🔗 Ver Mapa"/>
    <hyperlink ref="L4925" r:id="rId4923" tooltip="🔗 Ver Mapa" display="🔗 Ver Mapa"/>
    <hyperlink ref="L4926" r:id="rId4924" tooltip="🔗 Ver Mapa" display="🔗 Ver Mapa"/>
    <hyperlink ref="L4927" r:id="rId4925" tooltip="🔗 Ver Mapa" display="🔗 Ver Mapa"/>
    <hyperlink ref="L4928" r:id="rId4926" tooltip="🔗 Ver Mapa" display="🔗 Ver Mapa"/>
    <hyperlink ref="L4929" r:id="rId4927" tooltip="🔗 Ver Mapa" display="🔗 Ver Mapa"/>
    <hyperlink ref="L4930" r:id="rId4928" tooltip="🔗 Ver Mapa" display="🔗 Ver Mapa"/>
    <hyperlink ref="L4931" r:id="rId4929" tooltip="🔗 Ver Mapa" display="🔗 Ver Mapa"/>
    <hyperlink ref="L4932" r:id="rId4930" tooltip="🔗 Ver Mapa" display="🔗 Ver Mapa"/>
    <hyperlink ref="L4933" r:id="rId4931" tooltip="🔗 Ver Mapa" display="🔗 Ver Mapa"/>
    <hyperlink ref="L4934" r:id="rId4932" tooltip="🔗 Ver Mapa" display="🔗 Ver Mapa"/>
    <hyperlink ref="L4935" r:id="rId4933" tooltip="🔗 Ver Mapa" display="🔗 Ver Mapa"/>
    <hyperlink ref="L4936" r:id="rId4934" tooltip="🔗 Ver Mapa" display="🔗 Ver Mapa"/>
    <hyperlink ref="L4937" r:id="rId4935" tooltip="🔗 Ver Mapa" display="🔗 Ver Mapa"/>
    <hyperlink ref="L4938" r:id="rId4936" tooltip="🔗 Ver Mapa" display="🔗 Ver Mapa"/>
    <hyperlink ref="L4939" r:id="rId4937" tooltip="🔗 Ver Mapa" display="🔗 Ver Mapa"/>
    <hyperlink ref="L4940" r:id="rId4938" tooltip="🔗 Ver Mapa" display="🔗 Ver Mapa"/>
    <hyperlink ref="L4941" r:id="rId4939" tooltip="🔗 Ver Mapa" display="🔗 Ver Mapa"/>
    <hyperlink ref="L4942" r:id="rId4940" tooltip="🔗 Ver Mapa" display="🔗 Ver Mapa"/>
    <hyperlink ref="L4943" r:id="rId4941" tooltip="🔗 Ver Mapa" display="🔗 Ver Mapa"/>
    <hyperlink ref="L4944" r:id="rId4942" tooltip="🔗 Ver Mapa" display="🔗 Ver Mapa"/>
    <hyperlink ref="L4945" r:id="rId4943" tooltip="🔗 Ver Mapa" display="🔗 Ver Mapa"/>
    <hyperlink ref="L4946" r:id="rId4944" tooltip="🔗 Ver Mapa" display="🔗 Ver Mapa"/>
    <hyperlink ref="L4947" r:id="rId4945" tooltip="🔗 Ver Mapa" display="🔗 Ver Mapa"/>
    <hyperlink ref="L4948" r:id="rId4946" tooltip="🔗 Ver Mapa" display="🔗 Ver Mapa"/>
    <hyperlink ref="L4949" r:id="rId4947" tooltip="🔗 Ver Mapa" display="🔗 Ver Mapa"/>
    <hyperlink ref="L4950" r:id="rId4948" tooltip="🔗 Ver Mapa" display="🔗 Ver Mapa"/>
    <hyperlink ref="L4951" r:id="rId4949" tooltip="🔗 Ver Mapa" display="🔗 Ver Mapa"/>
    <hyperlink ref="L4952" r:id="rId4950" tooltip="🔗 Ver Mapa" display="🔗 Ver Mapa"/>
    <hyperlink ref="L4953" r:id="rId4951" tooltip="🔗 Ver Mapa" display="🔗 Ver Mapa"/>
    <hyperlink ref="L4954" r:id="rId4952" tooltip="🔗 Ver Mapa" display="🔗 Ver Mapa"/>
    <hyperlink ref="L4955" r:id="rId4953" tooltip="🔗 Ver Mapa" display="🔗 Ver Mapa"/>
    <hyperlink ref="L4956" r:id="rId4954" tooltip="🔗 Ver Mapa" display="🔗 Ver Mapa"/>
    <hyperlink ref="L4957" r:id="rId4955" tooltip="🔗 Ver Mapa" display="🔗 Ver Mapa"/>
    <hyperlink ref="L4958" r:id="rId4956" tooltip="🔗 Ver Mapa" display="🔗 Ver Mapa"/>
    <hyperlink ref="L4959" r:id="rId4957" tooltip="🔗 Ver Mapa" display="🔗 Ver Mapa"/>
    <hyperlink ref="L4960" r:id="rId4958" tooltip="🔗 Ver Mapa" display="🔗 Ver Mapa"/>
    <hyperlink ref="L4961" r:id="rId4959" tooltip="🔗 Ver Mapa" display="🔗 Ver Mapa"/>
    <hyperlink ref="L4962" r:id="rId4960" tooltip="🔗 Ver Mapa" display="🔗 Ver Mapa"/>
    <hyperlink ref="L4963" r:id="rId4961" tooltip="🔗 Ver Mapa" display="🔗 Ver Mapa"/>
    <hyperlink ref="L4964" r:id="rId4962" tooltip="🔗 Ver Mapa" display="🔗 Ver Mapa"/>
    <hyperlink ref="L4965" r:id="rId4963" tooltip="🔗 Ver Mapa" display="🔗 Ver Mapa"/>
    <hyperlink ref="L4966" r:id="rId4964" tooltip="🔗 Ver Mapa" display="🔗 Ver Mapa"/>
    <hyperlink ref="L4967" r:id="rId4965" tooltip="🔗 Ver Mapa" display="🔗 Ver Mapa"/>
    <hyperlink ref="L4968" r:id="rId4966" tooltip="🔗 Ver Mapa" display="🔗 Ver Mapa"/>
    <hyperlink ref="L4969" r:id="rId4967" tooltip="🔗 Ver Mapa" display="🔗 Ver Mapa"/>
    <hyperlink ref="L4970" r:id="rId4968" tooltip="🔗 Ver Mapa" display="🔗 Ver Mapa"/>
    <hyperlink ref="L4971" r:id="rId4969" tooltip="🔗 Ver Mapa" display="🔗 Ver Mapa"/>
    <hyperlink ref="L4972" r:id="rId4970" tooltip="🔗 Ver Mapa" display="🔗 Ver Mapa"/>
    <hyperlink ref="L4973" r:id="rId4971" tooltip="🔗 Ver Mapa" display="🔗 Ver Mapa"/>
    <hyperlink ref="L4974" r:id="rId4972" tooltip="🔗 Ver Mapa" display="🔗 Ver Mapa"/>
    <hyperlink ref="L4975" r:id="rId4973" tooltip="🔗 Ver Mapa" display="🔗 Ver Mapa"/>
    <hyperlink ref="L4976" r:id="rId4974" tooltip="🔗 Ver Mapa" display="🔗 Ver Mapa"/>
    <hyperlink ref="L4977" r:id="rId4975" tooltip="🔗 Ver Mapa" display="🔗 Ver Mapa"/>
    <hyperlink ref="L4978" r:id="rId4976" tooltip="🔗 Ver Mapa" display="🔗 Ver Mapa"/>
    <hyperlink ref="L4979" r:id="rId4977" tooltip="🔗 Ver Mapa" display="🔗 Ver Mapa"/>
    <hyperlink ref="L4980" r:id="rId4978" tooltip="🔗 Ver Mapa" display="🔗 Ver Mapa"/>
    <hyperlink ref="L4981" r:id="rId4979" tooltip="🔗 Ver Mapa" display="🔗 Ver Mapa"/>
    <hyperlink ref="L4982" r:id="rId4980" tooltip="🔗 Ver Mapa" display="🔗 Ver Mapa"/>
    <hyperlink ref="L4983" r:id="rId4981" tooltip="🔗 Ver Mapa" display="🔗 Ver Mapa"/>
    <hyperlink ref="L4984" r:id="rId4982" tooltip="🔗 Ver Mapa" display="🔗 Ver Mapa"/>
    <hyperlink ref="L4985" r:id="rId4983" tooltip="🔗 Ver Mapa" display="🔗 Ver Mapa"/>
    <hyperlink ref="L4986" r:id="rId4984" tooltip="🔗 Ver Mapa" display="🔗 Ver Mapa"/>
    <hyperlink ref="L4987" r:id="rId4985" tooltip="🔗 Ver Mapa" display="🔗 Ver Mapa"/>
    <hyperlink ref="L4988" r:id="rId4986" tooltip="🔗 Ver Mapa" display="🔗 Ver Mapa"/>
    <hyperlink ref="L4989" r:id="rId4987" tooltip="🔗 Ver Mapa" display="🔗 Ver Mapa"/>
    <hyperlink ref="L4990" r:id="rId4988" tooltip="🔗 Ver Mapa" display="🔗 Ver Mapa"/>
    <hyperlink ref="L4991" r:id="rId4989" tooltip="🔗 Ver Mapa" display="🔗 Ver Mapa"/>
    <hyperlink ref="L4992" r:id="rId4990" tooltip="🔗 Ver Mapa" display="🔗 Ver Mapa"/>
    <hyperlink ref="L4993" r:id="rId4991" tooltip="🔗 Ver Mapa" display="🔗 Ver Mapa"/>
    <hyperlink ref="L4994" r:id="rId4992" tooltip="🔗 Ver Mapa" display="🔗 Ver Mapa"/>
    <hyperlink ref="L4995" r:id="rId4993" tooltip="🔗 Ver Mapa" display="🔗 Ver Mapa"/>
    <hyperlink ref="L4996" r:id="rId4994" tooltip="🔗 Ver Mapa" display="🔗 Ver Mapa"/>
    <hyperlink ref="L4997" r:id="rId4995" tooltip="🔗 Ver Mapa" display="🔗 Ver Mapa"/>
    <hyperlink ref="L4998" r:id="rId4996" tooltip="🔗 Ver Mapa" display="🔗 Ver Mapa"/>
    <hyperlink ref="L4999" r:id="rId4997" tooltip="🔗 Ver Mapa" display="🔗 Ver Mapa"/>
    <hyperlink ref="L5000" r:id="rId4998" tooltip="🔗 Ver Mapa" display="🔗 Ver Mapa"/>
    <hyperlink ref="L5001" r:id="rId4999" tooltip="🔗 Ver Mapa" display="🔗 Ver Mapa"/>
    <hyperlink ref="L5002" r:id="rId5000" tooltip="🔗 Ver Mapa" display="🔗 Ver Mapa"/>
    <hyperlink ref="L5003" r:id="rId5001" tooltip="🔗 Ver Mapa" display="🔗 Ver Mapa"/>
    <hyperlink ref="L5004" r:id="rId5002" tooltip="🔗 Ver Mapa" display="🔗 Ver Mapa"/>
    <hyperlink ref="L5005" r:id="rId5003" tooltip="🔗 Ver Mapa" display="🔗 Ver Mapa"/>
    <hyperlink ref="L5006" r:id="rId5004" tooltip="🔗 Ver Mapa" display="🔗 Ver Mapa"/>
    <hyperlink ref="L5007" r:id="rId5005" tooltip="🔗 Ver Mapa" display="🔗 Ver Mapa"/>
    <hyperlink ref="L5008" r:id="rId5006" tooltip="🔗 Ver Mapa" display="🔗 Ver Mapa"/>
    <hyperlink ref="L5009" r:id="rId5007" tooltip="🔗 Ver Mapa" display="🔗 Ver Mapa"/>
    <hyperlink ref="L5010" r:id="rId5008" tooltip="🔗 Ver Mapa" display="🔗 Ver Mapa"/>
    <hyperlink ref="L5011" r:id="rId5009" tooltip="🔗 Ver Mapa" display="🔗 Ver Mapa"/>
    <hyperlink ref="L5012" r:id="rId5010" tooltip="🔗 Ver Mapa" display="🔗 Ver Mapa"/>
    <hyperlink ref="L5013" r:id="rId5011" tooltip="🔗 Ver Mapa" display="🔗 Ver Mapa"/>
    <hyperlink ref="L5014" r:id="rId5012" tooltip="🔗 Ver Mapa" display="🔗 Ver Mapa"/>
    <hyperlink ref="L5015" r:id="rId5013" tooltip="🔗 Ver Mapa" display="🔗 Ver Mapa"/>
    <hyperlink ref="L5016" r:id="rId5014" tooltip="🔗 Ver Mapa" display="🔗 Ver Mapa"/>
    <hyperlink ref="L5017" r:id="rId5015" tooltip="🔗 Ver Mapa" display="🔗 Ver Mapa"/>
    <hyperlink ref="L5018" r:id="rId5016" tooltip="🔗 Ver Mapa" display="🔗 Ver Mapa"/>
    <hyperlink ref="L5019" r:id="rId5017" tooltip="🔗 Ver Mapa" display="🔗 Ver Mapa"/>
    <hyperlink ref="L5020" r:id="rId5018" tooltip="🔗 Ver Mapa" display="🔗 Ver Mapa"/>
    <hyperlink ref="L5021" r:id="rId5019" tooltip="🔗 Ver Mapa" display="🔗 Ver Mapa"/>
    <hyperlink ref="L5022" r:id="rId5020" tooltip="🔗 Ver Mapa" display="🔗 Ver Mapa"/>
    <hyperlink ref="L5023" r:id="rId5021" tooltip="🔗 Ver Mapa" display="🔗 Ver Mapa"/>
    <hyperlink ref="L5024" r:id="rId5022" tooltip="🔗 Ver Mapa" display="🔗 Ver Mapa"/>
    <hyperlink ref="L5025" r:id="rId5023" tooltip="🔗 Ver Mapa" display="🔗 Ver Mapa"/>
    <hyperlink ref="L5026" r:id="rId5024" tooltip="🔗 Ver Mapa" display="🔗 Ver Mapa"/>
    <hyperlink ref="L5027" r:id="rId5025" tooltip="🔗 Ver Mapa" display="🔗 Ver Mapa"/>
    <hyperlink ref="L5028" r:id="rId5026" tooltip="🔗 Ver Mapa" display="🔗 Ver Mapa"/>
    <hyperlink ref="L5029" r:id="rId5027" tooltip="🔗 Ver Mapa" display="🔗 Ver Mapa"/>
    <hyperlink ref="L5030" r:id="rId5028" tooltip="🔗 Ver Mapa" display="🔗 Ver Mapa"/>
    <hyperlink ref="L5031" r:id="rId5029" tooltip="🔗 Ver Mapa" display="🔗 Ver Mapa"/>
    <hyperlink ref="L5032" r:id="rId5030" tooltip="🔗 Ver Mapa" display="🔗 Ver Mapa"/>
    <hyperlink ref="L5033" r:id="rId5031" tooltip="🔗 Ver Mapa" display="🔗 Ver Mapa"/>
    <hyperlink ref="L5034" r:id="rId5032" tooltip="🔗 Ver Mapa" display="🔗 Ver Mapa"/>
    <hyperlink ref="L5035" r:id="rId5033" tooltip="🔗 Ver Mapa" display="🔗 Ver Mapa"/>
    <hyperlink ref="L5036" r:id="rId5034" tooltip="🔗 Ver Mapa" display="🔗 Ver Mapa"/>
    <hyperlink ref="L5037" r:id="rId5035" tooltip="🔗 Ver Mapa" display="🔗 Ver Mapa"/>
    <hyperlink ref="L5038" r:id="rId5036" tooltip="🔗 Ver Mapa" display="🔗 Ver Mapa"/>
    <hyperlink ref="L5039" r:id="rId5037" tooltip="🔗 Ver Mapa" display="🔗 Ver Mapa"/>
    <hyperlink ref="L5040" r:id="rId5038" tooltip="🔗 Ver Mapa" display="🔗 Ver Mapa"/>
    <hyperlink ref="L5041" r:id="rId5039" tooltip="🔗 Ver Mapa" display="🔗 Ver Mapa"/>
    <hyperlink ref="L5042" r:id="rId5040" tooltip="🔗 Ver Mapa" display="🔗 Ver Mapa"/>
    <hyperlink ref="L5043" r:id="rId5041" tooltip="🔗 Ver Mapa" display="🔗 Ver Mapa"/>
    <hyperlink ref="L5044" r:id="rId5042" tooltip="🔗 Ver Mapa" display="🔗 Ver Mapa"/>
    <hyperlink ref="L5045" r:id="rId5043" tooltip="🔗 Ver Mapa" display="🔗 Ver Mapa"/>
    <hyperlink ref="L5046" r:id="rId5044" tooltip="🔗 Ver Mapa" display="🔗 Ver Mapa"/>
    <hyperlink ref="L5047" r:id="rId5045" tooltip="🔗 Ver Mapa" display="🔗 Ver Mapa"/>
    <hyperlink ref="L5048" r:id="rId5046" tooltip="🔗 Ver Mapa" display="🔗 Ver Mapa"/>
    <hyperlink ref="L5049" r:id="rId5047" tooltip="🔗 Ver Mapa" display="🔗 Ver Mapa"/>
    <hyperlink ref="L5050" r:id="rId5048" tooltip="🔗 Ver Mapa" display="🔗 Ver Mapa"/>
    <hyperlink ref="L5051" r:id="rId5049" tooltip="🔗 Ver Mapa" display="🔗 Ver Mapa"/>
    <hyperlink ref="L5052" r:id="rId5050" tooltip="🔗 Ver Mapa" display="🔗 Ver Mapa"/>
    <hyperlink ref="L5053" r:id="rId5051" tooltip="🔗 Ver Mapa" display="🔗 Ver Mapa"/>
    <hyperlink ref="L5054" r:id="rId5052" tooltip="🔗 Ver Mapa" display="🔗 Ver Mapa"/>
    <hyperlink ref="L5055" r:id="rId5053" tooltip="🔗 Ver Mapa" display="🔗 Ver Mapa"/>
    <hyperlink ref="L5056" r:id="rId5054" tooltip="🔗 Ver Mapa" display="🔗 Ver Mapa"/>
    <hyperlink ref="L5057" r:id="rId5055" tooltip="🔗 Ver Mapa" display="🔗 Ver Mapa"/>
    <hyperlink ref="L5058" r:id="rId5056" tooltip="🔗 Ver Mapa" display="🔗 Ver Mapa"/>
    <hyperlink ref="L5059" r:id="rId5057" tooltip="🔗 Ver Mapa" display="🔗 Ver Mapa"/>
    <hyperlink ref="L5060" r:id="rId5058" tooltip="🔗 Ver Mapa" display="🔗 Ver Mapa"/>
    <hyperlink ref="L5061" r:id="rId5059" tooltip="🔗 Ver Mapa" display="🔗 Ver Mapa"/>
    <hyperlink ref="L5062" r:id="rId5060" tooltip="🔗 Ver Mapa" display="🔗 Ver Mapa"/>
    <hyperlink ref="L5063" r:id="rId5061" tooltip="🔗 Ver Mapa" display="🔗 Ver Mapa"/>
    <hyperlink ref="L5064" r:id="rId5062" tooltip="🔗 Ver Mapa" display="🔗 Ver Mapa"/>
    <hyperlink ref="L5065" r:id="rId5063" tooltip="🔗 Ver Mapa" display="🔗 Ver Mapa"/>
    <hyperlink ref="L5066" r:id="rId5064" tooltip="🔗 Ver Mapa" display="🔗 Ver Mapa"/>
    <hyperlink ref="L5067" r:id="rId5065" tooltip="🔗 Ver Mapa" display="🔗 Ver Mapa"/>
    <hyperlink ref="L5068" r:id="rId5066" tooltip="🔗 Ver Mapa" display="🔗 Ver Mapa"/>
    <hyperlink ref="L5069" r:id="rId5067" tooltip="🔗 Ver Mapa" display="🔗 Ver Mapa"/>
    <hyperlink ref="L5070" r:id="rId5068" tooltip="🔗 Ver Mapa" display="🔗 Ver Mapa"/>
    <hyperlink ref="L5071" r:id="rId5069" tooltip="🔗 Ver Mapa" display="🔗 Ver Mapa"/>
    <hyperlink ref="L5072" r:id="rId5070" tooltip="🔗 Ver Mapa" display="🔗 Ver Mapa"/>
    <hyperlink ref="L5073" r:id="rId5071" tooltip="🔗 Ver Mapa" display="🔗 Ver Mapa"/>
    <hyperlink ref="L5074" r:id="rId5072" tooltip="🔗 Ver Mapa" display="🔗 Ver Mapa"/>
    <hyperlink ref="L5075" r:id="rId5073" tooltip="🔗 Ver Mapa" display="🔗 Ver Mapa"/>
    <hyperlink ref="L5076" r:id="rId5074" tooltip="🔗 Ver Mapa" display="🔗 Ver Mapa"/>
    <hyperlink ref="L5077" r:id="rId5075" tooltip="🔗 Ver Mapa" display="🔗 Ver Mapa"/>
    <hyperlink ref="L5078" r:id="rId5076" tooltip="🔗 Ver Mapa" display="🔗 Ver Mapa"/>
    <hyperlink ref="L5079" r:id="rId5077" tooltip="🔗 Ver Mapa" display="🔗 Ver Mapa"/>
    <hyperlink ref="L5080" r:id="rId5078" tooltip="🔗 Ver Mapa" display="🔗 Ver Mapa"/>
    <hyperlink ref="L5081" r:id="rId5079" tooltip="🔗 Ver Mapa" display="🔗 Ver Mapa"/>
    <hyperlink ref="L5082" r:id="rId5080" tooltip="🔗 Ver Mapa" display="🔗 Ver Mapa"/>
    <hyperlink ref="L5083" r:id="rId5081" tooltip="🔗 Ver Mapa" display="🔗 Ver Mapa"/>
    <hyperlink ref="L5084" r:id="rId5082" tooltip="🔗 Ver Mapa" display="🔗 Ver Mapa"/>
    <hyperlink ref="L5085" r:id="rId5083" tooltip="🔗 Ver Mapa" display="🔗 Ver Mapa"/>
    <hyperlink ref="L5086" r:id="rId5084" tooltip="🔗 Ver Mapa" display="🔗 Ver Mapa"/>
    <hyperlink ref="L5087" r:id="rId5085" tooltip="🔗 Ver Mapa" display="🔗 Ver Mapa"/>
    <hyperlink ref="L5088" r:id="rId5086" tooltip="🔗 Ver Mapa" display="🔗 Ver Mapa"/>
    <hyperlink ref="L5089" r:id="rId5087" tooltip="🔗 Ver Mapa" display="🔗 Ver Mapa"/>
    <hyperlink ref="L5090" r:id="rId5088" tooltip="🔗 Ver Mapa" display="🔗 Ver Mapa"/>
    <hyperlink ref="L5091" r:id="rId5089" tooltip="🔗 Ver Mapa" display="🔗 Ver Mapa"/>
    <hyperlink ref="L5092" r:id="rId5090" tooltip="🔗 Ver Mapa" display="🔗 Ver Mapa"/>
    <hyperlink ref="L5093" r:id="rId5091" tooltip="🔗 Ver Mapa" display="🔗 Ver Mapa"/>
    <hyperlink ref="L5094" r:id="rId5092" tooltip="🔗 Ver Mapa" display="🔗 Ver Mapa"/>
    <hyperlink ref="L5095" r:id="rId5093" tooltip="🔗 Ver Mapa" display="🔗 Ver Mapa"/>
    <hyperlink ref="L5096" r:id="rId5094" tooltip="🔗 Ver Mapa" display="🔗 Ver Mapa"/>
    <hyperlink ref="L5097" r:id="rId5095" tooltip="🔗 Ver Mapa" display="🔗 Ver Mapa"/>
    <hyperlink ref="L5098" r:id="rId5096" tooltip="🔗 Ver Mapa" display="🔗 Ver Mapa"/>
    <hyperlink ref="L5099" r:id="rId5097" tooltip="🔗 Ver Mapa" display="🔗 Ver Mapa"/>
    <hyperlink ref="L5100" r:id="rId5098" tooltip="🔗 Ver Mapa" display="🔗 Ver Mapa"/>
    <hyperlink ref="L5101" r:id="rId5099" tooltip="🔗 Ver Mapa" display="🔗 Ver Mapa"/>
    <hyperlink ref="L5102" r:id="rId5100" tooltip="🔗 Ver Mapa" display="🔗 Ver Mapa"/>
    <hyperlink ref="L5103" r:id="rId5101" tooltip="🔗 Ver Mapa" display="🔗 Ver Mapa"/>
    <hyperlink ref="L5104" r:id="rId5102" tooltip="🔗 Ver Mapa" display="🔗 Ver Mapa"/>
    <hyperlink ref="L5105" r:id="rId5103" tooltip="🔗 Ver Mapa" display="🔗 Ver Mapa"/>
    <hyperlink ref="L5106" r:id="rId5104" tooltip="🔗 Ver Mapa" display="🔗 Ver Mapa"/>
    <hyperlink ref="L5107" r:id="rId5105" tooltip="🔗 Ver Mapa" display="🔗 Ver Mapa"/>
    <hyperlink ref="L5108" r:id="rId5106" tooltip="🔗 Ver Mapa" display="🔗 Ver Mapa"/>
    <hyperlink ref="L5109" r:id="rId5107" tooltip="🔗 Ver Mapa" display="🔗 Ver Mapa"/>
    <hyperlink ref="L5110" r:id="rId5108" tooltip="🔗 Ver Mapa" display="🔗 Ver Mapa"/>
    <hyperlink ref="L5111" r:id="rId5109" tooltip="🔗 Ver Mapa" display="🔗 Ver Mapa"/>
    <hyperlink ref="L5112" r:id="rId5110" tooltip="🔗 Ver Mapa" display="🔗 Ver Mapa"/>
    <hyperlink ref="L5113" r:id="rId5111" tooltip="🔗 Ver Mapa" display="🔗 Ver Mapa"/>
    <hyperlink ref="L5114" r:id="rId5112" tooltip="🔗 Ver Mapa" display="🔗 Ver Mapa"/>
    <hyperlink ref="L5115" r:id="rId5113" tooltip="🔗 Ver Mapa" display="🔗 Ver Mapa"/>
    <hyperlink ref="L5116" r:id="rId5114" tooltip="🔗 Ver Mapa" display="🔗 Ver Mapa"/>
    <hyperlink ref="L5117" r:id="rId5115" tooltip="🔗 Ver Mapa" display="🔗 Ver Mapa"/>
    <hyperlink ref="L5118" r:id="rId5116" tooltip="🔗 Ver Mapa" display="🔗 Ver Mapa"/>
    <hyperlink ref="L5119" r:id="rId5117" tooltip="🔗 Ver Mapa" display="🔗 Ver Mapa"/>
    <hyperlink ref="L5120" r:id="rId5118" tooltip="🔗 Ver Mapa" display="🔗 Ver Mapa"/>
    <hyperlink ref="L5121" r:id="rId5119" tooltip="🔗 Ver Mapa" display="🔗 Ver Mapa"/>
    <hyperlink ref="L5122" r:id="rId5120" tooltip="🔗 Ver Mapa" display="🔗 Ver Mapa"/>
    <hyperlink ref="L5123" r:id="rId5121" tooltip="🔗 Ver Mapa" display="🔗 Ver Mapa"/>
    <hyperlink ref="L5124" r:id="rId5122" tooltip="🔗 Ver Mapa" display="🔗 Ver Mapa"/>
    <hyperlink ref="L5125" r:id="rId5123" tooltip="🔗 Ver Mapa" display="🔗 Ver Mapa"/>
    <hyperlink ref="L5126" r:id="rId5124" tooltip="🔗 Ver Mapa" display="🔗 Ver Mapa"/>
    <hyperlink ref="L5127" r:id="rId5125" tooltip="🔗 Ver Mapa" display="🔗 Ver Mapa"/>
    <hyperlink ref="L5128" r:id="rId5126" tooltip="🔗 Ver Mapa" display="🔗 Ver Mapa"/>
    <hyperlink ref="L5129" r:id="rId5127" tooltip="🔗 Ver Mapa" display="🔗 Ver Mapa"/>
    <hyperlink ref="L5130" r:id="rId5128" tooltip="🔗 Ver Mapa" display="🔗 Ver Mapa"/>
    <hyperlink ref="L5131" r:id="rId5129" tooltip="🔗 Ver Mapa" display="🔗 Ver Mapa"/>
    <hyperlink ref="L5132" r:id="rId5130" tooltip="🔗 Ver Mapa" display="🔗 Ver Mapa"/>
    <hyperlink ref="L5133" r:id="rId5131" tooltip="🔗 Ver Mapa" display="🔗 Ver Mapa"/>
    <hyperlink ref="L5134" r:id="rId5132" tooltip="🔗 Ver Mapa" display="🔗 Ver Mapa"/>
    <hyperlink ref="L5135" r:id="rId5133" tooltip="🔗 Ver Mapa" display="🔗 Ver Mapa"/>
    <hyperlink ref="L5136" r:id="rId5134" tooltip="🔗 Ver Mapa" display="🔗 Ver Mapa"/>
    <hyperlink ref="L5137" r:id="rId5135" tooltip="🔗 Ver Mapa" display="🔗 Ver Mapa"/>
    <hyperlink ref="L5138" r:id="rId5136" tooltip="🔗 Ver Mapa" display="🔗 Ver Mapa"/>
    <hyperlink ref="L5139" r:id="rId5137" tooltip="🔗 Ver Mapa" display="🔗 Ver Mapa"/>
    <hyperlink ref="L5140" r:id="rId5138" tooltip="🔗 Ver Mapa" display="🔗 Ver Mapa"/>
    <hyperlink ref="L5141" r:id="rId5139" tooltip="🔗 Ver Mapa" display="🔗 Ver Mapa"/>
    <hyperlink ref="L5142" r:id="rId5140" tooltip="🔗 Ver Mapa" display="🔗 Ver Mapa"/>
    <hyperlink ref="L5143" r:id="rId5141" tooltip="🔗 Ver Mapa" display="🔗 Ver Mapa"/>
    <hyperlink ref="L5144" r:id="rId5142" tooltip="🔗 Ver Mapa" display="🔗 Ver Mapa"/>
    <hyperlink ref="L5145" r:id="rId5143" tooltip="🔗 Ver Mapa" display="🔗 Ver Mapa"/>
    <hyperlink ref="L5146" r:id="rId5144" tooltip="🔗 Ver Mapa" display="🔗 Ver Mapa"/>
    <hyperlink ref="L5147" r:id="rId5145" tooltip="🔗 Ver Mapa" display="🔗 Ver Mapa"/>
    <hyperlink ref="L5148" r:id="rId5146" tooltip="🔗 Ver Mapa" display="🔗 Ver Mapa"/>
    <hyperlink ref="L5149" r:id="rId5147" tooltip="🔗 Ver Mapa" display="🔗 Ver Mapa"/>
    <hyperlink ref="L5150" r:id="rId5148" tooltip="🔗 Ver Mapa" display="🔗 Ver Mapa"/>
    <hyperlink ref="L5151" r:id="rId5149" tooltip="🔗 Ver Mapa" display="🔗 Ver Mapa"/>
    <hyperlink ref="L5152" r:id="rId5150" tooltip="🔗 Ver Mapa" display="🔗 Ver Mapa"/>
    <hyperlink ref="L5153" r:id="rId5151" tooltip="🔗 Ver Mapa" display="🔗 Ver Mapa"/>
    <hyperlink ref="L5154" r:id="rId5152" tooltip="🔗 Ver Mapa" display="🔗 Ver Mapa"/>
    <hyperlink ref="L5155" r:id="rId5153" tooltip="🔗 Ver Mapa" display="🔗 Ver Mapa"/>
    <hyperlink ref="L5156" r:id="rId5154" tooltip="🔗 Ver Mapa" display="🔗 Ver Mapa"/>
    <hyperlink ref="L5157" r:id="rId5155" tooltip="🔗 Ver Mapa" display="🔗 Ver Mapa"/>
    <hyperlink ref="L5158" r:id="rId5156" tooltip="🔗 Ver Mapa" display="🔗 Ver Mapa"/>
    <hyperlink ref="L5159" r:id="rId5157" tooltip="🔗 Ver Mapa" display="🔗 Ver Mapa"/>
    <hyperlink ref="L5160" r:id="rId5158" tooltip="🔗 Ver Mapa" display="🔗 Ver Mapa"/>
    <hyperlink ref="L5161" r:id="rId5159" tooltip="🔗 Ver Mapa" display="🔗 Ver Mapa"/>
    <hyperlink ref="L5162" r:id="rId5160" tooltip="🔗 Ver Mapa" display="🔗 Ver Mapa"/>
    <hyperlink ref="L5163" r:id="rId5161" tooltip="🔗 Ver Mapa" display="🔗 Ver Mapa"/>
    <hyperlink ref="L5164" r:id="rId5162" tooltip="🔗 Ver Mapa" display="🔗 Ver Mapa"/>
    <hyperlink ref="L5165" r:id="rId5163" tooltip="🔗 Ver Mapa" display="🔗 Ver Mapa"/>
    <hyperlink ref="L5166" r:id="rId5164" tooltip="🔗 Ver Mapa" display="🔗 Ver Mapa"/>
    <hyperlink ref="L5167" r:id="rId5165" tooltip="🔗 Ver Mapa" display="🔗 Ver Mapa"/>
    <hyperlink ref="L5168" r:id="rId5166" tooltip="🔗 Ver Mapa" display="🔗 Ver Mapa"/>
    <hyperlink ref="L5169" r:id="rId5167" tooltip="🔗 Ver Mapa" display="🔗 Ver Mapa"/>
    <hyperlink ref="L5170" r:id="rId5168" tooltip="🔗 Ver Mapa" display="🔗 Ver Mapa"/>
    <hyperlink ref="L5171" r:id="rId5169" tooltip="🔗 Ver Mapa" display="🔗 Ver Mapa"/>
    <hyperlink ref="L5172" r:id="rId5170" tooltip="🔗 Ver Mapa" display="🔗 Ver Mapa"/>
    <hyperlink ref="L5173" r:id="rId5171" tooltip="🔗 Ver Mapa" display="🔗 Ver Mapa"/>
    <hyperlink ref="L5174" r:id="rId5172" tooltip="🔗 Ver Mapa" display="🔗 Ver Mapa"/>
    <hyperlink ref="L5175" r:id="rId5173" tooltip="🔗 Ver Mapa" display="🔗 Ver Mapa"/>
    <hyperlink ref="L5176" r:id="rId5174" tooltip="🔗 Ver Mapa" display="🔗 Ver Mapa"/>
    <hyperlink ref="L5177" r:id="rId5175" tooltip="🔗 Ver Mapa" display="🔗 Ver Mapa"/>
    <hyperlink ref="L5178" r:id="rId5176" tooltip="🔗 Ver Mapa" display="🔗 Ver Mapa"/>
    <hyperlink ref="L5179" r:id="rId5177" tooltip="🔗 Ver Mapa" display="🔗 Ver Mapa"/>
    <hyperlink ref="L5180" r:id="rId5178" tooltip="🔗 Ver Mapa" display="🔗 Ver Mapa"/>
    <hyperlink ref="L5181" r:id="rId5179" tooltip="🔗 Ver Mapa" display="🔗 Ver Mapa"/>
    <hyperlink ref="L5182" r:id="rId5180" tooltip="🔗 Ver Mapa" display="🔗 Ver Mapa"/>
    <hyperlink ref="L5183" r:id="rId5181" tooltip="🔗 Ver Mapa" display="🔗 Ver Mapa"/>
    <hyperlink ref="L5184" r:id="rId5182" tooltip="🔗 Ver Mapa" display="🔗 Ver Mapa"/>
    <hyperlink ref="L5185" r:id="rId5183" tooltip="🔗 Ver Mapa" display="🔗 Ver Mapa"/>
    <hyperlink ref="L5186" r:id="rId5184" tooltip="🔗 Ver Mapa" display="🔗 Ver Mapa"/>
    <hyperlink ref="L5187" r:id="rId5185" tooltip="🔗 Ver Mapa" display="🔗 Ver Mapa"/>
    <hyperlink ref="L5188" r:id="rId5186" tooltip="🔗 Ver Mapa" display="🔗 Ver Mapa"/>
    <hyperlink ref="L5189" r:id="rId5187" tooltip="🔗 Ver Mapa" display="🔗 Ver Mapa"/>
    <hyperlink ref="L5190" r:id="rId5188" tooltip="🔗 Ver Mapa" display="🔗 Ver Mapa"/>
    <hyperlink ref="L5191" r:id="rId5189" tooltip="🔗 Ver Mapa" display="🔗 Ver Mapa"/>
    <hyperlink ref="L5192" r:id="rId5190" tooltip="🔗 Ver Mapa" display="🔗 Ver Mapa"/>
    <hyperlink ref="L5193" r:id="rId5191" tooltip="🔗 Ver Mapa" display="🔗 Ver Mapa"/>
    <hyperlink ref="L5194" r:id="rId5192" tooltip="🔗 Ver Mapa" display="🔗 Ver Mapa"/>
    <hyperlink ref="L5195" r:id="rId5193" tooltip="🔗 Ver Mapa" display="🔗 Ver Mapa"/>
    <hyperlink ref="L5196" r:id="rId5194" tooltip="🔗 Ver Mapa" display="🔗 Ver Mapa"/>
    <hyperlink ref="L5197" r:id="rId5195" tooltip="🔗 Ver Mapa" display="🔗 Ver Mapa"/>
    <hyperlink ref="L5198" r:id="rId5196" tooltip="🔗 Ver Mapa" display="🔗 Ver Mapa"/>
    <hyperlink ref="L5199" r:id="rId5197" tooltip="🔗 Ver Mapa" display="🔗 Ver Mapa"/>
    <hyperlink ref="L5200" r:id="rId5198" tooltip="🔗 Ver Mapa" display="🔗 Ver Mapa"/>
    <hyperlink ref="L5201" r:id="rId5199" tooltip="🔗 Ver Mapa" display="🔗 Ver Mapa"/>
    <hyperlink ref="L5202" r:id="rId5200" tooltip="🔗 Ver Mapa" display="🔗 Ver Mapa"/>
    <hyperlink ref="L5203" r:id="rId5201" tooltip="🔗 Ver Mapa" display="🔗 Ver Mapa"/>
    <hyperlink ref="L5204" r:id="rId5202" tooltip="🔗 Ver Mapa" display="🔗 Ver Mapa"/>
    <hyperlink ref="L5205" r:id="rId5203" tooltip="🔗 Ver Mapa" display="🔗 Ver Mapa"/>
    <hyperlink ref="L5206" r:id="rId5204" tooltip="🔗 Ver Mapa" display="🔗 Ver Mapa"/>
    <hyperlink ref="L5207" r:id="rId5205" tooltip="🔗 Ver Mapa" display="🔗 Ver Mapa"/>
    <hyperlink ref="L5208" r:id="rId5206" tooltip="🔗 Ver Mapa" display="🔗 Ver Mapa"/>
    <hyperlink ref="L5209" r:id="rId5207" tooltip="🔗 Ver Mapa" display="🔗 Ver Mapa"/>
    <hyperlink ref="L5210" r:id="rId5208" tooltip="🔗 Ver Mapa" display="🔗 Ver Mapa"/>
    <hyperlink ref="L5211" r:id="rId5209" tooltip="🔗 Ver Mapa" display="🔗 Ver Mapa"/>
    <hyperlink ref="L5212" r:id="rId5210" tooltip="🔗 Ver Mapa" display="🔗 Ver Mapa"/>
    <hyperlink ref="L5213" r:id="rId5211" tooltip="🔗 Ver Mapa" display="🔗 Ver Mapa"/>
    <hyperlink ref="L5214" r:id="rId5212" tooltip="🔗 Ver Mapa" display="🔗 Ver Mapa"/>
    <hyperlink ref="L5215" r:id="rId5213" tooltip="🔗 Ver Mapa" display="🔗 Ver Mapa"/>
    <hyperlink ref="L5216" r:id="rId5214" tooltip="🔗 Ver Mapa" display="🔗 Ver Mapa"/>
    <hyperlink ref="L5217" r:id="rId5215" tooltip="🔗 Ver Mapa" display="🔗 Ver Mapa"/>
    <hyperlink ref="L5218" r:id="rId5216" tooltip="🔗 Ver Mapa" display="🔗 Ver Mapa"/>
    <hyperlink ref="L5219" r:id="rId5217" tooltip="🔗 Ver Mapa" display="🔗 Ver Mapa"/>
    <hyperlink ref="L5220" r:id="rId5218" tooltip="🔗 Ver Mapa" display="🔗 Ver Mapa"/>
    <hyperlink ref="L5221" r:id="rId5219" tooltip="🔗 Ver Mapa" display="🔗 Ver Mapa"/>
    <hyperlink ref="L5222" r:id="rId5220" tooltip="🔗 Ver Mapa" display="🔗 Ver Mapa"/>
    <hyperlink ref="L5223" r:id="rId5221" tooltip="🔗 Ver Mapa" display="🔗 Ver Mapa"/>
    <hyperlink ref="L5224" r:id="rId5222" tooltip="🔗 Ver Mapa" display="🔗 Ver Mapa"/>
    <hyperlink ref="L5225" r:id="rId5223" tooltip="🔗 Ver Mapa" display="🔗 Ver Mapa"/>
    <hyperlink ref="L5226" r:id="rId5224" tooltip="🔗 Ver Mapa" display="🔗 Ver Mapa"/>
    <hyperlink ref="L5227" r:id="rId5225" tooltip="🔗 Ver Mapa" display="🔗 Ver Mapa"/>
    <hyperlink ref="L5228" r:id="rId5226" tooltip="🔗 Ver Mapa" display="🔗 Ver Mapa"/>
    <hyperlink ref="L5229" r:id="rId5227" tooltip="🔗 Ver Mapa" display="🔗 Ver Mapa"/>
    <hyperlink ref="L5230" r:id="rId5228" tooltip="🔗 Ver Mapa" display="🔗 Ver Mapa"/>
    <hyperlink ref="L5231" r:id="rId5229" tooltip="🔗 Ver Mapa" display="🔗 Ver Mapa"/>
    <hyperlink ref="L5232" r:id="rId5230" tooltip="🔗 Ver Mapa" display="🔗 Ver Mapa"/>
    <hyperlink ref="L5233" r:id="rId5231" tooltip="🔗 Ver Mapa" display="🔗 Ver Mapa"/>
    <hyperlink ref="L5234" r:id="rId5232" tooltip="🔗 Ver Mapa" display="🔗 Ver Mapa"/>
    <hyperlink ref="L5235" r:id="rId5233" tooltip="🔗 Ver Mapa" display="🔗 Ver Mapa"/>
    <hyperlink ref="L5236" r:id="rId5234" tooltip="🔗 Ver Mapa" display="🔗 Ver Mapa"/>
    <hyperlink ref="L5237" r:id="rId5235" tooltip="🔗 Ver Mapa" display="🔗 Ver Mapa"/>
    <hyperlink ref="L5238" r:id="rId5236" tooltip="🔗 Ver Mapa" display="🔗 Ver Mapa"/>
    <hyperlink ref="L5239" r:id="rId5237" tooltip="🔗 Ver Mapa" display="🔗 Ver Mapa"/>
    <hyperlink ref="L5240" r:id="rId5238" tooltip="🔗 Ver Mapa" display="🔗 Ver Mapa"/>
    <hyperlink ref="L5241" r:id="rId5239" tooltip="🔗 Ver Mapa" display="🔗 Ver Mapa"/>
    <hyperlink ref="L5242" r:id="rId5240" tooltip="🔗 Ver Mapa" display="🔗 Ver Mapa"/>
    <hyperlink ref="L5243" r:id="rId5241" tooltip="🔗 Ver Mapa" display="🔗 Ver Mapa"/>
    <hyperlink ref="L5244" r:id="rId5242" tooltip="🔗 Ver Mapa" display="🔗 Ver Mapa"/>
    <hyperlink ref="L5245" r:id="rId5243" tooltip="🔗 Ver Mapa" display="🔗 Ver Mapa"/>
    <hyperlink ref="L5246" r:id="rId5244" tooltip="🔗 Ver Mapa" display="🔗 Ver Mapa"/>
    <hyperlink ref="L5247" r:id="rId5245" tooltip="🔗 Ver Mapa" display="🔗 Ver Mapa"/>
    <hyperlink ref="L5248" r:id="rId5246" tooltip="🔗 Ver Mapa" display="🔗 Ver Mapa"/>
    <hyperlink ref="L5249" r:id="rId5247" tooltip="🔗 Ver Mapa" display="🔗 Ver Mapa"/>
    <hyperlink ref="L5250" r:id="rId5248" tooltip="🔗 Ver Mapa" display="🔗 Ver Mapa"/>
    <hyperlink ref="L5251" r:id="rId5249" tooltip="🔗 Ver Mapa" display="🔗 Ver Mapa"/>
    <hyperlink ref="L5252" r:id="rId5250" tooltip="🔗 Ver Mapa" display="🔗 Ver Mapa"/>
    <hyperlink ref="L5253" r:id="rId5251" tooltip="🔗 Ver Mapa" display="🔗 Ver Mapa"/>
    <hyperlink ref="L5254" r:id="rId5252" tooltip="🔗 Ver Mapa" display="🔗 Ver Mapa"/>
    <hyperlink ref="L5255" r:id="rId5253" tooltip="🔗 Ver Mapa" display="🔗 Ver Mapa"/>
    <hyperlink ref="L5256" r:id="rId5254" tooltip="🔗 Ver Mapa" display="🔗 Ver Mapa"/>
    <hyperlink ref="L5257" r:id="rId5255" tooltip="🔗 Ver Mapa" display="🔗 Ver Mapa"/>
    <hyperlink ref="L5258" r:id="rId5256" tooltip="🔗 Ver Mapa" display="🔗 Ver Mapa"/>
    <hyperlink ref="L5259" r:id="rId5257" tooltip="🔗 Ver Mapa" display="🔗 Ver Mapa"/>
    <hyperlink ref="L5260" r:id="rId5258" tooltip="🔗 Ver Mapa" display="🔗 Ver Mapa"/>
    <hyperlink ref="L5261" r:id="rId5259" tooltip="🔗 Ver Mapa" display="🔗 Ver Mapa"/>
    <hyperlink ref="L5262" r:id="rId5260" tooltip="🔗 Ver Mapa" display="🔗 Ver Mapa"/>
    <hyperlink ref="L5263" r:id="rId5261" tooltip="🔗 Ver Mapa" display="🔗 Ver Mapa"/>
    <hyperlink ref="L5264" r:id="rId5262" tooltip="🔗 Ver Mapa" display="🔗 Ver Mapa"/>
    <hyperlink ref="L5265" r:id="rId5263" tooltip="🔗 Ver Mapa" display="🔗 Ver Mapa"/>
    <hyperlink ref="L5266" r:id="rId5264" tooltip="🔗 Ver Mapa" display="🔗 Ver Mapa"/>
    <hyperlink ref="L5267" r:id="rId5265" tooltip="🔗 Ver Mapa" display="🔗 Ver Mapa"/>
    <hyperlink ref="L5268" r:id="rId5266" tooltip="🔗 Ver Mapa" display="🔗 Ver Mapa"/>
    <hyperlink ref="L5269" r:id="rId5267" tooltip="🔗 Ver Mapa" display="🔗 Ver Mapa"/>
    <hyperlink ref="L5270" r:id="rId5268" tooltip="🔗 Ver Mapa" display="🔗 Ver Mapa"/>
    <hyperlink ref="L5271" r:id="rId5269" tooltip="🔗 Ver Mapa" display="🔗 Ver Mapa"/>
    <hyperlink ref="L5272" r:id="rId5270" tooltip="🔗 Ver Mapa" display="🔗 Ver Mapa"/>
    <hyperlink ref="L5273" r:id="rId5271" tooltip="🔗 Ver Mapa" display="🔗 Ver Mapa"/>
    <hyperlink ref="L5274" r:id="rId5272" tooltip="🔗 Ver Mapa" display="🔗 Ver Mapa"/>
    <hyperlink ref="L5275" r:id="rId5273" tooltip="🔗 Ver Mapa" display="🔗 Ver Mapa"/>
    <hyperlink ref="L5276" r:id="rId5274" tooltip="🔗 Ver Mapa" display="🔗 Ver Mapa"/>
    <hyperlink ref="L5277" r:id="rId5275" tooltip="🔗 Ver Mapa" display="🔗 Ver Mapa"/>
    <hyperlink ref="L5278" r:id="rId5276" tooltip="🔗 Ver Mapa" display="🔗 Ver Mapa"/>
    <hyperlink ref="L5279" r:id="rId5277" tooltip="🔗 Ver Mapa" display="🔗 Ver Mapa"/>
    <hyperlink ref="L5280" r:id="rId5278" tooltip="🔗 Ver Mapa" display="🔗 Ver Mapa"/>
    <hyperlink ref="L5281" r:id="rId5279" tooltip="🔗 Ver Mapa" display="🔗 Ver Mapa"/>
    <hyperlink ref="L5282" r:id="rId5280" tooltip="🔗 Ver Mapa" display="🔗 Ver Mapa"/>
    <hyperlink ref="L5283" r:id="rId5281" tooltip="🔗 Ver Mapa" display="🔗 Ver Mapa"/>
    <hyperlink ref="L5284" r:id="rId5282" tooltip="🔗 Ver Mapa" display="🔗 Ver Mapa"/>
    <hyperlink ref="L5285" r:id="rId5283" tooltip="🔗 Ver Mapa" display="🔗 Ver Mapa"/>
    <hyperlink ref="L5286" r:id="rId5284" tooltip="🔗 Ver Mapa" display="🔗 Ver Mapa"/>
    <hyperlink ref="L5287" r:id="rId5285" tooltip="🔗 Ver Mapa" display="🔗 Ver Mapa"/>
    <hyperlink ref="L5288" r:id="rId5286" tooltip="🔗 Ver Mapa" display="🔗 Ver Mapa"/>
    <hyperlink ref="L5289" r:id="rId5287" tooltip="🔗 Ver Mapa" display="🔗 Ver Mapa"/>
    <hyperlink ref="L5290" r:id="rId5288" tooltip="🔗 Ver Mapa" display="🔗 Ver Mapa"/>
    <hyperlink ref="L5291" r:id="rId5289" tooltip="🔗 Ver Mapa" display="🔗 Ver Mapa"/>
    <hyperlink ref="L5292" r:id="rId5290" tooltip="🔗 Ver Mapa" display="🔗 Ver Mapa"/>
    <hyperlink ref="L5293" r:id="rId5291" tooltip="🔗 Ver Mapa" display="🔗 Ver Mapa"/>
    <hyperlink ref="L5294" r:id="rId5292" tooltip="🔗 Ver Mapa" display="🔗 Ver Mapa"/>
    <hyperlink ref="L5295" r:id="rId5293" tooltip="🔗 Ver Mapa" display="🔗 Ver Mapa"/>
    <hyperlink ref="L5296" r:id="rId5294" tooltip="🔗 Ver Mapa" display="🔗 Ver Mapa"/>
    <hyperlink ref="L5297" r:id="rId5295" tooltip="🔗 Ver Mapa" display="🔗 Ver Mapa"/>
    <hyperlink ref="L5298" r:id="rId5296" tooltip="🔗 Ver Mapa" display="🔗 Ver Mapa"/>
    <hyperlink ref="L5299" r:id="rId5297" tooltip="🔗 Ver Mapa" display="🔗 Ver Mapa"/>
    <hyperlink ref="L5300" r:id="rId5298" tooltip="🔗 Ver Mapa" display="🔗 Ver Mapa"/>
    <hyperlink ref="L5301" r:id="rId5299" tooltip="🔗 Ver Mapa" display="🔗 Ver Mapa"/>
    <hyperlink ref="L5302" r:id="rId5300" tooltip="🔗 Ver Mapa" display="🔗 Ver Mapa"/>
    <hyperlink ref="L5303" r:id="rId5301" tooltip="🔗 Ver Mapa" display="🔗 Ver Mapa"/>
    <hyperlink ref="L5304" r:id="rId5302" tooltip="🔗 Ver Mapa" display="🔗 Ver Mapa"/>
    <hyperlink ref="L5305" r:id="rId5303" tooltip="🔗 Ver Mapa" display="🔗 Ver Mapa"/>
    <hyperlink ref="L5306" r:id="rId5304" tooltip="🔗 Ver Mapa" display="🔗 Ver Mapa"/>
    <hyperlink ref="L5307" r:id="rId5305" tooltip="🔗 Ver Mapa" display="🔗 Ver Mapa"/>
    <hyperlink ref="L5308" r:id="rId5306" tooltip="🔗 Ver Mapa" display="🔗 Ver Mapa"/>
    <hyperlink ref="L5309" r:id="rId5307" tooltip="🔗 Ver Mapa" display="🔗 Ver Mapa"/>
    <hyperlink ref="L5310" r:id="rId5308" tooltip="🔗 Ver Mapa" display="🔗 Ver Mapa"/>
    <hyperlink ref="L5311" r:id="rId5309" tooltip="🔗 Ver Mapa" display="🔗 Ver Mapa"/>
    <hyperlink ref="L5312" r:id="rId5310" tooltip="🔗 Ver Mapa" display="🔗 Ver Mapa"/>
    <hyperlink ref="L5313" r:id="rId5311" tooltip="🔗 Ver Mapa" display="🔗 Ver Mapa"/>
    <hyperlink ref="L5314" r:id="rId5312" tooltip="🔗 Ver Mapa" display="🔗 Ver Mapa"/>
    <hyperlink ref="L5315" r:id="rId5313" tooltip="🔗 Ver Mapa" display="🔗 Ver Mapa"/>
    <hyperlink ref="L5316" r:id="rId5314" tooltip="🔗 Ver Mapa" display="🔗 Ver Mapa"/>
    <hyperlink ref="L5317" r:id="rId5315" tooltip="🔗 Ver Mapa" display="🔗 Ver Mapa"/>
    <hyperlink ref="L5318" r:id="rId5316" tooltip="🔗 Ver Mapa" display="🔗 Ver Mapa"/>
    <hyperlink ref="L5319" r:id="rId5317" tooltip="🔗 Ver Mapa" display="🔗 Ver Mapa"/>
    <hyperlink ref="L5320" r:id="rId5318" tooltip="🔗 Ver Mapa" display="🔗 Ver Mapa"/>
    <hyperlink ref="L5321" r:id="rId5319" tooltip="🔗 Ver Mapa" display="🔗 Ver Mapa"/>
    <hyperlink ref="L5322" r:id="rId5320" tooltip="🔗 Ver Mapa" display="🔗 Ver Mapa"/>
    <hyperlink ref="L5323" r:id="rId5321" tooltip="🔗 Ver Mapa" display="🔗 Ver Mapa"/>
    <hyperlink ref="L5324" r:id="rId5322" tooltip="🔗 Ver Mapa" display="🔗 Ver Mapa"/>
    <hyperlink ref="L5325" r:id="rId5323" tooltip="🔗 Ver Mapa" display="🔗 Ver Mapa"/>
    <hyperlink ref="L5326" r:id="rId5324" tooltip="🔗 Ver Mapa" display="🔗 Ver Mapa"/>
    <hyperlink ref="L5327" r:id="rId5325" tooltip="🔗 Ver Mapa" display="🔗 Ver Mapa"/>
    <hyperlink ref="L5328" r:id="rId5326" tooltip="🔗 Ver Mapa" display="🔗 Ver Mapa"/>
    <hyperlink ref="L5329" r:id="rId5327" tooltip="🔗 Ver Mapa" display="🔗 Ver Mapa"/>
    <hyperlink ref="L5330" r:id="rId5328" tooltip="🔗 Ver Mapa" display="🔗 Ver Mapa"/>
    <hyperlink ref="L5331" r:id="rId5329" tooltip="🔗 Ver Mapa" display="🔗 Ver Mapa"/>
    <hyperlink ref="L5332" r:id="rId5330" tooltip="🔗 Ver Mapa" display="🔗 Ver Mapa"/>
    <hyperlink ref="L5333" r:id="rId5331" tooltip="🔗 Ver Mapa" display="🔗 Ver Mapa"/>
    <hyperlink ref="L5334" r:id="rId5332" tooltip="🔗 Ver Mapa" display="🔗 Ver Mapa"/>
    <hyperlink ref="L5335" r:id="rId5333" tooltip="🔗 Ver Mapa" display="🔗 Ver Mapa"/>
    <hyperlink ref="L5336" r:id="rId5334" tooltip="🔗 Ver Mapa" display="🔗 Ver Mapa"/>
    <hyperlink ref="L5337" r:id="rId5335" tooltip="🔗 Ver Mapa" display="🔗 Ver Mapa"/>
    <hyperlink ref="L5338" r:id="rId5336" tooltip="🔗 Ver Mapa" display="🔗 Ver Mapa"/>
    <hyperlink ref="L5339" r:id="rId5337" tooltip="🔗 Ver Mapa" display="🔗 Ver Mapa"/>
    <hyperlink ref="L5340" r:id="rId5338" tooltip="🔗 Ver Mapa" display="🔗 Ver Mapa"/>
    <hyperlink ref="L5341" r:id="rId5339" tooltip="🔗 Ver Mapa" display="🔗 Ver Mapa"/>
    <hyperlink ref="L5342" r:id="rId5340" tooltip="🔗 Ver Mapa" display="🔗 Ver Mapa"/>
    <hyperlink ref="L5343" r:id="rId5341" tooltip="🔗 Ver Mapa" display="🔗 Ver Mapa"/>
    <hyperlink ref="L5344" r:id="rId5342" tooltip="🔗 Ver Mapa" display="🔗 Ver Mapa"/>
    <hyperlink ref="L5345" r:id="rId5343" tooltip="🔗 Ver Mapa" display="🔗 Ver Mapa"/>
    <hyperlink ref="L5346" r:id="rId5344" tooltip="🔗 Ver Mapa" display="🔗 Ver Mapa"/>
    <hyperlink ref="L5347" r:id="rId5345" tooltip="🔗 Ver Mapa" display="🔗 Ver Mapa"/>
    <hyperlink ref="L5348" r:id="rId5346" tooltip="🔗 Ver Mapa" display="🔗 Ver Mapa"/>
    <hyperlink ref="L5349" r:id="rId5347" tooltip="🔗 Ver Mapa" display="🔗 Ver Mapa"/>
    <hyperlink ref="L5350" r:id="rId5348" tooltip="🔗 Ver Mapa" display="🔗 Ver Mapa"/>
    <hyperlink ref="L5351" r:id="rId5349" tooltip="🔗 Ver Mapa" display="🔗 Ver Mapa"/>
    <hyperlink ref="L5352" r:id="rId5350" tooltip="🔗 Ver Mapa" display="🔗 Ver Mapa"/>
    <hyperlink ref="L5353" r:id="rId5351" tooltip="🔗 Ver Mapa" display="🔗 Ver Mapa"/>
    <hyperlink ref="L5354" r:id="rId5352" tooltip="🔗 Ver Mapa" display="🔗 Ver Mapa"/>
    <hyperlink ref="L5355" r:id="rId5353" tooltip="🔗 Ver Mapa" display="🔗 Ver Mapa"/>
    <hyperlink ref="L5356" r:id="rId5354" tooltip="🔗 Ver Mapa" display="🔗 Ver Mapa"/>
    <hyperlink ref="L5357" r:id="rId5355" tooltip="🔗 Ver Mapa" display="🔗 Ver Mapa"/>
    <hyperlink ref="L5358" r:id="rId5356" tooltip="🔗 Ver Mapa" display="🔗 Ver Mapa"/>
    <hyperlink ref="L5359" r:id="rId5357" tooltip="🔗 Ver Mapa" display="🔗 Ver Mapa"/>
    <hyperlink ref="L5360" r:id="rId5358" tooltip="🔗 Ver Mapa" display="🔗 Ver Mapa"/>
    <hyperlink ref="L5361" r:id="rId5359" tooltip="🔗 Ver Mapa" display="🔗 Ver Mapa"/>
    <hyperlink ref="L5362" r:id="rId5360" tooltip="🔗 Ver Mapa" display="🔗 Ver Mapa"/>
    <hyperlink ref="L5363" r:id="rId5361" tooltip="🔗 Ver Mapa" display="🔗 Ver Mapa"/>
    <hyperlink ref="L5364" r:id="rId5362" tooltip="🔗 Ver Mapa" display="🔗 Ver Mapa"/>
    <hyperlink ref="L5365" r:id="rId5363" tooltip="🔗 Ver Mapa" display="🔗 Ver Mapa"/>
    <hyperlink ref="L5366" r:id="rId5364" tooltip="🔗 Ver Mapa" display="🔗 Ver Mapa"/>
    <hyperlink ref="L5367" r:id="rId5365" tooltip="🔗 Ver Mapa" display="🔗 Ver Mapa"/>
    <hyperlink ref="L5368" r:id="rId5366" tooltip="🔗 Ver Mapa" display="🔗 Ver Mapa"/>
    <hyperlink ref="L5369" r:id="rId5367" tooltip="🔗 Ver Mapa" display="🔗 Ver Mapa"/>
    <hyperlink ref="L5370" r:id="rId5368" tooltip="🔗 Ver Mapa" display="🔗 Ver Mapa"/>
    <hyperlink ref="L5371" r:id="rId5369" tooltip="🔗 Ver Mapa" display="🔗 Ver Mapa"/>
    <hyperlink ref="L5372" r:id="rId5370" tooltip="🔗 Ver Mapa" display="🔗 Ver Mapa"/>
    <hyperlink ref="L5373" r:id="rId5371" tooltip="🔗 Ver Mapa" display="🔗 Ver Mapa"/>
    <hyperlink ref="L5374" r:id="rId5372" tooltip="🔗 Ver Mapa" display="🔗 Ver Mapa"/>
    <hyperlink ref="L5375" r:id="rId5373" tooltip="🔗 Ver Mapa" display="🔗 Ver Mapa"/>
    <hyperlink ref="L5376" r:id="rId5374" tooltip="🔗 Ver Mapa" display="🔗 Ver Mapa"/>
    <hyperlink ref="L5377" r:id="rId5375" tooltip="🔗 Ver Mapa" display="🔗 Ver Mapa"/>
    <hyperlink ref="L5378" r:id="rId5376" tooltip="🔗 Ver Mapa" display="🔗 Ver Mapa"/>
    <hyperlink ref="L5379" r:id="rId5377" tooltip="🔗 Ver Mapa" display="🔗 Ver Mapa"/>
    <hyperlink ref="L5380" r:id="rId5378" tooltip="🔗 Ver Mapa" display="🔗 Ver Mapa"/>
    <hyperlink ref="L5381" r:id="rId5379" tooltip="🔗 Ver Mapa" display="🔗 Ver Mapa"/>
    <hyperlink ref="L5382" r:id="rId5380" tooltip="🔗 Ver Mapa" display="🔗 Ver Mapa"/>
    <hyperlink ref="L5383" r:id="rId5381" tooltip="🔗 Ver Mapa" display="🔗 Ver Mapa"/>
    <hyperlink ref="L5384" r:id="rId5382" tooltip="🔗 Ver Mapa" display="🔗 Ver Mapa"/>
    <hyperlink ref="L5385" r:id="rId5383" tooltip="🔗 Ver Mapa" display="🔗 Ver Mapa"/>
    <hyperlink ref="L5386" r:id="rId5384" tooltip="🔗 Ver Mapa" display="🔗 Ver Mapa"/>
    <hyperlink ref="L5387" r:id="rId5385" tooltip="🔗 Ver Mapa" display="🔗 Ver Mapa"/>
    <hyperlink ref="L5388" r:id="rId5386" tooltip="🔗 Ver Mapa" display="🔗 Ver Mapa"/>
    <hyperlink ref="L5389" r:id="rId5387" tooltip="🔗 Ver Mapa" display="🔗 Ver Mapa"/>
    <hyperlink ref="L5390" r:id="rId5388" tooltip="🔗 Ver Mapa" display="🔗 Ver Mapa"/>
    <hyperlink ref="L5391" r:id="rId5389" tooltip="🔗 Ver Mapa" display="🔗 Ver Mapa"/>
    <hyperlink ref="L5392" r:id="rId5390" tooltip="🔗 Ver Mapa" display="🔗 Ver Mapa"/>
    <hyperlink ref="L5393" r:id="rId5391" tooltip="🔗 Ver Mapa" display="🔗 Ver Mapa"/>
    <hyperlink ref="L5394" r:id="rId5392" tooltip="🔗 Ver Mapa" display="🔗 Ver Mapa"/>
    <hyperlink ref="L5395" r:id="rId5393" tooltip="🔗 Ver Mapa" display="🔗 Ver Mapa"/>
    <hyperlink ref="L5396" r:id="rId5394" tooltip="🔗 Ver Mapa" display="🔗 Ver Mapa"/>
    <hyperlink ref="L5397" r:id="rId5395" tooltip="🔗 Ver Mapa" display="🔗 Ver Mapa"/>
    <hyperlink ref="L5398" r:id="rId5396" tooltip="🔗 Ver Mapa" display="🔗 Ver Mapa"/>
    <hyperlink ref="L5399" r:id="rId5397" tooltip="🔗 Ver Mapa" display="🔗 Ver Mapa"/>
    <hyperlink ref="L5400" r:id="rId5398" tooltip="🔗 Ver Mapa" display="🔗 Ver Mapa"/>
    <hyperlink ref="L5401" r:id="rId5399" tooltip="🔗 Ver Mapa" display="🔗 Ver Mapa"/>
    <hyperlink ref="L5402" r:id="rId5400" tooltip="🔗 Ver Mapa" display="🔗 Ver Mapa"/>
    <hyperlink ref="L5403" r:id="rId5401" tooltip="🔗 Ver Mapa" display="🔗 Ver Mapa"/>
    <hyperlink ref="L5404" r:id="rId5402" tooltip="🔗 Ver Mapa" display="🔗 Ver Mapa"/>
    <hyperlink ref="L5405" r:id="rId5403" tooltip="🔗 Ver Mapa" display="🔗 Ver Mapa"/>
    <hyperlink ref="L5406" r:id="rId5404" tooltip="🔗 Ver Mapa" display="🔗 Ver Mapa"/>
    <hyperlink ref="L5407" r:id="rId5405" tooltip="🔗 Ver Mapa" display="🔗 Ver Mapa"/>
    <hyperlink ref="L5408" r:id="rId5406" tooltip="🔗 Ver Mapa" display="🔗 Ver Mapa"/>
    <hyperlink ref="L5409" r:id="rId5407" tooltip="🔗 Ver Mapa" display="🔗 Ver Mapa"/>
    <hyperlink ref="L5410" r:id="rId5408" tooltip="🔗 Ver Mapa" display="🔗 Ver Mapa"/>
    <hyperlink ref="L5411" r:id="rId5409" tooltip="🔗 Ver Mapa" display="🔗 Ver Mapa"/>
    <hyperlink ref="L5412" r:id="rId5410" tooltip="🔗 Ver Mapa" display="🔗 Ver Mapa"/>
    <hyperlink ref="L5413" r:id="rId5411" tooltip="🔗 Ver Mapa" display="🔗 Ver Mapa"/>
    <hyperlink ref="L5414" r:id="rId5412" tooltip="🔗 Ver Mapa" display="🔗 Ver Mapa"/>
    <hyperlink ref="L5415" r:id="rId5413" tooltip="🔗 Ver Mapa" display="🔗 Ver Mapa"/>
    <hyperlink ref="L5416" r:id="rId5414" tooltip="🔗 Ver Mapa" display="🔗 Ver Mapa"/>
    <hyperlink ref="L5417" r:id="rId5415" tooltip="🔗 Ver Mapa" display="🔗 Ver Mapa"/>
    <hyperlink ref="L5418" r:id="rId5416" tooltip="🔗 Ver Mapa" display="🔗 Ver Mapa"/>
    <hyperlink ref="L5419" r:id="rId5417" tooltip="🔗 Ver Mapa" display="🔗 Ver Mapa"/>
    <hyperlink ref="L5420" r:id="rId5418" tooltip="🔗 Ver Mapa" display="🔗 Ver Mapa"/>
    <hyperlink ref="L5421" r:id="rId5419" tooltip="🔗 Ver Mapa" display="🔗 Ver Mapa"/>
    <hyperlink ref="L5422" r:id="rId5420" tooltip="🔗 Ver Mapa" display="🔗 Ver Mapa"/>
    <hyperlink ref="L5423" r:id="rId5421" tooltip="🔗 Ver Mapa" display="🔗 Ver Mapa"/>
    <hyperlink ref="L5424" r:id="rId5422" tooltip="🔗 Ver Mapa" display="🔗 Ver Mapa"/>
    <hyperlink ref="L5425" r:id="rId5423" tooltip="🔗 Ver Mapa" display="🔗 Ver Mapa"/>
    <hyperlink ref="L5426" r:id="rId5424" tooltip="🔗 Ver Mapa" display="🔗 Ver Mapa"/>
    <hyperlink ref="L5427" r:id="rId5425" tooltip="🔗 Ver Mapa" display="🔗 Ver Mapa"/>
    <hyperlink ref="L5428" r:id="rId5426" tooltip="🔗 Ver Mapa" display="🔗 Ver Mapa"/>
    <hyperlink ref="L5429" r:id="rId5427" tooltip="🔗 Ver Mapa" display="🔗 Ver Mapa"/>
    <hyperlink ref="L5430" r:id="rId5428" tooltip="🔗 Ver Mapa" display="🔗 Ver Mapa"/>
    <hyperlink ref="L5431" r:id="rId5429" tooltip="🔗 Ver Mapa" display="🔗 Ver Mapa"/>
    <hyperlink ref="L5432" r:id="rId5430" tooltip="🔗 Ver Mapa" display="🔗 Ver Mapa"/>
    <hyperlink ref="L5433" r:id="rId5431" tooltip="🔗 Ver Mapa" display="🔗 Ver Mapa"/>
    <hyperlink ref="L5434" r:id="rId5432" tooltip="🔗 Ver Mapa" display="🔗 Ver Mapa"/>
    <hyperlink ref="L5435" r:id="rId5433" tooltip="🔗 Ver Mapa" display="🔗 Ver Mapa"/>
    <hyperlink ref="L5436" r:id="rId5434" tooltip="🔗 Ver Mapa" display="🔗 Ver Mapa"/>
    <hyperlink ref="L5437" r:id="rId5435" tooltip="🔗 Ver Mapa" display="🔗 Ver Mapa"/>
    <hyperlink ref="L5438" r:id="rId5436" tooltip="🔗 Ver Mapa" display="🔗 Ver Mapa"/>
    <hyperlink ref="L5439" r:id="rId5437" tooltip="🔗 Ver Mapa" display="🔗 Ver Mapa"/>
    <hyperlink ref="L5440" r:id="rId5438" tooltip="🔗 Ver Mapa" display="🔗 Ver Mapa"/>
    <hyperlink ref="L5441" r:id="rId5439" tooltip="🔗 Ver Mapa" display="🔗 Ver Mapa"/>
    <hyperlink ref="L5442" r:id="rId5440" tooltip="🔗 Ver Mapa" display="🔗 Ver Mapa"/>
    <hyperlink ref="L5443" r:id="rId5441" tooltip="🔗 Ver Mapa" display="🔗 Ver Mapa"/>
    <hyperlink ref="L5444" r:id="rId5442" tooltip="🔗 Ver Mapa" display="🔗 Ver Mapa"/>
    <hyperlink ref="L5445" r:id="rId5443" tooltip="🔗 Ver Mapa" display="🔗 Ver Mapa"/>
    <hyperlink ref="L5446" r:id="rId5444" tooltip="🔗 Ver Mapa" display="🔗 Ver Mapa"/>
    <hyperlink ref="L5447" r:id="rId5445" tooltip="🔗 Ver Mapa" display="🔗 Ver Mapa"/>
    <hyperlink ref="L5448" r:id="rId5446" tooltip="🔗 Ver Mapa" display="🔗 Ver Mapa"/>
    <hyperlink ref="L5449" r:id="rId5447" tooltip="🔗 Ver Mapa" display="🔗 Ver Mapa"/>
    <hyperlink ref="L5450" r:id="rId5448" tooltip="🔗 Ver Mapa" display="🔗 Ver Mapa"/>
    <hyperlink ref="L5451" r:id="rId5449" tooltip="🔗 Ver Mapa" display="🔗 Ver Mapa"/>
    <hyperlink ref="L5452" r:id="rId5450" tooltip="🔗 Ver Mapa" display="🔗 Ver Mapa"/>
    <hyperlink ref="L5453" r:id="rId5451" tooltip="🔗 Ver Mapa" display="🔗 Ver Mapa"/>
    <hyperlink ref="L5454" r:id="rId5452" tooltip="🔗 Ver Mapa" display="🔗 Ver Mapa"/>
    <hyperlink ref="L5455" r:id="rId5453" tooltip="🔗 Ver Mapa" display="🔗 Ver Mapa"/>
    <hyperlink ref="L5456" r:id="rId5454" tooltip="🔗 Ver Mapa" display="🔗 Ver Mapa"/>
    <hyperlink ref="L5457" r:id="rId5455" tooltip="🔗 Ver Mapa" display="🔗 Ver Mapa"/>
    <hyperlink ref="L5458" r:id="rId5456" tooltip="🔗 Ver Mapa" display="🔗 Ver Mapa"/>
    <hyperlink ref="L5459" r:id="rId5457" tooltip="🔗 Ver Mapa" display="🔗 Ver Mapa"/>
    <hyperlink ref="L5460" r:id="rId5458" tooltip="🔗 Ver Mapa" display="🔗 Ver Mapa"/>
    <hyperlink ref="L5461" r:id="rId5459" tooltip="🔗 Ver Mapa" display="🔗 Ver Mapa"/>
    <hyperlink ref="L5462" r:id="rId5460" tooltip="🔗 Ver Mapa" display="🔗 Ver Mapa"/>
    <hyperlink ref="L5463" r:id="rId5461" tooltip="🔗 Ver Mapa" display="🔗 Ver Mapa"/>
    <hyperlink ref="L5464" r:id="rId5462" tooltip="🔗 Ver Mapa" display="🔗 Ver Mapa"/>
    <hyperlink ref="L5465" r:id="rId5463" tooltip="🔗 Ver Mapa" display="🔗 Ver Mapa"/>
    <hyperlink ref="L5466" r:id="rId5464" tooltip="🔗 Ver Mapa" display="🔗 Ver Mapa"/>
    <hyperlink ref="L5467" r:id="rId5465" tooltip="🔗 Ver Mapa" display="🔗 Ver Mapa"/>
    <hyperlink ref="L5468" r:id="rId5466" tooltip="🔗 Ver Mapa" display="🔗 Ver Mapa"/>
    <hyperlink ref="L5469" r:id="rId5467" tooltip="🔗 Ver Mapa" display="🔗 Ver Mapa"/>
    <hyperlink ref="L5470" r:id="rId5468" tooltip="🔗 Ver Mapa" display="🔗 Ver Mapa"/>
    <hyperlink ref="L5471" r:id="rId5469" tooltip="🔗 Ver Mapa" display="🔗 Ver Mapa"/>
    <hyperlink ref="L5472" r:id="rId5470" tooltip="🔗 Ver Mapa" display="🔗 Ver Mapa"/>
    <hyperlink ref="L5473" r:id="rId5471" tooltip="🔗 Ver Mapa" display="🔗 Ver Mapa"/>
    <hyperlink ref="L5474" r:id="rId5472" tooltip="🔗 Ver Mapa" display="🔗 Ver Mapa"/>
    <hyperlink ref="L5475" r:id="rId5473" tooltip="🔗 Ver Mapa" display="🔗 Ver Mapa"/>
    <hyperlink ref="L5476" r:id="rId5474" tooltip="🔗 Ver Mapa" display="🔗 Ver Mapa"/>
    <hyperlink ref="L5477" r:id="rId5475" tooltip="🔗 Ver Mapa" display="🔗 Ver Mapa"/>
    <hyperlink ref="L5478" r:id="rId5476" tooltip="🔗 Ver Mapa" display="🔗 Ver Mapa"/>
    <hyperlink ref="L5479" r:id="rId5477" tooltip="🔗 Ver Mapa" display="🔗 Ver Mapa"/>
    <hyperlink ref="L5480" r:id="rId5478" tooltip="🔗 Ver Mapa" display="🔗 Ver Mapa"/>
    <hyperlink ref="L5481" r:id="rId5479" tooltip="🔗 Ver Mapa" display="🔗 Ver Mapa"/>
    <hyperlink ref="L5482" r:id="rId5480" tooltip="🔗 Ver Mapa" display="🔗 Ver Mapa"/>
    <hyperlink ref="L5483" r:id="rId5481" tooltip="🔗 Ver Mapa" display="🔗 Ver Mapa"/>
    <hyperlink ref="L5484" r:id="rId5482" tooltip="🔗 Ver Mapa" display="🔗 Ver Mapa"/>
    <hyperlink ref="L5485" r:id="rId5483" tooltip="🔗 Ver Mapa" display="🔗 Ver Mapa"/>
    <hyperlink ref="L5486" r:id="rId5484" tooltip="🔗 Ver Mapa" display="🔗 Ver Mapa"/>
    <hyperlink ref="L5487" r:id="rId5485" tooltip="🔗 Ver Mapa" display="🔗 Ver Mapa"/>
    <hyperlink ref="L5488" r:id="rId5486" tooltip="🔗 Ver Mapa" display="🔗 Ver Mapa"/>
    <hyperlink ref="L5489" r:id="rId5487" tooltip="🔗 Ver Mapa" display="🔗 Ver Mapa"/>
    <hyperlink ref="L5490" r:id="rId5488" tooltip="🔗 Ver Mapa" display="🔗 Ver Mapa"/>
    <hyperlink ref="L5491" r:id="rId5489" tooltip="🔗 Ver Mapa" display="🔗 Ver Mapa"/>
    <hyperlink ref="L5492" r:id="rId5490" tooltip="🔗 Ver Mapa" display="🔗 Ver Mapa"/>
    <hyperlink ref="L5493" r:id="rId5491" tooltip="🔗 Ver Mapa" display="🔗 Ver Mapa"/>
    <hyperlink ref="L5494" r:id="rId5492" tooltip="🔗 Ver Mapa" display="🔗 Ver Mapa"/>
    <hyperlink ref="L5495" r:id="rId5493" tooltip="🔗 Ver Mapa" display="🔗 Ver Mapa"/>
    <hyperlink ref="L5496" r:id="rId5494" tooltip="🔗 Ver Mapa" display="🔗 Ver Mapa"/>
    <hyperlink ref="L5497" r:id="rId5495" tooltip="🔗 Ver Mapa" display="🔗 Ver Mapa"/>
    <hyperlink ref="L5498" r:id="rId5496" tooltip="🔗 Ver Mapa" display="🔗 Ver Mapa"/>
    <hyperlink ref="L5499" r:id="rId5497" tooltip="🔗 Ver Mapa" display="🔗 Ver Mapa"/>
    <hyperlink ref="L5500" r:id="rId5498" tooltip="🔗 Ver Mapa" display="🔗 Ver Mapa"/>
    <hyperlink ref="L5501" r:id="rId5499" tooltip="🔗 Ver Mapa" display="🔗 Ver Mapa"/>
    <hyperlink ref="L5502" r:id="rId5500" tooltip="🔗 Ver Mapa" display="🔗 Ver Mapa"/>
    <hyperlink ref="L5503" r:id="rId5501" tooltip="🔗 Ver Mapa" display="🔗 Ver Mapa"/>
    <hyperlink ref="L5504" r:id="rId5502" tooltip="🔗 Ver Mapa" display="🔗 Ver Mapa"/>
    <hyperlink ref="L5505" r:id="rId5503" tooltip="🔗 Ver Mapa" display="🔗 Ver Mapa"/>
    <hyperlink ref="L5506" r:id="rId5504" tooltip="🔗 Ver Mapa" display="🔗 Ver Mapa"/>
    <hyperlink ref="L5507" r:id="rId5505" tooltip="🔗 Ver Mapa" display="🔗 Ver Mapa"/>
    <hyperlink ref="L5508" r:id="rId5506" tooltip="🔗 Ver Mapa" display="🔗 Ver Mapa"/>
    <hyperlink ref="L5509" r:id="rId5507" tooltip="🔗 Ver Mapa" display="🔗 Ver Mapa"/>
    <hyperlink ref="L5510" r:id="rId5508" tooltip="🔗 Ver Mapa" display="🔗 Ver Mapa"/>
    <hyperlink ref="L5511" r:id="rId5509" tooltip="🔗 Ver Mapa" display="🔗 Ver Mapa"/>
    <hyperlink ref="L5512" r:id="rId5510" tooltip="🔗 Ver Mapa" display="🔗 Ver Mapa"/>
    <hyperlink ref="L5513" r:id="rId5511" tooltip="🔗 Ver Mapa" display="🔗 Ver Mapa"/>
    <hyperlink ref="L5514" r:id="rId5512" tooltip="🔗 Ver Mapa" display="🔗 Ver Mapa"/>
    <hyperlink ref="L5515" r:id="rId5513" tooltip="🔗 Ver Mapa" display="🔗 Ver Mapa"/>
    <hyperlink ref="L5516" r:id="rId5514" tooltip="🔗 Ver Mapa" display="🔗 Ver Mapa"/>
    <hyperlink ref="L5517" r:id="rId5515" tooltip="🔗 Ver Mapa" display="🔗 Ver Mapa"/>
    <hyperlink ref="L5518" r:id="rId5516" tooltip="🔗 Ver Mapa" display="🔗 Ver Mapa"/>
    <hyperlink ref="L5519" r:id="rId5517" tooltip="🔗 Ver Mapa" display="🔗 Ver Mapa"/>
    <hyperlink ref="L5520" r:id="rId5518" tooltip="🔗 Ver Mapa" display="🔗 Ver Mapa"/>
    <hyperlink ref="L5521" r:id="rId5519" tooltip="🔗 Ver Mapa" display="🔗 Ver Mapa"/>
    <hyperlink ref="L5522" r:id="rId5520" tooltip="🔗 Ver Mapa" display="🔗 Ver Mapa"/>
    <hyperlink ref="L5523" r:id="rId5521" tooltip="🔗 Ver Mapa" display="🔗 Ver Mapa"/>
    <hyperlink ref="L5524" r:id="rId5522" tooltip="🔗 Ver Mapa" display="🔗 Ver Mapa"/>
    <hyperlink ref="L5525" r:id="rId5523" tooltip="🔗 Ver Mapa" display="🔗 Ver Mapa"/>
    <hyperlink ref="L5526" r:id="rId5524" tooltip="🔗 Ver Mapa" display="🔗 Ver Mapa"/>
    <hyperlink ref="L5527" r:id="rId5525" tooltip="🔗 Ver Mapa" display="🔗 Ver Mapa"/>
    <hyperlink ref="L5528" r:id="rId5526" tooltip="🔗 Ver Mapa" display="🔗 Ver Mapa"/>
    <hyperlink ref="L5529" r:id="rId5527" tooltip="🔗 Ver Mapa" display="🔗 Ver Mapa"/>
    <hyperlink ref="L5530" r:id="rId5528" tooltip="🔗 Ver Mapa" display="🔗 Ver Mapa"/>
    <hyperlink ref="L5531" r:id="rId5529" tooltip="🔗 Ver Mapa" display="🔗 Ver Mapa"/>
    <hyperlink ref="L5532" r:id="rId5530" tooltip="🔗 Ver Mapa" display="🔗 Ver Mapa"/>
    <hyperlink ref="L5533" r:id="rId5531" tooltip="🔗 Ver Mapa" display="🔗 Ver Mapa"/>
    <hyperlink ref="L5534" r:id="rId5532" tooltip="🔗 Ver Mapa" display="🔗 Ver Mapa"/>
    <hyperlink ref="L5535" r:id="rId5533" tooltip="🔗 Ver Mapa" display="🔗 Ver Mapa"/>
    <hyperlink ref="L5536" r:id="rId5534" tooltip="🔗 Ver Mapa" display="🔗 Ver Mapa"/>
    <hyperlink ref="L5537" r:id="rId5535" tooltip="🔗 Ver Mapa" display="🔗 Ver Mapa"/>
    <hyperlink ref="L5538" r:id="rId5536" tooltip="🔗 Ver Mapa" display="🔗 Ver Mapa"/>
    <hyperlink ref="L5539" r:id="rId5537" tooltip="🔗 Ver Mapa" display="🔗 Ver Mapa"/>
    <hyperlink ref="L5540" r:id="rId5538" tooltip="🔗 Ver Mapa" display="🔗 Ver Mapa"/>
    <hyperlink ref="L5541" r:id="rId5539" tooltip="🔗 Ver Mapa" display="🔗 Ver Mapa"/>
    <hyperlink ref="L5542" r:id="rId5540" tooltip="🔗 Ver Mapa" display="🔗 Ver Mapa"/>
    <hyperlink ref="L5543" r:id="rId5541" tooltip="🔗 Ver Mapa" display="🔗 Ver Mapa"/>
    <hyperlink ref="L5544" r:id="rId5542" tooltip="🔗 Ver Mapa" display="🔗 Ver Mapa"/>
    <hyperlink ref="L5545" r:id="rId5543" tooltip="🔗 Ver Mapa" display="🔗 Ver Mapa"/>
    <hyperlink ref="L5546" r:id="rId5544" tooltip="🔗 Ver Mapa" display="🔗 Ver Mapa"/>
    <hyperlink ref="L5547" r:id="rId5545" tooltip="🔗 Ver Mapa" display="🔗 Ver Mapa"/>
    <hyperlink ref="L5548" r:id="rId5546" tooltip="🔗 Ver Mapa" display="🔗 Ver Mapa"/>
    <hyperlink ref="L5549" r:id="rId5547" tooltip="🔗 Ver Mapa" display="🔗 Ver Mapa"/>
    <hyperlink ref="L5550" r:id="rId5548" tooltip="🔗 Ver Mapa" display="🔗 Ver Mapa"/>
    <hyperlink ref="L5551" r:id="rId5549" tooltip="🔗 Ver Mapa" display="🔗 Ver Mapa"/>
    <hyperlink ref="L5552" r:id="rId5550" tooltip="🔗 Ver Mapa" display="🔗 Ver Mapa"/>
    <hyperlink ref="L5553" r:id="rId5551" tooltip="🔗 Ver Mapa" display="🔗 Ver Mapa"/>
    <hyperlink ref="L5554" r:id="rId5552" tooltip="🔗 Ver Mapa" display="🔗 Ver Mapa"/>
    <hyperlink ref="L5555" r:id="rId5553" tooltip="🔗 Ver Mapa" display="🔗 Ver Mapa"/>
    <hyperlink ref="L5556" r:id="rId5554" tooltip="🔗 Ver Mapa" display="🔗 Ver Mapa"/>
    <hyperlink ref="L5557" r:id="rId5555" tooltip="🔗 Ver Mapa" display="🔗 Ver Mapa"/>
    <hyperlink ref="L5558" r:id="rId5556" tooltip="🔗 Ver Mapa" display="🔗 Ver Mapa"/>
    <hyperlink ref="L5559" r:id="rId5557" tooltip="🔗 Ver Mapa" display="🔗 Ver Mapa"/>
    <hyperlink ref="L5560" r:id="rId5558" tooltip="🔗 Ver Mapa" display="🔗 Ver Mapa"/>
    <hyperlink ref="L5561" r:id="rId5559" tooltip="🔗 Ver Mapa" display="🔗 Ver Mapa"/>
    <hyperlink ref="L5562" r:id="rId5560" tooltip="🔗 Ver Mapa" display="🔗 Ver Mapa"/>
    <hyperlink ref="L5563" r:id="rId5561" tooltip="🔗 Ver Mapa" display="🔗 Ver Mapa"/>
    <hyperlink ref="L5564" r:id="rId5562" tooltip="🔗 Ver Mapa" display="🔗 Ver Mapa"/>
    <hyperlink ref="L5565" r:id="rId5563" tooltip="🔗 Ver Mapa" display="🔗 Ver Mapa"/>
    <hyperlink ref="L5566" r:id="rId5564" tooltip="🔗 Ver Mapa" display="🔗 Ver Mapa"/>
    <hyperlink ref="L5567" r:id="rId5565" tooltip="🔗 Ver Mapa" display="🔗 Ver Mapa"/>
    <hyperlink ref="L5568" r:id="rId5566" tooltip="🔗 Ver Mapa" display="🔗 Ver Mapa"/>
    <hyperlink ref="L5569" r:id="rId5567" tooltip="🔗 Ver Mapa" display="🔗 Ver Mapa"/>
    <hyperlink ref="L5570" r:id="rId5568" tooltip="🔗 Ver Mapa" display="🔗 Ver Mapa"/>
    <hyperlink ref="L5571" r:id="rId5569" tooltip="🔗 Ver Mapa" display="🔗 Ver Mapa"/>
    <hyperlink ref="L5572" r:id="rId5570" tooltip="🔗 Ver Mapa" display="🔗 Ver Mapa"/>
    <hyperlink ref="L5573" r:id="rId5571" tooltip="🔗 Ver Mapa" display="🔗 Ver Mapa"/>
    <hyperlink ref="L5574" r:id="rId5572" tooltip="🔗 Ver Mapa" display="🔗 Ver Mapa"/>
    <hyperlink ref="L5575" r:id="rId5573" tooltip="🔗 Ver Mapa" display="🔗 Ver Mapa"/>
    <hyperlink ref="L5576" r:id="rId5574" tooltip="🔗 Ver Mapa" display="🔗 Ver Mapa"/>
    <hyperlink ref="L5577" r:id="rId5575" tooltip="🔗 Ver Mapa" display="🔗 Ver Mapa"/>
    <hyperlink ref="L5578" r:id="rId5576" tooltip="🔗 Ver Mapa" display="🔗 Ver Mapa"/>
    <hyperlink ref="L5579" r:id="rId5577" tooltip="🔗 Ver Mapa" display="🔗 Ver Mapa"/>
    <hyperlink ref="L5580" r:id="rId5578" tooltip="🔗 Ver Mapa" display="🔗 Ver Mapa"/>
    <hyperlink ref="L5581" r:id="rId5579" tooltip="🔗 Ver Mapa" display="🔗 Ver Mapa"/>
    <hyperlink ref="L5582" r:id="rId5580" tooltip="🔗 Ver Mapa" display="🔗 Ver Mapa"/>
    <hyperlink ref="L5583" r:id="rId5581" tooltip="🔗 Ver Mapa" display="🔗 Ver Mapa"/>
    <hyperlink ref="L5584" r:id="rId5582" tooltip="🔗 Ver Mapa" display="🔗 Ver Mapa"/>
    <hyperlink ref="L5585" r:id="rId5583" tooltip="🔗 Ver Mapa" display="🔗 Ver Mapa"/>
    <hyperlink ref="L5586" r:id="rId5584" tooltip="🔗 Ver Mapa" display="🔗 Ver Mapa"/>
    <hyperlink ref="L5587" r:id="rId5585" tooltip="🔗 Ver Mapa" display="🔗 Ver Mapa"/>
    <hyperlink ref="L5588" r:id="rId5586" tooltip="🔗 Ver Mapa" display="🔗 Ver Mapa"/>
    <hyperlink ref="L5589" r:id="rId5587" tooltip="🔗 Ver Mapa" display="🔗 Ver Mapa"/>
    <hyperlink ref="L5590" r:id="rId5588" tooltip="🔗 Ver Mapa" display="🔗 Ver Mapa"/>
    <hyperlink ref="L5591" r:id="rId5589" tooltip="🔗 Ver Mapa" display="🔗 Ver Mapa"/>
    <hyperlink ref="L5592" r:id="rId5590" tooltip="🔗 Ver Mapa" display="🔗 Ver Mapa"/>
    <hyperlink ref="L5593" r:id="rId5591" tooltip="🔗 Ver Mapa" display="🔗 Ver Mapa"/>
    <hyperlink ref="L5594" r:id="rId5592" tooltip="🔗 Ver Mapa" display="🔗 Ver Mapa"/>
    <hyperlink ref="L5595" r:id="rId5593" tooltip="🔗 Ver Mapa" display="🔗 Ver Mapa"/>
    <hyperlink ref="L5596" r:id="rId5594" tooltip="🔗 Ver Mapa" display="🔗 Ver Mapa"/>
    <hyperlink ref="L5597" r:id="rId5595" tooltip="🔗 Ver Mapa" display="🔗 Ver Mapa"/>
    <hyperlink ref="L5598" r:id="rId5596" tooltip="🔗 Ver Mapa" display="🔗 Ver Mapa"/>
    <hyperlink ref="L5599" r:id="rId5597" tooltip="🔗 Ver Mapa" display="🔗 Ver Mapa"/>
    <hyperlink ref="L5600" r:id="rId5598" tooltip="🔗 Ver Mapa" display="🔗 Ver Mapa"/>
    <hyperlink ref="L5601" r:id="rId5599" tooltip="🔗 Ver Mapa" display="🔗 Ver Mapa"/>
    <hyperlink ref="L5602" r:id="rId5600" tooltip="🔗 Ver Mapa" display="🔗 Ver Mapa"/>
    <hyperlink ref="L5603" r:id="rId5601" tooltip="🔗 Ver Mapa" display="🔗 Ver Mapa"/>
    <hyperlink ref="L5604" r:id="rId5602" tooltip="🔗 Ver Mapa" display="🔗 Ver Mapa"/>
    <hyperlink ref="L5605" r:id="rId5603" tooltip="🔗 Ver Mapa" display="🔗 Ver Mapa"/>
    <hyperlink ref="L5606" r:id="rId5604" tooltip="🔗 Ver Mapa" display="🔗 Ver Mapa"/>
    <hyperlink ref="L5607" r:id="rId5605" tooltip="🔗 Ver Mapa" display="🔗 Ver Mapa"/>
    <hyperlink ref="L5608" r:id="rId5606" tooltip="🔗 Ver Mapa" display="🔗 Ver Mapa"/>
    <hyperlink ref="L5609" r:id="rId5607" tooltip="🔗 Ver Mapa" display="🔗 Ver Mapa"/>
    <hyperlink ref="L5610" r:id="rId5608" tooltip="🔗 Ver Mapa" display="🔗 Ver Mapa"/>
    <hyperlink ref="L5611" r:id="rId5609" tooltip="🔗 Ver Mapa" display="🔗 Ver Mapa"/>
    <hyperlink ref="L5612" r:id="rId5610" tooltip="🔗 Ver Mapa" display="🔗 Ver Mapa"/>
    <hyperlink ref="L5613" r:id="rId5611" tooltip="🔗 Ver Mapa" display="🔗 Ver Mapa"/>
    <hyperlink ref="L5614" r:id="rId5612" tooltip="🔗 Ver Mapa" display="🔗 Ver Mapa"/>
    <hyperlink ref="L5615" r:id="rId5613" tooltip="🔗 Ver Mapa" display="🔗 Ver Mapa"/>
    <hyperlink ref="L5616" r:id="rId5614" tooltip="🔗 Ver Mapa" display="🔗 Ver Mapa"/>
    <hyperlink ref="L5617" r:id="rId5615" tooltip="🔗 Ver Mapa" display="🔗 Ver Mapa"/>
    <hyperlink ref="L5618" r:id="rId5616" tooltip="🔗 Ver Mapa" display="🔗 Ver Mapa"/>
    <hyperlink ref="L5619" r:id="rId5617" tooltip="🔗 Ver Mapa" display="🔗 Ver Mapa"/>
    <hyperlink ref="L5620" r:id="rId5618" tooltip="🔗 Ver Mapa" display="🔗 Ver Mapa"/>
    <hyperlink ref="L5621" r:id="rId5619" tooltip="🔗 Ver Mapa" display="🔗 Ver Mapa"/>
    <hyperlink ref="L5622" r:id="rId5620" tooltip="🔗 Ver Mapa" display="🔗 Ver Mapa"/>
    <hyperlink ref="L5623" r:id="rId5621" tooltip="🔗 Ver Mapa" display="🔗 Ver Mapa"/>
    <hyperlink ref="L5624" r:id="rId5622" tooltip="🔗 Ver Mapa" display="🔗 Ver Mapa"/>
    <hyperlink ref="L5625" r:id="rId5623" tooltip="🔗 Ver Mapa" display="🔗 Ver Mapa"/>
    <hyperlink ref="L5626" r:id="rId5624" tooltip="🔗 Ver Mapa" display="🔗 Ver Mapa"/>
    <hyperlink ref="L5627" r:id="rId5625" tooltip="🔗 Ver Mapa" display="🔗 Ver Mapa"/>
    <hyperlink ref="L5628" r:id="rId5626" tooltip="🔗 Ver Mapa" display="🔗 Ver Mapa"/>
    <hyperlink ref="L5629" r:id="rId5627" tooltip="🔗 Ver Mapa" display="🔗 Ver Mapa"/>
    <hyperlink ref="L5630" r:id="rId5628" tooltip="🔗 Ver Mapa" display="🔗 Ver Mapa"/>
    <hyperlink ref="L5631" r:id="rId5629" tooltip="🔗 Ver Mapa" display="🔗 Ver Mapa"/>
    <hyperlink ref="L5632" r:id="rId5630" tooltip="🔗 Ver Mapa" display="🔗 Ver Mapa"/>
    <hyperlink ref="L5633" r:id="rId5631" tooltip="🔗 Ver Mapa" display="🔗 Ver Mapa"/>
    <hyperlink ref="L5634" r:id="rId5632" tooltip="🔗 Ver Mapa" display="🔗 Ver Mapa"/>
    <hyperlink ref="L5635" r:id="rId5633" tooltip="🔗 Ver Mapa" display="🔗 Ver Mapa"/>
    <hyperlink ref="L5636" r:id="rId5634" tooltip="🔗 Ver Mapa" display="🔗 Ver Mapa"/>
    <hyperlink ref="L5637" r:id="rId5635" tooltip="🔗 Ver Mapa" display="🔗 Ver Mapa"/>
    <hyperlink ref="L5638" r:id="rId5636" tooltip="🔗 Ver Mapa" display="🔗 Ver Mapa"/>
    <hyperlink ref="L5639" r:id="rId5637" tooltip="🔗 Ver Mapa" display="🔗 Ver Mapa"/>
    <hyperlink ref="L5640" r:id="rId5638" tooltip="🔗 Ver Mapa" display="🔗 Ver Mapa"/>
    <hyperlink ref="L5641" r:id="rId5639" tooltip="🔗 Ver Mapa" display="🔗 Ver Mapa"/>
    <hyperlink ref="L5642" r:id="rId5640" tooltip="🔗 Ver Mapa" display="🔗 Ver Mapa"/>
    <hyperlink ref="L5643" r:id="rId5641" tooltip="🔗 Ver Mapa" display="🔗 Ver Mapa"/>
    <hyperlink ref="L5644" r:id="rId5642" tooltip="🔗 Ver Mapa" display="🔗 Ver Mapa"/>
    <hyperlink ref="L5645" r:id="rId5643" tooltip="🔗 Ver Mapa" display="🔗 Ver Mapa"/>
    <hyperlink ref="L5646" r:id="rId5644" tooltip="🔗 Ver Mapa" display="🔗 Ver Mapa"/>
    <hyperlink ref="L5647" r:id="rId5645" tooltip="🔗 Ver Mapa" display="🔗 Ver Mapa"/>
    <hyperlink ref="L5648" r:id="rId5646" tooltip="🔗 Ver Mapa" display="🔗 Ver Mapa"/>
    <hyperlink ref="L5649" r:id="rId5647" tooltip="🔗 Ver Mapa" display="🔗 Ver Mapa"/>
    <hyperlink ref="L5650" r:id="rId5648" tooltip="🔗 Ver Mapa" display="🔗 Ver Mapa"/>
    <hyperlink ref="L5651" r:id="rId5649" tooltip="🔗 Ver Mapa" display="🔗 Ver Mapa"/>
    <hyperlink ref="L5652" r:id="rId5650" tooltip="🔗 Ver Mapa" display="🔗 Ver Mapa"/>
    <hyperlink ref="L5653" r:id="rId5651" tooltip="🔗 Ver Mapa" display="🔗 Ver Mapa"/>
    <hyperlink ref="L5654" r:id="rId5652" tooltip="🔗 Ver Mapa" display="🔗 Ver Mapa"/>
    <hyperlink ref="L5655" r:id="rId5653" tooltip="🔗 Ver Mapa" display="🔗 Ver Mapa"/>
    <hyperlink ref="L5656" r:id="rId5654" tooltip="🔗 Ver Mapa" display="🔗 Ver Mapa"/>
    <hyperlink ref="L5657" r:id="rId5655" tooltip="🔗 Ver Mapa" display="🔗 Ver Mapa"/>
    <hyperlink ref="L5658" r:id="rId5656" tooltip="🔗 Ver Mapa" display="🔗 Ver Mapa"/>
    <hyperlink ref="L5659" r:id="rId5657" tooltip="🔗 Ver Mapa" display="🔗 Ver Mapa"/>
    <hyperlink ref="L5660" r:id="rId5658" tooltip="🔗 Ver Mapa" display="🔗 Ver Mapa"/>
    <hyperlink ref="L5661" r:id="rId5659" tooltip="🔗 Ver Mapa" display="🔗 Ver Mapa"/>
    <hyperlink ref="L5662" r:id="rId5660" tooltip="🔗 Ver Mapa" display="🔗 Ver Mapa"/>
    <hyperlink ref="L5663" r:id="rId5661" tooltip="🔗 Ver Mapa" display="🔗 Ver Mapa"/>
    <hyperlink ref="L5664" r:id="rId5662" tooltip="🔗 Ver Mapa" display="🔗 Ver Mapa"/>
    <hyperlink ref="L5665" r:id="rId5663" tooltip="🔗 Ver Mapa" display="🔗 Ver Mapa"/>
    <hyperlink ref="L5666" r:id="rId5664" tooltip="🔗 Ver Mapa" display="🔗 Ver Mapa"/>
    <hyperlink ref="L5667" r:id="rId5665" tooltip="🔗 Ver Mapa" display="🔗 Ver Mapa"/>
    <hyperlink ref="L5668" r:id="rId5666" tooltip="🔗 Ver Mapa" display="🔗 Ver Mapa"/>
    <hyperlink ref="L5669" r:id="rId5667" tooltip="🔗 Ver Mapa" display="🔗 Ver Mapa"/>
    <hyperlink ref="L5670" r:id="rId5668" tooltip="🔗 Ver Mapa" display="🔗 Ver Mapa"/>
    <hyperlink ref="L5671" r:id="rId5669" tooltip="🔗 Ver Mapa" display="🔗 Ver Mapa"/>
    <hyperlink ref="L5672" r:id="rId5670" tooltip="🔗 Ver Mapa" display="🔗 Ver Mapa"/>
    <hyperlink ref="L5673" r:id="rId5671" tooltip="🔗 Ver Mapa" display="🔗 Ver Mapa"/>
    <hyperlink ref="L5674" r:id="rId5672" tooltip="🔗 Ver Mapa" display="🔗 Ver Mapa"/>
    <hyperlink ref="L5675" r:id="rId5673" tooltip="🔗 Ver Mapa" display="🔗 Ver Mapa"/>
    <hyperlink ref="L5676" r:id="rId5674" tooltip="🔗 Ver Mapa" display="🔗 Ver Mapa"/>
    <hyperlink ref="L5677" r:id="rId5675" tooltip="🔗 Ver Mapa" display="🔗 Ver Mapa"/>
    <hyperlink ref="L5678" r:id="rId5676" tooltip="🔗 Ver Mapa" display="🔗 Ver Mapa"/>
    <hyperlink ref="L5679" r:id="rId5677" tooltip="🔗 Ver Mapa" display="🔗 Ver Mapa"/>
    <hyperlink ref="L5680" r:id="rId5678" tooltip="🔗 Ver Mapa" display="🔗 Ver Mapa"/>
    <hyperlink ref="L5681" r:id="rId5679" tooltip="🔗 Ver Mapa" display="🔗 Ver Mapa"/>
    <hyperlink ref="L5682" r:id="rId5680" tooltip="🔗 Ver Mapa" display="🔗 Ver Mapa"/>
    <hyperlink ref="L5683" r:id="rId5681" tooltip="🔗 Ver Mapa" display="🔗 Ver Mapa"/>
    <hyperlink ref="L5684" r:id="rId5682" tooltip="🔗 Ver Mapa" display="🔗 Ver Mapa"/>
    <hyperlink ref="L5685" r:id="rId5683" tooltip="🔗 Ver Mapa" display="🔗 Ver Mapa"/>
    <hyperlink ref="L5686" r:id="rId5684" tooltip="🔗 Ver Mapa" display="🔗 Ver Mapa"/>
    <hyperlink ref="L5687" r:id="rId5685" tooltip="🔗 Ver Mapa" display="🔗 Ver Mapa"/>
    <hyperlink ref="L5688" r:id="rId5686" tooltip="🔗 Ver Mapa" display="🔗 Ver Mapa"/>
    <hyperlink ref="L5689" r:id="rId5687" tooltip="🔗 Ver Mapa" display="🔗 Ver Mapa"/>
    <hyperlink ref="L5690" r:id="rId5688" tooltip="🔗 Ver Mapa" display="🔗 Ver Mapa"/>
    <hyperlink ref="L5691" r:id="rId5689" tooltip="🔗 Ver Mapa" display="🔗 Ver Mapa"/>
    <hyperlink ref="L5692" r:id="rId5690" tooltip="🔗 Ver Mapa" display="🔗 Ver Mapa"/>
    <hyperlink ref="L5693" r:id="rId5691" tooltip="🔗 Ver Mapa" display="🔗 Ver Mapa"/>
    <hyperlink ref="L5694" r:id="rId5692" tooltip="🔗 Ver Mapa" display="🔗 Ver Mapa"/>
    <hyperlink ref="L5695" r:id="rId5693" tooltip="🔗 Ver Mapa" display="🔗 Ver Mapa"/>
    <hyperlink ref="L5696" r:id="rId5694" tooltip="🔗 Ver Mapa" display="🔗 Ver Mapa"/>
    <hyperlink ref="L5697" r:id="rId5695" tooltip="🔗 Ver Mapa" display="🔗 Ver Mapa"/>
    <hyperlink ref="L5698" r:id="rId5696" tooltip="🔗 Ver Mapa" display="🔗 Ver Mapa"/>
    <hyperlink ref="L5699" r:id="rId5697" tooltip="🔗 Ver Mapa" display="🔗 Ver Mapa"/>
    <hyperlink ref="L5700" r:id="rId5698" tooltip="🔗 Ver Mapa" display="🔗 Ver Mapa"/>
    <hyperlink ref="L5701" r:id="rId5699" tooltip="🔗 Ver Mapa" display="🔗 Ver Mapa"/>
    <hyperlink ref="L5702" r:id="rId5700" tooltip="🔗 Ver Mapa" display="🔗 Ver Mapa"/>
    <hyperlink ref="L5703" r:id="rId5701" tooltip="🔗 Ver Mapa" display="🔗 Ver Mapa"/>
    <hyperlink ref="L5704" r:id="rId5702" tooltip="🔗 Ver Mapa" display="🔗 Ver Mapa"/>
    <hyperlink ref="L5705" r:id="rId5703" tooltip="🔗 Ver Mapa" display="🔗 Ver Mapa"/>
    <hyperlink ref="L5706" r:id="rId5704" tooltip="🔗 Ver Mapa" display="🔗 Ver Mapa"/>
    <hyperlink ref="L5707" r:id="rId5705" tooltip="🔗 Ver Mapa" display="🔗 Ver Mapa"/>
    <hyperlink ref="L5708" r:id="rId5706" tooltip="🔗 Ver Mapa" display="🔗 Ver Mapa"/>
    <hyperlink ref="L5709" r:id="rId5707" tooltip="🔗 Ver Mapa" display="🔗 Ver Mapa"/>
    <hyperlink ref="L5710" r:id="rId5708" tooltip="🔗 Ver Mapa" display="🔗 Ver Mapa"/>
    <hyperlink ref="L5711" r:id="rId5709" tooltip="🔗 Ver Mapa" display="🔗 Ver Mapa"/>
    <hyperlink ref="L5712" r:id="rId5710" tooltip="🔗 Ver Mapa" display="🔗 Ver Mapa"/>
    <hyperlink ref="L5713" r:id="rId5711" tooltip="🔗 Ver Mapa" display="🔗 Ver Mapa"/>
    <hyperlink ref="L5714" r:id="rId5712" tooltip="🔗 Ver Mapa" display="🔗 Ver Mapa"/>
    <hyperlink ref="L5715" r:id="rId5713" tooltip="🔗 Ver Mapa" display="🔗 Ver Mapa"/>
    <hyperlink ref="L5716" r:id="rId5714" tooltip="🔗 Ver Mapa" display="🔗 Ver Mapa"/>
    <hyperlink ref="L5717" r:id="rId5715" tooltip="🔗 Ver Mapa" display="🔗 Ver Mapa"/>
    <hyperlink ref="L5718" r:id="rId5716" tooltip="🔗 Ver Mapa" display="🔗 Ver Mapa"/>
    <hyperlink ref="L5719" r:id="rId5717" tooltip="🔗 Ver Mapa" display="🔗 Ver Mapa"/>
    <hyperlink ref="L5720" r:id="rId5718" tooltip="🔗 Ver Mapa" display="🔗 Ver Mapa"/>
    <hyperlink ref="L5721" r:id="rId5719" tooltip="🔗 Ver Mapa" display="🔗 Ver Mapa"/>
    <hyperlink ref="L5722" r:id="rId5720" tooltip="🔗 Ver Mapa" display="🔗 Ver Mapa"/>
    <hyperlink ref="L5723" r:id="rId5721" tooltip="🔗 Ver Mapa" display="🔗 Ver Mapa"/>
    <hyperlink ref="L5724" r:id="rId5722" tooltip="🔗 Ver Mapa" display="🔗 Ver Mapa"/>
    <hyperlink ref="L5725" r:id="rId5723" tooltip="🔗 Ver Mapa" display="🔗 Ver Mapa"/>
    <hyperlink ref="L5726" r:id="rId5724" tooltip="🔗 Ver Mapa" display="🔗 Ver Mapa"/>
    <hyperlink ref="L5727" r:id="rId5725" tooltip="🔗 Ver Mapa" display="🔗 Ver Mapa"/>
    <hyperlink ref="L5728" r:id="rId5726" tooltip="🔗 Ver Mapa" display="🔗 Ver Mapa"/>
    <hyperlink ref="L5729" r:id="rId5727" tooltip="🔗 Ver Mapa" display="🔗 Ver Mapa"/>
    <hyperlink ref="L5730" r:id="rId5728" tooltip="🔗 Ver Mapa" display="🔗 Ver Mapa"/>
    <hyperlink ref="L5731" r:id="rId5729" tooltip="🔗 Ver Mapa" display="🔗 Ver Mapa"/>
    <hyperlink ref="L5732" r:id="rId5730" tooltip="🔗 Ver Mapa" display="🔗 Ver Mapa"/>
    <hyperlink ref="L5733" r:id="rId5731" tooltip="🔗 Ver Mapa" display="🔗 Ver Mapa"/>
    <hyperlink ref="L5734" r:id="rId5732" tooltip="🔗 Ver Mapa" display="🔗 Ver Mapa"/>
    <hyperlink ref="L5735" r:id="rId5733" tooltip="🔗 Ver Mapa" display="🔗 Ver Mapa"/>
    <hyperlink ref="L5736" r:id="rId5734" tooltip="🔗 Ver Mapa" display="🔗 Ver Mapa"/>
    <hyperlink ref="L5737" r:id="rId5735" tooltip="🔗 Ver Mapa" display="🔗 Ver Mapa"/>
    <hyperlink ref="L5738" r:id="rId5736" tooltip="🔗 Ver Mapa" display="🔗 Ver Mapa"/>
    <hyperlink ref="L5739" r:id="rId5737" tooltip="🔗 Ver Mapa" display="🔗 Ver Mapa"/>
    <hyperlink ref="L5740" r:id="rId5738" tooltip="🔗 Ver Mapa" display="🔗 Ver Mapa"/>
    <hyperlink ref="L5741" r:id="rId5739" tooltip="🔗 Ver Mapa" display="🔗 Ver Mapa"/>
    <hyperlink ref="L5742" r:id="rId5740" tooltip="🔗 Ver Mapa" display="🔗 Ver Mapa"/>
    <hyperlink ref="L5743" r:id="rId5741" tooltip="🔗 Ver Mapa" display="🔗 Ver Mapa"/>
    <hyperlink ref="L5744" r:id="rId5742" tooltip="🔗 Ver Mapa" display="🔗 Ver Mapa"/>
    <hyperlink ref="L5745" r:id="rId5743" tooltip="🔗 Ver Mapa" display="🔗 Ver Mapa"/>
    <hyperlink ref="L5746" r:id="rId5744" tooltip="🔗 Ver Mapa" display="🔗 Ver Mapa"/>
    <hyperlink ref="L5747" r:id="rId5745" tooltip="🔗 Ver Mapa" display="🔗 Ver Mapa"/>
    <hyperlink ref="L5748" r:id="rId5746" tooltip="🔗 Ver Mapa" display="🔗 Ver Mapa"/>
    <hyperlink ref="L5749" r:id="rId5747" tooltip="🔗 Ver Mapa" display="🔗 Ver Mapa"/>
    <hyperlink ref="L5750" r:id="rId5748" tooltip="🔗 Ver Mapa" display="🔗 Ver Mapa"/>
    <hyperlink ref="L5751" r:id="rId5749" tooltip="🔗 Ver Mapa" display="🔗 Ver Mapa"/>
    <hyperlink ref="L5752" r:id="rId5750" tooltip="🔗 Ver Mapa" display="🔗 Ver Mapa"/>
    <hyperlink ref="L5753" r:id="rId5751" tooltip="🔗 Ver Mapa" display="🔗 Ver Mapa"/>
    <hyperlink ref="L5754" r:id="rId5752" tooltip="🔗 Ver Mapa" display="🔗 Ver Mapa"/>
    <hyperlink ref="L5755" r:id="rId5753" tooltip="🔗 Ver Mapa" display="🔗 Ver Mapa"/>
    <hyperlink ref="L5756" r:id="rId5754" tooltip="🔗 Ver Mapa" display="🔗 Ver Mapa"/>
    <hyperlink ref="L5757" r:id="rId5755" tooltip="🔗 Ver Mapa" display="🔗 Ver Mapa"/>
    <hyperlink ref="L5758" r:id="rId5756" tooltip="🔗 Ver Mapa" display="🔗 Ver Mapa"/>
    <hyperlink ref="L5759" r:id="rId5757" tooltip="🔗 Ver Mapa" display="🔗 Ver Mapa"/>
    <hyperlink ref="L5760" r:id="rId5758" tooltip="🔗 Ver Mapa" display="🔗 Ver Mapa"/>
    <hyperlink ref="L5761" r:id="rId5759" tooltip="🔗 Ver Mapa" display="🔗 Ver Mapa"/>
    <hyperlink ref="L5762" r:id="rId5760" tooltip="🔗 Ver Mapa" display="🔗 Ver Mapa"/>
    <hyperlink ref="L5763" r:id="rId5761" tooltip="🔗 Ver Mapa" display="🔗 Ver Mapa"/>
    <hyperlink ref="L5764" r:id="rId5762" tooltip="🔗 Ver Mapa" display="🔗 Ver Mapa"/>
    <hyperlink ref="L5765" r:id="rId5763" tooltip="🔗 Ver Mapa" display="🔗 Ver Mapa"/>
    <hyperlink ref="L5766" r:id="rId5764" tooltip="🔗 Ver Mapa" display="🔗 Ver Mapa"/>
    <hyperlink ref="L5767" r:id="rId5765" tooltip="🔗 Ver Mapa" display="🔗 Ver Mapa"/>
    <hyperlink ref="L5768" r:id="rId5766" tooltip="🔗 Ver Mapa" display="🔗 Ver Mapa"/>
    <hyperlink ref="L5769" r:id="rId5767" tooltip="🔗 Ver Mapa" display="🔗 Ver Mapa"/>
    <hyperlink ref="L5770" r:id="rId5768" tooltip="🔗 Ver Mapa" display="🔗 Ver Mapa"/>
    <hyperlink ref="L5771" r:id="rId5769" tooltip="🔗 Ver Mapa" display="🔗 Ver Mapa"/>
    <hyperlink ref="L5772" r:id="rId5770" tooltip="🔗 Ver Mapa" display="🔗 Ver Mapa"/>
    <hyperlink ref="L5773" r:id="rId5771" tooltip="🔗 Ver Mapa" display="🔗 Ver Mapa"/>
    <hyperlink ref="L5774" r:id="rId5772" tooltip="🔗 Ver Mapa" display="🔗 Ver Mapa"/>
    <hyperlink ref="L5775" r:id="rId5773" tooltip="🔗 Ver Mapa" display="🔗 Ver Mapa"/>
    <hyperlink ref="L5776" r:id="rId5774" tooltip="🔗 Ver Mapa" display="🔗 Ver Mapa"/>
    <hyperlink ref="L5777" r:id="rId5775" tooltip="🔗 Ver Mapa" display="🔗 Ver Mapa"/>
    <hyperlink ref="L5778" r:id="rId5776" tooltip="🔗 Ver Mapa" display="🔗 Ver Mapa"/>
    <hyperlink ref="L5779" r:id="rId5777" tooltip="🔗 Ver Mapa" display="🔗 Ver Mapa"/>
    <hyperlink ref="L5780" r:id="rId5778" tooltip="🔗 Ver Mapa" display="🔗 Ver Mapa"/>
    <hyperlink ref="L5781" r:id="rId5779" tooltip="🔗 Ver Mapa" display="🔗 Ver Mapa"/>
    <hyperlink ref="L5782" r:id="rId5780" tooltip="🔗 Ver Mapa" display="🔗 Ver Mapa"/>
    <hyperlink ref="L5783" r:id="rId5781" tooltip="🔗 Ver Mapa" display="🔗 Ver Mapa"/>
    <hyperlink ref="L5784" r:id="rId5782" tooltip="🔗 Ver Mapa" display="🔗 Ver Mapa"/>
    <hyperlink ref="L5785" r:id="rId5783" tooltip="🔗 Ver Mapa" display="🔗 Ver Mapa"/>
    <hyperlink ref="L5786" r:id="rId5784" tooltip="🔗 Ver Mapa" display="🔗 Ver Mapa"/>
    <hyperlink ref="L5787" r:id="rId5785" tooltip="🔗 Ver Mapa" display="🔗 Ver Mapa"/>
    <hyperlink ref="L5788" r:id="rId5786" tooltip="🔗 Ver Mapa" display="🔗 Ver Mapa"/>
    <hyperlink ref="L5789" r:id="rId5787" tooltip="🔗 Ver Mapa" display="🔗 Ver Mapa"/>
    <hyperlink ref="L5790" r:id="rId5788" tooltip="🔗 Ver Mapa" display="🔗 Ver Mapa"/>
    <hyperlink ref="L5791" r:id="rId5789" tooltip="🔗 Ver Mapa" display="🔗 Ver Mapa"/>
    <hyperlink ref="L5792" r:id="rId5790" tooltip="🔗 Ver Mapa" display="🔗 Ver Mapa"/>
    <hyperlink ref="L5793" r:id="rId5791" tooltip="🔗 Ver Mapa" display="🔗 Ver Mapa"/>
    <hyperlink ref="L5794" r:id="rId5792" tooltip="🔗 Ver Mapa" display="🔗 Ver Mapa"/>
    <hyperlink ref="L5795" r:id="rId5793" tooltip="🔗 Ver Mapa" display="🔗 Ver Mapa"/>
    <hyperlink ref="L5796" r:id="rId5794" tooltip="🔗 Ver Mapa" display="🔗 Ver Mapa"/>
    <hyperlink ref="L5797" r:id="rId5795" tooltip="🔗 Ver Mapa" display="🔗 Ver Mapa"/>
    <hyperlink ref="L5798" r:id="rId5796" tooltip="🔗 Ver Mapa" display="🔗 Ver Mapa"/>
    <hyperlink ref="L5799" r:id="rId5797" tooltip="🔗 Ver Mapa" display="🔗 Ver Mapa"/>
    <hyperlink ref="L5800" r:id="rId5798" tooltip="🔗 Ver Mapa" display="🔗 Ver Mapa"/>
    <hyperlink ref="L5801" r:id="rId5799" tooltip="🔗 Ver Mapa" display="🔗 Ver Mapa"/>
    <hyperlink ref="L5802" r:id="rId5800" tooltip="🔗 Ver Mapa" display="🔗 Ver Mapa"/>
    <hyperlink ref="L5803" r:id="rId5801" tooltip="🔗 Ver Mapa" display="🔗 Ver Mapa"/>
    <hyperlink ref="L5804" r:id="rId5802" tooltip="🔗 Ver Mapa" display="🔗 Ver Mapa"/>
    <hyperlink ref="L5805" r:id="rId5803" tooltip="🔗 Ver Mapa" display="🔗 Ver Mapa"/>
    <hyperlink ref="L5806" r:id="rId5804" tooltip="🔗 Ver Mapa" display="🔗 Ver Mapa"/>
    <hyperlink ref="L5807" r:id="rId5805" tooltip="🔗 Ver Mapa" display="🔗 Ver Mapa"/>
    <hyperlink ref="L5808" r:id="rId5806" tooltip="🔗 Ver Mapa" display="🔗 Ver Mapa"/>
    <hyperlink ref="L5809" r:id="rId5807" tooltip="🔗 Ver Mapa" display="🔗 Ver Mapa"/>
    <hyperlink ref="L5810" r:id="rId5808" tooltip="🔗 Ver Mapa" display="🔗 Ver Mapa"/>
    <hyperlink ref="L5811" r:id="rId5809" tooltip="🔗 Ver Mapa" display="🔗 Ver Mapa"/>
    <hyperlink ref="L5812" r:id="rId5810" tooltip="🔗 Ver Mapa" display="🔗 Ver Mapa"/>
    <hyperlink ref="L5813" r:id="rId5811" tooltip="🔗 Ver Mapa" display="🔗 Ver Mapa"/>
    <hyperlink ref="L5814" r:id="rId5812" tooltip="🔗 Ver Mapa" display="🔗 Ver Mapa"/>
    <hyperlink ref="L5815" r:id="rId5813" tooltip="🔗 Ver Mapa" display="🔗 Ver Mapa"/>
    <hyperlink ref="L5816" r:id="rId5814" tooltip="🔗 Ver Mapa" display="🔗 Ver Mapa"/>
    <hyperlink ref="L5817" r:id="rId5815" tooltip="🔗 Ver Mapa" display="🔗 Ver Mapa"/>
    <hyperlink ref="L5818" r:id="rId5816" tooltip="🔗 Ver Mapa" display="🔗 Ver Mapa"/>
    <hyperlink ref="L5819" r:id="rId5817" tooltip="🔗 Ver Mapa" display="🔗 Ver Mapa"/>
    <hyperlink ref="L5820" r:id="rId5818" tooltip="🔗 Ver Mapa" display="🔗 Ver Mapa"/>
    <hyperlink ref="L5821" r:id="rId5819" tooltip="🔗 Ver Mapa" display="🔗 Ver Mapa"/>
    <hyperlink ref="L5822" r:id="rId5820" tooltip="🔗 Ver Mapa" display="🔗 Ver Mapa"/>
    <hyperlink ref="L5823" r:id="rId5821" tooltip="🔗 Ver Mapa" display="🔗 Ver Mapa"/>
    <hyperlink ref="L5824" r:id="rId5822" tooltip="🔗 Ver Mapa" display="🔗 Ver Mapa"/>
    <hyperlink ref="L5825" r:id="rId5823" tooltip="🔗 Ver Mapa" display="🔗 Ver Mapa"/>
    <hyperlink ref="L5826" r:id="rId5824" tooltip="🔗 Ver Mapa" display="🔗 Ver Mapa"/>
    <hyperlink ref="L5827" r:id="rId5825" tooltip="🔗 Ver Mapa" display="🔗 Ver Mapa"/>
    <hyperlink ref="L5828" r:id="rId5826" tooltip="🔗 Ver Mapa" display="🔗 Ver Mapa"/>
    <hyperlink ref="L5829" r:id="rId5827" tooltip="🔗 Ver Mapa" display="🔗 Ver Mapa"/>
    <hyperlink ref="L5830" r:id="rId5828" tooltip="🔗 Ver Mapa" display="🔗 Ver Mapa"/>
    <hyperlink ref="L5831" r:id="rId5829" tooltip="🔗 Ver Mapa" display="🔗 Ver Mapa"/>
    <hyperlink ref="L5832" r:id="rId5830" tooltip="🔗 Ver Mapa" display="🔗 Ver Mapa"/>
    <hyperlink ref="L5833" r:id="rId5831" tooltip="🔗 Ver Mapa" display="🔗 Ver Mapa"/>
    <hyperlink ref="L5834" r:id="rId5832" tooltip="🔗 Ver Mapa" display="🔗 Ver Mapa"/>
    <hyperlink ref="L5835" r:id="rId5833" tooltip="🔗 Ver Mapa" display="🔗 Ver Mapa"/>
    <hyperlink ref="L5836" r:id="rId5834" tooltip="🔗 Ver Mapa" display="🔗 Ver Mapa"/>
    <hyperlink ref="L5837" r:id="rId5835" tooltip="🔗 Ver Mapa" display="🔗 Ver Mapa"/>
    <hyperlink ref="L5838" r:id="rId5836" tooltip="🔗 Ver Mapa" display="🔗 Ver Mapa"/>
    <hyperlink ref="L5839" r:id="rId5837" tooltip="🔗 Ver Mapa" display="🔗 Ver Mapa"/>
    <hyperlink ref="L5840" r:id="rId5838" tooltip="🔗 Ver Mapa" display="🔗 Ver Mapa"/>
    <hyperlink ref="L5841" r:id="rId5839" tooltip="🔗 Ver Mapa" display="🔗 Ver Mapa"/>
    <hyperlink ref="L5842" r:id="rId5840" tooltip="🔗 Ver Mapa" display="🔗 Ver Mapa"/>
    <hyperlink ref="L5843" r:id="rId5841" tooltip="🔗 Ver Mapa" display="🔗 Ver Mapa"/>
    <hyperlink ref="L5844" r:id="rId5842" tooltip="🔗 Ver Mapa" display="🔗 Ver Mapa"/>
    <hyperlink ref="L5845" r:id="rId5843" tooltip="🔗 Ver Mapa" display="🔗 Ver Mapa"/>
    <hyperlink ref="L5846" r:id="rId5844" tooltip="🔗 Ver Mapa" display="🔗 Ver Mapa"/>
    <hyperlink ref="L5847" r:id="rId5845" tooltip="🔗 Ver Mapa" display="🔗 Ver Mapa"/>
    <hyperlink ref="L5848" r:id="rId5846" tooltip="🔗 Ver Mapa" display="🔗 Ver Mapa"/>
    <hyperlink ref="L5849" r:id="rId5847" tooltip="🔗 Ver Mapa" display="🔗 Ver Mapa"/>
    <hyperlink ref="L5850" r:id="rId5848" tooltip="🔗 Ver Mapa" display="🔗 Ver Mapa"/>
    <hyperlink ref="L5851" r:id="rId5849" tooltip="🔗 Ver Mapa" display="🔗 Ver Mapa"/>
    <hyperlink ref="L5852" r:id="rId5850" tooltip="🔗 Ver Mapa" display="🔗 Ver Mapa"/>
    <hyperlink ref="L5853" r:id="rId5851" tooltip="🔗 Ver Mapa" display="🔗 Ver Mapa"/>
    <hyperlink ref="L5854" r:id="rId5852" tooltip="🔗 Ver Mapa" display="🔗 Ver Mapa"/>
    <hyperlink ref="L5855" r:id="rId5853" tooltip="🔗 Ver Mapa" display="🔗 Ver Mapa"/>
    <hyperlink ref="L5856" r:id="rId5854" tooltip="🔗 Ver Mapa" display="🔗 Ver Mapa"/>
    <hyperlink ref="L5857" r:id="rId5855" tooltip="🔗 Ver Mapa" display="🔗 Ver Mapa"/>
    <hyperlink ref="L5858" r:id="rId5856" tooltip="🔗 Ver Mapa" display="🔗 Ver Mapa"/>
    <hyperlink ref="L5859" r:id="rId5857" tooltip="🔗 Ver Mapa" display="🔗 Ver Mapa"/>
    <hyperlink ref="L5860" r:id="rId5858" tooltip="🔗 Ver Mapa" display="🔗 Ver Mapa"/>
    <hyperlink ref="L5861" r:id="rId5859" tooltip="🔗 Ver Mapa" display="🔗 Ver Mapa"/>
    <hyperlink ref="L5862" r:id="rId5860" tooltip="🔗 Ver Mapa" display="🔗 Ver Mapa"/>
    <hyperlink ref="L5863" r:id="rId5861" tooltip="🔗 Ver Mapa" display="🔗 Ver Mapa"/>
    <hyperlink ref="L5864" r:id="rId5862" tooltip="🔗 Ver Mapa" display="🔗 Ver Mapa"/>
    <hyperlink ref="L5865" r:id="rId5863" tooltip="🔗 Ver Mapa" display="🔗 Ver Mapa"/>
    <hyperlink ref="L5866" r:id="rId5864" tooltip="🔗 Ver Mapa" display="🔗 Ver Mapa"/>
    <hyperlink ref="L5867" r:id="rId5865" tooltip="🔗 Ver Mapa" display="🔗 Ver Mapa"/>
    <hyperlink ref="L5868" r:id="rId5866" tooltip="🔗 Ver Mapa" display="🔗 Ver Mapa"/>
    <hyperlink ref="L5869" r:id="rId5867" tooltip="🔗 Ver Mapa" display="🔗 Ver Mapa"/>
    <hyperlink ref="L5870" r:id="rId5868" tooltip="🔗 Ver Mapa" display="🔗 Ver Mapa"/>
    <hyperlink ref="L5871" r:id="rId5869" tooltip="🔗 Ver Mapa" display="🔗 Ver Mapa"/>
    <hyperlink ref="L5872" r:id="rId5870" tooltip="🔗 Ver Mapa" display="🔗 Ver Mapa"/>
    <hyperlink ref="L5873" r:id="rId5871" tooltip="🔗 Ver Mapa" display="🔗 Ver Mapa"/>
    <hyperlink ref="L5874" r:id="rId5872" tooltip="🔗 Ver Mapa" display="🔗 Ver Mapa"/>
    <hyperlink ref="L5875" r:id="rId5873" tooltip="🔗 Ver Mapa" display="🔗 Ver Mapa"/>
    <hyperlink ref="L5876" r:id="rId5874" tooltip="🔗 Ver Mapa" display="🔗 Ver Mapa"/>
    <hyperlink ref="L5877" r:id="rId5875" tooltip="🔗 Ver Mapa" display="🔗 Ver Mapa"/>
    <hyperlink ref="L5878" r:id="rId5876" tooltip="🔗 Ver Mapa" display="🔗 Ver Mapa"/>
    <hyperlink ref="L5879" r:id="rId5877" tooltip="🔗 Ver Mapa" display="🔗 Ver Mapa"/>
    <hyperlink ref="L5880" r:id="rId5878" tooltip="🔗 Ver Mapa" display="🔗 Ver Mapa"/>
    <hyperlink ref="L5881" r:id="rId5879" tooltip="🔗 Ver Mapa" display="🔗 Ver Mapa"/>
    <hyperlink ref="L5882" r:id="rId5880" tooltip="🔗 Ver Mapa" display="🔗 Ver Mapa"/>
    <hyperlink ref="L5883" r:id="rId5881" tooltip="🔗 Ver Mapa" display="🔗 Ver Mapa"/>
    <hyperlink ref="L5884" r:id="rId5882" tooltip="🔗 Ver Mapa" display="🔗 Ver Mapa"/>
    <hyperlink ref="L5885" r:id="rId5883" tooltip="🔗 Ver Mapa" display="🔗 Ver Mapa"/>
    <hyperlink ref="L5886" r:id="rId5884" tooltip="🔗 Ver Mapa" display="🔗 Ver Mapa"/>
    <hyperlink ref="L5887" r:id="rId5885" tooltip="🔗 Ver Mapa" display="🔗 Ver Mapa"/>
    <hyperlink ref="L5888" r:id="rId5886" tooltip="🔗 Ver Mapa" display="🔗 Ver Mapa"/>
    <hyperlink ref="L5889" r:id="rId5887" tooltip="🔗 Ver Mapa" display="🔗 Ver Mapa"/>
    <hyperlink ref="L5890" r:id="rId5888" tooltip="🔗 Ver Mapa" display="🔗 Ver Mapa"/>
    <hyperlink ref="L5891" r:id="rId5889" tooltip="🔗 Ver Mapa" display="🔗 Ver Mapa"/>
    <hyperlink ref="L5892" r:id="rId5890" tooltip="🔗 Ver Mapa" display="🔗 Ver Mapa"/>
    <hyperlink ref="L5893" r:id="rId5891" tooltip="🔗 Ver Mapa" display="🔗 Ver Mapa"/>
    <hyperlink ref="L5894" r:id="rId5892" tooltip="🔗 Ver Mapa" display="🔗 Ver Mapa"/>
    <hyperlink ref="L5895" r:id="rId5893" tooltip="🔗 Ver Mapa" display="🔗 Ver Mapa"/>
    <hyperlink ref="L5896" r:id="rId5894" tooltip="🔗 Ver Mapa" display="🔗 Ver Mapa"/>
    <hyperlink ref="L5897" r:id="rId5895" tooltip="🔗 Ver Mapa" display="🔗 Ver Mapa"/>
    <hyperlink ref="L5898" r:id="rId5896" tooltip="🔗 Ver Mapa" display="🔗 Ver Mapa"/>
    <hyperlink ref="L5899" r:id="rId5897" tooltip="🔗 Ver Mapa" display="🔗 Ver Mapa"/>
    <hyperlink ref="L5900" r:id="rId5898" tooltip="🔗 Ver Mapa" display="🔗 Ver Mapa"/>
    <hyperlink ref="L5901" r:id="rId5899" tooltip="🔗 Ver Mapa" display="🔗 Ver Mapa"/>
    <hyperlink ref="L5902" r:id="rId5900" tooltip="🔗 Ver Mapa" display="🔗 Ver Mapa"/>
    <hyperlink ref="L5903" r:id="rId5901" tooltip="🔗 Ver Mapa" display="🔗 Ver Mapa"/>
    <hyperlink ref="L5904" r:id="rId5902" tooltip="🔗 Ver Mapa" display="🔗 Ver Mapa"/>
    <hyperlink ref="L5905" r:id="rId5903" tooltip="🔗 Ver Mapa" display="🔗 Ver Mapa"/>
    <hyperlink ref="L5906" r:id="rId5904" tooltip="🔗 Ver Mapa" display="🔗 Ver Mapa"/>
    <hyperlink ref="L5907" r:id="rId5905" tooltip="🔗 Ver Mapa" display="🔗 Ver Mapa"/>
    <hyperlink ref="L5908" r:id="rId5906" tooltip="🔗 Ver Mapa" display="🔗 Ver Mapa"/>
    <hyperlink ref="L5909" r:id="rId5907" tooltip="🔗 Ver Mapa" display="🔗 Ver Mapa"/>
    <hyperlink ref="L5910" r:id="rId5908" tooltip="🔗 Ver Mapa" display="🔗 Ver Mapa"/>
    <hyperlink ref="L5911" r:id="rId5909" tooltip="🔗 Ver Mapa" display="🔗 Ver Mapa"/>
    <hyperlink ref="L5912" r:id="rId5910" tooltip="🔗 Ver Mapa" display="🔗 Ver Mapa"/>
    <hyperlink ref="L5913" r:id="rId5911" tooltip="🔗 Ver Mapa" display="🔗 Ver Mapa"/>
    <hyperlink ref="L5914" r:id="rId5912" tooltip="🔗 Ver Mapa" display="🔗 Ver Mapa"/>
    <hyperlink ref="L5915" r:id="rId5913" tooltip="🔗 Ver Mapa" display="🔗 Ver Mapa"/>
    <hyperlink ref="L5916" r:id="rId5914" tooltip="🔗 Ver Mapa" display="🔗 Ver Mapa"/>
    <hyperlink ref="L5917" r:id="rId5915" tooltip="🔗 Ver Mapa" display="🔗 Ver Mapa"/>
    <hyperlink ref="L5918" r:id="rId5916" tooltip="🔗 Ver Mapa" display="🔗 Ver Mapa"/>
    <hyperlink ref="L5919" r:id="rId5917" tooltip="🔗 Ver Mapa" display="🔗 Ver Mapa"/>
    <hyperlink ref="L5920" r:id="rId5918" tooltip="🔗 Ver Mapa" display="🔗 Ver Mapa"/>
    <hyperlink ref="L5921" r:id="rId5919" tooltip="🔗 Ver Mapa" display="🔗 Ver Mapa"/>
    <hyperlink ref="L5922" r:id="rId5920" tooltip="🔗 Ver Mapa" display="🔗 Ver Mapa"/>
    <hyperlink ref="L5923" r:id="rId5921" tooltip="🔗 Ver Mapa" display="🔗 Ver Mapa"/>
    <hyperlink ref="L5924" r:id="rId5922" tooltip="🔗 Ver Mapa" display="🔗 Ver Mapa"/>
    <hyperlink ref="L5925" r:id="rId5923" tooltip="🔗 Ver Mapa" display="🔗 Ver Mapa"/>
    <hyperlink ref="L5926" r:id="rId5924" tooltip="🔗 Ver Mapa" display="🔗 Ver Mapa"/>
    <hyperlink ref="L5927" r:id="rId5925" tooltip="🔗 Ver Mapa" display="🔗 Ver Mapa"/>
    <hyperlink ref="L5928" r:id="rId5926" tooltip="🔗 Ver Mapa" display="🔗 Ver Mapa"/>
    <hyperlink ref="L5929" r:id="rId5927" tooltip="🔗 Ver Mapa" display="🔗 Ver Mapa"/>
    <hyperlink ref="L5930" r:id="rId5928" tooltip="🔗 Ver Mapa" display="🔗 Ver Mapa"/>
    <hyperlink ref="L5931" r:id="rId5929" tooltip="🔗 Ver Mapa" display="🔗 Ver Mapa"/>
    <hyperlink ref="L5932" r:id="rId5930" tooltip="🔗 Ver Mapa" display="🔗 Ver Mapa"/>
    <hyperlink ref="L5933" r:id="rId5931" tooltip="🔗 Ver Mapa" display="🔗 Ver Mapa"/>
    <hyperlink ref="L5934" r:id="rId5932" tooltip="🔗 Ver Mapa" display="🔗 Ver Mapa"/>
    <hyperlink ref="L5935" r:id="rId5933" tooltip="🔗 Ver Mapa" display="🔗 Ver Mapa"/>
    <hyperlink ref="L5936" r:id="rId5934" tooltip="🔗 Ver Mapa" display="🔗 Ver Mapa"/>
    <hyperlink ref="L5937" r:id="rId5935" tooltip="🔗 Ver Mapa" display="🔗 Ver Mapa"/>
    <hyperlink ref="L5938" r:id="rId5936" tooltip="🔗 Ver Mapa" display="🔗 Ver Mapa"/>
    <hyperlink ref="L5939" r:id="rId5937" tooltip="🔗 Ver Mapa" display="🔗 Ver Mapa"/>
    <hyperlink ref="L5940" r:id="rId5938" tooltip="🔗 Ver Mapa" display="🔗 Ver Mapa"/>
    <hyperlink ref="L5941" r:id="rId5939" tooltip="🔗 Ver Mapa" display="🔗 Ver Mapa"/>
    <hyperlink ref="L5942" r:id="rId5940" tooltip="🔗 Ver Mapa" display="🔗 Ver Mapa"/>
    <hyperlink ref="L5943" r:id="rId5941" tooltip="🔗 Ver Mapa" display="🔗 Ver Mapa"/>
    <hyperlink ref="L5944" r:id="rId5942" tooltip="🔗 Ver Mapa" display="🔗 Ver Mapa"/>
    <hyperlink ref="L5945" r:id="rId5943" tooltip="🔗 Ver Mapa" display="🔗 Ver Mapa"/>
    <hyperlink ref="L5946" r:id="rId5944" tooltip="🔗 Ver Mapa" display="🔗 Ver Mapa"/>
    <hyperlink ref="L5947" r:id="rId5945" tooltip="🔗 Ver Mapa" display="🔗 Ver Mapa"/>
    <hyperlink ref="L5948" r:id="rId5946" tooltip="🔗 Ver Mapa" display="🔗 Ver Mapa"/>
    <hyperlink ref="L5949" r:id="rId5947" tooltip="🔗 Ver Mapa" display="🔗 Ver Mapa"/>
    <hyperlink ref="L5950" r:id="rId5948" tooltip="🔗 Ver Mapa" display="🔗 Ver Mapa"/>
    <hyperlink ref="L5951" r:id="rId5949" tooltip="🔗 Ver Mapa" display="🔗 Ver Mapa"/>
    <hyperlink ref="L5952" r:id="rId5950" tooltip="🔗 Ver Mapa" display="🔗 Ver Mapa"/>
    <hyperlink ref="L5953" r:id="rId5951" tooltip="🔗 Ver Mapa" display="🔗 Ver Mapa"/>
    <hyperlink ref="L5954" r:id="rId5952" tooltip="🔗 Ver Mapa" display="🔗 Ver Mapa"/>
    <hyperlink ref="L5955" r:id="rId5953" tooltip="🔗 Ver Mapa" display="🔗 Ver Mapa"/>
    <hyperlink ref="L5956" r:id="rId5954" tooltip="🔗 Ver Mapa" display="🔗 Ver Mapa"/>
    <hyperlink ref="L5957" r:id="rId5955" tooltip="🔗 Ver Mapa" display="🔗 Ver Mapa"/>
    <hyperlink ref="L5958" r:id="rId5956" tooltip="🔗 Ver Mapa" display="🔗 Ver Mapa"/>
    <hyperlink ref="L5959" r:id="rId5957" tooltip="🔗 Ver Mapa" display="🔗 Ver Mapa"/>
    <hyperlink ref="L5960" r:id="rId5958" tooltip="🔗 Ver Mapa" display="🔗 Ver Mapa"/>
    <hyperlink ref="L5961" r:id="rId5959" tooltip="🔗 Ver Mapa" display="🔗 Ver Mapa"/>
    <hyperlink ref="L5962" r:id="rId5960" tooltip="🔗 Ver Mapa" display="🔗 Ver Mapa"/>
    <hyperlink ref="L5963" r:id="rId5961" tooltip="🔗 Ver Mapa" display="🔗 Ver Mapa"/>
    <hyperlink ref="L5964" r:id="rId5962" tooltip="🔗 Ver Mapa" display="🔗 Ver Mapa"/>
    <hyperlink ref="L5965" r:id="rId5963" tooltip="🔗 Ver Mapa" display="🔗 Ver Mapa"/>
    <hyperlink ref="L5966" r:id="rId5964" tooltip="🔗 Ver Mapa" display="🔗 Ver Mapa"/>
    <hyperlink ref="L5967" r:id="rId5965" tooltip="🔗 Ver Mapa" display="🔗 Ver Mapa"/>
    <hyperlink ref="L5968" r:id="rId5966" tooltip="🔗 Ver Mapa" display="🔗 Ver Mapa"/>
    <hyperlink ref="L5969" r:id="rId5967" tooltip="🔗 Ver Mapa" display="🔗 Ver Mapa"/>
    <hyperlink ref="L5970" r:id="rId5968" tooltip="🔗 Ver Mapa" display="🔗 Ver Mapa"/>
    <hyperlink ref="L5971" r:id="rId5969" tooltip="🔗 Ver Mapa" display="🔗 Ver Mapa"/>
    <hyperlink ref="L5972" r:id="rId5970" tooltip="🔗 Ver Mapa" display="🔗 Ver Mapa"/>
    <hyperlink ref="L5973" r:id="rId5971" tooltip="🔗 Ver Mapa" display="🔗 Ver Mapa"/>
    <hyperlink ref="L5974" r:id="rId5972" tooltip="🔗 Ver Mapa" display="🔗 Ver Mapa"/>
    <hyperlink ref="L5975" r:id="rId5973" tooltip="🔗 Ver Mapa" display="🔗 Ver Mapa"/>
    <hyperlink ref="L5976" r:id="rId5974" tooltip="🔗 Ver Mapa" display="🔗 Ver Mapa"/>
    <hyperlink ref="L5977" r:id="rId5975" tooltip="🔗 Ver Mapa" display="🔗 Ver Mapa"/>
    <hyperlink ref="L5978" r:id="rId5976" tooltip="🔗 Ver Mapa" display="🔗 Ver Mapa"/>
    <hyperlink ref="L5979" r:id="rId5977" tooltip="🔗 Ver Mapa" display="🔗 Ver Mapa"/>
    <hyperlink ref="L5980" r:id="rId5978" tooltip="🔗 Ver Mapa" display="🔗 Ver Mapa"/>
    <hyperlink ref="L5981" r:id="rId5979" tooltip="🔗 Ver Mapa" display="🔗 Ver Mapa"/>
    <hyperlink ref="L5982" r:id="rId5980" tooltip="🔗 Ver Mapa" display="🔗 Ver Mapa"/>
    <hyperlink ref="L5983" r:id="rId5981" tooltip="🔗 Ver Mapa" display="🔗 Ver Mapa"/>
    <hyperlink ref="L5984" r:id="rId5982" tooltip="🔗 Ver Mapa" display="🔗 Ver Mapa"/>
    <hyperlink ref="L5985" r:id="rId5983" tooltip="🔗 Ver Mapa" display="🔗 Ver Mapa"/>
    <hyperlink ref="L5986" r:id="rId5984" tooltip="🔗 Ver Mapa" display="🔗 Ver Mapa"/>
    <hyperlink ref="L5987" r:id="rId5985" tooltip="🔗 Ver Mapa" display="🔗 Ver Mapa"/>
    <hyperlink ref="L5988" r:id="rId5986" tooltip="🔗 Ver Mapa" display="🔗 Ver Mapa"/>
    <hyperlink ref="L5989" r:id="rId5987" tooltip="🔗 Ver Mapa" display="🔗 Ver Mapa"/>
    <hyperlink ref="L5990" r:id="rId5988" tooltip="🔗 Ver Mapa" display="🔗 Ver Mapa"/>
    <hyperlink ref="L5991" r:id="rId5989" tooltip="🔗 Ver Mapa" display="🔗 Ver Mapa"/>
    <hyperlink ref="L5992" r:id="rId5990" tooltip="🔗 Ver Mapa" display="🔗 Ver Mapa"/>
    <hyperlink ref="L5993" r:id="rId5991" tooltip="🔗 Ver Mapa" display="🔗 Ver Mapa"/>
    <hyperlink ref="L5994" r:id="rId5992" tooltip="🔗 Ver Mapa" display="🔗 Ver Mapa"/>
    <hyperlink ref="L5995" r:id="rId5993" tooltip="🔗 Ver Mapa" display="🔗 Ver Mapa"/>
    <hyperlink ref="L5996" r:id="rId5994" tooltip="🔗 Ver Mapa" display="🔗 Ver Mapa"/>
    <hyperlink ref="L5997" r:id="rId5995" tooltip="🔗 Ver Mapa" display="🔗 Ver Mapa"/>
    <hyperlink ref="L5998" r:id="rId5996" tooltip="🔗 Ver Mapa" display="🔗 Ver Mapa"/>
    <hyperlink ref="L5999" r:id="rId5997" tooltip="🔗 Ver Mapa" display="🔗 Ver Mapa"/>
    <hyperlink ref="L6000" r:id="rId5998" tooltip="🔗 Ver Mapa" display="🔗 Ver Mapa"/>
    <hyperlink ref="L6001" r:id="rId5999" tooltip="🔗 Ver Mapa" display="🔗 Ver Mapa"/>
    <hyperlink ref="L6002" r:id="rId6000" tooltip="🔗 Ver Mapa" display="🔗 Ver Mapa"/>
    <hyperlink ref="L6003" r:id="rId6001" tooltip="🔗 Ver Mapa" display="🔗 Ver Mapa"/>
    <hyperlink ref="L6004" r:id="rId6002" tooltip="🔗 Ver Mapa" display="🔗 Ver Mapa"/>
    <hyperlink ref="L6005" r:id="rId6003" tooltip="🔗 Ver Mapa" display="🔗 Ver Mapa"/>
    <hyperlink ref="L6006" r:id="rId6004" tooltip="🔗 Ver Mapa" display="🔗 Ver Mapa"/>
    <hyperlink ref="L6007" r:id="rId6005" tooltip="🔗 Ver Mapa" display="🔗 Ver Mapa"/>
    <hyperlink ref="L6008" r:id="rId6006" tooltip="🔗 Ver Mapa" display="🔗 Ver Mapa"/>
    <hyperlink ref="L6009" r:id="rId6007" tooltip="🔗 Ver Mapa" display="🔗 Ver Mapa"/>
    <hyperlink ref="L6010" r:id="rId6008" tooltip="🔗 Ver Mapa" display="🔗 Ver Mapa"/>
    <hyperlink ref="L6011" r:id="rId6009" tooltip="🔗 Ver Mapa" display="🔗 Ver Mapa"/>
    <hyperlink ref="L6012" r:id="rId6010" tooltip="🔗 Ver Mapa" display="🔗 Ver Mapa"/>
    <hyperlink ref="L6013" r:id="rId6011" tooltip="🔗 Ver Mapa" display="🔗 Ver Mapa"/>
    <hyperlink ref="L6014" r:id="rId6012" tooltip="🔗 Ver Mapa" display="🔗 Ver Mapa"/>
    <hyperlink ref="L6015" r:id="rId6013" tooltip="🔗 Ver Mapa" display="🔗 Ver Mapa"/>
    <hyperlink ref="L6016" r:id="rId6014" tooltip="🔗 Ver Mapa" display="🔗 Ver Mapa"/>
    <hyperlink ref="L6017" r:id="rId6015" tooltip="🔗 Ver Mapa" display="🔗 Ver Mapa"/>
    <hyperlink ref="L6018" r:id="rId6016" tooltip="🔗 Ver Mapa" display="🔗 Ver Mapa"/>
    <hyperlink ref="L6019" r:id="rId6017" tooltip="🔗 Ver Mapa" display="🔗 Ver Mapa"/>
    <hyperlink ref="L6020" r:id="rId6018" tooltip="🔗 Ver Mapa" display="🔗 Ver Mapa"/>
    <hyperlink ref="L6021" r:id="rId6019" tooltip="🔗 Ver Mapa" display="🔗 Ver Mapa"/>
    <hyperlink ref="L6022" r:id="rId6020" tooltip="🔗 Ver Mapa" display="🔗 Ver Mapa"/>
    <hyperlink ref="L6023" r:id="rId6021" tooltip="🔗 Ver Mapa" display="🔗 Ver Mapa"/>
    <hyperlink ref="L6024" r:id="rId6022" tooltip="🔗 Ver Mapa" display="🔗 Ver Mapa"/>
    <hyperlink ref="L6025" r:id="rId6023" tooltip="🔗 Ver Mapa" display="🔗 Ver Mapa"/>
    <hyperlink ref="L6026" r:id="rId6024" tooltip="🔗 Ver Mapa" display="🔗 Ver Mapa"/>
    <hyperlink ref="L6027" r:id="rId6025" tooltip="🔗 Ver Mapa" display="🔗 Ver Mapa"/>
    <hyperlink ref="L6028" r:id="rId6026" tooltip="🔗 Ver Mapa" display="🔗 Ver Mapa"/>
    <hyperlink ref="L6029" r:id="rId6027" tooltip="🔗 Ver Mapa" display="🔗 Ver Mapa"/>
    <hyperlink ref="L6030" r:id="rId6028" tooltip="🔗 Ver Mapa" display="🔗 Ver Mapa"/>
    <hyperlink ref="L6031" r:id="rId6029" tooltip="🔗 Ver Mapa" display="🔗 Ver Mapa"/>
    <hyperlink ref="L6032" r:id="rId6030" tooltip="🔗 Ver Mapa" display="🔗 Ver Mapa"/>
    <hyperlink ref="L6033" r:id="rId6031" tooltip="🔗 Ver Mapa" display="🔗 Ver Mapa"/>
    <hyperlink ref="L6034" r:id="rId6032" tooltip="🔗 Ver Mapa" display="🔗 Ver Mapa"/>
    <hyperlink ref="L6035" r:id="rId6033" tooltip="🔗 Ver Mapa" display="🔗 Ver Mapa"/>
    <hyperlink ref="L6036" r:id="rId6034" tooltip="🔗 Ver Mapa" display="🔗 Ver Mapa"/>
    <hyperlink ref="L6037" r:id="rId6035" tooltip="🔗 Ver Mapa" display="🔗 Ver Mapa"/>
    <hyperlink ref="L6038" r:id="rId6036" tooltip="🔗 Ver Mapa" display="🔗 Ver Mapa"/>
    <hyperlink ref="L6039" r:id="rId6037" tooltip="🔗 Ver Mapa" display="🔗 Ver Mapa"/>
    <hyperlink ref="L6040" r:id="rId6038" tooltip="🔗 Ver Mapa" display="🔗 Ver Mapa"/>
    <hyperlink ref="L6041" r:id="rId6039" tooltip="🔗 Ver Mapa" display="🔗 Ver Mapa"/>
    <hyperlink ref="L6042" r:id="rId6040" tooltip="🔗 Ver Mapa" display="🔗 Ver Mapa"/>
    <hyperlink ref="L6043" r:id="rId6041" tooltip="🔗 Ver Mapa" display="🔗 Ver Mapa"/>
    <hyperlink ref="L6044" r:id="rId6042" tooltip="🔗 Ver Mapa" display="🔗 Ver Mapa"/>
    <hyperlink ref="L6045" r:id="rId6043" tooltip="🔗 Ver Mapa" display="🔗 Ver Mapa"/>
    <hyperlink ref="L6046" r:id="rId6044" tooltip="🔗 Ver Mapa" display="🔗 Ver Mapa"/>
    <hyperlink ref="L6047" r:id="rId6045" tooltip="🔗 Ver Mapa" display="🔗 Ver Mapa"/>
    <hyperlink ref="L6048" r:id="rId6046" tooltip="🔗 Ver Mapa" display="🔗 Ver Mapa"/>
    <hyperlink ref="L6049" r:id="rId6047" tooltip="🔗 Ver Mapa" display="🔗 Ver Mapa"/>
    <hyperlink ref="L6050" r:id="rId6048" tooltip="🔗 Ver Mapa" display="🔗 Ver Mapa"/>
    <hyperlink ref="L6051" r:id="rId6049" tooltip="🔗 Ver Mapa" display="🔗 Ver Mapa"/>
    <hyperlink ref="L6052" r:id="rId6050" tooltip="🔗 Ver Mapa" display="🔗 Ver Mapa"/>
    <hyperlink ref="L6053" r:id="rId6051" tooltip="🔗 Ver Mapa" display="🔗 Ver Mapa"/>
    <hyperlink ref="L6054" r:id="rId6052" tooltip="🔗 Ver Mapa" display="🔗 Ver Mapa"/>
    <hyperlink ref="L6055" r:id="rId6053" tooltip="🔗 Ver Mapa" display="🔗 Ver Mapa"/>
    <hyperlink ref="L6056" r:id="rId6054" tooltip="🔗 Ver Mapa" display="🔗 Ver Mapa"/>
    <hyperlink ref="L6057" r:id="rId6055" tooltip="🔗 Ver Mapa" display="🔗 Ver Mapa"/>
    <hyperlink ref="L6058" r:id="rId6056" tooltip="🔗 Ver Mapa" display="🔗 Ver Mapa"/>
    <hyperlink ref="L6059" r:id="rId6057" tooltip="🔗 Ver Mapa" display="🔗 Ver Mapa"/>
    <hyperlink ref="L6060" r:id="rId6058" tooltip="🔗 Ver Mapa" display="🔗 Ver Mapa"/>
    <hyperlink ref="L6061" r:id="rId6059" tooltip="🔗 Ver Mapa" display="🔗 Ver Mapa"/>
    <hyperlink ref="L6062" r:id="rId6060" tooltip="🔗 Ver Mapa" display="🔗 Ver Mapa"/>
    <hyperlink ref="L6063" r:id="rId6061" tooltip="🔗 Ver Mapa" display="🔗 Ver Mapa"/>
    <hyperlink ref="L6064" r:id="rId6062" tooltip="🔗 Ver Mapa" display="🔗 Ver Mapa"/>
    <hyperlink ref="L6065" r:id="rId6063" tooltip="🔗 Ver Mapa" display="🔗 Ver Mapa"/>
    <hyperlink ref="L6066" r:id="rId6064" tooltip="🔗 Ver Mapa" display="🔗 Ver Mapa"/>
    <hyperlink ref="L6067" r:id="rId6065" tooltip="🔗 Ver Mapa" display="🔗 Ver Mapa"/>
    <hyperlink ref="L6068" r:id="rId6066" tooltip="🔗 Ver Mapa" display="🔗 Ver Mapa"/>
    <hyperlink ref="L6069" r:id="rId6067" tooltip="🔗 Ver Mapa" display="🔗 Ver Mapa"/>
    <hyperlink ref="L6070" r:id="rId6068" tooltip="🔗 Ver Mapa" display="🔗 Ver Mapa"/>
    <hyperlink ref="L6071" r:id="rId6069" tooltip="🔗 Ver Mapa" display="🔗 Ver Mapa"/>
    <hyperlink ref="L6072" r:id="rId6070" tooltip="🔗 Ver Mapa" display="🔗 Ver Mapa"/>
    <hyperlink ref="L6073" r:id="rId6071" tooltip="🔗 Ver Mapa" display="🔗 Ver Mapa"/>
    <hyperlink ref="L6074" r:id="rId6072" tooltip="🔗 Ver Mapa" display="🔗 Ver Mapa"/>
    <hyperlink ref="L6075" r:id="rId6073" tooltip="🔗 Ver Mapa" display="🔗 Ver Mapa"/>
    <hyperlink ref="L6076" r:id="rId6074" tooltip="🔗 Ver Mapa" display="🔗 Ver Mapa"/>
    <hyperlink ref="L6077" r:id="rId6075" tooltip="🔗 Ver Mapa" display="🔗 Ver Mapa"/>
    <hyperlink ref="L6078" r:id="rId6076" tooltip="🔗 Ver Mapa" display="🔗 Ver Mapa"/>
    <hyperlink ref="L6079" r:id="rId6077" tooltip="🔗 Ver Mapa" display="🔗 Ver Mapa"/>
    <hyperlink ref="L6080" r:id="rId6078" tooltip="🔗 Ver Mapa" display="🔗 Ver Mapa"/>
    <hyperlink ref="L6081" r:id="rId6079" tooltip="🔗 Ver Mapa" display="🔗 Ver Mapa"/>
    <hyperlink ref="L6082" r:id="rId6080" tooltip="🔗 Ver Mapa" display="🔗 Ver Mapa"/>
    <hyperlink ref="L6083" r:id="rId6081" tooltip="🔗 Ver Mapa" display="🔗 Ver Mapa"/>
    <hyperlink ref="L6084" r:id="rId6082" tooltip="🔗 Ver Mapa" display="🔗 Ver Mapa"/>
    <hyperlink ref="L6085" r:id="rId6083" tooltip="🔗 Ver Mapa" display="🔗 Ver Mapa"/>
    <hyperlink ref="L6086" r:id="rId6084" tooltip="🔗 Ver Mapa" display="🔗 Ver Mapa"/>
    <hyperlink ref="L6087" r:id="rId6085" tooltip="🔗 Ver Mapa" display="🔗 Ver Mapa"/>
    <hyperlink ref="L6088" r:id="rId6086" tooltip="🔗 Ver Mapa" display="🔗 Ver Mapa"/>
    <hyperlink ref="L6089" r:id="rId6087" tooltip="🔗 Ver Mapa" display="🔗 Ver Mapa"/>
    <hyperlink ref="L6090" r:id="rId6088" tooltip="🔗 Ver Mapa" display="🔗 Ver Mapa"/>
    <hyperlink ref="L6091" r:id="rId6089" tooltip="🔗 Ver Mapa" display="🔗 Ver Mapa"/>
    <hyperlink ref="L6092" r:id="rId6090" tooltip="🔗 Ver Mapa" display="🔗 Ver Mapa"/>
    <hyperlink ref="L6093" r:id="rId6091" tooltip="🔗 Ver Mapa" display="🔗 Ver Mapa"/>
    <hyperlink ref="L6094" r:id="rId6092" tooltip="🔗 Ver Mapa" display="🔗 Ver Mapa"/>
    <hyperlink ref="L6095" r:id="rId6093" tooltip="🔗 Ver Mapa" display="🔗 Ver Mapa"/>
    <hyperlink ref="L6096" r:id="rId6094" tooltip="🔗 Ver Mapa" display="🔗 Ver Mapa"/>
    <hyperlink ref="L6097" r:id="rId6095" tooltip="🔗 Ver Mapa" display="🔗 Ver Mapa"/>
    <hyperlink ref="L6098" r:id="rId6096" tooltip="🔗 Ver Mapa" display="🔗 Ver Mapa"/>
    <hyperlink ref="L6099" r:id="rId6097" tooltip="🔗 Ver Mapa" display="🔗 Ver Mapa"/>
    <hyperlink ref="L6100" r:id="rId6098" tooltip="🔗 Ver Mapa" display="🔗 Ver Mapa"/>
    <hyperlink ref="L6101" r:id="rId6099" tooltip="🔗 Ver Mapa" display="🔗 Ver Mapa"/>
    <hyperlink ref="L6102" r:id="rId6100" tooltip="🔗 Ver Mapa" display="🔗 Ver Mapa"/>
    <hyperlink ref="L6103" r:id="rId6101" tooltip="🔗 Ver Mapa" display="🔗 Ver Mapa"/>
    <hyperlink ref="L6104" r:id="rId6102" tooltip="🔗 Ver Mapa" display="🔗 Ver Mapa"/>
    <hyperlink ref="L6105" r:id="rId6103" tooltip="🔗 Ver Mapa" display="🔗 Ver Mapa"/>
    <hyperlink ref="L6106" r:id="rId6104" tooltip="🔗 Ver Mapa" display="🔗 Ver Mapa"/>
    <hyperlink ref="L6107" r:id="rId6105" tooltip="🔗 Ver Mapa" display="🔗 Ver Mapa"/>
    <hyperlink ref="L6108" r:id="rId6106" tooltip="🔗 Ver Mapa" display="🔗 Ver Mapa"/>
    <hyperlink ref="L6109" r:id="rId6107" tooltip="🔗 Ver Mapa" display="🔗 Ver Mapa"/>
    <hyperlink ref="L6110" r:id="rId6108" tooltip="🔗 Ver Mapa" display="🔗 Ver Mapa"/>
    <hyperlink ref="L6111" r:id="rId6109" tooltip="🔗 Ver Mapa" display="🔗 Ver Mapa"/>
    <hyperlink ref="L6112" r:id="rId6110" tooltip="🔗 Ver Mapa" display="🔗 Ver Mapa"/>
    <hyperlink ref="L6113" r:id="rId6111" tooltip="🔗 Ver Mapa" display="🔗 Ver Mapa"/>
    <hyperlink ref="L6114" r:id="rId6112" tooltip="🔗 Ver Mapa" display="🔗 Ver Mapa"/>
    <hyperlink ref="L6115" r:id="rId6113" tooltip="🔗 Ver Mapa" display="🔗 Ver Mapa"/>
    <hyperlink ref="L6116" r:id="rId6114" tooltip="🔗 Ver Mapa" display="🔗 Ver Mapa"/>
    <hyperlink ref="L6117" r:id="rId6115" tooltip="🔗 Ver Mapa" display="🔗 Ver Mapa"/>
    <hyperlink ref="L6118" r:id="rId6116" tooltip="🔗 Ver Mapa" display="🔗 Ver Mapa"/>
    <hyperlink ref="L6119" r:id="rId6117" tooltip="🔗 Ver Mapa" display="🔗 Ver Mapa"/>
    <hyperlink ref="L6120" r:id="rId6118" tooltip="🔗 Ver Mapa" display="🔗 Ver Mapa"/>
    <hyperlink ref="L6121" r:id="rId6119" tooltip="🔗 Ver Mapa" display="🔗 Ver Mapa"/>
    <hyperlink ref="L6122" r:id="rId6120" tooltip="🔗 Ver Mapa" display="🔗 Ver Mapa"/>
    <hyperlink ref="L6123" r:id="rId6121" tooltip="🔗 Ver Mapa" display="🔗 Ver Mapa"/>
    <hyperlink ref="L6124" r:id="rId6122" tooltip="🔗 Ver Mapa" display="🔗 Ver Mapa"/>
    <hyperlink ref="L6125" r:id="rId6123" tooltip="🔗 Ver Mapa" display="🔗 Ver Mapa"/>
    <hyperlink ref="L6126" r:id="rId6124" tooltip="🔗 Ver Mapa" display="🔗 Ver Mapa"/>
    <hyperlink ref="L6127" r:id="rId6125" tooltip="🔗 Ver Mapa" display="🔗 Ver Mapa"/>
    <hyperlink ref="L6128" r:id="rId6126" tooltip="🔗 Ver Mapa" display="🔗 Ver Mapa"/>
    <hyperlink ref="L6129" r:id="rId6127" tooltip="🔗 Ver Mapa" display="🔗 Ver Mapa"/>
    <hyperlink ref="L6130" r:id="rId6128" tooltip="🔗 Ver Mapa" display="🔗 Ver Mapa"/>
    <hyperlink ref="L6131" r:id="rId6129" tooltip="🔗 Ver Mapa" display="🔗 Ver Mapa"/>
    <hyperlink ref="L6132" r:id="rId6130" tooltip="🔗 Ver Mapa" display="🔗 Ver Mapa"/>
    <hyperlink ref="L6133" r:id="rId6131" tooltip="🔗 Ver Mapa" display="🔗 Ver Mapa"/>
    <hyperlink ref="L6134" r:id="rId6132" tooltip="🔗 Ver Mapa" display="🔗 Ver Mapa"/>
    <hyperlink ref="L6135" r:id="rId6133" tooltip="🔗 Ver Mapa" display="🔗 Ver Mapa"/>
    <hyperlink ref="L6136" r:id="rId6134" tooltip="🔗 Ver Mapa" display="🔗 Ver Mapa"/>
    <hyperlink ref="L6137" r:id="rId6135" tooltip="🔗 Ver Mapa" display="🔗 Ver Mapa"/>
    <hyperlink ref="L6138" r:id="rId6136" tooltip="🔗 Ver Mapa" display="🔗 Ver Mapa"/>
    <hyperlink ref="L6139" r:id="rId6137" tooltip="🔗 Ver Mapa" display="🔗 Ver Mapa"/>
    <hyperlink ref="L6140" r:id="rId6138" tooltip="🔗 Ver Mapa" display="🔗 Ver Mapa"/>
    <hyperlink ref="L6141" r:id="rId6139" tooltip="🔗 Ver Mapa" display="🔗 Ver Mapa"/>
    <hyperlink ref="L6142" r:id="rId6140" tooltip="🔗 Ver Mapa" display="🔗 Ver Mapa"/>
    <hyperlink ref="L6143" r:id="rId6141" tooltip="🔗 Ver Mapa" display="🔗 Ver Mapa"/>
    <hyperlink ref="L6144" r:id="rId6142" tooltip="🔗 Ver Mapa" display="🔗 Ver Mapa"/>
    <hyperlink ref="L6145" r:id="rId6143" tooltip="🔗 Ver Mapa" display="🔗 Ver Mapa"/>
    <hyperlink ref="L6146" r:id="rId6144" tooltip="🔗 Ver Mapa" display="🔗 Ver Mapa"/>
    <hyperlink ref="L6147" r:id="rId6145" tooltip="🔗 Ver Mapa" display="🔗 Ver Mapa"/>
    <hyperlink ref="L6148" r:id="rId6146" tooltip="🔗 Ver Mapa" display="🔗 Ver Mapa"/>
    <hyperlink ref="L6149" r:id="rId6147" tooltip="🔗 Ver Mapa" display="🔗 Ver Mapa"/>
    <hyperlink ref="L6150" r:id="rId6148" tooltip="🔗 Ver Mapa" display="🔗 Ver Mapa"/>
    <hyperlink ref="L6151" r:id="rId6149" tooltip="🔗 Ver Mapa" display="🔗 Ver Mapa"/>
    <hyperlink ref="L6152" r:id="rId6150" tooltip="🔗 Ver Mapa" display="🔗 Ver Mapa"/>
    <hyperlink ref="L6153" r:id="rId6151" tooltip="🔗 Ver Mapa" display="🔗 Ver Mapa"/>
    <hyperlink ref="L6154" r:id="rId6152" tooltip="🔗 Ver Mapa" display="🔗 Ver Mapa"/>
    <hyperlink ref="L6155" r:id="rId6153" tooltip="🔗 Ver Mapa" display="🔗 Ver Mapa"/>
    <hyperlink ref="L6156" r:id="rId6154" tooltip="🔗 Ver Mapa" display="🔗 Ver Mapa"/>
    <hyperlink ref="L6157" r:id="rId6155" tooltip="🔗 Ver Mapa" display="🔗 Ver Mapa"/>
    <hyperlink ref="L6158" r:id="rId6156" tooltip="🔗 Ver Mapa" display="🔗 Ver Mapa"/>
    <hyperlink ref="L6159" r:id="rId6157" tooltip="🔗 Ver Mapa" display="🔗 Ver Mapa"/>
    <hyperlink ref="L6160" r:id="rId6158" tooltip="🔗 Ver Mapa" display="🔗 Ver Mapa"/>
    <hyperlink ref="L6161" r:id="rId6159" tooltip="🔗 Ver Mapa" display="🔗 Ver Mapa"/>
    <hyperlink ref="L6162" r:id="rId6160" tooltip="🔗 Ver Mapa" display="🔗 Ver Mapa"/>
    <hyperlink ref="L6163" r:id="rId6161" tooltip="🔗 Ver Mapa" display="🔗 Ver Mapa"/>
    <hyperlink ref="L6164" r:id="rId6162" tooltip="🔗 Ver Mapa" display="🔗 Ver Mapa"/>
    <hyperlink ref="L6165" r:id="rId6163" tooltip="🔗 Ver Mapa" display="🔗 Ver Mapa"/>
    <hyperlink ref="L6166" r:id="rId6164" tooltip="🔗 Ver Mapa" display="🔗 Ver Mapa"/>
    <hyperlink ref="L6167" r:id="rId6165" tooltip="🔗 Ver Mapa" display="🔗 Ver Mapa"/>
    <hyperlink ref="L6168" r:id="rId6166" tooltip="🔗 Ver Mapa" display="🔗 Ver Mapa"/>
    <hyperlink ref="L6169" r:id="rId6167" tooltip="🔗 Ver Mapa" display="🔗 Ver Mapa"/>
    <hyperlink ref="L6170" r:id="rId6168" tooltip="🔗 Ver Mapa" display="🔗 Ver Mapa"/>
    <hyperlink ref="L6171" r:id="rId6169" tooltip="🔗 Ver Mapa" display="🔗 Ver Mapa"/>
    <hyperlink ref="L6172" r:id="rId6170" tooltip="🔗 Ver Mapa" display="🔗 Ver Mapa"/>
    <hyperlink ref="L6173" r:id="rId6171" tooltip="🔗 Ver Mapa" display="🔗 Ver Mapa"/>
    <hyperlink ref="L6174" r:id="rId6172" tooltip="🔗 Ver Mapa" display="🔗 Ver Mapa"/>
    <hyperlink ref="L6175" r:id="rId6173" tooltip="🔗 Ver Mapa" display="🔗 Ver Mapa"/>
    <hyperlink ref="L6176" r:id="rId6174" tooltip="🔗 Ver Mapa" display="🔗 Ver Mapa"/>
    <hyperlink ref="L6177" r:id="rId6175" tooltip="🔗 Ver Mapa" display="🔗 Ver Mapa"/>
    <hyperlink ref="L6178" r:id="rId6176" tooltip="🔗 Ver Mapa" display="🔗 Ver Mapa"/>
    <hyperlink ref="L6179" r:id="rId6177" tooltip="🔗 Ver Mapa" display="🔗 Ver Mapa"/>
    <hyperlink ref="L6180" r:id="rId6178" tooltip="🔗 Ver Mapa" display="🔗 Ver Mapa"/>
    <hyperlink ref="L6181" r:id="rId6179" tooltip="🔗 Ver Mapa" display="🔗 Ver Mapa"/>
    <hyperlink ref="L6182" r:id="rId6180" tooltip="🔗 Ver Mapa" display="🔗 Ver Mapa"/>
    <hyperlink ref="L6183" r:id="rId6181" tooltip="🔗 Ver Mapa" display="🔗 Ver Mapa"/>
    <hyperlink ref="L6184" r:id="rId6182" tooltip="🔗 Ver Mapa" display="🔗 Ver Mapa"/>
    <hyperlink ref="L6185" r:id="rId6183" tooltip="🔗 Ver Mapa" display="🔗 Ver Mapa"/>
    <hyperlink ref="L6186" r:id="rId6184" tooltip="🔗 Ver Mapa" display="🔗 Ver Mapa"/>
    <hyperlink ref="L6187" r:id="rId6185" tooltip="🔗 Ver Mapa" display="🔗 Ver Mapa"/>
    <hyperlink ref="L6188" r:id="rId6186" tooltip="🔗 Ver Mapa" display="🔗 Ver Mapa"/>
    <hyperlink ref="L6189" r:id="rId6187" tooltip="🔗 Ver Mapa" display="🔗 Ver Mapa"/>
    <hyperlink ref="L6190" r:id="rId6188" tooltip="🔗 Ver Mapa" display="🔗 Ver Mapa"/>
    <hyperlink ref="L6191" r:id="rId6189" tooltip="🔗 Ver Mapa" display="🔗 Ver Mapa"/>
    <hyperlink ref="L6192" r:id="rId6190" tooltip="🔗 Ver Mapa" display="🔗 Ver Mapa"/>
    <hyperlink ref="L6193" r:id="rId6191" tooltip="🔗 Ver Mapa" display="🔗 Ver Mapa"/>
    <hyperlink ref="L6194" r:id="rId6192" tooltip="🔗 Ver Mapa" display="🔗 Ver Mapa"/>
    <hyperlink ref="L6195" r:id="rId6193" tooltip="🔗 Ver Mapa" display="🔗 Ver Mapa"/>
    <hyperlink ref="L6196" r:id="rId6194" tooltip="🔗 Ver Mapa" display="🔗 Ver Mapa"/>
    <hyperlink ref="L6197" r:id="rId6195" tooltip="🔗 Ver Mapa" display="🔗 Ver Mapa"/>
    <hyperlink ref="L6198" r:id="rId6196" tooltip="🔗 Ver Mapa" display="🔗 Ver Mapa"/>
    <hyperlink ref="L6199" r:id="rId6197" tooltip="🔗 Ver Mapa" display="🔗 Ver Mapa"/>
    <hyperlink ref="L6200" r:id="rId6198" tooltip="🔗 Ver Mapa" display="🔗 Ver Mapa"/>
    <hyperlink ref="L6201" r:id="rId6199" tooltip="🔗 Ver Mapa" display="🔗 Ver Mapa"/>
    <hyperlink ref="L6202" r:id="rId6200" tooltip="🔗 Ver Mapa" display="🔗 Ver Mapa"/>
    <hyperlink ref="L6203" r:id="rId6201" tooltip="🔗 Ver Mapa" display="🔗 Ver Mapa"/>
    <hyperlink ref="L6204" r:id="rId6202" tooltip="🔗 Ver Mapa" display="🔗 Ver Mapa"/>
    <hyperlink ref="L6205" r:id="rId6203" tooltip="🔗 Ver Mapa" display="🔗 Ver Mapa"/>
    <hyperlink ref="L6206" r:id="rId6204" tooltip="🔗 Ver Mapa" display="🔗 Ver Mapa"/>
    <hyperlink ref="L6207" r:id="rId6205" tooltip="🔗 Ver Mapa" display="🔗 Ver Mapa"/>
    <hyperlink ref="L6208" r:id="rId6206" tooltip="🔗 Ver Mapa" display="🔗 Ver Mapa"/>
    <hyperlink ref="L6209" r:id="rId6207" tooltip="🔗 Ver Mapa" display="🔗 Ver Mapa"/>
    <hyperlink ref="L6210" r:id="rId6208" tooltip="🔗 Ver Mapa" display="🔗 Ver Mapa"/>
    <hyperlink ref="L6211" r:id="rId6209" tooltip="🔗 Ver Mapa" display="🔗 Ver Mapa"/>
    <hyperlink ref="L6212" r:id="rId6210" tooltip="🔗 Ver Mapa" display="🔗 Ver Mapa"/>
    <hyperlink ref="L6213" r:id="rId6211" tooltip="🔗 Ver Mapa" display="🔗 Ver Mapa"/>
    <hyperlink ref="L6214" r:id="rId6212" tooltip="🔗 Ver Mapa" display="🔗 Ver Mapa"/>
    <hyperlink ref="L6215" r:id="rId6213" tooltip="🔗 Ver Mapa" display="🔗 Ver Mapa"/>
    <hyperlink ref="L6216" r:id="rId6214" tooltip="🔗 Ver Mapa" display="🔗 Ver Mapa"/>
    <hyperlink ref="L6217" r:id="rId6215" tooltip="🔗 Ver Mapa" display="🔗 Ver Mapa"/>
    <hyperlink ref="L6218" r:id="rId6216" tooltip="🔗 Ver Mapa" display="🔗 Ver Mapa"/>
    <hyperlink ref="L6219" r:id="rId6217" tooltip="🔗 Ver Mapa" display="🔗 Ver Mapa"/>
    <hyperlink ref="L6220" r:id="rId6218" tooltip="🔗 Ver Mapa" display="🔗 Ver Mapa"/>
    <hyperlink ref="L6221" r:id="rId6219" tooltip="🔗 Ver Mapa" display="🔗 Ver Mapa"/>
    <hyperlink ref="L6222" r:id="rId6220" tooltip="🔗 Ver Mapa" display="🔗 Ver Mapa"/>
    <hyperlink ref="L6223" r:id="rId6221" tooltip="🔗 Ver Mapa" display="🔗 Ver Mapa"/>
    <hyperlink ref="L6224" r:id="rId6222" tooltip="🔗 Ver Mapa" display="🔗 Ver Mapa"/>
    <hyperlink ref="L6225" r:id="rId6223" tooltip="🔗 Ver Mapa" display="🔗 Ver Mapa"/>
    <hyperlink ref="L6226" r:id="rId6224" tooltip="🔗 Ver Mapa" display="🔗 Ver Mapa"/>
    <hyperlink ref="L6227" r:id="rId6225" tooltip="🔗 Ver Mapa" display="🔗 Ver Mapa"/>
    <hyperlink ref="L6228" r:id="rId6226" tooltip="🔗 Ver Mapa" display="🔗 Ver Mapa"/>
    <hyperlink ref="L6229" r:id="rId6227" tooltip="🔗 Ver Mapa" display="🔗 Ver Mapa"/>
    <hyperlink ref="L6230" r:id="rId6228" tooltip="🔗 Ver Mapa" display="🔗 Ver Mapa"/>
    <hyperlink ref="L6231" r:id="rId6229" tooltip="🔗 Ver Mapa" display="🔗 Ver Mapa"/>
    <hyperlink ref="L6232" r:id="rId6230" tooltip="🔗 Ver Mapa" display="🔗 Ver Mapa"/>
    <hyperlink ref="L6233" r:id="rId6231" tooltip="🔗 Ver Mapa" display="🔗 Ver Mapa"/>
    <hyperlink ref="L6234" r:id="rId6232" tooltip="🔗 Ver Mapa" display="🔗 Ver Mapa"/>
    <hyperlink ref="L6235" r:id="rId6233" tooltip="🔗 Ver Mapa" display="🔗 Ver Mapa"/>
    <hyperlink ref="L6236" r:id="rId6234" tooltip="🔗 Ver Mapa" display="🔗 Ver Mapa"/>
    <hyperlink ref="L6237" r:id="rId6235" tooltip="🔗 Ver Mapa" display="🔗 Ver Mapa"/>
    <hyperlink ref="L6238" r:id="rId6236" tooltip="🔗 Ver Mapa" display="🔗 Ver Mapa"/>
    <hyperlink ref="L6239" r:id="rId6237" tooltip="🔗 Ver Mapa" display="🔗 Ver Mapa"/>
    <hyperlink ref="L6240" r:id="rId6238" tooltip="🔗 Ver Mapa" display="🔗 Ver Mapa"/>
    <hyperlink ref="L6241" r:id="rId6239" tooltip="🔗 Ver Mapa" display="🔗 Ver Mapa"/>
    <hyperlink ref="L6242" r:id="rId6240" tooltip="🔗 Ver Mapa" display="🔗 Ver Mapa"/>
    <hyperlink ref="L6243" r:id="rId6241" tooltip="🔗 Ver Mapa" display="🔗 Ver Mapa"/>
    <hyperlink ref="L6244" r:id="rId6242" tooltip="🔗 Ver Mapa" display="🔗 Ver Mapa"/>
    <hyperlink ref="L6245" r:id="rId6243" tooltip="🔗 Ver Mapa" display="🔗 Ver Mapa"/>
    <hyperlink ref="L6246" r:id="rId6244" tooltip="🔗 Ver Mapa" display="🔗 Ver Mapa"/>
    <hyperlink ref="L6247" r:id="rId6245" tooltip="🔗 Ver Mapa" display="🔗 Ver Mapa"/>
    <hyperlink ref="L6248" r:id="rId6246" tooltip="🔗 Ver Mapa" display="🔗 Ver Mapa"/>
    <hyperlink ref="L6249" r:id="rId6247" tooltip="🔗 Ver Mapa" display="🔗 Ver Mapa"/>
    <hyperlink ref="L6250" r:id="rId6248" tooltip="🔗 Ver Mapa" display="🔗 Ver Mapa"/>
    <hyperlink ref="L6251" r:id="rId6249" tooltip="🔗 Ver Mapa" display="🔗 Ver Mapa"/>
    <hyperlink ref="L6252" r:id="rId6250" tooltip="🔗 Ver Mapa" display="🔗 Ver Mapa"/>
    <hyperlink ref="L6253" r:id="rId6251" tooltip="🔗 Ver Mapa" display="🔗 Ver Mapa"/>
    <hyperlink ref="L6254" r:id="rId6252" tooltip="🔗 Ver Mapa" display="🔗 Ver Mapa"/>
    <hyperlink ref="L6255" r:id="rId6253" tooltip="🔗 Ver Mapa" display="🔗 Ver Mapa"/>
    <hyperlink ref="L6256" r:id="rId6254" tooltip="🔗 Ver Mapa" display="🔗 Ver Mapa"/>
    <hyperlink ref="L6257" r:id="rId6255" tooltip="🔗 Ver Mapa" display="🔗 Ver Mapa"/>
    <hyperlink ref="L6258" r:id="rId6256" tooltip="🔗 Ver Mapa" display="🔗 Ver Mapa"/>
    <hyperlink ref="L6259" r:id="rId6257" tooltip="🔗 Ver Mapa" display="🔗 Ver Mapa"/>
    <hyperlink ref="L6260" r:id="rId6258" tooltip="🔗 Ver Mapa" display="🔗 Ver Mapa"/>
    <hyperlink ref="L6261" r:id="rId6259" tooltip="🔗 Ver Mapa" display="🔗 Ver Mapa"/>
    <hyperlink ref="L6262" r:id="rId6260" tooltip="🔗 Ver Mapa" display="🔗 Ver Mapa"/>
    <hyperlink ref="L6263" r:id="rId6261" tooltip="🔗 Ver Mapa" display="🔗 Ver Mapa"/>
    <hyperlink ref="L6264" r:id="rId6262" tooltip="🔗 Ver Mapa" display="🔗 Ver Mapa"/>
    <hyperlink ref="L6265" r:id="rId6263" tooltip="🔗 Ver Mapa" display="🔗 Ver Mapa"/>
    <hyperlink ref="L6266" r:id="rId6264" tooltip="🔗 Ver Mapa" display="🔗 Ver Mapa"/>
    <hyperlink ref="L6267" r:id="rId6265" tooltip="🔗 Ver Mapa" display="🔗 Ver Mapa"/>
    <hyperlink ref="L6268" r:id="rId6266" tooltip="🔗 Ver Mapa" display="🔗 Ver Mapa"/>
    <hyperlink ref="L6269" r:id="rId6267" tooltip="🔗 Ver Mapa" display="🔗 Ver Mapa"/>
    <hyperlink ref="L6270" r:id="rId6268" tooltip="🔗 Ver Mapa" display="🔗 Ver Mapa"/>
    <hyperlink ref="L6271" r:id="rId6269" tooltip="🔗 Ver Mapa" display="🔗 Ver Mapa"/>
    <hyperlink ref="L6272" r:id="rId6270" tooltip="🔗 Ver Mapa" display="🔗 Ver Mapa"/>
    <hyperlink ref="L6273" r:id="rId6271" tooltip="🔗 Ver Mapa" display="🔗 Ver Mapa"/>
    <hyperlink ref="L6274" r:id="rId6272" tooltip="🔗 Ver Mapa" display="🔗 Ver Mapa"/>
    <hyperlink ref="L6275" r:id="rId6273" tooltip="🔗 Ver Mapa" display="🔗 Ver Mapa"/>
    <hyperlink ref="L6276" r:id="rId6274" tooltip="🔗 Ver Mapa" display="🔗 Ver Mapa"/>
    <hyperlink ref="L6277" r:id="rId6275" tooltip="🔗 Ver Mapa" display="🔗 Ver Mapa"/>
    <hyperlink ref="L6278" r:id="rId6276" tooltip="🔗 Ver Mapa" display="🔗 Ver Mapa"/>
    <hyperlink ref="L6279" r:id="rId6277" tooltip="🔗 Ver Mapa" display="🔗 Ver Mapa"/>
    <hyperlink ref="L6280" r:id="rId6278" tooltip="🔗 Ver Mapa" display="🔗 Ver Mapa"/>
    <hyperlink ref="L6281" r:id="rId6279" tooltip="🔗 Ver Mapa" display="🔗 Ver Mapa"/>
    <hyperlink ref="L6282" r:id="rId6280" tooltip="🔗 Ver Mapa" display="🔗 Ver Mapa"/>
    <hyperlink ref="L6283" r:id="rId6281" tooltip="🔗 Ver Mapa" display="🔗 Ver Mapa"/>
    <hyperlink ref="L6284" r:id="rId6282" tooltip="🔗 Ver Mapa" display="🔗 Ver Mapa"/>
    <hyperlink ref="L6285" r:id="rId6283" tooltip="🔗 Ver Mapa" display="🔗 Ver Mapa"/>
    <hyperlink ref="L6286" r:id="rId6284" tooltip="🔗 Ver Mapa" display="🔗 Ver Mapa"/>
    <hyperlink ref="L6287" r:id="rId6285" tooltip="🔗 Ver Mapa" display="🔗 Ver Mapa"/>
    <hyperlink ref="L6288" r:id="rId6286" tooltip="🔗 Ver Mapa" display="🔗 Ver Mapa"/>
    <hyperlink ref="L6289" r:id="rId6287" tooltip="🔗 Ver Mapa" display="🔗 Ver Mapa"/>
    <hyperlink ref="L6290" r:id="rId6288" tooltip="🔗 Ver Mapa" display="🔗 Ver Mapa"/>
    <hyperlink ref="L6291" r:id="rId6289" tooltip="🔗 Ver Mapa" display="🔗 Ver Mapa"/>
    <hyperlink ref="L6292" r:id="rId6290" tooltip="🔗 Ver Mapa" display="🔗 Ver Mapa"/>
    <hyperlink ref="L6293" r:id="rId6291" tooltip="🔗 Ver Mapa" display="🔗 Ver Mapa"/>
    <hyperlink ref="L6294" r:id="rId6292" tooltip="🔗 Ver Mapa" display="🔗 Ver Mapa"/>
    <hyperlink ref="L6295" r:id="rId6293" tooltip="🔗 Ver Mapa" display="🔗 Ver Mapa"/>
    <hyperlink ref="L6296" r:id="rId6294" tooltip="🔗 Ver Mapa" display="🔗 Ver Mapa"/>
    <hyperlink ref="L6297" r:id="rId6295" tooltip="🔗 Ver Mapa" display="🔗 Ver Mapa"/>
    <hyperlink ref="L6298" r:id="rId6296" tooltip="🔗 Ver Mapa" display="🔗 Ver Mapa"/>
    <hyperlink ref="L6299" r:id="rId6297" tooltip="🔗 Ver Mapa" display="🔗 Ver Mapa"/>
    <hyperlink ref="L6300" r:id="rId6298" tooltip="🔗 Ver Mapa" display="🔗 Ver Mapa"/>
    <hyperlink ref="L6301" r:id="rId6299" tooltip="🔗 Ver Mapa" display="🔗 Ver Mapa"/>
    <hyperlink ref="L6302" r:id="rId6300" tooltip="🔗 Ver Mapa" display="🔗 Ver Mapa"/>
    <hyperlink ref="L6303" r:id="rId6301" tooltip="🔗 Ver Mapa" display="🔗 Ver Mapa"/>
    <hyperlink ref="L6304" r:id="rId6302" tooltip="🔗 Ver Mapa" display="🔗 Ver Mapa"/>
    <hyperlink ref="L6305" r:id="rId6303" tooltip="🔗 Ver Mapa" display="🔗 Ver Mapa"/>
    <hyperlink ref="L6306" r:id="rId6304" tooltip="🔗 Ver Mapa" display="🔗 Ver Mapa"/>
    <hyperlink ref="L6307" r:id="rId6305" tooltip="🔗 Ver Mapa" display="🔗 Ver Mapa"/>
    <hyperlink ref="L6308" r:id="rId6306" tooltip="🔗 Ver Mapa" display="🔗 Ver Mapa"/>
    <hyperlink ref="L6309" r:id="rId6307" tooltip="🔗 Ver Mapa" display="🔗 Ver Mapa"/>
    <hyperlink ref="L6310" r:id="rId6308" tooltip="🔗 Ver Mapa" display="🔗 Ver Mapa"/>
    <hyperlink ref="L6311" r:id="rId6309" tooltip="🔗 Ver Mapa" display="🔗 Ver Mapa"/>
    <hyperlink ref="L6312" r:id="rId6310" tooltip="🔗 Ver Mapa" display="🔗 Ver Mapa"/>
    <hyperlink ref="L6313" r:id="rId6311" tooltip="🔗 Ver Mapa" display="🔗 Ver Mapa"/>
    <hyperlink ref="L6314" r:id="rId6312" tooltip="🔗 Ver Mapa" display="🔗 Ver Mapa"/>
    <hyperlink ref="L6315" r:id="rId6313" tooltip="🔗 Ver Mapa" display="🔗 Ver Mapa"/>
    <hyperlink ref="L6316" r:id="rId6314" tooltip="🔗 Ver Mapa" display="🔗 Ver Mapa"/>
    <hyperlink ref="L6317" r:id="rId6315" tooltip="🔗 Ver Mapa" display="🔗 Ver Mapa"/>
    <hyperlink ref="L6318" r:id="rId6316" tooltip="🔗 Ver Mapa" display="🔗 Ver Mapa"/>
    <hyperlink ref="L6319" r:id="rId6317" tooltip="🔗 Ver Mapa" display="🔗 Ver Mapa"/>
    <hyperlink ref="L6320" r:id="rId6318" tooltip="🔗 Ver Mapa" display="🔗 Ver Mapa"/>
    <hyperlink ref="L6321" r:id="rId6319" tooltip="🔗 Ver Mapa" display="🔗 Ver Mapa"/>
    <hyperlink ref="L6322" r:id="rId6320" tooltip="🔗 Ver Mapa" display="🔗 Ver Mapa"/>
    <hyperlink ref="L6323" r:id="rId6321" tooltip="🔗 Ver Mapa" display="🔗 Ver Mapa"/>
    <hyperlink ref="L6324" r:id="rId6322" tooltip="🔗 Ver Mapa" display="🔗 Ver Mapa"/>
    <hyperlink ref="L6325" r:id="rId6323" tooltip="🔗 Ver Mapa" display="🔗 Ver Mapa"/>
    <hyperlink ref="L6326" r:id="rId6324" tooltip="🔗 Ver Mapa" display="🔗 Ver Mapa"/>
    <hyperlink ref="L6327" r:id="rId6325" tooltip="🔗 Ver Mapa" display="🔗 Ver Mapa"/>
    <hyperlink ref="L6328" r:id="rId6326" tooltip="🔗 Ver Mapa" display="🔗 Ver Mapa"/>
    <hyperlink ref="L6329" r:id="rId6327" tooltip="🔗 Ver Mapa" display="🔗 Ver Mapa"/>
    <hyperlink ref="L6330" r:id="rId6328" tooltip="🔗 Ver Mapa" display="🔗 Ver Mapa"/>
    <hyperlink ref="L6331" r:id="rId6329" tooltip="🔗 Ver Mapa" display="🔗 Ver Mapa"/>
    <hyperlink ref="L6332" r:id="rId6330" tooltip="🔗 Ver Mapa" display="🔗 Ver Mapa"/>
    <hyperlink ref="L6333" r:id="rId6331" tooltip="🔗 Ver Mapa" display="🔗 Ver Mapa"/>
    <hyperlink ref="L6334" r:id="rId6332" tooltip="🔗 Ver Mapa" display="🔗 Ver Mapa"/>
    <hyperlink ref="L6335" r:id="rId6333" tooltip="🔗 Ver Mapa" display="🔗 Ver Mapa"/>
    <hyperlink ref="L6336" r:id="rId6334" tooltip="🔗 Ver Mapa" display="🔗 Ver Mapa"/>
    <hyperlink ref="L6337" r:id="rId6335" tooltip="🔗 Ver Mapa" display="🔗 Ver Mapa"/>
    <hyperlink ref="L6338" r:id="rId6336" tooltip="🔗 Ver Mapa" display="🔗 Ver Mapa"/>
    <hyperlink ref="L6339" r:id="rId6337" tooltip="🔗 Ver Mapa" display="🔗 Ver Mapa"/>
    <hyperlink ref="L6340" r:id="rId6338" tooltip="🔗 Ver Mapa" display="🔗 Ver Mapa"/>
    <hyperlink ref="L6341" r:id="rId6339" tooltip="🔗 Ver Mapa" display="🔗 Ver Mapa"/>
    <hyperlink ref="L6342" r:id="rId6340" tooltip="🔗 Ver Mapa" display="🔗 Ver Mapa"/>
    <hyperlink ref="L6343" r:id="rId6341" tooltip="🔗 Ver Mapa" display="🔗 Ver Mapa"/>
    <hyperlink ref="L6344" r:id="rId6342" tooltip="🔗 Ver Mapa" display="🔗 Ver Mapa"/>
    <hyperlink ref="L6345" r:id="rId6343" tooltip="🔗 Ver Mapa" display="🔗 Ver Mapa"/>
    <hyperlink ref="L6346" r:id="rId6344" tooltip="🔗 Ver Mapa" display="🔗 Ver Mapa"/>
    <hyperlink ref="L6347" r:id="rId6345" tooltip="🔗 Ver Mapa" display="🔗 Ver Mapa"/>
    <hyperlink ref="L6348" r:id="rId6346" tooltip="🔗 Ver Mapa" display="🔗 Ver Mapa"/>
    <hyperlink ref="L6349" r:id="rId6347" tooltip="🔗 Ver Mapa" display="🔗 Ver Mapa"/>
    <hyperlink ref="L6350" r:id="rId6348" tooltip="🔗 Ver Mapa" display="🔗 Ver Mapa"/>
    <hyperlink ref="L6351" r:id="rId6349" tooltip="🔗 Ver Mapa" display="🔗 Ver Mapa"/>
    <hyperlink ref="L6352" r:id="rId6350" tooltip="🔗 Ver Mapa" display="🔗 Ver Mapa"/>
    <hyperlink ref="L6353" r:id="rId6351" tooltip="🔗 Ver Mapa" display="🔗 Ver Mapa"/>
    <hyperlink ref="L6354" r:id="rId6352" tooltip="🔗 Ver Mapa" display="🔗 Ver Mapa"/>
    <hyperlink ref="L6355" r:id="rId6353" tooltip="🔗 Ver Mapa" display="🔗 Ver Mapa"/>
    <hyperlink ref="L6356" r:id="rId6354" tooltip="🔗 Ver Mapa" display="🔗 Ver Mapa"/>
    <hyperlink ref="L6357" r:id="rId6355" tooltip="🔗 Ver Mapa" display="🔗 Ver Mapa"/>
    <hyperlink ref="L6358" r:id="rId6356" tooltip="🔗 Ver Mapa" display="🔗 Ver Mapa"/>
    <hyperlink ref="L6359" r:id="rId6357" tooltip="🔗 Ver Mapa" display="🔗 Ver Mapa"/>
    <hyperlink ref="L6360" r:id="rId6358" tooltip="🔗 Ver Mapa" display="🔗 Ver Mapa"/>
    <hyperlink ref="L6361" r:id="rId6359" tooltip="🔗 Ver Mapa" display="🔗 Ver Mapa"/>
    <hyperlink ref="L6362" r:id="rId6360" tooltip="🔗 Ver Mapa" display="🔗 Ver Mapa"/>
    <hyperlink ref="L6363" r:id="rId6361" tooltip="🔗 Ver Mapa" display="🔗 Ver Mapa"/>
    <hyperlink ref="L6364" r:id="rId6362" tooltip="🔗 Ver Mapa" display="🔗 Ver Mapa"/>
    <hyperlink ref="L6365" r:id="rId6363" tooltip="🔗 Ver Mapa" display="🔗 Ver Mapa"/>
    <hyperlink ref="L6366" r:id="rId6364" tooltip="🔗 Ver Mapa" display="🔗 Ver Mapa"/>
    <hyperlink ref="L6367" r:id="rId6365" tooltip="🔗 Ver Mapa" display="🔗 Ver Mapa"/>
    <hyperlink ref="L6368" r:id="rId6366" tooltip="🔗 Ver Mapa" display="🔗 Ver Mapa"/>
    <hyperlink ref="L6369" r:id="rId6367" tooltip="🔗 Ver Mapa" display="🔗 Ver Mapa"/>
    <hyperlink ref="L6370" r:id="rId6368" tooltip="🔗 Ver Mapa" display="🔗 Ver Mapa"/>
    <hyperlink ref="L6371" r:id="rId6369" tooltip="🔗 Ver Mapa" display="🔗 Ver Mapa"/>
    <hyperlink ref="L6372" r:id="rId6370" tooltip="🔗 Ver Mapa" display="🔗 Ver Mapa"/>
    <hyperlink ref="L6373" r:id="rId6371" tooltip="🔗 Ver Mapa" display="🔗 Ver Mapa"/>
    <hyperlink ref="L6374" r:id="rId6372" tooltip="🔗 Ver Mapa" display="🔗 Ver Mapa"/>
    <hyperlink ref="L6375" r:id="rId6373" tooltip="🔗 Ver Mapa" display="🔗 Ver Mapa"/>
    <hyperlink ref="L6376" r:id="rId6374" tooltip="🔗 Ver Mapa" display="🔗 Ver Mapa"/>
    <hyperlink ref="L6377" r:id="rId6375" tooltip="🔗 Ver Mapa" display="🔗 Ver Mapa"/>
    <hyperlink ref="L6378" r:id="rId6376" tooltip="🔗 Ver Mapa" display="🔗 Ver Mapa"/>
    <hyperlink ref="L6379" r:id="rId6377" tooltip="🔗 Ver Mapa" display="🔗 Ver Mapa"/>
    <hyperlink ref="L6380" r:id="rId6378" tooltip="🔗 Ver Mapa" display="🔗 Ver Mapa"/>
    <hyperlink ref="L6381" r:id="rId6379" tooltip="🔗 Ver Mapa" display="🔗 Ver Mapa"/>
    <hyperlink ref="L6382" r:id="rId6380" tooltip="🔗 Ver Mapa" display="🔗 Ver Mapa"/>
    <hyperlink ref="L6383" r:id="rId6381" tooltip="🔗 Ver Mapa" display="🔗 Ver Mapa"/>
    <hyperlink ref="L6384" r:id="rId6382" tooltip="🔗 Ver Mapa" display="🔗 Ver Mapa"/>
    <hyperlink ref="L6385" r:id="rId6383" tooltip="🔗 Ver Mapa" display="🔗 Ver Mapa"/>
    <hyperlink ref="L6386" r:id="rId6384" tooltip="🔗 Ver Mapa" display="🔗 Ver Mapa"/>
    <hyperlink ref="L6387" r:id="rId6385" tooltip="🔗 Ver Mapa" display="🔗 Ver Mapa"/>
    <hyperlink ref="L6388" r:id="rId6386" tooltip="🔗 Ver Mapa" display="🔗 Ver Mapa"/>
    <hyperlink ref="L6389" r:id="rId6387" tooltip="🔗 Ver Mapa" display="🔗 Ver Mapa"/>
    <hyperlink ref="L6390" r:id="rId6388" tooltip="🔗 Ver Mapa" display="🔗 Ver Mapa"/>
    <hyperlink ref="L6391" r:id="rId6389" tooltip="🔗 Ver Mapa" display="🔗 Ver Mapa"/>
    <hyperlink ref="L6392" r:id="rId6390" tooltip="🔗 Ver Mapa" display="🔗 Ver Mapa"/>
    <hyperlink ref="L6393" r:id="rId6391" tooltip="🔗 Ver Mapa" display="🔗 Ver Mapa"/>
    <hyperlink ref="L6394" r:id="rId6392" tooltip="🔗 Ver Mapa" display="🔗 Ver Mapa"/>
    <hyperlink ref="L6395" r:id="rId6393" tooltip="🔗 Ver Mapa" display="🔗 Ver Mapa"/>
    <hyperlink ref="L6396" r:id="rId6394" tooltip="🔗 Ver Mapa" display="🔗 Ver Mapa"/>
    <hyperlink ref="L6397" r:id="rId6395" tooltip="🔗 Ver Mapa" display="🔗 Ver Mapa"/>
    <hyperlink ref="L6398" r:id="rId6396" tooltip="🔗 Ver Mapa" display="🔗 Ver Mapa"/>
    <hyperlink ref="L6399" r:id="rId6397" tooltip="🔗 Ver Mapa" display="🔗 Ver Mapa"/>
    <hyperlink ref="L6400" r:id="rId6398" tooltip="🔗 Ver Mapa" display="🔗 Ver Mapa"/>
    <hyperlink ref="L6401" r:id="rId6399" tooltip="🔗 Ver Mapa" display="🔗 Ver Mapa"/>
    <hyperlink ref="L6402" r:id="rId6400" tooltip="🔗 Ver Mapa" display="🔗 Ver Mapa"/>
    <hyperlink ref="L6403" r:id="rId6401" tooltip="🔗 Ver Mapa" display="🔗 Ver Mapa"/>
    <hyperlink ref="L6404" r:id="rId6402" tooltip="🔗 Ver Mapa" display="🔗 Ver Mapa"/>
    <hyperlink ref="L6405" r:id="rId6403" tooltip="🔗 Ver Mapa" display="🔗 Ver Mapa"/>
    <hyperlink ref="L6406" r:id="rId6404" tooltip="🔗 Ver Mapa" display="🔗 Ver Mapa"/>
    <hyperlink ref="L6407" r:id="rId6405" tooltip="🔗 Ver Mapa" display="🔗 Ver Mapa"/>
    <hyperlink ref="L6408" r:id="rId6406" tooltip="🔗 Ver Mapa" display="🔗 Ver Mapa"/>
    <hyperlink ref="L6409" r:id="rId6407" tooltip="🔗 Ver Mapa" display="🔗 Ver Mapa"/>
    <hyperlink ref="L6410" r:id="rId6408" tooltip="🔗 Ver Mapa" display="🔗 Ver Mapa"/>
    <hyperlink ref="L6411" r:id="rId6409" tooltip="🔗 Ver Mapa" display="🔗 Ver Mapa"/>
    <hyperlink ref="L6412" r:id="rId6410" tooltip="🔗 Ver Mapa" display="🔗 Ver Mapa"/>
    <hyperlink ref="L6413" r:id="rId6411" tooltip="🔗 Ver Mapa" display="🔗 Ver Mapa"/>
    <hyperlink ref="L6414" r:id="rId6412" tooltip="🔗 Ver Mapa" display="🔗 Ver Mapa"/>
    <hyperlink ref="L6415" r:id="rId6413" tooltip="🔗 Ver Mapa" display="🔗 Ver Mapa"/>
    <hyperlink ref="L6416" r:id="rId6414" tooltip="🔗 Ver Mapa" display="🔗 Ver Mapa"/>
    <hyperlink ref="L6417" r:id="rId6415" tooltip="🔗 Ver Mapa" display="🔗 Ver Mapa"/>
    <hyperlink ref="L6418" r:id="rId6416" tooltip="🔗 Ver Mapa" display="🔗 Ver Mapa"/>
    <hyperlink ref="L6419" r:id="rId6417" tooltip="🔗 Ver Mapa" display="🔗 Ver Mapa"/>
    <hyperlink ref="L6420" r:id="rId6418" tooltip="🔗 Ver Mapa" display="🔗 Ver Mapa"/>
    <hyperlink ref="L6421" r:id="rId6419" tooltip="🔗 Ver Mapa" display="🔗 Ver Mapa"/>
    <hyperlink ref="L6422" r:id="rId6420" tooltip="🔗 Ver Mapa" display="🔗 Ver Mapa"/>
    <hyperlink ref="L6423" r:id="rId6421" tooltip="🔗 Ver Mapa" display="🔗 Ver Mapa"/>
    <hyperlink ref="L6424" r:id="rId6422" tooltip="🔗 Ver Mapa" display="🔗 Ver Mapa"/>
    <hyperlink ref="L6425" r:id="rId6423" tooltip="🔗 Ver Mapa" display="🔗 Ver Mapa"/>
    <hyperlink ref="L6426" r:id="rId6424" tooltip="🔗 Ver Mapa" display="🔗 Ver Mapa"/>
    <hyperlink ref="L6427" r:id="rId6425" tooltip="🔗 Ver Mapa" display="🔗 Ver Mapa"/>
    <hyperlink ref="L6428" r:id="rId6426" tooltip="🔗 Ver Mapa" display="🔗 Ver Mapa"/>
    <hyperlink ref="L6429" r:id="rId6427" tooltip="🔗 Ver Mapa" display="🔗 Ver Mapa"/>
    <hyperlink ref="L6430" r:id="rId6428" tooltip="🔗 Ver Mapa" display="🔗 Ver Mapa"/>
    <hyperlink ref="L6431" r:id="rId6429" tooltip="🔗 Ver Mapa" display="🔗 Ver Mapa"/>
    <hyperlink ref="L6432" r:id="rId6430" tooltip="🔗 Ver Mapa" display="🔗 Ver Mapa"/>
    <hyperlink ref="L6433" r:id="rId6431" tooltip="🔗 Ver Mapa" display="🔗 Ver Mapa"/>
    <hyperlink ref="L6434" r:id="rId6432" tooltip="🔗 Ver Mapa" display="🔗 Ver Mapa"/>
    <hyperlink ref="L6435" r:id="rId6433" tooltip="🔗 Ver Mapa" display="🔗 Ver Mapa"/>
    <hyperlink ref="L6436" r:id="rId6434" tooltip="🔗 Ver Mapa" display="🔗 Ver Mapa"/>
    <hyperlink ref="L6437" r:id="rId6435" tooltip="🔗 Ver Mapa" display="🔗 Ver Mapa"/>
    <hyperlink ref="L6438" r:id="rId6436" tooltip="🔗 Ver Mapa" display="🔗 Ver Mapa"/>
    <hyperlink ref="L6439" r:id="rId6437" tooltip="🔗 Ver Mapa" display="🔗 Ver Mapa"/>
    <hyperlink ref="L6440" r:id="rId6438" tooltip="🔗 Ver Mapa" display="🔗 Ver Mapa"/>
    <hyperlink ref="L6441" r:id="rId6439" tooltip="🔗 Ver Mapa" display="🔗 Ver Mapa"/>
    <hyperlink ref="L6442" r:id="rId6440" tooltip="🔗 Ver Mapa" display="🔗 Ver Mapa"/>
    <hyperlink ref="L6443" r:id="rId6441" tooltip="🔗 Ver Mapa" display="🔗 Ver Mapa"/>
    <hyperlink ref="L6444" r:id="rId6442" tooltip="🔗 Ver Mapa" display="🔗 Ver Mapa"/>
    <hyperlink ref="L6445" r:id="rId6443" tooltip="🔗 Ver Mapa" display="🔗 Ver Mapa"/>
    <hyperlink ref="L6446" r:id="rId6444" tooltip="🔗 Ver Mapa" display="🔗 Ver Mapa"/>
    <hyperlink ref="L6447" r:id="rId6445" tooltip="🔗 Ver Mapa" display="🔗 Ver Mapa"/>
    <hyperlink ref="L6448" r:id="rId6446" tooltip="🔗 Ver Mapa" display="🔗 Ver Mapa"/>
    <hyperlink ref="L6449" r:id="rId6447" tooltip="🔗 Ver Mapa" display="🔗 Ver Mapa"/>
    <hyperlink ref="L6450" r:id="rId6448" tooltip="🔗 Ver Mapa" display="🔗 Ver Mapa"/>
    <hyperlink ref="L6451" r:id="rId6449" tooltip="🔗 Ver Mapa" display="🔗 Ver Mapa"/>
    <hyperlink ref="L6452" r:id="rId6450" tooltip="🔗 Ver Mapa" display="🔗 Ver Mapa"/>
    <hyperlink ref="L6453" r:id="rId6451" tooltip="🔗 Ver Mapa" display="🔗 Ver Mapa"/>
    <hyperlink ref="L6454" r:id="rId6452" tooltip="🔗 Ver Mapa" display="🔗 Ver Mapa"/>
    <hyperlink ref="L6455" r:id="rId6453" tooltip="🔗 Ver Mapa" display="🔗 Ver Mapa"/>
    <hyperlink ref="L6456" r:id="rId6454" tooltip="🔗 Ver Mapa" display="🔗 Ver Mapa"/>
    <hyperlink ref="L6457" r:id="rId6455" tooltip="🔗 Ver Mapa" display="🔗 Ver Mapa"/>
    <hyperlink ref="L6458" r:id="rId6456" tooltip="🔗 Ver Mapa" display="🔗 Ver Mapa"/>
    <hyperlink ref="L6459" r:id="rId6457" tooltip="🔗 Ver Mapa" display="🔗 Ver Mapa"/>
    <hyperlink ref="L6460" r:id="rId6458" tooltip="🔗 Ver Mapa" display="🔗 Ver Mapa"/>
    <hyperlink ref="L6461" r:id="rId6459" tooltip="🔗 Ver Mapa" display="🔗 Ver Mapa"/>
    <hyperlink ref="L6462" r:id="rId6460" tooltip="🔗 Ver Mapa" display="🔗 Ver Mapa"/>
    <hyperlink ref="L6463" r:id="rId6461" tooltip="🔗 Ver Mapa" display="🔗 Ver Mapa"/>
    <hyperlink ref="L6464" r:id="rId6462" tooltip="🔗 Ver Mapa" display="🔗 Ver Mapa"/>
    <hyperlink ref="L6465" r:id="rId6463" tooltip="🔗 Ver Mapa" display="🔗 Ver Mapa"/>
    <hyperlink ref="L6466" r:id="rId6464" tooltip="🔗 Ver Mapa" display="🔗 Ver Mapa"/>
    <hyperlink ref="L6467" r:id="rId6465" tooltip="🔗 Ver Mapa" display="🔗 Ver Mapa"/>
    <hyperlink ref="L6468" r:id="rId6466" tooltip="🔗 Ver Mapa" display="🔗 Ver Mapa"/>
    <hyperlink ref="L6469" r:id="rId6467" tooltip="🔗 Ver Mapa" display="🔗 Ver Mapa"/>
    <hyperlink ref="L6470" r:id="rId6468" tooltip="🔗 Ver Mapa" display="🔗 Ver Mapa"/>
    <hyperlink ref="L6471" r:id="rId6469" tooltip="🔗 Ver Mapa" display="🔗 Ver Mapa"/>
    <hyperlink ref="L6472" r:id="rId6470" tooltip="🔗 Ver Mapa" display="🔗 Ver Mapa"/>
    <hyperlink ref="L6473" r:id="rId6471" tooltip="🔗 Ver Mapa" display="🔗 Ver Mapa"/>
    <hyperlink ref="L6474" r:id="rId6472" tooltip="🔗 Ver Mapa" display="🔗 Ver Mapa"/>
    <hyperlink ref="L6475" r:id="rId6473" tooltip="🔗 Ver Mapa" display="🔗 Ver Mapa"/>
    <hyperlink ref="L6476" r:id="rId6474" tooltip="🔗 Ver Mapa" display="🔗 Ver Mapa"/>
    <hyperlink ref="L6477" r:id="rId6475" tooltip="🔗 Ver Mapa" display="🔗 Ver Mapa"/>
    <hyperlink ref="L6478" r:id="rId6476" tooltip="🔗 Ver Mapa" display="🔗 Ver Mapa"/>
    <hyperlink ref="L6479" r:id="rId6477" tooltip="🔗 Ver Mapa" display="🔗 Ver Mapa"/>
    <hyperlink ref="L6480" r:id="rId6478" tooltip="🔗 Ver Mapa" display="🔗 Ver Mapa"/>
    <hyperlink ref="L6481" r:id="rId6479" tooltip="🔗 Ver Mapa" display="🔗 Ver Mapa"/>
    <hyperlink ref="L6482" r:id="rId6480" tooltip="🔗 Ver Mapa" display="🔗 Ver Mapa"/>
    <hyperlink ref="L6483" r:id="rId6481" tooltip="🔗 Ver Mapa" display="🔗 Ver Mapa"/>
    <hyperlink ref="L6484" r:id="rId6482" tooltip="🔗 Ver Mapa" display="🔗 Ver Mapa"/>
    <hyperlink ref="L6485" r:id="rId6483" tooltip="🔗 Ver Mapa" display="🔗 Ver Mapa"/>
    <hyperlink ref="L6486" r:id="rId6484" tooltip="🔗 Ver Mapa" display="🔗 Ver Mapa"/>
    <hyperlink ref="L6487" r:id="rId6485" tooltip="🔗 Ver Mapa" display="🔗 Ver Mapa"/>
    <hyperlink ref="L6488" r:id="rId6486" tooltip="🔗 Ver Mapa" display="🔗 Ver Mapa"/>
    <hyperlink ref="L6489" r:id="rId6487" tooltip="🔗 Ver Mapa" display="🔗 Ver Mapa"/>
    <hyperlink ref="L6490" r:id="rId6488" tooltip="🔗 Ver Mapa" display="🔗 Ver Mapa"/>
    <hyperlink ref="L6491" r:id="rId6489" tooltip="🔗 Ver Mapa" display="🔗 Ver Mapa"/>
    <hyperlink ref="L6492" r:id="rId6490" tooltip="🔗 Ver Mapa" display="🔗 Ver Mapa"/>
    <hyperlink ref="L6493" r:id="rId6491" tooltip="🔗 Ver Mapa" display="🔗 Ver Mapa"/>
    <hyperlink ref="L6494" r:id="rId6492" tooltip="🔗 Ver Mapa" display="🔗 Ver Mapa"/>
    <hyperlink ref="L6495" r:id="rId6493" tooltip="🔗 Ver Mapa" display="🔗 Ver Mapa"/>
    <hyperlink ref="L6496" r:id="rId6494" tooltip="🔗 Ver Mapa" display="🔗 Ver Mapa"/>
    <hyperlink ref="L6497" r:id="rId6495" tooltip="🔗 Ver Mapa" display="🔗 Ver Mapa"/>
    <hyperlink ref="L6498" r:id="rId6496" tooltip="🔗 Ver Mapa" display="🔗 Ver Mapa"/>
    <hyperlink ref="L6499" r:id="rId6497" tooltip="🔗 Ver Mapa" display="🔗 Ver Mapa"/>
    <hyperlink ref="L6500" r:id="rId6498" tooltip="🔗 Ver Mapa" display="🔗 Ver Mapa"/>
    <hyperlink ref="L6501" r:id="rId6499" tooltip="🔗 Ver Mapa" display="🔗 Ver Mapa"/>
    <hyperlink ref="L6502" r:id="rId6500" tooltip="🔗 Ver Mapa" display="🔗 Ver Mapa"/>
    <hyperlink ref="L6503" r:id="rId6501" tooltip="🔗 Ver Mapa" display="🔗 Ver Mapa"/>
    <hyperlink ref="L6504" r:id="rId6502" tooltip="🔗 Ver Mapa" display="🔗 Ver Mapa"/>
    <hyperlink ref="L6505" r:id="rId6503" tooltip="🔗 Ver Mapa" display="🔗 Ver Mapa"/>
    <hyperlink ref="L6506" r:id="rId6504" tooltip="🔗 Ver Mapa" display="🔗 Ver Mapa"/>
    <hyperlink ref="L6507" r:id="rId6505" tooltip="🔗 Ver Mapa" display="🔗 Ver Mapa"/>
    <hyperlink ref="L6508" r:id="rId6506" tooltip="🔗 Ver Mapa" display="🔗 Ver Mapa"/>
    <hyperlink ref="L6509" r:id="rId6507" tooltip="🔗 Ver Mapa" display="🔗 Ver Mapa"/>
    <hyperlink ref="L6510" r:id="rId6508" tooltip="🔗 Ver Mapa" display="🔗 Ver Mapa"/>
    <hyperlink ref="L6511" r:id="rId6509" tooltip="🔗 Ver Mapa" display="🔗 Ver Mapa"/>
    <hyperlink ref="L6512" r:id="rId6510" tooltip="🔗 Ver Mapa" display="🔗 Ver Mapa"/>
    <hyperlink ref="L6513" r:id="rId6511" tooltip="🔗 Ver Mapa" display="🔗 Ver Mapa"/>
    <hyperlink ref="L6514" r:id="rId6512" tooltip="🔗 Ver Mapa" display="🔗 Ver Mapa"/>
    <hyperlink ref="L6515" r:id="rId6513" tooltip="🔗 Ver Mapa" display="🔗 Ver Mapa"/>
    <hyperlink ref="L6516" r:id="rId6514" tooltip="🔗 Ver Mapa" display="🔗 Ver Mapa"/>
    <hyperlink ref="L6517" r:id="rId6515" tooltip="🔗 Ver Mapa" display="🔗 Ver Mapa"/>
    <hyperlink ref="L6518" r:id="rId6516" tooltip="🔗 Ver Mapa" display="🔗 Ver Mapa"/>
    <hyperlink ref="L6519" r:id="rId6517" tooltip="🔗 Ver Mapa" display="🔗 Ver Mapa"/>
    <hyperlink ref="L6520" r:id="rId6518" tooltip="🔗 Ver Mapa" display="🔗 Ver Mapa"/>
    <hyperlink ref="L6521" r:id="rId6519" tooltip="🔗 Ver Mapa" display="🔗 Ver Mapa"/>
    <hyperlink ref="L6522" r:id="rId6520" tooltip="🔗 Ver Mapa" display="🔗 Ver Mapa"/>
    <hyperlink ref="L6523" r:id="rId6521" tooltip="🔗 Ver Mapa" display="🔗 Ver Mapa"/>
    <hyperlink ref="L6524" r:id="rId6522" tooltip="🔗 Ver Mapa" display="🔗 Ver Mapa"/>
    <hyperlink ref="L6525" r:id="rId6523" tooltip="🔗 Ver Mapa" display="🔗 Ver Mapa"/>
    <hyperlink ref="L6526" r:id="rId6524" tooltip="🔗 Ver Mapa" display="🔗 Ver Mapa"/>
    <hyperlink ref="L6527" r:id="rId6525" tooltip="🔗 Ver Mapa" display="🔗 Ver Mapa"/>
    <hyperlink ref="L6528" r:id="rId6526" tooltip="🔗 Ver Mapa" display="🔗 Ver Mapa"/>
    <hyperlink ref="L6529" r:id="rId6527" tooltip="🔗 Ver Mapa" display="🔗 Ver Mapa"/>
    <hyperlink ref="L6530" r:id="rId6528" tooltip="🔗 Ver Mapa" display="🔗 Ver Mapa"/>
    <hyperlink ref="L6531" r:id="rId6529" tooltip="🔗 Ver Mapa" display="🔗 Ver Mapa"/>
    <hyperlink ref="L6532" r:id="rId6530" tooltip="🔗 Ver Mapa" display="🔗 Ver Mapa"/>
    <hyperlink ref="L6533" r:id="rId6531" tooltip="🔗 Ver Mapa" display="🔗 Ver Mapa"/>
    <hyperlink ref="L6534" r:id="rId6532" tooltip="🔗 Ver Mapa" display="🔗 Ver Mapa"/>
    <hyperlink ref="L6535" r:id="rId6533" tooltip="🔗 Ver Mapa" display="🔗 Ver Mapa"/>
    <hyperlink ref="L6536" r:id="rId6534" tooltip="🔗 Ver Mapa" display="🔗 Ver Mapa"/>
    <hyperlink ref="L6537" r:id="rId6535" tooltip="🔗 Ver Mapa" display="🔗 Ver Mapa"/>
    <hyperlink ref="L6538" r:id="rId6536" tooltip="🔗 Ver Mapa" display="🔗 Ver Mapa"/>
    <hyperlink ref="L6539" r:id="rId6537" tooltip="🔗 Ver Mapa" display="🔗 Ver Mapa"/>
    <hyperlink ref="L6540" r:id="rId6538" tooltip="🔗 Ver Mapa" display="🔗 Ver Mapa"/>
    <hyperlink ref="L6541" r:id="rId6539" tooltip="🔗 Ver Mapa" display="🔗 Ver Mapa"/>
    <hyperlink ref="L6542" r:id="rId6540" tooltip="🔗 Ver Mapa" display="🔗 Ver Mapa"/>
    <hyperlink ref="L6543" r:id="rId6541" tooltip="🔗 Ver Mapa" display="🔗 Ver Mapa"/>
    <hyperlink ref="L6544" r:id="rId6542" tooltip="🔗 Ver Mapa" display="🔗 Ver Mapa"/>
    <hyperlink ref="L6545" r:id="rId6543" tooltip="🔗 Ver Mapa" display="🔗 Ver Mapa"/>
    <hyperlink ref="L6546" r:id="rId6544" tooltip="🔗 Ver Mapa" display="🔗 Ver Mapa"/>
    <hyperlink ref="L6547" r:id="rId6545" tooltip="🔗 Ver Mapa" display="🔗 Ver Mapa"/>
    <hyperlink ref="L6548" r:id="rId6546" tooltip="🔗 Ver Mapa" display="🔗 Ver Mapa"/>
    <hyperlink ref="L6549" r:id="rId6547" tooltip="🔗 Ver Mapa" display="🔗 Ver Mapa"/>
    <hyperlink ref="L6550" r:id="rId6548" tooltip="🔗 Ver Mapa" display="🔗 Ver Mapa"/>
    <hyperlink ref="L6551" r:id="rId6549" tooltip="🔗 Ver Mapa" display="🔗 Ver Mapa"/>
    <hyperlink ref="L6552" r:id="rId6550" tooltip="🔗 Ver Mapa" display="🔗 Ver Mapa"/>
    <hyperlink ref="L6553" r:id="rId6551" tooltip="🔗 Ver Mapa" display="🔗 Ver Mapa"/>
    <hyperlink ref="L6554" r:id="rId6552" tooltip="🔗 Ver Mapa" display="🔗 Ver Mapa"/>
    <hyperlink ref="L6555" r:id="rId6553" tooltip="🔗 Ver Mapa" display="🔗 Ver Mapa"/>
    <hyperlink ref="L6556" r:id="rId6554" tooltip="🔗 Ver Mapa" display="🔗 Ver Mapa"/>
    <hyperlink ref="L6557" r:id="rId6555" tooltip="🔗 Ver Mapa" display="🔗 Ver Mapa"/>
    <hyperlink ref="L6558" r:id="rId6556" tooltip="🔗 Ver Mapa" display="🔗 Ver Mapa"/>
    <hyperlink ref="L6559" r:id="rId6557" tooltip="🔗 Ver Mapa" display="🔗 Ver Mapa"/>
    <hyperlink ref="L6560" r:id="rId6558" tooltip="🔗 Ver Mapa" display="🔗 Ver Mapa"/>
    <hyperlink ref="L6561" r:id="rId6559" tooltip="🔗 Ver Mapa" display="🔗 Ver Mapa"/>
    <hyperlink ref="L6562" r:id="rId6560" tooltip="🔗 Ver Mapa" display="🔗 Ver Mapa"/>
    <hyperlink ref="L6563" r:id="rId6561" tooltip="🔗 Ver Mapa" display="🔗 Ver Mapa"/>
    <hyperlink ref="L6564" r:id="rId6562" tooltip="🔗 Ver Mapa" display="🔗 Ver Mapa"/>
    <hyperlink ref="L6565" r:id="rId6563" tooltip="🔗 Ver Mapa" display="🔗 Ver Mapa"/>
    <hyperlink ref="L6566" r:id="rId6564" tooltip="🔗 Ver Mapa" display="🔗 Ver Mapa"/>
    <hyperlink ref="L6567" r:id="rId6565" tooltip="🔗 Ver Mapa" display="🔗 Ver Mapa"/>
    <hyperlink ref="L6568" r:id="rId6566" tooltip="🔗 Ver Mapa" display="🔗 Ver Mapa"/>
    <hyperlink ref="L6569" r:id="rId6567" tooltip="🔗 Ver Mapa" display="🔗 Ver Mapa"/>
    <hyperlink ref="L6570" r:id="rId6568" tooltip="🔗 Ver Mapa" display="🔗 Ver Mapa"/>
    <hyperlink ref="L6571" r:id="rId6569" tooltip="🔗 Ver Mapa" display="🔗 Ver Mapa"/>
    <hyperlink ref="L6572" r:id="rId6570" tooltip="🔗 Ver Mapa" display="🔗 Ver Mapa"/>
    <hyperlink ref="L6573" r:id="rId6571" tooltip="🔗 Ver Mapa" display="🔗 Ver Mapa"/>
    <hyperlink ref="L6574" r:id="rId6572" tooltip="🔗 Ver Mapa" display="🔗 Ver Mapa"/>
    <hyperlink ref="L6575" r:id="rId6573" tooltip="🔗 Ver Mapa" display="🔗 Ver Mapa"/>
    <hyperlink ref="L6576" r:id="rId6574" tooltip="🔗 Ver Mapa" display="🔗 Ver Mapa"/>
    <hyperlink ref="L6577" r:id="rId6575" tooltip="🔗 Ver Mapa" display="🔗 Ver Mapa"/>
    <hyperlink ref="L6578" r:id="rId6576" tooltip="🔗 Ver Mapa" display="🔗 Ver Mapa"/>
    <hyperlink ref="L6579" r:id="rId6577" tooltip="🔗 Ver Mapa" display="🔗 Ver Mapa"/>
    <hyperlink ref="L6580" r:id="rId6578" tooltip="🔗 Ver Mapa" display="🔗 Ver Mapa"/>
    <hyperlink ref="L6581" r:id="rId6579" tooltip="🔗 Ver Mapa" display="🔗 Ver Mapa"/>
    <hyperlink ref="L6582" r:id="rId6580" tooltip="🔗 Ver Mapa" display="🔗 Ver Mapa"/>
    <hyperlink ref="L6583" r:id="rId6581" tooltip="🔗 Ver Mapa" display="🔗 Ver Mapa"/>
    <hyperlink ref="L6584" r:id="rId6582" tooltip="🔗 Ver Mapa" display="🔗 Ver Mapa"/>
    <hyperlink ref="L6585" r:id="rId6583" tooltip="🔗 Ver Mapa" display="🔗 Ver Mapa"/>
    <hyperlink ref="L6586" r:id="rId6584" tooltip="🔗 Ver Mapa" display="🔗 Ver Mapa"/>
    <hyperlink ref="L6587" r:id="rId6585" tooltip="🔗 Ver Mapa" display="🔗 Ver Mapa"/>
    <hyperlink ref="L6588" r:id="rId6586" tooltip="🔗 Ver Mapa" display="🔗 Ver Mapa"/>
    <hyperlink ref="L6589" r:id="rId6587" tooltip="🔗 Ver Mapa" display="🔗 Ver Mapa"/>
    <hyperlink ref="L6590" r:id="rId6588" tooltip="🔗 Ver Mapa" display="🔗 Ver Mapa"/>
    <hyperlink ref="L6591" r:id="rId6589" tooltip="🔗 Ver Mapa" display="🔗 Ver Mapa"/>
    <hyperlink ref="L6592" r:id="rId6590" tooltip="🔗 Ver Mapa" display="🔗 Ver Mapa"/>
    <hyperlink ref="L6593" r:id="rId6591" tooltip="🔗 Ver Mapa" display="🔗 Ver Mapa"/>
    <hyperlink ref="L6594" r:id="rId6592" tooltip="🔗 Ver Mapa" display="🔗 Ver Mapa"/>
    <hyperlink ref="L6595" r:id="rId6593" tooltip="🔗 Ver Mapa" display="🔗 Ver Mapa"/>
    <hyperlink ref="L6596" r:id="rId6594" tooltip="🔗 Ver Mapa" display="🔗 Ver Mapa"/>
    <hyperlink ref="L6597" r:id="rId6595" tooltip="🔗 Ver Mapa" display="🔗 Ver Mapa"/>
    <hyperlink ref="L6598" r:id="rId6596" tooltip="🔗 Ver Mapa" display="🔗 Ver Mapa"/>
    <hyperlink ref="L6599" r:id="rId6597" tooltip="🔗 Ver Mapa" display="🔗 Ver Mapa"/>
    <hyperlink ref="L6600" r:id="rId6598" tooltip="🔗 Ver Mapa" display="🔗 Ver Mapa"/>
    <hyperlink ref="L6601" r:id="rId6599" tooltip="🔗 Ver Mapa" display="🔗 Ver Mapa"/>
    <hyperlink ref="L6602" r:id="rId6600" tooltip="🔗 Ver Mapa" display="🔗 Ver Mapa"/>
    <hyperlink ref="L6603" r:id="rId6601" tooltip="🔗 Ver Mapa" display="🔗 Ver Mapa"/>
    <hyperlink ref="L6604" r:id="rId6602" tooltip="🔗 Ver Mapa" display="🔗 Ver Mapa"/>
    <hyperlink ref="L6605" r:id="rId6603" tooltip="🔗 Ver Mapa" display="🔗 Ver Mapa"/>
    <hyperlink ref="L6606" r:id="rId6604" tooltip="🔗 Ver Mapa" display="🔗 Ver Mapa"/>
    <hyperlink ref="L6607" r:id="rId6605" tooltip="🔗 Ver Mapa" display="🔗 Ver Mapa"/>
    <hyperlink ref="L6608" r:id="rId6606" tooltip="🔗 Ver Mapa" display="🔗 Ver Mapa"/>
    <hyperlink ref="L6609" r:id="rId6607" tooltip="🔗 Ver Mapa" display="🔗 Ver Mapa"/>
    <hyperlink ref="L6610" r:id="rId6608" tooltip="🔗 Ver Mapa" display="🔗 Ver Mapa"/>
    <hyperlink ref="L6611" r:id="rId6609" tooltip="🔗 Ver Mapa" display="🔗 Ver Mapa"/>
    <hyperlink ref="L6612" r:id="rId6610" tooltip="🔗 Ver Mapa" display="🔗 Ver Mapa"/>
    <hyperlink ref="L6613" r:id="rId6611" tooltip="🔗 Ver Mapa" display="🔗 Ver Mapa"/>
    <hyperlink ref="L6614" r:id="rId6612" tooltip="🔗 Ver Mapa" display="🔗 Ver Mapa"/>
    <hyperlink ref="L6615" r:id="rId6613" tooltip="🔗 Ver Mapa" display="🔗 Ver Mapa"/>
    <hyperlink ref="L6616" r:id="rId6614" tooltip="🔗 Ver Mapa" display="🔗 Ver Mapa"/>
    <hyperlink ref="L6617" r:id="rId6615" tooltip="🔗 Ver Mapa" display="🔗 Ver Mapa"/>
    <hyperlink ref="L6618" r:id="rId6616" tooltip="🔗 Ver Mapa" display="🔗 Ver Mapa"/>
    <hyperlink ref="L6619" r:id="rId6617" tooltip="🔗 Ver Mapa" display="🔗 Ver Mapa"/>
    <hyperlink ref="L6620" r:id="rId6618" tooltip="🔗 Ver Mapa" display="🔗 Ver Mapa"/>
    <hyperlink ref="L6621" r:id="rId6619" tooltip="🔗 Ver Mapa" display="🔗 Ver Mapa"/>
    <hyperlink ref="L6622" r:id="rId6620" tooltip="🔗 Ver Mapa" display="🔗 Ver Mapa"/>
    <hyperlink ref="L6623" r:id="rId6621" tooltip="🔗 Ver Mapa" display="🔗 Ver Mapa"/>
    <hyperlink ref="L6624" r:id="rId6622" tooltip="🔗 Ver Mapa" display="🔗 Ver Mapa"/>
    <hyperlink ref="L6625" r:id="rId6623" tooltip="🔗 Ver Mapa" display="🔗 Ver Mapa"/>
    <hyperlink ref="L6626" r:id="rId6624" tooltip="🔗 Ver Mapa" display="🔗 Ver Mapa"/>
    <hyperlink ref="L6627" r:id="rId6625" tooltip="🔗 Ver Mapa" display="🔗 Ver Mapa"/>
    <hyperlink ref="L6628" r:id="rId6626" tooltip="🔗 Ver Mapa" display="🔗 Ver Mapa"/>
    <hyperlink ref="L6629" r:id="rId6627" tooltip="🔗 Ver Mapa" display="🔗 Ver Mapa"/>
    <hyperlink ref="L6630" r:id="rId6628" tooltip="🔗 Ver Mapa" display="🔗 Ver Mapa"/>
    <hyperlink ref="L6631" r:id="rId6629" tooltip="🔗 Ver Mapa" display="🔗 Ver Mapa"/>
    <hyperlink ref="L6632" r:id="rId6630" tooltip="🔗 Ver Mapa" display="🔗 Ver Mapa"/>
    <hyperlink ref="L6633" r:id="rId6631" tooltip="🔗 Ver Mapa" display="🔗 Ver Mapa"/>
    <hyperlink ref="L6634" r:id="rId6632" tooltip="🔗 Ver Mapa" display="🔗 Ver Mapa"/>
    <hyperlink ref="L6635" r:id="rId6633" tooltip="🔗 Ver Mapa" display="🔗 Ver Mapa"/>
    <hyperlink ref="L6636" r:id="rId6634" tooltip="🔗 Ver Mapa" display="🔗 Ver Mapa"/>
    <hyperlink ref="L6637" r:id="rId6635" tooltip="🔗 Ver Mapa" display="🔗 Ver Mapa"/>
    <hyperlink ref="L6638" r:id="rId6636" tooltip="🔗 Ver Mapa" display="🔗 Ver Mapa"/>
    <hyperlink ref="L6639" r:id="rId6637" tooltip="🔗 Ver Mapa" display="🔗 Ver Mapa"/>
    <hyperlink ref="L6640" r:id="rId6638" tooltip="🔗 Ver Mapa" display="🔗 Ver Mapa"/>
    <hyperlink ref="L6641" r:id="rId6639" tooltip="🔗 Ver Mapa" display="🔗 Ver Mapa"/>
    <hyperlink ref="L6642" r:id="rId6640" tooltip="🔗 Ver Mapa" display="🔗 Ver Mapa"/>
    <hyperlink ref="L6643" r:id="rId6641" tooltip="🔗 Ver Mapa" display="🔗 Ver Mapa"/>
    <hyperlink ref="L6644" r:id="rId6642" tooltip="🔗 Ver Mapa" display="🔗 Ver Mapa"/>
    <hyperlink ref="L6645" r:id="rId6643" tooltip="🔗 Ver Mapa" display="🔗 Ver Mapa"/>
    <hyperlink ref="L6646" r:id="rId6644" tooltip="🔗 Ver Mapa" display="🔗 Ver Mapa"/>
    <hyperlink ref="L6647" r:id="rId6645" tooltip="🔗 Ver Mapa" display="🔗 Ver Mapa"/>
    <hyperlink ref="L6648" r:id="rId6646" tooltip="🔗 Ver Mapa" display="🔗 Ver Mapa"/>
    <hyperlink ref="L6649" r:id="rId6647" tooltip="🔗 Ver Mapa" display="🔗 Ver Mapa"/>
    <hyperlink ref="L6650" r:id="rId6648" tooltip="🔗 Ver Mapa" display="🔗 Ver Mapa"/>
    <hyperlink ref="L6651" r:id="rId6649" tooltip="🔗 Ver Mapa" display="🔗 Ver Mapa"/>
    <hyperlink ref="L6652" r:id="rId6650" tooltip="🔗 Ver Mapa" display="🔗 Ver Mapa"/>
    <hyperlink ref="L6653" r:id="rId6651" tooltip="🔗 Ver Mapa" display="🔗 Ver Mapa"/>
    <hyperlink ref="L6654" r:id="rId6652" tooltip="🔗 Ver Mapa" display="🔗 Ver Mapa"/>
    <hyperlink ref="L6655" r:id="rId6653" tooltip="🔗 Ver Mapa" display="🔗 Ver Mapa"/>
    <hyperlink ref="L6656" r:id="rId6654" tooltip="🔗 Ver Mapa" display="🔗 Ver Mapa"/>
    <hyperlink ref="L6657" r:id="rId6655" tooltip="🔗 Ver Mapa" display="🔗 Ver Mapa"/>
    <hyperlink ref="L6658" r:id="rId6656" tooltip="🔗 Ver Mapa" display="🔗 Ver Mapa"/>
    <hyperlink ref="L6659" r:id="rId6657" tooltip="🔗 Ver Mapa" display="🔗 Ver Mapa"/>
    <hyperlink ref="L6660" r:id="rId6658" tooltip="🔗 Ver Mapa" display="🔗 Ver Mapa"/>
    <hyperlink ref="L6661" r:id="rId6659" tooltip="🔗 Ver Mapa" display="🔗 Ver Mapa"/>
    <hyperlink ref="L6662" r:id="rId6660" tooltip="🔗 Ver Mapa" display="🔗 Ver Mapa"/>
    <hyperlink ref="L6663" r:id="rId6661" tooltip="🔗 Ver Mapa" display="🔗 Ver Mapa"/>
    <hyperlink ref="L6664" r:id="rId6662" tooltip="🔗 Ver Mapa" display="🔗 Ver Mapa"/>
    <hyperlink ref="L6665" r:id="rId6663" tooltip="🔗 Ver Mapa" display="🔗 Ver Mapa"/>
    <hyperlink ref="L6666" r:id="rId6664" tooltip="🔗 Ver Mapa" display="🔗 Ver Mapa"/>
    <hyperlink ref="L6667" r:id="rId6665" tooltip="🔗 Ver Mapa" display="🔗 Ver Mapa"/>
    <hyperlink ref="L6668" r:id="rId6666" tooltip="🔗 Ver Mapa" display="🔗 Ver Mapa"/>
    <hyperlink ref="L6669" r:id="rId6667" tooltip="🔗 Ver Mapa" display="🔗 Ver Mapa"/>
    <hyperlink ref="L6670" r:id="rId6668" tooltip="🔗 Ver Mapa" display="🔗 Ver Mapa"/>
    <hyperlink ref="L6671" r:id="rId6669" tooltip="🔗 Ver Mapa" display="🔗 Ver Mapa"/>
    <hyperlink ref="L6672" r:id="rId6670" tooltip="🔗 Ver Mapa" display="🔗 Ver Mapa"/>
    <hyperlink ref="L6673" r:id="rId6671" tooltip="🔗 Ver Mapa" display="🔗 Ver Mapa"/>
    <hyperlink ref="L6674" r:id="rId6672" tooltip="🔗 Ver Mapa" display="🔗 Ver Mapa"/>
    <hyperlink ref="L6675" r:id="rId6673" tooltip="🔗 Ver Mapa" display="🔗 Ver Mapa"/>
    <hyperlink ref="L6676" r:id="rId6674" tooltip="🔗 Ver Mapa" display="🔗 Ver Mapa"/>
    <hyperlink ref="L6677" r:id="rId6675" tooltip="🔗 Ver Mapa" display="🔗 Ver Mapa"/>
    <hyperlink ref="L6678" r:id="rId6676" tooltip="🔗 Ver Mapa" display="🔗 Ver Mapa"/>
    <hyperlink ref="L6679" r:id="rId6677" tooltip="🔗 Ver Mapa" display="🔗 Ver Mapa"/>
    <hyperlink ref="L6680" r:id="rId6678" tooltip="🔗 Ver Mapa" display="🔗 Ver Mapa"/>
    <hyperlink ref="L6681" r:id="rId6679" tooltip="🔗 Ver Mapa" display="🔗 Ver Mapa"/>
    <hyperlink ref="L6682" r:id="rId6680" tooltip="🔗 Ver Mapa" display="🔗 Ver Mapa"/>
    <hyperlink ref="L6683" r:id="rId6681" tooltip="🔗 Ver Mapa" display="🔗 Ver Mapa"/>
    <hyperlink ref="L6684" r:id="rId6682" tooltip="🔗 Ver Mapa" display="🔗 Ver Mapa"/>
    <hyperlink ref="L6685" r:id="rId6683" tooltip="🔗 Ver Mapa" display="🔗 Ver Mapa"/>
    <hyperlink ref="L6686" r:id="rId6684" tooltip="🔗 Ver Mapa" display="🔗 Ver Mapa"/>
    <hyperlink ref="L6687" r:id="rId6685" tooltip="🔗 Ver Mapa" display="🔗 Ver Mapa"/>
    <hyperlink ref="L6688" r:id="rId6686" tooltip="🔗 Ver Mapa" display="🔗 Ver Mapa"/>
    <hyperlink ref="L6689" r:id="rId6687" tooltip="🔗 Ver Mapa" display="🔗 Ver Mapa"/>
    <hyperlink ref="L6690" r:id="rId6688" tooltip="🔗 Ver Mapa" display="🔗 Ver Mapa"/>
    <hyperlink ref="L6691" r:id="rId6689" tooltip="🔗 Ver Mapa" display="🔗 Ver Mapa"/>
    <hyperlink ref="L6692" r:id="rId6690" tooltip="🔗 Ver Mapa" display="🔗 Ver Mapa"/>
    <hyperlink ref="L6693" r:id="rId6691" tooltip="🔗 Ver Mapa" display="🔗 Ver Mapa"/>
    <hyperlink ref="L6694" r:id="rId6692" tooltip="🔗 Ver Mapa" display="🔗 Ver Mapa"/>
    <hyperlink ref="L6695" r:id="rId6693" tooltip="🔗 Ver Mapa" display="🔗 Ver Mapa"/>
    <hyperlink ref="L6696" r:id="rId6694" tooltip="🔗 Ver Mapa" display="🔗 Ver Mapa"/>
    <hyperlink ref="L6697" r:id="rId6695" tooltip="🔗 Ver Mapa" display="🔗 Ver Mapa"/>
    <hyperlink ref="L6698" r:id="rId6696" tooltip="🔗 Ver Mapa" display="🔗 Ver Mapa"/>
    <hyperlink ref="L6699" r:id="rId6697" tooltip="🔗 Ver Mapa" display="🔗 Ver Mapa"/>
    <hyperlink ref="L6700" r:id="rId6698" tooltip="🔗 Ver Mapa" display="🔗 Ver Mapa"/>
    <hyperlink ref="L6701" r:id="rId6699" tooltip="🔗 Ver Mapa" display="🔗 Ver Mapa"/>
    <hyperlink ref="L6702" r:id="rId6700" tooltip="🔗 Ver Mapa" display="🔗 Ver Mapa"/>
    <hyperlink ref="L6703" r:id="rId6701" tooltip="🔗 Ver Mapa" display="🔗 Ver Mapa"/>
    <hyperlink ref="L6704" r:id="rId6702" tooltip="🔗 Ver Mapa" display="🔗 Ver Mapa"/>
    <hyperlink ref="L6705" r:id="rId6703" tooltip="🔗 Ver Mapa" display="🔗 Ver Mapa"/>
    <hyperlink ref="L6706" r:id="rId6704" tooltip="🔗 Ver Mapa" display="🔗 Ver Mapa"/>
    <hyperlink ref="L6707" r:id="rId6705" tooltip="🔗 Ver Mapa" display="🔗 Ver Mapa"/>
    <hyperlink ref="L6708" r:id="rId6706" tooltip="🔗 Ver Mapa" display="🔗 Ver Mapa"/>
    <hyperlink ref="L6709" r:id="rId6707" tooltip="🔗 Ver Mapa" display="🔗 Ver Mapa"/>
    <hyperlink ref="L6710" r:id="rId6708" tooltip="🔗 Ver Mapa" display="🔗 Ver Mapa"/>
    <hyperlink ref="L6711" r:id="rId6709" tooltip="🔗 Ver Mapa" display="🔗 Ver Mapa"/>
    <hyperlink ref="L6712" r:id="rId6710" tooltip="🔗 Ver Mapa" display="🔗 Ver Mapa"/>
    <hyperlink ref="L6713" r:id="rId6711" tooltip="🔗 Ver Mapa" display="🔗 Ver Mapa"/>
    <hyperlink ref="L6714" r:id="rId6712" tooltip="🔗 Ver Mapa" display="🔗 Ver Mapa"/>
    <hyperlink ref="L6715" r:id="rId6713" tooltip="🔗 Ver Mapa" display="🔗 Ver Mapa"/>
    <hyperlink ref="L6716" r:id="rId6714" tooltip="🔗 Ver Mapa" display="🔗 Ver Mapa"/>
    <hyperlink ref="L6717" r:id="rId6715" tooltip="🔗 Ver Mapa" display="🔗 Ver Mapa"/>
    <hyperlink ref="L6718" r:id="rId6716" tooltip="🔗 Ver Mapa" display="🔗 Ver Mapa"/>
    <hyperlink ref="L6719" r:id="rId6717" tooltip="🔗 Ver Mapa" display="🔗 Ver Mapa"/>
    <hyperlink ref="L6720" r:id="rId6718" tooltip="🔗 Ver Mapa" display="🔗 Ver Mapa"/>
    <hyperlink ref="L6721" r:id="rId6719" tooltip="🔗 Ver Mapa" display="🔗 Ver Mapa"/>
    <hyperlink ref="L6722" r:id="rId6720" tooltip="🔗 Ver Mapa" display="🔗 Ver Mapa"/>
    <hyperlink ref="L6723" r:id="rId6721" tooltip="🔗 Ver Mapa" display="🔗 Ver Mapa"/>
    <hyperlink ref="L6724" r:id="rId6722" tooltip="🔗 Ver Mapa" display="🔗 Ver Mapa"/>
    <hyperlink ref="L6725" r:id="rId6723" tooltip="🔗 Ver Mapa" display="🔗 Ver Mapa"/>
    <hyperlink ref="L6726" r:id="rId6724" tooltip="🔗 Ver Mapa" display="🔗 Ver Mapa"/>
    <hyperlink ref="L6727" r:id="rId6725" tooltip="🔗 Ver Mapa" display="🔗 Ver Mapa"/>
    <hyperlink ref="L6728" r:id="rId6726" tooltip="🔗 Ver Mapa" display="🔗 Ver Mapa"/>
    <hyperlink ref="L6729" r:id="rId6727" tooltip="🔗 Ver Mapa" display="🔗 Ver Mapa"/>
    <hyperlink ref="L6730" r:id="rId6728" tooltip="🔗 Ver Mapa" display="🔗 Ver Mapa"/>
    <hyperlink ref="L6731" r:id="rId6729" tooltip="🔗 Ver Mapa" display="🔗 Ver Mapa"/>
    <hyperlink ref="L6732" r:id="rId6730" tooltip="🔗 Ver Mapa" display="🔗 Ver Mapa"/>
    <hyperlink ref="L6733" r:id="rId6731" tooltip="🔗 Ver Mapa" display="🔗 Ver Mapa"/>
    <hyperlink ref="L6734" r:id="rId6732" tooltip="🔗 Ver Mapa" display="🔗 Ver Mapa"/>
    <hyperlink ref="L6735" r:id="rId6733" tooltip="🔗 Ver Mapa" display="🔗 Ver Mapa"/>
    <hyperlink ref="L6736" r:id="rId6734" tooltip="🔗 Ver Mapa" display="🔗 Ver Mapa"/>
    <hyperlink ref="L6737" r:id="rId6735" tooltip="🔗 Ver Mapa" display="🔗 Ver Mapa"/>
    <hyperlink ref="L6738" r:id="rId6736" tooltip="🔗 Ver Mapa" display="🔗 Ver Mapa"/>
    <hyperlink ref="L6739" r:id="rId6737" tooltip="🔗 Ver Mapa" display="🔗 Ver Mapa"/>
    <hyperlink ref="L6740" r:id="rId6738" tooltip="🔗 Ver Mapa" display="🔗 Ver Mapa"/>
    <hyperlink ref="L6741" r:id="rId6739" tooltip="🔗 Ver Mapa" display="🔗 Ver Mapa"/>
    <hyperlink ref="L6742" r:id="rId6740" tooltip="🔗 Ver Mapa" display="🔗 Ver Mapa"/>
    <hyperlink ref="L6743" r:id="rId6741" tooltip="🔗 Ver Mapa" display="🔗 Ver Mapa"/>
    <hyperlink ref="L6744" r:id="rId6742" tooltip="🔗 Ver Mapa" display="🔗 Ver Mapa"/>
    <hyperlink ref="L6745" r:id="rId6743" tooltip="🔗 Ver Mapa" display="🔗 Ver Mapa"/>
    <hyperlink ref="L6746" r:id="rId6744" tooltip="🔗 Ver Mapa" display="🔗 Ver Mapa"/>
    <hyperlink ref="L6747" r:id="rId6745" tooltip="🔗 Ver Mapa" display="🔗 Ver Mapa"/>
    <hyperlink ref="L6748" r:id="rId6746" tooltip="🔗 Ver Mapa" display="🔗 Ver Mapa"/>
    <hyperlink ref="L6749" r:id="rId6747" tooltip="🔗 Ver Mapa" display="🔗 Ver Mapa"/>
    <hyperlink ref="L6750" r:id="rId6748" tooltip="🔗 Ver Mapa" display="🔗 Ver Mapa"/>
    <hyperlink ref="L6751" r:id="rId6749" tooltip="🔗 Ver Mapa" display="🔗 Ver Mapa"/>
    <hyperlink ref="L6752" r:id="rId6750" tooltip="🔗 Ver Mapa" display="🔗 Ver Mapa"/>
    <hyperlink ref="L6753" r:id="rId6751" tooltip="🔗 Ver Mapa" display="🔗 Ver Mapa"/>
    <hyperlink ref="L6754" r:id="rId6752" tooltip="🔗 Ver Mapa" display="🔗 Ver Mapa"/>
    <hyperlink ref="L6755" r:id="rId6753" tooltip="🔗 Ver Mapa" display="🔗 Ver Mapa"/>
    <hyperlink ref="L6756" r:id="rId6754" tooltip="🔗 Ver Mapa" display="🔗 Ver Mapa"/>
    <hyperlink ref="L6757" r:id="rId6755" tooltip="🔗 Ver Mapa" display="🔗 Ver Mapa"/>
    <hyperlink ref="L6758" r:id="rId6756" tooltip="🔗 Ver Mapa" display="🔗 Ver Mapa"/>
    <hyperlink ref="L6759" r:id="rId6757" tooltip="🔗 Ver Mapa" display="🔗 Ver Mapa"/>
    <hyperlink ref="L6760" r:id="rId6758" tooltip="🔗 Ver Mapa" display="🔗 Ver Mapa"/>
    <hyperlink ref="L6761" r:id="rId6759" tooltip="🔗 Ver Mapa" display="🔗 Ver Mapa"/>
    <hyperlink ref="L6762" r:id="rId6760" tooltip="🔗 Ver Mapa" display="🔗 Ver Mapa"/>
    <hyperlink ref="L6763" r:id="rId6761" tooltip="🔗 Ver Mapa" display="🔗 Ver Mapa"/>
    <hyperlink ref="L6764" r:id="rId6762" tooltip="🔗 Ver Mapa" display="🔗 Ver Mapa"/>
    <hyperlink ref="L6765" r:id="rId6763" tooltip="🔗 Ver Mapa" display="🔗 Ver Mapa"/>
    <hyperlink ref="L6766" r:id="rId6764" tooltip="🔗 Ver Mapa" display="🔗 Ver Mapa"/>
    <hyperlink ref="L6767" r:id="rId6765" tooltip="🔗 Ver Mapa" display="🔗 Ver Mapa"/>
    <hyperlink ref="L6768" r:id="rId6766" tooltip="🔗 Ver Mapa" display="🔗 Ver Mapa"/>
    <hyperlink ref="L6769" r:id="rId6767" tooltip="🔗 Ver Mapa" display="🔗 Ver Mapa"/>
    <hyperlink ref="L6770" r:id="rId6768" tooltip="🔗 Ver Mapa" display="🔗 Ver Mapa"/>
    <hyperlink ref="L6771" r:id="rId6769" tooltip="🔗 Ver Mapa" display="🔗 Ver Mapa"/>
    <hyperlink ref="L6772" r:id="rId6770" tooltip="🔗 Ver Mapa" display="🔗 Ver Mapa"/>
    <hyperlink ref="L6773" r:id="rId6771" tooltip="🔗 Ver Mapa" display="🔗 Ver Mapa"/>
    <hyperlink ref="L6774" r:id="rId6772" tooltip="🔗 Ver Mapa" display="🔗 Ver Mapa"/>
    <hyperlink ref="L6775" r:id="rId6773" tooltip="🔗 Ver Mapa" display="🔗 Ver Mapa"/>
    <hyperlink ref="L6776" r:id="rId6774" tooltip="🔗 Ver Mapa" display="🔗 Ver Mapa"/>
    <hyperlink ref="L6777" r:id="rId6775" tooltip="🔗 Ver Mapa" display="🔗 Ver Mapa"/>
    <hyperlink ref="L6778" r:id="rId6776" tooltip="🔗 Ver Mapa" display="🔗 Ver Mapa"/>
    <hyperlink ref="L6779" r:id="rId6777" tooltip="🔗 Ver Mapa" display="🔗 Ver Mapa"/>
    <hyperlink ref="L6780" r:id="rId6778" tooltip="🔗 Ver Mapa" display="🔗 Ver Mapa"/>
    <hyperlink ref="L6781" r:id="rId6779" tooltip="🔗 Ver Mapa" display="🔗 Ver Mapa"/>
    <hyperlink ref="L6782" r:id="rId6780" tooltip="🔗 Ver Mapa" display="🔗 Ver Mapa"/>
    <hyperlink ref="L6783" r:id="rId6781" tooltip="🔗 Ver Mapa" display="🔗 Ver Mapa"/>
    <hyperlink ref="L6784" r:id="rId6782" tooltip="🔗 Ver Mapa" display="🔗 Ver Mapa"/>
    <hyperlink ref="L6785" r:id="rId6783" tooltip="🔗 Ver Mapa" display="🔗 Ver Mapa"/>
    <hyperlink ref="L6786" r:id="rId6784" tooltip="🔗 Ver Mapa" display="🔗 Ver Mapa"/>
    <hyperlink ref="L6787" r:id="rId6785" tooltip="🔗 Ver Mapa" display="🔗 Ver Mapa"/>
    <hyperlink ref="L6788" r:id="rId6786" tooltip="🔗 Ver Mapa" display="🔗 Ver Mapa"/>
    <hyperlink ref="L6789" r:id="rId6787" tooltip="🔗 Ver Mapa" display="🔗 Ver Mapa"/>
    <hyperlink ref="L6790" r:id="rId6788" tooltip="🔗 Ver Mapa" display="🔗 Ver Mapa"/>
    <hyperlink ref="L6791" r:id="rId6789" tooltip="🔗 Ver Mapa" display="🔗 Ver Mapa"/>
    <hyperlink ref="L6792" r:id="rId6790" tooltip="🔗 Ver Mapa" display="🔗 Ver Mapa"/>
    <hyperlink ref="L6793" r:id="rId6791" tooltip="🔗 Ver Mapa" display="🔗 Ver Mapa"/>
    <hyperlink ref="L6794" r:id="rId6792" tooltip="🔗 Ver Mapa" display="🔗 Ver Mapa"/>
    <hyperlink ref="L6795" r:id="rId6793" tooltip="🔗 Ver Mapa" display="🔗 Ver Mapa"/>
    <hyperlink ref="L6796" r:id="rId6794" tooltip="🔗 Ver Mapa" display="🔗 Ver Mapa"/>
    <hyperlink ref="L6797" r:id="rId6795" tooltip="🔗 Ver Mapa" display="🔗 Ver Mapa"/>
    <hyperlink ref="L6798" r:id="rId6796" tooltip="🔗 Ver Mapa" display="🔗 Ver Mapa"/>
    <hyperlink ref="L6799" r:id="rId6797" tooltip="🔗 Ver Mapa" display="🔗 Ver Mapa"/>
    <hyperlink ref="L6800" r:id="rId6798" tooltip="🔗 Ver Mapa" display="🔗 Ver Mapa"/>
    <hyperlink ref="L6801" r:id="rId6799" tooltip="🔗 Ver Mapa" display="🔗 Ver Mapa"/>
    <hyperlink ref="L6802" r:id="rId6800" tooltip="🔗 Ver Mapa" display="🔗 Ver Mapa"/>
    <hyperlink ref="L6803" r:id="rId6801" tooltip="🔗 Ver Mapa" display="🔗 Ver Mapa"/>
    <hyperlink ref="L6804" r:id="rId6802" tooltip="🔗 Ver Mapa" display="🔗 Ver Mapa"/>
    <hyperlink ref="L6805" r:id="rId6803" tooltip="🔗 Ver Mapa" display="🔗 Ver Mapa"/>
    <hyperlink ref="L6806" r:id="rId6804" tooltip="🔗 Ver Mapa" display="🔗 Ver Mapa"/>
    <hyperlink ref="L6807" r:id="rId6805" tooltip="🔗 Ver Mapa" display="🔗 Ver Mapa"/>
    <hyperlink ref="L6808" r:id="rId6806" tooltip="🔗 Ver Mapa" display="🔗 Ver Mapa"/>
    <hyperlink ref="L6809" r:id="rId6807" tooltip="🔗 Ver Mapa" display="🔗 Ver Mapa"/>
    <hyperlink ref="L6810" r:id="rId6808" tooltip="🔗 Ver Mapa" display="🔗 Ver Mapa"/>
    <hyperlink ref="L6811" r:id="rId6809" tooltip="🔗 Ver Mapa" display="🔗 Ver Mapa"/>
    <hyperlink ref="L6812" r:id="rId6810" tooltip="🔗 Ver Mapa" display="🔗 Ver Mapa"/>
    <hyperlink ref="L6813" r:id="rId6811" tooltip="🔗 Ver Mapa" display="🔗 Ver Mapa"/>
    <hyperlink ref="L6814" r:id="rId6812" tooltip="🔗 Ver Mapa" display="🔗 Ver Mapa"/>
    <hyperlink ref="L6815" r:id="rId6813" tooltip="🔗 Ver Mapa" display="🔗 Ver Mapa"/>
    <hyperlink ref="L6816" r:id="rId6814" tooltip="🔗 Ver Mapa" display="🔗 Ver Mapa"/>
    <hyperlink ref="L6817" r:id="rId6815" tooltip="🔗 Ver Mapa" display="🔗 Ver Mapa"/>
    <hyperlink ref="L6818" r:id="rId6816" tooltip="🔗 Ver Mapa" display="🔗 Ver Mapa"/>
    <hyperlink ref="L6819" r:id="rId6817" tooltip="🔗 Ver Mapa" display="🔗 Ver Mapa"/>
    <hyperlink ref="L6820" r:id="rId6818" tooltip="🔗 Ver Mapa" display="🔗 Ver Mapa"/>
    <hyperlink ref="L6821" r:id="rId6819" tooltip="🔗 Ver Mapa" display="🔗 Ver Mapa"/>
    <hyperlink ref="L6822" r:id="rId6820" tooltip="🔗 Ver Mapa" display="🔗 Ver Mapa"/>
    <hyperlink ref="L6823" r:id="rId6821" tooltip="🔗 Ver Mapa" display="🔗 Ver Mapa"/>
    <hyperlink ref="L6824" r:id="rId6822" tooltip="🔗 Ver Mapa" display="🔗 Ver Mapa"/>
    <hyperlink ref="L6825" r:id="rId6823" tooltip="🔗 Ver Mapa" display="🔗 Ver Mapa"/>
    <hyperlink ref="L6826" r:id="rId6824" tooltip="🔗 Ver Mapa" display="🔗 Ver Mapa"/>
    <hyperlink ref="L6827" r:id="rId6825" tooltip="🔗 Ver Mapa" display="🔗 Ver Mapa"/>
    <hyperlink ref="L6828" r:id="rId6826" tooltip="🔗 Ver Mapa" display="🔗 Ver Mapa"/>
    <hyperlink ref="L6829" r:id="rId6827" tooltip="🔗 Ver Mapa" display="🔗 Ver Mapa"/>
    <hyperlink ref="L6830" r:id="rId6828" tooltip="🔗 Ver Mapa" display="🔗 Ver Mapa"/>
    <hyperlink ref="L6831" r:id="rId6829" tooltip="🔗 Ver Mapa" display="🔗 Ver Mapa"/>
    <hyperlink ref="L6832" r:id="rId6830" tooltip="🔗 Ver Mapa" display="🔗 Ver Mapa"/>
    <hyperlink ref="L6833" r:id="rId6831" tooltip="🔗 Ver Mapa" display="🔗 Ver Mapa"/>
    <hyperlink ref="L6834" r:id="rId6832" tooltip="🔗 Ver Mapa" display="🔗 Ver Mapa"/>
    <hyperlink ref="L6835" r:id="rId6833" tooltip="🔗 Ver Mapa" display="🔗 Ver Mapa"/>
    <hyperlink ref="L6836" r:id="rId6834" tooltip="🔗 Ver Mapa" display="🔗 Ver Mapa"/>
    <hyperlink ref="L6837" r:id="rId6835" tooltip="🔗 Ver Mapa" display="🔗 Ver Mapa"/>
    <hyperlink ref="L6838" r:id="rId6836" tooltip="🔗 Ver Mapa" display="🔗 Ver Mapa"/>
    <hyperlink ref="L6839" r:id="rId6837" tooltip="🔗 Ver Mapa" display="🔗 Ver Mapa"/>
    <hyperlink ref="L6840" r:id="rId6838" tooltip="🔗 Ver Mapa" display="🔗 Ver Mapa"/>
    <hyperlink ref="L6841" r:id="rId6839" tooltip="🔗 Ver Mapa" display="🔗 Ver Mapa"/>
    <hyperlink ref="L6842" r:id="rId6840" tooltip="🔗 Ver Mapa" display="🔗 Ver Mapa"/>
    <hyperlink ref="L6843" r:id="rId6841" tooltip="🔗 Ver Mapa" display="🔗 Ver Mapa"/>
    <hyperlink ref="L6844" r:id="rId6842" tooltip="🔗 Ver Mapa" display="🔗 Ver Mapa"/>
    <hyperlink ref="L6845" r:id="rId6843" tooltip="🔗 Ver Mapa" display="🔗 Ver Mapa"/>
    <hyperlink ref="L6846" r:id="rId6844" tooltip="🔗 Ver Mapa" display="🔗 Ver Mapa"/>
    <hyperlink ref="L6847" r:id="rId6845" tooltip="🔗 Ver Mapa" display="🔗 Ver Mapa"/>
    <hyperlink ref="L6848" r:id="rId6846" tooltip="🔗 Ver Mapa" display="🔗 Ver Mapa"/>
    <hyperlink ref="L6849" r:id="rId6847" tooltip="🔗 Ver Mapa" display="🔗 Ver Mapa"/>
    <hyperlink ref="L6850" r:id="rId6848" tooltip="🔗 Ver Mapa" display="🔗 Ver Mapa"/>
    <hyperlink ref="L6851" r:id="rId6849" tooltip="🔗 Ver Mapa" display="🔗 Ver Mapa"/>
    <hyperlink ref="L6852" r:id="rId6850" tooltip="🔗 Ver Mapa" display="🔗 Ver Mapa"/>
    <hyperlink ref="L6853" r:id="rId6851" tooltip="🔗 Ver Mapa" display="🔗 Ver Mapa"/>
    <hyperlink ref="L6854" r:id="rId6852" tooltip="🔗 Ver Mapa" display="🔗 Ver Mapa"/>
    <hyperlink ref="L6855" r:id="rId6853" tooltip="🔗 Ver Mapa" display="🔗 Ver Mapa"/>
    <hyperlink ref="L6856" r:id="rId6854" tooltip="🔗 Ver Mapa" display="🔗 Ver Mapa"/>
    <hyperlink ref="L6857" r:id="rId6855" tooltip="🔗 Ver Mapa" display="🔗 Ver Mapa"/>
    <hyperlink ref="L6858" r:id="rId6856" tooltip="🔗 Ver Mapa" display="🔗 Ver Mapa"/>
    <hyperlink ref="L6859" r:id="rId6857" tooltip="🔗 Ver Mapa" display="🔗 Ver Mapa"/>
    <hyperlink ref="L6860" r:id="rId6858" tooltip="🔗 Ver Mapa" display="🔗 Ver Mapa"/>
    <hyperlink ref="L6861" r:id="rId6859" tooltip="🔗 Ver Mapa" display="🔗 Ver Mapa"/>
    <hyperlink ref="L6862" r:id="rId6860" tooltip="🔗 Ver Mapa" display="🔗 Ver Mapa"/>
    <hyperlink ref="L6863" r:id="rId6861" tooltip="🔗 Ver Mapa" display="🔗 Ver Mapa"/>
    <hyperlink ref="L6864" r:id="rId6862" tooltip="🔗 Ver Mapa" display="🔗 Ver Mapa"/>
    <hyperlink ref="L6865" r:id="rId6863" tooltip="🔗 Ver Mapa" display="🔗 Ver Mapa"/>
    <hyperlink ref="L6866" r:id="rId6864" tooltip="🔗 Ver Mapa" display="🔗 Ver Mapa"/>
    <hyperlink ref="L6867" r:id="rId6865" tooltip="🔗 Ver Mapa" display="🔗 Ver Mapa"/>
    <hyperlink ref="L6868" r:id="rId6866" tooltip="🔗 Ver Mapa" display="🔗 Ver Mapa"/>
    <hyperlink ref="L6869" r:id="rId6867" tooltip="🔗 Ver Mapa" display="🔗 Ver Mapa"/>
    <hyperlink ref="L6870" r:id="rId6868" tooltip="🔗 Ver Mapa" display="🔗 Ver Mapa"/>
    <hyperlink ref="L6871" r:id="rId6869" tooltip="🔗 Ver Mapa" display="🔗 Ver Mapa"/>
    <hyperlink ref="L6872" r:id="rId6870" tooltip="🔗 Ver Mapa" display="🔗 Ver Mapa"/>
    <hyperlink ref="L6873" r:id="rId6871" tooltip="🔗 Ver Mapa" display="🔗 Ver Mapa"/>
    <hyperlink ref="L6874" r:id="rId6872" tooltip="🔗 Ver Mapa" display="🔗 Ver Mapa"/>
    <hyperlink ref="L6875" r:id="rId6873" tooltip="🔗 Ver Mapa" display="🔗 Ver Mapa"/>
    <hyperlink ref="L6876" r:id="rId6874" tooltip="🔗 Ver Mapa" display="🔗 Ver Mapa"/>
    <hyperlink ref="L6877" r:id="rId6875" tooltip="🔗 Ver Mapa" display="🔗 Ver Mapa"/>
    <hyperlink ref="L6878" r:id="rId6876" tooltip="🔗 Ver Mapa" display="🔗 Ver Mapa"/>
    <hyperlink ref="L6879" r:id="rId6877" tooltip="🔗 Ver Mapa" display="🔗 Ver Mapa"/>
    <hyperlink ref="L6880" r:id="rId6878" tooltip="🔗 Ver Mapa" display="🔗 Ver Mapa"/>
    <hyperlink ref="L6881" r:id="rId6879" tooltip="🔗 Ver Mapa" display="🔗 Ver Mapa"/>
    <hyperlink ref="L6882" r:id="rId6880" tooltip="🔗 Ver Mapa" display="🔗 Ver Mapa"/>
    <hyperlink ref="L6883" r:id="rId6881" tooltip="🔗 Ver Mapa" display="🔗 Ver Mapa"/>
    <hyperlink ref="L6884" r:id="rId6882" tooltip="🔗 Ver Mapa" display="🔗 Ver Mapa"/>
    <hyperlink ref="L6885" r:id="rId6883" tooltip="🔗 Ver Mapa" display="🔗 Ver Mapa"/>
    <hyperlink ref="L6886" r:id="rId6884" tooltip="🔗 Ver Mapa" display="🔗 Ver Mapa"/>
    <hyperlink ref="L6887" r:id="rId6885" tooltip="🔗 Ver Mapa" display="🔗 Ver Mapa"/>
    <hyperlink ref="L6888" r:id="rId6886" tooltip="🔗 Ver Mapa" display="🔗 Ver Mapa"/>
    <hyperlink ref="L6889" r:id="rId6887" tooltip="🔗 Ver Mapa" display="🔗 Ver Mapa"/>
    <hyperlink ref="L6890" r:id="rId6888" tooltip="🔗 Ver Mapa" display="🔗 Ver Mapa"/>
    <hyperlink ref="L6891" r:id="rId6889" tooltip="🔗 Ver Mapa" display="🔗 Ver Mapa"/>
    <hyperlink ref="L6892" r:id="rId6890" tooltip="🔗 Ver Mapa" display="🔗 Ver Mapa"/>
    <hyperlink ref="L6893" r:id="rId6891" tooltip="🔗 Ver Mapa" display="🔗 Ver Mapa"/>
    <hyperlink ref="L6894" r:id="rId6892" tooltip="🔗 Ver Mapa" display="🔗 Ver Mapa"/>
    <hyperlink ref="L6895" r:id="rId6893" tooltip="🔗 Ver Mapa" display="🔗 Ver Mapa"/>
    <hyperlink ref="L6896" r:id="rId6894" tooltip="🔗 Ver Mapa" display="🔗 Ver Mapa"/>
    <hyperlink ref="L6897" r:id="rId6895" tooltip="🔗 Ver Mapa" display="🔗 Ver Mapa"/>
    <hyperlink ref="L6898" r:id="rId6896" tooltip="🔗 Ver Mapa" display="🔗 Ver Mapa"/>
    <hyperlink ref="L6899" r:id="rId6897" tooltip="🔗 Ver Mapa" display="🔗 Ver Mapa"/>
    <hyperlink ref="L6900" r:id="rId6898" tooltip="🔗 Ver Mapa" display="🔗 Ver Mapa"/>
    <hyperlink ref="L6901" r:id="rId6899" tooltip="🔗 Ver Mapa" display="🔗 Ver Mapa"/>
    <hyperlink ref="L6902" r:id="rId6900" tooltip="🔗 Ver Mapa" display="🔗 Ver Mapa"/>
    <hyperlink ref="L6903" r:id="rId6901" tooltip="🔗 Ver Mapa" display="🔗 Ver Mapa"/>
    <hyperlink ref="L6904" r:id="rId6902" tooltip="🔗 Ver Mapa" display="🔗 Ver Mapa"/>
    <hyperlink ref="L6905" r:id="rId6903" tooltip="🔗 Ver Mapa" display="🔗 Ver Mapa"/>
    <hyperlink ref="L6906" r:id="rId6904" tooltip="🔗 Ver Mapa" display="🔗 Ver Mapa"/>
    <hyperlink ref="L6907" r:id="rId6905" tooltip="🔗 Ver Mapa" display="🔗 Ver Mapa"/>
    <hyperlink ref="L6908" r:id="rId6906" tooltip="🔗 Ver Mapa" display="🔗 Ver Mapa"/>
    <hyperlink ref="L6909" r:id="rId6907" tooltip="🔗 Ver Mapa" display="🔗 Ver Mapa"/>
    <hyperlink ref="L6910" r:id="rId6908" tooltip="🔗 Ver Mapa" display="🔗 Ver Mapa"/>
    <hyperlink ref="L6911" r:id="rId6909" tooltip="🔗 Ver Mapa" display="🔗 Ver Mapa"/>
    <hyperlink ref="L6912" r:id="rId6910" tooltip="🔗 Ver Mapa" display="🔗 Ver Mapa"/>
    <hyperlink ref="L6913" r:id="rId6911" tooltip="🔗 Ver Mapa" display="🔗 Ver Mapa"/>
    <hyperlink ref="L6914" r:id="rId6912" tooltip="🔗 Ver Mapa" display="🔗 Ver Mapa"/>
    <hyperlink ref="L6915" r:id="rId6913" tooltip="🔗 Ver Mapa" display="🔗 Ver Mapa"/>
    <hyperlink ref="L6916" r:id="rId6914" tooltip="🔗 Ver Mapa" display="🔗 Ver Mapa"/>
    <hyperlink ref="L6917" r:id="rId6915" tooltip="🔗 Ver Mapa" display="🔗 Ver Mapa"/>
    <hyperlink ref="L6918" r:id="rId6916" tooltip="🔗 Ver Mapa" display="🔗 Ver Mapa"/>
    <hyperlink ref="L6919" r:id="rId6917" tooltip="🔗 Ver Mapa" display="🔗 Ver Mapa"/>
    <hyperlink ref="L6920" r:id="rId6918" tooltip="🔗 Ver Mapa" display="🔗 Ver Mapa"/>
    <hyperlink ref="L6921" r:id="rId6919" tooltip="🔗 Ver Mapa" display="🔗 Ver Mapa"/>
    <hyperlink ref="L6922" r:id="rId6920" tooltip="🔗 Ver Mapa" display="🔗 Ver Mapa"/>
    <hyperlink ref="L6923" r:id="rId6921" tooltip="🔗 Ver Mapa" display="🔗 Ver Mapa"/>
    <hyperlink ref="L6924" r:id="rId6922" tooltip="🔗 Ver Mapa" display="🔗 Ver Mapa"/>
    <hyperlink ref="L6925" r:id="rId6923" tooltip="🔗 Ver Mapa" display="🔗 Ver Mapa"/>
    <hyperlink ref="L6926" r:id="rId6924" tooltip="🔗 Ver Mapa" display="🔗 Ver Mapa"/>
    <hyperlink ref="L6927" r:id="rId6925" tooltip="🔗 Ver Mapa" display="🔗 Ver Mapa"/>
    <hyperlink ref="L6928" r:id="rId6926" tooltip="🔗 Ver Mapa" display="🔗 Ver Mapa"/>
    <hyperlink ref="L6929" r:id="rId6927" tooltip="🔗 Ver Mapa" display="🔗 Ver Mapa"/>
    <hyperlink ref="L6930" r:id="rId6928" tooltip="🔗 Ver Mapa" display="🔗 Ver Mapa"/>
    <hyperlink ref="L6931" r:id="rId6929" tooltip="🔗 Ver Mapa" display="🔗 Ver Mapa"/>
    <hyperlink ref="L6932" r:id="rId6930" tooltip="🔗 Ver Mapa" display="🔗 Ver Mapa"/>
    <hyperlink ref="L6933" r:id="rId6931" tooltip="🔗 Ver Mapa" display="🔗 Ver Mapa"/>
    <hyperlink ref="L6934" r:id="rId6932" tooltip="🔗 Ver Mapa" display="🔗 Ver Mapa"/>
    <hyperlink ref="L6935" r:id="rId6933" tooltip="🔗 Ver Mapa" display="🔗 Ver Mapa"/>
    <hyperlink ref="L6936" r:id="rId6934" tooltip="🔗 Ver Mapa" display="🔗 Ver Mapa"/>
    <hyperlink ref="L6937" r:id="rId6935" tooltip="🔗 Ver Mapa" display="🔗 Ver Mapa"/>
    <hyperlink ref="L6938" r:id="rId6936" tooltip="🔗 Ver Mapa" display="🔗 Ver Mapa"/>
    <hyperlink ref="L6939" r:id="rId6937" tooltip="🔗 Ver Mapa" display="🔗 Ver Mapa"/>
    <hyperlink ref="L6940" r:id="rId6938" tooltip="🔗 Ver Mapa" display="🔗 Ver Mapa"/>
    <hyperlink ref="L6941" r:id="rId6939" tooltip="🔗 Ver Mapa" display="🔗 Ver Mapa"/>
    <hyperlink ref="L6942" r:id="rId6940" tooltip="🔗 Ver Mapa" display="🔗 Ver Mapa"/>
    <hyperlink ref="L6943" r:id="rId6941" tooltip="🔗 Ver Mapa" display="🔗 Ver Mapa"/>
    <hyperlink ref="L6944" r:id="rId6942" tooltip="🔗 Ver Mapa" display="🔗 Ver Mapa"/>
    <hyperlink ref="L6945" r:id="rId6943" tooltip="🔗 Ver Mapa" display="🔗 Ver Mapa"/>
    <hyperlink ref="L6946" r:id="rId6944" tooltip="🔗 Ver Mapa" display="🔗 Ver Mapa"/>
    <hyperlink ref="L6947" r:id="rId6945" tooltip="🔗 Ver Mapa" display="🔗 Ver Mapa"/>
    <hyperlink ref="L6948" r:id="rId6946" tooltip="🔗 Ver Mapa" display="🔗 Ver Mapa"/>
    <hyperlink ref="L6949" r:id="rId6947" tooltip="🔗 Ver Mapa" display="🔗 Ver Mapa"/>
    <hyperlink ref="L6950" r:id="rId6948" tooltip="🔗 Ver Mapa" display="🔗 Ver Mapa"/>
    <hyperlink ref="L6951" r:id="rId6949" tooltip="🔗 Ver Mapa" display="🔗 Ver Mapa"/>
    <hyperlink ref="L6952" r:id="rId6950" tooltip="🔗 Ver Mapa" display="🔗 Ver Mapa"/>
    <hyperlink ref="L6953" r:id="rId6951" tooltip="🔗 Ver Mapa" display="🔗 Ver Mapa"/>
    <hyperlink ref="L6954" r:id="rId6952" tooltip="🔗 Ver Mapa" display="🔗 Ver Mapa"/>
    <hyperlink ref="L6955" r:id="rId6953" tooltip="🔗 Ver Mapa" display="🔗 Ver Mapa"/>
    <hyperlink ref="L6956" r:id="rId6954" tooltip="🔗 Ver Mapa" display="🔗 Ver Mapa"/>
    <hyperlink ref="L6957" r:id="rId6955" tooltip="🔗 Ver Mapa" display="🔗 Ver Mapa"/>
    <hyperlink ref="L6958" r:id="rId6956" tooltip="🔗 Ver Mapa" display="🔗 Ver Mapa"/>
    <hyperlink ref="L6959" r:id="rId6957" tooltip="🔗 Ver Mapa" display="🔗 Ver Mapa"/>
    <hyperlink ref="L6960" r:id="rId6958" tooltip="🔗 Ver Mapa" display="🔗 Ver Mapa"/>
    <hyperlink ref="L6961" r:id="rId6959" tooltip="🔗 Ver Mapa" display="🔗 Ver Mapa"/>
    <hyperlink ref="L6962" r:id="rId6960" tooltip="🔗 Ver Mapa" display="🔗 Ver Mapa"/>
    <hyperlink ref="L6963" r:id="rId6961" tooltip="🔗 Ver Mapa" display="🔗 Ver Mapa"/>
    <hyperlink ref="L6964" r:id="rId6962" tooltip="🔗 Ver Mapa" display="🔗 Ver Mapa"/>
    <hyperlink ref="L6965" r:id="rId6963" tooltip="🔗 Ver Mapa" display="🔗 Ver Mapa"/>
    <hyperlink ref="L6966" r:id="rId6964" tooltip="🔗 Ver Mapa" display="🔗 Ver Mapa"/>
    <hyperlink ref="L6967" r:id="rId6965" tooltip="🔗 Ver Mapa" display="🔗 Ver Mapa"/>
    <hyperlink ref="L6968" r:id="rId6966" tooltip="🔗 Ver Mapa" display="🔗 Ver Mapa"/>
    <hyperlink ref="L6969" r:id="rId6967" tooltip="🔗 Ver Mapa" display="🔗 Ver Mapa"/>
    <hyperlink ref="L6970" r:id="rId6968" tooltip="🔗 Ver Mapa" display="🔗 Ver Mapa"/>
    <hyperlink ref="L6971" r:id="rId6969" tooltip="🔗 Ver Mapa" display="🔗 Ver Mapa"/>
    <hyperlink ref="L6972" r:id="rId6970" tooltip="🔗 Ver Mapa" display="🔗 Ver Mapa"/>
    <hyperlink ref="L6973" r:id="rId6971" tooltip="🔗 Ver Mapa" display="🔗 Ver Mapa"/>
    <hyperlink ref="L6974" r:id="rId6972" tooltip="🔗 Ver Mapa" display="🔗 Ver Mapa"/>
    <hyperlink ref="L6975" r:id="rId6973" tooltip="🔗 Ver Mapa" display="🔗 Ver Mapa"/>
    <hyperlink ref="L6976" r:id="rId6974" tooltip="🔗 Ver Mapa" display="🔗 Ver Mapa"/>
    <hyperlink ref="L6977" r:id="rId6975" tooltip="🔗 Ver Mapa" display="🔗 Ver Mapa"/>
    <hyperlink ref="L6978" r:id="rId6976" tooltip="🔗 Ver Mapa" display="🔗 Ver Mapa"/>
    <hyperlink ref="L6979" r:id="rId6977" tooltip="🔗 Ver Mapa" display="🔗 Ver Mapa"/>
    <hyperlink ref="L6980" r:id="rId6978" tooltip="🔗 Ver Mapa" display="🔗 Ver Mapa"/>
    <hyperlink ref="L6981" r:id="rId6979" tooltip="🔗 Ver Mapa" display="🔗 Ver Mapa"/>
    <hyperlink ref="L6982" r:id="rId6980" tooltip="🔗 Ver Mapa" display="🔗 Ver Mapa"/>
    <hyperlink ref="L6983" r:id="rId6981" tooltip="🔗 Ver Mapa" display="🔗 Ver Mapa"/>
    <hyperlink ref="L6984" r:id="rId6982" tooltip="🔗 Ver Mapa" display="🔗 Ver Mapa"/>
    <hyperlink ref="L6985" r:id="rId6983" tooltip="🔗 Ver Mapa" display="🔗 Ver Mapa"/>
    <hyperlink ref="L6986" r:id="rId6984" tooltip="🔗 Ver Mapa" display="🔗 Ver Mapa"/>
    <hyperlink ref="L6987" r:id="rId6985" tooltip="🔗 Ver Mapa" display="🔗 Ver Mapa"/>
    <hyperlink ref="L6988" r:id="rId6986" tooltip="🔗 Ver Mapa" display="🔗 Ver Mapa"/>
    <hyperlink ref="L6989" r:id="rId6987" tooltip="🔗 Ver Mapa" display="🔗 Ver Mapa"/>
    <hyperlink ref="L6990" r:id="rId6988" tooltip="🔗 Ver Mapa" display="🔗 Ver Mapa"/>
    <hyperlink ref="L6991" r:id="rId6989" tooltip="🔗 Ver Mapa" display="🔗 Ver Mapa"/>
    <hyperlink ref="L6992" r:id="rId6990" tooltip="🔗 Ver Mapa" display="🔗 Ver Mapa"/>
    <hyperlink ref="L6993" r:id="rId6991" tooltip="🔗 Ver Mapa" display="🔗 Ver Mapa"/>
    <hyperlink ref="L6994" r:id="rId6992" tooltip="🔗 Ver Mapa" display="🔗 Ver Mapa"/>
    <hyperlink ref="L6995" r:id="rId6993" tooltip="🔗 Ver Mapa" display="🔗 Ver Mapa"/>
    <hyperlink ref="L6996" r:id="rId6994" tooltip="🔗 Ver Mapa" display="🔗 Ver Mapa"/>
    <hyperlink ref="L6997" r:id="rId6995" tooltip="🔗 Ver Mapa" display="🔗 Ver Mapa"/>
    <hyperlink ref="L6998" r:id="rId6996" tooltip="🔗 Ver Mapa" display="🔗 Ver Mapa"/>
    <hyperlink ref="L6999" r:id="rId6997" tooltip="🔗 Ver Mapa" display="🔗 Ver Mapa"/>
    <hyperlink ref="L7000" r:id="rId6998" tooltip="🔗 Ver Mapa" display="🔗 Ver Mapa"/>
    <hyperlink ref="L7001" r:id="rId6999" tooltip="🔗 Ver Mapa" display="🔗 Ver Mapa"/>
    <hyperlink ref="L7002" r:id="rId7000" tooltip="🔗 Ver Mapa" display="🔗 Ver Mapa"/>
    <hyperlink ref="L7003" r:id="rId7001" tooltip="🔗 Ver Mapa" display="🔗 Ver Mapa"/>
    <hyperlink ref="L7004" r:id="rId7002" tooltip="🔗 Ver Mapa" display="🔗 Ver Mapa"/>
    <hyperlink ref="L7005" r:id="rId7003" tooltip="🔗 Ver Mapa" display="🔗 Ver Mapa"/>
    <hyperlink ref="L7006" r:id="rId7004" tooltip="🔗 Ver Mapa" display="🔗 Ver Mapa"/>
    <hyperlink ref="L7007" r:id="rId7005" tooltip="🔗 Ver Mapa" display="🔗 Ver Mapa"/>
    <hyperlink ref="L7008" r:id="rId7006" tooltip="🔗 Ver Mapa" display="🔗 Ver Mapa"/>
    <hyperlink ref="L7009" r:id="rId7007" tooltip="🔗 Ver Mapa" display="🔗 Ver Mapa"/>
    <hyperlink ref="L7010" r:id="rId7008" tooltip="🔗 Ver Mapa" display="🔗 Ver Mapa"/>
    <hyperlink ref="L7011" r:id="rId7009" tooltip="🔗 Ver Mapa" display="🔗 Ver Mapa"/>
    <hyperlink ref="L7012" r:id="rId7010" tooltip="🔗 Ver Mapa" display="🔗 Ver Mapa"/>
    <hyperlink ref="L7013" r:id="rId7011" tooltip="🔗 Ver Mapa" display="🔗 Ver Mapa"/>
    <hyperlink ref="L7014" r:id="rId7012" tooltip="🔗 Ver Mapa" display="🔗 Ver Mapa"/>
    <hyperlink ref="L7015" r:id="rId7013" tooltip="🔗 Ver Mapa" display="🔗 Ver Mapa"/>
    <hyperlink ref="L7016" r:id="rId7014" tooltip="🔗 Ver Mapa" display="🔗 Ver Mapa"/>
    <hyperlink ref="L7017" r:id="rId7015" tooltip="🔗 Ver Mapa" display="🔗 Ver Mapa"/>
    <hyperlink ref="L7018" r:id="rId7016" tooltip="🔗 Ver Mapa" display="🔗 Ver Mapa"/>
    <hyperlink ref="L7019" r:id="rId7017" tooltip="🔗 Ver Mapa" display="🔗 Ver Mapa"/>
    <hyperlink ref="L7020" r:id="rId7018" tooltip="🔗 Ver Mapa" display="🔗 Ver Mapa"/>
    <hyperlink ref="L7021" r:id="rId7019" tooltip="🔗 Ver Mapa" display="🔗 Ver Mapa"/>
    <hyperlink ref="L7022" r:id="rId7020" tooltip="🔗 Ver Mapa" display="🔗 Ver Mapa"/>
    <hyperlink ref="L7023" r:id="rId7021" tooltip="🔗 Ver Mapa" display="🔗 Ver Mapa"/>
    <hyperlink ref="L7024" r:id="rId7022" tooltip="🔗 Ver Mapa" display="🔗 Ver Mapa"/>
    <hyperlink ref="L7025" r:id="rId7023" tooltip="🔗 Ver Mapa" display="🔗 Ver Mapa"/>
    <hyperlink ref="L7026" r:id="rId7024" tooltip="🔗 Ver Mapa" display="🔗 Ver Mapa"/>
    <hyperlink ref="L7027" r:id="rId7025" tooltip="🔗 Ver Mapa" display="🔗 Ver Mapa"/>
    <hyperlink ref="L7028" r:id="rId7026" tooltip="🔗 Ver Mapa" display="🔗 Ver Mapa"/>
    <hyperlink ref="L7029" r:id="rId7027" tooltip="🔗 Ver Mapa" display="🔗 Ver Mapa"/>
    <hyperlink ref="L7030" r:id="rId7028" tooltip="🔗 Ver Mapa" display="🔗 Ver Mapa"/>
    <hyperlink ref="L7031" r:id="rId7029" tooltip="🔗 Ver Mapa" display="🔗 Ver Mapa"/>
    <hyperlink ref="L7032" r:id="rId7030" tooltip="🔗 Ver Mapa" display="🔗 Ver Mapa"/>
    <hyperlink ref="L7033" r:id="rId7031" tooltip="🔗 Ver Mapa" display="🔗 Ver Mapa"/>
    <hyperlink ref="L7034" r:id="rId7032" tooltip="🔗 Ver Mapa" display="🔗 Ver Mapa"/>
    <hyperlink ref="L7035" r:id="rId7033" tooltip="🔗 Ver Mapa" display="🔗 Ver Mapa"/>
    <hyperlink ref="L7036" r:id="rId7034" tooltip="🔗 Ver Mapa" display="🔗 Ver Mapa"/>
    <hyperlink ref="L7037" r:id="rId7035" tooltip="🔗 Ver Mapa" display="🔗 Ver Mapa"/>
    <hyperlink ref="L7038" r:id="rId7036" tooltip="🔗 Ver Mapa" display="🔗 Ver Mapa"/>
    <hyperlink ref="L7039" r:id="rId7037" tooltip="🔗 Ver Mapa" display="🔗 Ver Mapa"/>
    <hyperlink ref="L7040" r:id="rId7038" tooltip="🔗 Ver Mapa" display="🔗 Ver Mapa"/>
    <hyperlink ref="L7041" r:id="rId7039" tooltip="🔗 Ver Mapa" display="🔗 Ver Mapa"/>
    <hyperlink ref="L7042" r:id="rId7040" tooltip="🔗 Ver Mapa" display="🔗 Ver Mapa"/>
    <hyperlink ref="L7043" r:id="rId7041" tooltip="🔗 Ver Mapa" display="🔗 Ver Mapa"/>
    <hyperlink ref="L7044" r:id="rId7042" tooltip="🔗 Ver Mapa" display="🔗 Ver Mapa"/>
    <hyperlink ref="L7045" r:id="rId7043" tooltip="🔗 Ver Mapa" display="🔗 Ver Mapa"/>
    <hyperlink ref="L7046" r:id="rId7044" tooltip="🔗 Ver Mapa" display="🔗 Ver Mapa"/>
    <hyperlink ref="L7047" r:id="rId7045" tooltip="🔗 Ver Mapa" display="🔗 Ver Mapa"/>
    <hyperlink ref="L7048" r:id="rId7046" tooltip="🔗 Ver Mapa" display="🔗 Ver Mapa"/>
    <hyperlink ref="L7049" r:id="rId7047" tooltip="🔗 Ver Mapa" display="🔗 Ver Mapa"/>
    <hyperlink ref="L7050" r:id="rId7048" tooltip="🔗 Ver Mapa" display="🔗 Ver Mapa"/>
    <hyperlink ref="L7051" r:id="rId7049" tooltip="🔗 Ver Mapa" display="🔗 Ver Mapa"/>
    <hyperlink ref="L7052" r:id="rId7050" tooltip="🔗 Ver Mapa" display="🔗 Ver Mapa"/>
    <hyperlink ref="L7053" r:id="rId7051" tooltip="🔗 Ver Mapa" display="🔗 Ver Mapa"/>
    <hyperlink ref="L7054" r:id="rId7052" tooltip="🔗 Ver Mapa" display="🔗 Ver Mapa"/>
    <hyperlink ref="L7055" r:id="rId7053" tooltip="🔗 Ver Mapa" display="🔗 Ver Mapa"/>
    <hyperlink ref="L7056" r:id="rId7054" tooltip="🔗 Ver Mapa" display="🔗 Ver Mapa"/>
    <hyperlink ref="L7057" r:id="rId7055" tooltip="🔗 Ver Mapa" display="🔗 Ver Mapa"/>
    <hyperlink ref="L7058" r:id="rId7056" tooltip="🔗 Ver Mapa" display="🔗 Ver Mapa"/>
    <hyperlink ref="L7059" r:id="rId7057" tooltip="🔗 Ver Mapa" display="🔗 Ver Mapa"/>
    <hyperlink ref="L7060" r:id="rId7058" tooltip="🔗 Ver Mapa" display="🔗 Ver Mapa"/>
    <hyperlink ref="L7061" r:id="rId7059" tooltip="🔗 Ver Mapa" display="🔗 Ver Mapa"/>
    <hyperlink ref="L7062" r:id="rId7060" tooltip="🔗 Ver Mapa" display="🔗 Ver Mapa"/>
    <hyperlink ref="L7063" r:id="rId7061" tooltip="🔗 Ver Mapa" display="🔗 Ver Mapa"/>
    <hyperlink ref="L7064" r:id="rId7062" tooltip="🔗 Ver Mapa" display="🔗 Ver Mapa"/>
    <hyperlink ref="L7065" r:id="rId7063" tooltip="🔗 Ver Mapa" display="🔗 Ver Mapa"/>
    <hyperlink ref="L7066" r:id="rId7064" tooltip="🔗 Ver Mapa" display="🔗 Ver Mapa"/>
    <hyperlink ref="L7067" r:id="rId7065" tooltip="🔗 Ver Mapa" display="🔗 Ver Mapa"/>
    <hyperlink ref="L7068" r:id="rId7066" tooltip="🔗 Ver Mapa" display="🔗 Ver Mapa"/>
    <hyperlink ref="L7069" r:id="rId7067" tooltip="🔗 Ver Mapa" display="🔗 Ver Mapa"/>
    <hyperlink ref="L7070" r:id="rId7068" tooltip="🔗 Ver Mapa" display="🔗 Ver Mapa"/>
    <hyperlink ref="L7071" r:id="rId7069" tooltip="🔗 Ver Mapa" display="🔗 Ver Mapa"/>
    <hyperlink ref="L7072" r:id="rId7070" tooltip="🔗 Ver Mapa" display="🔗 Ver Mapa"/>
    <hyperlink ref="L7073" r:id="rId7071" tooltip="🔗 Ver Mapa" display="🔗 Ver Mapa"/>
    <hyperlink ref="L7074" r:id="rId7072" tooltip="🔗 Ver Mapa" display="🔗 Ver Mapa"/>
    <hyperlink ref="L7075" r:id="rId7073" tooltip="🔗 Ver Mapa" display="🔗 Ver Mapa"/>
    <hyperlink ref="L7076" r:id="rId7074" tooltip="🔗 Ver Mapa" display="🔗 Ver Mapa"/>
    <hyperlink ref="L7077" r:id="rId7075" tooltip="🔗 Ver Mapa" display="🔗 Ver Mapa"/>
    <hyperlink ref="L7078" r:id="rId7076" tooltip="🔗 Ver Mapa" display="🔗 Ver Mapa"/>
    <hyperlink ref="L7079" r:id="rId7077" tooltip="🔗 Ver Mapa" display="🔗 Ver Mapa"/>
    <hyperlink ref="L7080" r:id="rId7078" tooltip="🔗 Ver Mapa" display="🔗 Ver Mapa"/>
    <hyperlink ref="L7081" r:id="rId7079" tooltip="🔗 Ver Mapa" display="🔗 Ver Mapa"/>
    <hyperlink ref="L7082" r:id="rId7080" tooltip="🔗 Ver Mapa" display="🔗 Ver Mapa"/>
    <hyperlink ref="L7083" r:id="rId7081" tooltip="🔗 Ver Mapa" display="🔗 Ver Mapa"/>
    <hyperlink ref="L7084" r:id="rId7082" tooltip="🔗 Ver Mapa" display="🔗 Ver Mapa"/>
    <hyperlink ref="L7085" r:id="rId7083" tooltip="🔗 Ver Mapa" display="🔗 Ver Mapa"/>
    <hyperlink ref="L7086" r:id="rId7084" tooltip="🔗 Ver Mapa" display="🔗 Ver Mapa"/>
    <hyperlink ref="L7087" r:id="rId7085" tooltip="🔗 Ver Mapa" display="🔗 Ver Mapa"/>
    <hyperlink ref="L7088" r:id="rId7086" tooltip="🔗 Ver Mapa" display="🔗 Ver Mapa"/>
    <hyperlink ref="L7089" r:id="rId7087" tooltip="🔗 Ver Mapa" display="🔗 Ver Mapa"/>
    <hyperlink ref="L7090" r:id="rId7088" tooltip="🔗 Ver Mapa" display="🔗 Ver Mapa"/>
    <hyperlink ref="L7091" r:id="rId7089" tooltip="🔗 Ver Mapa" display="🔗 Ver Mapa"/>
    <hyperlink ref="L7092" r:id="rId7090" tooltip="🔗 Ver Mapa" display="🔗 Ver Mapa"/>
    <hyperlink ref="L7093" r:id="rId7091" tooltip="🔗 Ver Mapa" display="🔗 Ver Mapa"/>
    <hyperlink ref="L7094" r:id="rId7092" tooltip="🔗 Ver Mapa" display="🔗 Ver Mapa"/>
    <hyperlink ref="L7095" r:id="rId7093" tooltip="🔗 Ver Mapa" display="🔗 Ver Mapa"/>
    <hyperlink ref="L7096" r:id="rId7094" tooltip="🔗 Ver Mapa" display="🔗 Ver Mapa"/>
    <hyperlink ref="L7097" r:id="rId7095" tooltip="🔗 Ver Mapa" display="🔗 Ver Mapa"/>
    <hyperlink ref="L7098" r:id="rId7096" tooltip="🔗 Ver Mapa" display="🔗 Ver Mapa"/>
    <hyperlink ref="L7099" r:id="rId7097" tooltip="🔗 Ver Mapa" display="🔗 Ver Mapa"/>
    <hyperlink ref="L7100" r:id="rId7098" tooltip="🔗 Ver Mapa" display="🔗 Ver Mapa"/>
    <hyperlink ref="L7101" r:id="rId7099" tooltip="🔗 Ver Mapa" display="🔗 Ver Mapa"/>
    <hyperlink ref="L7102" r:id="rId7100" tooltip="🔗 Ver Mapa" display="🔗 Ver Mapa"/>
    <hyperlink ref="L7103" r:id="rId7101" tooltip="🔗 Ver Mapa" display="🔗 Ver Mapa"/>
    <hyperlink ref="L7104" r:id="rId7102" tooltip="🔗 Ver Mapa" display="🔗 Ver Mapa"/>
    <hyperlink ref="L7105" r:id="rId7103" tooltip="🔗 Ver Mapa" display="🔗 Ver Mapa"/>
    <hyperlink ref="L7106" r:id="rId7104" tooltip="🔗 Ver Mapa" display="🔗 Ver Mapa"/>
    <hyperlink ref="L7107" r:id="rId7105" tooltip="🔗 Ver Mapa" display="🔗 Ver Mapa"/>
    <hyperlink ref="L7108" r:id="rId7106" tooltip="🔗 Ver Mapa" display="🔗 Ver Mapa"/>
    <hyperlink ref="L7109" r:id="rId7107" tooltip="🔗 Ver Mapa" display="🔗 Ver Mapa"/>
    <hyperlink ref="L7110" r:id="rId7108" tooltip="🔗 Ver Mapa" display="🔗 Ver Mapa"/>
    <hyperlink ref="L7111" r:id="rId7109" tooltip="🔗 Ver Mapa" display="🔗 Ver Mapa"/>
    <hyperlink ref="L7112" r:id="rId7110" tooltip="🔗 Ver Mapa" display="🔗 Ver Mapa"/>
    <hyperlink ref="L7113" r:id="rId7111" tooltip="🔗 Ver Mapa" display="🔗 Ver Mapa"/>
    <hyperlink ref="L7114" r:id="rId7112" tooltip="🔗 Ver Mapa" display="🔗 Ver Mapa"/>
    <hyperlink ref="L7115" r:id="rId7113" tooltip="🔗 Ver Mapa" display="🔗 Ver Mapa"/>
    <hyperlink ref="L7116" r:id="rId7114" tooltip="🔗 Ver Mapa" display="🔗 Ver Mapa"/>
    <hyperlink ref="L7117" r:id="rId7115" tooltip="🔗 Ver Mapa" display="🔗 Ver Mapa"/>
    <hyperlink ref="L7118" r:id="rId7116" tooltip="🔗 Ver Mapa" display="🔗 Ver Mapa"/>
    <hyperlink ref="L7119" r:id="rId7117" tooltip="🔗 Ver Mapa" display="🔗 Ver Mapa"/>
    <hyperlink ref="L7120" r:id="rId7118" tooltip="🔗 Ver Mapa" display="🔗 Ver Mapa"/>
    <hyperlink ref="L7121" r:id="rId7119" tooltip="🔗 Ver Mapa" display="🔗 Ver Mapa"/>
    <hyperlink ref="L7122" r:id="rId7120" tooltip="🔗 Ver Mapa" display="🔗 Ver Mapa"/>
    <hyperlink ref="L7123" r:id="rId7121" tooltip="🔗 Ver Mapa" display="🔗 Ver Mapa"/>
    <hyperlink ref="L7124" r:id="rId7122" tooltip="🔗 Ver Mapa" display="🔗 Ver Mapa"/>
    <hyperlink ref="L7125" r:id="rId7123" tooltip="🔗 Ver Mapa" display="🔗 Ver Mapa"/>
    <hyperlink ref="L7126" r:id="rId7124" tooltip="🔗 Ver Mapa" display="🔗 Ver Mapa"/>
    <hyperlink ref="L7127" r:id="rId7125" tooltip="🔗 Ver Mapa" display="🔗 Ver Mapa"/>
    <hyperlink ref="L7128" r:id="rId7126" tooltip="🔗 Ver Mapa" display="🔗 Ver Mapa"/>
    <hyperlink ref="L7129" r:id="rId7127" tooltip="🔗 Ver Mapa" display="🔗 Ver Mapa"/>
    <hyperlink ref="L7130" r:id="rId7128" tooltip="🔗 Ver Mapa" display="🔗 Ver Mapa"/>
    <hyperlink ref="L7131" r:id="rId7129" tooltip="🔗 Ver Mapa" display="🔗 Ver Mapa"/>
    <hyperlink ref="L7132" r:id="rId7130" tooltip="🔗 Ver Mapa" display="🔗 Ver Mapa"/>
    <hyperlink ref="L7133" r:id="rId7131" tooltip="🔗 Ver Mapa" display="🔗 Ver Mapa"/>
    <hyperlink ref="L7134" r:id="rId7132" tooltip="🔗 Ver Mapa" display="🔗 Ver Mapa"/>
    <hyperlink ref="L7135" r:id="rId7133" tooltip="🔗 Ver Mapa" display="🔗 Ver Mapa"/>
    <hyperlink ref="L7136" r:id="rId7134" tooltip="🔗 Ver Mapa" display="🔗 Ver Mapa"/>
    <hyperlink ref="L7137" r:id="rId7135" tooltip="🔗 Ver Mapa" display="🔗 Ver Mapa"/>
    <hyperlink ref="L7138" r:id="rId7136" tooltip="🔗 Ver Mapa" display="🔗 Ver Mapa"/>
    <hyperlink ref="L7139" r:id="rId7137" tooltip="🔗 Ver Mapa" display="🔗 Ver Mapa"/>
    <hyperlink ref="L7140" r:id="rId7138" tooltip="🔗 Ver Mapa" display="🔗 Ver Mapa"/>
    <hyperlink ref="L7141" r:id="rId7139" tooltip="🔗 Ver Mapa" display="🔗 Ver Mapa"/>
    <hyperlink ref="L7142" r:id="rId7140" tooltip="🔗 Ver Mapa" display="🔗 Ver Mapa"/>
    <hyperlink ref="L7143" r:id="rId7141" tooltip="🔗 Ver Mapa" display="🔗 Ver Mapa"/>
    <hyperlink ref="L7144" r:id="rId7142" tooltip="🔗 Ver Mapa" display="🔗 Ver Mapa"/>
    <hyperlink ref="L7145" r:id="rId7143" tooltip="🔗 Ver Mapa" display="🔗 Ver Mapa"/>
    <hyperlink ref="L7146" r:id="rId7144" tooltip="🔗 Ver Mapa" display="🔗 Ver Mapa"/>
    <hyperlink ref="L7147" r:id="rId7145" tooltip="🔗 Ver Mapa" display="🔗 Ver Mapa"/>
    <hyperlink ref="L7148" r:id="rId7146" tooltip="🔗 Ver Mapa" display="🔗 Ver Mapa"/>
    <hyperlink ref="L7149" r:id="rId7147" tooltip="🔗 Ver Mapa" display="🔗 Ver Mapa"/>
    <hyperlink ref="L7150" r:id="rId7148" tooltip="🔗 Ver Mapa" display="🔗 Ver Mapa"/>
    <hyperlink ref="L7151" r:id="rId7149" tooltip="🔗 Ver Mapa" display="🔗 Ver Mapa"/>
    <hyperlink ref="L7152" r:id="rId7150" tooltip="🔗 Ver Mapa" display="🔗 Ver Mapa"/>
    <hyperlink ref="L7153" r:id="rId7151" tooltip="🔗 Ver Mapa" display="🔗 Ver Mapa"/>
    <hyperlink ref="L7154" r:id="rId7152" tooltip="🔗 Ver Mapa" display="🔗 Ver Mapa"/>
    <hyperlink ref="L7155" r:id="rId7153" tooltip="🔗 Ver Mapa" display="🔗 Ver Mapa"/>
    <hyperlink ref="L7156" r:id="rId7154" tooltip="🔗 Ver Mapa" display="🔗 Ver Mapa"/>
    <hyperlink ref="L7157" r:id="rId7155" tooltip="🔗 Ver Mapa" display="🔗 Ver Mapa"/>
    <hyperlink ref="L7158" r:id="rId7156" tooltip="🔗 Ver Mapa" display="🔗 Ver Mapa"/>
    <hyperlink ref="L7159" r:id="rId7157" tooltip="🔗 Ver Mapa" display="🔗 Ver Mapa"/>
    <hyperlink ref="L7160" r:id="rId7158" tooltip="🔗 Ver Mapa" display="🔗 Ver Mapa"/>
    <hyperlink ref="L7161" r:id="rId7159" tooltip="🔗 Ver Mapa" display="🔗 Ver Mapa"/>
    <hyperlink ref="L7162" r:id="rId7160" tooltip="🔗 Ver Mapa" display="🔗 Ver Mapa"/>
    <hyperlink ref="L7163" r:id="rId7161" tooltip="🔗 Ver Mapa" display="🔗 Ver Mapa"/>
    <hyperlink ref="L7164" r:id="rId7162" tooltip="🔗 Ver Mapa" display="🔗 Ver Mapa"/>
    <hyperlink ref="L7165" r:id="rId7163" tooltip="🔗 Ver Mapa" display="🔗 Ver Mapa"/>
    <hyperlink ref="L7166" r:id="rId7164" tooltip="🔗 Ver Mapa" display="🔗 Ver Mapa"/>
    <hyperlink ref="L7167" r:id="rId7165" tooltip="🔗 Ver Mapa" display="🔗 Ver Mapa"/>
    <hyperlink ref="L7168" r:id="rId7166" tooltip="🔗 Ver Mapa" display="🔗 Ver Mapa"/>
    <hyperlink ref="L7169" r:id="rId7167" tooltip="🔗 Ver Mapa" display="🔗 Ver Mapa"/>
    <hyperlink ref="L7170" r:id="rId7168" tooltip="🔗 Ver Mapa" display="🔗 Ver Mapa"/>
    <hyperlink ref="L7171" r:id="rId7169" tooltip="🔗 Ver Mapa" display="🔗 Ver Mapa"/>
    <hyperlink ref="L7172" r:id="rId7170" tooltip="🔗 Ver Mapa" display="🔗 Ver Mapa"/>
    <hyperlink ref="L7173" r:id="rId7171" tooltip="🔗 Ver Mapa" display="🔗 Ver Mapa"/>
    <hyperlink ref="L7174" r:id="rId7172" tooltip="🔗 Ver Mapa" display="🔗 Ver Mapa"/>
    <hyperlink ref="L7175" r:id="rId7173" tooltip="🔗 Ver Mapa" display="🔗 Ver Mapa"/>
    <hyperlink ref="L7176" r:id="rId7174" tooltip="🔗 Ver Mapa" display="🔗 Ver Mapa"/>
    <hyperlink ref="L7177" r:id="rId7175" tooltip="🔗 Ver Mapa" display="🔗 Ver Mapa"/>
    <hyperlink ref="L7178" r:id="rId7176" tooltip="🔗 Ver Mapa" display="🔗 Ver Mapa"/>
    <hyperlink ref="L7179" r:id="rId7177" tooltip="🔗 Ver Mapa" display="🔗 Ver Mapa"/>
    <hyperlink ref="L7180" r:id="rId7178" tooltip="🔗 Ver Mapa" display="🔗 Ver Mapa"/>
    <hyperlink ref="L7181" r:id="rId7179" tooltip="🔗 Ver Mapa" display="🔗 Ver Mapa"/>
    <hyperlink ref="L7182" r:id="rId7180" tooltip="🔗 Ver Mapa" display="🔗 Ver Mapa"/>
    <hyperlink ref="L7183" r:id="rId7181" tooltip="🔗 Ver Mapa" display="🔗 Ver Mapa"/>
    <hyperlink ref="L7184" r:id="rId7182" tooltip="🔗 Ver Mapa" display="🔗 Ver Mapa"/>
    <hyperlink ref="L7185" r:id="rId7183" tooltip="🔗 Ver Mapa" display="🔗 Ver Mapa"/>
    <hyperlink ref="L7186" r:id="rId7184" tooltip="🔗 Ver Mapa" display="🔗 Ver Mapa"/>
    <hyperlink ref="L7187" r:id="rId7185" tooltip="🔗 Ver Mapa" display="🔗 Ver Mapa"/>
    <hyperlink ref="L7188" r:id="rId7186" tooltip="🔗 Ver Mapa" display="🔗 Ver Mapa"/>
    <hyperlink ref="L7189" r:id="rId7187" tooltip="🔗 Ver Mapa" display="🔗 Ver Mapa"/>
    <hyperlink ref="L7190" r:id="rId7188" tooltip="🔗 Ver Mapa" display="🔗 Ver Mapa"/>
    <hyperlink ref="L7191" r:id="rId7189" tooltip="🔗 Ver Mapa" display="🔗 Ver Mapa"/>
    <hyperlink ref="L7192" r:id="rId7190" tooltip="🔗 Ver Mapa" display="🔗 Ver Mapa"/>
    <hyperlink ref="L7193" r:id="rId7191" tooltip="🔗 Ver Mapa" display="🔗 Ver Mapa"/>
    <hyperlink ref="L7194" r:id="rId7192" tooltip="🔗 Ver Mapa" display="🔗 Ver Mapa"/>
    <hyperlink ref="L7195" r:id="rId7193" tooltip="🔗 Ver Mapa" display="🔗 Ver Mapa"/>
    <hyperlink ref="L7196" r:id="rId7194" tooltip="🔗 Ver Mapa" display="🔗 Ver Mapa"/>
    <hyperlink ref="L7197" r:id="rId7195" tooltip="🔗 Ver Mapa" display="🔗 Ver Mapa"/>
    <hyperlink ref="L7198" r:id="rId7196" tooltip="🔗 Ver Mapa" display="🔗 Ver Mapa"/>
    <hyperlink ref="L7199" r:id="rId7197" tooltip="🔗 Ver Mapa" display="🔗 Ver Mapa"/>
    <hyperlink ref="L7200" r:id="rId7198" tooltip="🔗 Ver Mapa" display="🔗 Ver Mapa"/>
    <hyperlink ref="L7201" r:id="rId7199" tooltip="🔗 Ver Mapa" display="🔗 Ver Mapa"/>
    <hyperlink ref="L7202" r:id="rId7200" tooltip="🔗 Ver Mapa" display="🔗 Ver Mapa"/>
    <hyperlink ref="L7203" r:id="rId7201" tooltip="🔗 Ver Mapa" display="🔗 Ver Mapa"/>
    <hyperlink ref="L7204" r:id="rId7202" tooltip="🔗 Ver Mapa" display="🔗 Ver Mapa"/>
    <hyperlink ref="L7205" r:id="rId7203" tooltip="🔗 Ver Mapa" display="🔗 Ver Mapa"/>
    <hyperlink ref="L7206" r:id="rId7204" tooltip="🔗 Ver Mapa" display="🔗 Ver Mapa"/>
    <hyperlink ref="L7207" r:id="rId7205" tooltip="🔗 Ver Mapa" display="🔗 Ver Mapa"/>
    <hyperlink ref="L7208" r:id="rId7206" tooltip="🔗 Ver Mapa" display="🔗 Ver Mapa"/>
    <hyperlink ref="L7209" r:id="rId7207" tooltip="🔗 Ver Mapa" display="🔗 Ver Mapa"/>
    <hyperlink ref="L7210" r:id="rId7208" tooltip="🔗 Ver Mapa" display="🔗 Ver Mapa"/>
    <hyperlink ref="L7211" r:id="rId7209" tooltip="🔗 Ver Mapa" display="🔗 Ver Mapa"/>
    <hyperlink ref="L7212" r:id="rId7210" tooltip="🔗 Ver Mapa" display="🔗 Ver Mapa"/>
    <hyperlink ref="L7213" r:id="rId7211" tooltip="🔗 Ver Mapa" display="🔗 Ver Mapa"/>
    <hyperlink ref="L7214" r:id="rId7212" tooltip="🔗 Ver Mapa" display="🔗 Ver Mapa"/>
    <hyperlink ref="L7215" r:id="rId7213" tooltip="🔗 Ver Mapa" display="🔗 Ver Mapa"/>
    <hyperlink ref="L7216" r:id="rId7214" tooltip="🔗 Ver Mapa" display="🔗 Ver Mapa"/>
    <hyperlink ref="L7217" r:id="rId7215" tooltip="🔗 Ver Mapa" display="🔗 Ver Mapa"/>
    <hyperlink ref="L7218" r:id="rId7216" tooltip="🔗 Ver Mapa" display="🔗 Ver Mapa"/>
    <hyperlink ref="L7219" r:id="rId7217" tooltip="🔗 Ver Mapa" display="🔗 Ver Mapa"/>
    <hyperlink ref="L7220" r:id="rId7218" tooltip="🔗 Ver Mapa" display="🔗 Ver Mapa"/>
    <hyperlink ref="L7221" r:id="rId7219" tooltip="🔗 Ver Mapa" display="🔗 Ver Mapa"/>
    <hyperlink ref="L7222" r:id="rId7220" tooltip="🔗 Ver Mapa" display="🔗 Ver Mapa"/>
    <hyperlink ref="L7223" r:id="rId7221" tooltip="🔗 Ver Mapa" display="🔗 Ver Mapa"/>
    <hyperlink ref="L7224" r:id="rId7222" tooltip="🔗 Ver Mapa" display="🔗 Ver Mapa"/>
    <hyperlink ref="L7225" r:id="rId7223" tooltip="🔗 Ver Mapa" display="🔗 Ver Mapa"/>
    <hyperlink ref="L7226" r:id="rId7224" tooltip="🔗 Ver Mapa" display="🔗 Ver Mapa"/>
    <hyperlink ref="L7227" r:id="rId7225" tooltip="🔗 Ver Mapa" display="🔗 Ver Mapa"/>
    <hyperlink ref="L7228" r:id="rId7226" tooltip="🔗 Ver Mapa" display="🔗 Ver Mapa"/>
    <hyperlink ref="L7229" r:id="rId7227" tooltip="🔗 Ver Mapa" display="🔗 Ver Mapa"/>
    <hyperlink ref="L7230" r:id="rId7228" tooltip="🔗 Ver Mapa" display="🔗 Ver Mapa"/>
    <hyperlink ref="L7231" r:id="rId7229" tooltip="🔗 Ver Mapa" display="🔗 Ver Mapa"/>
    <hyperlink ref="L7232" r:id="rId7230" tooltip="🔗 Ver Mapa" display="🔗 Ver Mapa"/>
    <hyperlink ref="L7233" r:id="rId7231" tooltip="🔗 Ver Mapa" display="🔗 Ver Mapa"/>
    <hyperlink ref="L7234" r:id="rId7232" tooltip="🔗 Ver Mapa" display="🔗 Ver Mapa"/>
    <hyperlink ref="L7235" r:id="rId7233" tooltip="🔗 Ver Mapa" display="🔗 Ver Mapa"/>
    <hyperlink ref="L7236" r:id="rId7234" tooltip="🔗 Ver Mapa" display="🔗 Ver Mapa"/>
    <hyperlink ref="L7237" r:id="rId7235" tooltip="🔗 Ver Mapa" display="🔗 Ver Mapa"/>
    <hyperlink ref="L7238" r:id="rId7236" tooltip="🔗 Ver Mapa" display="🔗 Ver Mapa"/>
    <hyperlink ref="L7239" r:id="rId7237" tooltip="🔗 Ver Mapa" display="🔗 Ver Mapa"/>
    <hyperlink ref="L7240" r:id="rId7238" tooltip="🔗 Ver Mapa" display="🔗 Ver Mapa"/>
    <hyperlink ref="L7241" r:id="rId7239" tooltip="🔗 Ver Mapa" display="🔗 Ver Mapa"/>
    <hyperlink ref="L7242" r:id="rId7240" tooltip="🔗 Ver Mapa" display="🔗 Ver Mapa"/>
    <hyperlink ref="L7243" r:id="rId7241" tooltip="🔗 Ver Mapa" display="🔗 Ver Mapa"/>
    <hyperlink ref="L7244" r:id="rId7242" tooltip="🔗 Ver Mapa" display="🔗 Ver Mapa"/>
    <hyperlink ref="L7245" r:id="rId7243" tooltip="🔗 Ver Mapa" display="🔗 Ver Mapa"/>
    <hyperlink ref="L7246" r:id="rId7244" tooltip="🔗 Ver Mapa" display="🔗 Ver Mapa"/>
    <hyperlink ref="L7247" r:id="rId7245" tooltip="🔗 Ver Mapa" display="🔗 Ver Mapa"/>
    <hyperlink ref="L7248" r:id="rId7246" tooltip="🔗 Ver Mapa" display="🔗 Ver Mapa"/>
    <hyperlink ref="L7249" r:id="rId7247" tooltip="🔗 Ver Mapa" display="🔗 Ver Mapa"/>
    <hyperlink ref="L7250" r:id="rId7248" tooltip="🔗 Ver Mapa" display="🔗 Ver Mapa"/>
    <hyperlink ref="L7251" r:id="rId7249" tooltip="🔗 Ver Mapa" display="🔗 Ver Mapa"/>
    <hyperlink ref="L7252" r:id="rId7250" tooltip="🔗 Ver Mapa" display="🔗 Ver Mapa"/>
    <hyperlink ref="L7253" r:id="rId7251" tooltip="🔗 Ver Mapa" display="🔗 Ver Mapa"/>
    <hyperlink ref="L7254" r:id="rId7252" tooltip="🔗 Ver Mapa" display="🔗 Ver Mapa"/>
    <hyperlink ref="L7255" r:id="rId7253" tooltip="🔗 Ver Mapa" display="🔗 Ver Mapa"/>
    <hyperlink ref="L7256" r:id="rId7254" tooltip="🔗 Ver Mapa" display="🔗 Ver Mapa"/>
    <hyperlink ref="L7257" r:id="rId7255" tooltip="🔗 Ver Mapa" display="🔗 Ver Mapa"/>
    <hyperlink ref="L7258" r:id="rId7256" tooltip="🔗 Ver Mapa" display="🔗 Ver Mapa"/>
    <hyperlink ref="L7259" r:id="rId7257" tooltip="🔗 Ver Mapa" display="🔗 Ver Mapa"/>
    <hyperlink ref="L7260" r:id="rId7258" tooltip="🔗 Ver Mapa" display="🔗 Ver Mapa"/>
    <hyperlink ref="L7261" r:id="rId7259" tooltip="🔗 Ver Mapa" display="🔗 Ver Mapa"/>
    <hyperlink ref="L7262" r:id="rId7260" tooltip="🔗 Ver Mapa" display="🔗 Ver Mapa"/>
    <hyperlink ref="L7263" r:id="rId7261" tooltip="🔗 Ver Mapa" display="🔗 Ver Mapa"/>
    <hyperlink ref="L7264" r:id="rId7262" tooltip="🔗 Ver Mapa" display="🔗 Ver Mapa"/>
    <hyperlink ref="L7265" r:id="rId7263" tooltip="🔗 Ver Mapa" display="🔗 Ver Mapa"/>
    <hyperlink ref="L7266" r:id="rId7264" tooltip="🔗 Ver Mapa" display="🔗 Ver Mapa"/>
    <hyperlink ref="L7267" r:id="rId7265" tooltip="🔗 Ver Mapa" display="🔗 Ver Mapa"/>
    <hyperlink ref="L7268" r:id="rId7266" tooltip="🔗 Ver Mapa" display="🔗 Ver Mapa"/>
    <hyperlink ref="L7269" r:id="rId7267" tooltip="🔗 Ver Mapa" display="🔗 Ver Mapa"/>
    <hyperlink ref="L7270" r:id="rId7268" tooltip="🔗 Ver Mapa" display="🔗 Ver Mapa"/>
    <hyperlink ref="L7271" r:id="rId7269" tooltip="🔗 Ver Mapa" display="🔗 Ver Mapa"/>
    <hyperlink ref="L7272" r:id="rId7270" tooltip="🔗 Ver Mapa" display="🔗 Ver Mapa"/>
    <hyperlink ref="L7273" r:id="rId7271" tooltip="🔗 Ver Mapa" display="🔗 Ver Mapa"/>
    <hyperlink ref="L7274" r:id="rId7272" tooltip="🔗 Ver Mapa" display="🔗 Ver Mapa"/>
    <hyperlink ref="L7275" r:id="rId7273" tooltip="🔗 Ver Mapa" display="🔗 Ver Mapa"/>
    <hyperlink ref="L7276" r:id="rId7274" tooltip="🔗 Ver Mapa" display="🔗 Ver Mapa"/>
    <hyperlink ref="L7277" r:id="rId7275" tooltip="🔗 Ver Mapa" display="🔗 Ver Mapa"/>
    <hyperlink ref="L7278" r:id="rId7276" tooltip="🔗 Ver Mapa" display="🔗 Ver Mapa"/>
    <hyperlink ref="L7279" r:id="rId7277" tooltip="🔗 Ver Mapa" display="🔗 Ver Mapa"/>
    <hyperlink ref="L7280" r:id="rId7278" tooltip="🔗 Ver Mapa" display="🔗 Ver Mapa"/>
    <hyperlink ref="L7281" r:id="rId7279" tooltip="🔗 Ver Mapa" display="🔗 Ver Mapa"/>
    <hyperlink ref="L7282" r:id="rId7280" tooltip="🔗 Ver Mapa" display="🔗 Ver Mapa"/>
    <hyperlink ref="L7283" r:id="rId7281" tooltip="🔗 Ver Mapa" display="🔗 Ver Mapa"/>
    <hyperlink ref="L7284" r:id="rId7282" tooltip="🔗 Ver Mapa" display="🔗 Ver Mapa"/>
    <hyperlink ref="L7285" r:id="rId7283" tooltip="🔗 Ver Mapa" display="🔗 Ver Mapa"/>
    <hyperlink ref="L7286" r:id="rId7284" tooltip="🔗 Ver Mapa" display="🔗 Ver Mapa"/>
    <hyperlink ref="L7287" r:id="rId7285" tooltip="🔗 Ver Mapa" display="🔗 Ver Mapa"/>
    <hyperlink ref="L7288" r:id="rId7286" tooltip="🔗 Ver Mapa" display="🔗 Ver Mapa"/>
    <hyperlink ref="L7289" r:id="rId7287" tooltip="🔗 Ver Mapa" display="🔗 Ver Mapa"/>
    <hyperlink ref="L7290" r:id="rId7288" tooltip="🔗 Ver Mapa" display="🔗 Ver Mapa"/>
    <hyperlink ref="L7291" r:id="rId7289" tooltip="🔗 Ver Mapa" display="🔗 Ver Mapa"/>
    <hyperlink ref="L7292" r:id="rId7290" tooltip="🔗 Ver Mapa" display="🔗 Ver Mapa"/>
    <hyperlink ref="L7293" r:id="rId7291" tooltip="🔗 Ver Mapa" display="🔗 Ver Mapa"/>
    <hyperlink ref="L7294" r:id="rId7292" tooltip="🔗 Ver Mapa" display="🔗 Ver Mapa"/>
    <hyperlink ref="L7295" r:id="rId7293" tooltip="🔗 Ver Mapa" display="🔗 Ver Mapa"/>
    <hyperlink ref="L7296" r:id="rId7294" tooltip="🔗 Ver Mapa" display="🔗 Ver Mapa"/>
    <hyperlink ref="L7297" r:id="rId7295" tooltip="🔗 Ver Mapa" display="🔗 Ver Mapa"/>
    <hyperlink ref="L7298" r:id="rId7296" tooltip="🔗 Ver Mapa" display="🔗 Ver Mapa"/>
    <hyperlink ref="L7299" r:id="rId7297" tooltip="🔗 Ver Mapa" display="🔗 Ver Mapa"/>
    <hyperlink ref="L7300" r:id="rId7298" tooltip="🔗 Ver Mapa" display="🔗 Ver Mapa"/>
    <hyperlink ref="L7301" r:id="rId7299" tooltip="🔗 Ver Mapa" display="🔗 Ver Mapa"/>
    <hyperlink ref="L7302" r:id="rId7300" tooltip="🔗 Ver Mapa" display="🔗 Ver Mapa"/>
    <hyperlink ref="L7303" r:id="rId7301" tooltip="🔗 Ver Mapa" display="🔗 Ver Mapa"/>
    <hyperlink ref="L7304" r:id="rId7302" tooltip="🔗 Ver Mapa" display="🔗 Ver Mapa"/>
    <hyperlink ref="L7305" r:id="rId7303" tooltip="🔗 Ver Mapa" display="🔗 Ver Mapa"/>
    <hyperlink ref="L7306" r:id="rId7304" tooltip="🔗 Ver Mapa" display="🔗 Ver Mapa"/>
    <hyperlink ref="L7307" r:id="rId7305" tooltip="🔗 Ver Mapa" display="🔗 Ver Mapa"/>
    <hyperlink ref="L7308" r:id="rId7306" tooltip="🔗 Ver Mapa" display="🔗 Ver Mapa"/>
    <hyperlink ref="L7309" r:id="rId7307" tooltip="🔗 Ver Mapa" display="🔗 Ver Mapa"/>
    <hyperlink ref="L7310" r:id="rId7308" tooltip="🔗 Ver Mapa" display="🔗 Ver Mapa"/>
    <hyperlink ref="L7311" r:id="rId7309" tooltip="🔗 Ver Mapa" display="🔗 Ver Mapa"/>
    <hyperlink ref="L7312" r:id="rId7310" tooltip="🔗 Ver Mapa" display="🔗 Ver Mapa"/>
    <hyperlink ref="L7313" r:id="rId7311" tooltip="🔗 Ver Mapa" display="🔗 Ver Mapa"/>
    <hyperlink ref="L7314" r:id="rId7312" tooltip="🔗 Ver Mapa" display="🔗 Ver Mapa"/>
    <hyperlink ref="L7315" r:id="rId7313" tooltip="🔗 Ver Mapa" display="🔗 Ver Mapa"/>
    <hyperlink ref="L7316" r:id="rId7314" tooltip="🔗 Ver Mapa" display="🔗 Ver Mapa"/>
    <hyperlink ref="L7317" r:id="rId7315" tooltip="🔗 Ver Mapa" display="🔗 Ver Mapa"/>
    <hyperlink ref="L7318" r:id="rId7316" tooltip="🔗 Ver Mapa" display="🔗 Ver Mapa"/>
    <hyperlink ref="L7319" r:id="rId7317" tooltip="🔗 Ver Mapa" display="🔗 Ver Mapa"/>
    <hyperlink ref="L7320" r:id="rId7318" tooltip="🔗 Ver Mapa" display="🔗 Ver Mapa"/>
    <hyperlink ref="L7321" r:id="rId7319" tooltip="🔗 Ver Mapa" display="🔗 Ver Mapa"/>
    <hyperlink ref="L7322" r:id="rId7320" tooltip="🔗 Ver Mapa" display="🔗 Ver Mapa"/>
    <hyperlink ref="L7323" r:id="rId7321" tooltip="🔗 Ver Mapa" display="🔗 Ver Mapa"/>
    <hyperlink ref="L7324" r:id="rId7322" tooltip="🔗 Ver Mapa" display="🔗 Ver Mapa"/>
    <hyperlink ref="L7325" r:id="rId7323" tooltip="🔗 Ver Mapa" display="🔗 Ver Mapa"/>
    <hyperlink ref="L7326" r:id="rId7324" tooltip="🔗 Ver Mapa" display="🔗 Ver Mapa"/>
    <hyperlink ref="L7327" r:id="rId7325" tooltip="🔗 Ver Mapa" display="🔗 Ver Mapa"/>
    <hyperlink ref="L7328" r:id="rId7326" tooltip="🔗 Ver Mapa" display="🔗 Ver Mapa"/>
    <hyperlink ref="L7329" r:id="rId7327" tooltip="🔗 Ver Mapa" display="🔗 Ver Mapa"/>
    <hyperlink ref="L7330" r:id="rId7328" tooltip="🔗 Ver Mapa" display="🔗 Ver Mapa"/>
    <hyperlink ref="L7331" r:id="rId7329" tooltip="🔗 Ver Mapa" display="🔗 Ver Mapa"/>
    <hyperlink ref="L7332" r:id="rId7330" tooltip="🔗 Ver Mapa" display="🔗 Ver Mapa"/>
    <hyperlink ref="L7333" r:id="rId7331" tooltip="🔗 Ver Mapa" display="🔗 Ver Mapa"/>
    <hyperlink ref="L7334" r:id="rId7332" tooltip="🔗 Ver Mapa" display="🔗 Ver Mapa"/>
    <hyperlink ref="L7335" r:id="rId7333" tooltip="🔗 Ver Mapa" display="🔗 Ver Mapa"/>
    <hyperlink ref="L7336" r:id="rId7334" tooltip="🔗 Ver Mapa" display="🔗 Ver Mapa"/>
    <hyperlink ref="L7337" r:id="rId7335" tooltip="🔗 Ver Mapa" display="🔗 Ver Mapa"/>
    <hyperlink ref="L7338" r:id="rId7336" tooltip="🔗 Ver Mapa" display="🔗 Ver Mapa"/>
    <hyperlink ref="L7339" r:id="rId7337" tooltip="🔗 Ver Mapa" display="🔗 Ver Mapa"/>
    <hyperlink ref="L7340" r:id="rId7338" tooltip="🔗 Ver Mapa" display="🔗 Ver Mapa"/>
    <hyperlink ref="L7341" r:id="rId7339" tooltip="🔗 Ver Mapa" display="🔗 Ver Mapa"/>
    <hyperlink ref="L7342" r:id="rId7340" tooltip="🔗 Ver Mapa" display="🔗 Ver Mapa"/>
    <hyperlink ref="L7343" r:id="rId7341" tooltip="🔗 Ver Mapa" display="🔗 Ver Mapa"/>
    <hyperlink ref="L7344" r:id="rId7342" tooltip="🔗 Ver Mapa" display="🔗 Ver Mapa"/>
    <hyperlink ref="L7345" r:id="rId7343" tooltip="🔗 Ver Mapa" display="🔗 Ver Mapa"/>
    <hyperlink ref="L7346" r:id="rId7344" tooltip="🔗 Ver Mapa" display="🔗 Ver Mapa"/>
    <hyperlink ref="L7347" r:id="rId7345" tooltip="🔗 Ver Mapa" display="🔗 Ver Mapa"/>
    <hyperlink ref="L7348" r:id="rId7346" tooltip="🔗 Ver Mapa" display="🔗 Ver Mapa"/>
    <hyperlink ref="L7349" r:id="rId7347" tooltip="🔗 Ver Mapa" display="🔗 Ver Mapa"/>
    <hyperlink ref="L7350" r:id="rId7348" tooltip="🔗 Ver Mapa" display="🔗 Ver Mapa"/>
    <hyperlink ref="L7351" r:id="rId7349" tooltip="🔗 Ver Mapa" display="🔗 Ver Mapa"/>
    <hyperlink ref="L7352" r:id="rId7350" tooltip="🔗 Ver Mapa" display="🔗 Ver Mapa"/>
    <hyperlink ref="L7353" r:id="rId7351" tooltip="🔗 Ver Mapa" display="🔗 Ver Mapa"/>
    <hyperlink ref="L7354" r:id="rId7352" tooltip="🔗 Ver Mapa" display="🔗 Ver Mapa"/>
    <hyperlink ref="L7355" r:id="rId7353" tooltip="🔗 Ver Mapa" display="🔗 Ver Mapa"/>
    <hyperlink ref="L7356" r:id="rId7354" tooltip="🔗 Ver Mapa" display="🔗 Ver Mapa"/>
    <hyperlink ref="L7357" r:id="rId7355" tooltip="🔗 Ver Mapa" display="🔗 Ver Mapa"/>
    <hyperlink ref="L7358" r:id="rId7356" tooltip="🔗 Ver Mapa" display="🔗 Ver Mapa"/>
    <hyperlink ref="L7359" r:id="rId7357" tooltip="🔗 Ver Mapa" display="🔗 Ver Mapa"/>
    <hyperlink ref="L7360" r:id="rId7358" tooltip="🔗 Ver Mapa" display="🔗 Ver Mapa"/>
    <hyperlink ref="L7361" r:id="rId7359" tooltip="🔗 Ver Mapa" display="🔗 Ver Mapa"/>
    <hyperlink ref="L7362" r:id="rId7360" tooltip="🔗 Ver Mapa" display="🔗 Ver Mapa"/>
    <hyperlink ref="L7363" r:id="rId7361" tooltip="🔗 Ver Mapa" display="🔗 Ver Mapa"/>
    <hyperlink ref="L7364" r:id="rId7362" tooltip="🔗 Ver Mapa" display="🔗 Ver Mapa"/>
    <hyperlink ref="L7365" r:id="rId7363" tooltip="🔗 Ver Mapa" display="🔗 Ver Mapa"/>
    <hyperlink ref="L7366" r:id="rId7364" tooltip="🔗 Ver Mapa" display="🔗 Ver Mapa"/>
    <hyperlink ref="L7367" r:id="rId7365" tooltip="🔗 Ver Mapa" display="🔗 Ver Mapa"/>
    <hyperlink ref="L7368" r:id="rId7366" tooltip="🔗 Ver Mapa" display="🔗 Ver Mapa"/>
    <hyperlink ref="L7369" r:id="rId7367" tooltip="🔗 Ver Mapa" display="🔗 Ver Mapa"/>
    <hyperlink ref="L7370" r:id="rId7368" tooltip="🔗 Ver Mapa" display="🔗 Ver Mapa"/>
    <hyperlink ref="L7371" r:id="rId7369" tooltip="🔗 Ver Mapa" display="🔗 Ver Mapa"/>
    <hyperlink ref="L7372" r:id="rId7370" tooltip="🔗 Ver Mapa" display="🔗 Ver Mapa"/>
    <hyperlink ref="L7373" r:id="rId7371" tooltip="🔗 Ver Mapa" display="🔗 Ver Mapa"/>
    <hyperlink ref="L7374" r:id="rId7372" tooltip="🔗 Ver Mapa" display="🔗 Ver Mapa"/>
    <hyperlink ref="L7375" r:id="rId7373" tooltip="🔗 Ver Mapa" display="🔗 Ver Mapa"/>
    <hyperlink ref="L7376" r:id="rId7374" tooltip="🔗 Ver Mapa" display="🔗 Ver Mapa"/>
    <hyperlink ref="L7377" r:id="rId7375" tooltip="🔗 Ver Mapa" display="🔗 Ver Mapa"/>
    <hyperlink ref="L7378" r:id="rId7376" tooltip="🔗 Ver Mapa" display="🔗 Ver Mapa"/>
    <hyperlink ref="L7379" r:id="rId7377" tooltip="🔗 Ver Mapa" display="🔗 Ver Mapa"/>
    <hyperlink ref="L7380" r:id="rId7378" tooltip="🔗 Ver Mapa" display="🔗 Ver Mapa"/>
    <hyperlink ref="L7381" r:id="rId7379" tooltip="🔗 Ver Mapa" display="🔗 Ver Mapa"/>
    <hyperlink ref="L7382" r:id="rId7380" tooltip="🔗 Ver Mapa" display="🔗 Ver Mapa"/>
    <hyperlink ref="L7383" r:id="rId7381" tooltip="🔗 Ver Mapa" display="🔗 Ver Mapa"/>
    <hyperlink ref="L7384" r:id="rId7382" tooltip="🔗 Ver Mapa" display="🔗 Ver Mapa"/>
    <hyperlink ref="L7385" r:id="rId7383" tooltip="🔗 Ver Mapa" display="🔗 Ver Mapa"/>
    <hyperlink ref="L7386" r:id="rId7384" tooltip="🔗 Ver Mapa" display="🔗 Ver Mapa"/>
    <hyperlink ref="L7387" r:id="rId7385" tooltip="🔗 Ver Mapa" display="🔗 Ver Mapa"/>
    <hyperlink ref="L7388" r:id="rId7386" tooltip="🔗 Ver Mapa" display="🔗 Ver Mapa"/>
    <hyperlink ref="L7389" r:id="rId7387" tooltip="🔗 Ver Mapa" display="🔗 Ver Mapa"/>
    <hyperlink ref="L7390" r:id="rId7388" tooltip="🔗 Ver Mapa" display="🔗 Ver Mapa"/>
    <hyperlink ref="L7391" r:id="rId7389" tooltip="🔗 Ver Mapa" display="🔗 Ver Mapa"/>
    <hyperlink ref="L7392" r:id="rId7390" tooltip="🔗 Ver Mapa" display="🔗 Ver Mapa"/>
    <hyperlink ref="L7393" r:id="rId7391" tooltip="🔗 Ver Mapa" display="🔗 Ver Mapa"/>
    <hyperlink ref="L7394" r:id="rId7392" tooltip="🔗 Ver Mapa" display="🔗 Ver Mapa"/>
    <hyperlink ref="L7395" r:id="rId7393" tooltip="🔗 Ver Mapa" display="🔗 Ver Mapa"/>
    <hyperlink ref="L7396" r:id="rId7394" tooltip="🔗 Ver Mapa" display="🔗 Ver Mapa"/>
    <hyperlink ref="L7397" r:id="rId7395" tooltip="🔗 Ver Mapa" display="🔗 Ver Mapa"/>
    <hyperlink ref="L7398" r:id="rId7396" tooltip="🔗 Ver Mapa" display="🔗 Ver Mapa"/>
    <hyperlink ref="L7399" r:id="rId7397" tooltip="🔗 Ver Mapa" display="🔗 Ver Mapa"/>
    <hyperlink ref="L7400" r:id="rId7398" tooltip="🔗 Ver Mapa" display="🔗 Ver Mapa"/>
    <hyperlink ref="L7401" r:id="rId7399" tooltip="🔗 Ver Mapa" display="🔗 Ver Mapa"/>
    <hyperlink ref="L7402" r:id="rId7400" tooltip="🔗 Ver Mapa" display="🔗 Ver Mapa"/>
    <hyperlink ref="L7403" r:id="rId7401" tooltip="🔗 Ver Mapa" display="🔗 Ver Mapa"/>
    <hyperlink ref="L7404" r:id="rId7402" tooltip="🔗 Ver Mapa" display="🔗 Ver Mapa"/>
    <hyperlink ref="L7405" r:id="rId7403" tooltip="🔗 Ver Mapa" display="🔗 Ver Mapa"/>
    <hyperlink ref="L7406" r:id="rId7404" tooltip="🔗 Ver Mapa" display="🔗 Ver Mapa"/>
    <hyperlink ref="L7407" r:id="rId7405" tooltip="🔗 Ver Mapa" display="🔗 Ver Mapa"/>
    <hyperlink ref="L7408" r:id="rId7406" tooltip="🔗 Ver Mapa" display="🔗 Ver Mapa"/>
    <hyperlink ref="L7409" r:id="rId7407" tooltip="🔗 Ver Mapa" display="🔗 Ver Mapa"/>
    <hyperlink ref="L7410" r:id="rId7408" tooltip="🔗 Ver Mapa" display="🔗 Ver Mapa"/>
    <hyperlink ref="L7411" r:id="rId7409" tooltip="🔗 Ver Mapa" display="🔗 Ver Mapa"/>
    <hyperlink ref="L7412" r:id="rId7410" tooltip="🔗 Ver Mapa" display="🔗 Ver Mapa"/>
    <hyperlink ref="L7413" r:id="rId7411" tooltip="🔗 Ver Mapa" display="🔗 Ver Mapa"/>
    <hyperlink ref="L7414" r:id="rId7412" tooltip="🔗 Ver Mapa" display="🔗 Ver Mapa"/>
    <hyperlink ref="L7415" r:id="rId7413" tooltip="🔗 Ver Mapa" display="🔗 Ver Mapa"/>
    <hyperlink ref="L7416" r:id="rId7414" tooltip="🔗 Ver Mapa" display="🔗 Ver Mapa"/>
    <hyperlink ref="L7417" r:id="rId7415" tooltip="🔗 Ver Mapa" display="🔗 Ver Mapa"/>
    <hyperlink ref="L7418" r:id="rId7416" tooltip="🔗 Ver Mapa" display="🔗 Ver Mapa"/>
    <hyperlink ref="L7419" r:id="rId7417" tooltip="🔗 Ver Mapa" display="🔗 Ver Mapa"/>
    <hyperlink ref="L7420" r:id="rId7418" tooltip="🔗 Ver Mapa" display="🔗 Ver Mapa"/>
    <hyperlink ref="L7421" r:id="rId7419" tooltip="🔗 Ver Mapa" display="🔗 Ver Mapa"/>
    <hyperlink ref="L7422" r:id="rId7420" tooltip="🔗 Ver Mapa" display="🔗 Ver Mapa"/>
    <hyperlink ref="L7423" r:id="rId7421" tooltip="🔗 Ver Mapa" display="🔗 Ver Mapa"/>
    <hyperlink ref="L7424" r:id="rId7422" tooltip="🔗 Ver Mapa" display="🔗 Ver Mapa"/>
    <hyperlink ref="L7425" r:id="rId7423" tooltip="🔗 Ver Mapa" display="🔗 Ver Mapa"/>
    <hyperlink ref="L7426" r:id="rId7424" tooltip="🔗 Ver Mapa" display="🔗 Ver Mapa"/>
    <hyperlink ref="L7427" r:id="rId7425" tooltip="🔗 Ver Mapa" display="🔗 Ver Mapa"/>
    <hyperlink ref="L7428" r:id="rId7426" tooltip="🔗 Ver Mapa" display="🔗 Ver Mapa"/>
    <hyperlink ref="L7429" r:id="rId7427" tooltip="🔗 Ver Mapa" display="🔗 Ver Mapa"/>
    <hyperlink ref="L7430" r:id="rId7428" tooltip="🔗 Ver Mapa" display="🔗 Ver Mapa"/>
    <hyperlink ref="L7431" r:id="rId7429" tooltip="🔗 Ver Mapa" display="🔗 Ver Mapa"/>
    <hyperlink ref="L7432" r:id="rId7430" tooltip="🔗 Ver Mapa" display="🔗 Ver Mapa"/>
    <hyperlink ref="L7433" r:id="rId7431" tooltip="🔗 Ver Mapa" display="🔗 Ver Mapa"/>
    <hyperlink ref="L7434" r:id="rId7432" tooltip="🔗 Ver Mapa" display="🔗 Ver Mapa"/>
    <hyperlink ref="L7435" r:id="rId7433" tooltip="🔗 Ver Mapa" display="🔗 Ver Mapa"/>
    <hyperlink ref="L7436" r:id="rId7434" tooltip="🔗 Ver Mapa" display="🔗 Ver Mapa"/>
    <hyperlink ref="L7437" r:id="rId7435" tooltip="🔗 Ver Mapa" display="🔗 Ver Mapa"/>
    <hyperlink ref="L7438" r:id="rId7436" tooltip="🔗 Ver Mapa" display="🔗 Ver Mapa"/>
    <hyperlink ref="L7439" r:id="rId7437" tooltip="🔗 Ver Mapa" display="🔗 Ver Mapa"/>
    <hyperlink ref="L7440" r:id="rId7438" tooltip="🔗 Ver Mapa" display="🔗 Ver Mapa"/>
    <hyperlink ref="L7441" r:id="rId7439" tooltip="🔗 Ver Mapa" display="🔗 Ver Mapa"/>
    <hyperlink ref="L7442" r:id="rId7440" tooltip="🔗 Ver Mapa" display="🔗 Ver Mapa"/>
    <hyperlink ref="L7443" r:id="rId7441" tooltip="🔗 Ver Mapa" display="🔗 Ver Mapa"/>
    <hyperlink ref="L7444" r:id="rId7442" tooltip="🔗 Ver Mapa" display="🔗 Ver Mapa"/>
    <hyperlink ref="L7445" r:id="rId7443" tooltip="🔗 Ver Mapa" display="🔗 Ver Mapa"/>
    <hyperlink ref="L7446" r:id="rId7444" tooltip="🔗 Ver Mapa" display="🔗 Ver Mapa"/>
    <hyperlink ref="L7447" r:id="rId7445" tooltip="🔗 Ver Mapa" display="🔗 Ver Mapa"/>
    <hyperlink ref="L7448" r:id="rId7446" tooltip="🔗 Ver Mapa" display="🔗 Ver Mapa"/>
    <hyperlink ref="L7449" r:id="rId7447" tooltip="🔗 Ver Mapa" display="🔗 Ver Mapa"/>
    <hyperlink ref="L7450" r:id="rId7448" tooltip="🔗 Ver Mapa" display="🔗 Ver Mapa"/>
    <hyperlink ref="L7451" r:id="rId7449" tooltip="🔗 Ver Mapa" display="🔗 Ver Mapa"/>
    <hyperlink ref="L7452" r:id="rId7450" tooltip="🔗 Ver Mapa" display="🔗 Ver Mapa"/>
    <hyperlink ref="L7453" r:id="rId7451" tooltip="🔗 Ver Mapa" display="🔗 Ver Mapa"/>
    <hyperlink ref="L7454" r:id="rId7452" tooltip="🔗 Ver Mapa" display="🔗 Ver Mapa"/>
    <hyperlink ref="L7455" r:id="rId7453" tooltip="🔗 Ver Mapa" display="🔗 Ver Mapa"/>
    <hyperlink ref="L7456" r:id="rId7454" tooltip="🔗 Ver Mapa" display="🔗 Ver Mapa"/>
    <hyperlink ref="L7457" r:id="rId7455" tooltip="🔗 Ver Mapa" display="🔗 Ver Mapa"/>
    <hyperlink ref="L7458" r:id="rId7456" tooltip="🔗 Ver Mapa" display="🔗 Ver Mapa"/>
    <hyperlink ref="L7459" r:id="rId7457" tooltip="🔗 Ver Mapa" display="🔗 Ver Mapa"/>
    <hyperlink ref="L7460" r:id="rId7458" tooltip="🔗 Ver Mapa" display="🔗 Ver Mapa"/>
    <hyperlink ref="L7461" r:id="rId7459" tooltip="🔗 Ver Mapa" display="🔗 Ver Mapa"/>
    <hyperlink ref="L7462" r:id="rId7460" tooltip="🔗 Ver Mapa" display="🔗 Ver Mapa"/>
    <hyperlink ref="L7463" r:id="rId7461" tooltip="🔗 Ver Mapa" display="🔗 Ver Mapa"/>
    <hyperlink ref="L7464" r:id="rId7462" tooltip="🔗 Ver Mapa" display="🔗 Ver Mapa"/>
    <hyperlink ref="L7465" r:id="rId7463" tooltip="🔗 Ver Mapa" display="🔗 Ver Mapa"/>
    <hyperlink ref="L7466" r:id="rId7464" tooltip="🔗 Ver Mapa" display="🔗 Ver Mapa"/>
    <hyperlink ref="L7467" r:id="rId7465" tooltip="🔗 Ver Mapa" display="🔗 Ver Mapa"/>
    <hyperlink ref="L7468" r:id="rId7466" tooltip="🔗 Ver Mapa" display="🔗 Ver Mapa"/>
    <hyperlink ref="L7469" r:id="rId7467" tooltip="🔗 Ver Mapa" display="🔗 Ver Mapa"/>
    <hyperlink ref="L7470" r:id="rId7468" tooltip="🔗 Ver Mapa" display="🔗 Ver Mapa"/>
    <hyperlink ref="L7471" r:id="rId7469" tooltip="🔗 Ver Mapa" display="🔗 Ver Mapa"/>
    <hyperlink ref="L7472" r:id="rId7470" tooltip="🔗 Ver Mapa" display="🔗 Ver Mapa"/>
    <hyperlink ref="L7473" r:id="rId7471" tooltip="🔗 Ver Mapa" display="🔗 Ver Mapa"/>
    <hyperlink ref="L7474" r:id="rId7472" tooltip="🔗 Ver Mapa" display="🔗 Ver Mapa"/>
    <hyperlink ref="L7475" r:id="rId7473" tooltip="🔗 Ver Mapa" display="🔗 Ver Mapa"/>
    <hyperlink ref="L7476" r:id="rId7474" tooltip="🔗 Ver Mapa" display="🔗 Ver Mapa"/>
    <hyperlink ref="L7477" r:id="rId7475" tooltip="🔗 Ver Mapa" display="🔗 Ver Mapa"/>
    <hyperlink ref="L7478" r:id="rId7476" tooltip="🔗 Ver Mapa" display="🔗 Ver Mapa"/>
    <hyperlink ref="L7479" r:id="rId7477" tooltip="🔗 Ver Mapa" display="🔗 Ver Mapa"/>
    <hyperlink ref="L7480" r:id="rId7478" tooltip="🔗 Ver Mapa" display="🔗 Ver Mapa"/>
    <hyperlink ref="L7481" r:id="rId7479" tooltip="🔗 Ver Mapa" display="🔗 Ver Mapa"/>
    <hyperlink ref="L7482" r:id="rId7480" tooltip="🔗 Ver Mapa" display="🔗 Ver Mapa"/>
    <hyperlink ref="L7483" r:id="rId7481" tooltip="🔗 Ver Mapa" display="🔗 Ver Mapa"/>
    <hyperlink ref="L7484" r:id="rId7482" tooltip="🔗 Ver Mapa" display="🔗 Ver Mapa"/>
    <hyperlink ref="L7485" r:id="rId7483" tooltip="🔗 Ver Mapa" display="🔗 Ver Mapa"/>
    <hyperlink ref="L7486" r:id="rId7484" tooltip="🔗 Ver Mapa" display="🔗 Ver Mapa"/>
    <hyperlink ref="L7487" r:id="rId7485" tooltip="🔗 Ver Mapa" display="🔗 Ver Mapa"/>
    <hyperlink ref="L7488" r:id="rId7486" tooltip="🔗 Ver Mapa" display="🔗 Ver Mapa"/>
    <hyperlink ref="L7489" r:id="rId7487" tooltip="🔗 Ver Mapa" display="🔗 Ver Mapa"/>
    <hyperlink ref="L7490" r:id="rId7488" tooltip="🔗 Ver Mapa" display="🔗 Ver Mapa"/>
    <hyperlink ref="L7491" r:id="rId7489" tooltip="🔗 Ver Mapa" display="🔗 Ver Mapa"/>
    <hyperlink ref="L7492" r:id="rId7490" tooltip="🔗 Ver Mapa" display="🔗 Ver Mapa"/>
    <hyperlink ref="L7493" r:id="rId7491" tooltip="🔗 Ver Mapa" display="🔗 Ver Mapa"/>
    <hyperlink ref="L7494" r:id="rId7492" tooltip="🔗 Ver Mapa" display="🔗 Ver Mapa"/>
    <hyperlink ref="L7495" r:id="rId7493" tooltip="🔗 Ver Mapa" display="🔗 Ver Mapa"/>
    <hyperlink ref="L7496" r:id="rId7494" tooltip="🔗 Ver Mapa" display="🔗 Ver Mapa"/>
    <hyperlink ref="L7497" r:id="rId7495" tooltip="🔗 Ver Mapa" display="🔗 Ver Mapa"/>
    <hyperlink ref="L7498" r:id="rId7496" tooltip="🔗 Ver Mapa" display="🔗 Ver Mapa"/>
    <hyperlink ref="L7499" r:id="rId7497" tooltip="🔗 Ver Mapa" display="🔗 Ver Mapa"/>
    <hyperlink ref="L7500" r:id="rId7498" tooltip="🔗 Ver Mapa" display="🔗 Ver Mapa"/>
    <hyperlink ref="L7501" r:id="rId7499" tooltip="🔗 Ver Mapa" display="🔗 Ver Mapa"/>
    <hyperlink ref="L7502" r:id="rId7500" tooltip="🔗 Ver Mapa" display="🔗 Ver Mapa"/>
    <hyperlink ref="L7503" r:id="rId7501" tooltip="🔗 Ver Mapa" display="🔗 Ver Mapa"/>
    <hyperlink ref="L7504" r:id="rId7502" tooltip="🔗 Ver Mapa" display="🔗 Ver Mapa"/>
    <hyperlink ref="L7505" r:id="rId7503" tooltip="🔗 Ver Mapa" display="🔗 Ver Mapa"/>
    <hyperlink ref="L7506" r:id="rId7504" tooltip="🔗 Ver Mapa" display="🔗 Ver Mapa"/>
    <hyperlink ref="L7507" r:id="rId7505" tooltip="🔗 Ver Mapa" display="🔗 Ver Mapa"/>
    <hyperlink ref="L7508" r:id="rId7506" tooltip="🔗 Ver Mapa" display="🔗 Ver Mapa"/>
    <hyperlink ref="L7509" r:id="rId7507" tooltip="🔗 Ver Mapa" display="🔗 Ver Mapa"/>
    <hyperlink ref="L7510" r:id="rId7508" tooltip="🔗 Ver Mapa" display="🔗 Ver Mapa"/>
    <hyperlink ref="L7511" r:id="rId7509" tooltip="🔗 Ver Mapa" display="🔗 Ver Mapa"/>
    <hyperlink ref="L7512" r:id="rId7510" tooltip="🔗 Ver Mapa" display="🔗 Ver Mapa"/>
    <hyperlink ref="L7513" r:id="rId7511" tooltip="🔗 Ver Mapa" display="🔗 Ver Mapa"/>
    <hyperlink ref="L7514" r:id="rId7512" tooltip="🔗 Ver Mapa" display="🔗 Ver Mapa"/>
    <hyperlink ref="L7515" r:id="rId7513" tooltip="🔗 Ver Mapa" display="🔗 Ver Mapa"/>
    <hyperlink ref="L7516" r:id="rId7514" tooltip="🔗 Ver Mapa" display="🔗 Ver Mapa"/>
    <hyperlink ref="L7517" r:id="rId7515" tooltip="🔗 Ver Mapa" display="🔗 Ver Mapa"/>
    <hyperlink ref="L7518" r:id="rId7516" tooltip="🔗 Ver Mapa" display="🔗 Ver Mapa"/>
    <hyperlink ref="L7519" r:id="rId7517" tooltip="🔗 Ver Mapa" display="🔗 Ver Mapa"/>
    <hyperlink ref="L7520" r:id="rId7518" tooltip="🔗 Ver Mapa" display="🔗 Ver Mapa"/>
    <hyperlink ref="L7521" r:id="rId7519" tooltip="🔗 Ver Mapa" display="🔗 Ver Mapa"/>
    <hyperlink ref="L7522" r:id="rId7520" tooltip="🔗 Ver Mapa" display="🔗 Ver Mapa"/>
    <hyperlink ref="L7523" r:id="rId7521" tooltip="🔗 Ver Mapa" display="🔗 Ver Mapa"/>
    <hyperlink ref="L7524" r:id="rId7522" tooltip="🔗 Ver Mapa" display="🔗 Ver Mapa"/>
    <hyperlink ref="L7525" r:id="rId7523" tooltip="🔗 Ver Mapa" display="🔗 Ver Mapa"/>
    <hyperlink ref="L7526" r:id="rId7524" tooltip="🔗 Ver Mapa" display="🔗 Ver Mapa"/>
    <hyperlink ref="L7527" r:id="rId7525" tooltip="🔗 Ver Mapa" display="🔗 Ver Mapa"/>
    <hyperlink ref="L7528" r:id="rId7526" tooltip="🔗 Ver Mapa" display="🔗 Ver Mapa"/>
    <hyperlink ref="L7529" r:id="rId7527" tooltip="🔗 Ver Mapa" display="🔗 Ver Mapa"/>
    <hyperlink ref="L7530" r:id="rId7528" tooltip="🔗 Ver Mapa" display="🔗 Ver Mapa"/>
    <hyperlink ref="L7531" r:id="rId7529" tooltip="🔗 Ver Mapa" display="🔗 Ver Mapa"/>
    <hyperlink ref="L7532" r:id="rId7530" tooltip="🔗 Ver Mapa" display="🔗 Ver Mapa"/>
    <hyperlink ref="L7533" r:id="rId7531" tooltip="🔗 Ver Mapa" display="🔗 Ver Mapa"/>
    <hyperlink ref="L7534" r:id="rId7532" tooltip="🔗 Ver Mapa" display="🔗 Ver Mapa"/>
    <hyperlink ref="L7535" r:id="rId7533" tooltip="🔗 Ver Mapa" display="🔗 Ver Mapa"/>
    <hyperlink ref="L7536" r:id="rId7534" tooltip="🔗 Ver Mapa" display="🔗 Ver Mapa"/>
    <hyperlink ref="L7537" r:id="rId7535" tooltip="🔗 Ver Mapa" display="🔗 Ver Mapa"/>
    <hyperlink ref="L7538" r:id="rId7536" tooltip="🔗 Ver Mapa" display="🔗 Ver Mapa"/>
    <hyperlink ref="L7539" r:id="rId7537" tooltip="🔗 Ver Mapa" display="🔗 Ver Mapa"/>
    <hyperlink ref="L7540" r:id="rId7538" tooltip="🔗 Ver Mapa" display="🔗 Ver Mapa"/>
    <hyperlink ref="L7541" r:id="rId7539" tooltip="🔗 Ver Mapa" display="🔗 Ver Mapa"/>
    <hyperlink ref="L7542" r:id="rId7540" tooltip="🔗 Ver Mapa" display="🔗 Ver Mapa"/>
    <hyperlink ref="L7543" r:id="rId7541" tooltip="🔗 Ver Mapa" display="🔗 Ver Mapa"/>
    <hyperlink ref="L7544" r:id="rId7542" tooltip="🔗 Ver Mapa" display="🔗 Ver Mapa"/>
    <hyperlink ref="L7545" r:id="rId7543" tooltip="🔗 Ver Mapa" display="🔗 Ver Mapa"/>
    <hyperlink ref="L7546" r:id="rId7544" tooltip="🔗 Ver Mapa" display="🔗 Ver Mapa"/>
    <hyperlink ref="L7547" r:id="rId7545" tooltip="🔗 Ver Mapa" display="🔗 Ver Mapa"/>
    <hyperlink ref="L7548" r:id="rId7546" tooltip="🔗 Ver Mapa" display="🔗 Ver Mapa"/>
    <hyperlink ref="L7549" r:id="rId7547" tooltip="🔗 Ver Mapa" display="🔗 Ver Mapa"/>
    <hyperlink ref="L7550" r:id="rId7548" tooltip="🔗 Ver Mapa" display="🔗 Ver Mapa"/>
    <hyperlink ref="L7551" r:id="rId7549" tooltip="🔗 Ver Mapa" display="🔗 Ver Mapa"/>
    <hyperlink ref="L7552" r:id="rId7550" tooltip="🔗 Ver Mapa" display="🔗 Ver Mapa"/>
    <hyperlink ref="L7553" r:id="rId7551" tooltip="🔗 Ver Mapa" display="🔗 Ver Mapa"/>
    <hyperlink ref="L7554" r:id="rId7552" tooltip="🔗 Ver Mapa" display="🔗 Ver Mapa"/>
    <hyperlink ref="L7555" r:id="rId7553" tooltip="🔗 Ver Mapa" display="🔗 Ver Mapa"/>
    <hyperlink ref="L7556" r:id="rId7554" tooltip="🔗 Ver Mapa" display="🔗 Ver Mapa"/>
    <hyperlink ref="L7557" r:id="rId7555" tooltip="🔗 Ver Mapa" display="🔗 Ver Mapa"/>
    <hyperlink ref="L7558" r:id="rId7556" tooltip="🔗 Ver Mapa" display="🔗 Ver Mapa"/>
    <hyperlink ref="L7559" r:id="rId7557" tooltip="🔗 Ver Mapa" display="🔗 Ver Mapa"/>
    <hyperlink ref="L7560" r:id="rId7558" tooltip="🔗 Ver Mapa" display="🔗 Ver Mapa"/>
    <hyperlink ref="L7561" r:id="rId7559" tooltip="🔗 Ver Mapa" display="🔗 Ver Mapa"/>
    <hyperlink ref="L7562" r:id="rId7560" tooltip="🔗 Ver Mapa" display="🔗 Ver Mapa"/>
    <hyperlink ref="L7563" r:id="rId7561" tooltip="🔗 Ver Mapa" display="🔗 Ver Mapa"/>
    <hyperlink ref="L7564" r:id="rId7562" tooltip="🔗 Ver Mapa" display="🔗 Ver Mapa"/>
    <hyperlink ref="L7565" r:id="rId7563" tooltip="🔗 Ver Mapa" display="🔗 Ver Mapa"/>
    <hyperlink ref="L7566" r:id="rId7564" tooltip="🔗 Ver Mapa" display="🔗 Ver Mapa"/>
    <hyperlink ref="L7567" r:id="rId7565" tooltip="🔗 Ver Mapa" display="🔗 Ver Mapa"/>
    <hyperlink ref="L7568" r:id="rId7566" tooltip="🔗 Ver Mapa" display="🔗 Ver Mapa"/>
    <hyperlink ref="L7569" r:id="rId7567" tooltip="🔗 Ver Mapa" display="🔗 Ver Mapa"/>
    <hyperlink ref="L7570" r:id="rId7568" tooltip="🔗 Ver Mapa" display="🔗 Ver Mapa"/>
    <hyperlink ref="L7571" r:id="rId7569" tooltip="🔗 Ver Mapa" display="🔗 Ver Mapa"/>
    <hyperlink ref="L7572" r:id="rId7570" tooltip="🔗 Ver Mapa" display="🔗 Ver Mapa"/>
    <hyperlink ref="L7573" r:id="rId7571" tooltip="🔗 Ver Mapa" display="🔗 Ver Mapa"/>
    <hyperlink ref="L7574" r:id="rId7572" tooltip="🔗 Ver Mapa" display="🔗 Ver Mapa"/>
    <hyperlink ref="L7575" r:id="rId7573" tooltip="🔗 Ver Mapa" display="🔗 Ver Mapa"/>
    <hyperlink ref="L7576" r:id="rId7574" tooltip="🔗 Ver Mapa" display="🔗 Ver Mapa"/>
    <hyperlink ref="L7577" r:id="rId7575" tooltip="🔗 Ver Mapa" display="🔗 Ver Mapa"/>
    <hyperlink ref="L7578" r:id="rId7576" tooltip="🔗 Ver Mapa" display="🔗 Ver Mapa"/>
    <hyperlink ref="L7579" r:id="rId7577" tooltip="🔗 Ver Mapa" display="🔗 Ver Mapa"/>
    <hyperlink ref="L7580" r:id="rId7578" tooltip="🔗 Ver Mapa" display="🔗 Ver Mapa"/>
    <hyperlink ref="L7581" r:id="rId7579" tooltip="🔗 Ver Mapa" display="🔗 Ver Mapa"/>
    <hyperlink ref="L7582" r:id="rId7580" tooltip="🔗 Ver Mapa" display="🔗 Ver Mapa"/>
    <hyperlink ref="L7583" r:id="rId7581" tooltip="🔗 Ver Mapa" display="🔗 Ver Mapa"/>
    <hyperlink ref="L7584" r:id="rId7582" tooltip="🔗 Ver Mapa" display="🔗 Ver Mapa"/>
    <hyperlink ref="L7585" r:id="rId7583" tooltip="🔗 Ver Mapa" display="🔗 Ver Mapa"/>
    <hyperlink ref="L7586" r:id="rId7584" tooltip="🔗 Ver Mapa" display="🔗 Ver Mapa"/>
    <hyperlink ref="L7587" r:id="rId7585" tooltip="🔗 Ver Mapa" display="🔗 Ver Mapa"/>
    <hyperlink ref="L7588" r:id="rId7586" tooltip="🔗 Ver Mapa" display="🔗 Ver Mapa"/>
    <hyperlink ref="L7589" r:id="rId7587" tooltip="🔗 Ver Mapa" display="🔗 Ver Mapa"/>
    <hyperlink ref="L7590" r:id="rId7588" tooltip="🔗 Ver Mapa" display="🔗 Ver Mapa"/>
    <hyperlink ref="L7591" r:id="rId7589" tooltip="🔗 Ver Mapa" display="🔗 Ver Mapa"/>
    <hyperlink ref="L7592" r:id="rId7590" tooltip="🔗 Ver Mapa" display="🔗 Ver Mapa"/>
    <hyperlink ref="L7593" r:id="rId7591" tooltip="🔗 Ver Mapa" display="🔗 Ver Mapa"/>
    <hyperlink ref="L7594" r:id="rId7592" tooltip="🔗 Ver Mapa" display="🔗 Ver Mapa"/>
    <hyperlink ref="L7595" r:id="rId7593" tooltip="🔗 Ver Mapa" display="🔗 Ver Mapa"/>
    <hyperlink ref="L7596" r:id="rId7594" tooltip="🔗 Ver Mapa" display="🔗 Ver Mapa"/>
    <hyperlink ref="L7597" r:id="rId7595" tooltip="🔗 Ver Mapa" display="🔗 Ver Mapa"/>
    <hyperlink ref="L7598" r:id="rId7596" tooltip="🔗 Ver Mapa" display="🔗 Ver Mapa"/>
    <hyperlink ref="L7599" r:id="rId7597" tooltip="🔗 Ver Mapa" display="🔗 Ver Mapa"/>
    <hyperlink ref="L7600" r:id="rId7598" tooltip="🔗 Ver Mapa" display="🔗 Ver Mapa"/>
    <hyperlink ref="L7601" r:id="rId7599" tooltip="🔗 Ver Mapa" display="🔗 Ver Mapa"/>
    <hyperlink ref="L7602" r:id="rId7600" tooltip="🔗 Ver Mapa" display="🔗 Ver Mapa"/>
    <hyperlink ref="L7603" r:id="rId7601" tooltip="🔗 Ver Mapa" display="🔗 Ver Mapa"/>
    <hyperlink ref="L7604" r:id="rId7602" tooltip="🔗 Ver Mapa" display="🔗 Ver Mapa"/>
    <hyperlink ref="L7605" r:id="rId7603" tooltip="🔗 Ver Mapa" display="🔗 Ver Mapa"/>
    <hyperlink ref="L7606" r:id="rId7604" tooltip="🔗 Ver Mapa" display="🔗 Ver Mapa"/>
    <hyperlink ref="L7607" r:id="rId7605" tooltip="🔗 Ver Mapa" display="🔗 Ver Mapa"/>
    <hyperlink ref="L7608" r:id="rId7606" tooltip="🔗 Ver Mapa" display="🔗 Ver Mapa"/>
    <hyperlink ref="L7609" r:id="rId7607" tooltip="🔗 Ver Mapa" display="🔗 Ver Mapa"/>
    <hyperlink ref="L7610" r:id="rId7608" tooltip="🔗 Ver Mapa" display="🔗 Ver Mapa"/>
    <hyperlink ref="L7611" r:id="rId7609" tooltip="🔗 Ver Mapa" display="🔗 Ver Mapa"/>
    <hyperlink ref="L7612" r:id="rId7610" tooltip="🔗 Ver Mapa" display="🔗 Ver Mapa"/>
    <hyperlink ref="L7613" r:id="rId7611" tooltip="🔗 Ver Mapa" display="🔗 Ver Mapa"/>
    <hyperlink ref="L7614" r:id="rId7612" tooltip="🔗 Ver Mapa" display="🔗 Ver Mapa"/>
    <hyperlink ref="L7615" r:id="rId7613" tooltip="🔗 Ver Mapa" display="🔗 Ver Mapa"/>
    <hyperlink ref="L7616" r:id="rId7614" tooltip="🔗 Ver Mapa" display="🔗 Ver Mapa"/>
    <hyperlink ref="L7617" r:id="rId7615" tooltip="🔗 Ver Mapa" display="🔗 Ver Mapa"/>
    <hyperlink ref="L7618" r:id="rId7616" tooltip="🔗 Ver Mapa" display="🔗 Ver Mapa"/>
    <hyperlink ref="L7619" r:id="rId7617" tooltip="🔗 Ver Mapa" display="🔗 Ver Mapa"/>
    <hyperlink ref="L7620" r:id="rId7618" tooltip="🔗 Ver Mapa" display="🔗 Ver Mapa"/>
    <hyperlink ref="L7621" r:id="rId7619" tooltip="🔗 Ver Mapa" display="🔗 Ver Mapa"/>
    <hyperlink ref="L7622" r:id="rId7620" tooltip="🔗 Ver Mapa" display="🔗 Ver Mapa"/>
    <hyperlink ref="L7623" r:id="rId7621" tooltip="🔗 Ver Mapa" display="🔗 Ver Mapa"/>
    <hyperlink ref="L7624" r:id="rId7622" tooltip="🔗 Ver Mapa" display="🔗 Ver Mapa"/>
    <hyperlink ref="L7625" r:id="rId7623" tooltip="🔗 Ver Mapa" display="🔗 Ver Mapa"/>
    <hyperlink ref="L7626" r:id="rId7624" tooltip="🔗 Ver Mapa" display="🔗 Ver Mapa"/>
    <hyperlink ref="L7627" r:id="rId7625" tooltip="🔗 Ver Mapa" display="🔗 Ver Mapa"/>
    <hyperlink ref="L7628" r:id="rId7626" tooltip="🔗 Ver Mapa" display="🔗 Ver Mapa"/>
    <hyperlink ref="L7629" r:id="rId7627" tooltip="🔗 Ver Mapa" display="🔗 Ver Mapa"/>
    <hyperlink ref="L7630" r:id="rId7628" tooltip="🔗 Ver Mapa" display="🔗 Ver Mapa"/>
    <hyperlink ref="L7631" r:id="rId7629" tooltip="🔗 Ver Mapa" display="🔗 Ver Mapa"/>
    <hyperlink ref="L7632" r:id="rId7630" tooltip="🔗 Ver Mapa" display="🔗 Ver Mapa"/>
    <hyperlink ref="L7633" r:id="rId7631" tooltip="🔗 Ver Mapa" display="🔗 Ver Mapa"/>
    <hyperlink ref="L7634" r:id="rId7632" tooltip="🔗 Ver Mapa" display="🔗 Ver Mapa"/>
    <hyperlink ref="L7635" r:id="rId7633" tooltip="🔗 Ver Mapa" display="🔗 Ver Mapa"/>
    <hyperlink ref="L7636" r:id="rId7634" tooltip="🔗 Ver Mapa" display="🔗 Ver Mapa"/>
    <hyperlink ref="L7637" r:id="rId7635" tooltip="🔗 Ver Mapa" display="🔗 Ver Mapa"/>
    <hyperlink ref="L7638" r:id="rId7636" tooltip="🔗 Ver Mapa" display="🔗 Ver Mapa"/>
    <hyperlink ref="L7639" r:id="rId7637" tooltip="🔗 Ver Mapa" display="🔗 Ver Mapa"/>
    <hyperlink ref="L7640" r:id="rId7638" tooltip="🔗 Ver Mapa" display="🔗 Ver Mapa"/>
    <hyperlink ref="L7641" r:id="rId7639" tooltip="🔗 Ver Mapa" display="🔗 Ver Mapa"/>
    <hyperlink ref="L7642" r:id="rId7640" tooltip="🔗 Ver Mapa" display="🔗 Ver Mapa"/>
    <hyperlink ref="L7643" r:id="rId7641" tooltip="🔗 Ver Mapa" display="🔗 Ver Mapa"/>
    <hyperlink ref="L7644" r:id="rId7642" tooltip="🔗 Ver Mapa" display="🔗 Ver Mapa"/>
    <hyperlink ref="L7645" r:id="rId7643" tooltip="🔗 Ver Mapa" display="🔗 Ver Mapa"/>
    <hyperlink ref="L7646" r:id="rId7644" tooltip="🔗 Ver Mapa" display="🔗 Ver Mapa"/>
    <hyperlink ref="L7647" r:id="rId7645" tooltip="🔗 Ver Mapa" display="🔗 Ver Mapa"/>
    <hyperlink ref="L7648" r:id="rId7646" tooltip="🔗 Ver Mapa" display="🔗 Ver Mapa"/>
    <hyperlink ref="L7649" r:id="rId7647" tooltip="🔗 Ver Mapa" display="🔗 Ver Mapa"/>
    <hyperlink ref="L7650" r:id="rId7648" tooltip="🔗 Ver Mapa" display="🔗 Ver Mapa"/>
    <hyperlink ref="L7651" r:id="rId7649" tooltip="🔗 Ver Mapa" display="🔗 Ver Mapa"/>
    <hyperlink ref="L7652" r:id="rId7650" tooltip="🔗 Ver Mapa" display="🔗 Ver Mapa"/>
    <hyperlink ref="L7653" r:id="rId7651" tooltip="🔗 Ver Mapa" display="🔗 Ver Mapa"/>
    <hyperlink ref="L7654" r:id="rId7652" tooltip="🔗 Ver Mapa" display="🔗 Ver Mapa"/>
    <hyperlink ref="L7655" r:id="rId7653" tooltip="🔗 Ver Mapa" display="🔗 Ver Mapa"/>
    <hyperlink ref="L7656" r:id="rId7654" tooltip="🔗 Ver Mapa" display="🔗 Ver Mapa"/>
    <hyperlink ref="L7657" r:id="rId7655" tooltip="🔗 Ver Mapa" display="🔗 Ver Mapa"/>
    <hyperlink ref="L7658" r:id="rId7656" tooltip="🔗 Ver Mapa" display="🔗 Ver Mapa"/>
    <hyperlink ref="L7659" r:id="rId7657" tooltip="🔗 Ver Mapa" display="🔗 Ver Mapa"/>
    <hyperlink ref="L7660" r:id="rId7658" tooltip="🔗 Ver Mapa" display="🔗 Ver Mapa"/>
    <hyperlink ref="L7661" r:id="rId7659" tooltip="🔗 Ver Mapa" display="🔗 Ver Mapa"/>
    <hyperlink ref="L7662" r:id="rId7660" tooltip="🔗 Ver Mapa" display="🔗 Ver Mapa"/>
    <hyperlink ref="L7663" r:id="rId7661" tooltip="🔗 Ver Mapa" display="🔗 Ver Mapa"/>
    <hyperlink ref="L7664" r:id="rId7662" tooltip="🔗 Ver Mapa" display="🔗 Ver Mapa"/>
    <hyperlink ref="L7665" r:id="rId7663" tooltip="🔗 Ver Mapa" display="🔗 Ver Mapa"/>
    <hyperlink ref="L7666" r:id="rId7664" tooltip="🔗 Ver Mapa" display="🔗 Ver Mapa"/>
    <hyperlink ref="L7667" r:id="rId7665" tooltip="🔗 Ver Mapa" display="🔗 Ver Mapa"/>
    <hyperlink ref="L7668" r:id="rId7666" tooltip="🔗 Ver Mapa" display="🔗 Ver Mapa"/>
    <hyperlink ref="L7669" r:id="rId7667" tooltip="🔗 Ver Mapa" display="🔗 Ver Mapa"/>
    <hyperlink ref="L7670" r:id="rId7668" tooltip="🔗 Ver Mapa" display="🔗 Ver Mapa"/>
    <hyperlink ref="L7671" r:id="rId7669" tooltip="🔗 Ver Mapa" display="🔗 Ver Mapa"/>
    <hyperlink ref="L7672" r:id="rId7670" tooltip="🔗 Ver Mapa" display="🔗 Ver Mapa"/>
    <hyperlink ref="L7673" r:id="rId7671" tooltip="🔗 Ver Mapa" display="🔗 Ver Mapa"/>
    <hyperlink ref="L7674" r:id="rId7672" tooltip="🔗 Ver Mapa" display="🔗 Ver Mapa"/>
    <hyperlink ref="L7675" r:id="rId7673" tooltip="🔗 Ver Mapa" display="🔗 Ver Mapa"/>
    <hyperlink ref="L7676" r:id="rId7674" tooltip="🔗 Ver Mapa" display="🔗 Ver Mapa"/>
    <hyperlink ref="L7677" r:id="rId7675" tooltip="🔗 Ver Mapa" display="🔗 Ver Mapa"/>
    <hyperlink ref="L7678" r:id="rId7676" tooltip="🔗 Ver Mapa" display="🔗 Ver Mapa"/>
    <hyperlink ref="L7679" r:id="rId7677" tooltip="🔗 Ver Mapa" display="🔗 Ver Mapa"/>
    <hyperlink ref="L7680" r:id="rId7678" tooltip="🔗 Ver Mapa" display="🔗 Ver Mapa"/>
    <hyperlink ref="L7681" r:id="rId7679" tooltip="🔗 Ver Mapa" display="🔗 Ver Mapa"/>
    <hyperlink ref="L7682" r:id="rId7680" tooltip="🔗 Ver Mapa" display="🔗 Ver Mapa"/>
    <hyperlink ref="L7683" r:id="rId7681" tooltip="🔗 Ver Mapa" display="🔗 Ver Mapa"/>
    <hyperlink ref="L7684" r:id="rId7682" tooltip="🔗 Ver Mapa" display="🔗 Ver Mapa"/>
    <hyperlink ref="L7685" r:id="rId7683" tooltip="🔗 Ver Mapa" display="🔗 Ver Mapa"/>
    <hyperlink ref="L7686" r:id="rId7684" tooltip="🔗 Ver Mapa" display="🔗 Ver Mapa"/>
    <hyperlink ref="L7687" r:id="rId7685" tooltip="🔗 Ver Mapa" display="🔗 Ver Mapa"/>
    <hyperlink ref="L7688" r:id="rId7686" tooltip="🔗 Ver Mapa" display="🔗 Ver Mapa"/>
    <hyperlink ref="L7689" r:id="rId7687" tooltip="🔗 Ver Mapa" display="🔗 Ver Mapa"/>
    <hyperlink ref="L7690" r:id="rId7688" tooltip="🔗 Ver Mapa" display="🔗 Ver Mapa"/>
    <hyperlink ref="L7691" r:id="rId7689" tooltip="🔗 Ver Mapa" display="🔗 Ver Mapa"/>
    <hyperlink ref="L7692" r:id="rId7690" tooltip="🔗 Ver Mapa" display="🔗 Ver Mapa"/>
    <hyperlink ref="L7693" r:id="rId7691" tooltip="🔗 Ver Mapa" display="🔗 Ver Mapa"/>
    <hyperlink ref="L7694" r:id="rId7692" tooltip="🔗 Ver Mapa" display="🔗 Ver Mapa"/>
    <hyperlink ref="L7695" r:id="rId7693" tooltip="🔗 Ver Mapa" display="🔗 Ver Mapa"/>
    <hyperlink ref="L7696" r:id="rId7694" tooltip="🔗 Ver Mapa" display="🔗 Ver Mapa"/>
    <hyperlink ref="L7697" r:id="rId7695" tooltip="🔗 Ver Mapa" display="🔗 Ver Mapa"/>
    <hyperlink ref="L7698" r:id="rId7696" tooltip="🔗 Ver Mapa" display="🔗 Ver Mapa"/>
    <hyperlink ref="L7699" r:id="rId7697" tooltip="🔗 Ver Mapa" display="🔗 Ver Mapa"/>
    <hyperlink ref="L7700" r:id="rId7698" tooltip="🔗 Ver Mapa" display="🔗 Ver Mapa"/>
    <hyperlink ref="L7701" r:id="rId7699" tooltip="🔗 Ver Mapa" display="🔗 Ver Mapa"/>
    <hyperlink ref="L7702" r:id="rId7700" tooltip="🔗 Ver Mapa" display="🔗 Ver Mapa"/>
    <hyperlink ref="L7703" r:id="rId7701" tooltip="🔗 Ver Mapa" display="🔗 Ver Mapa"/>
    <hyperlink ref="L7704" r:id="rId7702" tooltip="🔗 Ver Mapa" display="🔗 Ver Mapa"/>
    <hyperlink ref="L7705" r:id="rId7703" tooltip="🔗 Ver Mapa" display="🔗 Ver Mapa"/>
    <hyperlink ref="L7706" r:id="rId7704" tooltip="🔗 Ver Mapa" display="🔗 Ver Mapa"/>
    <hyperlink ref="L7707" r:id="rId7705" tooltip="🔗 Ver Mapa" display="🔗 Ver Mapa"/>
    <hyperlink ref="L7708" r:id="rId7706" tooltip="🔗 Ver Mapa" display="🔗 Ver Mapa"/>
    <hyperlink ref="L7709" r:id="rId7707" tooltip="🔗 Ver Mapa" display="🔗 Ver Mapa"/>
    <hyperlink ref="L7710" r:id="rId7708" tooltip="🔗 Ver Mapa" display="🔗 Ver Mapa"/>
    <hyperlink ref="L7711" r:id="rId7709" tooltip="🔗 Ver Mapa" display="🔗 Ver Mapa"/>
    <hyperlink ref="L7712" r:id="rId7710" tooltip="🔗 Ver Mapa" display="🔗 Ver Mapa"/>
    <hyperlink ref="L7713" r:id="rId7711" tooltip="🔗 Ver Mapa" display="🔗 Ver Mapa"/>
    <hyperlink ref="L7714" r:id="rId7712" tooltip="🔗 Ver Mapa" display="🔗 Ver Mapa"/>
    <hyperlink ref="L7715" r:id="rId7713" tooltip="🔗 Ver Mapa" display="🔗 Ver Mapa"/>
    <hyperlink ref="L7716" r:id="rId7714" tooltip="🔗 Ver Mapa" display="🔗 Ver Mapa"/>
    <hyperlink ref="L7717" r:id="rId7715" tooltip="🔗 Ver Mapa" display="🔗 Ver Mapa"/>
    <hyperlink ref="L7718" r:id="rId7716" tooltip="🔗 Ver Mapa" display="🔗 Ver Mapa"/>
    <hyperlink ref="L7719" r:id="rId7717" tooltip="🔗 Ver Mapa" display="🔗 Ver Mapa"/>
    <hyperlink ref="L7720" r:id="rId7718" tooltip="🔗 Ver Mapa" display="🔗 Ver Mapa"/>
    <hyperlink ref="L7721" r:id="rId7719" tooltip="🔗 Ver Mapa" display="🔗 Ver Mapa"/>
    <hyperlink ref="L7722" r:id="rId7720" tooltip="🔗 Ver Mapa" display="🔗 Ver Mapa"/>
    <hyperlink ref="L7723" r:id="rId7721" tooltip="🔗 Ver Mapa" display="🔗 Ver Mapa"/>
    <hyperlink ref="L7724" r:id="rId7722" tooltip="🔗 Ver Mapa" display="🔗 Ver Mapa"/>
    <hyperlink ref="L7725" r:id="rId7723" tooltip="🔗 Ver Mapa" display="🔗 Ver Mapa"/>
    <hyperlink ref="L7726" r:id="rId7724" tooltip="🔗 Ver Mapa" display="🔗 Ver Mapa"/>
    <hyperlink ref="L7727" r:id="rId7725" tooltip="🔗 Ver Mapa" display="🔗 Ver Mapa"/>
    <hyperlink ref="L7728" r:id="rId7726" tooltip="🔗 Ver Mapa" display="🔗 Ver Mapa"/>
    <hyperlink ref="L7729" r:id="rId7727" tooltip="🔗 Ver Mapa" display="🔗 Ver Mapa"/>
    <hyperlink ref="L7730" r:id="rId7728" tooltip="🔗 Ver Mapa" display="🔗 Ver Mapa"/>
    <hyperlink ref="L7731" r:id="rId7729" tooltip="🔗 Ver Mapa" display="🔗 Ver Mapa"/>
    <hyperlink ref="L7732" r:id="rId7730" tooltip="🔗 Ver Mapa" display="🔗 Ver Mapa"/>
    <hyperlink ref="L7733" r:id="rId7731" tooltip="🔗 Ver Mapa" display="🔗 Ver Mapa"/>
    <hyperlink ref="L7734" r:id="rId7732" tooltip="🔗 Ver Mapa" display="🔗 Ver Mapa"/>
    <hyperlink ref="L7735" r:id="rId7733" tooltip="🔗 Ver Mapa" display="🔗 Ver Mapa"/>
    <hyperlink ref="L7736" r:id="rId7734" tooltip="🔗 Ver Mapa" display="🔗 Ver Mapa"/>
    <hyperlink ref="L7737" r:id="rId7735" tooltip="🔗 Ver Mapa" display="🔗 Ver Mapa"/>
    <hyperlink ref="L7738" r:id="rId7736" tooltip="🔗 Ver Mapa" display="🔗 Ver Mapa"/>
    <hyperlink ref="L7739" r:id="rId7737" tooltip="🔗 Ver Mapa" display="🔗 Ver Mapa"/>
    <hyperlink ref="L7740" r:id="rId7738" tooltip="🔗 Ver Mapa" display="🔗 Ver Mapa"/>
    <hyperlink ref="L7741" r:id="rId7739" tooltip="🔗 Ver Mapa" display="🔗 Ver Mapa"/>
    <hyperlink ref="L7742" r:id="rId7740" tooltip="🔗 Ver Mapa" display="🔗 Ver Mapa"/>
    <hyperlink ref="L7743" r:id="rId7741" tooltip="🔗 Ver Mapa" display="🔗 Ver Mapa"/>
    <hyperlink ref="L7744" r:id="rId7742" tooltip="🔗 Ver Mapa" display="🔗 Ver Mapa"/>
    <hyperlink ref="L7745" r:id="rId7743" tooltip="🔗 Ver Mapa" display="🔗 Ver Mapa"/>
    <hyperlink ref="L7746" r:id="rId7744" tooltip="🔗 Ver Mapa" display="🔗 Ver Mapa"/>
    <hyperlink ref="L7747" r:id="rId7745" tooltip="🔗 Ver Mapa" display="🔗 Ver Mapa"/>
    <hyperlink ref="L7748" r:id="rId7746" tooltip="🔗 Ver Mapa" display="🔗 Ver Mapa"/>
    <hyperlink ref="L7749" r:id="rId7747" tooltip="🔗 Ver Mapa" display="🔗 Ver Mapa"/>
    <hyperlink ref="L7750" r:id="rId7748" tooltip="🔗 Ver Mapa" display="🔗 Ver Mapa"/>
    <hyperlink ref="L7751" r:id="rId7749" tooltip="🔗 Ver Mapa" display="🔗 Ver Mapa"/>
    <hyperlink ref="L7752" r:id="rId7750" tooltip="🔗 Ver Mapa" display="🔗 Ver Mapa"/>
    <hyperlink ref="L7753" r:id="rId7751" tooltip="🔗 Ver Mapa" display="🔗 Ver Mapa"/>
    <hyperlink ref="L7754" r:id="rId7752" tooltip="🔗 Ver Mapa" display="🔗 Ver Mapa"/>
    <hyperlink ref="L7755" r:id="rId7753" tooltip="🔗 Ver Mapa" display="🔗 Ver Mapa"/>
    <hyperlink ref="L7756" r:id="rId7754" tooltip="🔗 Ver Mapa" display="🔗 Ver Mapa"/>
    <hyperlink ref="L7757" r:id="rId7755" tooltip="🔗 Ver Mapa" display="🔗 Ver Mapa"/>
    <hyperlink ref="L7758" r:id="rId7756" tooltip="🔗 Ver Mapa" display="🔗 Ver Mapa"/>
    <hyperlink ref="L7759" r:id="rId7757" tooltip="🔗 Ver Mapa" display="🔗 Ver Mapa"/>
    <hyperlink ref="L7760" r:id="rId7758" tooltip="🔗 Ver Mapa" display="🔗 Ver Mapa"/>
    <hyperlink ref="L7761" r:id="rId7759" tooltip="🔗 Ver Mapa" display="🔗 Ver Mapa"/>
    <hyperlink ref="L7762" r:id="rId7760" tooltip="🔗 Ver Mapa" display="🔗 Ver Mapa"/>
    <hyperlink ref="L7763" r:id="rId7761" tooltip="🔗 Ver Mapa" display="🔗 Ver Mapa"/>
    <hyperlink ref="L7764" r:id="rId7762" tooltip="🔗 Ver Mapa" display="🔗 Ver Mapa"/>
    <hyperlink ref="L7765" r:id="rId7763" tooltip="🔗 Ver Mapa" display="🔗 Ver Mapa"/>
    <hyperlink ref="L7766" r:id="rId7764" tooltip="🔗 Ver Mapa" display="🔗 Ver Mapa"/>
    <hyperlink ref="L7767" r:id="rId7765" tooltip="🔗 Ver Mapa" display="🔗 Ver Mapa"/>
    <hyperlink ref="L7768" r:id="rId7766" tooltip="🔗 Ver Mapa" display="🔗 Ver Mapa"/>
    <hyperlink ref="L7769" r:id="rId7767" tooltip="🔗 Ver Mapa" display="🔗 Ver Mapa"/>
    <hyperlink ref="L7770" r:id="rId7768" tooltip="🔗 Ver Mapa" display="🔗 Ver Mapa"/>
    <hyperlink ref="L7771" r:id="rId7769" tooltip="🔗 Ver Mapa" display="🔗 Ver Mapa"/>
    <hyperlink ref="L7772" r:id="rId7770" tooltip="🔗 Ver Mapa" display="🔗 Ver Mapa"/>
    <hyperlink ref="L7773" r:id="rId7771" tooltip="🔗 Ver Mapa" display="🔗 Ver Mapa"/>
    <hyperlink ref="L7774" r:id="rId7772" tooltip="🔗 Ver Mapa" display="🔗 Ver Mapa"/>
    <hyperlink ref="L7775" r:id="rId7773" tooltip="🔗 Ver Mapa" display="🔗 Ver Mapa"/>
    <hyperlink ref="L7776" r:id="rId7774" tooltip="🔗 Ver Mapa" display="🔗 Ver Mapa"/>
    <hyperlink ref="L7777" r:id="rId7775" tooltip="🔗 Ver Mapa" display="🔗 Ver Mapa"/>
    <hyperlink ref="L7778" r:id="rId7776" tooltip="🔗 Ver Mapa" display="🔗 Ver Mapa"/>
    <hyperlink ref="L7779" r:id="rId7777" tooltip="🔗 Ver Mapa" display="🔗 Ver Mapa"/>
    <hyperlink ref="L7780" r:id="rId7778" tooltip="🔗 Ver Mapa" display="🔗 Ver Mapa"/>
    <hyperlink ref="L7781" r:id="rId7779" tooltip="🔗 Ver Mapa" display="🔗 Ver Mapa"/>
    <hyperlink ref="L7782" r:id="rId7780" tooltip="🔗 Ver Mapa" display="🔗 Ver Mapa"/>
    <hyperlink ref="L7783" r:id="rId7781" tooltip="🔗 Ver Mapa" display="🔗 Ver Mapa"/>
    <hyperlink ref="L7784" r:id="rId7782" tooltip="🔗 Ver Mapa" display="🔗 Ver Mapa"/>
    <hyperlink ref="L7785" r:id="rId7783" tooltip="🔗 Ver Mapa" display="🔗 Ver Mapa"/>
    <hyperlink ref="L7786" r:id="rId7784" tooltip="🔗 Ver Mapa" display="🔗 Ver Mapa"/>
    <hyperlink ref="L7787" r:id="rId7785" tooltip="🔗 Ver Mapa" display="🔗 Ver Mapa"/>
    <hyperlink ref="L7788" r:id="rId7786" tooltip="🔗 Ver Mapa" display="🔗 Ver Mapa"/>
    <hyperlink ref="L7789" r:id="rId7787" tooltip="🔗 Ver Mapa" display="🔗 Ver Mapa"/>
    <hyperlink ref="L7790" r:id="rId7788" tooltip="🔗 Ver Mapa" display="🔗 Ver Mapa"/>
    <hyperlink ref="L7791" r:id="rId7789" tooltip="🔗 Ver Mapa" display="🔗 Ver Mapa"/>
    <hyperlink ref="L7792" r:id="rId7790" tooltip="🔗 Ver Mapa" display="🔗 Ver Mapa"/>
    <hyperlink ref="L7793" r:id="rId7791" tooltip="🔗 Ver Mapa" display="🔗 Ver Mapa"/>
    <hyperlink ref="L7794" r:id="rId7792" tooltip="🔗 Ver Mapa" display="🔗 Ver Mapa"/>
    <hyperlink ref="L7795" r:id="rId7793" tooltip="🔗 Ver Mapa" display="🔗 Ver Mapa"/>
    <hyperlink ref="L7796" r:id="rId7794" tooltip="🔗 Ver Mapa" display="🔗 Ver Mapa"/>
    <hyperlink ref="L7797" r:id="rId7795" tooltip="🔗 Ver Mapa" display="🔗 Ver Mapa"/>
    <hyperlink ref="L7798" r:id="rId7796" tooltip="🔗 Ver Mapa" display="🔗 Ver Mapa"/>
    <hyperlink ref="L7799" r:id="rId7797" tooltip="🔗 Ver Mapa" display="🔗 Ver Mapa"/>
    <hyperlink ref="L7800" r:id="rId7798" tooltip="🔗 Ver Mapa" display="🔗 Ver Mapa"/>
    <hyperlink ref="L7801" r:id="rId7799" tooltip="🔗 Ver Mapa" display="🔗 Ver Mapa"/>
    <hyperlink ref="L7802" r:id="rId7800" tooltip="🔗 Ver Mapa" display="🔗 Ver Mapa"/>
    <hyperlink ref="L7803" r:id="rId7801" tooltip="🔗 Ver Mapa" display="🔗 Ver Mapa"/>
    <hyperlink ref="L7804" r:id="rId7802" tooltip="🔗 Ver Mapa" display="🔗 Ver Mapa"/>
    <hyperlink ref="L7805" r:id="rId7803" tooltip="🔗 Ver Mapa" display="🔗 Ver Mapa"/>
    <hyperlink ref="L7806" r:id="rId7804" tooltip="🔗 Ver Mapa" display="🔗 Ver Mapa"/>
    <hyperlink ref="L7807" r:id="rId7805" tooltip="🔗 Ver Mapa" display="🔗 Ver Mapa"/>
    <hyperlink ref="L7808" r:id="rId7806" tooltip="🔗 Ver Mapa" display="🔗 Ver Mapa"/>
    <hyperlink ref="L7809" r:id="rId7807" tooltip="🔗 Ver Mapa" display="🔗 Ver Mapa"/>
    <hyperlink ref="L7810" r:id="rId7808" tooltip="🔗 Ver Mapa" display="🔗 Ver Mapa"/>
    <hyperlink ref="L7811" r:id="rId7809" tooltip="🔗 Ver Mapa" display="🔗 Ver Mapa"/>
    <hyperlink ref="L7812" r:id="rId7810" tooltip="🔗 Ver Mapa" display="🔗 Ver Mapa"/>
    <hyperlink ref="L7813" r:id="rId7811" tooltip="🔗 Ver Mapa" display="🔗 Ver Mapa"/>
    <hyperlink ref="L7814" r:id="rId7812" tooltip="🔗 Ver Mapa" display="🔗 Ver Mapa"/>
    <hyperlink ref="L7815" r:id="rId7813" tooltip="🔗 Ver Mapa" display="🔗 Ver Mapa"/>
    <hyperlink ref="L7816" r:id="rId7814" tooltip="🔗 Ver Mapa" display="🔗 Ver Mapa"/>
    <hyperlink ref="L7817" r:id="rId7815" tooltip="🔗 Ver Mapa" display="🔗 Ver Mapa"/>
    <hyperlink ref="L7818" r:id="rId7816" tooltip="🔗 Ver Mapa" display="🔗 Ver Mapa"/>
    <hyperlink ref="L7819" r:id="rId7817" tooltip="🔗 Ver Mapa" display="🔗 Ver Mapa"/>
    <hyperlink ref="L7820" r:id="rId7818" tooltip="🔗 Ver Mapa" display="🔗 Ver Mapa"/>
    <hyperlink ref="L7821" r:id="rId7819" tooltip="🔗 Ver Mapa" display="🔗 Ver Mapa"/>
    <hyperlink ref="L7822" r:id="rId7820" tooltip="🔗 Ver Mapa" display="🔗 Ver Mapa"/>
    <hyperlink ref="L7823" r:id="rId7821" tooltip="🔗 Ver Mapa" display="🔗 Ver Mapa"/>
    <hyperlink ref="L7824" r:id="rId7822" tooltip="🔗 Ver Mapa" display="🔗 Ver Mapa"/>
    <hyperlink ref="L7825" r:id="rId7823" tooltip="🔗 Ver Mapa" display="🔗 Ver Mapa"/>
    <hyperlink ref="L7826" r:id="rId7824" tooltip="🔗 Ver Mapa" display="🔗 Ver Mapa"/>
    <hyperlink ref="L7827" r:id="rId7825" tooltip="🔗 Ver Mapa" display="🔗 Ver Mapa"/>
    <hyperlink ref="L7828" r:id="rId7826" tooltip="🔗 Ver Mapa" display="🔗 Ver Mapa"/>
    <hyperlink ref="L7829" r:id="rId7827" tooltip="🔗 Ver Mapa" display="🔗 Ver Mapa"/>
    <hyperlink ref="L7830" r:id="rId7828" tooltip="🔗 Ver Mapa" display="🔗 Ver Mapa"/>
    <hyperlink ref="L7831" r:id="rId7829" tooltip="🔗 Ver Mapa" display="🔗 Ver Mapa"/>
    <hyperlink ref="L7832" r:id="rId7830" tooltip="🔗 Ver Mapa" display="🔗 Ver Mapa"/>
    <hyperlink ref="L7833" r:id="rId7831" tooltip="🔗 Ver Mapa" display="🔗 Ver Mapa"/>
    <hyperlink ref="L7834" r:id="rId7832" tooltip="🔗 Ver Mapa" display="🔗 Ver Mapa"/>
    <hyperlink ref="L7835" r:id="rId7833" tooltip="🔗 Ver Mapa" display="🔗 Ver Mapa"/>
    <hyperlink ref="L7836" r:id="rId7834" tooltip="🔗 Ver Mapa" display="🔗 Ver Mapa"/>
    <hyperlink ref="L7837" r:id="rId7835" tooltip="🔗 Ver Mapa" display="🔗 Ver Mapa"/>
    <hyperlink ref="L7838" r:id="rId7836" tooltip="🔗 Ver Mapa" display="🔗 Ver Mapa"/>
    <hyperlink ref="L7839" r:id="rId7837" tooltip="🔗 Ver Mapa" display="🔗 Ver Mapa"/>
    <hyperlink ref="L7840" r:id="rId7838" tooltip="🔗 Ver Mapa" display="🔗 Ver Mapa"/>
    <hyperlink ref="L7841" r:id="rId7839" tooltip="🔗 Ver Mapa" display="🔗 Ver Mapa"/>
    <hyperlink ref="L7842" r:id="rId7840" tooltip="🔗 Ver Mapa" display="🔗 Ver Mapa"/>
    <hyperlink ref="L7843" r:id="rId7841" tooltip="🔗 Ver Mapa" display="🔗 Ver Mapa"/>
    <hyperlink ref="L7844" r:id="rId7842" tooltip="🔗 Ver Mapa" display="🔗 Ver Mapa"/>
    <hyperlink ref="L7845" r:id="rId7843" tooltip="🔗 Ver Mapa" display="🔗 Ver Mapa"/>
    <hyperlink ref="L7846" r:id="rId7844" tooltip="🔗 Ver Mapa" display="🔗 Ver Mapa"/>
    <hyperlink ref="L7847" r:id="rId7845" tooltip="🔗 Ver Mapa" display="🔗 Ver Mapa"/>
    <hyperlink ref="L7848" r:id="rId7846" tooltip="🔗 Ver Mapa" display="🔗 Ver Mapa"/>
    <hyperlink ref="L7849" r:id="rId7847" tooltip="🔗 Ver Mapa" display="🔗 Ver Mapa"/>
    <hyperlink ref="L7850" r:id="rId7848" tooltip="🔗 Ver Mapa" display="🔗 Ver Mapa"/>
    <hyperlink ref="L7851" r:id="rId7849" tooltip="🔗 Ver Mapa" display="🔗 Ver Mapa"/>
    <hyperlink ref="L7852" r:id="rId7850" tooltip="🔗 Ver Mapa" display="🔗 Ver Mapa"/>
    <hyperlink ref="L7853" r:id="rId7851" tooltip="🔗 Ver Mapa" display="🔗 Ver Mapa"/>
    <hyperlink ref="L7854" r:id="rId7852" tooltip="🔗 Ver Mapa" display="🔗 Ver Mapa"/>
    <hyperlink ref="L7855" r:id="rId7853" tooltip="🔗 Ver Mapa" display="🔗 Ver Mapa"/>
    <hyperlink ref="L7856" r:id="rId7854" tooltip="🔗 Ver Mapa" display="🔗 Ver Mapa"/>
    <hyperlink ref="L7857" r:id="rId7855" tooltip="🔗 Ver Mapa" display="🔗 Ver Mapa"/>
    <hyperlink ref="L7858" r:id="rId7856" tooltip="🔗 Ver Mapa" display="🔗 Ver Mapa"/>
    <hyperlink ref="L7859" r:id="rId7857" tooltip="🔗 Ver Mapa" display="🔗 Ver Mapa"/>
    <hyperlink ref="L7860" r:id="rId7858" tooltip="🔗 Ver Mapa" display="🔗 Ver Mapa"/>
    <hyperlink ref="L7861" r:id="rId7859" tooltip="🔗 Ver Mapa" display="🔗 Ver Mapa"/>
    <hyperlink ref="L7862" r:id="rId7860" tooltip="🔗 Ver Mapa" display="🔗 Ver Mapa"/>
    <hyperlink ref="L7863" r:id="rId7861" tooltip="🔗 Ver Mapa" display="🔗 Ver Mapa"/>
    <hyperlink ref="L7864" r:id="rId7862" tooltip="🔗 Ver Mapa" display="🔗 Ver Mapa"/>
    <hyperlink ref="L7865" r:id="rId7863" tooltip="🔗 Ver Mapa" display="🔗 Ver Mapa"/>
    <hyperlink ref="L7866" r:id="rId7864" tooltip="🔗 Ver Mapa" display="🔗 Ver Mapa"/>
    <hyperlink ref="L7867" r:id="rId7865" tooltip="🔗 Ver Mapa" display="🔗 Ver Mapa"/>
    <hyperlink ref="L7868" r:id="rId7866" tooltip="🔗 Ver Mapa" display="🔗 Ver Mapa"/>
    <hyperlink ref="L7869" r:id="rId7867" tooltip="🔗 Ver Mapa" display="🔗 Ver Mapa"/>
    <hyperlink ref="L7870" r:id="rId7868" tooltip="🔗 Ver Mapa" display="🔗 Ver Mapa"/>
    <hyperlink ref="L7871" r:id="rId7869" tooltip="🔗 Ver Mapa" display="🔗 Ver Mapa"/>
    <hyperlink ref="L7872" r:id="rId7870" tooltip="🔗 Ver Mapa" display="🔗 Ver Mapa"/>
    <hyperlink ref="L7873" r:id="rId7871" tooltip="🔗 Ver Mapa" display="🔗 Ver Mapa"/>
    <hyperlink ref="L7874" r:id="rId7872" tooltip="🔗 Ver Mapa" display="🔗 Ver Mapa"/>
    <hyperlink ref="L7875" r:id="rId7873" tooltip="🔗 Ver Mapa" display="🔗 Ver Mapa"/>
    <hyperlink ref="L7876" r:id="rId7874" tooltip="🔗 Ver Mapa" display="🔗 Ver Mapa"/>
    <hyperlink ref="L7877" r:id="rId7875" tooltip="🔗 Ver Mapa" display="🔗 Ver Mapa"/>
    <hyperlink ref="L7878" r:id="rId7876" tooltip="🔗 Ver Mapa" display="🔗 Ver Mapa"/>
    <hyperlink ref="L7879" r:id="rId7877" tooltip="🔗 Ver Mapa" display="🔗 Ver Mapa"/>
    <hyperlink ref="L7880" r:id="rId7878" tooltip="🔗 Ver Mapa" display="🔗 Ver Mapa"/>
    <hyperlink ref="L7881" r:id="rId7879" tooltip="🔗 Ver Mapa" display="🔗 Ver Mapa"/>
    <hyperlink ref="L7882" r:id="rId7880" tooltip="🔗 Ver Mapa" display="🔗 Ver Mapa"/>
    <hyperlink ref="L7883" r:id="rId7881" tooltip="🔗 Ver Mapa" display="🔗 Ver Mapa"/>
    <hyperlink ref="L7884" r:id="rId7882" tooltip="🔗 Ver Mapa" display="🔗 Ver Mapa"/>
    <hyperlink ref="L7885" r:id="rId7883" tooltip="🔗 Ver Mapa" display="🔗 Ver Mapa"/>
    <hyperlink ref="L7886" r:id="rId7884" tooltip="🔗 Ver Mapa" display="🔗 Ver Mapa"/>
    <hyperlink ref="L7887" r:id="rId7885" tooltip="🔗 Ver Mapa" display="🔗 Ver Mapa"/>
    <hyperlink ref="L7888" r:id="rId7886" tooltip="🔗 Ver Mapa" display="🔗 Ver Mapa"/>
    <hyperlink ref="L7889" r:id="rId7887" tooltip="🔗 Ver Mapa" display="🔗 Ver Mapa"/>
    <hyperlink ref="L7890" r:id="rId7888" tooltip="🔗 Ver Mapa" display="🔗 Ver Mapa"/>
    <hyperlink ref="L7891" r:id="rId7889" tooltip="🔗 Ver Mapa" display="🔗 Ver Mapa"/>
    <hyperlink ref="L7892" r:id="rId7890" tooltip="🔗 Ver Mapa" display="🔗 Ver Mapa"/>
    <hyperlink ref="L7893" r:id="rId7891" tooltip="🔗 Ver Mapa" display="🔗 Ver Mapa"/>
    <hyperlink ref="L7894" r:id="rId7892" tooltip="🔗 Ver Mapa" display="🔗 Ver Mapa"/>
    <hyperlink ref="L7895" r:id="rId7893" tooltip="🔗 Ver Mapa" display="🔗 Ver Mapa"/>
    <hyperlink ref="L7896" r:id="rId7894" tooltip="🔗 Ver Mapa" display="🔗 Ver Mapa"/>
    <hyperlink ref="L7897" r:id="rId7895" tooltip="🔗 Ver Mapa" display="🔗 Ver Mapa"/>
    <hyperlink ref="L7898" r:id="rId7896" tooltip="🔗 Ver Mapa" display="🔗 Ver Mapa"/>
    <hyperlink ref="L7899" r:id="rId7897" tooltip="🔗 Ver Mapa" display="🔗 Ver Mapa"/>
    <hyperlink ref="L7900" r:id="rId7898" tooltip="🔗 Ver Mapa" display="🔗 Ver Mapa"/>
    <hyperlink ref="L7901" r:id="rId7899" tooltip="🔗 Ver Mapa" display="🔗 Ver Mapa"/>
    <hyperlink ref="L7902" r:id="rId7900" tooltip="🔗 Ver Mapa" display="🔗 Ver Mapa"/>
    <hyperlink ref="L7903" r:id="rId7901" tooltip="🔗 Ver Mapa" display="🔗 Ver Mapa"/>
    <hyperlink ref="L7904" r:id="rId7902" tooltip="🔗 Ver Mapa" display="🔗 Ver Mapa"/>
    <hyperlink ref="L7905" r:id="rId7903" tooltip="🔗 Ver Mapa" display="🔗 Ver Mapa"/>
    <hyperlink ref="L7906" r:id="rId7904" tooltip="🔗 Ver Mapa" display="🔗 Ver Mapa"/>
    <hyperlink ref="L7907" r:id="rId7905" tooltip="🔗 Ver Mapa" display="🔗 Ver Mapa"/>
    <hyperlink ref="L7908" r:id="rId7906" tooltip="🔗 Ver Mapa" display="🔗 Ver Mapa"/>
    <hyperlink ref="L7909" r:id="rId7907" tooltip="🔗 Ver Mapa" display="🔗 Ver Mapa"/>
    <hyperlink ref="L7910" r:id="rId7908" tooltip="🔗 Ver Mapa" display="🔗 Ver Mapa"/>
    <hyperlink ref="L7911" r:id="rId7909" tooltip="🔗 Ver Mapa" display="🔗 Ver Mapa"/>
    <hyperlink ref="L7912" r:id="rId7910" tooltip="🔗 Ver Mapa" display="🔗 Ver Mapa"/>
    <hyperlink ref="L7913" r:id="rId7911" tooltip="🔗 Ver Mapa" display="🔗 Ver Mapa"/>
    <hyperlink ref="L7914" r:id="rId7912" tooltip="🔗 Ver Mapa" display="🔗 Ver Mapa"/>
    <hyperlink ref="L7915" r:id="rId7913" tooltip="🔗 Ver Mapa" display="🔗 Ver Mapa"/>
    <hyperlink ref="L7916" r:id="rId7914" tooltip="🔗 Ver Mapa" display="🔗 Ver Mapa"/>
    <hyperlink ref="L7917" r:id="rId7915" tooltip="🔗 Ver Mapa" display="🔗 Ver Mapa"/>
    <hyperlink ref="L7918" r:id="rId7916" tooltip="🔗 Ver Mapa" display="🔗 Ver Mapa"/>
    <hyperlink ref="L7919" r:id="rId7917" tooltip="🔗 Ver Mapa" display="🔗 Ver Mapa"/>
    <hyperlink ref="L7920" r:id="rId7918" tooltip="🔗 Ver Mapa" display="🔗 Ver Mapa"/>
    <hyperlink ref="L7921" r:id="rId7919" tooltip="🔗 Ver Mapa" display="🔗 Ver Mapa"/>
    <hyperlink ref="L7922" r:id="rId7920" tooltip="🔗 Ver Mapa" display="🔗 Ver Mapa"/>
    <hyperlink ref="L7923" r:id="rId7921" tooltip="🔗 Ver Mapa" display="🔗 Ver Mapa"/>
    <hyperlink ref="L7924" r:id="rId7922" tooltip="🔗 Ver Mapa" display="🔗 Ver Mapa"/>
    <hyperlink ref="L7925" r:id="rId7923" tooltip="🔗 Ver Mapa" display="🔗 Ver Mapa"/>
    <hyperlink ref="L7926" r:id="rId7924" tooltip="🔗 Ver Mapa" display="🔗 Ver Mapa"/>
    <hyperlink ref="L7927" r:id="rId7925" tooltip="🔗 Ver Mapa" display="🔗 Ver Mapa"/>
    <hyperlink ref="L7928" r:id="rId7926" tooltip="🔗 Ver Mapa" display="🔗 Ver Mapa"/>
    <hyperlink ref="L7929" r:id="rId7927" tooltip="🔗 Ver Mapa" display="🔗 Ver Mapa"/>
    <hyperlink ref="L7930" r:id="rId7928" tooltip="🔗 Ver Mapa" display="🔗 Ver Mapa"/>
    <hyperlink ref="L7931" r:id="rId7929" tooltip="🔗 Ver Mapa" display="🔗 Ver Mapa"/>
    <hyperlink ref="L7932" r:id="rId7930" tooltip="🔗 Ver Mapa" display="🔗 Ver Mapa"/>
    <hyperlink ref="L7933" r:id="rId7931" tooltip="🔗 Ver Mapa" display="🔗 Ver Mapa"/>
    <hyperlink ref="L7934" r:id="rId7932" tooltip="🔗 Ver Mapa" display="🔗 Ver Mapa"/>
    <hyperlink ref="L7935" r:id="rId7933" tooltip="🔗 Ver Mapa" display="🔗 Ver Mapa"/>
    <hyperlink ref="L7936" r:id="rId7934" tooltip="🔗 Ver Mapa" display="🔗 Ver Mapa"/>
    <hyperlink ref="L7937" r:id="rId7935" tooltip="🔗 Ver Mapa" display="🔗 Ver Mapa"/>
    <hyperlink ref="L7938" r:id="rId7936" tooltip="🔗 Ver Mapa" display="🔗 Ver Mapa"/>
    <hyperlink ref="L7939" r:id="rId7937" tooltip="🔗 Ver Mapa" display="🔗 Ver Mapa"/>
    <hyperlink ref="L7940" r:id="rId7938" tooltip="🔗 Ver Mapa" display="🔗 Ver Mapa"/>
    <hyperlink ref="L7941" r:id="rId7939" tooltip="🔗 Ver Mapa" display="🔗 Ver Mapa"/>
    <hyperlink ref="L7942" r:id="rId7940" tooltip="🔗 Ver Mapa" display="🔗 Ver Mapa"/>
    <hyperlink ref="L7943" r:id="rId7941" tooltip="🔗 Ver Mapa" display="🔗 Ver Mapa"/>
    <hyperlink ref="L7944" r:id="rId7942" tooltip="🔗 Ver Mapa" display="🔗 Ver Mapa"/>
    <hyperlink ref="L7945" r:id="rId7943" tooltip="🔗 Ver Mapa" display="🔗 Ver Mapa"/>
    <hyperlink ref="L7946" r:id="rId7944" tooltip="🔗 Ver Mapa" display="🔗 Ver Mapa"/>
    <hyperlink ref="L7947" r:id="rId7945" tooltip="🔗 Ver Mapa" display="🔗 Ver Mapa"/>
    <hyperlink ref="L7948" r:id="rId7946" tooltip="🔗 Ver Mapa" display="🔗 Ver Mapa"/>
    <hyperlink ref="L7949" r:id="rId7947" tooltip="🔗 Ver Mapa" display="🔗 Ver Mapa"/>
    <hyperlink ref="L7950" r:id="rId7948" tooltip="🔗 Ver Mapa" display="🔗 Ver Mapa"/>
    <hyperlink ref="L7951" r:id="rId7949" tooltip="🔗 Ver Mapa" display="🔗 Ver Mapa"/>
    <hyperlink ref="L7952" r:id="rId7950" tooltip="🔗 Ver Mapa" display="🔗 Ver Mapa"/>
    <hyperlink ref="L7953" r:id="rId7951" tooltip="🔗 Ver Mapa" display="🔗 Ver Mapa"/>
    <hyperlink ref="L7954" r:id="rId7952" tooltip="🔗 Ver Mapa" display="🔗 Ver Mapa"/>
    <hyperlink ref="L7955" r:id="rId7953" tooltip="🔗 Ver Mapa" display="🔗 Ver Mapa"/>
    <hyperlink ref="L7956" r:id="rId7954" tooltip="🔗 Ver Mapa" display="🔗 Ver Mapa"/>
    <hyperlink ref="L7957" r:id="rId7955" tooltip="🔗 Ver Mapa" display="🔗 Ver Mapa"/>
    <hyperlink ref="L7958" r:id="rId7956" tooltip="🔗 Ver Mapa" display="🔗 Ver Mapa"/>
    <hyperlink ref="L7959" r:id="rId7957" tooltip="🔗 Ver Mapa" display="🔗 Ver Mapa"/>
    <hyperlink ref="L7960" r:id="rId7958" tooltip="🔗 Ver Mapa" display="🔗 Ver Mapa"/>
    <hyperlink ref="L7961" r:id="rId7959" tooltip="🔗 Ver Mapa" display="🔗 Ver Mapa"/>
    <hyperlink ref="L7962" r:id="rId7960" tooltip="🔗 Ver Mapa" display="🔗 Ver Mapa"/>
    <hyperlink ref="L7963" r:id="rId7961" tooltip="🔗 Ver Mapa" display="🔗 Ver Mapa"/>
    <hyperlink ref="L7964" r:id="rId7962" tooltip="🔗 Ver Mapa" display="🔗 Ver Mapa"/>
    <hyperlink ref="L7965" r:id="rId7963" tooltip="🔗 Ver Mapa" display="🔗 Ver Mapa"/>
    <hyperlink ref="L7966" r:id="rId7964" tooltip="🔗 Ver Mapa" display="🔗 Ver Mapa"/>
    <hyperlink ref="L7967" r:id="rId7965" tooltip="🔗 Ver Mapa" display="🔗 Ver Mapa"/>
    <hyperlink ref="L7968" r:id="rId7966" tooltip="🔗 Ver Mapa" display="🔗 Ver Mapa"/>
    <hyperlink ref="L7969" r:id="rId7967" tooltip="🔗 Ver Mapa" display="🔗 Ver Mapa"/>
    <hyperlink ref="L7970" r:id="rId7968" tooltip="🔗 Ver Mapa" display="🔗 Ver Mapa"/>
    <hyperlink ref="L7971" r:id="rId7969" tooltip="🔗 Ver Mapa" display="🔗 Ver Mapa"/>
    <hyperlink ref="L7972" r:id="rId7970" tooltip="🔗 Ver Mapa" display="🔗 Ver Mapa"/>
    <hyperlink ref="L7973" r:id="rId7971" tooltip="🔗 Ver Mapa" display="🔗 Ver Mapa"/>
    <hyperlink ref="L7974" r:id="rId7972" tooltip="🔗 Ver Mapa" display="🔗 Ver Mapa"/>
    <hyperlink ref="L7975" r:id="rId7973" tooltip="🔗 Ver Mapa" display="🔗 Ver Mapa"/>
    <hyperlink ref="L7976" r:id="rId7974" tooltip="🔗 Ver Mapa" display="🔗 Ver Mapa"/>
    <hyperlink ref="L7977" r:id="rId7975" tooltip="🔗 Ver Mapa" display="🔗 Ver Mapa"/>
    <hyperlink ref="L7978" r:id="rId7976" tooltip="🔗 Ver Mapa" display="🔗 Ver Mapa"/>
    <hyperlink ref="L7979" r:id="rId7977" tooltip="🔗 Ver Mapa" display="🔗 Ver Mapa"/>
    <hyperlink ref="L7980" r:id="rId7978" tooltip="🔗 Ver Mapa" display="🔗 Ver Mapa"/>
    <hyperlink ref="L7981" r:id="rId7979" tooltip="🔗 Ver Mapa" display="🔗 Ver Mapa"/>
    <hyperlink ref="L7982" r:id="rId7980" tooltip="🔗 Ver Mapa" display="🔗 Ver Mapa"/>
    <hyperlink ref="L7983" r:id="rId7981" tooltip="🔗 Ver Mapa" display="🔗 Ver Mapa"/>
    <hyperlink ref="L7984" r:id="rId7982" tooltip="🔗 Ver Mapa" display="🔗 Ver Mapa"/>
    <hyperlink ref="L7985" r:id="rId7983" tooltip="🔗 Ver Mapa" display="🔗 Ver Mapa"/>
    <hyperlink ref="L7986" r:id="rId7984" tooltip="🔗 Ver Mapa" display="🔗 Ver Mapa"/>
    <hyperlink ref="L7987" r:id="rId7985" tooltip="🔗 Ver Mapa" display="🔗 Ver Mapa"/>
    <hyperlink ref="L7988" r:id="rId7986" tooltip="🔗 Ver Mapa" display="🔗 Ver Mapa"/>
    <hyperlink ref="L7989" r:id="rId7987" tooltip="🔗 Ver Mapa" display="🔗 Ver Mapa"/>
    <hyperlink ref="L7990" r:id="rId7988" tooltip="🔗 Ver Mapa" display="🔗 Ver Mapa"/>
    <hyperlink ref="L7991" r:id="rId7989" tooltip="🔗 Ver Mapa" display="🔗 Ver Mapa"/>
    <hyperlink ref="L7992" r:id="rId7990" tooltip="🔗 Ver Mapa" display="🔗 Ver Mapa"/>
    <hyperlink ref="L7993" r:id="rId7991" tooltip="🔗 Ver Mapa" display="🔗 Ver Mapa"/>
    <hyperlink ref="L7994" r:id="rId7992" tooltip="🔗 Ver Mapa" display="🔗 Ver Mapa"/>
    <hyperlink ref="L7995" r:id="rId7993" tooltip="🔗 Ver Mapa" display="🔗 Ver Mapa"/>
    <hyperlink ref="L7996" r:id="rId7994" tooltip="🔗 Ver Mapa" display="🔗 Ver Mapa"/>
    <hyperlink ref="L7997" r:id="rId7995" tooltip="🔗 Ver Mapa" display="🔗 Ver Mapa"/>
    <hyperlink ref="L7998" r:id="rId7996" tooltip="🔗 Ver Mapa" display="🔗 Ver Mapa"/>
    <hyperlink ref="L7999" r:id="rId7997" tooltip="🔗 Ver Mapa" display="🔗 Ver Mapa"/>
    <hyperlink ref="L8000" r:id="rId7998" tooltip="🔗 Ver Mapa" display="🔗 Ver Mapa"/>
    <hyperlink ref="L8001" r:id="rId7999" tooltip="🔗 Ver Mapa" display="🔗 Ver Mapa"/>
    <hyperlink ref="L8002" r:id="rId8000" tooltip="🔗 Ver Mapa" display="🔗 Ver Mapa"/>
    <hyperlink ref="L8003" r:id="rId8001" tooltip="🔗 Ver Mapa" display="🔗 Ver Mapa"/>
    <hyperlink ref="L8004" r:id="rId8002" tooltip="🔗 Ver Mapa" display="🔗 Ver Mapa"/>
    <hyperlink ref="L8005" r:id="rId8003" tooltip="🔗 Ver Mapa" display="🔗 Ver Mapa"/>
    <hyperlink ref="L8006" r:id="rId8004" tooltip="🔗 Ver Mapa" display="🔗 Ver Mapa"/>
    <hyperlink ref="L8007" r:id="rId8005" tooltip="🔗 Ver Mapa" display="🔗 Ver Mapa"/>
    <hyperlink ref="L8008" r:id="rId8006" tooltip="🔗 Ver Mapa" display="🔗 Ver Mapa"/>
    <hyperlink ref="L8009" r:id="rId8007" tooltip="🔗 Ver Mapa" display="🔗 Ver Mapa"/>
    <hyperlink ref="L8010" r:id="rId8008" tooltip="🔗 Ver Mapa" display="🔗 Ver Mapa"/>
    <hyperlink ref="L8011" r:id="rId8009" tooltip="🔗 Ver Mapa" display="🔗 Ver Mapa"/>
    <hyperlink ref="L8012" r:id="rId8010" tooltip="🔗 Ver Mapa" display="🔗 Ver Mapa"/>
    <hyperlink ref="L8013" r:id="rId8011" tooltip="🔗 Ver Mapa" display="🔗 Ver Mapa"/>
    <hyperlink ref="L8014" r:id="rId8012" tooltip="🔗 Ver Mapa" display="🔗 Ver Mapa"/>
    <hyperlink ref="L8015" r:id="rId8013" tooltip="🔗 Ver Mapa" display="🔗 Ver Mapa"/>
    <hyperlink ref="L8016" r:id="rId8014" tooltip="🔗 Ver Mapa" display="🔗 Ver Mapa"/>
    <hyperlink ref="L8017" r:id="rId8015" tooltip="🔗 Ver Mapa" display="🔗 Ver Mapa"/>
    <hyperlink ref="L8018" r:id="rId8016" tooltip="🔗 Ver Mapa" display="🔗 Ver Mapa"/>
    <hyperlink ref="L8019" r:id="rId8017" tooltip="🔗 Ver Mapa" display="🔗 Ver Mapa"/>
    <hyperlink ref="L8020" r:id="rId8018" tooltip="🔗 Ver Mapa" display="🔗 Ver Mapa"/>
    <hyperlink ref="L8021" r:id="rId8019" tooltip="🔗 Ver Mapa" display="🔗 Ver Mapa"/>
    <hyperlink ref="L8022" r:id="rId8020" tooltip="🔗 Ver Mapa" display="🔗 Ver Mapa"/>
    <hyperlink ref="L8023" r:id="rId8021" tooltip="🔗 Ver Mapa" display="🔗 Ver Mapa"/>
    <hyperlink ref="L8024" r:id="rId8022" tooltip="🔗 Ver Mapa" display="🔗 Ver Mapa"/>
    <hyperlink ref="L8025" r:id="rId8023" tooltip="🔗 Ver Mapa" display="🔗 Ver Mapa"/>
    <hyperlink ref="L8026" r:id="rId8024" tooltip="🔗 Ver Mapa" display="🔗 Ver Mapa"/>
    <hyperlink ref="L8027" r:id="rId8025" tooltip="🔗 Ver Mapa" display="🔗 Ver Mapa"/>
    <hyperlink ref="L8028" r:id="rId8026" tooltip="🔗 Ver Mapa" display="🔗 Ver Mapa"/>
    <hyperlink ref="L8029" r:id="rId8027" tooltip="🔗 Ver Mapa" display="🔗 Ver Mapa"/>
    <hyperlink ref="L8030" r:id="rId8028" tooltip="🔗 Ver Mapa" display="🔗 Ver Mapa"/>
    <hyperlink ref="L8031" r:id="rId8029" tooltip="🔗 Ver Mapa" display="🔗 Ver Mapa"/>
    <hyperlink ref="L8032" r:id="rId8030" tooltip="🔗 Ver Mapa" display="🔗 Ver Mapa"/>
    <hyperlink ref="L8033" r:id="rId8031" tooltip="🔗 Ver Mapa" display="🔗 Ver Mapa"/>
    <hyperlink ref="L8034" r:id="rId8032" tooltip="🔗 Ver Mapa" display="🔗 Ver Mapa"/>
    <hyperlink ref="L8035" r:id="rId8033" tooltip="🔗 Ver Mapa" display="🔗 Ver Mapa"/>
    <hyperlink ref="L8036" r:id="rId8034" tooltip="🔗 Ver Mapa" display="🔗 Ver Mapa"/>
    <hyperlink ref="L8037" r:id="rId8035" tooltip="🔗 Ver Mapa" display="🔗 Ver Mapa"/>
    <hyperlink ref="L8038" r:id="rId8036" tooltip="🔗 Ver Mapa" display="🔗 Ver Mapa"/>
    <hyperlink ref="L8039" r:id="rId8037" tooltip="🔗 Ver Mapa" display="🔗 Ver Mapa"/>
    <hyperlink ref="L8040" r:id="rId8038" tooltip="🔗 Ver Mapa" display="🔗 Ver Mapa"/>
    <hyperlink ref="L8041" r:id="rId8039" tooltip="🔗 Ver Mapa" display="🔗 Ver Mapa"/>
    <hyperlink ref="L8042" r:id="rId8040" tooltip="🔗 Ver Mapa" display="🔗 Ver Mapa"/>
    <hyperlink ref="L8043" r:id="rId8041" tooltip="🔗 Ver Mapa" display="🔗 Ver Mapa"/>
    <hyperlink ref="L8044" r:id="rId8042" tooltip="🔗 Ver Mapa" display="🔗 Ver Mapa"/>
    <hyperlink ref="L8045" r:id="rId8043" tooltip="🔗 Ver Mapa" display="🔗 Ver Mapa"/>
    <hyperlink ref="L8046" r:id="rId8044" tooltip="🔗 Ver Mapa" display="🔗 Ver Mapa"/>
    <hyperlink ref="L8047" r:id="rId8045" tooltip="🔗 Ver Mapa" display="🔗 Ver Mapa"/>
    <hyperlink ref="L8048" r:id="rId8046" tooltip="🔗 Ver Mapa" display="🔗 Ver Mapa"/>
    <hyperlink ref="L8049" r:id="rId8047" tooltip="🔗 Ver Mapa" display="🔗 Ver Mapa"/>
    <hyperlink ref="L8050" r:id="rId8048" tooltip="🔗 Ver Mapa" display="🔗 Ver Mapa"/>
    <hyperlink ref="L8051" r:id="rId8049" tooltip="🔗 Ver Mapa" display="🔗 Ver Mapa"/>
    <hyperlink ref="L8052" r:id="rId8050" tooltip="🔗 Ver Mapa" display="🔗 Ver Mapa"/>
    <hyperlink ref="L8053" r:id="rId8051" tooltip="🔗 Ver Mapa" display="🔗 Ver Mapa"/>
    <hyperlink ref="L8054" r:id="rId8052" tooltip="🔗 Ver Mapa" display="🔗 Ver Mapa"/>
    <hyperlink ref="L8055" r:id="rId8053" tooltip="🔗 Ver Mapa" display="🔗 Ver Mapa"/>
    <hyperlink ref="L8056" r:id="rId8054" tooltip="🔗 Ver Mapa" display="🔗 Ver Mapa"/>
    <hyperlink ref="L8057" r:id="rId8055" tooltip="🔗 Ver Mapa" display="🔗 Ver Mapa"/>
    <hyperlink ref="L8058" r:id="rId8056" tooltip="🔗 Ver Mapa" display="🔗 Ver Mapa"/>
    <hyperlink ref="L8059" r:id="rId8057" tooltip="🔗 Ver Mapa" display="🔗 Ver Mapa"/>
    <hyperlink ref="L8060" r:id="rId8058" tooltip="🔗 Ver Mapa" display="🔗 Ver Mapa"/>
    <hyperlink ref="L8061" r:id="rId8059" tooltip="🔗 Ver Mapa" display="🔗 Ver Mapa"/>
    <hyperlink ref="L8062" r:id="rId8060" tooltip="🔗 Ver Mapa" display="🔗 Ver Mapa"/>
    <hyperlink ref="L8063" r:id="rId8061" tooltip="🔗 Ver Mapa" display="🔗 Ver Mapa"/>
    <hyperlink ref="L8064" r:id="rId8062" tooltip="🔗 Ver Mapa" display="🔗 Ver Mapa"/>
    <hyperlink ref="L8065" r:id="rId8063" tooltip="🔗 Ver Mapa" display="🔗 Ver Mapa"/>
    <hyperlink ref="L8066" r:id="rId8064" tooltip="🔗 Ver Mapa" display="🔗 Ver Mapa"/>
    <hyperlink ref="L8067" r:id="rId8065" tooltip="🔗 Ver Mapa" display="🔗 Ver Mapa"/>
    <hyperlink ref="L8068" r:id="rId8066" tooltip="🔗 Ver Mapa" display="🔗 Ver Mapa"/>
    <hyperlink ref="L8069" r:id="rId8067" tooltip="🔗 Ver Mapa" display="🔗 Ver Mapa"/>
    <hyperlink ref="L8070" r:id="rId8068" tooltip="🔗 Ver Mapa" display="🔗 Ver Mapa"/>
    <hyperlink ref="L8071" r:id="rId8069" tooltip="🔗 Ver Mapa" display="🔗 Ver Mapa"/>
    <hyperlink ref="L8072" r:id="rId8070" tooltip="🔗 Ver Mapa" display="🔗 Ver Mapa"/>
    <hyperlink ref="L8073" r:id="rId8071" tooltip="🔗 Ver Mapa" display="🔗 Ver Mapa"/>
    <hyperlink ref="L8074" r:id="rId8072" tooltip="🔗 Ver Mapa" display="🔗 Ver Mapa"/>
    <hyperlink ref="L8075" r:id="rId8073" tooltip="🔗 Ver Mapa" display="🔗 Ver Mapa"/>
    <hyperlink ref="L8076" r:id="rId8074" tooltip="🔗 Ver Mapa" display="🔗 Ver Mapa"/>
    <hyperlink ref="L8077" r:id="rId8075" tooltip="🔗 Ver Mapa" display="🔗 Ver Mapa"/>
    <hyperlink ref="L8078" r:id="rId8076" tooltip="🔗 Ver Mapa" display="🔗 Ver Mapa"/>
    <hyperlink ref="L8079" r:id="rId8077" tooltip="🔗 Ver Mapa" display="🔗 Ver Mapa"/>
    <hyperlink ref="L8080" r:id="rId8078" tooltip="🔗 Ver Mapa" display="🔗 Ver Mapa"/>
    <hyperlink ref="L8081" r:id="rId8079" tooltip="🔗 Ver Mapa" display="🔗 Ver Mapa"/>
    <hyperlink ref="L8082" r:id="rId8080" tooltip="🔗 Ver Mapa" display="🔗 Ver Mapa"/>
    <hyperlink ref="L8083" r:id="rId8081" tooltip="🔗 Ver Mapa" display="🔗 Ver Mapa"/>
    <hyperlink ref="L8084" r:id="rId8082" tooltip="🔗 Ver Mapa" display="🔗 Ver Mapa"/>
    <hyperlink ref="L8085" r:id="rId8083" tooltip="🔗 Ver Mapa" display="🔗 Ver Mapa"/>
    <hyperlink ref="L8086" r:id="rId8084" tooltip="🔗 Ver Mapa" display="🔗 Ver Mapa"/>
    <hyperlink ref="L8087" r:id="rId8085" tooltip="🔗 Ver Mapa" display="🔗 Ver Mapa"/>
    <hyperlink ref="L8088" r:id="rId8086" tooltip="🔗 Ver Mapa" display="🔗 Ver Mapa"/>
    <hyperlink ref="L8089" r:id="rId8087" tooltip="🔗 Ver Mapa" display="🔗 Ver Mapa"/>
    <hyperlink ref="L8090" r:id="rId8088" tooltip="🔗 Ver Mapa" display="🔗 Ver Mapa"/>
    <hyperlink ref="L8091" r:id="rId8089" tooltip="🔗 Ver Mapa" display="🔗 Ver Mapa"/>
    <hyperlink ref="L8092" r:id="rId8090" tooltip="🔗 Ver Mapa" display="🔗 Ver Mapa"/>
    <hyperlink ref="L8093" r:id="rId8091" tooltip="🔗 Ver Mapa" display="🔗 Ver Mapa"/>
    <hyperlink ref="L8094" r:id="rId8092" tooltip="🔗 Ver Mapa" display="🔗 Ver Mapa"/>
    <hyperlink ref="L8095" r:id="rId8093" tooltip="🔗 Ver Mapa" display="🔗 Ver Mapa"/>
    <hyperlink ref="L8096" r:id="rId8094" tooltip="🔗 Ver Mapa" display="🔗 Ver Mapa"/>
    <hyperlink ref="L8097" r:id="rId8095" tooltip="🔗 Ver Mapa" display="🔗 Ver Mapa"/>
    <hyperlink ref="L8098" r:id="rId8096" tooltip="🔗 Ver Mapa" display="🔗 Ver Mapa"/>
    <hyperlink ref="L8099" r:id="rId8097" tooltip="🔗 Ver Mapa" display="🔗 Ver Mapa"/>
    <hyperlink ref="L8100" r:id="rId8098" tooltip="🔗 Ver Mapa" display="🔗 Ver Mapa"/>
    <hyperlink ref="L8101" r:id="rId8099" tooltip="🔗 Ver Mapa" display="🔗 Ver Mapa"/>
    <hyperlink ref="L8102" r:id="rId8100" tooltip="🔗 Ver Mapa" display="🔗 Ver Mapa"/>
    <hyperlink ref="L8103" r:id="rId8101" tooltip="🔗 Ver Mapa" display="🔗 Ver Mapa"/>
    <hyperlink ref="L8104" r:id="rId8102" tooltip="🔗 Ver Mapa" display="🔗 Ver Mapa"/>
    <hyperlink ref="L8105" r:id="rId8103" tooltip="🔗 Ver Mapa" display="🔗 Ver Mapa"/>
    <hyperlink ref="L8106" r:id="rId8104" tooltip="🔗 Ver Mapa" display="🔗 Ver Mapa"/>
    <hyperlink ref="L8107" r:id="rId8105" tooltip="🔗 Ver Mapa" display="🔗 Ver Mapa"/>
    <hyperlink ref="L8108" r:id="rId8106" tooltip="🔗 Ver Mapa" display="🔗 Ver Mapa"/>
    <hyperlink ref="L8109" r:id="rId8107" tooltip="🔗 Ver Mapa" display="🔗 Ver Mapa"/>
    <hyperlink ref="L8110" r:id="rId8108" tooltip="🔗 Ver Mapa" display="🔗 Ver Mapa"/>
    <hyperlink ref="L8111" r:id="rId8109" tooltip="🔗 Ver Mapa" display="🔗 Ver Mapa"/>
    <hyperlink ref="L8112" r:id="rId8110" tooltip="🔗 Ver Mapa" display="🔗 Ver Mapa"/>
    <hyperlink ref="L8113" r:id="rId8111" tooltip="🔗 Ver Mapa" display="🔗 Ver Mapa"/>
    <hyperlink ref="L8114" r:id="rId8112" tooltip="🔗 Ver Mapa" display="🔗 Ver Mapa"/>
    <hyperlink ref="L8115" r:id="rId8113" tooltip="🔗 Ver Mapa" display="🔗 Ver Mapa"/>
    <hyperlink ref="L8116" r:id="rId8114" tooltip="🔗 Ver Mapa" display="🔗 Ver Mapa"/>
    <hyperlink ref="L8117" r:id="rId8115" tooltip="🔗 Ver Mapa" display="🔗 Ver Mapa"/>
    <hyperlink ref="L8118" r:id="rId8116" tooltip="🔗 Ver Mapa" display="🔗 Ver Mapa"/>
    <hyperlink ref="L8119" r:id="rId8117" tooltip="🔗 Ver Mapa" display="🔗 Ver Mapa"/>
    <hyperlink ref="L8120" r:id="rId8118" tooltip="🔗 Ver Mapa" display="🔗 Ver Mapa"/>
    <hyperlink ref="L8121" r:id="rId8119" tooltip="🔗 Ver Mapa" display="🔗 Ver Mapa"/>
    <hyperlink ref="L8122" r:id="rId8120" tooltip="🔗 Ver Mapa" display="🔗 Ver Mapa"/>
    <hyperlink ref="L8123" r:id="rId8121" tooltip="🔗 Ver Mapa" display="🔗 Ver Mapa"/>
    <hyperlink ref="L8124" r:id="rId8122" tooltip="🔗 Ver Mapa" display="🔗 Ver Mapa"/>
    <hyperlink ref="L8125" r:id="rId8123" tooltip="🔗 Ver Mapa" display="🔗 Ver Mapa"/>
    <hyperlink ref="L8126" r:id="rId8124" tooltip="🔗 Ver Mapa" display="🔗 Ver Mapa"/>
    <hyperlink ref="L8127" r:id="rId8125" tooltip="🔗 Ver Mapa" display="🔗 Ver Mapa"/>
    <hyperlink ref="L8128" r:id="rId8126" tooltip="🔗 Ver Mapa" display="🔗 Ver Mapa"/>
    <hyperlink ref="L8129" r:id="rId8127" tooltip="🔗 Ver Mapa" display="🔗 Ver Mapa"/>
    <hyperlink ref="L8130" r:id="rId8128" tooltip="🔗 Ver Mapa" display="🔗 Ver Mapa"/>
    <hyperlink ref="L8131" r:id="rId8129" tooltip="🔗 Ver Mapa" display="🔗 Ver Mapa"/>
    <hyperlink ref="L8132" r:id="rId8130" tooltip="🔗 Ver Mapa" display="🔗 Ver Mapa"/>
    <hyperlink ref="L8133" r:id="rId8131" tooltip="🔗 Ver Mapa" display="🔗 Ver Mapa"/>
    <hyperlink ref="L8134" r:id="rId8132" tooltip="🔗 Ver Mapa" display="🔗 Ver Mapa"/>
    <hyperlink ref="L8135" r:id="rId8133" tooltip="🔗 Ver Mapa" display="🔗 Ver Mapa"/>
    <hyperlink ref="L8136" r:id="rId8134" tooltip="🔗 Ver Mapa" display="🔗 Ver Mapa"/>
    <hyperlink ref="L8137" r:id="rId8135" tooltip="🔗 Ver Mapa" display="🔗 Ver Mapa"/>
    <hyperlink ref="L8138" r:id="rId8136" tooltip="🔗 Ver Mapa" display="🔗 Ver Mapa"/>
    <hyperlink ref="L8139" r:id="rId8137" tooltip="🔗 Ver Mapa" display="🔗 Ver Mapa"/>
    <hyperlink ref="L8140" r:id="rId8138" tooltip="🔗 Ver Mapa" display="🔗 Ver Mapa"/>
    <hyperlink ref="L8141" r:id="rId8139" tooltip="🔗 Ver Mapa" display="🔗 Ver Mapa"/>
    <hyperlink ref="L8142" r:id="rId8140" tooltip="🔗 Ver Mapa" display="🔗 Ver Mapa"/>
    <hyperlink ref="L8143" r:id="rId8141" tooltip="🔗 Ver Mapa" display="🔗 Ver Mapa"/>
    <hyperlink ref="L8144" r:id="rId8142" tooltip="🔗 Ver Mapa" display="🔗 Ver Mapa"/>
    <hyperlink ref="L8145" r:id="rId8143" tooltip="🔗 Ver Mapa" display="🔗 Ver Mapa"/>
    <hyperlink ref="L8146" r:id="rId8144" tooltip="🔗 Ver Mapa" display="🔗 Ver Mapa"/>
    <hyperlink ref="L8147" r:id="rId8145" tooltip="🔗 Ver Mapa" display="🔗 Ver Mapa"/>
    <hyperlink ref="L8148" r:id="rId8146" tooltip="🔗 Ver Mapa" display="🔗 Ver Mapa"/>
    <hyperlink ref="L8149" r:id="rId8147" tooltip="🔗 Ver Mapa" display="🔗 Ver Mapa"/>
    <hyperlink ref="L8150" r:id="rId8148" tooltip="🔗 Ver Mapa" display="🔗 Ver Mapa"/>
    <hyperlink ref="L8151" r:id="rId8149" tooltip="🔗 Ver Mapa" display="🔗 Ver Mapa"/>
    <hyperlink ref="L8152" r:id="rId8150" tooltip="🔗 Ver Mapa" display="🔗 Ver Mapa"/>
    <hyperlink ref="L8153" r:id="rId8151" tooltip="🔗 Ver Mapa" display="🔗 Ver Mapa"/>
    <hyperlink ref="L8154" r:id="rId8152" tooltip="🔗 Ver Mapa" display="🔗 Ver Mapa"/>
    <hyperlink ref="L8155" r:id="rId8153" tooltip="🔗 Ver Mapa" display="🔗 Ver Mapa"/>
    <hyperlink ref="L8156" r:id="rId8154" tooltip="🔗 Ver Mapa" display="🔗 Ver Mapa"/>
    <hyperlink ref="L8157" r:id="rId8155" tooltip="🔗 Ver Mapa" display="🔗 Ver Mapa"/>
    <hyperlink ref="L8158" r:id="rId8156" tooltip="🔗 Ver Mapa" display="🔗 Ver Mapa"/>
    <hyperlink ref="L8159" r:id="rId8157" tooltip="🔗 Ver Mapa" display="🔗 Ver Mapa"/>
    <hyperlink ref="L8160" r:id="rId8158" tooltip="🔗 Ver Mapa" display="🔗 Ver Mapa"/>
    <hyperlink ref="L8161" r:id="rId8159" tooltip="🔗 Ver Mapa" display="🔗 Ver Mapa"/>
    <hyperlink ref="L8162" r:id="rId8160" tooltip="🔗 Ver Mapa" display="🔗 Ver Mapa"/>
    <hyperlink ref="L8163" r:id="rId8161" tooltip="🔗 Ver Mapa" display="🔗 Ver Mapa"/>
    <hyperlink ref="L8164" r:id="rId8162" tooltip="🔗 Ver Mapa" display="🔗 Ver Mapa"/>
    <hyperlink ref="L8165" r:id="rId8163" tooltip="🔗 Ver Mapa" display="🔗 Ver Mapa"/>
    <hyperlink ref="L8166" r:id="rId8164" tooltip="🔗 Ver Mapa" display="🔗 Ver Mapa"/>
    <hyperlink ref="L8167" r:id="rId8165" tooltip="🔗 Ver Mapa" display="🔗 Ver Mapa"/>
    <hyperlink ref="L8168" r:id="rId8166" tooltip="🔗 Ver Mapa" display="🔗 Ver Mapa"/>
    <hyperlink ref="L8169" r:id="rId8167" tooltip="🔗 Ver Mapa" display="🔗 Ver Mapa"/>
    <hyperlink ref="L8170" r:id="rId8168" tooltip="🔗 Ver Mapa" display="🔗 Ver Mapa"/>
    <hyperlink ref="L8171" r:id="rId8169" tooltip="🔗 Ver Mapa" display="🔗 Ver Mapa"/>
    <hyperlink ref="L8172" r:id="rId8170" tooltip="🔗 Ver Mapa" display="🔗 Ver Mapa"/>
    <hyperlink ref="L8173" r:id="rId8171" tooltip="🔗 Ver Mapa" display="🔗 Ver Mapa"/>
    <hyperlink ref="L8174" r:id="rId8172" tooltip="🔗 Ver Mapa" display="🔗 Ver Mapa"/>
    <hyperlink ref="L8175" r:id="rId8173" tooltip="🔗 Ver Mapa" display="🔗 Ver Mapa"/>
    <hyperlink ref="L8176" r:id="rId8174" tooltip="🔗 Ver Mapa" display="🔗 Ver Mapa"/>
    <hyperlink ref="L8177" r:id="rId8175" tooltip="🔗 Ver Mapa" display="🔗 Ver Mapa"/>
    <hyperlink ref="L8178" r:id="rId8176" tooltip="🔗 Ver Mapa" display="🔗 Ver Mapa"/>
    <hyperlink ref="L8179" r:id="rId8177" tooltip="🔗 Ver Mapa" display="🔗 Ver Mapa"/>
    <hyperlink ref="L8180" r:id="rId8178" tooltip="🔗 Ver Mapa" display="🔗 Ver Mapa"/>
    <hyperlink ref="L8181" r:id="rId8179" tooltip="🔗 Ver Mapa" display="🔗 Ver Mapa"/>
    <hyperlink ref="L8182" r:id="rId8180" tooltip="🔗 Ver Mapa" display="🔗 Ver Mapa"/>
    <hyperlink ref="L8183" r:id="rId8181" tooltip="🔗 Ver Mapa" display="🔗 Ver Mapa"/>
    <hyperlink ref="L8184" r:id="rId8182" tooltip="🔗 Ver Mapa" display="🔗 Ver Mapa"/>
    <hyperlink ref="L8185" r:id="rId8183" tooltip="🔗 Ver Mapa" display="🔗 Ver Mapa"/>
    <hyperlink ref="L8186" r:id="rId8184" tooltip="🔗 Ver Mapa" display="🔗 Ver Mapa"/>
    <hyperlink ref="L8187" r:id="rId8185" tooltip="🔗 Ver Mapa" display="🔗 Ver Mapa"/>
    <hyperlink ref="L8188" r:id="rId8186" tooltip="🔗 Ver Mapa" display="🔗 Ver Mapa"/>
    <hyperlink ref="L8189" r:id="rId8187" tooltip="🔗 Ver Mapa" display="🔗 Ver Mapa"/>
    <hyperlink ref="L8190" r:id="rId8188" tooltip="🔗 Ver Mapa" display="🔗 Ver Mapa"/>
    <hyperlink ref="L8191" r:id="rId8189" tooltip="🔗 Ver Mapa" display="🔗 Ver Mapa"/>
    <hyperlink ref="L8192" r:id="rId8190" tooltip="🔗 Ver Mapa" display="🔗 Ver Mapa"/>
    <hyperlink ref="L8193" r:id="rId8191" tooltip="🔗 Ver Mapa" display="🔗 Ver Mapa"/>
    <hyperlink ref="L8194" r:id="rId8192" tooltip="🔗 Ver Mapa" display="🔗 Ver Mapa"/>
    <hyperlink ref="L8195" r:id="rId8193" tooltip="🔗 Ver Mapa" display="🔗 Ver Mapa"/>
    <hyperlink ref="L8196" r:id="rId8194" tooltip="🔗 Ver Mapa" display="🔗 Ver Mapa"/>
    <hyperlink ref="L8197" r:id="rId8195" tooltip="🔗 Ver Mapa" display="🔗 Ver Mapa"/>
    <hyperlink ref="L8198" r:id="rId8196" tooltip="🔗 Ver Mapa" display="🔗 Ver Mapa"/>
    <hyperlink ref="L8199" r:id="rId8197" tooltip="🔗 Ver Mapa" display="🔗 Ver Mapa"/>
    <hyperlink ref="L8200" r:id="rId8198" tooltip="🔗 Ver Mapa" display="🔗 Ver Mapa"/>
    <hyperlink ref="L8201" r:id="rId8199" tooltip="🔗 Ver Mapa" display="🔗 Ver Mapa"/>
    <hyperlink ref="L8202" r:id="rId8200" tooltip="🔗 Ver Mapa" display="🔗 Ver Mapa"/>
    <hyperlink ref="L8203" r:id="rId8201" tooltip="🔗 Ver Mapa" display="🔗 Ver Mapa"/>
    <hyperlink ref="L8204" r:id="rId8202" tooltip="🔗 Ver Mapa" display="🔗 Ver Mapa"/>
    <hyperlink ref="L8205" r:id="rId8203" tooltip="🔗 Ver Mapa" display="🔗 Ver Mapa"/>
    <hyperlink ref="L8206" r:id="rId8204" tooltip="🔗 Ver Mapa" display="🔗 Ver Mapa"/>
    <hyperlink ref="L8207" r:id="rId8205" tooltip="🔗 Ver Mapa" display="🔗 Ver Mapa"/>
    <hyperlink ref="L8208" r:id="rId8206" tooltip="🔗 Ver Mapa" display="🔗 Ver Mapa"/>
    <hyperlink ref="L8209" r:id="rId8207" tooltip="🔗 Ver Mapa" display="🔗 Ver Mapa"/>
    <hyperlink ref="L8210" r:id="rId8208" tooltip="🔗 Ver Mapa" display="🔗 Ver Mapa"/>
    <hyperlink ref="L8211" r:id="rId8209" tooltip="🔗 Ver Mapa" display="🔗 Ver Mapa"/>
    <hyperlink ref="L8212" r:id="rId8210" tooltip="🔗 Ver Mapa" display="🔗 Ver Mapa"/>
    <hyperlink ref="L8213" r:id="rId8211" tooltip="🔗 Ver Mapa" display="🔗 Ver Mapa"/>
    <hyperlink ref="L8214" r:id="rId8212" tooltip="🔗 Ver Mapa" display="🔗 Ver Mapa"/>
    <hyperlink ref="L8215" r:id="rId8213" tooltip="🔗 Ver Mapa" display="🔗 Ver Mapa"/>
    <hyperlink ref="L8216" r:id="rId8214" tooltip="🔗 Ver Mapa" display="🔗 Ver Mapa"/>
    <hyperlink ref="L8217" r:id="rId8215" tooltip="🔗 Ver Mapa" display="🔗 Ver Mapa"/>
    <hyperlink ref="L8218" r:id="rId8216" tooltip="🔗 Ver Mapa" display="🔗 Ver Mapa"/>
    <hyperlink ref="L8219" r:id="rId8217" tooltip="🔗 Ver Mapa" display="🔗 Ver Mapa"/>
    <hyperlink ref="L8220" r:id="rId8218" tooltip="🔗 Ver Mapa" display="🔗 Ver Mapa"/>
    <hyperlink ref="L8221" r:id="rId8219" tooltip="🔗 Ver Mapa" display="🔗 Ver Mapa"/>
    <hyperlink ref="L8222" r:id="rId8220" tooltip="🔗 Ver Mapa" display="🔗 Ver Mapa"/>
    <hyperlink ref="L8223" r:id="rId8221" tooltip="🔗 Ver Mapa" display="🔗 Ver Mapa"/>
    <hyperlink ref="L8224" r:id="rId8222" tooltip="🔗 Ver Mapa" display="🔗 Ver Mapa"/>
    <hyperlink ref="L8225" r:id="rId8223" tooltip="🔗 Ver Mapa" display="🔗 Ver Mapa"/>
    <hyperlink ref="L8226" r:id="rId8224" tooltip="🔗 Ver Mapa" display="🔗 Ver Mapa"/>
    <hyperlink ref="L8227" r:id="rId8225" tooltip="🔗 Ver Mapa" display="🔗 Ver Mapa"/>
    <hyperlink ref="L8228" r:id="rId8226" tooltip="🔗 Ver Mapa" display="🔗 Ver Mapa"/>
    <hyperlink ref="L8229" r:id="rId8227" tooltip="🔗 Ver Mapa" display="🔗 Ver Mapa"/>
    <hyperlink ref="L8230" r:id="rId8228" tooltip="🔗 Ver Mapa" display="🔗 Ver Mapa"/>
    <hyperlink ref="L8231" r:id="rId8229" tooltip="🔗 Ver Mapa" display="🔗 Ver Mapa"/>
    <hyperlink ref="L8232" r:id="rId8230" tooltip="🔗 Ver Mapa" display="🔗 Ver Mapa"/>
    <hyperlink ref="L8233" r:id="rId8231" tooltip="🔗 Ver Mapa" display="🔗 Ver Mapa"/>
    <hyperlink ref="L8234" r:id="rId8232" tooltip="🔗 Ver Mapa" display="🔗 Ver Mapa"/>
    <hyperlink ref="L8235" r:id="rId8233" tooltip="🔗 Ver Mapa" display="🔗 Ver Mapa"/>
    <hyperlink ref="L8236" r:id="rId8234" tooltip="🔗 Ver Mapa" display="🔗 Ver Mapa"/>
    <hyperlink ref="L8237" r:id="rId8235" tooltip="🔗 Ver Mapa" display="🔗 Ver Mapa"/>
    <hyperlink ref="L8238" r:id="rId8236" tooltip="🔗 Ver Mapa" display="🔗 Ver Mapa"/>
    <hyperlink ref="L8239" r:id="rId8237" tooltip="🔗 Ver Mapa" display="🔗 Ver Mapa"/>
    <hyperlink ref="L8240" r:id="rId8238" tooltip="🔗 Ver Mapa" display="🔗 Ver Mapa"/>
    <hyperlink ref="L8241" r:id="rId8239" tooltip="🔗 Ver Mapa" display="🔗 Ver Mapa"/>
    <hyperlink ref="L8242" r:id="rId8240" tooltip="🔗 Ver Mapa" display="🔗 Ver Mapa"/>
    <hyperlink ref="L8243" r:id="rId8241" tooltip="🔗 Ver Mapa" display="🔗 Ver Mapa"/>
    <hyperlink ref="L8244" r:id="rId8242" tooltip="🔗 Ver Mapa" display="🔗 Ver Mapa"/>
    <hyperlink ref="L8245" r:id="rId8243" tooltip="🔗 Ver Mapa" display="🔗 Ver Mapa"/>
    <hyperlink ref="L8246" r:id="rId8244" tooltip="🔗 Ver Mapa" display="🔗 Ver Mapa"/>
    <hyperlink ref="L8247" r:id="rId8245" tooltip="🔗 Ver Mapa" display="🔗 Ver Mapa"/>
    <hyperlink ref="L8248" r:id="rId8246" tooltip="🔗 Ver Mapa" display="🔗 Ver Mapa"/>
    <hyperlink ref="L8249" r:id="rId8247" tooltip="🔗 Ver Mapa" display="🔗 Ver Mapa"/>
    <hyperlink ref="L8250" r:id="rId8248" tooltip="🔗 Ver Mapa" display="🔗 Ver Mapa"/>
    <hyperlink ref="L8251" r:id="rId8249" tooltip="🔗 Ver Mapa" display="🔗 Ver Mapa"/>
    <hyperlink ref="L8252" r:id="rId8250" tooltip="🔗 Ver Mapa" display="🔗 Ver Mapa"/>
    <hyperlink ref="L8253" r:id="rId8251" tooltip="🔗 Ver Mapa" display="🔗 Ver Mapa"/>
    <hyperlink ref="L8254" r:id="rId8252" tooltip="🔗 Ver Mapa" display="🔗 Ver Mapa"/>
    <hyperlink ref="L8255" r:id="rId8253" tooltip="🔗 Ver Mapa" display="🔗 Ver Mapa"/>
    <hyperlink ref="L8256" r:id="rId8254" tooltip="🔗 Ver Mapa" display="🔗 Ver Mapa"/>
    <hyperlink ref="L8257" r:id="rId8255" tooltip="🔗 Ver Mapa" display="🔗 Ver Mapa"/>
    <hyperlink ref="L8258" r:id="rId8256" tooltip="🔗 Ver Mapa" display="🔗 Ver Mapa"/>
    <hyperlink ref="L8259" r:id="rId8257" tooltip="🔗 Ver Mapa" display="🔗 Ver Mapa"/>
    <hyperlink ref="L8260" r:id="rId8258" tooltip="🔗 Ver Mapa" display="🔗 Ver Mapa"/>
    <hyperlink ref="L8261" r:id="rId8259" tooltip="🔗 Ver Mapa" display="🔗 Ver Mapa"/>
    <hyperlink ref="L8262" r:id="rId8260" tooltip="🔗 Ver Mapa" display="🔗 Ver Mapa"/>
    <hyperlink ref="L8263" r:id="rId8261" tooltip="🔗 Ver Mapa" display="🔗 Ver Mapa"/>
    <hyperlink ref="L8264" r:id="rId8262" tooltip="🔗 Ver Mapa" display="🔗 Ver Mapa"/>
    <hyperlink ref="L8265" r:id="rId8263" tooltip="🔗 Ver Mapa" display="🔗 Ver Mapa"/>
    <hyperlink ref="L8266" r:id="rId8264" tooltip="🔗 Ver Mapa" display="🔗 Ver Mapa"/>
    <hyperlink ref="L8267" r:id="rId8265" tooltip="🔗 Ver Mapa" display="🔗 Ver Mapa"/>
    <hyperlink ref="L8268" r:id="rId8266" tooltip="🔗 Ver Mapa" display="🔗 Ver Mapa"/>
    <hyperlink ref="L8269" r:id="rId8267" tooltip="🔗 Ver Mapa" display="🔗 Ver Mapa"/>
    <hyperlink ref="L8270" r:id="rId8268" tooltip="🔗 Ver Mapa" display="🔗 Ver Mapa"/>
    <hyperlink ref="L8271" r:id="rId8269" tooltip="🔗 Ver Mapa" display="🔗 Ver Mapa"/>
    <hyperlink ref="L8272" r:id="rId8270" tooltip="🔗 Ver Mapa" display="🔗 Ver Mapa"/>
    <hyperlink ref="L8273" r:id="rId8271" tooltip="🔗 Ver Mapa" display="🔗 Ver Mapa"/>
    <hyperlink ref="L8274" r:id="rId8272" tooltip="🔗 Ver Mapa" display="🔗 Ver Mapa"/>
    <hyperlink ref="L8275" r:id="rId8273" tooltip="🔗 Ver Mapa" display="🔗 Ver Mapa"/>
    <hyperlink ref="L8276" r:id="rId8274" tooltip="🔗 Ver Mapa" display="🔗 Ver Mapa"/>
    <hyperlink ref="L8277" r:id="rId8275" tooltip="🔗 Ver Mapa" display="🔗 Ver Mapa"/>
    <hyperlink ref="L8278" r:id="rId8276" tooltip="🔗 Ver Mapa" display="🔗 Ver Mapa"/>
    <hyperlink ref="L8279" r:id="rId8277" tooltip="🔗 Ver Mapa" display="🔗 Ver Mapa"/>
    <hyperlink ref="L8280" r:id="rId8278" tooltip="🔗 Ver Mapa" display="🔗 Ver Mapa"/>
    <hyperlink ref="L8281" r:id="rId8279" tooltip="🔗 Ver Mapa" display="🔗 Ver Mapa"/>
    <hyperlink ref="L8282" r:id="rId8280" tooltip="🔗 Ver Mapa" display="🔗 Ver Mapa"/>
    <hyperlink ref="L8283" r:id="rId8281" tooltip="🔗 Ver Mapa" display="🔗 Ver Mapa"/>
    <hyperlink ref="L8284" r:id="rId8282" tooltip="🔗 Ver Mapa" display="🔗 Ver Mapa"/>
    <hyperlink ref="L8285" r:id="rId8283" tooltip="🔗 Ver Mapa" display="🔗 Ver Mapa"/>
    <hyperlink ref="L8286" r:id="rId8284" tooltip="🔗 Ver Mapa" display="🔗 Ver Mapa"/>
    <hyperlink ref="L8287" r:id="rId8285" tooltip="🔗 Ver Mapa" display="🔗 Ver Mapa"/>
    <hyperlink ref="L8288" r:id="rId8286" tooltip="🔗 Ver Mapa" display="🔗 Ver Mapa"/>
    <hyperlink ref="L8289" r:id="rId8287" tooltip="🔗 Ver Mapa" display="🔗 Ver Mapa"/>
    <hyperlink ref="L8290" r:id="rId8288" tooltip="🔗 Ver Mapa" display="🔗 Ver Mapa"/>
    <hyperlink ref="L8291" r:id="rId8289" tooltip="🔗 Ver Mapa" display="🔗 Ver Mapa"/>
    <hyperlink ref="L8292" r:id="rId8290" tooltip="🔗 Ver Mapa" display="🔗 Ver Mapa"/>
    <hyperlink ref="L8293" r:id="rId8291" tooltip="🔗 Ver Mapa" display="🔗 Ver Mapa"/>
    <hyperlink ref="L8294" r:id="rId8292" tooltip="🔗 Ver Mapa" display="🔗 Ver Mapa"/>
    <hyperlink ref="L8295" r:id="rId8293" tooltip="🔗 Ver Mapa" display="🔗 Ver Mapa"/>
    <hyperlink ref="L8296" r:id="rId8294" tooltip="🔗 Ver Mapa" display="🔗 Ver Mapa"/>
    <hyperlink ref="L8297" r:id="rId8295" tooltip="🔗 Ver Mapa" display="🔗 Ver Mapa"/>
    <hyperlink ref="L8298" r:id="rId8296" tooltip="🔗 Ver Mapa" display="🔗 Ver Mapa"/>
    <hyperlink ref="L8299" r:id="rId8297" tooltip="🔗 Ver Mapa" display="🔗 Ver Mapa"/>
    <hyperlink ref="L8300" r:id="rId8298" tooltip="🔗 Ver Mapa" display="🔗 Ver Mapa"/>
    <hyperlink ref="L8301" r:id="rId8299" tooltip="🔗 Ver Mapa" display="🔗 Ver Mapa"/>
    <hyperlink ref="L8302" r:id="rId8300" tooltip="🔗 Ver Mapa" display="🔗 Ver Mapa"/>
    <hyperlink ref="L8303" r:id="rId8301" tooltip="🔗 Ver Mapa" display="🔗 Ver Mapa"/>
    <hyperlink ref="L8304" r:id="rId8302" tooltip="🔗 Ver Mapa" display="🔗 Ver Mapa"/>
    <hyperlink ref="L8305" r:id="rId8303" tooltip="🔗 Ver Mapa" display="🔗 Ver Mapa"/>
    <hyperlink ref="L8306" r:id="rId8304" tooltip="🔗 Ver Mapa" display="🔗 Ver Mapa"/>
    <hyperlink ref="L8307" r:id="rId8305" tooltip="🔗 Ver Mapa" display="🔗 Ver Mapa"/>
    <hyperlink ref="L8308" r:id="rId8306" tooltip="🔗 Ver Mapa" display="🔗 Ver Mapa"/>
    <hyperlink ref="L8309" r:id="rId8307" tooltip="🔗 Ver Mapa" display="🔗 Ver Mapa"/>
    <hyperlink ref="L8310" r:id="rId8308" tooltip="🔗 Ver Mapa" display="🔗 Ver Mapa"/>
    <hyperlink ref="L8311" r:id="rId8309" tooltip="🔗 Ver Mapa" display="🔗 Ver Mapa"/>
    <hyperlink ref="L8312" r:id="rId8310" tooltip="🔗 Ver Mapa" display="🔗 Ver Mapa"/>
    <hyperlink ref="L8313" r:id="rId8311" tooltip="🔗 Ver Mapa" display="🔗 Ver Mapa"/>
    <hyperlink ref="L8314" r:id="rId8312" tooltip="🔗 Ver Mapa" display="🔗 Ver Mapa"/>
    <hyperlink ref="L8315" r:id="rId8313" tooltip="🔗 Ver Mapa" display="🔗 Ver Mapa"/>
    <hyperlink ref="L8316" r:id="rId8314" tooltip="🔗 Ver Mapa" display="🔗 Ver Mapa"/>
    <hyperlink ref="L8317" r:id="rId8315" tooltip="🔗 Ver Mapa" display="🔗 Ver Mapa"/>
    <hyperlink ref="L8318" r:id="rId8316" tooltip="🔗 Ver Mapa" display="🔗 Ver Mapa"/>
    <hyperlink ref="L8319" r:id="rId8317" tooltip="🔗 Ver Mapa" display="🔗 Ver Mapa"/>
    <hyperlink ref="L8320" r:id="rId8318" tooltip="🔗 Ver Mapa" display="🔗 Ver Mapa"/>
    <hyperlink ref="L8321" r:id="rId8319" tooltip="🔗 Ver Mapa" display="🔗 Ver Mapa"/>
    <hyperlink ref="L8322" r:id="rId8320" tooltip="🔗 Ver Mapa" display="🔗 Ver Mapa"/>
    <hyperlink ref="L8323" r:id="rId8321" tooltip="🔗 Ver Mapa" display="🔗 Ver Mapa"/>
    <hyperlink ref="L8324" r:id="rId8322" tooltip="🔗 Ver Mapa" display="🔗 Ver Mapa"/>
    <hyperlink ref="L8325" r:id="rId8323" tooltip="🔗 Ver Mapa" display="🔗 Ver Mapa"/>
    <hyperlink ref="L8326" r:id="rId8324" tooltip="🔗 Ver Mapa" display="🔗 Ver Mapa"/>
    <hyperlink ref="L8327" r:id="rId8325" tooltip="🔗 Ver Mapa" display="🔗 Ver Mapa"/>
    <hyperlink ref="L8328" r:id="rId8326" tooltip="🔗 Ver Mapa" display="🔗 Ver Mapa"/>
    <hyperlink ref="L8329" r:id="rId8327" tooltip="🔗 Ver Mapa" display="🔗 Ver Mapa"/>
    <hyperlink ref="L8330" r:id="rId8328" tooltip="🔗 Ver Mapa" display="🔗 Ver Mapa"/>
    <hyperlink ref="L8331" r:id="rId8329" tooltip="🔗 Ver Mapa" display="🔗 Ver Mapa"/>
    <hyperlink ref="L8332" r:id="rId8330" tooltip="🔗 Ver Mapa" display="🔗 Ver Mapa"/>
    <hyperlink ref="L8333" r:id="rId8331" tooltip="🔗 Ver Mapa" display="🔗 Ver Mapa"/>
    <hyperlink ref="L8334" r:id="rId8332" tooltip="🔗 Ver Mapa" display="🔗 Ver Mapa"/>
    <hyperlink ref="L8335" r:id="rId8333" tooltip="🔗 Ver Mapa" display="🔗 Ver Mapa"/>
    <hyperlink ref="L8336" r:id="rId8334" tooltip="🔗 Ver Mapa" display="🔗 Ver Mapa"/>
    <hyperlink ref="L8337" r:id="rId8335" tooltip="🔗 Ver Mapa" display="🔗 Ver Mapa"/>
    <hyperlink ref="L8338" r:id="rId8336" tooltip="🔗 Ver Mapa" display="🔗 Ver Mapa"/>
    <hyperlink ref="L8339" r:id="rId8337" tooltip="🔗 Ver Mapa" display="🔗 Ver Mapa"/>
    <hyperlink ref="L8340" r:id="rId8338" tooltip="🔗 Ver Mapa" display="🔗 Ver Mapa"/>
    <hyperlink ref="L8341" r:id="rId8339" tooltip="🔗 Ver Mapa" display="🔗 Ver Mapa"/>
    <hyperlink ref="L8342" r:id="rId8340" tooltip="🔗 Ver Mapa" display="🔗 Ver Mapa"/>
    <hyperlink ref="L8343" r:id="rId8341" tooltip="🔗 Ver Mapa" display="🔗 Ver Mapa"/>
    <hyperlink ref="L8344" r:id="rId8342" tooltip="🔗 Ver Mapa" display="🔗 Ver Mapa"/>
    <hyperlink ref="L8345" r:id="rId8343" tooltip="🔗 Ver Mapa" display="🔗 Ver Mapa"/>
    <hyperlink ref="L8346" r:id="rId8344" tooltip="🔗 Ver Mapa" display="🔗 Ver Mapa"/>
    <hyperlink ref="L8347" r:id="rId8345" tooltip="🔗 Ver Mapa" display="🔗 Ver Mapa"/>
    <hyperlink ref="L8348" r:id="rId8346" tooltip="🔗 Ver Mapa" display="🔗 Ver Mapa"/>
    <hyperlink ref="L8349" r:id="rId8347" tooltip="🔗 Ver Mapa" display="🔗 Ver Mapa"/>
    <hyperlink ref="L8350" r:id="rId8348" tooltip="🔗 Ver Mapa" display="🔗 Ver Mapa"/>
    <hyperlink ref="L8351" r:id="rId8349" tooltip="🔗 Ver Mapa" display="🔗 Ver Mapa"/>
    <hyperlink ref="L8352" r:id="rId8350" tooltip="🔗 Ver Mapa" display="🔗 Ver Mapa"/>
    <hyperlink ref="L8353" r:id="rId8351" tooltip="🔗 Ver Mapa" display="🔗 Ver Mapa"/>
    <hyperlink ref="L8354" r:id="rId8352" tooltip="🔗 Ver Mapa" display="🔗 Ver Mapa"/>
    <hyperlink ref="L8355" r:id="rId8353" tooltip="🔗 Ver Mapa" display="🔗 Ver Mapa"/>
    <hyperlink ref="L8356" r:id="rId8354" tooltip="🔗 Ver Mapa" display="🔗 Ver Mapa"/>
    <hyperlink ref="L8357" r:id="rId8355" tooltip="🔗 Ver Mapa" display="🔗 Ver Mapa"/>
    <hyperlink ref="L8358" r:id="rId8356" tooltip="🔗 Ver Mapa" display="🔗 Ver Mapa"/>
    <hyperlink ref="L8359" r:id="rId8357" tooltip="🔗 Ver Mapa" display="🔗 Ver Mapa"/>
    <hyperlink ref="L8360" r:id="rId8358" tooltip="🔗 Ver Mapa" display="🔗 Ver Mapa"/>
    <hyperlink ref="L8361" r:id="rId8359" tooltip="🔗 Ver Mapa" display="🔗 Ver Mapa"/>
    <hyperlink ref="L8362" r:id="rId8360" tooltip="🔗 Ver Mapa" display="🔗 Ver Mapa"/>
    <hyperlink ref="L8363" r:id="rId8361" tooltip="🔗 Ver Mapa" display="🔗 Ver Mapa"/>
    <hyperlink ref="L8364" r:id="rId8362" tooltip="🔗 Ver Mapa" display="🔗 Ver Mapa"/>
    <hyperlink ref="L8365" r:id="rId8363" tooltip="🔗 Ver Mapa" display="🔗 Ver Mapa"/>
    <hyperlink ref="L8366" r:id="rId8364" tooltip="🔗 Ver Mapa" display="🔗 Ver Mapa"/>
    <hyperlink ref="L8367" r:id="rId8365" tooltip="🔗 Ver Mapa" display="🔗 Ver Mapa"/>
    <hyperlink ref="L8368" r:id="rId8366" tooltip="🔗 Ver Mapa" display="🔗 Ver Mapa"/>
    <hyperlink ref="L8369" r:id="rId8367" tooltip="🔗 Ver Mapa" display="🔗 Ver Mapa"/>
    <hyperlink ref="L8370" r:id="rId8368" tooltip="🔗 Ver Mapa" display="🔗 Ver Mapa"/>
    <hyperlink ref="L8371" r:id="rId8369" tooltip="🔗 Ver Mapa" display="🔗 Ver Mapa"/>
    <hyperlink ref="L8372" r:id="rId8370" tooltip="🔗 Ver Mapa" display="🔗 Ver Mapa"/>
    <hyperlink ref="L8373" r:id="rId8371" tooltip="🔗 Ver Mapa" display="🔗 Ver Mapa"/>
    <hyperlink ref="L8374" r:id="rId8372" tooltip="🔗 Ver Mapa" display="🔗 Ver Mapa"/>
    <hyperlink ref="L8375" r:id="rId8373" tooltip="🔗 Ver Mapa" display="🔗 Ver Mapa"/>
    <hyperlink ref="L8376" r:id="rId8374" tooltip="🔗 Ver Mapa" display="🔗 Ver Mapa"/>
    <hyperlink ref="L8377" r:id="rId8375" tooltip="🔗 Ver Mapa" display="🔗 Ver Mapa"/>
    <hyperlink ref="L8378" r:id="rId8376" tooltip="🔗 Ver Mapa" display="🔗 Ver Mapa"/>
    <hyperlink ref="L8379" r:id="rId8377" tooltip="🔗 Ver Mapa" display="🔗 Ver Mapa"/>
    <hyperlink ref="L8380" r:id="rId8378" tooltip="🔗 Ver Mapa" display="🔗 Ver Mapa"/>
    <hyperlink ref="L8381" r:id="rId8379" tooltip="🔗 Ver Mapa" display="🔗 Ver Mapa"/>
    <hyperlink ref="L8382" r:id="rId8380" tooltip="🔗 Ver Mapa" display="🔗 Ver Mapa"/>
    <hyperlink ref="L8383" r:id="rId8381" tooltip="🔗 Ver Mapa" display="🔗 Ver Mapa"/>
    <hyperlink ref="L8384" r:id="rId8382" tooltip="🔗 Ver Mapa" display="🔗 Ver Mapa"/>
    <hyperlink ref="L8385" r:id="rId8383" tooltip="🔗 Ver Mapa" display="🔗 Ver Mapa"/>
    <hyperlink ref="L8386" r:id="rId8384" tooltip="🔗 Ver Mapa" display="🔗 Ver Mapa"/>
    <hyperlink ref="L8387" r:id="rId8385" tooltip="🔗 Ver Mapa" display="🔗 Ver Mapa"/>
    <hyperlink ref="L8388" r:id="rId8386" tooltip="🔗 Ver Mapa" display="🔗 Ver Mapa"/>
    <hyperlink ref="L8389" r:id="rId8387" tooltip="🔗 Ver Mapa" display="🔗 Ver Mapa"/>
    <hyperlink ref="L8390" r:id="rId8388" tooltip="🔗 Ver Mapa" display="🔗 Ver Mapa"/>
    <hyperlink ref="L8391" r:id="rId8389" tooltip="🔗 Ver Mapa" display="🔗 Ver Mapa"/>
    <hyperlink ref="L8392" r:id="rId8390" tooltip="🔗 Ver Mapa" display="🔗 Ver Mapa"/>
    <hyperlink ref="L8393" r:id="rId8391" tooltip="🔗 Ver Mapa" display="🔗 Ver Mapa"/>
    <hyperlink ref="L8394" r:id="rId8392" tooltip="🔗 Ver Mapa" display="🔗 Ver Mapa"/>
    <hyperlink ref="L8395" r:id="rId8393" tooltip="🔗 Ver Mapa" display="🔗 Ver Mapa"/>
    <hyperlink ref="L8396" r:id="rId8394" tooltip="🔗 Ver Mapa" display="🔗 Ver Mapa"/>
    <hyperlink ref="L8397" r:id="rId8395" tooltip="🔗 Ver Mapa" display="🔗 Ver Mapa"/>
    <hyperlink ref="L8398" r:id="rId8396" tooltip="🔗 Ver Mapa" display="🔗 Ver Mapa"/>
    <hyperlink ref="L8399" r:id="rId8397" tooltip="🔗 Ver Mapa" display="🔗 Ver Mapa"/>
    <hyperlink ref="L8400" r:id="rId8398" tooltip="🔗 Ver Mapa" display="🔗 Ver Mapa"/>
    <hyperlink ref="L8401" r:id="rId8399" tooltip="🔗 Ver Mapa" display="🔗 Ver Mapa"/>
    <hyperlink ref="L8402" r:id="rId8400" tooltip="🔗 Ver Mapa" display="🔗 Ver Mapa"/>
    <hyperlink ref="L8403" r:id="rId8401" tooltip="🔗 Ver Mapa" display="🔗 Ver Mapa"/>
    <hyperlink ref="L8404" r:id="rId8402" tooltip="🔗 Ver Mapa" display="🔗 Ver Mapa"/>
    <hyperlink ref="L8405" r:id="rId8403" tooltip="🔗 Ver Mapa" display="🔗 Ver Mapa"/>
    <hyperlink ref="L8406" r:id="rId8404" tooltip="🔗 Ver Mapa" display="🔗 Ver Mapa"/>
    <hyperlink ref="L8407" r:id="rId8405" tooltip="🔗 Ver Mapa" display="🔗 Ver Mapa"/>
    <hyperlink ref="L8408" r:id="rId8406" tooltip="🔗 Ver Mapa" display="🔗 Ver Mapa"/>
    <hyperlink ref="L8409" r:id="rId8407" tooltip="🔗 Ver Mapa" display="🔗 Ver Mapa"/>
    <hyperlink ref="L8410" r:id="rId8408" tooltip="🔗 Ver Mapa" display="🔗 Ver Mapa"/>
    <hyperlink ref="L8411" r:id="rId8409" tooltip="🔗 Ver Mapa" display="🔗 Ver Mapa"/>
    <hyperlink ref="L8412" r:id="rId8410" tooltip="🔗 Ver Mapa" display="🔗 Ver Mapa"/>
    <hyperlink ref="L8413" r:id="rId8411" tooltip="🔗 Ver Mapa" display="🔗 Ver Mapa"/>
    <hyperlink ref="L8414" r:id="rId8412" tooltip="🔗 Ver Mapa" display="🔗 Ver Mapa"/>
    <hyperlink ref="L8415" r:id="rId8413" tooltip="🔗 Ver Mapa" display="🔗 Ver Mapa"/>
    <hyperlink ref="L8416" r:id="rId8414" tooltip="🔗 Ver Mapa" display="🔗 Ver Mapa"/>
    <hyperlink ref="L8417" r:id="rId8415" tooltip="🔗 Ver Mapa" display="🔗 Ver Mapa"/>
    <hyperlink ref="L8418" r:id="rId8416" tooltip="🔗 Ver Mapa" display="🔗 Ver Mapa"/>
    <hyperlink ref="L8419" r:id="rId8417" tooltip="🔗 Ver Mapa" display="🔗 Ver Mapa"/>
    <hyperlink ref="L8420" r:id="rId8418" tooltip="🔗 Ver Mapa" display="🔗 Ver Mapa"/>
    <hyperlink ref="L8421" r:id="rId8419" tooltip="🔗 Ver Mapa" display="🔗 Ver Mapa"/>
    <hyperlink ref="L8422" r:id="rId8420" tooltip="🔗 Ver Mapa" display="🔗 Ver Mapa"/>
    <hyperlink ref="L8423" r:id="rId8421" tooltip="🔗 Ver Mapa" display="🔗 Ver Mapa"/>
    <hyperlink ref="L8424" r:id="rId8422" tooltip="🔗 Ver Mapa" display="🔗 Ver Mapa"/>
    <hyperlink ref="L8425" r:id="rId8423" tooltip="🔗 Ver Mapa" display="🔗 Ver Mapa"/>
    <hyperlink ref="L8426" r:id="rId8424" tooltip="🔗 Ver Mapa" display="🔗 Ver Mapa"/>
    <hyperlink ref="L8427" r:id="rId8425" tooltip="🔗 Ver Mapa" display="🔗 Ver Mapa"/>
    <hyperlink ref="L8428" r:id="rId8426" tooltip="🔗 Ver Mapa" display="🔗 Ver Mapa"/>
    <hyperlink ref="L8429" r:id="rId8427" tooltip="🔗 Ver Mapa" display="🔗 Ver Mapa"/>
    <hyperlink ref="L8430" r:id="rId8428" tooltip="🔗 Ver Mapa" display="🔗 Ver Mapa"/>
    <hyperlink ref="L8431" r:id="rId8429" tooltip="🔗 Ver Mapa" display="🔗 Ver Mapa"/>
    <hyperlink ref="L8432" r:id="rId8430" tooltip="🔗 Ver Mapa" display="🔗 Ver Mapa"/>
    <hyperlink ref="L8433" r:id="rId8431" tooltip="🔗 Ver Mapa" display="🔗 Ver Mapa"/>
    <hyperlink ref="L8434" r:id="rId8432" tooltip="🔗 Ver Mapa" display="🔗 Ver Mapa"/>
    <hyperlink ref="L8435" r:id="rId8433" tooltip="🔗 Ver Mapa" display="🔗 Ver Mapa"/>
    <hyperlink ref="L8436" r:id="rId8434" tooltip="🔗 Ver Mapa" display="🔗 Ver Mapa"/>
    <hyperlink ref="L8437" r:id="rId8435" tooltip="🔗 Ver Mapa" display="🔗 Ver Mapa"/>
    <hyperlink ref="L8438" r:id="rId8436" tooltip="🔗 Ver Mapa" display="🔗 Ver Mapa"/>
    <hyperlink ref="L8439" r:id="rId8437" tooltip="🔗 Ver Mapa" display="🔗 Ver Mapa"/>
    <hyperlink ref="L8440" r:id="rId8438" tooltip="🔗 Ver Mapa" display="🔗 Ver Mapa"/>
    <hyperlink ref="L8441" r:id="rId8439" tooltip="🔗 Ver Mapa" display="🔗 Ver Mapa"/>
    <hyperlink ref="L8442" r:id="rId8440" tooltip="🔗 Ver Mapa" display="🔗 Ver Mapa"/>
    <hyperlink ref="L8443" r:id="rId8441" tooltip="🔗 Ver Mapa" display="🔗 Ver Mapa"/>
    <hyperlink ref="L8444" r:id="rId8442" tooltip="🔗 Ver Mapa" display="🔗 Ver Mapa"/>
    <hyperlink ref="L8445" r:id="rId8443" tooltip="🔗 Ver Mapa" display="🔗 Ver Mapa"/>
    <hyperlink ref="L8446" r:id="rId8444" tooltip="🔗 Ver Mapa" display="🔗 Ver Mapa"/>
    <hyperlink ref="L8447" r:id="rId8445" tooltip="🔗 Ver Mapa" display="🔗 Ver Mapa"/>
    <hyperlink ref="L8448" r:id="rId8446" tooltip="🔗 Ver Mapa" display="🔗 Ver Mapa"/>
    <hyperlink ref="L8449" r:id="rId8447" tooltip="🔗 Ver Mapa" display="🔗 Ver Mapa"/>
    <hyperlink ref="L8450" r:id="rId8448" tooltip="🔗 Ver Mapa" display="🔗 Ver Mapa"/>
    <hyperlink ref="L8451" r:id="rId8449" tooltip="🔗 Ver Mapa" display="🔗 Ver Mapa"/>
    <hyperlink ref="L8452" r:id="rId8450" tooltip="🔗 Ver Mapa" display="🔗 Ver Mapa"/>
    <hyperlink ref="L8453" r:id="rId8451" tooltip="🔗 Ver Mapa" display="🔗 Ver Mapa"/>
    <hyperlink ref="L8454" r:id="rId8452" tooltip="🔗 Ver Mapa" display="🔗 Ver Mapa"/>
    <hyperlink ref="L8455" r:id="rId8453" tooltip="🔗 Ver Mapa" display="🔗 Ver Mapa"/>
    <hyperlink ref="L8456" r:id="rId8454" tooltip="🔗 Ver Mapa" display="🔗 Ver Mapa"/>
    <hyperlink ref="L8457" r:id="rId8455" tooltip="🔗 Ver Mapa" display="🔗 Ver Mapa"/>
    <hyperlink ref="L8458" r:id="rId8456" tooltip="🔗 Ver Mapa" display="🔗 Ver Mapa"/>
    <hyperlink ref="L8459" r:id="rId8457" tooltip="🔗 Ver Mapa" display="🔗 Ver Mapa"/>
    <hyperlink ref="L8460" r:id="rId8458" tooltip="🔗 Ver Mapa" display="🔗 Ver Mapa"/>
    <hyperlink ref="L8461" r:id="rId8459" tooltip="🔗 Ver Mapa" display="🔗 Ver Mapa"/>
    <hyperlink ref="L8462" r:id="rId8460" tooltip="🔗 Ver Mapa" display="🔗 Ver Mapa"/>
    <hyperlink ref="L8463" r:id="rId8461" tooltip="🔗 Ver Mapa" display="🔗 Ver Mapa"/>
    <hyperlink ref="L8464" r:id="rId8462" tooltip="🔗 Ver Mapa" display="🔗 Ver Mapa"/>
    <hyperlink ref="L8465" r:id="rId8463" tooltip="🔗 Ver Mapa" display="🔗 Ver Mapa"/>
    <hyperlink ref="L8466" r:id="rId8464" tooltip="🔗 Ver Mapa" display="🔗 Ver Mapa"/>
    <hyperlink ref="L8467" r:id="rId8465" tooltip="🔗 Ver Mapa" display="🔗 Ver Mapa"/>
    <hyperlink ref="L8468" r:id="rId8466" tooltip="🔗 Ver Mapa" display="🔗 Ver Mapa"/>
    <hyperlink ref="L8469" r:id="rId8467" tooltip="🔗 Ver Mapa" display="🔗 Ver Mapa"/>
    <hyperlink ref="L8470" r:id="rId8468" tooltip="🔗 Ver Mapa" display="🔗 Ver Mapa"/>
    <hyperlink ref="L8471" r:id="rId8469" tooltip="🔗 Ver Mapa" display="🔗 Ver Mapa"/>
    <hyperlink ref="L8472" r:id="rId8470" tooltip="🔗 Ver Mapa" display="🔗 Ver Mapa"/>
    <hyperlink ref="L8473" r:id="rId8471" tooltip="🔗 Ver Mapa" display="🔗 Ver Mapa"/>
    <hyperlink ref="L8474" r:id="rId8472" tooltip="🔗 Ver Mapa" display="🔗 Ver Mapa"/>
    <hyperlink ref="L8475" r:id="rId8473" tooltip="🔗 Ver Mapa" display="🔗 Ver Mapa"/>
    <hyperlink ref="L8476" r:id="rId8474" tooltip="🔗 Ver Mapa" display="🔗 Ver Mapa"/>
    <hyperlink ref="L8477" r:id="rId8475" tooltip="🔗 Ver Mapa" display="🔗 Ver Mapa"/>
    <hyperlink ref="L8478" r:id="rId8476" tooltip="🔗 Ver Mapa" display="🔗 Ver Mapa"/>
    <hyperlink ref="L8479" r:id="rId8477" tooltip="🔗 Ver Mapa" display="🔗 Ver Mapa"/>
    <hyperlink ref="L8480" r:id="rId8478" tooltip="🔗 Ver Mapa" display="🔗 Ver Mapa"/>
    <hyperlink ref="L8481" r:id="rId8479" tooltip="🔗 Ver Mapa" display="🔗 Ver Mapa"/>
    <hyperlink ref="L8482" r:id="rId8480" tooltip="🔗 Ver Mapa" display="🔗 Ver Mapa"/>
    <hyperlink ref="L8483" r:id="rId8481" tooltip="🔗 Ver Mapa" display="🔗 Ver Mapa"/>
    <hyperlink ref="L8484" r:id="rId8482" tooltip="🔗 Ver Mapa" display="🔗 Ver Mapa"/>
    <hyperlink ref="L8485" r:id="rId8483" tooltip="🔗 Ver Mapa" display="🔗 Ver Mapa"/>
    <hyperlink ref="L8486" r:id="rId8484" tooltip="🔗 Ver Mapa" display="🔗 Ver Mapa"/>
    <hyperlink ref="L8487" r:id="rId8485" tooltip="🔗 Ver Mapa" display="🔗 Ver Mapa"/>
    <hyperlink ref="L8488" r:id="rId8486" tooltip="🔗 Ver Mapa" display="🔗 Ver Mapa"/>
    <hyperlink ref="L8489" r:id="rId8487" tooltip="🔗 Ver Mapa" display="🔗 Ver Mapa"/>
    <hyperlink ref="L8490" r:id="rId8488" tooltip="🔗 Ver Mapa" display="🔗 Ver Mapa"/>
    <hyperlink ref="L8491" r:id="rId8489" tooltip="🔗 Ver Mapa" display="🔗 Ver Mapa"/>
    <hyperlink ref="L8492" r:id="rId8490" tooltip="🔗 Ver Mapa" display="🔗 Ver Mapa"/>
    <hyperlink ref="L8493" r:id="rId8491" tooltip="🔗 Ver Mapa" display="🔗 Ver Mapa"/>
    <hyperlink ref="L8494" r:id="rId8492" tooltip="🔗 Ver Mapa" display="🔗 Ver Mapa"/>
    <hyperlink ref="L8495" r:id="rId8493" tooltip="🔗 Ver Mapa" display="🔗 Ver Mapa"/>
    <hyperlink ref="L8496" r:id="rId8494" tooltip="🔗 Ver Mapa" display="🔗 Ver Mapa"/>
    <hyperlink ref="L8497" r:id="rId8495" tooltip="🔗 Ver Mapa" display="🔗 Ver Mapa"/>
    <hyperlink ref="L8498" r:id="rId8496" tooltip="🔗 Ver Mapa" display="🔗 Ver Mapa"/>
    <hyperlink ref="L8499" r:id="rId8497" tooltip="🔗 Ver Mapa" display="🔗 Ver Mapa"/>
    <hyperlink ref="L8500" r:id="rId8498" tooltip="🔗 Ver Mapa" display="🔗 Ver Mapa"/>
    <hyperlink ref="L8501" r:id="rId8499" tooltip="🔗 Ver Mapa" display="🔗 Ver Mapa"/>
    <hyperlink ref="L8502" r:id="rId8500" tooltip="🔗 Ver Mapa" display="🔗 Ver Mapa"/>
    <hyperlink ref="L8503" r:id="rId8501" tooltip="🔗 Ver Mapa" display="🔗 Ver Mapa"/>
    <hyperlink ref="L8504" r:id="rId8502" tooltip="🔗 Ver Mapa" display="🔗 Ver Mapa"/>
    <hyperlink ref="L8505" r:id="rId8503" tooltip="🔗 Ver Mapa" display="🔗 Ver Mapa"/>
    <hyperlink ref="L8506" r:id="rId8504" tooltip="🔗 Ver Mapa" display="🔗 Ver Mapa"/>
    <hyperlink ref="L8507" r:id="rId8505" tooltip="🔗 Ver Mapa" display="🔗 Ver Mapa"/>
    <hyperlink ref="L8508" r:id="rId8506" tooltip="🔗 Ver Mapa" display="🔗 Ver Mapa"/>
    <hyperlink ref="L8509" r:id="rId8507" tooltip="🔗 Ver Mapa" display="🔗 Ver Mapa"/>
    <hyperlink ref="L8510" r:id="rId8508" tooltip="🔗 Ver Mapa" display="🔗 Ver Mapa"/>
    <hyperlink ref="L8511" r:id="rId8509" tooltip="🔗 Ver Mapa" display="🔗 Ver Mapa"/>
    <hyperlink ref="L8512" r:id="rId8510" tooltip="🔗 Ver Mapa" display="🔗 Ver Mapa"/>
    <hyperlink ref="L8513" r:id="rId8511" tooltip="🔗 Ver Mapa" display="🔗 Ver Mapa"/>
    <hyperlink ref="L8514" r:id="rId8512" tooltip="🔗 Ver Mapa" display="🔗 Ver Mapa"/>
    <hyperlink ref="L8515" r:id="rId8513" tooltip="🔗 Ver Mapa" display="🔗 Ver Mapa"/>
    <hyperlink ref="L8516" r:id="rId8514" tooltip="🔗 Ver Mapa" display="🔗 Ver Mapa"/>
    <hyperlink ref="L8517" r:id="rId8515" tooltip="🔗 Ver Mapa" display="🔗 Ver Mapa"/>
    <hyperlink ref="L8518" r:id="rId8516" tooltip="🔗 Ver Mapa" display="🔗 Ver Mapa"/>
    <hyperlink ref="L8519" r:id="rId8517" tooltip="🔗 Ver Mapa" display="🔗 Ver Mapa"/>
    <hyperlink ref="L8520" r:id="rId8518" tooltip="🔗 Ver Mapa" display="🔗 Ver Mapa"/>
    <hyperlink ref="L8521" r:id="rId8519" tooltip="🔗 Ver Mapa" display="🔗 Ver Mapa"/>
    <hyperlink ref="L8522" r:id="rId8520" tooltip="🔗 Ver Mapa" display="🔗 Ver Mapa"/>
    <hyperlink ref="L8523" r:id="rId8521" tooltip="🔗 Ver Mapa" display="🔗 Ver Mapa"/>
    <hyperlink ref="L8524" r:id="rId8522" tooltip="🔗 Ver Mapa" display="🔗 Ver Mapa"/>
    <hyperlink ref="L8525" r:id="rId8523" tooltip="🔗 Ver Mapa" display="🔗 Ver Mapa"/>
    <hyperlink ref="L8526" r:id="rId8524" tooltip="🔗 Ver Mapa" display="🔗 Ver Mapa"/>
    <hyperlink ref="L8527" r:id="rId8525" tooltip="🔗 Ver Mapa" display="🔗 Ver Mapa"/>
    <hyperlink ref="L8528" r:id="rId8526" tooltip="🔗 Ver Mapa" display="🔗 Ver Mapa"/>
    <hyperlink ref="L8529" r:id="rId8527" tooltip="🔗 Ver Mapa" display="🔗 Ver Mapa"/>
    <hyperlink ref="L8530" r:id="rId8528" tooltip="🔗 Ver Mapa" display="🔗 Ver Mapa"/>
    <hyperlink ref="L8531" r:id="rId8529" tooltip="🔗 Ver Mapa" display="🔗 Ver Mapa"/>
    <hyperlink ref="L8532" r:id="rId8530" tooltip="🔗 Ver Mapa" display="🔗 Ver Mapa"/>
    <hyperlink ref="L8533" r:id="rId8531" tooltip="🔗 Ver Mapa" display="🔗 Ver Mapa"/>
    <hyperlink ref="L8534" r:id="rId8532" tooltip="🔗 Ver Mapa" display="🔗 Ver Mapa"/>
    <hyperlink ref="L8535" r:id="rId8533" tooltip="🔗 Ver Mapa" display="🔗 Ver Mapa"/>
    <hyperlink ref="L8536" r:id="rId8534" tooltip="🔗 Ver Mapa" display="🔗 Ver Mapa"/>
    <hyperlink ref="L8537" r:id="rId8535" tooltip="🔗 Ver Mapa" display="🔗 Ver Mapa"/>
    <hyperlink ref="L8538" r:id="rId8536" tooltip="🔗 Ver Mapa" display="🔗 Ver Mapa"/>
    <hyperlink ref="L8539" r:id="rId8537" tooltip="🔗 Ver Mapa" display="🔗 Ver Mapa"/>
    <hyperlink ref="L8540" r:id="rId8538" tooltip="🔗 Ver Mapa" display="🔗 Ver Mapa"/>
    <hyperlink ref="L8541" r:id="rId8539" tooltip="🔗 Ver Mapa" display="🔗 Ver Mapa"/>
    <hyperlink ref="L8542" r:id="rId8540" tooltip="🔗 Ver Mapa" display="🔗 Ver Mapa"/>
    <hyperlink ref="L8543" r:id="rId8541" tooltip="🔗 Ver Mapa" display="🔗 Ver Mapa"/>
    <hyperlink ref="L8544" r:id="rId8542" tooltip="🔗 Ver Mapa" display="🔗 Ver Mapa"/>
    <hyperlink ref="L8545" r:id="rId8543" tooltip="🔗 Ver Mapa" display="🔗 Ver Mapa"/>
    <hyperlink ref="L8546" r:id="rId8544" tooltip="🔗 Ver Mapa" display="🔗 Ver Mapa"/>
    <hyperlink ref="L8547" r:id="rId8545" tooltip="🔗 Ver Mapa" display="🔗 Ver Mapa"/>
    <hyperlink ref="L8548" r:id="rId8546" tooltip="🔗 Ver Mapa" display="🔗 Ver Mapa"/>
    <hyperlink ref="L8549" r:id="rId8547" tooltip="🔗 Ver Mapa" display="🔗 Ver Mapa"/>
    <hyperlink ref="L8550" r:id="rId8548" tooltip="🔗 Ver Mapa" display="🔗 Ver Mapa"/>
    <hyperlink ref="L8551" r:id="rId8549" tooltip="🔗 Ver Mapa" display="🔗 Ver Mapa"/>
    <hyperlink ref="L8552" r:id="rId8550" tooltip="🔗 Ver Mapa" display="🔗 Ver Mapa"/>
    <hyperlink ref="L8553" r:id="rId8551" tooltip="🔗 Ver Mapa" display="🔗 Ver Mapa"/>
    <hyperlink ref="L8554" r:id="rId8552" tooltip="🔗 Ver Mapa" display="🔗 Ver Mapa"/>
    <hyperlink ref="L8555" r:id="rId8553" tooltip="🔗 Ver Mapa" display="🔗 Ver Mapa"/>
    <hyperlink ref="L8556" r:id="rId8554" tooltip="🔗 Ver Mapa" display="🔗 Ver Mapa"/>
    <hyperlink ref="L8557" r:id="rId8555" tooltip="🔗 Ver Mapa" display="🔗 Ver Mapa"/>
    <hyperlink ref="L8558" r:id="rId8556" tooltip="🔗 Ver Mapa" display="🔗 Ver Mapa"/>
    <hyperlink ref="L8559" r:id="rId8557" tooltip="🔗 Ver Mapa" display="🔗 Ver Mapa"/>
    <hyperlink ref="L8560" r:id="rId8558" tooltip="🔗 Ver Mapa" display="🔗 Ver Mapa"/>
    <hyperlink ref="L8561" r:id="rId8559" tooltip="🔗 Ver Mapa" display="🔗 Ver Mapa"/>
    <hyperlink ref="L8562" r:id="rId8560" tooltip="🔗 Ver Mapa" display="🔗 Ver Mapa"/>
    <hyperlink ref="L8563" r:id="rId8561" tooltip="🔗 Ver Mapa" display="🔗 Ver Mapa"/>
    <hyperlink ref="L8564" r:id="rId8562" tooltip="🔗 Ver Mapa" display="🔗 Ver Mapa"/>
    <hyperlink ref="L8565" r:id="rId8563" tooltip="🔗 Ver Mapa" display="🔗 Ver Mapa"/>
    <hyperlink ref="L8566" r:id="rId8564" tooltip="🔗 Ver Mapa" display="🔗 Ver Mapa"/>
    <hyperlink ref="L8567" r:id="rId8565" tooltip="🔗 Ver Mapa" display="🔗 Ver Mapa"/>
    <hyperlink ref="L8568" r:id="rId8566" tooltip="🔗 Ver Mapa" display="🔗 Ver Mapa"/>
    <hyperlink ref="L8569" r:id="rId8567" tooltip="🔗 Ver Mapa" display="🔗 Ver Mapa"/>
    <hyperlink ref="L8570" r:id="rId8568" tooltip="🔗 Ver Mapa" display="🔗 Ver Mapa"/>
    <hyperlink ref="L8571" r:id="rId8569" tooltip="🔗 Ver Mapa" display="🔗 Ver Mapa"/>
    <hyperlink ref="L8572" r:id="rId8570" tooltip="🔗 Ver Mapa" display="🔗 Ver Mapa"/>
    <hyperlink ref="L8573" r:id="rId8571" tooltip="🔗 Ver Mapa" display="🔗 Ver Mapa"/>
    <hyperlink ref="L8574" r:id="rId8572" tooltip="🔗 Ver Mapa" display="🔗 Ver Mapa"/>
    <hyperlink ref="L8575" r:id="rId8573" tooltip="🔗 Ver Mapa" display="🔗 Ver Mapa"/>
    <hyperlink ref="L8576" r:id="rId8574" tooltip="🔗 Ver Mapa" display="🔗 Ver Mapa"/>
    <hyperlink ref="L8577" r:id="rId8575" tooltip="🔗 Ver Mapa" display="🔗 Ver Mapa"/>
    <hyperlink ref="L8578" r:id="rId8576" tooltip="🔗 Ver Mapa" display="🔗 Ver Mapa"/>
    <hyperlink ref="L8579" r:id="rId8577" tooltip="🔗 Ver Mapa" display="🔗 Ver Mapa"/>
    <hyperlink ref="L8580" r:id="rId8578" tooltip="🔗 Ver Mapa" display="🔗 Ver Mapa"/>
    <hyperlink ref="L8581" r:id="rId8579" tooltip="🔗 Ver Mapa" display="🔗 Ver Mapa"/>
    <hyperlink ref="L8582" r:id="rId8580" tooltip="🔗 Ver Mapa" display="🔗 Ver Mapa"/>
    <hyperlink ref="L8583" r:id="rId8581" tooltip="🔗 Ver Mapa" display="🔗 Ver Mapa"/>
    <hyperlink ref="L8584" r:id="rId8582" tooltip="🔗 Ver Mapa" display="🔗 Ver Mapa"/>
    <hyperlink ref="L8585" r:id="rId8583" tooltip="🔗 Ver Mapa" display="🔗 Ver Mapa"/>
    <hyperlink ref="L8586" r:id="rId8584" tooltip="🔗 Ver Mapa" display="🔗 Ver Mapa"/>
    <hyperlink ref="L8587" r:id="rId8585" tooltip="🔗 Ver Mapa" display="🔗 Ver Mapa"/>
    <hyperlink ref="L8588" r:id="rId8586" tooltip="🔗 Ver Mapa" display="🔗 Ver Mapa"/>
    <hyperlink ref="L8589" r:id="rId8587" tooltip="🔗 Ver Mapa" display="🔗 Ver Mapa"/>
    <hyperlink ref="L8590" r:id="rId8588" tooltip="🔗 Ver Mapa" display="🔗 Ver Mapa"/>
    <hyperlink ref="L8591" r:id="rId8589" tooltip="🔗 Ver Mapa" display="🔗 Ver Mapa"/>
    <hyperlink ref="L8592" r:id="rId8590" tooltip="🔗 Ver Mapa" display="🔗 Ver Mapa"/>
    <hyperlink ref="L8593" r:id="rId8591" tooltip="🔗 Ver Mapa" display="🔗 Ver Mapa"/>
    <hyperlink ref="L8594" r:id="rId8592" tooltip="🔗 Ver Mapa" display="🔗 Ver Mapa"/>
    <hyperlink ref="L8595" r:id="rId8593" tooltip="🔗 Ver Mapa" display="🔗 Ver Mapa"/>
    <hyperlink ref="L8596" r:id="rId8594" tooltip="🔗 Ver Mapa" display="🔗 Ver Mapa"/>
    <hyperlink ref="L8597" r:id="rId8595" tooltip="🔗 Ver Mapa" display="🔗 Ver Mapa"/>
    <hyperlink ref="L8598" r:id="rId8596" tooltip="🔗 Ver Mapa" display="🔗 Ver Mapa"/>
    <hyperlink ref="L8599" r:id="rId8597" tooltip="🔗 Ver Mapa" display="🔗 Ver Mapa"/>
    <hyperlink ref="L8600" r:id="rId8598" tooltip="🔗 Ver Mapa" display="🔗 Ver Mapa"/>
    <hyperlink ref="L8601" r:id="rId8599" tooltip="🔗 Ver Mapa" display="🔗 Ver Mapa"/>
    <hyperlink ref="L8602" r:id="rId8600" tooltip="🔗 Ver Mapa" display="🔗 Ver Mapa"/>
    <hyperlink ref="L8603" r:id="rId8601" tooltip="🔗 Ver Mapa" display="🔗 Ver Mapa"/>
    <hyperlink ref="L8604" r:id="rId8602" tooltip="🔗 Ver Mapa" display="🔗 Ver Mapa"/>
    <hyperlink ref="L8605" r:id="rId8603" tooltip="🔗 Ver Mapa" display="🔗 Ver Mapa"/>
    <hyperlink ref="L8606" r:id="rId8604" tooltip="🔗 Ver Mapa" display="🔗 Ver Mapa"/>
    <hyperlink ref="L8607" r:id="rId8605" tooltip="🔗 Ver Mapa" display="🔗 Ver Mapa"/>
    <hyperlink ref="L8608" r:id="rId8606" tooltip="🔗 Ver Mapa" display="🔗 Ver Mapa"/>
    <hyperlink ref="L8609" r:id="rId8607" tooltip="🔗 Ver Mapa" display="🔗 Ver Mapa"/>
    <hyperlink ref="L8610" r:id="rId8608" tooltip="🔗 Ver Mapa" display="🔗 Ver Mapa"/>
    <hyperlink ref="L8611" r:id="rId8609" tooltip="🔗 Ver Mapa" display="🔗 Ver Mapa"/>
    <hyperlink ref="L8612" r:id="rId8610" tooltip="🔗 Ver Mapa" display="🔗 Ver Mapa"/>
    <hyperlink ref="L8613" r:id="rId8611" tooltip="🔗 Ver Mapa" display="🔗 Ver Mapa"/>
    <hyperlink ref="L8614" r:id="rId8612" tooltip="🔗 Ver Mapa" display="🔗 Ver Mapa"/>
    <hyperlink ref="L8615" r:id="rId8613" tooltip="🔗 Ver Mapa" display="🔗 Ver Mapa"/>
    <hyperlink ref="L8616" r:id="rId8614" tooltip="🔗 Ver Mapa" display="🔗 Ver Mapa"/>
    <hyperlink ref="L8617" r:id="rId8615" tooltip="🔗 Ver Mapa" display="🔗 Ver Mapa"/>
    <hyperlink ref="L8618" r:id="rId8616" tooltip="🔗 Ver Mapa" display="🔗 Ver Mapa"/>
    <hyperlink ref="L8619" r:id="rId8617" tooltip="🔗 Ver Mapa" display="🔗 Ver Mapa"/>
    <hyperlink ref="L8620" r:id="rId8618" tooltip="🔗 Ver Mapa" display="🔗 Ver Mapa"/>
    <hyperlink ref="L8621" r:id="rId8619" tooltip="🔗 Ver Mapa" display="🔗 Ver Mapa"/>
    <hyperlink ref="L8622" r:id="rId8620" tooltip="🔗 Ver Mapa" display="🔗 Ver Mapa"/>
    <hyperlink ref="L8623" r:id="rId8621" tooltip="🔗 Ver Mapa" display="🔗 Ver Mapa"/>
    <hyperlink ref="L8624" r:id="rId8622" tooltip="🔗 Ver Mapa" display="🔗 Ver Mapa"/>
    <hyperlink ref="L8625" r:id="rId8623" tooltip="🔗 Ver Mapa" display="🔗 Ver Mapa"/>
    <hyperlink ref="L8626" r:id="rId8624" tooltip="🔗 Ver Mapa" display="🔗 Ver Mapa"/>
    <hyperlink ref="L8627" r:id="rId8625" tooltip="🔗 Ver Mapa" display="🔗 Ver Mapa"/>
    <hyperlink ref="L8628" r:id="rId8626" tooltip="🔗 Ver Mapa" display="🔗 Ver Mapa"/>
    <hyperlink ref="L8629" r:id="rId8627" tooltip="🔗 Ver Mapa" display="🔗 Ver Mapa"/>
    <hyperlink ref="L8630" r:id="rId8628" tooltip="🔗 Ver Mapa" display="🔗 Ver Mapa"/>
    <hyperlink ref="L8631" r:id="rId8629" tooltip="🔗 Ver Mapa" display="🔗 Ver Mapa"/>
    <hyperlink ref="L8632" r:id="rId8630" tooltip="🔗 Ver Mapa" display="🔗 Ver Mapa"/>
    <hyperlink ref="L8633" r:id="rId8631" tooltip="🔗 Ver Mapa" display="🔗 Ver Mapa"/>
    <hyperlink ref="L8634" r:id="rId8632" tooltip="🔗 Ver Mapa" display="🔗 Ver Mapa"/>
    <hyperlink ref="L8635" r:id="rId8633" tooltip="🔗 Ver Mapa" display="🔗 Ver Mapa"/>
    <hyperlink ref="L8636" r:id="rId8634" tooltip="🔗 Ver Mapa" display="🔗 Ver Mapa"/>
    <hyperlink ref="L8637" r:id="rId8635" tooltip="🔗 Ver Mapa" display="🔗 Ver Mapa"/>
    <hyperlink ref="L8638" r:id="rId8636" tooltip="🔗 Ver Mapa" display="🔗 Ver Mapa"/>
    <hyperlink ref="L8639" r:id="rId8637" tooltip="🔗 Ver Mapa" display="🔗 Ver Mapa"/>
    <hyperlink ref="L8640" r:id="rId8638" tooltip="🔗 Ver Mapa" display="🔗 Ver Mapa"/>
    <hyperlink ref="L8641" r:id="rId8639" tooltip="🔗 Ver Mapa" display="🔗 Ver Mapa"/>
    <hyperlink ref="L8642" r:id="rId8640" tooltip="🔗 Ver Mapa" display="🔗 Ver Mapa"/>
    <hyperlink ref="L8643" r:id="rId8641" tooltip="🔗 Ver Mapa" display="🔗 Ver Mapa"/>
    <hyperlink ref="L8644" r:id="rId8642" tooltip="🔗 Ver Mapa" display="🔗 Ver Mapa"/>
    <hyperlink ref="L8645" r:id="rId8643" tooltip="🔗 Ver Mapa" display="🔗 Ver Mapa"/>
    <hyperlink ref="L8646" r:id="rId8644" tooltip="🔗 Ver Mapa" display="🔗 Ver Mapa"/>
    <hyperlink ref="L8647" r:id="rId8645" tooltip="🔗 Ver Mapa" display="🔗 Ver Mapa"/>
    <hyperlink ref="L8648" r:id="rId8646" tooltip="🔗 Ver Mapa" display="🔗 Ver Mapa"/>
    <hyperlink ref="L8649" r:id="rId8647" tooltip="🔗 Ver Mapa" display="🔗 Ver Mapa"/>
    <hyperlink ref="L8650" r:id="rId8648" tooltip="🔗 Ver Mapa" display="🔗 Ver Mapa"/>
    <hyperlink ref="L8651" r:id="rId8649" tooltip="🔗 Ver Mapa" display="🔗 Ver Mapa"/>
    <hyperlink ref="L8652" r:id="rId8650" tooltip="🔗 Ver Mapa" display="🔗 Ver Mapa"/>
    <hyperlink ref="L8653" r:id="rId8651" tooltip="🔗 Ver Mapa" display="🔗 Ver Mapa"/>
    <hyperlink ref="L8654" r:id="rId8652" tooltip="🔗 Ver Mapa" display="🔗 Ver Mapa"/>
    <hyperlink ref="L8655" r:id="rId8653" tooltip="🔗 Ver Mapa" display="🔗 Ver Mapa"/>
    <hyperlink ref="L8656" r:id="rId8654" tooltip="🔗 Ver Mapa" display="🔗 Ver Mapa"/>
    <hyperlink ref="L8657" r:id="rId8655" tooltip="🔗 Ver Mapa" display="🔗 Ver Mapa"/>
    <hyperlink ref="L8658" r:id="rId8656" tooltip="🔗 Ver Mapa" display="🔗 Ver Mapa"/>
    <hyperlink ref="L8659" r:id="rId8657" tooltip="🔗 Ver Mapa" display="🔗 Ver Mapa"/>
    <hyperlink ref="L8660" r:id="rId8658" tooltip="🔗 Ver Mapa" display="🔗 Ver Mapa"/>
    <hyperlink ref="L8661" r:id="rId8659" tooltip="🔗 Ver Mapa" display="🔗 Ver Mapa"/>
    <hyperlink ref="L8662" r:id="rId8660" tooltip="🔗 Ver Mapa" display="🔗 Ver Mapa"/>
    <hyperlink ref="L8663" r:id="rId8661" tooltip="🔗 Ver Mapa" display="🔗 Ver Mapa"/>
    <hyperlink ref="L8664" r:id="rId8662" tooltip="🔗 Ver Mapa" display="🔗 Ver Mapa"/>
    <hyperlink ref="L8665" r:id="rId8663" tooltip="🔗 Ver Mapa" display="🔗 Ver Mapa"/>
    <hyperlink ref="L8666" r:id="rId8664" tooltip="🔗 Ver Mapa" display="🔗 Ver Mapa"/>
    <hyperlink ref="L8667" r:id="rId8665" tooltip="🔗 Ver Mapa" display="🔗 Ver Mapa"/>
    <hyperlink ref="L8668" r:id="rId8666" tooltip="🔗 Ver Mapa" display="🔗 Ver Mapa"/>
    <hyperlink ref="L8669" r:id="rId8667" tooltip="🔗 Ver Mapa" display="🔗 Ver Mapa"/>
    <hyperlink ref="L8670" r:id="rId8668" tooltip="🔗 Ver Mapa" display="🔗 Ver Mapa"/>
    <hyperlink ref="L8671" r:id="rId8669" tooltip="🔗 Ver Mapa" display="🔗 Ver Mapa"/>
    <hyperlink ref="L8672" r:id="rId8670" tooltip="🔗 Ver Mapa" display="🔗 Ver Mapa"/>
    <hyperlink ref="L8673" r:id="rId8671" tooltip="🔗 Ver Mapa" display="🔗 Ver Mapa"/>
    <hyperlink ref="L8674" r:id="rId8672" tooltip="🔗 Ver Mapa" display="🔗 Ver Mapa"/>
    <hyperlink ref="L8675" r:id="rId8673" tooltip="🔗 Ver Mapa" display="🔗 Ver Mapa"/>
    <hyperlink ref="L8676" r:id="rId8674" tooltip="🔗 Ver Mapa" display="🔗 Ver Mapa"/>
    <hyperlink ref="L8677" r:id="rId8675" tooltip="🔗 Ver Mapa" display="🔗 Ver Mapa"/>
    <hyperlink ref="L8678" r:id="rId8676" tooltip="🔗 Ver Mapa" display="🔗 Ver Mapa"/>
    <hyperlink ref="L8679" r:id="rId8677" tooltip="🔗 Ver Mapa" display="🔗 Ver Mapa"/>
    <hyperlink ref="L8680" r:id="rId8678" tooltip="🔗 Ver Mapa" display="🔗 Ver Mapa"/>
    <hyperlink ref="L8681" r:id="rId8679" tooltip="🔗 Ver Mapa" display="🔗 Ver Mapa"/>
    <hyperlink ref="L8682" r:id="rId8680" tooltip="🔗 Ver Mapa" display="🔗 Ver Mapa"/>
    <hyperlink ref="L8683" r:id="rId8681" tooltip="🔗 Ver Mapa" display="🔗 Ver Mapa"/>
    <hyperlink ref="L8684" r:id="rId8682" tooltip="🔗 Ver Mapa" display="🔗 Ver Mapa"/>
    <hyperlink ref="L8685" r:id="rId8683" tooltip="🔗 Ver Mapa" display="🔗 Ver Mapa"/>
    <hyperlink ref="L8686" r:id="rId8684" tooltip="🔗 Ver Mapa" display="🔗 Ver Mapa"/>
    <hyperlink ref="L8687" r:id="rId8685" tooltip="🔗 Ver Mapa" display="🔗 Ver Mapa"/>
    <hyperlink ref="L8688" r:id="rId8686" tooltip="🔗 Ver Mapa" display="🔗 Ver Mapa"/>
    <hyperlink ref="L8689" r:id="rId8687" tooltip="🔗 Ver Mapa" display="🔗 Ver Mapa"/>
    <hyperlink ref="L8690" r:id="rId8688" tooltip="🔗 Ver Mapa" display="🔗 Ver Mapa"/>
    <hyperlink ref="L8691" r:id="rId8689" tooltip="🔗 Ver Mapa" display="🔗 Ver Mapa"/>
    <hyperlink ref="L8692" r:id="rId8690" tooltip="🔗 Ver Mapa" display="🔗 Ver Mapa"/>
    <hyperlink ref="L8693" r:id="rId8691" tooltip="🔗 Ver Mapa" display="🔗 Ver Mapa"/>
    <hyperlink ref="L8694" r:id="rId8692" tooltip="🔗 Ver Mapa" display="🔗 Ver Mapa"/>
    <hyperlink ref="L8695" r:id="rId8693" tooltip="🔗 Ver Mapa" display="🔗 Ver Mapa"/>
    <hyperlink ref="L8696" r:id="rId8694" tooltip="🔗 Ver Mapa" display="🔗 Ver Mapa"/>
    <hyperlink ref="L8697" r:id="rId8695" tooltip="🔗 Ver Mapa" display="🔗 Ver Mapa"/>
    <hyperlink ref="L8698" r:id="rId8696" tooltip="🔗 Ver Mapa" display="🔗 Ver Mapa"/>
    <hyperlink ref="L8699" r:id="rId8697" tooltip="🔗 Ver Mapa" display="🔗 Ver Mapa"/>
    <hyperlink ref="L8700" r:id="rId8698" tooltip="🔗 Ver Mapa" display="🔗 Ver Mapa"/>
    <hyperlink ref="L8701" r:id="rId8699" tooltip="🔗 Ver Mapa" display="🔗 Ver Mapa"/>
    <hyperlink ref="L8702" r:id="rId8700" tooltip="🔗 Ver Mapa" display="🔗 Ver Mapa"/>
    <hyperlink ref="L8703" r:id="rId8701" tooltip="🔗 Ver Mapa" display="🔗 Ver Mapa"/>
    <hyperlink ref="L8704" r:id="rId8702" tooltip="🔗 Ver Mapa" display="🔗 Ver Mapa"/>
    <hyperlink ref="L8705" r:id="rId8703" tooltip="🔗 Ver Mapa" display="🔗 Ver Mapa"/>
    <hyperlink ref="L8706" r:id="rId8704" tooltip="🔗 Ver Mapa" display="🔗 Ver Mapa"/>
    <hyperlink ref="L8707" r:id="rId8705" tooltip="🔗 Ver Mapa" display="🔗 Ver Mapa"/>
    <hyperlink ref="L8708" r:id="rId8706" tooltip="🔗 Ver Mapa" display="🔗 Ver Mapa"/>
    <hyperlink ref="L8709" r:id="rId8707" tooltip="🔗 Ver Mapa" display="🔗 Ver Mapa"/>
    <hyperlink ref="L8710" r:id="rId8708" tooltip="🔗 Ver Mapa" display="🔗 Ver Mapa"/>
    <hyperlink ref="L8711" r:id="rId8709" tooltip="🔗 Ver Mapa" display="🔗 Ver Mapa"/>
    <hyperlink ref="L8712" r:id="rId8710" tooltip="🔗 Ver Mapa" display="🔗 Ver Mapa"/>
    <hyperlink ref="L8713" r:id="rId8711" tooltip="🔗 Ver Mapa" display="🔗 Ver Mapa"/>
    <hyperlink ref="L8714" r:id="rId8712" tooltip="🔗 Ver Mapa" display="🔗 Ver Mapa"/>
    <hyperlink ref="L8715" r:id="rId8713" tooltip="🔗 Ver Mapa" display="🔗 Ver Mapa"/>
    <hyperlink ref="L8716" r:id="rId8714" tooltip="🔗 Ver Mapa" display="🔗 Ver Mapa"/>
    <hyperlink ref="L8717" r:id="rId8715" tooltip="🔗 Ver Mapa" display="🔗 Ver Mapa"/>
    <hyperlink ref="L8718" r:id="rId8716" tooltip="🔗 Ver Mapa" display="🔗 Ver Mapa"/>
    <hyperlink ref="L8719" r:id="rId8717" tooltip="🔗 Ver Mapa" display="🔗 Ver Mapa"/>
    <hyperlink ref="L8720" r:id="rId8718" tooltip="🔗 Ver Mapa" display="🔗 Ver Mapa"/>
    <hyperlink ref="L8721" r:id="rId8719" tooltip="🔗 Ver Mapa" display="🔗 Ver Mapa"/>
    <hyperlink ref="L8722" r:id="rId8720" tooltip="🔗 Ver Mapa" display="🔗 Ver Mapa"/>
    <hyperlink ref="L8723" r:id="rId8721" tooltip="🔗 Ver Mapa" display="🔗 Ver Mapa"/>
    <hyperlink ref="L8724" r:id="rId8722" tooltip="🔗 Ver Mapa" display="🔗 Ver Mapa"/>
    <hyperlink ref="L8725" r:id="rId8723" tooltip="🔗 Ver Mapa" display="🔗 Ver Mapa"/>
    <hyperlink ref="L8726" r:id="rId8724" tooltip="🔗 Ver Mapa" display="🔗 Ver Mapa"/>
    <hyperlink ref="L8727" r:id="rId8725" tooltip="🔗 Ver Mapa" display="🔗 Ver Mapa"/>
    <hyperlink ref="L8728" r:id="rId8726" tooltip="🔗 Ver Mapa" display="🔗 Ver Mapa"/>
    <hyperlink ref="L8729" r:id="rId8727" tooltip="🔗 Ver Mapa" display="🔗 Ver Mapa"/>
    <hyperlink ref="L8730" r:id="rId8728" tooltip="🔗 Ver Mapa" display="🔗 Ver Mapa"/>
    <hyperlink ref="L8731" r:id="rId8729" tooltip="🔗 Ver Mapa" display="🔗 Ver Mapa"/>
    <hyperlink ref="L8732" r:id="rId8730" tooltip="🔗 Ver Mapa" display="🔗 Ver Mapa"/>
    <hyperlink ref="L8733" r:id="rId8731" tooltip="🔗 Ver Mapa" display="🔗 Ver Mapa"/>
    <hyperlink ref="L8734" r:id="rId8732" tooltip="🔗 Ver Mapa" display="🔗 Ver Mapa"/>
    <hyperlink ref="L8735" r:id="rId8733" tooltip="🔗 Ver Mapa" display="🔗 Ver Mapa"/>
    <hyperlink ref="L8736" r:id="rId8734" tooltip="🔗 Ver Mapa" display="🔗 Ver Mapa"/>
    <hyperlink ref="L8737" r:id="rId8735" tooltip="🔗 Ver Mapa" display="🔗 Ver Mapa"/>
    <hyperlink ref="L8738" r:id="rId8736" tooltip="🔗 Ver Mapa" display="🔗 Ver Mapa"/>
    <hyperlink ref="L8739" r:id="rId8737" tooltip="🔗 Ver Mapa" display="🔗 Ver Mapa"/>
    <hyperlink ref="L8740" r:id="rId8738" tooltip="🔗 Ver Mapa" display="🔗 Ver Mapa"/>
    <hyperlink ref="L8741" r:id="rId8739" tooltip="🔗 Ver Mapa" display="🔗 Ver Mapa"/>
    <hyperlink ref="L8742" r:id="rId8740" tooltip="🔗 Ver Mapa" display="🔗 Ver Mapa"/>
    <hyperlink ref="L8743" r:id="rId8741" tooltip="🔗 Ver Mapa" display="🔗 Ver Mapa"/>
    <hyperlink ref="L8744" r:id="rId8742" tooltip="🔗 Ver Mapa" display="🔗 Ver Mapa"/>
    <hyperlink ref="L8745" r:id="rId8743" tooltip="🔗 Ver Mapa" display="🔗 Ver Mapa"/>
    <hyperlink ref="L8746" r:id="rId8744" tooltip="🔗 Ver Mapa" display="🔗 Ver Mapa"/>
    <hyperlink ref="L8747" r:id="rId8745" tooltip="🔗 Ver Mapa" display="🔗 Ver Mapa"/>
    <hyperlink ref="L8748" r:id="rId8746" tooltip="🔗 Ver Mapa" display="🔗 Ver Mapa"/>
    <hyperlink ref="L8749" r:id="rId8747" tooltip="🔗 Ver Mapa" display="🔗 Ver Mapa"/>
    <hyperlink ref="L8750" r:id="rId8748" tooltip="🔗 Ver Mapa" display="🔗 Ver Mapa"/>
    <hyperlink ref="L8751" r:id="rId8749" tooltip="🔗 Ver Mapa" display="🔗 Ver Mapa"/>
    <hyperlink ref="L8752" r:id="rId8750" tooltip="🔗 Ver Mapa" display="🔗 Ver Mapa"/>
    <hyperlink ref="L8753" r:id="rId8751" tooltip="🔗 Ver Mapa" display="🔗 Ver Mapa"/>
    <hyperlink ref="L8754" r:id="rId8752" tooltip="🔗 Ver Mapa" display="🔗 Ver Mapa"/>
    <hyperlink ref="L8755" r:id="rId8753" tooltip="🔗 Ver Mapa" display="🔗 Ver Mapa"/>
    <hyperlink ref="L8756" r:id="rId8754" tooltip="🔗 Ver Mapa" display="🔗 Ver Mapa"/>
    <hyperlink ref="L8757" r:id="rId8755" tooltip="🔗 Ver Mapa" display="🔗 Ver Mapa"/>
    <hyperlink ref="L8758" r:id="rId8756" tooltip="🔗 Ver Mapa" display="🔗 Ver Mapa"/>
    <hyperlink ref="L8759" r:id="rId8757" tooltip="🔗 Ver Mapa" display="🔗 Ver Mapa"/>
    <hyperlink ref="L8760" r:id="rId8758" tooltip="🔗 Ver Mapa" display="🔗 Ver Mapa"/>
    <hyperlink ref="L8761" r:id="rId8759" tooltip="🔗 Ver Mapa" display="🔗 Ver Mapa"/>
    <hyperlink ref="L8762" r:id="rId8760" tooltip="🔗 Ver Mapa" display="🔗 Ver Mapa"/>
    <hyperlink ref="L8763" r:id="rId8761" tooltip="🔗 Ver Mapa" display="🔗 Ver Mapa"/>
    <hyperlink ref="L8764" r:id="rId8762" tooltip="🔗 Ver Mapa" display="🔗 Ver Mapa"/>
    <hyperlink ref="L8765" r:id="rId8763" tooltip="🔗 Ver Mapa" display="🔗 Ver Mapa"/>
    <hyperlink ref="L8766" r:id="rId8764" tooltip="🔗 Ver Mapa" display="🔗 Ver Mapa"/>
    <hyperlink ref="L8767" r:id="rId8765" tooltip="🔗 Ver Mapa" display="🔗 Ver Mapa"/>
    <hyperlink ref="L8768" r:id="rId8766" tooltip="🔗 Ver Mapa" display="🔗 Ver Mapa"/>
    <hyperlink ref="L8769" r:id="rId8767" tooltip="🔗 Ver Mapa" display="🔗 Ver Mapa"/>
    <hyperlink ref="L8770" r:id="rId8768" tooltip="🔗 Ver Mapa" display="🔗 Ver Mapa"/>
    <hyperlink ref="L8771" r:id="rId8769" tooltip="🔗 Ver Mapa" display="🔗 Ver Mapa"/>
    <hyperlink ref="L8772" r:id="rId8770" tooltip="🔗 Ver Mapa" display="🔗 Ver Mapa"/>
    <hyperlink ref="L8773" r:id="rId8771" tooltip="🔗 Ver Mapa" display="🔗 Ver Mapa"/>
    <hyperlink ref="L8774" r:id="rId8772" tooltip="🔗 Ver Mapa" display="🔗 Ver Mapa"/>
    <hyperlink ref="L8775" r:id="rId8773" tooltip="🔗 Ver Mapa" display="🔗 Ver Mapa"/>
    <hyperlink ref="L8776" r:id="rId8774" tooltip="🔗 Ver Mapa" display="🔗 Ver Mapa"/>
    <hyperlink ref="L8777" r:id="rId8775" tooltip="🔗 Ver Mapa" display="🔗 Ver Mapa"/>
    <hyperlink ref="L8778" r:id="rId8776" tooltip="🔗 Ver Mapa" display="🔗 Ver Mapa"/>
    <hyperlink ref="L8779" r:id="rId8777" tooltip="🔗 Ver Mapa" display="🔗 Ver Mapa"/>
    <hyperlink ref="L8780" r:id="rId8778" tooltip="🔗 Ver Mapa" display="🔗 Ver Mapa"/>
    <hyperlink ref="L8781" r:id="rId8779" tooltip="🔗 Ver Mapa" display="🔗 Ver Mapa"/>
    <hyperlink ref="L8782" r:id="rId8780" tooltip="🔗 Ver Mapa" display="🔗 Ver Mapa"/>
    <hyperlink ref="L8783" r:id="rId8781" tooltip="🔗 Ver Mapa" display="🔗 Ver Mapa"/>
    <hyperlink ref="L8784" r:id="rId8782" tooltip="🔗 Ver Mapa" display="🔗 Ver Mapa"/>
    <hyperlink ref="L8785" r:id="rId8783" tooltip="🔗 Ver Mapa" display="🔗 Ver Mapa"/>
    <hyperlink ref="L8786" r:id="rId8784" tooltip="🔗 Ver Mapa" display="🔗 Ver Mapa"/>
    <hyperlink ref="L8787" r:id="rId8785" tooltip="🔗 Ver Mapa" display="🔗 Ver Mapa"/>
    <hyperlink ref="L8788" r:id="rId8786" tooltip="🔗 Ver Mapa" display="🔗 Ver Mapa"/>
    <hyperlink ref="L8789" r:id="rId8787" tooltip="🔗 Ver Mapa" display="🔗 Ver Mapa"/>
    <hyperlink ref="L8790" r:id="rId8788" tooltip="🔗 Ver Mapa" display="🔗 Ver Mapa"/>
    <hyperlink ref="L8791" r:id="rId8789" tooltip="🔗 Ver Mapa" display="🔗 Ver Mapa"/>
    <hyperlink ref="L8792" r:id="rId8790" tooltip="🔗 Ver Mapa" display="🔗 Ver Mapa"/>
    <hyperlink ref="L8793" r:id="rId8791" tooltip="🔗 Ver Mapa" display="🔗 Ver Mapa"/>
    <hyperlink ref="L8794" r:id="rId8792" tooltip="🔗 Ver Mapa" display="🔗 Ver Mapa"/>
    <hyperlink ref="L8795" r:id="rId8793" tooltip="🔗 Ver Mapa" display="🔗 Ver Mapa"/>
    <hyperlink ref="L8796" r:id="rId8794" tooltip="🔗 Ver Mapa" display="🔗 Ver Mapa"/>
    <hyperlink ref="L8797" r:id="rId8795" tooltip="🔗 Ver Mapa" display="🔗 Ver Mapa"/>
    <hyperlink ref="L8798" r:id="rId8796" tooltip="🔗 Ver Mapa" display="🔗 Ver Mapa"/>
    <hyperlink ref="L8799" r:id="rId8797" tooltip="🔗 Ver Mapa" display="🔗 Ver Mapa"/>
    <hyperlink ref="L8800" r:id="rId8798" tooltip="🔗 Ver Mapa" display="🔗 Ver Mapa"/>
    <hyperlink ref="L8801" r:id="rId8799" tooltip="🔗 Ver Mapa" display="🔗 Ver Mapa"/>
    <hyperlink ref="L8802" r:id="rId8800" tooltip="🔗 Ver Mapa" display="🔗 Ver Mapa"/>
    <hyperlink ref="L8803" r:id="rId8801" tooltip="🔗 Ver Mapa" display="🔗 Ver Mapa"/>
    <hyperlink ref="L8804" r:id="rId8802" tooltip="🔗 Ver Mapa" display="🔗 Ver Mapa"/>
    <hyperlink ref="L8805" r:id="rId8803" tooltip="🔗 Ver Mapa" display="🔗 Ver Mapa"/>
    <hyperlink ref="L8806" r:id="rId8804" tooltip="🔗 Ver Mapa" display="🔗 Ver Mapa"/>
    <hyperlink ref="L8807" r:id="rId8805" tooltip="🔗 Ver Mapa" display="🔗 Ver Mapa"/>
    <hyperlink ref="L8808" r:id="rId8806" tooltip="🔗 Ver Mapa" display="🔗 Ver Mapa"/>
    <hyperlink ref="L8809" r:id="rId8807" tooltip="🔗 Ver Mapa" display="🔗 Ver Mapa"/>
    <hyperlink ref="L8810" r:id="rId8808" tooltip="🔗 Ver Mapa" display="🔗 Ver Mapa"/>
    <hyperlink ref="L8811" r:id="rId8809" tooltip="🔗 Ver Mapa" display="🔗 Ver Mapa"/>
    <hyperlink ref="L8812" r:id="rId8810" tooltip="🔗 Ver Mapa" display="🔗 Ver Mapa"/>
    <hyperlink ref="L8813" r:id="rId8811" tooltip="🔗 Ver Mapa" display="🔗 Ver Mapa"/>
    <hyperlink ref="L8814" r:id="rId8812" tooltip="🔗 Ver Mapa" display="🔗 Ver Mapa"/>
    <hyperlink ref="L8815" r:id="rId8813" tooltip="🔗 Ver Mapa" display="🔗 Ver Mapa"/>
    <hyperlink ref="L8816" r:id="rId8814" tooltip="🔗 Ver Mapa" display="🔗 Ver Mapa"/>
    <hyperlink ref="L8817" r:id="rId8815" tooltip="🔗 Ver Mapa" display="🔗 Ver Mapa"/>
    <hyperlink ref="L8818" r:id="rId8816" tooltip="🔗 Ver Mapa" display="🔗 Ver Mapa"/>
    <hyperlink ref="L8819" r:id="rId8817" tooltip="🔗 Ver Mapa" display="🔗 Ver Mapa"/>
    <hyperlink ref="L8820" r:id="rId8818" tooltip="🔗 Ver Mapa" display="🔗 Ver Mapa"/>
    <hyperlink ref="L8821" r:id="rId8819" tooltip="🔗 Ver Mapa" display="🔗 Ver Mapa"/>
    <hyperlink ref="L8822" r:id="rId8820" tooltip="🔗 Ver Mapa" display="🔗 Ver Mapa"/>
    <hyperlink ref="L8823" r:id="rId8821" tooltip="🔗 Ver Mapa" display="🔗 Ver Mapa"/>
    <hyperlink ref="L8824" r:id="rId8822" tooltip="🔗 Ver Mapa" display="🔗 Ver Mapa"/>
    <hyperlink ref="L8825" r:id="rId8823" tooltip="🔗 Ver Mapa" display="🔗 Ver Mapa"/>
    <hyperlink ref="L8826" r:id="rId8824" tooltip="🔗 Ver Mapa" display="🔗 Ver Mapa"/>
    <hyperlink ref="L8827" r:id="rId8825" tooltip="🔗 Ver Mapa" display="🔗 Ver Mapa"/>
    <hyperlink ref="L8828" r:id="rId8826" tooltip="🔗 Ver Mapa" display="🔗 Ver Mapa"/>
    <hyperlink ref="L8829" r:id="rId8827" tooltip="🔗 Ver Mapa" display="🔗 Ver Mapa"/>
    <hyperlink ref="L8830" r:id="rId8828" tooltip="🔗 Ver Mapa" display="🔗 Ver Mapa"/>
    <hyperlink ref="L8831" r:id="rId8829" tooltip="🔗 Ver Mapa" display="🔗 Ver Mapa"/>
    <hyperlink ref="L8832" r:id="rId8830" tooltip="🔗 Ver Mapa" display="🔗 Ver Mapa"/>
    <hyperlink ref="L8833" r:id="rId8831" tooltip="🔗 Ver Mapa" display="🔗 Ver Mapa"/>
    <hyperlink ref="L8834" r:id="rId8832" tooltip="🔗 Ver Mapa" display="🔗 Ver Mapa"/>
    <hyperlink ref="L8835" r:id="rId8833" tooltip="🔗 Ver Mapa" display="🔗 Ver Mapa"/>
    <hyperlink ref="L8836" r:id="rId8834" tooltip="🔗 Ver Mapa" display="🔗 Ver Mapa"/>
    <hyperlink ref="L8837" r:id="rId8835" tooltip="🔗 Ver Mapa" display="🔗 Ver Mapa"/>
    <hyperlink ref="L8838" r:id="rId8836" tooltip="🔗 Ver Mapa" display="🔗 Ver Mapa"/>
    <hyperlink ref="L8839" r:id="rId8837" tooltip="🔗 Ver Mapa" display="🔗 Ver Mapa"/>
    <hyperlink ref="L8840" r:id="rId8838" tooltip="🔗 Ver Mapa" display="🔗 Ver Mapa"/>
    <hyperlink ref="L8841" r:id="rId8839" tooltip="🔗 Ver Mapa" display="🔗 Ver Mapa"/>
    <hyperlink ref="L8842" r:id="rId8840" tooltip="🔗 Ver Mapa" display="🔗 Ver Mapa"/>
    <hyperlink ref="L8843" r:id="rId8841" tooltip="🔗 Ver Mapa" display="🔗 Ver Mapa"/>
    <hyperlink ref="L8844" r:id="rId8842" tooltip="🔗 Ver Mapa" display="🔗 Ver Mapa"/>
    <hyperlink ref="L8845" r:id="rId8843" tooltip="🔗 Ver Mapa" display="🔗 Ver Mapa"/>
    <hyperlink ref="L8846" r:id="rId8844" tooltip="🔗 Ver Mapa" display="🔗 Ver Mapa"/>
    <hyperlink ref="L8847" r:id="rId8845" tooltip="🔗 Ver Mapa" display="🔗 Ver Mapa"/>
    <hyperlink ref="L8848" r:id="rId8846" tooltip="🔗 Ver Mapa" display="🔗 Ver Mapa"/>
    <hyperlink ref="L8849" r:id="rId8847" tooltip="🔗 Ver Mapa" display="🔗 Ver Mapa"/>
    <hyperlink ref="L8850" r:id="rId8848" tooltip="🔗 Ver Mapa" display="🔗 Ver Mapa"/>
    <hyperlink ref="L8851" r:id="rId8849" tooltip="🔗 Ver Mapa" display="🔗 Ver Mapa"/>
    <hyperlink ref="L8852" r:id="rId8850" tooltip="🔗 Ver Mapa" display="🔗 Ver Mapa"/>
    <hyperlink ref="L8853" r:id="rId8851" tooltip="🔗 Ver Mapa" display="🔗 Ver Mapa"/>
    <hyperlink ref="L8854" r:id="rId8852" tooltip="🔗 Ver Mapa" display="🔗 Ver Mapa"/>
    <hyperlink ref="L8855" r:id="rId8853" tooltip="🔗 Ver Mapa" display="🔗 Ver Mapa"/>
    <hyperlink ref="L8856" r:id="rId8854" tooltip="🔗 Ver Mapa" display="🔗 Ver Mapa"/>
    <hyperlink ref="L8857" r:id="rId8855" tooltip="🔗 Ver Mapa" display="🔗 Ver Mapa"/>
    <hyperlink ref="L8858" r:id="rId8856" tooltip="🔗 Ver Mapa" display="🔗 Ver Mapa"/>
    <hyperlink ref="L8859" r:id="rId8857" tooltip="🔗 Ver Mapa" display="🔗 Ver Mapa"/>
    <hyperlink ref="L8860" r:id="rId8858" tooltip="🔗 Ver Mapa" display="🔗 Ver Mapa"/>
    <hyperlink ref="L8861" r:id="rId8859" tooltip="🔗 Ver Mapa" display="🔗 Ver Mapa"/>
    <hyperlink ref="L8862" r:id="rId8860" tooltip="🔗 Ver Mapa" display="🔗 Ver Mapa"/>
    <hyperlink ref="L8863" r:id="rId8861" tooltip="🔗 Ver Mapa" display="🔗 Ver Mapa"/>
    <hyperlink ref="L8864" r:id="rId8862" tooltip="🔗 Ver Mapa" display="🔗 Ver Mapa"/>
    <hyperlink ref="L8865" r:id="rId8863" tooltip="🔗 Ver Mapa" display="🔗 Ver Mapa"/>
    <hyperlink ref="L8866" r:id="rId8864" tooltip="🔗 Ver Mapa" display="🔗 Ver Mapa"/>
    <hyperlink ref="L8867" r:id="rId8865" tooltip="🔗 Ver Mapa" display="🔗 Ver Mapa"/>
    <hyperlink ref="L8868" r:id="rId8866" tooltip="🔗 Ver Mapa" display="🔗 Ver Mapa"/>
    <hyperlink ref="L8869" r:id="rId8867" tooltip="🔗 Ver Mapa" display="🔗 Ver Mapa"/>
    <hyperlink ref="L8870" r:id="rId8868" tooltip="🔗 Ver Mapa" display="🔗 Ver Mapa"/>
    <hyperlink ref="L8871" r:id="rId8869" tooltip="🔗 Ver Mapa" display="🔗 Ver Mapa"/>
    <hyperlink ref="L8872" r:id="rId8870" tooltip="🔗 Ver Mapa" display="🔗 Ver Mapa"/>
    <hyperlink ref="L8873" r:id="rId8871" tooltip="🔗 Ver Mapa" display="🔗 Ver Mapa"/>
    <hyperlink ref="L8874" r:id="rId8872" tooltip="🔗 Ver Mapa" display="🔗 Ver Mapa"/>
    <hyperlink ref="L8875" r:id="rId8873" tooltip="🔗 Ver Mapa" display="🔗 Ver Mapa"/>
    <hyperlink ref="L8876" r:id="rId8874" tooltip="🔗 Ver Mapa" display="🔗 Ver Mapa"/>
    <hyperlink ref="L8877" r:id="rId8875" tooltip="🔗 Ver Mapa" display="🔗 Ver Mapa"/>
    <hyperlink ref="L8878" r:id="rId8876" tooltip="🔗 Ver Mapa" display="🔗 Ver Mapa"/>
    <hyperlink ref="L8879" r:id="rId8877" tooltip="🔗 Ver Mapa" display="🔗 Ver Mapa"/>
    <hyperlink ref="L8880" r:id="rId8878" tooltip="🔗 Ver Mapa" display="🔗 Ver Mapa"/>
    <hyperlink ref="L8881" r:id="rId8879" tooltip="🔗 Ver Mapa" display="🔗 Ver Mapa"/>
    <hyperlink ref="L8882" r:id="rId8880" tooltip="🔗 Ver Mapa" display="🔗 Ver Mapa"/>
    <hyperlink ref="L8883" r:id="rId8881" tooltip="🔗 Ver Mapa" display="🔗 Ver Mapa"/>
    <hyperlink ref="L8884" r:id="rId8882" tooltip="🔗 Ver Mapa" display="🔗 Ver Mapa"/>
    <hyperlink ref="L8885" r:id="rId8883" tooltip="🔗 Ver Mapa" display="🔗 Ver Mapa"/>
    <hyperlink ref="L8886" r:id="rId8884" tooltip="🔗 Ver Mapa" display="🔗 Ver Mapa"/>
    <hyperlink ref="L8887" r:id="rId8885" tooltip="🔗 Ver Mapa" display="🔗 Ver Mapa"/>
    <hyperlink ref="L8888" r:id="rId8886" tooltip="🔗 Ver Mapa" display="🔗 Ver Mapa"/>
    <hyperlink ref="L8889" r:id="rId8887" tooltip="🔗 Ver Mapa" display="🔗 Ver Mapa"/>
    <hyperlink ref="L8890" r:id="rId8888" tooltip="🔗 Ver Mapa" display="🔗 Ver Mapa"/>
    <hyperlink ref="L8891" r:id="rId8889" tooltip="🔗 Ver Mapa" display="🔗 Ver Mapa"/>
    <hyperlink ref="L8892" r:id="rId8890" tooltip="🔗 Ver Mapa" display="🔗 Ver Mapa"/>
    <hyperlink ref="L8893" r:id="rId8891" tooltip="🔗 Ver Mapa" display="🔗 Ver Mapa"/>
    <hyperlink ref="L8894" r:id="rId8892" tooltip="🔗 Ver Mapa" display="🔗 Ver Mapa"/>
    <hyperlink ref="L8895" r:id="rId8893" tooltip="🔗 Ver Mapa" display="🔗 Ver Mapa"/>
    <hyperlink ref="L8896" r:id="rId8894" tooltip="🔗 Ver Mapa" display="🔗 Ver Mapa"/>
    <hyperlink ref="L8897" r:id="rId8895" tooltip="🔗 Ver Mapa" display="🔗 Ver Mapa"/>
    <hyperlink ref="L8898" r:id="rId8896" tooltip="🔗 Ver Mapa" display="🔗 Ver Mapa"/>
    <hyperlink ref="L8899" r:id="rId8897" tooltip="🔗 Ver Mapa" display="🔗 Ver Mapa"/>
    <hyperlink ref="L8900" r:id="rId8898" tooltip="🔗 Ver Mapa" display="🔗 Ver Mapa"/>
    <hyperlink ref="L8901" r:id="rId8899" tooltip="🔗 Ver Mapa" display="🔗 Ver Mapa"/>
    <hyperlink ref="L8902" r:id="rId8900" tooltip="🔗 Ver Mapa" display="🔗 Ver Mapa"/>
    <hyperlink ref="L8903" r:id="rId8901" tooltip="🔗 Ver Mapa" display="🔗 Ver Mapa"/>
    <hyperlink ref="L8904" r:id="rId8902" tooltip="🔗 Ver Mapa" display="🔗 Ver Mapa"/>
    <hyperlink ref="L8905" r:id="rId8903" tooltip="🔗 Ver Mapa" display="🔗 Ver Mapa"/>
    <hyperlink ref="L8906" r:id="rId8904" tooltip="🔗 Ver Mapa" display="🔗 Ver Mapa"/>
    <hyperlink ref="L8907" r:id="rId8905" tooltip="🔗 Ver Mapa" display="🔗 Ver Mapa"/>
    <hyperlink ref="L8908" r:id="rId8906" tooltip="🔗 Ver Mapa" display="🔗 Ver Mapa"/>
    <hyperlink ref="L8909" r:id="rId8907" tooltip="🔗 Ver Mapa" display="🔗 Ver Mapa"/>
    <hyperlink ref="L8910" r:id="rId8908" tooltip="🔗 Ver Mapa" display="🔗 Ver Mapa"/>
    <hyperlink ref="L8911" r:id="rId8909" tooltip="🔗 Ver Mapa" display="🔗 Ver Mapa"/>
    <hyperlink ref="L8912" r:id="rId8910" tooltip="🔗 Ver Mapa" display="🔗 Ver Mapa"/>
    <hyperlink ref="L8913" r:id="rId8911" tooltip="🔗 Ver Mapa" display="🔗 Ver Mapa"/>
    <hyperlink ref="L8914" r:id="rId8912" tooltip="🔗 Ver Mapa" display="🔗 Ver Mapa"/>
    <hyperlink ref="L8915" r:id="rId8913" tooltip="🔗 Ver Mapa" display="🔗 Ver Mapa"/>
    <hyperlink ref="L8916" r:id="rId8914" tooltip="🔗 Ver Mapa" display="🔗 Ver Mapa"/>
    <hyperlink ref="L8917" r:id="rId8915" tooltip="🔗 Ver Mapa" display="🔗 Ver Mapa"/>
    <hyperlink ref="L8918" r:id="rId8916" tooltip="🔗 Ver Mapa" display="🔗 Ver Mapa"/>
    <hyperlink ref="L8919" r:id="rId8917" tooltip="🔗 Ver Mapa" display="🔗 Ver Mapa"/>
    <hyperlink ref="L8920" r:id="rId8918" tooltip="🔗 Ver Mapa" display="🔗 Ver Mapa"/>
    <hyperlink ref="L8921" r:id="rId8919" tooltip="🔗 Ver Mapa" display="🔗 Ver Mapa"/>
    <hyperlink ref="L8922" r:id="rId8920" tooltip="🔗 Ver Mapa" display="🔗 Ver Mapa"/>
    <hyperlink ref="L8923" r:id="rId8921" tooltip="🔗 Ver Mapa" display="🔗 Ver Mapa"/>
    <hyperlink ref="L8924" r:id="rId8922" tooltip="🔗 Ver Mapa" display="🔗 Ver Mapa"/>
    <hyperlink ref="L8925" r:id="rId8923" tooltip="🔗 Ver Mapa" display="🔗 Ver Mapa"/>
    <hyperlink ref="L8926" r:id="rId8924" tooltip="🔗 Ver Mapa" display="🔗 Ver Mapa"/>
    <hyperlink ref="L8927" r:id="rId8925" tooltip="🔗 Ver Mapa" display="🔗 Ver Mapa"/>
    <hyperlink ref="L8928" r:id="rId8926" tooltip="🔗 Ver Mapa" display="🔗 Ver Mapa"/>
    <hyperlink ref="L8929" r:id="rId8927" tooltip="🔗 Ver Mapa" display="🔗 Ver Mapa"/>
    <hyperlink ref="L8930" r:id="rId8928" tooltip="🔗 Ver Mapa" display="🔗 Ver Mapa"/>
    <hyperlink ref="L8931" r:id="rId8929" tooltip="🔗 Ver Mapa" display="🔗 Ver Mapa"/>
    <hyperlink ref="L8932" r:id="rId8930" tooltip="🔗 Ver Mapa" display="🔗 Ver Mapa"/>
    <hyperlink ref="L8933" r:id="rId8931" tooltip="🔗 Ver Mapa" display="🔗 Ver Mapa"/>
    <hyperlink ref="L8934" r:id="rId8932" tooltip="🔗 Ver Mapa" display="🔗 Ver Mapa"/>
    <hyperlink ref="L8935" r:id="rId8933" tooltip="🔗 Ver Mapa" display="🔗 Ver Mapa"/>
    <hyperlink ref="L8936" r:id="rId8934" tooltip="🔗 Ver Mapa" display="🔗 Ver Mapa"/>
    <hyperlink ref="L8937" r:id="rId8935" tooltip="🔗 Ver Mapa" display="🔗 Ver Mapa"/>
    <hyperlink ref="L8938" r:id="rId8936" tooltip="🔗 Ver Mapa" display="🔗 Ver Mapa"/>
    <hyperlink ref="L8939" r:id="rId8937" tooltip="🔗 Ver Mapa" display="🔗 Ver Mapa"/>
    <hyperlink ref="L8940" r:id="rId8938" tooltip="🔗 Ver Mapa" display="🔗 Ver Mapa"/>
    <hyperlink ref="L8941" r:id="rId8939" tooltip="🔗 Ver Mapa" display="🔗 Ver Mapa"/>
    <hyperlink ref="L8942" r:id="rId8940" tooltip="🔗 Ver Mapa" display="🔗 Ver Mapa"/>
    <hyperlink ref="L8943" r:id="rId8941" tooltip="🔗 Ver Mapa" display="🔗 Ver Mapa"/>
    <hyperlink ref="L8944" r:id="rId8942" tooltip="🔗 Ver Mapa" display="🔗 Ver Mapa"/>
    <hyperlink ref="L8945" r:id="rId8943" tooltip="🔗 Ver Mapa" display="🔗 Ver Mapa"/>
    <hyperlink ref="L8946" r:id="rId8944" tooltip="🔗 Ver Mapa" display="🔗 Ver Mapa"/>
    <hyperlink ref="L8947" r:id="rId8945" tooltip="🔗 Ver Mapa" display="🔗 Ver Mapa"/>
    <hyperlink ref="L8948" r:id="rId8946" tooltip="🔗 Ver Mapa" display="🔗 Ver Mapa"/>
    <hyperlink ref="L8949" r:id="rId8947" tooltip="🔗 Ver Mapa" display="🔗 Ver Mapa"/>
    <hyperlink ref="L8950" r:id="rId8948" tooltip="🔗 Ver Mapa" display="🔗 Ver Mapa"/>
    <hyperlink ref="L8951" r:id="rId8949" tooltip="🔗 Ver Mapa" display="🔗 Ver Mapa"/>
    <hyperlink ref="L8952" r:id="rId8950" tooltip="🔗 Ver Mapa" display="🔗 Ver Mapa"/>
    <hyperlink ref="L8953" r:id="rId8951" tooltip="🔗 Ver Mapa" display="🔗 Ver Mapa"/>
    <hyperlink ref="L8954" r:id="rId8952" tooltip="🔗 Ver Mapa" display="🔗 Ver Mapa"/>
    <hyperlink ref="L8955" r:id="rId8953" tooltip="🔗 Ver Mapa" display="🔗 Ver Mapa"/>
    <hyperlink ref="L8956" r:id="rId8954" tooltip="🔗 Ver Mapa" display="🔗 Ver Mapa"/>
    <hyperlink ref="L8957" r:id="rId8955" tooltip="🔗 Ver Mapa" display="🔗 Ver Mapa"/>
    <hyperlink ref="L8958" r:id="rId8956" tooltip="🔗 Ver Mapa" display="🔗 Ver Mapa"/>
    <hyperlink ref="L8959" r:id="rId8957" tooltip="🔗 Ver Mapa" display="🔗 Ver Mapa"/>
    <hyperlink ref="L8960" r:id="rId8958" tooltip="🔗 Ver Mapa" display="🔗 Ver Mapa"/>
    <hyperlink ref="L8961" r:id="rId8959" tooltip="🔗 Ver Mapa" display="🔗 Ver Mapa"/>
    <hyperlink ref="L8962" r:id="rId8960" tooltip="🔗 Ver Mapa" display="🔗 Ver Mapa"/>
    <hyperlink ref="L8963" r:id="rId8961" tooltip="🔗 Ver Mapa" display="🔗 Ver Mapa"/>
    <hyperlink ref="L8964" r:id="rId8962" tooltip="🔗 Ver Mapa" display="🔗 Ver Mapa"/>
    <hyperlink ref="L8965" r:id="rId8963" tooltip="🔗 Ver Mapa" display="🔗 Ver Mapa"/>
    <hyperlink ref="L8966" r:id="rId8964" tooltip="🔗 Ver Mapa" display="🔗 Ver Mapa"/>
    <hyperlink ref="L8967" r:id="rId8965" tooltip="🔗 Ver Mapa" display="🔗 Ver Mapa"/>
    <hyperlink ref="L8968" r:id="rId8966" tooltip="🔗 Ver Mapa" display="🔗 Ver Mapa"/>
    <hyperlink ref="L8969" r:id="rId8967" tooltip="🔗 Ver Mapa" display="🔗 Ver Mapa"/>
    <hyperlink ref="L8970" r:id="rId8968" tooltip="🔗 Ver Mapa" display="🔗 Ver Mapa"/>
    <hyperlink ref="L8971" r:id="rId8969" tooltip="🔗 Ver Mapa" display="🔗 Ver Mapa"/>
    <hyperlink ref="L8972" r:id="rId8970" tooltip="🔗 Ver Mapa" display="🔗 Ver Mapa"/>
    <hyperlink ref="L8973" r:id="rId8971" tooltip="🔗 Ver Mapa" display="🔗 Ver Mapa"/>
    <hyperlink ref="L8974" r:id="rId8972" tooltip="🔗 Ver Mapa" display="🔗 Ver Mapa"/>
    <hyperlink ref="L8975" r:id="rId8973" tooltip="🔗 Ver Mapa" display="🔗 Ver Mapa"/>
    <hyperlink ref="L8976" r:id="rId8974" tooltip="🔗 Ver Mapa" display="🔗 Ver Mapa"/>
    <hyperlink ref="L8977" r:id="rId8975" tooltip="🔗 Ver Mapa" display="🔗 Ver Mapa"/>
    <hyperlink ref="L8978" r:id="rId8976" tooltip="🔗 Ver Mapa" display="🔗 Ver Mapa"/>
    <hyperlink ref="L8979" r:id="rId8977" tooltip="🔗 Ver Mapa" display="🔗 Ver Mapa"/>
    <hyperlink ref="L8980" r:id="rId8978" tooltip="🔗 Ver Mapa" display="🔗 Ver Mapa"/>
    <hyperlink ref="L8981" r:id="rId8979" tooltip="🔗 Ver Mapa" display="🔗 Ver Mapa"/>
    <hyperlink ref="L8982" r:id="rId8980" tooltip="🔗 Ver Mapa" display="🔗 Ver Mapa"/>
    <hyperlink ref="L8983" r:id="rId8981" tooltip="🔗 Ver Mapa" display="🔗 Ver Mapa"/>
    <hyperlink ref="L8984" r:id="rId8982" tooltip="🔗 Ver Mapa" display="🔗 Ver Mapa"/>
    <hyperlink ref="L8985" r:id="rId8983" tooltip="🔗 Ver Mapa" display="🔗 Ver Mapa"/>
    <hyperlink ref="L8986" r:id="rId8984" tooltip="🔗 Ver Mapa" display="🔗 Ver Mapa"/>
    <hyperlink ref="L8987" r:id="rId8985" tooltip="🔗 Ver Mapa" display="🔗 Ver Mapa"/>
    <hyperlink ref="L8988" r:id="rId8986" tooltip="🔗 Ver Mapa" display="🔗 Ver Mapa"/>
    <hyperlink ref="L8989" r:id="rId8987" tooltip="🔗 Ver Mapa" display="🔗 Ver Mapa"/>
    <hyperlink ref="L8990" r:id="rId8988" tooltip="🔗 Ver Mapa" display="🔗 Ver Mapa"/>
    <hyperlink ref="L8991" r:id="rId8989" tooltip="🔗 Ver Mapa" display="🔗 Ver Mapa"/>
    <hyperlink ref="L8992" r:id="rId8990" tooltip="🔗 Ver Mapa" display="🔗 Ver Mapa"/>
    <hyperlink ref="L8993" r:id="rId8991" tooltip="🔗 Ver Mapa" display="🔗 Ver Mapa"/>
    <hyperlink ref="L8994" r:id="rId8992" tooltip="🔗 Ver Mapa" display="🔗 Ver Mapa"/>
    <hyperlink ref="L8995" r:id="rId8993" tooltip="🔗 Ver Mapa" display="🔗 Ver Mapa"/>
    <hyperlink ref="L8996" r:id="rId8994" tooltip="🔗 Ver Mapa" display="🔗 Ver Mapa"/>
    <hyperlink ref="L8997" r:id="rId8995" tooltip="🔗 Ver Mapa" display="🔗 Ver Mapa"/>
    <hyperlink ref="L8998" r:id="rId8996" tooltip="🔗 Ver Mapa" display="🔗 Ver Mapa"/>
    <hyperlink ref="L8999" r:id="rId8997" tooltip="🔗 Ver Mapa" display="🔗 Ver Mapa"/>
    <hyperlink ref="L9000" r:id="rId8998" tooltip="🔗 Ver Mapa" display="🔗 Ver Mapa"/>
    <hyperlink ref="L9001" r:id="rId8999" tooltip="🔗 Ver Mapa" display="🔗 Ver Mapa"/>
    <hyperlink ref="L9002" r:id="rId9000" tooltip="🔗 Ver Mapa" display="🔗 Ver Mapa"/>
    <hyperlink ref="L9003" r:id="rId9001" tooltip="🔗 Ver Mapa" display="🔗 Ver Mapa"/>
    <hyperlink ref="L9004" r:id="rId9002" tooltip="🔗 Ver Mapa" display="🔗 Ver Mapa"/>
    <hyperlink ref="L9005" r:id="rId9003" tooltip="🔗 Ver Mapa" display="🔗 Ver Mapa"/>
    <hyperlink ref="L9006" r:id="rId9004" tooltip="🔗 Ver Mapa" display="🔗 Ver Mapa"/>
    <hyperlink ref="L9007" r:id="rId9005" tooltip="🔗 Ver Mapa" display="🔗 Ver Mapa"/>
    <hyperlink ref="L9008" r:id="rId9006" tooltip="🔗 Ver Mapa" display="🔗 Ver Mapa"/>
    <hyperlink ref="L9009" r:id="rId9007" tooltip="🔗 Ver Mapa" display="🔗 Ver Mapa"/>
    <hyperlink ref="L9010" r:id="rId9008" tooltip="🔗 Ver Mapa" display="🔗 Ver Mapa"/>
    <hyperlink ref="L9011" r:id="rId9009" tooltip="🔗 Ver Mapa" display="🔗 Ver Mapa"/>
    <hyperlink ref="L9012" r:id="rId9010" tooltip="🔗 Ver Mapa" display="🔗 Ver Mapa"/>
    <hyperlink ref="L9013" r:id="rId9011" tooltip="🔗 Ver Mapa" display="🔗 Ver Mapa"/>
    <hyperlink ref="L9014" r:id="rId9012" tooltip="🔗 Ver Mapa" display="🔗 Ver Mapa"/>
    <hyperlink ref="L9015" r:id="rId9013" tooltip="🔗 Ver Mapa" display="🔗 Ver Mapa"/>
    <hyperlink ref="L9016" r:id="rId9014" tooltip="🔗 Ver Mapa" display="🔗 Ver Mapa"/>
    <hyperlink ref="L9017" r:id="rId9015" tooltip="🔗 Ver Mapa" display="🔗 Ver Mapa"/>
    <hyperlink ref="L9018" r:id="rId9016" tooltip="🔗 Ver Mapa" display="🔗 Ver Mapa"/>
    <hyperlink ref="L9019" r:id="rId9017" tooltip="🔗 Ver Mapa" display="🔗 Ver Mapa"/>
    <hyperlink ref="L9020" r:id="rId9018" tooltip="🔗 Ver Mapa" display="🔗 Ver Mapa"/>
    <hyperlink ref="L9021" r:id="rId9019" tooltip="🔗 Ver Mapa" display="🔗 Ver Mapa"/>
    <hyperlink ref="L9022" r:id="rId9020" tooltip="🔗 Ver Mapa" display="🔗 Ver Mapa"/>
    <hyperlink ref="L9023" r:id="rId9021" tooltip="🔗 Ver Mapa" display="🔗 Ver Mapa"/>
    <hyperlink ref="L9024" r:id="rId9022" tooltip="🔗 Ver Mapa" display="🔗 Ver Mapa"/>
    <hyperlink ref="L9025" r:id="rId9023" tooltip="🔗 Ver Mapa" display="🔗 Ver Mapa"/>
    <hyperlink ref="L9026" r:id="rId9024" tooltip="🔗 Ver Mapa" display="🔗 Ver Mapa"/>
    <hyperlink ref="L9027" r:id="rId9025" tooltip="🔗 Ver Mapa" display="🔗 Ver Mapa"/>
    <hyperlink ref="L9028" r:id="rId9026" tooltip="🔗 Ver Mapa" display="🔗 Ver Mapa"/>
    <hyperlink ref="L9029" r:id="rId9027" tooltip="🔗 Ver Mapa" display="🔗 Ver Mapa"/>
    <hyperlink ref="L9030" r:id="rId9028" tooltip="🔗 Ver Mapa" display="🔗 Ver Mapa"/>
    <hyperlink ref="L9031" r:id="rId9029" tooltip="🔗 Ver Mapa" display="🔗 Ver Mapa"/>
    <hyperlink ref="L9032" r:id="rId9030" tooltip="🔗 Ver Mapa" display="🔗 Ver Mapa"/>
    <hyperlink ref="L9033" r:id="rId9031" tooltip="🔗 Ver Mapa" display="🔗 Ver Mapa"/>
    <hyperlink ref="L9034" r:id="rId9032" tooltip="🔗 Ver Mapa" display="🔗 Ver Mapa"/>
    <hyperlink ref="L9035" r:id="rId9033" tooltip="🔗 Ver Mapa" display="🔗 Ver Mapa"/>
    <hyperlink ref="L9036" r:id="rId9034" tooltip="🔗 Ver Mapa" display="🔗 Ver Mapa"/>
    <hyperlink ref="L9037" r:id="rId9035" tooltip="🔗 Ver Mapa" display="🔗 Ver Mapa"/>
    <hyperlink ref="L9038" r:id="rId9036" tooltip="🔗 Ver Mapa" display="🔗 Ver Mapa"/>
    <hyperlink ref="L9039" r:id="rId9037" tooltip="🔗 Ver Mapa" display="🔗 Ver Mapa"/>
    <hyperlink ref="L9040" r:id="rId9038" tooltip="🔗 Ver Mapa" display="🔗 Ver Mapa"/>
    <hyperlink ref="L9041" r:id="rId9039" tooltip="🔗 Ver Mapa" display="🔗 Ver Mapa"/>
    <hyperlink ref="L9042" r:id="rId9040" tooltip="🔗 Ver Mapa" display="🔗 Ver Mapa"/>
    <hyperlink ref="L9043" r:id="rId9041" tooltip="🔗 Ver Mapa" display="🔗 Ver Mapa"/>
    <hyperlink ref="L9044" r:id="rId9042" tooltip="🔗 Ver Mapa" display="🔗 Ver Mapa"/>
    <hyperlink ref="L9045" r:id="rId9043" tooltip="🔗 Ver Mapa" display="🔗 Ver Mapa"/>
    <hyperlink ref="L9046" r:id="rId9044" tooltip="🔗 Ver Mapa" display="🔗 Ver Mapa"/>
    <hyperlink ref="L9047" r:id="rId9045" tooltip="🔗 Ver Mapa" display="🔗 Ver Mapa"/>
    <hyperlink ref="L9048" r:id="rId9046" tooltip="🔗 Ver Mapa" display="🔗 Ver Mapa"/>
    <hyperlink ref="L9049" r:id="rId9047" tooltip="🔗 Ver Mapa" display="🔗 Ver Mapa"/>
    <hyperlink ref="L9050" r:id="rId9048" tooltip="🔗 Ver Mapa" display="🔗 Ver Mapa"/>
    <hyperlink ref="L9051" r:id="rId9049" tooltip="🔗 Ver Mapa" display="🔗 Ver Mapa"/>
    <hyperlink ref="L9052" r:id="rId9050" tooltip="🔗 Ver Mapa" display="🔗 Ver Mapa"/>
    <hyperlink ref="L9053" r:id="rId9051" tooltip="🔗 Ver Mapa" display="🔗 Ver Mapa"/>
    <hyperlink ref="L9054" r:id="rId9052" tooltip="🔗 Ver Mapa" display="🔗 Ver Mapa"/>
    <hyperlink ref="L9055" r:id="rId9053" tooltip="🔗 Ver Mapa" display="🔗 Ver Mapa"/>
    <hyperlink ref="L9056" r:id="rId9054" tooltip="🔗 Ver Mapa" display="🔗 Ver Mapa"/>
    <hyperlink ref="L9057" r:id="rId9055" tooltip="🔗 Ver Mapa" display="🔗 Ver Mapa"/>
    <hyperlink ref="L9058" r:id="rId9056" tooltip="🔗 Ver Mapa" display="🔗 Ver Mapa"/>
    <hyperlink ref="L9059" r:id="rId9057" tooltip="🔗 Ver Mapa" display="🔗 Ver Mapa"/>
    <hyperlink ref="L9060" r:id="rId9058" tooltip="🔗 Ver Mapa" display="🔗 Ver Mapa"/>
    <hyperlink ref="L9061" r:id="rId9059" tooltip="🔗 Ver Mapa" display="🔗 Ver Mapa"/>
    <hyperlink ref="L9062" r:id="rId9060" tooltip="🔗 Ver Mapa" display="🔗 Ver Mapa"/>
    <hyperlink ref="L9063" r:id="rId9061" tooltip="🔗 Ver Mapa" display="🔗 Ver Mapa"/>
    <hyperlink ref="L9064" r:id="rId9062" tooltip="🔗 Ver Mapa" display="🔗 Ver Mapa"/>
    <hyperlink ref="L9065" r:id="rId9063" tooltip="🔗 Ver Mapa" display="🔗 Ver Mapa"/>
    <hyperlink ref="L9066" r:id="rId9064" tooltip="🔗 Ver Mapa" display="🔗 Ver Mapa"/>
    <hyperlink ref="L9067" r:id="rId9065" tooltip="🔗 Ver Mapa" display="🔗 Ver Mapa"/>
    <hyperlink ref="L9068" r:id="rId9066" tooltip="🔗 Ver Mapa" display="🔗 Ver Mapa"/>
    <hyperlink ref="L9069" r:id="rId9067" tooltip="🔗 Ver Mapa" display="🔗 Ver Mapa"/>
    <hyperlink ref="L9070" r:id="rId9068" tooltip="🔗 Ver Mapa" display="🔗 Ver Mapa"/>
    <hyperlink ref="L9071" r:id="rId9069" tooltip="🔗 Ver Mapa" display="🔗 Ver Mapa"/>
    <hyperlink ref="L9072" r:id="rId9070" tooltip="🔗 Ver Mapa" display="🔗 Ver Mapa"/>
    <hyperlink ref="L9073" r:id="rId9071" tooltip="🔗 Ver Mapa" display="🔗 Ver Mapa"/>
    <hyperlink ref="L9074" r:id="rId9072" tooltip="🔗 Ver Mapa" display="🔗 Ver Mapa"/>
    <hyperlink ref="L9075" r:id="rId9073" tooltip="🔗 Ver Mapa" display="🔗 Ver Mapa"/>
    <hyperlink ref="L9076" r:id="rId9074" tooltip="🔗 Ver Mapa" display="🔗 Ver Mapa"/>
    <hyperlink ref="L9077" r:id="rId9075" tooltip="🔗 Ver Mapa" display="🔗 Ver Mapa"/>
    <hyperlink ref="L9078" r:id="rId9076" tooltip="🔗 Ver Mapa" display="🔗 Ver Mapa"/>
    <hyperlink ref="L9079" r:id="rId9077" tooltip="🔗 Ver Mapa" display="🔗 Ver Mapa"/>
    <hyperlink ref="L9080" r:id="rId9078" tooltip="🔗 Ver Mapa" display="🔗 Ver Mapa"/>
    <hyperlink ref="L9081" r:id="rId9079" tooltip="🔗 Ver Mapa" display="🔗 Ver Mapa"/>
    <hyperlink ref="L9082" r:id="rId9080" tooltip="🔗 Ver Mapa" display="🔗 Ver Mapa"/>
    <hyperlink ref="L9083" r:id="rId9081" tooltip="🔗 Ver Mapa" display="🔗 Ver Mapa"/>
    <hyperlink ref="L9084" r:id="rId9082" tooltip="🔗 Ver Mapa" display="🔗 Ver Mapa"/>
    <hyperlink ref="L9085" r:id="rId9083" tooltip="🔗 Ver Mapa" display="🔗 Ver Mapa"/>
    <hyperlink ref="L9086" r:id="rId9084" tooltip="🔗 Ver Mapa" display="🔗 Ver Mapa"/>
    <hyperlink ref="L9087" r:id="rId9085" tooltip="🔗 Ver Mapa" display="🔗 Ver Mapa"/>
    <hyperlink ref="L9088" r:id="rId9086" tooltip="🔗 Ver Mapa" display="🔗 Ver Mapa"/>
    <hyperlink ref="L9089" r:id="rId9087" tooltip="🔗 Ver Mapa" display="🔗 Ver Mapa"/>
    <hyperlink ref="L9090" r:id="rId9088" tooltip="🔗 Ver Mapa" display="🔗 Ver Mapa"/>
    <hyperlink ref="L9091" r:id="rId9089" tooltip="🔗 Ver Mapa" display="🔗 Ver Mapa"/>
    <hyperlink ref="L9092" r:id="rId9090" tooltip="🔗 Ver Mapa" display="🔗 Ver Mapa"/>
    <hyperlink ref="L9093" r:id="rId9091" tooltip="🔗 Ver Mapa" display="🔗 Ver Mapa"/>
    <hyperlink ref="L9094" r:id="rId9092" tooltip="🔗 Ver Mapa" display="🔗 Ver Mapa"/>
    <hyperlink ref="L9095" r:id="rId9093" tooltip="🔗 Ver Mapa" display="🔗 Ver Mapa"/>
    <hyperlink ref="L9096" r:id="rId9094" tooltip="🔗 Ver Mapa" display="🔗 Ver Mapa"/>
    <hyperlink ref="L9097" r:id="rId9095" tooltip="🔗 Ver Mapa" display="🔗 Ver Mapa"/>
    <hyperlink ref="L9098" r:id="rId9096" tooltip="🔗 Ver Mapa" display="🔗 Ver Mapa"/>
    <hyperlink ref="L9099" r:id="rId9097" tooltip="🔗 Ver Mapa" display="🔗 Ver Mapa"/>
    <hyperlink ref="L9100" r:id="rId9098" tooltip="🔗 Ver Mapa" display="🔗 Ver Mapa"/>
    <hyperlink ref="L9101" r:id="rId9099" tooltip="🔗 Ver Mapa" display="🔗 Ver Mapa"/>
    <hyperlink ref="L9102" r:id="rId9100" tooltip="🔗 Ver Mapa" display="🔗 Ver Mapa"/>
    <hyperlink ref="L9103" r:id="rId9101" tooltip="🔗 Ver Mapa" display="🔗 Ver Mapa"/>
    <hyperlink ref="L9104" r:id="rId9102" tooltip="🔗 Ver Mapa" display="🔗 Ver Mapa"/>
    <hyperlink ref="L9105" r:id="rId9103" tooltip="🔗 Ver Mapa" display="🔗 Ver Mapa"/>
    <hyperlink ref="L9106" r:id="rId9104" tooltip="🔗 Ver Mapa" display="🔗 Ver Mapa"/>
    <hyperlink ref="L9107" r:id="rId9105" tooltip="🔗 Ver Mapa" display="🔗 Ver Mapa"/>
    <hyperlink ref="L9108" r:id="rId9106" tooltip="🔗 Ver Mapa" display="🔗 Ver Mapa"/>
    <hyperlink ref="L9109" r:id="rId9107" tooltip="🔗 Ver Mapa" display="🔗 Ver Mapa"/>
    <hyperlink ref="L9110" r:id="rId9108" tooltip="🔗 Ver Mapa" display="🔗 Ver Mapa"/>
    <hyperlink ref="L9111" r:id="rId9109" tooltip="🔗 Ver Mapa" display="🔗 Ver Mapa"/>
    <hyperlink ref="L9112" r:id="rId9110" tooltip="🔗 Ver Mapa" display="🔗 Ver Mapa"/>
    <hyperlink ref="L9113" r:id="rId9111" tooltip="🔗 Ver Mapa" display="🔗 Ver Mapa"/>
    <hyperlink ref="L9114" r:id="rId9112" tooltip="🔗 Ver Mapa" display="🔗 Ver Mapa"/>
    <hyperlink ref="L9115" r:id="rId9113" tooltip="🔗 Ver Mapa" display="🔗 Ver Mapa"/>
    <hyperlink ref="L9116" r:id="rId9114" tooltip="🔗 Ver Mapa" display="🔗 Ver Mapa"/>
    <hyperlink ref="L9117" r:id="rId9115" tooltip="🔗 Ver Mapa" display="🔗 Ver Mapa"/>
    <hyperlink ref="L9118" r:id="rId9116" tooltip="🔗 Ver Mapa" display="🔗 Ver Mapa"/>
    <hyperlink ref="L9119" r:id="rId9117" tooltip="🔗 Ver Mapa" display="🔗 Ver Mapa"/>
    <hyperlink ref="L9120" r:id="rId9118" tooltip="🔗 Ver Mapa" display="🔗 Ver Mapa"/>
    <hyperlink ref="L9121" r:id="rId9119" tooltip="🔗 Ver Mapa" display="🔗 Ver Mapa"/>
    <hyperlink ref="L9122" r:id="rId9120" tooltip="🔗 Ver Mapa" display="🔗 Ver Mapa"/>
    <hyperlink ref="L9123" r:id="rId9121" tooltip="🔗 Ver Mapa" display="🔗 Ver Mapa"/>
    <hyperlink ref="L9124" r:id="rId9122" tooltip="🔗 Ver Mapa" display="🔗 Ver Mapa"/>
    <hyperlink ref="L9125" r:id="rId9123" tooltip="🔗 Ver Mapa" display="🔗 Ver Mapa"/>
    <hyperlink ref="L9126" r:id="rId9124" tooltip="🔗 Ver Mapa" display="🔗 Ver Mapa"/>
    <hyperlink ref="L9127" r:id="rId9125" tooltip="🔗 Ver Mapa" display="🔗 Ver Mapa"/>
    <hyperlink ref="L9128" r:id="rId9126" tooltip="🔗 Ver Mapa" display="🔗 Ver Mapa"/>
    <hyperlink ref="L9129" r:id="rId9127" tooltip="🔗 Ver Mapa" display="🔗 Ver Mapa"/>
    <hyperlink ref="L9130" r:id="rId9128" tooltip="🔗 Ver Mapa" display="🔗 Ver Mapa"/>
    <hyperlink ref="L9131" r:id="rId9129" tooltip="🔗 Ver Mapa" display="🔗 Ver Mapa"/>
    <hyperlink ref="L9132" r:id="rId9130" tooltip="🔗 Ver Mapa" display="🔗 Ver Mapa"/>
    <hyperlink ref="L9133" r:id="rId9131" tooltip="🔗 Ver Mapa" display="🔗 Ver Mapa"/>
    <hyperlink ref="L9134" r:id="rId9132" tooltip="🔗 Ver Mapa" display="🔗 Ver Mapa"/>
    <hyperlink ref="L9135" r:id="rId9133" tooltip="🔗 Ver Mapa" display="🔗 Ver Mapa"/>
    <hyperlink ref="L9136" r:id="rId9134" tooltip="🔗 Ver Mapa" display="🔗 Ver Mapa"/>
    <hyperlink ref="L9137" r:id="rId9135" tooltip="🔗 Ver Mapa" display="🔗 Ver Mapa"/>
    <hyperlink ref="L9138" r:id="rId9136" tooltip="🔗 Ver Mapa" display="🔗 Ver Mapa"/>
    <hyperlink ref="L9139" r:id="rId9137" tooltip="🔗 Ver Mapa" display="🔗 Ver Mapa"/>
    <hyperlink ref="L9140" r:id="rId9138" tooltip="🔗 Ver Mapa" display="🔗 Ver Mapa"/>
    <hyperlink ref="L9141" r:id="rId9139" tooltip="🔗 Ver Mapa" display="🔗 Ver Mapa"/>
    <hyperlink ref="L9142" r:id="rId9140" tooltip="🔗 Ver Mapa" display="🔗 Ver Mapa"/>
    <hyperlink ref="L9143" r:id="rId9141" tooltip="🔗 Ver Mapa" display="🔗 Ver Mapa"/>
    <hyperlink ref="L9144" r:id="rId9142" tooltip="🔗 Ver Mapa" display="🔗 Ver Mapa"/>
    <hyperlink ref="L9145" r:id="rId9143" tooltip="🔗 Ver Mapa" display="🔗 Ver Mapa"/>
    <hyperlink ref="L9146" r:id="rId9144" tooltip="🔗 Ver Mapa" display="🔗 Ver Mapa"/>
    <hyperlink ref="L9147" r:id="rId9145" tooltip="🔗 Ver Mapa" display="🔗 Ver Mapa"/>
    <hyperlink ref="L9148" r:id="rId9146" tooltip="🔗 Ver Mapa" display="🔗 Ver Mapa"/>
    <hyperlink ref="L9149" r:id="rId9147" tooltip="🔗 Ver Mapa" display="🔗 Ver Mapa"/>
    <hyperlink ref="L9150" r:id="rId9148" tooltip="🔗 Ver Mapa" display="🔗 Ver Mapa"/>
    <hyperlink ref="L9151" r:id="rId9149" tooltip="🔗 Ver Mapa" display="🔗 Ver Mapa"/>
    <hyperlink ref="L9152" r:id="rId9150" tooltip="🔗 Ver Mapa" display="🔗 Ver Mapa"/>
    <hyperlink ref="L9153" r:id="rId9151" tooltip="🔗 Ver Mapa" display="🔗 Ver Mapa"/>
    <hyperlink ref="L9154" r:id="rId9152" tooltip="🔗 Ver Mapa" display="🔗 Ver Mapa"/>
    <hyperlink ref="L9155" r:id="rId9153" tooltip="🔗 Ver Mapa" display="🔗 Ver Mapa"/>
    <hyperlink ref="L9156" r:id="rId9154" tooltip="🔗 Ver Mapa" display="🔗 Ver Mapa"/>
    <hyperlink ref="L9157" r:id="rId9155" tooltip="🔗 Ver Mapa" display="🔗 Ver Mapa"/>
    <hyperlink ref="L9158" r:id="rId9156" tooltip="🔗 Ver Mapa" display="🔗 Ver Mapa"/>
    <hyperlink ref="L9159" r:id="rId9157" tooltip="🔗 Ver Mapa" display="🔗 Ver Mapa"/>
    <hyperlink ref="L9160" r:id="rId9158" tooltip="🔗 Ver Mapa" display="🔗 Ver Mapa"/>
    <hyperlink ref="L9161" r:id="rId9159" tooltip="🔗 Ver Mapa" display="🔗 Ver Mapa"/>
    <hyperlink ref="L9162" r:id="rId9160" tooltip="🔗 Ver Mapa" display="🔗 Ver Mapa"/>
    <hyperlink ref="L9163" r:id="rId9161" tooltip="🔗 Ver Mapa" display="🔗 Ver Mapa"/>
    <hyperlink ref="L9164" r:id="rId9162" tooltip="🔗 Ver Mapa" display="🔗 Ver Mapa"/>
    <hyperlink ref="L9165" r:id="rId9163" tooltip="🔗 Ver Mapa" display="🔗 Ver Mapa"/>
    <hyperlink ref="L9166" r:id="rId9164" tooltip="🔗 Ver Mapa" display="🔗 Ver Mapa"/>
    <hyperlink ref="L9167" r:id="rId9165" tooltip="🔗 Ver Mapa" display="🔗 Ver Mapa"/>
    <hyperlink ref="L9168" r:id="rId9166" tooltip="🔗 Ver Mapa" display="🔗 Ver Mapa"/>
    <hyperlink ref="L9169" r:id="rId9167" tooltip="🔗 Ver Mapa" display="🔗 Ver Mapa"/>
    <hyperlink ref="L9170" r:id="rId9168" tooltip="🔗 Ver Mapa" display="🔗 Ver Mapa"/>
    <hyperlink ref="L9171" r:id="rId9169" tooltip="🔗 Ver Mapa" display="🔗 Ver Mapa"/>
    <hyperlink ref="L9172" r:id="rId9170" tooltip="🔗 Ver Mapa" display="🔗 Ver Mapa"/>
    <hyperlink ref="L9173" r:id="rId9171" tooltip="🔗 Ver Mapa" display="🔗 Ver Mapa"/>
    <hyperlink ref="L9174" r:id="rId9172" tooltip="🔗 Ver Mapa" display="🔗 Ver Mapa"/>
    <hyperlink ref="L9175" r:id="rId9173" tooltip="🔗 Ver Mapa" display="🔗 Ver Mapa"/>
    <hyperlink ref="L9176" r:id="rId9174" tooltip="🔗 Ver Mapa" display="🔗 Ver Mapa"/>
    <hyperlink ref="L9177" r:id="rId9175" tooltip="🔗 Ver Mapa" display="🔗 Ver Mapa"/>
    <hyperlink ref="L9178" r:id="rId9176" tooltip="🔗 Ver Mapa" display="🔗 Ver Mapa"/>
    <hyperlink ref="L9179" r:id="rId9177" tooltip="🔗 Ver Mapa" display="🔗 Ver Mapa"/>
    <hyperlink ref="L9180" r:id="rId9178" tooltip="🔗 Ver Mapa" display="🔗 Ver Mapa"/>
    <hyperlink ref="L9181" r:id="rId9179" tooltip="🔗 Ver Mapa" display="🔗 Ver Mapa"/>
    <hyperlink ref="L9182" r:id="rId9180" tooltip="🔗 Ver Mapa" display="🔗 Ver Mapa"/>
    <hyperlink ref="L9183" r:id="rId9181" tooltip="🔗 Ver Mapa" display="🔗 Ver Mapa"/>
    <hyperlink ref="L9184" r:id="rId9182" tooltip="🔗 Ver Mapa" display="🔗 Ver Mapa"/>
    <hyperlink ref="L9185" r:id="rId9183" tooltip="🔗 Ver Mapa" display="🔗 Ver Mapa"/>
    <hyperlink ref="L9186" r:id="rId9184" tooltip="🔗 Ver Mapa" display="🔗 Ver Mapa"/>
    <hyperlink ref="L9187" r:id="rId9185" tooltip="🔗 Ver Mapa" display="🔗 Ver Mapa"/>
    <hyperlink ref="L9188" r:id="rId9186" tooltip="🔗 Ver Mapa" display="🔗 Ver Mapa"/>
    <hyperlink ref="L9189" r:id="rId9187" tooltip="🔗 Ver Mapa" display="🔗 Ver Mapa"/>
    <hyperlink ref="L9190" r:id="rId9188" tooltip="🔗 Ver Mapa" display="🔗 Ver Mapa"/>
    <hyperlink ref="L9191" r:id="rId9189" tooltip="🔗 Ver Mapa" display="🔗 Ver Mapa"/>
    <hyperlink ref="L9192" r:id="rId9190" tooltip="🔗 Ver Mapa" display="🔗 Ver Mapa"/>
    <hyperlink ref="L9193" r:id="rId9191" tooltip="🔗 Ver Mapa" display="🔗 Ver Mapa"/>
    <hyperlink ref="L9194" r:id="rId9192" tooltip="🔗 Ver Mapa" display="🔗 Ver Mapa"/>
    <hyperlink ref="L9195" r:id="rId9193" tooltip="🔗 Ver Mapa" display="🔗 Ver Mapa"/>
    <hyperlink ref="L9196" r:id="rId9194" tooltip="🔗 Ver Mapa" display="🔗 Ver Mapa"/>
    <hyperlink ref="L9197" r:id="rId9195" tooltip="🔗 Ver Mapa" display="🔗 Ver Mapa"/>
    <hyperlink ref="L9198" r:id="rId9196" tooltip="🔗 Ver Mapa" display="🔗 Ver Mapa"/>
    <hyperlink ref="L9199" r:id="rId9197" tooltip="🔗 Ver Mapa" display="🔗 Ver Mapa"/>
    <hyperlink ref="L9200" r:id="rId9198" tooltip="🔗 Ver Mapa" display="🔗 Ver Mapa"/>
    <hyperlink ref="L9201" r:id="rId9199" tooltip="🔗 Ver Mapa" display="🔗 Ver Mapa"/>
    <hyperlink ref="L9202" r:id="rId9200" tooltip="🔗 Ver Mapa" display="🔗 Ver Mapa"/>
    <hyperlink ref="L9203" r:id="rId9201" tooltip="🔗 Ver Mapa" display="🔗 Ver Mapa"/>
    <hyperlink ref="L9204" r:id="rId9202" tooltip="🔗 Ver Mapa" display="🔗 Ver Mapa"/>
    <hyperlink ref="L9205" r:id="rId9203" tooltip="🔗 Ver Mapa" display="🔗 Ver Mapa"/>
    <hyperlink ref="L9206" r:id="rId9204" tooltip="🔗 Ver Mapa" display="🔗 Ver Mapa"/>
    <hyperlink ref="L9207" r:id="rId9205" tooltip="🔗 Ver Mapa" display="🔗 Ver Mapa"/>
    <hyperlink ref="L9208" r:id="rId9206" tooltip="🔗 Ver Mapa" display="🔗 Ver Mapa"/>
    <hyperlink ref="L9209" r:id="rId9207" tooltip="🔗 Ver Mapa" display="🔗 Ver Mapa"/>
    <hyperlink ref="L9210" r:id="rId9208" tooltip="🔗 Ver Mapa" display="🔗 Ver Mapa"/>
    <hyperlink ref="L9211" r:id="rId9209" tooltip="🔗 Ver Mapa" display="🔗 Ver Mapa"/>
    <hyperlink ref="L9212" r:id="rId9210" tooltip="🔗 Ver Mapa" display="🔗 Ver Mapa"/>
    <hyperlink ref="L9213" r:id="rId9211" tooltip="🔗 Ver Mapa" display="🔗 Ver Mapa"/>
    <hyperlink ref="L9214" r:id="rId9212" tooltip="🔗 Ver Mapa" display="🔗 Ver Mapa"/>
    <hyperlink ref="L9215" r:id="rId9213" tooltip="🔗 Ver Mapa" display="🔗 Ver Mapa"/>
    <hyperlink ref="L9216" r:id="rId9214" tooltip="🔗 Ver Mapa" display="🔗 Ver Mapa"/>
    <hyperlink ref="L9217" r:id="rId9215" tooltip="🔗 Ver Mapa" display="🔗 Ver Mapa"/>
    <hyperlink ref="L9218" r:id="rId9216" tooltip="🔗 Ver Mapa" display="🔗 Ver Mapa"/>
    <hyperlink ref="L9219" r:id="rId9217" tooltip="🔗 Ver Mapa" display="🔗 Ver Mapa"/>
    <hyperlink ref="L9220" r:id="rId9218" tooltip="🔗 Ver Mapa" display="🔗 Ver Mapa"/>
    <hyperlink ref="L9221" r:id="rId9219" tooltip="🔗 Ver Mapa" display="🔗 Ver Mapa"/>
    <hyperlink ref="L9222" r:id="rId9220" tooltip="🔗 Ver Mapa" display="🔗 Ver Mapa"/>
    <hyperlink ref="L9223" r:id="rId9221" tooltip="🔗 Ver Mapa" display="🔗 Ver Mapa"/>
    <hyperlink ref="L9224" r:id="rId9222" tooltip="🔗 Ver Mapa" display="🔗 Ver Mapa"/>
    <hyperlink ref="L9225" r:id="rId9223" tooltip="🔗 Ver Mapa" display="🔗 Ver Mapa"/>
    <hyperlink ref="L9226" r:id="rId9224" tooltip="🔗 Ver Mapa" display="🔗 Ver Mapa"/>
    <hyperlink ref="L9227" r:id="rId9225" tooltip="🔗 Ver Mapa" display="🔗 Ver Mapa"/>
    <hyperlink ref="L9228" r:id="rId9226" tooltip="🔗 Ver Mapa" display="🔗 Ver Mapa"/>
    <hyperlink ref="L9229" r:id="rId9227" tooltip="🔗 Ver Mapa" display="🔗 Ver Mapa"/>
    <hyperlink ref="L9230" r:id="rId9228" tooltip="🔗 Ver Mapa" display="🔗 Ver Mapa"/>
    <hyperlink ref="L9231" r:id="rId9229" tooltip="🔗 Ver Mapa" display="🔗 Ver Mapa"/>
    <hyperlink ref="L9232" r:id="rId9230" tooltip="🔗 Ver Mapa" display="🔗 Ver Mapa"/>
    <hyperlink ref="L9233" r:id="rId9231" tooltip="🔗 Ver Mapa" display="🔗 Ver Mapa"/>
    <hyperlink ref="L9234" r:id="rId9232" tooltip="🔗 Ver Mapa" display="🔗 Ver Mapa"/>
    <hyperlink ref="L9235" r:id="rId9233" tooltip="🔗 Ver Mapa" display="🔗 Ver Mapa"/>
    <hyperlink ref="L9236" r:id="rId9234" tooltip="🔗 Ver Mapa" display="🔗 Ver Mapa"/>
    <hyperlink ref="L9237" r:id="rId9235" tooltip="🔗 Ver Mapa" display="🔗 Ver Mapa"/>
    <hyperlink ref="L9238" r:id="rId9236" tooltip="🔗 Ver Mapa" display="🔗 Ver Mapa"/>
    <hyperlink ref="L9239" r:id="rId9237" tooltip="🔗 Ver Mapa" display="🔗 Ver Mapa"/>
    <hyperlink ref="L9240" r:id="rId9238" tooltip="🔗 Ver Mapa" display="🔗 Ver Mapa"/>
    <hyperlink ref="L9241" r:id="rId9239" tooltip="🔗 Ver Mapa" display="🔗 Ver Mapa"/>
    <hyperlink ref="L9242" r:id="rId9240" tooltip="🔗 Ver Mapa" display="🔗 Ver Mapa"/>
    <hyperlink ref="L9243" r:id="rId9241" tooltip="🔗 Ver Mapa" display="🔗 Ver Mapa"/>
    <hyperlink ref="L9244" r:id="rId9242" tooltip="🔗 Ver Mapa" display="🔗 Ver Mapa"/>
    <hyperlink ref="L9245" r:id="rId9243" tooltip="🔗 Ver Mapa" display="🔗 Ver Mapa"/>
    <hyperlink ref="L9246" r:id="rId9244" tooltip="🔗 Ver Mapa" display="🔗 Ver Mapa"/>
    <hyperlink ref="L9247" r:id="rId9245" tooltip="🔗 Ver Mapa" display="🔗 Ver Mapa"/>
    <hyperlink ref="L9248" r:id="rId9246" tooltip="🔗 Ver Mapa" display="🔗 Ver Mapa"/>
    <hyperlink ref="L9249" r:id="rId9247" tooltip="🔗 Ver Mapa" display="🔗 Ver Mapa"/>
    <hyperlink ref="L9250" r:id="rId9248" tooltip="🔗 Ver Mapa" display="🔗 Ver Mapa"/>
    <hyperlink ref="L9251" r:id="rId9249" tooltip="🔗 Ver Mapa" display="🔗 Ver Mapa"/>
    <hyperlink ref="L9252" r:id="rId9250" tooltip="🔗 Ver Mapa" display="🔗 Ver Mapa"/>
    <hyperlink ref="L9253" r:id="rId9251" tooltip="🔗 Ver Mapa" display="🔗 Ver Mapa"/>
    <hyperlink ref="L9254" r:id="rId9252" tooltip="🔗 Ver Mapa" display="🔗 Ver Mapa"/>
    <hyperlink ref="L9255" r:id="rId9253" tooltip="🔗 Ver Mapa" display="🔗 Ver Mapa"/>
    <hyperlink ref="L9256" r:id="rId9254" tooltip="🔗 Ver Mapa" display="🔗 Ver Mapa"/>
    <hyperlink ref="L9257" r:id="rId9255" tooltip="🔗 Ver Mapa" display="🔗 Ver Mapa"/>
    <hyperlink ref="L9258" r:id="rId9256" tooltip="🔗 Ver Mapa" display="🔗 Ver Mapa"/>
    <hyperlink ref="L9259" r:id="rId9257" tooltip="🔗 Ver Mapa" display="🔗 Ver Mapa"/>
    <hyperlink ref="L9260" r:id="rId9258" tooltip="🔗 Ver Mapa" display="🔗 Ver Mapa"/>
    <hyperlink ref="L9261" r:id="rId9259" tooltip="🔗 Ver Mapa" display="🔗 Ver Mapa"/>
    <hyperlink ref="L9262" r:id="rId9260" tooltip="🔗 Ver Mapa" display="🔗 Ver Mapa"/>
    <hyperlink ref="L9263" r:id="rId9261" tooltip="🔗 Ver Mapa" display="🔗 Ver Mapa"/>
    <hyperlink ref="L9264" r:id="rId9262" tooltip="🔗 Ver Mapa" display="🔗 Ver Mapa"/>
    <hyperlink ref="L9265" r:id="rId9263" tooltip="🔗 Ver Mapa" display="🔗 Ver Mapa"/>
    <hyperlink ref="L9266" r:id="rId9264" tooltip="🔗 Ver Mapa" display="🔗 Ver Mapa"/>
    <hyperlink ref="L9267" r:id="rId9265" tooltip="🔗 Ver Mapa" display="🔗 Ver Mapa"/>
    <hyperlink ref="L9268" r:id="rId9266" tooltip="🔗 Ver Mapa" display="🔗 Ver Mapa"/>
    <hyperlink ref="L9269" r:id="rId9267" tooltip="🔗 Ver Mapa" display="🔗 Ver Mapa"/>
    <hyperlink ref="L9270" r:id="rId9268" tooltip="🔗 Ver Mapa" display="🔗 Ver Mapa"/>
    <hyperlink ref="L9271" r:id="rId9269" tooltip="🔗 Ver Mapa" display="🔗 Ver Mapa"/>
    <hyperlink ref="L9272" r:id="rId9270" tooltip="🔗 Ver Mapa" display="🔗 Ver Mapa"/>
    <hyperlink ref="L9273" r:id="rId9271" tooltip="🔗 Ver Mapa" display="🔗 Ver Mapa"/>
    <hyperlink ref="L9274" r:id="rId9272" tooltip="🔗 Ver Mapa" display="🔗 Ver Mapa"/>
    <hyperlink ref="L9275" r:id="rId9273" tooltip="🔗 Ver Mapa" display="🔗 Ver Mapa"/>
    <hyperlink ref="L9276" r:id="rId9274" tooltip="🔗 Ver Mapa" display="🔗 Ver Mapa"/>
    <hyperlink ref="L9277" r:id="rId9275" tooltip="🔗 Ver Mapa" display="🔗 Ver Mapa"/>
    <hyperlink ref="L9278" r:id="rId9276" tooltip="🔗 Ver Mapa" display="🔗 Ver Mapa"/>
    <hyperlink ref="L9279" r:id="rId9277" tooltip="🔗 Ver Mapa" display="🔗 Ver Mapa"/>
    <hyperlink ref="L9280" r:id="rId9278" tooltip="🔗 Ver Mapa" display="🔗 Ver Mapa"/>
    <hyperlink ref="L9281" r:id="rId9279" tooltip="🔗 Ver Mapa" display="🔗 Ver Mapa"/>
    <hyperlink ref="L9282" r:id="rId9280" tooltip="🔗 Ver Mapa" display="🔗 Ver Mapa"/>
    <hyperlink ref="L9283" r:id="rId9281" tooltip="🔗 Ver Mapa" display="🔗 Ver Mapa"/>
    <hyperlink ref="L9284" r:id="rId9282" tooltip="🔗 Ver Mapa" display="🔗 Ver Mapa"/>
    <hyperlink ref="L9285" r:id="rId9283" tooltip="🔗 Ver Mapa" display="🔗 Ver Mapa"/>
    <hyperlink ref="L9286" r:id="rId9284" tooltip="🔗 Ver Mapa" display="🔗 Ver Mapa"/>
    <hyperlink ref="L9287" r:id="rId9285" tooltip="🔗 Ver Mapa" display="🔗 Ver Mapa"/>
    <hyperlink ref="L9288" r:id="rId9286" tooltip="🔗 Ver Mapa" display="🔗 Ver Mapa"/>
    <hyperlink ref="L9289" r:id="rId9287" tooltip="🔗 Ver Mapa" display="🔗 Ver Mapa"/>
    <hyperlink ref="L9290" r:id="rId9288" tooltip="🔗 Ver Mapa" display="🔗 Ver Mapa"/>
    <hyperlink ref="L9291" r:id="rId9289" tooltip="🔗 Ver Mapa" display="🔗 Ver Mapa"/>
    <hyperlink ref="L9292" r:id="rId9290" tooltip="🔗 Ver Mapa" display="🔗 Ver Mapa"/>
    <hyperlink ref="L9293" r:id="rId9291" tooltip="🔗 Ver Mapa" display="🔗 Ver Mapa"/>
    <hyperlink ref="L9294" r:id="rId9292" tooltip="🔗 Ver Mapa" display="🔗 Ver Mapa"/>
    <hyperlink ref="L9295" r:id="rId9293" tooltip="🔗 Ver Mapa" display="🔗 Ver Mapa"/>
    <hyperlink ref="L9296" r:id="rId9294" tooltip="🔗 Ver Mapa" display="🔗 Ver Mapa"/>
    <hyperlink ref="L9297" r:id="rId9295" tooltip="🔗 Ver Mapa" display="🔗 Ver Mapa"/>
    <hyperlink ref="L9298" r:id="rId9296" tooltip="🔗 Ver Mapa" display="🔗 Ver Mapa"/>
    <hyperlink ref="L9299" r:id="rId9297" tooltip="🔗 Ver Mapa" display="🔗 Ver Mapa"/>
    <hyperlink ref="L9300" r:id="rId9298" tooltip="🔗 Ver Mapa" display="🔗 Ver Mapa"/>
    <hyperlink ref="L9301" r:id="rId9299" tooltip="🔗 Ver Mapa" display="🔗 Ver Mapa"/>
    <hyperlink ref="L9302" r:id="rId9300" tooltip="🔗 Ver Mapa" display="🔗 Ver Mapa"/>
    <hyperlink ref="L9303" r:id="rId9301" tooltip="🔗 Ver Mapa" display="🔗 Ver Mapa"/>
    <hyperlink ref="L9304" r:id="rId9302" tooltip="🔗 Ver Mapa" display="🔗 Ver Mapa"/>
    <hyperlink ref="L9305" r:id="rId9303" tooltip="🔗 Ver Mapa" display="🔗 Ver Mapa"/>
    <hyperlink ref="L9306" r:id="rId9304" tooltip="🔗 Ver Mapa" display="🔗 Ver Mapa"/>
    <hyperlink ref="L9307" r:id="rId9305" tooltip="🔗 Ver Mapa" display="🔗 Ver Mapa"/>
    <hyperlink ref="L9308" r:id="rId9306" tooltip="🔗 Ver Mapa" display="🔗 Ver Mapa"/>
    <hyperlink ref="L9309" r:id="rId9307" tooltip="🔗 Ver Mapa" display="🔗 Ver Mapa"/>
    <hyperlink ref="L9310" r:id="rId9308" tooltip="🔗 Ver Mapa" display="🔗 Ver Mapa"/>
    <hyperlink ref="L9311" r:id="rId9309" tooltip="🔗 Ver Mapa" display="🔗 Ver Mapa"/>
    <hyperlink ref="L9312" r:id="rId9310" tooltip="🔗 Ver Mapa" display="🔗 Ver Mapa"/>
    <hyperlink ref="L9313" r:id="rId9311" tooltip="🔗 Ver Mapa" display="🔗 Ver Mapa"/>
    <hyperlink ref="L9314" r:id="rId9312" tooltip="🔗 Ver Mapa" display="🔗 Ver Mapa"/>
    <hyperlink ref="L9315" r:id="rId9313" tooltip="🔗 Ver Mapa" display="🔗 Ver Mapa"/>
    <hyperlink ref="L9316" r:id="rId9314" tooltip="🔗 Ver Mapa" display="🔗 Ver Mapa"/>
    <hyperlink ref="L9317" r:id="rId9315" tooltip="🔗 Ver Mapa" display="🔗 Ver Mapa"/>
    <hyperlink ref="L9318" r:id="rId9316" tooltip="🔗 Ver Mapa" display="🔗 Ver Mapa"/>
    <hyperlink ref="L9319" r:id="rId9317" tooltip="🔗 Ver Mapa" display="🔗 Ver Mapa"/>
    <hyperlink ref="L9320" r:id="rId9318" tooltip="🔗 Ver Mapa" display="🔗 Ver Mapa"/>
    <hyperlink ref="L9321" r:id="rId9319" tooltip="🔗 Ver Mapa" display="🔗 Ver Mapa"/>
    <hyperlink ref="L9322" r:id="rId9320" tooltip="🔗 Ver Mapa" display="🔗 Ver Mapa"/>
    <hyperlink ref="L9323" r:id="rId9321" tooltip="🔗 Ver Mapa" display="🔗 Ver Mapa"/>
    <hyperlink ref="L9324" r:id="rId9322" tooltip="🔗 Ver Mapa" display="🔗 Ver Mapa"/>
    <hyperlink ref="L9325" r:id="rId9323" tooltip="🔗 Ver Mapa" display="🔗 Ver Mapa"/>
    <hyperlink ref="L9326" r:id="rId9324" tooltip="🔗 Ver Mapa" display="🔗 Ver Mapa"/>
    <hyperlink ref="L9327" r:id="rId9325" tooltip="🔗 Ver Mapa" display="🔗 Ver Mapa"/>
    <hyperlink ref="L9328" r:id="rId9326" tooltip="🔗 Ver Mapa" display="🔗 Ver Mapa"/>
    <hyperlink ref="L9329" r:id="rId9327" tooltip="🔗 Ver Mapa" display="🔗 Ver Mapa"/>
    <hyperlink ref="L9330" r:id="rId9328" tooltip="🔗 Ver Mapa" display="🔗 Ver Mapa"/>
    <hyperlink ref="L9331" r:id="rId9329" tooltip="🔗 Ver Mapa" display="🔗 Ver Mapa"/>
    <hyperlink ref="L9332" r:id="rId9330" tooltip="🔗 Ver Mapa" display="🔗 Ver Mapa"/>
    <hyperlink ref="L9333" r:id="rId9331" tooltip="🔗 Ver Mapa" display="🔗 Ver Mapa"/>
    <hyperlink ref="L9334" r:id="rId9332" tooltip="🔗 Ver Mapa" display="🔗 Ver Mapa"/>
    <hyperlink ref="L9335" r:id="rId9333" tooltip="🔗 Ver Mapa" display="🔗 Ver Mapa"/>
    <hyperlink ref="L9336" r:id="rId9334" tooltip="🔗 Ver Mapa" display="🔗 Ver Mapa"/>
    <hyperlink ref="L9337" r:id="rId9335" tooltip="🔗 Ver Mapa" display="🔗 Ver Mapa"/>
    <hyperlink ref="L9338" r:id="rId9336" tooltip="🔗 Ver Mapa" display="🔗 Ver Mapa"/>
    <hyperlink ref="L9339" r:id="rId9337" tooltip="🔗 Ver Mapa" display="🔗 Ver Mapa"/>
    <hyperlink ref="L9340" r:id="rId9338" tooltip="🔗 Ver Mapa" display="🔗 Ver Mapa"/>
    <hyperlink ref="L9341" r:id="rId9339" tooltip="🔗 Ver Mapa" display="🔗 Ver Mapa"/>
    <hyperlink ref="L9342" r:id="rId9340" tooltip="🔗 Ver Mapa" display="🔗 Ver Mapa"/>
    <hyperlink ref="L9343" r:id="rId9341" tooltip="🔗 Ver Mapa" display="🔗 Ver Mapa"/>
    <hyperlink ref="L9344" r:id="rId9342" tooltip="🔗 Ver Mapa" display="🔗 Ver Mapa"/>
    <hyperlink ref="L9345" r:id="rId9343" tooltip="🔗 Ver Mapa" display="🔗 Ver Mapa"/>
    <hyperlink ref="L9346" r:id="rId9344" tooltip="🔗 Ver Mapa" display="🔗 Ver Mapa"/>
    <hyperlink ref="L9347" r:id="rId9345" tooltip="🔗 Ver Mapa" display="🔗 Ver Mapa"/>
    <hyperlink ref="L9348" r:id="rId9346" tooltip="🔗 Ver Mapa" display="🔗 Ver Mapa"/>
    <hyperlink ref="L9349" r:id="rId9347" tooltip="🔗 Ver Mapa" display="🔗 Ver Mapa"/>
    <hyperlink ref="L9350" r:id="rId9348" tooltip="🔗 Ver Mapa" display="🔗 Ver Mapa"/>
    <hyperlink ref="L9351" r:id="rId9349" tooltip="🔗 Ver Mapa" display="🔗 Ver Mapa"/>
    <hyperlink ref="L9352" r:id="rId9350" tooltip="🔗 Ver Mapa" display="🔗 Ver Mapa"/>
    <hyperlink ref="L9353" r:id="rId9351" tooltip="🔗 Ver Mapa" display="🔗 Ver Mapa"/>
    <hyperlink ref="L9354" r:id="rId9352" tooltip="🔗 Ver Mapa" display="🔗 Ver Mapa"/>
    <hyperlink ref="L9355" r:id="rId9353" tooltip="🔗 Ver Mapa" display="🔗 Ver Mapa"/>
    <hyperlink ref="L9356" r:id="rId9354" tooltip="🔗 Ver Mapa" display="🔗 Ver Mapa"/>
    <hyperlink ref="L9357" r:id="rId9355" tooltip="🔗 Ver Mapa" display="🔗 Ver Mapa"/>
    <hyperlink ref="L9358" r:id="rId9356" tooltip="🔗 Ver Mapa" display="🔗 Ver Mapa"/>
    <hyperlink ref="L9359" r:id="rId9357" tooltip="🔗 Ver Mapa" display="🔗 Ver Mapa"/>
    <hyperlink ref="L9360" r:id="rId9358" tooltip="🔗 Ver Mapa" display="🔗 Ver Mapa"/>
    <hyperlink ref="L9361" r:id="rId9359" tooltip="🔗 Ver Mapa" display="🔗 Ver Mapa"/>
    <hyperlink ref="L9362" r:id="rId9360" tooltip="🔗 Ver Mapa" display="🔗 Ver Mapa"/>
    <hyperlink ref="L9363" r:id="rId9361" tooltip="🔗 Ver Mapa" display="🔗 Ver Mapa"/>
    <hyperlink ref="L9364" r:id="rId9362" tooltip="🔗 Ver Mapa" display="🔗 Ver Mapa"/>
    <hyperlink ref="L9365" r:id="rId9363" tooltip="🔗 Ver Mapa" display="🔗 Ver Mapa"/>
    <hyperlink ref="L9366" r:id="rId9364" tooltip="🔗 Ver Mapa" display="🔗 Ver Mapa"/>
    <hyperlink ref="L9367" r:id="rId9365" tooltip="🔗 Ver Mapa" display="🔗 Ver Mapa"/>
    <hyperlink ref="L9368" r:id="rId9366" tooltip="🔗 Ver Mapa" display="🔗 Ver Mapa"/>
    <hyperlink ref="L9369" r:id="rId9367" tooltip="🔗 Ver Mapa" display="🔗 Ver Mapa"/>
    <hyperlink ref="L9370" r:id="rId9368" tooltip="🔗 Ver Mapa" display="🔗 Ver Mapa"/>
    <hyperlink ref="L9371" r:id="rId9369" tooltip="🔗 Ver Mapa" display="🔗 Ver Mapa"/>
    <hyperlink ref="L9372" r:id="rId9370" tooltip="🔗 Ver Mapa" display="🔗 Ver Mapa"/>
    <hyperlink ref="L9373" r:id="rId9371" tooltip="🔗 Ver Mapa" display="🔗 Ver Mapa"/>
    <hyperlink ref="L9374" r:id="rId9372" tooltip="🔗 Ver Mapa" display="🔗 Ver Mapa"/>
    <hyperlink ref="L9375" r:id="rId9373" tooltip="🔗 Ver Mapa" display="🔗 Ver Mapa"/>
    <hyperlink ref="L9376" r:id="rId9374" tooltip="🔗 Ver Mapa" display="🔗 Ver Mapa"/>
    <hyperlink ref="L9377" r:id="rId9375" tooltip="🔗 Ver Mapa" display="🔗 Ver Mapa"/>
    <hyperlink ref="L9378" r:id="rId9376" tooltip="🔗 Ver Mapa" display="🔗 Ver Mapa"/>
    <hyperlink ref="L9379" r:id="rId9377" tooltip="🔗 Ver Mapa" display="🔗 Ver Mapa"/>
    <hyperlink ref="L9380" r:id="rId9378" tooltip="🔗 Ver Mapa" display="🔗 Ver Mapa"/>
    <hyperlink ref="L9381" r:id="rId9379" tooltip="🔗 Ver Mapa" display="🔗 Ver Mapa"/>
    <hyperlink ref="L9382" r:id="rId9380" tooltip="🔗 Ver Mapa" display="🔗 Ver Mapa"/>
    <hyperlink ref="L9383" r:id="rId9381" tooltip="🔗 Ver Mapa" display="🔗 Ver Mapa"/>
    <hyperlink ref="L9384" r:id="rId9382" tooltip="🔗 Ver Mapa" display="🔗 Ver Mapa"/>
    <hyperlink ref="L9385" r:id="rId9383" tooltip="🔗 Ver Mapa" display="🔗 Ver Mapa"/>
    <hyperlink ref="L9386" r:id="rId9384" tooltip="🔗 Ver Mapa" display="🔗 Ver Mapa"/>
    <hyperlink ref="L9387" r:id="rId9385" tooltip="🔗 Ver Mapa" display="🔗 Ver Mapa"/>
    <hyperlink ref="L9388" r:id="rId9386" tooltip="🔗 Ver Mapa" display="🔗 Ver Mapa"/>
    <hyperlink ref="L9389" r:id="rId9387" tooltip="🔗 Ver Mapa" display="🔗 Ver Mapa"/>
    <hyperlink ref="L9390" r:id="rId9388" tooltip="🔗 Ver Mapa" display="🔗 Ver Mapa"/>
    <hyperlink ref="L9391" r:id="rId9389" tooltip="🔗 Ver Mapa" display="🔗 Ver Mapa"/>
    <hyperlink ref="L9392" r:id="rId9390" tooltip="🔗 Ver Mapa" display="🔗 Ver Mapa"/>
    <hyperlink ref="L9393" r:id="rId9391" tooltip="🔗 Ver Mapa" display="🔗 Ver Mapa"/>
    <hyperlink ref="L9394" r:id="rId9392" tooltip="🔗 Ver Mapa" display="🔗 Ver Mapa"/>
    <hyperlink ref="L9395" r:id="rId9393" tooltip="🔗 Ver Mapa" display="🔗 Ver Mapa"/>
    <hyperlink ref="L9396" r:id="rId9394" tooltip="🔗 Ver Mapa" display="🔗 Ver Mapa"/>
    <hyperlink ref="L9397" r:id="rId9395" tooltip="🔗 Ver Mapa" display="🔗 Ver Mapa"/>
    <hyperlink ref="L9398" r:id="rId9396" tooltip="🔗 Ver Mapa" display="🔗 Ver Mapa"/>
    <hyperlink ref="L9399" r:id="rId9397" tooltip="🔗 Ver Mapa" display="🔗 Ver Mapa"/>
    <hyperlink ref="L9400" r:id="rId9398" tooltip="🔗 Ver Mapa" display="🔗 Ver Mapa"/>
    <hyperlink ref="L9401" r:id="rId9399" tooltip="🔗 Ver Mapa" display="🔗 Ver Mapa"/>
    <hyperlink ref="L9402" r:id="rId9400" tooltip="🔗 Ver Mapa" display="🔗 Ver Mapa"/>
    <hyperlink ref="L9403" r:id="rId9401" tooltip="🔗 Ver Mapa" display="🔗 Ver Mapa"/>
    <hyperlink ref="L9404" r:id="rId9402" tooltip="🔗 Ver Mapa" display="🔗 Ver Mapa"/>
    <hyperlink ref="L9405" r:id="rId9403" tooltip="🔗 Ver Mapa" display="🔗 Ver Mapa"/>
    <hyperlink ref="L9406" r:id="rId9404" tooltip="🔗 Ver Mapa" display="🔗 Ver Mapa"/>
    <hyperlink ref="L9407" r:id="rId9405" tooltip="🔗 Ver Mapa" display="🔗 Ver Mapa"/>
    <hyperlink ref="L9408" r:id="rId9406" tooltip="🔗 Ver Mapa" display="🔗 Ver Mapa"/>
    <hyperlink ref="L9409" r:id="rId9407" tooltip="🔗 Ver Mapa" display="🔗 Ver Mapa"/>
    <hyperlink ref="L9410" r:id="rId9408" tooltip="🔗 Ver Mapa" display="🔗 Ver Mapa"/>
    <hyperlink ref="L9411" r:id="rId9409" tooltip="🔗 Ver Mapa" display="🔗 Ver Mapa"/>
    <hyperlink ref="L9412" r:id="rId9410" tooltip="🔗 Ver Mapa" display="🔗 Ver Mapa"/>
    <hyperlink ref="L9413" r:id="rId9411" tooltip="🔗 Ver Mapa" display="🔗 Ver Mapa"/>
    <hyperlink ref="L9414" r:id="rId9412" tooltip="🔗 Ver Mapa" display="🔗 Ver Mapa"/>
    <hyperlink ref="L9415" r:id="rId9413" tooltip="🔗 Ver Mapa" display="🔗 Ver Mapa"/>
    <hyperlink ref="L9416" r:id="rId9414" tooltip="🔗 Ver Mapa" display="🔗 Ver Mapa"/>
    <hyperlink ref="L9417" r:id="rId9415" tooltip="🔗 Ver Mapa" display="🔗 Ver Mapa"/>
    <hyperlink ref="L9418" r:id="rId9416" tooltip="🔗 Ver Mapa" display="🔗 Ver Mapa"/>
    <hyperlink ref="L9419" r:id="rId9417" tooltip="🔗 Ver Mapa" display="🔗 Ver Mapa"/>
    <hyperlink ref="L9420" r:id="rId9418" tooltip="🔗 Ver Mapa" display="🔗 Ver Mapa"/>
    <hyperlink ref="L9421" r:id="rId9419" tooltip="🔗 Ver Mapa" display="🔗 Ver Mapa"/>
    <hyperlink ref="L9422" r:id="rId9420" tooltip="🔗 Ver Mapa" display="🔗 Ver Mapa"/>
    <hyperlink ref="L9423" r:id="rId9421" tooltip="🔗 Ver Mapa" display="🔗 Ver Mapa"/>
    <hyperlink ref="L9424" r:id="rId9422" tooltip="🔗 Ver Mapa" display="🔗 Ver Mapa"/>
    <hyperlink ref="L9425" r:id="rId9423" tooltip="🔗 Ver Mapa" display="🔗 Ver Mapa"/>
    <hyperlink ref="L9426" r:id="rId9424" tooltip="🔗 Ver Mapa" display="🔗 Ver Mapa"/>
    <hyperlink ref="L9427" r:id="rId9425" tooltip="🔗 Ver Mapa" display="🔗 Ver Mapa"/>
    <hyperlink ref="L9428" r:id="rId9426" tooltip="🔗 Ver Mapa" display="🔗 Ver Mapa"/>
    <hyperlink ref="L9429" r:id="rId9427" tooltip="🔗 Ver Mapa" display="🔗 Ver Mapa"/>
    <hyperlink ref="L9430" r:id="rId9428" tooltip="🔗 Ver Mapa" display="🔗 Ver Mapa"/>
    <hyperlink ref="L9431" r:id="rId9429" tooltip="🔗 Ver Mapa" display="🔗 Ver Mapa"/>
    <hyperlink ref="L9432" r:id="rId9430" tooltip="🔗 Ver Mapa" display="🔗 Ver Mapa"/>
    <hyperlink ref="L9433" r:id="rId9431" tooltip="🔗 Ver Mapa" display="🔗 Ver Mapa"/>
    <hyperlink ref="L9434" r:id="rId9432" tooltip="🔗 Ver Mapa" display="🔗 Ver Mapa"/>
    <hyperlink ref="L9435" r:id="rId9433" tooltip="🔗 Ver Mapa" display="🔗 Ver Mapa"/>
    <hyperlink ref="L9436" r:id="rId9434" tooltip="🔗 Ver Mapa" display="🔗 Ver Mapa"/>
    <hyperlink ref="L9437" r:id="rId9435" tooltip="🔗 Ver Mapa" display="🔗 Ver Mapa"/>
    <hyperlink ref="L9438" r:id="rId9436" tooltip="🔗 Ver Mapa" display="🔗 Ver Mapa"/>
    <hyperlink ref="L9439" r:id="rId9437" tooltip="🔗 Ver Mapa" display="🔗 Ver Mapa"/>
    <hyperlink ref="L9440" r:id="rId9438" tooltip="🔗 Ver Mapa" display="🔗 Ver Mapa"/>
    <hyperlink ref="L9441" r:id="rId9439" tooltip="🔗 Ver Mapa" display="🔗 Ver Mapa"/>
    <hyperlink ref="L9442" r:id="rId9440" tooltip="🔗 Ver Mapa" display="🔗 Ver Mapa"/>
    <hyperlink ref="L9443" r:id="rId9441" tooltip="🔗 Ver Mapa" display="🔗 Ver Mapa"/>
    <hyperlink ref="L9444" r:id="rId9442" tooltip="🔗 Ver Mapa" display="🔗 Ver Mapa"/>
    <hyperlink ref="L9445" r:id="rId9443" tooltip="🔗 Ver Mapa" display="🔗 Ver Mapa"/>
    <hyperlink ref="L9446" r:id="rId9444" tooltip="🔗 Ver Mapa" display="🔗 Ver Mapa"/>
    <hyperlink ref="L9447" r:id="rId9445" tooltip="🔗 Ver Mapa" display="🔗 Ver Mapa"/>
    <hyperlink ref="L9448" r:id="rId9446" tooltip="🔗 Ver Mapa" display="🔗 Ver Mapa"/>
    <hyperlink ref="L9449" r:id="rId9447" tooltip="🔗 Ver Mapa" display="🔗 Ver Mapa"/>
    <hyperlink ref="L9450" r:id="rId9448" tooltip="🔗 Ver Mapa" display="🔗 Ver Mapa"/>
    <hyperlink ref="L9451" r:id="rId9449" tooltip="🔗 Ver Mapa" display="🔗 Ver Mapa"/>
    <hyperlink ref="L9452" r:id="rId9450" tooltip="🔗 Ver Mapa" display="🔗 Ver Mapa"/>
    <hyperlink ref="L9453" r:id="rId9451" tooltip="🔗 Ver Mapa" display="🔗 Ver Mapa"/>
    <hyperlink ref="L9454" r:id="rId9452" tooltip="🔗 Ver Mapa" display="🔗 Ver Mapa"/>
    <hyperlink ref="L9455" r:id="rId9453" tooltip="🔗 Ver Mapa" display="🔗 Ver Mapa"/>
    <hyperlink ref="L9456" r:id="rId9454" tooltip="🔗 Ver Mapa" display="🔗 Ver Mapa"/>
    <hyperlink ref="L9457" r:id="rId9455" tooltip="🔗 Ver Mapa" display="🔗 Ver Mapa"/>
    <hyperlink ref="L9458" r:id="rId9456" tooltip="🔗 Ver Mapa" display="🔗 Ver Mapa"/>
    <hyperlink ref="L9459" r:id="rId9457" tooltip="🔗 Ver Mapa" display="🔗 Ver Mapa"/>
    <hyperlink ref="L9460" r:id="rId9458" tooltip="🔗 Ver Mapa" display="🔗 Ver Mapa"/>
    <hyperlink ref="L9461" r:id="rId9459" tooltip="🔗 Ver Mapa" display="🔗 Ver Mapa"/>
    <hyperlink ref="L9462" r:id="rId9460" tooltip="🔗 Ver Mapa" display="🔗 Ver Mapa"/>
    <hyperlink ref="L9463" r:id="rId9461" tooltip="🔗 Ver Mapa" display="🔗 Ver Mapa"/>
    <hyperlink ref="L9464" r:id="rId9462" tooltip="🔗 Ver Mapa" display="🔗 Ver Mapa"/>
    <hyperlink ref="L9465" r:id="rId9463" tooltip="🔗 Ver Mapa" display="🔗 Ver Mapa"/>
    <hyperlink ref="L9466" r:id="rId9464" tooltip="🔗 Ver Mapa" display="🔗 Ver Mapa"/>
    <hyperlink ref="L9467" r:id="rId9465" tooltip="🔗 Ver Mapa" display="🔗 Ver Mapa"/>
    <hyperlink ref="L9468" r:id="rId9466" tooltip="🔗 Ver Mapa" display="🔗 Ver Mapa"/>
    <hyperlink ref="L9469" r:id="rId9467" tooltip="🔗 Ver Mapa" display="🔗 Ver Mapa"/>
    <hyperlink ref="L9470" r:id="rId9468" tooltip="🔗 Ver Mapa" display="🔗 Ver Mapa"/>
    <hyperlink ref="L9471" r:id="rId9469" tooltip="🔗 Ver Mapa" display="🔗 Ver Mapa"/>
    <hyperlink ref="L9472" r:id="rId9470" tooltip="🔗 Ver Mapa" display="🔗 Ver Mapa"/>
    <hyperlink ref="L9473" r:id="rId9471" tooltip="🔗 Ver Mapa" display="🔗 Ver Mapa"/>
    <hyperlink ref="L9474" r:id="rId9472" tooltip="🔗 Ver Mapa" display="🔗 Ver Mapa"/>
    <hyperlink ref="L9475" r:id="rId9473" tooltip="🔗 Ver Mapa" display="🔗 Ver Mapa"/>
    <hyperlink ref="L9476" r:id="rId9474" tooltip="🔗 Ver Mapa" display="🔗 Ver Mapa"/>
    <hyperlink ref="L9477" r:id="rId9475" tooltip="🔗 Ver Mapa" display="🔗 Ver Mapa"/>
    <hyperlink ref="L9478" r:id="rId9476" tooltip="🔗 Ver Mapa" display="🔗 Ver Mapa"/>
    <hyperlink ref="L9479" r:id="rId9477" tooltip="🔗 Ver Mapa" display="🔗 Ver Mapa"/>
    <hyperlink ref="L9480" r:id="rId9478" tooltip="🔗 Ver Mapa" display="🔗 Ver Mapa"/>
    <hyperlink ref="L9481" r:id="rId9479" tooltip="🔗 Ver Mapa" display="🔗 Ver Mapa"/>
    <hyperlink ref="L9482" r:id="rId9480" tooltip="🔗 Ver Mapa" display="🔗 Ver Mapa"/>
    <hyperlink ref="L9483" r:id="rId9481" tooltip="🔗 Ver Mapa" display="🔗 Ver Mapa"/>
    <hyperlink ref="L9484" r:id="rId9482" tooltip="🔗 Ver Mapa" display="🔗 Ver Mapa"/>
    <hyperlink ref="L9485" r:id="rId9483" tooltip="🔗 Ver Mapa" display="🔗 Ver Mapa"/>
    <hyperlink ref="L9486" r:id="rId9484" tooltip="🔗 Ver Mapa" display="🔗 Ver Mapa"/>
    <hyperlink ref="L9487" r:id="rId9485" tooltip="🔗 Ver Mapa" display="🔗 Ver Mapa"/>
    <hyperlink ref="L9488" r:id="rId9486" tooltip="🔗 Ver Mapa" display="🔗 Ver Mapa"/>
    <hyperlink ref="L9489" r:id="rId9487" tooltip="🔗 Ver Mapa" display="🔗 Ver Mapa"/>
    <hyperlink ref="L9490" r:id="rId9488" tooltip="🔗 Ver Mapa" display="🔗 Ver Mapa"/>
    <hyperlink ref="L9491" r:id="rId9489" tooltip="🔗 Ver Mapa" display="🔗 Ver Mapa"/>
    <hyperlink ref="L9492" r:id="rId9490" tooltip="🔗 Ver Mapa" display="🔗 Ver Mapa"/>
    <hyperlink ref="L9493" r:id="rId9491" tooltip="🔗 Ver Mapa" display="🔗 Ver Mapa"/>
    <hyperlink ref="L9494" r:id="rId9492" tooltip="🔗 Ver Mapa" display="🔗 Ver Mapa"/>
    <hyperlink ref="L9495" r:id="rId9493" tooltip="🔗 Ver Mapa" display="🔗 Ver Mapa"/>
    <hyperlink ref="L9496" r:id="rId9494" tooltip="🔗 Ver Mapa" display="🔗 Ver Mapa"/>
    <hyperlink ref="L9497" r:id="rId9495" tooltip="🔗 Ver Mapa" display="🔗 Ver Mapa"/>
    <hyperlink ref="L9498" r:id="rId9496" tooltip="🔗 Ver Mapa" display="🔗 Ver Mapa"/>
    <hyperlink ref="L9499" r:id="rId9497" tooltip="🔗 Ver Mapa" display="🔗 Ver Mapa"/>
    <hyperlink ref="L9500" r:id="rId9498" tooltip="🔗 Ver Mapa" display="🔗 Ver Mapa"/>
    <hyperlink ref="L9501" r:id="rId9499" tooltip="🔗 Ver Mapa" display="🔗 Ver Mapa"/>
    <hyperlink ref="L9502" r:id="rId9500" tooltip="🔗 Ver Mapa" display="🔗 Ver Mapa"/>
    <hyperlink ref="L9503" r:id="rId9501" tooltip="🔗 Ver Mapa" display="🔗 Ver Mapa"/>
    <hyperlink ref="L9504" r:id="rId9502" tooltip="🔗 Ver Mapa" display="🔗 Ver Mapa"/>
    <hyperlink ref="L9505" r:id="rId9503" tooltip="🔗 Ver Mapa" display="🔗 Ver Mapa"/>
    <hyperlink ref="L9506" r:id="rId9504" tooltip="🔗 Ver Mapa" display="🔗 Ver Mapa"/>
    <hyperlink ref="L9507" r:id="rId9505" tooltip="🔗 Ver Mapa" display="🔗 Ver Mapa"/>
    <hyperlink ref="L9508" r:id="rId9506" tooltip="🔗 Ver Mapa" display="🔗 Ver Mapa"/>
    <hyperlink ref="L9509" r:id="rId9507" tooltip="🔗 Ver Mapa" display="🔗 Ver Mapa"/>
    <hyperlink ref="L9510" r:id="rId9508" tooltip="🔗 Ver Mapa" display="🔗 Ver Mapa"/>
    <hyperlink ref="L9511" r:id="rId9509" tooltip="🔗 Ver Mapa" display="🔗 Ver Mapa"/>
    <hyperlink ref="L9512" r:id="rId9510" tooltip="🔗 Ver Mapa" display="🔗 Ver Mapa"/>
    <hyperlink ref="L9513" r:id="rId9511" tooltip="🔗 Ver Mapa" display="🔗 Ver Mapa"/>
    <hyperlink ref="L9514" r:id="rId9512" tooltip="🔗 Ver Mapa" display="🔗 Ver Mapa"/>
    <hyperlink ref="L9515" r:id="rId9513" tooltip="🔗 Ver Mapa" display="🔗 Ver Mapa"/>
    <hyperlink ref="L9516" r:id="rId9514" tooltip="🔗 Ver Mapa" display="🔗 Ver Mapa"/>
    <hyperlink ref="L9517" r:id="rId9515" tooltip="🔗 Ver Mapa" display="🔗 Ver Mapa"/>
    <hyperlink ref="L9518" r:id="rId9516" tooltip="🔗 Ver Mapa" display="🔗 Ver Mapa"/>
    <hyperlink ref="L9519" r:id="rId9517" tooltip="🔗 Ver Mapa" display="🔗 Ver Mapa"/>
    <hyperlink ref="L9520" r:id="rId9518" tooltip="🔗 Ver Mapa" display="🔗 Ver Mapa"/>
    <hyperlink ref="L9521" r:id="rId9519" tooltip="🔗 Ver Mapa" display="🔗 Ver Mapa"/>
    <hyperlink ref="L9522" r:id="rId9520" tooltip="🔗 Ver Mapa" display="🔗 Ver Mapa"/>
    <hyperlink ref="L9523" r:id="rId9521" tooltip="🔗 Ver Mapa" display="🔗 Ver Mapa"/>
    <hyperlink ref="L9524" r:id="rId9522" tooltip="🔗 Ver Mapa" display="🔗 Ver Mapa"/>
    <hyperlink ref="L9525" r:id="rId9523" tooltip="🔗 Ver Mapa" display="🔗 Ver Mapa"/>
    <hyperlink ref="L9526" r:id="rId9524" tooltip="🔗 Ver Mapa" display="🔗 Ver Mapa"/>
    <hyperlink ref="L9527" r:id="rId9525" tooltip="🔗 Ver Mapa" display="🔗 Ver Mapa"/>
    <hyperlink ref="L9528" r:id="rId9526" tooltip="🔗 Ver Mapa" display="🔗 Ver Mapa"/>
    <hyperlink ref="L9529" r:id="rId9527" tooltip="🔗 Ver Mapa" display="🔗 Ver Mapa"/>
    <hyperlink ref="L9530" r:id="rId9528" tooltip="🔗 Ver Mapa" display="🔗 Ver Mapa"/>
    <hyperlink ref="L9531" r:id="rId9529" tooltip="🔗 Ver Mapa" display="🔗 Ver Mapa"/>
    <hyperlink ref="L9532" r:id="rId9530" tooltip="🔗 Ver Mapa" display="🔗 Ver Mapa"/>
    <hyperlink ref="L9533" r:id="rId9531" tooltip="🔗 Ver Mapa" display="🔗 Ver Mapa"/>
    <hyperlink ref="L9534" r:id="rId9532" tooltip="🔗 Ver Mapa" display="🔗 Ver Mapa"/>
    <hyperlink ref="L9535" r:id="rId9533" tooltip="🔗 Ver Mapa" display="🔗 Ver Mapa"/>
    <hyperlink ref="L9536" r:id="rId9534" tooltip="🔗 Ver Mapa" display="🔗 Ver Mapa"/>
    <hyperlink ref="L9537" r:id="rId9535" tooltip="🔗 Ver Mapa" display="🔗 Ver Mapa"/>
    <hyperlink ref="L9538" r:id="rId9536" tooltip="🔗 Ver Mapa" display="🔗 Ver Mapa"/>
    <hyperlink ref="L9539" r:id="rId9537" tooltip="🔗 Ver Mapa" display="🔗 Ver Mapa"/>
    <hyperlink ref="L9540" r:id="rId9538" tooltip="🔗 Ver Mapa" display="🔗 Ver Mapa"/>
    <hyperlink ref="L9541" r:id="rId9539" tooltip="🔗 Ver Mapa" display="🔗 Ver Mapa"/>
    <hyperlink ref="L9542" r:id="rId9540" tooltip="🔗 Ver Mapa" display="🔗 Ver Mapa"/>
    <hyperlink ref="L9543" r:id="rId9541" tooltip="🔗 Ver Mapa" display="🔗 Ver Mapa"/>
    <hyperlink ref="L9544" r:id="rId9542" tooltip="🔗 Ver Mapa" display="🔗 Ver Mapa"/>
    <hyperlink ref="L9545" r:id="rId9543" tooltip="🔗 Ver Mapa" display="🔗 Ver Mapa"/>
    <hyperlink ref="L9546" r:id="rId9544" tooltip="🔗 Ver Mapa" display="🔗 Ver Mapa"/>
    <hyperlink ref="L9547" r:id="rId9545" tooltip="🔗 Ver Mapa" display="🔗 Ver Mapa"/>
    <hyperlink ref="L9548" r:id="rId9546" tooltip="🔗 Ver Mapa" display="🔗 Ver Mapa"/>
    <hyperlink ref="L9549" r:id="rId9547" tooltip="🔗 Ver Mapa" display="🔗 Ver Mapa"/>
    <hyperlink ref="L9550" r:id="rId9548" tooltip="🔗 Ver Mapa" display="🔗 Ver Mapa"/>
    <hyperlink ref="L9551" r:id="rId9549" tooltip="🔗 Ver Mapa" display="🔗 Ver Mapa"/>
    <hyperlink ref="L9552" r:id="rId9550" tooltip="🔗 Ver Mapa" display="🔗 Ver Mapa"/>
    <hyperlink ref="L9553" r:id="rId9551" tooltip="🔗 Ver Mapa" display="🔗 Ver Mapa"/>
    <hyperlink ref="L9554" r:id="rId9552" tooltip="🔗 Ver Mapa" display="🔗 Ver Mapa"/>
    <hyperlink ref="L9555" r:id="rId9553" tooltip="🔗 Ver Mapa" display="🔗 Ver Mapa"/>
    <hyperlink ref="L9556" r:id="rId9554" tooltip="🔗 Ver Mapa" display="🔗 Ver Mapa"/>
    <hyperlink ref="L9557" r:id="rId9555" tooltip="🔗 Ver Mapa" display="🔗 Ver Mapa"/>
    <hyperlink ref="L9558" r:id="rId9556" tooltip="🔗 Ver Mapa" display="🔗 Ver Mapa"/>
    <hyperlink ref="L9559" r:id="rId9557" tooltip="🔗 Ver Mapa" display="🔗 Ver Mapa"/>
    <hyperlink ref="L9560" r:id="rId9558" tooltip="🔗 Ver Mapa" display="🔗 Ver Mapa"/>
    <hyperlink ref="L9561" r:id="rId9559" tooltip="🔗 Ver Mapa" display="🔗 Ver Mapa"/>
    <hyperlink ref="L9562" r:id="rId9560" tooltip="🔗 Ver Mapa" display="🔗 Ver Mapa"/>
    <hyperlink ref="L9563" r:id="rId9561" tooltip="🔗 Ver Mapa" display="🔗 Ver Mapa"/>
    <hyperlink ref="L9564" r:id="rId9562" tooltip="🔗 Ver Mapa" display="🔗 Ver Mapa"/>
    <hyperlink ref="L9565" r:id="rId9563" tooltip="🔗 Ver Mapa" display="🔗 Ver Mapa"/>
    <hyperlink ref="L9566" r:id="rId9564" tooltip="🔗 Ver Mapa" display="🔗 Ver Mapa"/>
    <hyperlink ref="L9567" r:id="rId9565" tooltip="🔗 Ver Mapa" display="🔗 Ver Mapa"/>
    <hyperlink ref="L9568" r:id="rId9566" tooltip="🔗 Ver Mapa" display="🔗 Ver Mapa"/>
    <hyperlink ref="L9569" r:id="rId9567" tooltip="🔗 Ver Mapa" display="🔗 Ver Mapa"/>
    <hyperlink ref="L9570" r:id="rId9568" tooltip="🔗 Ver Mapa" display="🔗 Ver Mapa"/>
    <hyperlink ref="L9571" r:id="rId9569" tooltip="🔗 Ver Mapa" display="🔗 Ver Mapa"/>
    <hyperlink ref="L9572" r:id="rId9570" tooltip="🔗 Ver Mapa" display="🔗 Ver Mapa"/>
    <hyperlink ref="L9573" r:id="rId9571" tooltip="🔗 Ver Mapa" display="🔗 Ver Mapa"/>
    <hyperlink ref="L9574" r:id="rId9572" tooltip="🔗 Ver Mapa" display="🔗 Ver Mapa"/>
    <hyperlink ref="L9575" r:id="rId9573" tooltip="🔗 Ver Mapa" display="🔗 Ver Mapa"/>
    <hyperlink ref="L9576" r:id="rId9574" tooltip="🔗 Ver Mapa" display="🔗 Ver Mapa"/>
    <hyperlink ref="L9577" r:id="rId9575" tooltip="🔗 Ver Mapa" display="🔗 Ver Mapa"/>
    <hyperlink ref="L9578" r:id="rId9576" tooltip="🔗 Ver Mapa" display="🔗 Ver Mapa"/>
    <hyperlink ref="L9579" r:id="rId9577" tooltip="🔗 Ver Mapa" display="🔗 Ver Mapa"/>
    <hyperlink ref="L9580" r:id="rId9578" tooltip="🔗 Ver Mapa" display="🔗 Ver Mapa"/>
    <hyperlink ref="L9581" r:id="rId9579" tooltip="🔗 Ver Mapa" display="🔗 Ver Mapa"/>
    <hyperlink ref="L9582" r:id="rId9580" tooltip="🔗 Ver Mapa" display="🔗 Ver Mapa"/>
    <hyperlink ref="L9583" r:id="rId9581" tooltip="🔗 Ver Mapa" display="🔗 Ver Mapa"/>
    <hyperlink ref="L9584" r:id="rId9582" tooltip="🔗 Ver Mapa" display="🔗 Ver Mapa"/>
    <hyperlink ref="L9585" r:id="rId9583" tooltip="🔗 Ver Mapa" display="🔗 Ver Mapa"/>
    <hyperlink ref="L9586" r:id="rId9584" tooltip="🔗 Ver Mapa" display="🔗 Ver Mapa"/>
    <hyperlink ref="L9587" r:id="rId9585" tooltip="🔗 Ver Mapa" display="🔗 Ver Mapa"/>
    <hyperlink ref="L9588" r:id="rId9586" tooltip="🔗 Ver Mapa" display="🔗 Ver Mapa"/>
    <hyperlink ref="L9589" r:id="rId9587" tooltip="🔗 Ver Mapa" display="🔗 Ver Mapa"/>
    <hyperlink ref="L9590" r:id="rId9588" tooltip="🔗 Ver Mapa" display="🔗 Ver Mapa"/>
    <hyperlink ref="L9591" r:id="rId9589" tooltip="🔗 Ver Mapa" display="🔗 Ver Mapa"/>
    <hyperlink ref="L9592" r:id="rId9590" tooltip="🔗 Ver Mapa" display="🔗 Ver Mapa"/>
    <hyperlink ref="L9593" r:id="rId9591" tooltip="🔗 Ver Mapa" display="🔗 Ver Mapa"/>
    <hyperlink ref="L9594" r:id="rId9592" tooltip="🔗 Ver Mapa" display="🔗 Ver Mapa"/>
    <hyperlink ref="L9595" r:id="rId9593" tooltip="🔗 Ver Mapa" display="🔗 Ver Mapa"/>
    <hyperlink ref="L9596" r:id="rId9594" tooltip="🔗 Ver Mapa" display="🔗 Ver Mapa"/>
    <hyperlink ref="L9597" r:id="rId9595" tooltip="🔗 Ver Mapa" display="🔗 Ver Mapa"/>
    <hyperlink ref="L9598" r:id="rId9596" tooltip="🔗 Ver Mapa" display="🔗 Ver Mapa"/>
    <hyperlink ref="L9599" r:id="rId9597" tooltip="🔗 Ver Mapa" display="🔗 Ver Mapa"/>
    <hyperlink ref="L9600" r:id="rId9598" tooltip="🔗 Ver Mapa" display="🔗 Ver Mapa"/>
    <hyperlink ref="L9601" r:id="rId9599" tooltip="🔗 Ver Mapa" display="🔗 Ver Mapa"/>
    <hyperlink ref="L9602" r:id="rId9600" tooltip="🔗 Ver Mapa" display="🔗 Ver Mapa"/>
    <hyperlink ref="L9603" r:id="rId9601" tooltip="🔗 Ver Mapa" display="🔗 Ver Mapa"/>
    <hyperlink ref="L9604" r:id="rId9602" tooltip="🔗 Ver Mapa" display="🔗 Ver Mapa"/>
    <hyperlink ref="L9605" r:id="rId9603" tooltip="🔗 Ver Mapa" display="🔗 Ver Mapa"/>
    <hyperlink ref="L9606" r:id="rId9604" tooltip="🔗 Ver Mapa" display="🔗 Ver Mapa"/>
    <hyperlink ref="L9607" r:id="rId9605" tooltip="🔗 Ver Mapa" display="🔗 Ver Mapa"/>
    <hyperlink ref="L9608" r:id="rId9606" tooltip="🔗 Ver Mapa" display="🔗 Ver Mapa"/>
    <hyperlink ref="L9609" r:id="rId9607" tooltip="🔗 Ver Mapa" display="🔗 Ver Mapa"/>
    <hyperlink ref="L9610" r:id="rId9608" tooltip="🔗 Ver Mapa" display="🔗 Ver Mapa"/>
    <hyperlink ref="L9611" r:id="rId9609" tooltip="🔗 Ver Mapa" display="🔗 Ver Mapa"/>
    <hyperlink ref="L9612" r:id="rId9610" tooltip="🔗 Ver Mapa" display="🔗 Ver Mapa"/>
    <hyperlink ref="L9613" r:id="rId9611" tooltip="🔗 Ver Mapa" display="🔗 Ver Mapa"/>
    <hyperlink ref="L9614" r:id="rId9612" tooltip="🔗 Ver Mapa" display="🔗 Ver Mapa"/>
    <hyperlink ref="L9615" r:id="rId9613" tooltip="🔗 Ver Mapa" display="🔗 Ver Mapa"/>
    <hyperlink ref="L9616" r:id="rId9614" tooltip="🔗 Ver Mapa" display="🔗 Ver Mapa"/>
    <hyperlink ref="L9617" r:id="rId9615" tooltip="🔗 Ver Mapa" display="🔗 Ver Mapa"/>
    <hyperlink ref="L9618" r:id="rId9616" tooltip="🔗 Ver Mapa" display="🔗 Ver Mapa"/>
    <hyperlink ref="L9619" r:id="rId9617" tooltip="🔗 Ver Mapa" display="🔗 Ver Mapa"/>
    <hyperlink ref="L9620" r:id="rId9618" tooltip="🔗 Ver Mapa" display="🔗 Ver Mapa"/>
    <hyperlink ref="L9621" r:id="rId9619" tooltip="🔗 Ver Mapa" display="🔗 Ver Mapa"/>
    <hyperlink ref="L9622" r:id="rId9620" tooltip="🔗 Ver Mapa" display="🔗 Ver Mapa"/>
    <hyperlink ref="L9623" r:id="rId9621" tooltip="🔗 Ver Mapa" display="🔗 Ver Mapa"/>
    <hyperlink ref="L9624" r:id="rId9622" tooltip="🔗 Ver Mapa" display="🔗 Ver Mapa"/>
    <hyperlink ref="L9625" r:id="rId9623" tooltip="🔗 Ver Mapa" display="🔗 Ver Mapa"/>
    <hyperlink ref="L9626" r:id="rId9624" tooltip="🔗 Ver Mapa" display="🔗 Ver Mapa"/>
    <hyperlink ref="L9627" r:id="rId9625" tooltip="🔗 Ver Mapa" display="🔗 Ver Mapa"/>
    <hyperlink ref="L9628" r:id="rId9626" tooltip="🔗 Ver Mapa" display="🔗 Ver Mapa"/>
    <hyperlink ref="L9629" r:id="rId9627" tooltip="🔗 Ver Mapa" display="🔗 Ver Mapa"/>
    <hyperlink ref="L9630" r:id="rId9628" tooltip="🔗 Ver Mapa" display="🔗 Ver Mapa"/>
    <hyperlink ref="L9631" r:id="rId9629" tooltip="🔗 Ver Mapa" display="🔗 Ver Mapa"/>
    <hyperlink ref="L9632" r:id="rId9630" tooltip="🔗 Ver Mapa" display="🔗 Ver Mapa"/>
    <hyperlink ref="L9633" r:id="rId9631" tooltip="🔗 Ver Mapa" display="🔗 Ver Mapa"/>
    <hyperlink ref="L9634" r:id="rId9632" tooltip="🔗 Ver Mapa" display="🔗 Ver Mapa"/>
    <hyperlink ref="L9635" r:id="rId9633" tooltip="🔗 Ver Mapa" display="🔗 Ver Mapa"/>
    <hyperlink ref="L9636" r:id="rId9634" tooltip="🔗 Ver Mapa" display="🔗 Ver Mapa"/>
    <hyperlink ref="L9637" r:id="rId9635" tooltip="🔗 Ver Mapa" display="🔗 Ver Mapa"/>
    <hyperlink ref="L9638" r:id="rId9636" tooltip="🔗 Ver Mapa" display="🔗 Ver Mapa"/>
    <hyperlink ref="L9639" r:id="rId9637" tooltip="🔗 Ver Mapa" display="🔗 Ver Mapa"/>
    <hyperlink ref="L9640" r:id="rId9638" tooltip="🔗 Ver Mapa" display="🔗 Ver Mapa"/>
    <hyperlink ref="L9641" r:id="rId9639" tooltip="🔗 Ver Mapa" display="🔗 Ver Mapa"/>
    <hyperlink ref="L9642" r:id="rId9640" tooltip="🔗 Ver Mapa" display="🔗 Ver Mapa"/>
    <hyperlink ref="L9643" r:id="rId9641" tooltip="🔗 Ver Mapa" display="🔗 Ver Mapa"/>
    <hyperlink ref="L9644" r:id="rId9642" tooltip="🔗 Ver Mapa" display="🔗 Ver Mapa"/>
    <hyperlink ref="L9645" r:id="rId9643" tooltip="🔗 Ver Mapa" display="🔗 Ver Mapa"/>
    <hyperlink ref="L9646" r:id="rId9644" tooltip="🔗 Ver Mapa" display="🔗 Ver Mapa"/>
    <hyperlink ref="L9647" r:id="rId9645" tooltip="🔗 Ver Mapa" display="🔗 Ver Mapa"/>
    <hyperlink ref="L9648" r:id="rId9646" tooltip="🔗 Ver Mapa" display="🔗 Ver Mapa"/>
    <hyperlink ref="L9649" r:id="rId9647" tooltip="🔗 Ver Mapa" display="🔗 Ver Mapa"/>
    <hyperlink ref="L9650" r:id="rId9648" tooltip="🔗 Ver Mapa" display="🔗 Ver Mapa"/>
    <hyperlink ref="L9651" r:id="rId9649" tooltip="🔗 Ver Mapa" display="🔗 Ver Mapa"/>
    <hyperlink ref="L9652" r:id="rId9650" tooltip="🔗 Ver Mapa" display="🔗 Ver Mapa"/>
    <hyperlink ref="L9653" r:id="rId9651" tooltip="🔗 Ver Mapa" display="🔗 Ver Mapa"/>
    <hyperlink ref="L9654" r:id="rId9652" tooltip="🔗 Ver Mapa" display="🔗 Ver Mapa"/>
    <hyperlink ref="L9655" r:id="rId9653" tooltip="🔗 Ver Mapa" display="🔗 Ver Mapa"/>
    <hyperlink ref="L9656" r:id="rId9654" tooltip="🔗 Ver Mapa" display="🔗 Ver Mapa"/>
    <hyperlink ref="L9657" r:id="rId9655" tooltip="🔗 Ver Mapa" display="🔗 Ver Mapa"/>
    <hyperlink ref="L9658" r:id="rId9656" tooltip="🔗 Ver Mapa" display="🔗 Ver Mapa"/>
    <hyperlink ref="L9659" r:id="rId9657" tooltip="🔗 Ver Mapa" display="🔗 Ver Mapa"/>
    <hyperlink ref="L9660" r:id="rId9658" tooltip="🔗 Ver Mapa" display="🔗 Ver Mapa"/>
    <hyperlink ref="L9661" r:id="rId9659" tooltip="🔗 Ver Mapa" display="🔗 Ver Mapa"/>
    <hyperlink ref="L9662" r:id="rId9660" tooltip="🔗 Ver Mapa" display="🔗 Ver Mapa"/>
    <hyperlink ref="L9663" r:id="rId9661" tooltip="🔗 Ver Mapa" display="🔗 Ver Mapa"/>
    <hyperlink ref="L9664" r:id="rId9662" tooltip="🔗 Ver Mapa" display="🔗 Ver Mapa"/>
    <hyperlink ref="L9665" r:id="rId9663" tooltip="🔗 Ver Mapa" display="🔗 Ver Mapa"/>
    <hyperlink ref="L9666" r:id="rId9664" tooltip="🔗 Ver Mapa" display="🔗 Ver Mapa"/>
    <hyperlink ref="L9667" r:id="rId9665" tooltip="🔗 Ver Mapa" display="🔗 Ver Mapa"/>
    <hyperlink ref="L9668" r:id="rId9666" tooltip="🔗 Ver Mapa" display="🔗 Ver Mapa"/>
    <hyperlink ref="L9669" r:id="rId9667" tooltip="🔗 Ver Mapa" display="🔗 Ver Mapa"/>
    <hyperlink ref="L9670" r:id="rId9668" tooltip="🔗 Ver Mapa" display="🔗 Ver Mapa"/>
    <hyperlink ref="L9671" r:id="rId9669" tooltip="🔗 Ver Mapa" display="🔗 Ver Mapa"/>
    <hyperlink ref="L9672" r:id="rId9670" tooltip="🔗 Ver Mapa" display="🔗 Ver Mapa"/>
    <hyperlink ref="L9673" r:id="rId9671" tooltip="🔗 Ver Mapa" display="🔗 Ver Mapa"/>
    <hyperlink ref="L9674" r:id="rId9672" tooltip="🔗 Ver Mapa" display="🔗 Ver Mapa"/>
    <hyperlink ref="L9675" r:id="rId9673" tooltip="🔗 Ver Mapa" display="🔗 Ver Mapa"/>
    <hyperlink ref="L9676" r:id="rId9674" tooltip="🔗 Ver Mapa" display="🔗 Ver Mapa"/>
    <hyperlink ref="L9677" r:id="rId9675" tooltip="🔗 Ver Mapa" display="🔗 Ver Mapa"/>
    <hyperlink ref="L9678" r:id="rId9676" tooltip="🔗 Ver Mapa" display="🔗 Ver Mapa"/>
    <hyperlink ref="L9679" r:id="rId9677" tooltip="🔗 Ver Mapa" display="🔗 Ver Mapa"/>
    <hyperlink ref="L9680" r:id="rId9678" tooltip="🔗 Ver Mapa" display="🔗 Ver Mapa"/>
    <hyperlink ref="L9681" r:id="rId9679" tooltip="🔗 Ver Mapa" display="🔗 Ver Mapa"/>
    <hyperlink ref="L9682" r:id="rId9680" tooltip="🔗 Ver Mapa" display="🔗 Ver Mapa"/>
    <hyperlink ref="L9683" r:id="rId9681" tooltip="🔗 Ver Mapa" display="🔗 Ver Mapa"/>
    <hyperlink ref="L9684" r:id="rId9682" tooltip="🔗 Ver Mapa" display="🔗 Ver Mapa"/>
    <hyperlink ref="L9685" r:id="rId9683" tooltip="🔗 Ver Mapa" display="🔗 Ver Mapa"/>
    <hyperlink ref="L9686" r:id="rId9684" tooltip="🔗 Ver Mapa" display="🔗 Ver Mapa"/>
    <hyperlink ref="L9687" r:id="rId9685" tooltip="🔗 Ver Mapa" display="🔗 Ver Mapa"/>
    <hyperlink ref="L9688" r:id="rId9686" tooltip="🔗 Ver Mapa" display="🔗 Ver Mapa"/>
    <hyperlink ref="L9689" r:id="rId9687" tooltip="🔗 Ver Mapa" display="🔗 Ver Mapa"/>
    <hyperlink ref="L9690" r:id="rId9688" tooltip="🔗 Ver Mapa" display="🔗 Ver Mapa"/>
    <hyperlink ref="L9691" r:id="rId9689" tooltip="🔗 Ver Mapa" display="🔗 Ver Mapa"/>
    <hyperlink ref="L9692" r:id="rId9690" tooltip="🔗 Ver Mapa" display="🔗 Ver Mapa"/>
    <hyperlink ref="L9693" r:id="rId9691" tooltip="🔗 Ver Mapa" display="🔗 Ver Mapa"/>
    <hyperlink ref="L9694" r:id="rId9692" tooltip="🔗 Ver Mapa" display="🔗 Ver Mapa"/>
    <hyperlink ref="L9695" r:id="rId9693" tooltip="🔗 Ver Mapa" display="🔗 Ver Mapa"/>
    <hyperlink ref="L9696" r:id="rId9694" tooltip="🔗 Ver Mapa" display="🔗 Ver Mapa"/>
    <hyperlink ref="L9697" r:id="rId9695" tooltip="🔗 Ver Mapa" display="🔗 Ver Mapa"/>
    <hyperlink ref="L9698" r:id="rId9696" tooltip="🔗 Ver Mapa" display="🔗 Ver Mapa"/>
    <hyperlink ref="L9699" r:id="rId9697" tooltip="🔗 Ver Mapa" display="🔗 Ver Mapa"/>
    <hyperlink ref="L9700" r:id="rId9698" tooltip="🔗 Ver Mapa" display="🔗 Ver Mapa"/>
    <hyperlink ref="L9701" r:id="rId9699" tooltip="🔗 Ver Mapa" display="🔗 Ver Mapa"/>
    <hyperlink ref="L9702" r:id="rId9700" tooltip="🔗 Ver Mapa" display="🔗 Ver Mapa"/>
    <hyperlink ref="L9703" r:id="rId9701" tooltip="🔗 Ver Mapa" display="🔗 Ver Mapa"/>
    <hyperlink ref="L9704" r:id="rId9702" tooltip="🔗 Ver Mapa" display="🔗 Ver Mapa"/>
    <hyperlink ref="L9705" r:id="rId9703" tooltip="🔗 Ver Mapa" display="🔗 Ver Mapa"/>
    <hyperlink ref="L9706" r:id="rId9704" tooltip="🔗 Ver Mapa" display="🔗 Ver Mapa"/>
    <hyperlink ref="L9707" r:id="rId9705" tooltip="🔗 Ver Mapa" display="🔗 Ver Mapa"/>
    <hyperlink ref="L9708" r:id="rId9706" tooltip="🔗 Ver Mapa" display="🔗 Ver Mapa"/>
    <hyperlink ref="L9709" r:id="rId9707" tooltip="🔗 Ver Mapa" display="🔗 Ver Mapa"/>
    <hyperlink ref="L9710" r:id="rId9708" tooltip="🔗 Ver Mapa" display="🔗 Ver Mapa"/>
    <hyperlink ref="L9711" r:id="rId9709" tooltip="🔗 Ver Mapa" display="🔗 Ver Mapa"/>
    <hyperlink ref="L9712" r:id="rId9710" tooltip="🔗 Ver Mapa" display="🔗 Ver Mapa"/>
    <hyperlink ref="L9713" r:id="rId9711" tooltip="🔗 Ver Mapa" display="🔗 Ver Mapa"/>
    <hyperlink ref="L9714" r:id="rId9712" tooltip="🔗 Ver Mapa" display="🔗 Ver Mapa"/>
    <hyperlink ref="L9715" r:id="rId9713" tooltip="🔗 Ver Mapa" display="🔗 Ver Mapa"/>
    <hyperlink ref="L9716" r:id="rId9714" tooltip="🔗 Ver Mapa" display="🔗 Ver Mapa"/>
    <hyperlink ref="L9717" r:id="rId9715" tooltip="🔗 Ver Mapa" display="🔗 Ver Mapa"/>
    <hyperlink ref="L9718" r:id="rId9716" tooltip="🔗 Ver Mapa" display="🔗 Ver Mapa"/>
    <hyperlink ref="L9719" r:id="rId9717" tooltip="🔗 Ver Mapa" display="🔗 Ver Mapa"/>
    <hyperlink ref="L9720" r:id="rId9718" tooltip="🔗 Ver Mapa" display="🔗 Ver Mapa"/>
    <hyperlink ref="L9721" r:id="rId9719" tooltip="🔗 Ver Mapa" display="🔗 Ver Mapa"/>
    <hyperlink ref="L9722" r:id="rId9720" tooltip="🔗 Ver Mapa" display="🔗 Ver Mapa"/>
    <hyperlink ref="L9723" r:id="rId9721" tooltip="🔗 Ver Mapa" display="🔗 Ver Mapa"/>
    <hyperlink ref="L9724" r:id="rId9722" tooltip="🔗 Ver Mapa" display="🔗 Ver Mapa"/>
    <hyperlink ref="L9725" r:id="rId9723" tooltip="🔗 Ver Mapa" display="🔗 Ver Mapa"/>
    <hyperlink ref="L9726" r:id="rId9724" tooltip="🔗 Ver Mapa" display="🔗 Ver Mapa"/>
    <hyperlink ref="L9727" r:id="rId9725" tooltip="🔗 Ver Mapa" display="🔗 Ver Mapa"/>
    <hyperlink ref="L9728" r:id="rId9726" tooltip="🔗 Ver Mapa" display="🔗 Ver Mapa"/>
    <hyperlink ref="L9729" r:id="rId9727" tooltip="🔗 Ver Mapa" display="🔗 Ver Mapa"/>
    <hyperlink ref="L9730" r:id="rId9728" tooltip="🔗 Ver Mapa" display="🔗 Ver Mapa"/>
    <hyperlink ref="L9731" r:id="rId9729" tooltip="🔗 Ver Mapa" display="🔗 Ver Mapa"/>
    <hyperlink ref="L9732" r:id="rId9730" tooltip="🔗 Ver Mapa" display="🔗 Ver Mapa"/>
    <hyperlink ref="L9733" r:id="rId9731" tooltip="🔗 Ver Mapa" display="🔗 Ver Mapa"/>
    <hyperlink ref="L9734" r:id="rId9732" tooltip="🔗 Ver Mapa" display="🔗 Ver Mapa"/>
    <hyperlink ref="L9735" r:id="rId9733" tooltip="🔗 Ver Mapa" display="🔗 Ver Mapa"/>
    <hyperlink ref="L9736" r:id="rId9734" tooltip="🔗 Ver Mapa" display="🔗 Ver Mapa"/>
    <hyperlink ref="L9737" r:id="rId9735" tooltip="🔗 Ver Mapa" display="🔗 Ver Mapa"/>
    <hyperlink ref="L9738" r:id="rId9736" tooltip="🔗 Ver Mapa" display="🔗 Ver Mapa"/>
    <hyperlink ref="L9739" r:id="rId9737" tooltip="🔗 Ver Mapa" display="🔗 Ver Mapa"/>
    <hyperlink ref="L9740" r:id="rId9738" tooltip="🔗 Ver Mapa" display="🔗 Ver Mapa"/>
    <hyperlink ref="L9741" r:id="rId9739" tooltip="🔗 Ver Mapa" display="🔗 Ver Mapa"/>
    <hyperlink ref="L9742" r:id="rId9740" tooltip="🔗 Ver Mapa" display="🔗 Ver Mapa"/>
    <hyperlink ref="L9743" r:id="rId9741" tooltip="🔗 Ver Mapa" display="🔗 Ver Mapa"/>
    <hyperlink ref="L9744" r:id="rId9742" tooltip="🔗 Ver Mapa" display="🔗 Ver Mapa"/>
    <hyperlink ref="L9745" r:id="rId9743" tooltip="🔗 Ver Mapa" display="🔗 Ver Mapa"/>
    <hyperlink ref="L9746" r:id="rId9744" tooltip="🔗 Ver Mapa" display="🔗 Ver Mapa"/>
    <hyperlink ref="L9747" r:id="rId9745" tooltip="🔗 Ver Mapa" display="🔗 Ver Mapa"/>
    <hyperlink ref="L9748" r:id="rId9746" tooltip="🔗 Ver Mapa" display="🔗 Ver Mapa"/>
    <hyperlink ref="L9749" r:id="rId9747" tooltip="🔗 Ver Mapa" display="🔗 Ver Mapa"/>
    <hyperlink ref="L9750" r:id="rId9748" tooltip="🔗 Ver Mapa" display="🔗 Ver Mapa"/>
    <hyperlink ref="L9751" r:id="rId9749" tooltip="🔗 Ver Mapa" display="🔗 Ver Mapa"/>
    <hyperlink ref="L9752" r:id="rId9750" tooltip="🔗 Ver Mapa" display="🔗 Ver Mapa"/>
    <hyperlink ref="L9753" r:id="rId9751" tooltip="🔗 Ver Mapa" display="🔗 Ver Mapa"/>
    <hyperlink ref="L9754" r:id="rId9752" tooltip="🔗 Ver Mapa" display="🔗 Ver Mapa"/>
    <hyperlink ref="L9755" r:id="rId9753" tooltip="🔗 Ver Mapa" display="🔗 Ver Mapa"/>
    <hyperlink ref="L9756" r:id="rId9754" tooltip="🔗 Ver Mapa" display="🔗 Ver Mapa"/>
    <hyperlink ref="L9757" r:id="rId9755" tooltip="🔗 Ver Mapa" display="🔗 Ver Mapa"/>
    <hyperlink ref="L9758" r:id="rId9756" tooltip="🔗 Ver Mapa" display="🔗 Ver Mapa"/>
    <hyperlink ref="L9759" r:id="rId9757" tooltip="🔗 Ver Mapa" display="🔗 Ver Mapa"/>
    <hyperlink ref="L9760" r:id="rId9758" tooltip="🔗 Ver Mapa" display="🔗 Ver Mapa"/>
    <hyperlink ref="L9761" r:id="rId9759" tooltip="🔗 Ver Mapa" display="🔗 Ver Mapa"/>
    <hyperlink ref="L9762" r:id="rId9760" tooltip="🔗 Ver Mapa" display="🔗 Ver Mapa"/>
    <hyperlink ref="L9763" r:id="rId9761" tooltip="🔗 Ver Mapa" display="🔗 Ver Mapa"/>
    <hyperlink ref="L9764" r:id="rId9762" tooltip="🔗 Ver Mapa" display="🔗 Ver Mapa"/>
    <hyperlink ref="L9765" r:id="rId9763" tooltip="🔗 Ver Mapa" display="🔗 Ver Mapa"/>
    <hyperlink ref="L9766" r:id="rId9764" tooltip="🔗 Ver Mapa" display="🔗 Ver Mapa"/>
    <hyperlink ref="L9767" r:id="rId9765" tooltip="🔗 Ver Mapa" display="🔗 Ver Mapa"/>
    <hyperlink ref="L9768" r:id="rId9766" tooltip="🔗 Ver Mapa" display="🔗 Ver Mapa"/>
    <hyperlink ref="L9769" r:id="rId9767" tooltip="🔗 Ver Mapa" display="🔗 Ver Mapa"/>
    <hyperlink ref="L9770" r:id="rId9768" tooltip="🔗 Ver Mapa" display="🔗 Ver Mapa"/>
    <hyperlink ref="L9771" r:id="rId9769" tooltip="🔗 Ver Mapa" display="🔗 Ver Mapa"/>
    <hyperlink ref="L9772" r:id="rId9770" tooltip="🔗 Ver Mapa" display="🔗 Ver Mapa"/>
    <hyperlink ref="L9773" r:id="rId9771" tooltip="🔗 Ver Mapa" display="🔗 Ver Mapa"/>
    <hyperlink ref="L9774" r:id="rId9772" tooltip="🔗 Ver Mapa" display="🔗 Ver Mapa"/>
    <hyperlink ref="L9775" r:id="rId9773" tooltip="🔗 Ver Mapa" display="🔗 Ver Mapa"/>
    <hyperlink ref="L9776" r:id="rId9774" tooltip="🔗 Ver Mapa" display="🔗 Ver Mapa"/>
    <hyperlink ref="L9777" r:id="rId9775" tooltip="🔗 Ver Mapa" display="🔗 Ver Mapa"/>
    <hyperlink ref="L9778" r:id="rId9776" tooltip="🔗 Ver Mapa" display="🔗 Ver Mapa"/>
    <hyperlink ref="L9779" r:id="rId9777" tooltip="🔗 Ver Mapa" display="🔗 Ver Mapa"/>
    <hyperlink ref="L9780" r:id="rId9778" tooltip="🔗 Ver Mapa" display="🔗 Ver Mapa"/>
    <hyperlink ref="L9781" r:id="rId9779" tooltip="🔗 Ver Mapa" display="🔗 Ver Mapa"/>
    <hyperlink ref="L9782" r:id="rId9780" tooltip="🔗 Ver Mapa" display="🔗 Ver Mapa"/>
    <hyperlink ref="L9783" r:id="rId9781" tooltip="🔗 Ver Mapa" display="🔗 Ver Mapa"/>
    <hyperlink ref="L9784" r:id="rId9782" tooltip="🔗 Ver Mapa" display="🔗 Ver Mapa"/>
    <hyperlink ref="L9785" r:id="rId9783" tooltip="🔗 Ver Mapa" display="🔗 Ver Mapa"/>
    <hyperlink ref="L9786" r:id="rId9784" tooltip="🔗 Ver Mapa" display="🔗 Ver Mapa"/>
    <hyperlink ref="L9787" r:id="rId9785" tooltip="🔗 Ver Mapa" display="🔗 Ver Mapa"/>
    <hyperlink ref="L9788" r:id="rId9786" tooltip="🔗 Ver Mapa" display="🔗 Ver Mapa"/>
    <hyperlink ref="L9789" r:id="rId9787" tooltip="🔗 Ver Mapa" display="🔗 Ver Mapa"/>
    <hyperlink ref="L9790" r:id="rId9788" tooltip="🔗 Ver Mapa" display="🔗 Ver Mapa"/>
    <hyperlink ref="L9791" r:id="rId9789" tooltip="🔗 Ver Mapa" display="🔗 Ver Mapa"/>
    <hyperlink ref="L9792" r:id="rId9790" tooltip="🔗 Ver Mapa" display="🔗 Ver Mapa"/>
    <hyperlink ref="L9793" r:id="rId9791" tooltip="🔗 Ver Mapa" display="🔗 Ver Mapa"/>
    <hyperlink ref="L9794" r:id="rId9792" tooltip="🔗 Ver Mapa" display="🔗 Ver Mapa"/>
    <hyperlink ref="L9795" r:id="rId9793" tooltip="🔗 Ver Mapa" display="🔗 Ver Mapa"/>
    <hyperlink ref="L9796" r:id="rId9794" tooltip="🔗 Ver Mapa" display="🔗 Ver Mapa"/>
    <hyperlink ref="L9797" r:id="rId9795" tooltip="🔗 Ver Mapa" display="🔗 Ver Mapa"/>
    <hyperlink ref="L9798" r:id="rId9796" tooltip="🔗 Ver Mapa" display="🔗 Ver Mapa"/>
    <hyperlink ref="L9799" r:id="rId9797" tooltip="🔗 Ver Mapa" display="🔗 Ver Mapa"/>
    <hyperlink ref="L9800" r:id="rId9798" tooltip="🔗 Ver Mapa" display="🔗 Ver Mapa"/>
    <hyperlink ref="L9801" r:id="rId9799" tooltip="🔗 Ver Mapa" display="🔗 Ver Mapa"/>
    <hyperlink ref="L9802" r:id="rId9800" tooltip="🔗 Ver Mapa" display="🔗 Ver Mapa"/>
    <hyperlink ref="L9803" r:id="rId9801" tooltip="🔗 Ver Mapa" display="🔗 Ver Mapa"/>
    <hyperlink ref="L9804" r:id="rId9802" tooltip="🔗 Ver Mapa" display="🔗 Ver Mapa"/>
    <hyperlink ref="L9805" r:id="rId9803" tooltip="🔗 Ver Mapa" display="🔗 Ver Mapa"/>
    <hyperlink ref="L9806" r:id="rId9804" tooltip="🔗 Ver Mapa" display="🔗 Ver Mapa"/>
    <hyperlink ref="L9807" r:id="rId9805" tooltip="🔗 Ver Mapa" display="🔗 Ver Mapa"/>
    <hyperlink ref="L9808" r:id="rId9806" tooltip="🔗 Ver Mapa" display="🔗 Ver Mapa"/>
    <hyperlink ref="L9809" r:id="rId9807" tooltip="🔗 Ver Mapa" display="🔗 Ver Mapa"/>
    <hyperlink ref="L9810" r:id="rId9808" tooltip="🔗 Ver Mapa" display="🔗 Ver Mapa"/>
    <hyperlink ref="L9811" r:id="rId9809" tooltip="🔗 Ver Mapa" display="🔗 Ver Mapa"/>
    <hyperlink ref="L9812" r:id="rId9810" tooltip="🔗 Ver Mapa" display="🔗 Ver Mapa"/>
    <hyperlink ref="L9813" r:id="rId9811" tooltip="🔗 Ver Mapa" display="🔗 Ver Mapa"/>
    <hyperlink ref="L9814" r:id="rId9812" tooltip="🔗 Ver Mapa" display="🔗 Ver Mapa"/>
    <hyperlink ref="L9815" r:id="rId9813" tooltip="🔗 Ver Mapa" display="🔗 Ver Mapa"/>
    <hyperlink ref="L9816" r:id="rId9814" tooltip="🔗 Ver Mapa" display="🔗 Ver Mapa"/>
    <hyperlink ref="L9817" r:id="rId9815" tooltip="🔗 Ver Mapa" display="🔗 Ver Mapa"/>
    <hyperlink ref="L9818" r:id="rId9816" tooltip="🔗 Ver Mapa" display="🔗 Ver Mapa"/>
    <hyperlink ref="L9819" r:id="rId9817" tooltip="🔗 Ver Mapa" display="🔗 Ver Mapa"/>
    <hyperlink ref="L9820" r:id="rId9818" tooltip="🔗 Ver Mapa" display="🔗 Ver Mapa"/>
    <hyperlink ref="L9821" r:id="rId9819" tooltip="🔗 Ver Mapa" display="🔗 Ver Mapa"/>
    <hyperlink ref="L9822" r:id="rId9820" tooltip="🔗 Ver Mapa" display="🔗 Ver Mapa"/>
    <hyperlink ref="L9823" r:id="rId9821" tooltip="🔗 Ver Mapa" display="🔗 Ver Mapa"/>
    <hyperlink ref="L9824" r:id="rId9822" tooltip="🔗 Ver Mapa" display="🔗 Ver Mapa"/>
    <hyperlink ref="L9825" r:id="rId9823" tooltip="🔗 Ver Mapa" display="🔗 Ver Mapa"/>
    <hyperlink ref="L9826" r:id="rId9824" tooltip="🔗 Ver Mapa" display="🔗 Ver Mapa"/>
    <hyperlink ref="L9827" r:id="rId9825" tooltip="🔗 Ver Mapa" display="🔗 Ver Mapa"/>
    <hyperlink ref="L9828" r:id="rId9826" tooltip="🔗 Ver Mapa" display="🔗 Ver Mapa"/>
    <hyperlink ref="L9829" r:id="rId9827" tooltip="🔗 Ver Mapa" display="🔗 Ver Mapa"/>
    <hyperlink ref="L9830" r:id="rId9828" tooltip="🔗 Ver Mapa" display="🔗 Ver Mapa"/>
    <hyperlink ref="L9831" r:id="rId9829" tooltip="🔗 Ver Mapa" display="🔗 Ver Mapa"/>
    <hyperlink ref="L9832" r:id="rId9830" tooltip="🔗 Ver Mapa" display="🔗 Ver Mapa"/>
    <hyperlink ref="L9833" r:id="rId9831" tooltip="🔗 Ver Mapa" display="🔗 Ver Mapa"/>
    <hyperlink ref="L9834" r:id="rId9832" tooltip="🔗 Ver Mapa" display="🔗 Ver Mapa"/>
    <hyperlink ref="L9835" r:id="rId9833" tooltip="🔗 Ver Mapa" display="🔗 Ver Mapa"/>
    <hyperlink ref="L9836" r:id="rId9834" tooltip="🔗 Ver Mapa" display="🔗 Ver Mapa"/>
    <hyperlink ref="L9837" r:id="rId9835" tooltip="🔗 Ver Mapa" display="🔗 Ver Mapa"/>
    <hyperlink ref="L9838" r:id="rId9836" tooltip="🔗 Ver Mapa" display="🔗 Ver Mapa"/>
    <hyperlink ref="L9839" r:id="rId9837" tooltip="🔗 Ver Mapa" display="🔗 Ver Mapa"/>
    <hyperlink ref="L9840" r:id="rId9838" tooltip="🔗 Ver Mapa" display="🔗 Ver Mapa"/>
    <hyperlink ref="L9841" r:id="rId9839" tooltip="🔗 Ver Mapa" display="🔗 Ver Mapa"/>
    <hyperlink ref="L9842" r:id="rId9840" tooltip="🔗 Ver Mapa" display="🔗 Ver Mapa"/>
    <hyperlink ref="L9843" r:id="rId9841" tooltip="🔗 Ver Mapa" display="🔗 Ver Mapa"/>
    <hyperlink ref="L9844" r:id="rId9842" tooltip="🔗 Ver Mapa" display="🔗 Ver Mapa"/>
    <hyperlink ref="L9845" r:id="rId9843" tooltip="🔗 Ver Mapa" display="🔗 Ver Mapa"/>
    <hyperlink ref="L9846" r:id="rId9844" tooltip="🔗 Ver Mapa" display="🔗 Ver Mapa"/>
    <hyperlink ref="L9847" r:id="rId9845" tooltip="🔗 Ver Mapa" display="🔗 Ver Mapa"/>
    <hyperlink ref="L9848" r:id="rId9846" tooltip="🔗 Ver Mapa" display="🔗 Ver Mapa"/>
    <hyperlink ref="L9849" r:id="rId9847" tooltip="🔗 Ver Mapa" display="🔗 Ver Mapa"/>
    <hyperlink ref="L9850" r:id="rId9848" tooltip="🔗 Ver Mapa" display="🔗 Ver Mapa"/>
    <hyperlink ref="L9851" r:id="rId9849" tooltip="🔗 Ver Mapa" display="🔗 Ver Mapa"/>
    <hyperlink ref="L9852" r:id="rId9850" tooltip="🔗 Ver Mapa" display="🔗 Ver Mapa"/>
    <hyperlink ref="L9853" r:id="rId9851" tooltip="🔗 Ver Mapa" display="🔗 Ver Mapa"/>
    <hyperlink ref="L9854" r:id="rId9852" tooltip="🔗 Ver Mapa" display="🔗 Ver Mapa"/>
    <hyperlink ref="L9855" r:id="rId9853" tooltip="🔗 Ver Mapa" display="🔗 Ver Mapa"/>
    <hyperlink ref="L9856" r:id="rId9854" tooltip="🔗 Ver Mapa" display="🔗 Ver Mapa"/>
    <hyperlink ref="L9857" r:id="rId9855" tooltip="🔗 Ver Mapa" display="🔗 Ver Mapa"/>
    <hyperlink ref="L9858" r:id="rId9856" tooltip="🔗 Ver Mapa" display="🔗 Ver Mapa"/>
    <hyperlink ref="L9859" r:id="rId9857" tooltip="🔗 Ver Mapa" display="🔗 Ver Mapa"/>
    <hyperlink ref="L9860" r:id="rId9858" tooltip="🔗 Ver Mapa" display="🔗 Ver Mapa"/>
    <hyperlink ref="L9861" r:id="rId9859" tooltip="🔗 Ver Mapa" display="🔗 Ver Mapa"/>
    <hyperlink ref="L9862" r:id="rId9860" tooltip="🔗 Ver Mapa" display="🔗 Ver Mapa"/>
    <hyperlink ref="L9863" r:id="rId9861" tooltip="🔗 Ver Mapa" display="🔗 Ver Mapa"/>
    <hyperlink ref="L9864" r:id="rId9862" tooltip="🔗 Ver Mapa" display="🔗 Ver Mapa"/>
    <hyperlink ref="L9865" r:id="rId9863" tooltip="🔗 Ver Mapa" display="🔗 Ver Mapa"/>
    <hyperlink ref="L9866" r:id="rId9864" tooltip="🔗 Ver Mapa" display="🔗 Ver Mapa"/>
    <hyperlink ref="L9867" r:id="rId9865" tooltip="🔗 Ver Mapa" display="🔗 Ver Mapa"/>
    <hyperlink ref="L9868" r:id="rId9866" tooltip="🔗 Ver Mapa" display="🔗 Ver Mapa"/>
    <hyperlink ref="L9869" r:id="rId9867" tooltip="🔗 Ver Mapa" display="🔗 Ver Mapa"/>
    <hyperlink ref="L9870" r:id="rId9868" tooltip="🔗 Ver Mapa" display="🔗 Ver Mapa"/>
    <hyperlink ref="L9871" r:id="rId9869" tooltip="🔗 Ver Mapa" display="🔗 Ver Mapa"/>
    <hyperlink ref="L9872" r:id="rId9870" tooltip="🔗 Ver Mapa" display="🔗 Ver Mapa"/>
    <hyperlink ref="L9873" r:id="rId9871" tooltip="🔗 Ver Mapa" display="🔗 Ver Mapa"/>
    <hyperlink ref="L9874" r:id="rId9872" tooltip="🔗 Ver Mapa" display="🔗 Ver Mapa"/>
    <hyperlink ref="L9875" r:id="rId9873" tooltip="🔗 Ver Mapa" display="🔗 Ver Mapa"/>
    <hyperlink ref="L9876" r:id="rId9874" tooltip="🔗 Ver Mapa" display="🔗 Ver Mapa"/>
    <hyperlink ref="L9877" r:id="rId9875" tooltip="🔗 Ver Mapa" display="🔗 Ver Mapa"/>
    <hyperlink ref="L9878" r:id="rId9876" tooltip="🔗 Ver Mapa" display="🔗 Ver Mapa"/>
    <hyperlink ref="L9879" r:id="rId9877" tooltip="🔗 Ver Mapa" display="🔗 Ver Mapa"/>
    <hyperlink ref="L9880" r:id="rId9878" tooltip="🔗 Ver Mapa" display="🔗 Ver Mapa"/>
    <hyperlink ref="L9881" r:id="rId9879" tooltip="🔗 Ver Mapa" display="🔗 Ver Mapa"/>
    <hyperlink ref="L9882" r:id="rId9880" tooltip="🔗 Ver Mapa" display="🔗 Ver Mapa"/>
    <hyperlink ref="L9883" r:id="rId9881" tooltip="🔗 Ver Mapa" display="🔗 Ver Mapa"/>
    <hyperlink ref="L9884" r:id="rId9882" tooltip="🔗 Ver Mapa" display="🔗 Ver Mapa"/>
    <hyperlink ref="L9885" r:id="rId9883" tooltip="🔗 Ver Mapa" display="🔗 Ver Mapa"/>
    <hyperlink ref="L9886" r:id="rId9884" tooltip="🔗 Ver Mapa" display="🔗 Ver Mapa"/>
    <hyperlink ref="L9887" r:id="rId9885" tooltip="🔗 Ver Mapa" display="🔗 Ver Mapa"/>
    <hyperlink ref="L9888" r:id="rId9886" tooltip="🔗 Ver Mapa" display="🔗 Ver Mapa"/>
    <hyperlink ref="L9889" r:id="rId9887" tooltip="🔗 Ver Mapa" display="🔗 Ver Mapa"/>
    <hyperlink ref="L9890" r:id="rId9888" tooltip="🔗 Ver Mapa" display="🔗 Ver Mapa"/>
    <hyperlink ref="L9891" r:id="rId9889" tooltip="🔗 Ver Mapa" display="🔗 Ver Mapa"/>
    <hyperlink ref="L9892" r:id="rId9890" tooltip="🔗 Ver Mapa" display="🔗 Ver Mapa"/>
    <hyperlink ref="L9893" r:id="rId9891" tooltip="🔗 Ver Mapa" display="🔗 Ver Mapa"/>
    <hyperlink ref="L9894" r:id="rId9892" tooltip="🔗 Ver Mapa" display="🔗 Ver Mapa"/>
    <hyperlink ref="L9895" r:id="rId9893" tooltip="🔗 Ver Mapa" display="🔗 Ver Mapa"/>
    <hyperlink ref="L9896" r:id="rId9894" tooltip="🔗 Ver Mapa" display="🔗 Ver Mapa"/>
    <hyperlink ref="L9897" r:id="rId9895" tooltip="🔗 Ver Mapa" display="🔗 Ver Mapa"/>
    <hyperlink ref="L9898" r:id="rId9896" tooltip="🔗 Ver Mapa" display="🔗 Ver Mapa"/>
    <hyperlink ref="L9899" r:id="rId9897" tooltip="🔗 Ver Mapa" display="🔗 Ver Mapa"/>
    <hyperlink ref="L9900" r:id="rId9898" tooltip="🔗 Ver Mapa" display="🔗 Ver Mapa"/>
    <hyperlink ref="L9901" r:id="rId9899" tooltip="🔗 Ver Mapa" display="🔗 Ver Mapa"/>
    <hyperlink ref="L9902" r:id="rId9900" tooltip="🔗 Ver Mapa" display="🔗 Ver Mapa"/>
    <hyperlink ref="L9903" r:id="rId9901" tooltip="🔗 Ver Mapa" display="🔗 Ver Mapa"/>
    <hyperlink ref="L9904" r:id="rId9902" tooltip="🔗 Ver Mapa" display="🔗 Ver Mapa"/>
    <hyperlink ref="L9905" r:id="rId9903" tooltip="🔗 Ver Mapa" display="🔗 Ver Mapa"/>
    <hyperlink ref="L9906" r:id="rId9904" tooltip="🔗 Ver Mapa" display="🔗 Ver Mapa"/>
    <hyperlink ref="L9907" r:id="rId9905" tooltip="🔗 Ver Mapa" display="🔗 Ver Mapa"/>
    <hyperlink ref="L9908" r:id="rId9906" tooltip="🔗 Ver Mapa" display="🔗 Ver Mapa"/>
    <hyperlink ref="L9909" r:id="rId9907" tooltip="🔗 Ver Mapa" display="🔗 Ver Mapa"/>
    <hyperlink ref="L9910" r:id="rId9908" tooltip="🔗 Ver Mapa" display="🔗 Ver Mapa"/>
    <hyperlink ref="L9911" r:id="rId9909" tooltip="🔗 Ver Mapa" display="🔗 Ver Mapa"/>
    <hyperlink ref="L9912" r:id="rId9910" tooltip="🔗 Ver Mapa" display="🔗 Ver Mapa"/>
    <hyperlink ref="L9913" r:id="rId9911" tooltip="🔗 Ver Mapa" display="🔗 Ver Mapa"/>
    <hyperlink ref="L9914" r:id="rId9912" tooltip="🔗 Ver Mapa" display="🔗 Ver Mapa"/>
    <hyperlink ref="L9915" r:id="rId9913" tooltip="🔗 Ver Mapa" display="🔗 Ver Mapa"/>
    <hyperlink ref="L9916" r:id="rId9914" tooltip="🔗 Ver Mapa" display="🔗 Ver Mapa"/>
    <hyperlink ref="L9917" r:id="rId9915" tooltip="🔗 Ver Mapa" display="🔗 Ver Mapa"/>
    <hyperlink ref="L9918" r:id="rId9916" tooltip="🔗 Ver Mapa" display="🔗 Ver Mapa"/>
    <hyperlink ref="L9919" r:id="rId9917" tooltip="🔗 Ver Mapa" display="🔗 Ver Mapa"/>
    <hyperlink ref="L9920" r:id="rId9918" tooltip="🔗 Ver Mapa" display="🔗 Ver Mapa"/>
    <hyperlink ref="L9921" r:id="rId9919" tooltip="🔗 Ver Mapa" display="🔗 Ver Mapa"/>
    <hyperlink ref="L9922" r:id="rId9920" tooltip="🔗 Ver Mapa" display="🔗 Ver Mapa"/>
    <hyperlink ref="L9923" r:id="rId9921" tooltip="🔗 Ver Mapa" display="🔗 Ver Mapa"/>
    <hyperlink ref="L9924" r:id="rId9922" tooltip="🔗 Ver Mapa" display="🔗 Ver Mapa"/>
    <hyperlink ref="L9925" r:id="rId9923" tooltip="🔗 Ver Mapa" display="🔗 Ver Mapa"/>
    <hyperlink ref="L9926" r:id="rId9924" tooltip="🔗 Ver Mapa" display="🔗 Ver Mapa"/>
    <hyperlink ref="L9927" r:id="rId9925" tooltip="🔗 Ver Mapa" display="🔗 Ver Mapa"/>
    <hyperlink ref="L9928" r:id="rId9926" tooltip="🔗 Ver Mapa" display="🔗 Ver Mapa"/>
    <hyperlink ref="L9929" r:id="rId9927" tooltip="🔗 Ver Mapa" display="🔗 Ver Mapa"/>
    <hyperlink ref="L9930" r:id="rId9928" tooltip="🔗 Ver Mapa" display="🔗 Ver Mapa"/>
    <hyperlink ref="L9931" r:id="rId9929" tooltip="🔗 Ver Mapa" display="🔗 Ver Mapa"/>
    <hyperlink ref="L9932" r:id="rId9930" tooltip="🔗 Ver Mapa" display="🔗 Ver Mapa"/>
    <hyperlink ref="L9933" r:id="rId9931" tooltip="🔗 Ver Mapa" display="🔗 Ver Mapa"/>
    <hyperlink ref="L9934" r:id="rId9932" tooltip="🔗 Ver Mapa" display="🔗 Ver Mapa"/>
    <hyperlink ref="L9935" r:id="rId9933" tooltip="🔗 Ver Mapa" display="🔗 Ver Mapa"/>
    <hyperlink ref="L9936" r:id="rId9934" tooltip="🔗 Ver Mapa" display="🔗 Ver Mapa"/>
    <hyperlink ref="L9937" r:id="rId9935" tooltip="🔗 Ver Mapa" display="🔗 Ver Mapa"/>
    <hyperlink ref="L9938" r:id="rId9936" tooltip="🔗 Ver Mapa" display="🔗 Ver Mapa"/>
    <hyperlink ref="L9939" r:id="rId9937" tooltip="🔗 Ver Mapa" display="🔗 Ver Mapa"/>
    <hyperlink ref="L9940" r:id="rId9938" tooltip="🔗 Ver Mapa" display="🔗 Ver Mapa"/>
    <hyperlink ref="L9941" r:id="rId9939" tooltip="🔗 Ver Mapa" display="🔗 Ver Mapa"/>
    <hyperlink ref="L9942" r:id="rId9940" tooltip="🔗 Ver Mapa" display="🔗 Ver Mapa"/>
    <hyperlink ref="L9943" r:id="rId9941" tooltip="🔗 Ver Mapa" display="🔗 Ver Mapa"/>
    <hyperlink ref="L9944" r:id="rId9942" tooltip="🔗 Ver Mapa" display="🔗 Ver Mapa"/>
    <hyperlink ref="L9945" r:id="rId9943" tooltip="🔗 Ver Mapa" display="🔗 Ver Mapa"/>
    <hyperlink ref="L9946" r:id="rId9944" tooltip="🔗 Ver Mapa" display="🔗 Ver Mapa"/>
    <hyperlink ref="L9947" r:id="rId9945" tooltip="🔗 Ver Mapa" display="🔗 Ver Mapa"/>
    <hyperlink ref="L9948" r:id="rId9946" tooltip="🔗 Ver Mapa" display="🔗 Ver Mapa"/>
    <hyperlink ref="L9949" r:id="rId9947" tooltip="🔗 Ver Mapa" display="🔗 Ver Mapa"/>
    <hyperlink ref="L9950" r:id="rId9948" tooltip="🔗 Ver Mapa" display="🔗 Ver Mapa"/>
    <hyperlink ref="L9951" r:id="rId9949" tooltip="🔗 Ver Mapa" display="🔗 Ver Mapa"/>
    <hyperlink ref="L9952" r:id="rId9950" tooltip="🔗 Ver Mapa" display="🔗 Ver Mapa"/>
    <hyperlink ref="L9953" r:id="rId9951" tooltip="🔗 Ver Mapa" display="🔗 Ver Mapa"/>
    <hyperlink ref="L9954" r:id="rId9952" tooltip="🔗 Ver Mapa" display="🔗 Ver Mapa"/>
    <hyperlink ref="L9955" r:id="rId9953" tooltip="🔗 Ver Mapa" display="🔗 Ver Mapa"/>
    <hyperlink ref="L9956" r:id="rId9954" tooltip="🔗 Ver Mapa" display="🔗 Ver Mapa"/>
    <hyperlink ref="L9957" r:id="rId9955" tooltip="🔗 Ver Mapa" display="🔗 Ver Mapa"/>
    <hyperlink ref="L9958" r:id="rId9956" tooltip="🔗 Ver Mapa" display="🔗 Ver Mapa"/>
    <hyperlink ref="L9959" r:id="rId9957" tooltip="🔗 Ver Mapa" display="🔗 Ver Mapa"/>
    <hyperlink ref="L9960" r:id="rId9958" tooltip="🔗 Ver Mapa" display="🔗 Ver Mapa"/>
    <hyperlink ref="L9961" r:id="rId9959" tooltip="🔗 Ver Mapa" display="🔗 Ver Mapa"/>
    <hyperlink ref="L9962" r:id="rId9960" tooltip="🔗 Ver Mapa" display="🔗 Ver Mapa"/>
    <hyperlink ref="L9963" r:id="rId9961" tooltip="🔗 Ver Mapa" display="🔗 Ver Mapa"/>
    <hyperlink ref="L9964" r:id="rId9962" tooltip="🔗 Ver Mapa" display="🔗 Ver Mapa"/>
    <hyperlink ref="L9965" r:id="rId9963" tooltip="🔗 Ver Mapa" display="🔗 Ver Mapa"/>
    <hyperlink ref="L9966" r:id="rId9964" tooltip="🔗 Ver Mapa" display="🔗 Ver Mapa"/>
    <hyperlink ref="L9967" r:id="rId9965" tooltip="🔗 Ver Mapa" display="🔗 Ver Mapa"/>
    <hyperlink ref="L9968" r:id="rId9966" tooltip="🔗 Ver Mapa" display="🔗 Ver Mapa"/>
    <hyperlink ref="L9969" r:id="rId9967" tooltip="🔗 Ver Mapa" display="🔗 Ver Mapa"/>
    <hyperlink ref="L9970" r:id="rId9968" tooltip="🔗 Ver Mapa" display="🔗 Ver Mapa"/>
    <hyperlink ref="L9971" r:id="rId9969" tooltip="🔗 Ver Mapa" display="🔗 Ver Mapa"/>
    <hyperlink ref="L9972" r:id="rId9970" tooltip="🔗 Ver Mapa" display="🔗 Ver Mapa"/>
    <hyperlink ref="L9973" r:id="rId9971" tooltip="🔗 Ver Mapa" display="🔗 Ver Mapa"/>
    <hyperlink ref="L9974" r:id="rId9972" tooltip="🔗 Ver Mapa" display="🔗 Ver Mapa"/>
    <hyperlink ref="L9975" r:id="rId9973" tooltip="🔗 Ver Mapa" display="🔗 Ver Mapa"/>
    <hyperlink ref="L9976" r:id="rId9974" tooltip="🔗 Ver Mapa" display="🔗 Ver Mapa"/>
    <hyperlink ref="L9977" r:id="rId9975" tooltip="🔗 Ver Mapa" display="🔗 Ver Mapa"/>
    <hyperlink ref="L9978" r:id="rId9976" tooltip="🔗 Ver Mapa" display="🔗 Ver Mapa"/>
    <hyperlink ref="L9979" r:id="rId9977" tooltip="🔗 Ver Mapa" display="🔗 Ver Mapa"/>
    <hyperlink ref="L9980" r:id="rId9978" tooltip="🔗 Ver Mapa" display="🔗 Ver Mapa"/>
    <hyperlink ref="L9981" r:id="rId9979" tooltip="🔗 Ver Mapa" display="🔗 Ver Mapa"/>
    <hyperlink ref="L9982" r:id="rId9980" tooltip="🔗 Ver Mapa" display="🔗 Ver Mapa"/>
    <hyperlink ref="L9983" r:id="rId9981" tooltip="🔗 Ver Mapa" display="🔗 Ver Mapa"/>
    <hyperlink ref="L9984" r:id="rId9982" tooltip="🔗 Ver Mapa" display="🔗 Ver Mapa"/>
    <hyperlink ref="L9985" r:id="rId9983" tooltip="🔗 Ver Mapa" display="🔗 Ver Mapa"/>
    <hyperlink ref="L9986" r:id="rId9984" tooltip="🔗 Ver Mapa" display="🔗 Ver Mapa"/>
    <hyperlink ref="L9987" r:id="rId9985" tooltip="🔗 Ver Mapa" display="🔗 Ver Mapa"/>
    <hyperlink ref="L9988" r:id="rId9986" tooltip="🔗 Ver Mapa" display="🔗 Ver Mapa"/>
    <hyperlink ref="L9989" r:id="rId9987" tooltip="🔗 Ver Mapa" display="🔗 Ver Mapa"/>
    <hyperlink ref="L9990" r:id="rId9988" tooltip="🔗 Ver Mapa" display="🔗 Ver Mapa"/>
    <hyperlink ref="L9991" r:id="rId9989" tooltip="🔗 Ver Mapa" display="🔗 Ver Mapa"/>
    <hyperlink ref="L9992" r:id="rId9990" tooltip="🔗 Ver Mapa" display="🔗 Ver Mapa"/>
    <hyperlink ref="L9993" r:id="rId9991" tooltip="🔗 Ver Mapa" display="🔗 Ver Mapa"/>
    <hyperlink ref="L9994" r:id="rId9992" tooltip="🔗 Ver Mapa" display="🔗 Ver Mapa"/>
    <hyperlink ref="L9995" r:id="rId9993" tooltip="🔗 Ver Mapa" display="🔗 Ver Mapa"/>
    <hyperlink ref="L9996" r:id="rId9994" tooltip="🔗 Ver Mapa" display="🔗 Ver Mapa"/>
    <hyperlink ref="L9997" r:id="rId9995" tooltip="🔗 Ver Mapa" display="🔗 Ver Mapa"/>
    <hyperlink ref="L9998" r:id="rId9996" tooltip="🔗 Ver Mapa" display="🔗 Ver Mapa"/>
    <hyperlink ref="L9999" r:id="rId9997" tooltip="🔗 Ver Mapa" display="🔗 Ver Mapa"/>
    <hyperlink ref="L10000" r:id="rId9998" tooltip="🔗 Ver Mapa" display="🔗 Ver Mapa"/>
    <hyperlink ref="L10001" r:id="rId9999" tooltip="🔗 Ver Mapa" display="🔗 Ver Mapa"/>
    <hyperlink ref="L10002" r:id="rId10000" tooltip="🔗 Ver Mapa" display="🔗 Ver Mapa"/>
    <hyperlink ref="L10003" r:id="rId10001" tooltip="🔗 Ver Mapa" display="🔗 Ver Mapa"/>
    <hyperlink ref="L10004" r:id="rId10002" tooltip="🔗 Ver Mapa" display="🔗 Ver Mapa"/>
    <hyperlink ref="L10005" r:id="rId10003" tooltip="🔗 Ver Mapa" display="🔗 Ver Mapa"/>
    <hyperlink ref="L10006" r:id="rId10004" tooltip="🔗 Ver Mapa" display="🔗 Ver Mapa"/>
    <hyperlink ref="L10007" r:id="rId10005" tooltip="🔗 Ver Mapa" display="🔗 Ver Mapa"/>
    <hyperlink ref="L10008" r:id="rId10006" tooltip="🔗 Ver Mapa" display="🔗 Ver Mapa"/>
    <hyperlink ref="L10009" r:id="rId10007" tooltip="🔗 Ver Mapa" display="🔗 Ver Mapa"/>
    <hyperlink ref="L10010" r:id="rId10008" tooltip="🔗 Ver Mapa" display="🔗 Ver Mapa"/>
    <hyperlink ref="L10011" r:id="rId10009" tooltip="🔗 Ver Mapa" display="🔗 Ver Mapa"/>
    <hyperlink ref="L10012" r:id="rId10010" tooltip="🔗 Ver Mapa" display="🔗 Ver Mapa"/>
    <hyperlink ref="L10013" r:id="rId10011" tooltip="🔗 Ver Mapa" display="🔗 Ver Mapa"/>
    <hyperlink ref="L10014" r:id="rId10012" tooltip="🔗 Ver Mapa" display="🔗 Ver Mapa"/>
    <hyperlink ref="L10015" r:id="rId10013" tooltip="🔗 Ver Mapa" display="🔗 Ver Mapa"/>
    <hyperlink ref="L10016" r:id="rId10014" tooltip="🔗 Ver Mapa" display="🔗 Ver Mapa"/>
    <hyperlink ref="L10017" r:id="rId10015" tooltip="🔗 Ver Mapa" display="🔗 Ver Mapa"/>
    <hyperlink ref="L10018" r:id="rId10016" tooltip="🔗 Ver Mapa" display="🔗 Ver Mapa"/>
    <hyperlink ref="L10019" r:id="rId10017" tooltip="🔗 Ver Mapa" display="🔗 Ver Mapa"/>
    <hyperlink ref="L10020" r:id="rId10018" tooltip="🔗 Ver Mapa" display="🔗 Ver Mapa"/>
    <hyperlink ref="L10021" r:id="rId10019" tooltip="🔗 Ver Mapa" display="🔗 Ver Mapa"/>
    <hyperlink ref="L10022" r:id="rId10020" tooltip="🔗 Ver Mapa" display="🔗 Ver Mapa"/>
    <hyperlink ref="L10023" r:id="rId10021" tooltip="🔗 Ver Mapa" display="🔗 Ver Mapa"/>
    <hyperlink ref="L10024" r:id="rId10022" tooltip="🔗 Ver Mapa" display="🔗 Ver Mapa"/>
    <hyperlink ref="L10025" r:id="rId10023" tooltip="🔗 Ver Mapa" display="🔗 Ver Mapa"/>
    <hyperlink ref="L10026" r:id="rId10024" tooltip="🔗 Ver Mapa" display="🔗 Ver Mapa"/>
    <hyperlink ref="L10027" r:id="rId10025" tooltip="🔗 Ver Mapa" display="🔗 Ver Mapa"/>
    <hyperlink ref="L10028" r:id="rId10026" tooltip="🔗 Ver Mapa" display="🔗 Ver Mapa"/>
    <hyperlink ref="L10029" r:id="rId10027" tooltip="🔗 Ver Mapa" display="🔗 Ver Mapa"/>
    <hyperlink ref="L10030" r:id="rId10028" tooltip="🔗 Ver Mapa" display="🔗 Ver Mapa"/>
    <hyperlink ref="L10031" r:id="rId10029" tooltip="🔗 Ver Mapa" display="🔗 Ver Mapa"/>
    <hyperlink ref="L10032" r:id="rId10030" tooltip="🔗 Ver Mapa" display="🔗 Ver Mapa"/>
    <hyperlink ref="L10033" r:id="rId10031" tooltip="🔗 Ver Mapa" display="🔗 Ver Mapa"/>
    <hyperlink ref="L10034" r:id="rId10032" tooltip="🔗 Ver Mapa" display="🔗 Ver Mapa"/>
    <hyperlink ref="L10035" r:id="rId10033" tooltip="🔗 Ver Mapa" display="🔗 Ver Mapa"/>
    <hyperlink ref="L10036" r:id="rId10034" tooltip="🔗 Ver Mapa" display="🔗 Ver Mapa"/>
    <hyperlink ref="L10037" r:id="rId10035" tooltip="🔗 Ver Mapa" display="🔗 Ver Mapa"/>
    <hyperlink ref="L10038" r:id="rId10036" tooltip="🔗 Ver Mapa" display="🔗 Ver Mapa"/>
    <hyperlink ref="L10039" r:id="rId10037" tooltip="🔗 Ver Mapa" display="🔗 Ver Mapa"/>
    <hyperlink ref="L10040" r:id="rId10038" tooltip="🔗 Ver Mapa" display="🔗 Ver Mapa"/>
    <hyperlink ref="L10041" r:id="rId10039" tooltip="🔗 Ver Mapa" display="🔗 Ver Mapa"/>
    <hyperlink ref="L10042" r:id="rId10040" tooltip="🔗 Ver Mapa" display="🔗 Ver Mapa"/>
    <hyperlink ref="L10043" r:id="rId10041" tooltip="🔗 Ver Mapa" display="🔗 Ver Mapa"/>
    <hyperlink ref="L10044" r:id="rId10042" tooltip="🔗 Ver Mapa" display="🔗 Ver Mapa"/>
    <hyperlink ref="L10045" r:id="rId10043" tooltip="🔗 Ver Mapa" display="🔗 Ver Mapa"/>
    <hyperlink ref="L10046" r:id="rId10044" tooltip="🔗 Ver Mapa" display="🔗 Ver Mapa"/>
    <hyperlink ref="L10047" r:id="rId10045" tooltip="🔗 Ver Mapa" display="🔗 Ver Mapa"/>
    <hyperlink ref="L10048" r:id="rId10046" tooltip="🔗 Ver Mapa" display="🔗 Ver Mapa"/>
    <hyperlink ref="L10049" r:id="rId10047" tooltip="🔗 Ver Mapa" display="🔗 Ver Mapa"/>
    <hyperlink ref="L10050" r:id="rId10048" tooltip="🔗 Ver Mapa" display="🔗 Ver Mapa"/>
    <hyperlink ref="L10051" r:id="rId10049" tooltip="🔗 Ver Mapa" display="🔗 Ver Mapa"/>
    <hyperlink ref="L10052" r:id="rId10050" tooltip="🔗 Ver Mapa" display="🔗 Ver Mapa"/>
    <hyperlink ref="L10053" r:id="rId10051" tooltip="🔗 Ver Mapa" display="🔗 Ver Mapa"/>
    <hyperlink ref="L10054" r:id="rId10052" tooltip="🔗 Ver Mapa" display="🔗 Ver Mapa"/>
    <hyperlink ref="L10055" r:id="rId10053" tooltip="🔗 Ver Mapa" display="🔗 Ver Mapa"/>
    <hyperlink ref="L10056" r:id="rId10054" tooltip="🔗 Ver Mapa" display="🔗 Ver Mapa"/>
    <hyperlink ref="L10057" r:id="rId10055" tooltip="🔗 Ver Mapa" display="🔗 Ver Mapa"/>
    <hyperlink ref="L10058" r:id="rId10056" tooltip="🔗 Ver Mapa" display="🔗 Ver Mapa"/>
    <hyperlink ref="L10059" r:id="rId10057" tooltip="🔗 Ver Mapa" display="🔗 Ver Mapa"/>
    <hyperlink ref="L10060" r:id="rId10058" tooltip="🔗 Ver Mapa" display="🔗 Ver Mapa"/>
    <hyperlink ref="L10061" r:id="rId10059" tooltip="🔗 Ver Mapa" display="🔗 Ver Mapa"/>
    <hyperlink ref="L10062" r:id="rId10060" tooltip="🔗 Ver Mapa" display="🔗 Ver Mapa"/>
    <hyperlink ref="L10063" r:id="rId10061" tooltip="🔗 Ver Mapa" display="🔗 Ver Mapa"/>
    <hyperlink ref="L10064" r:id="rId10062" tooltip="🔗 Ver Mapa" display="🔗 Ver Mapa"/>
    <hyperlink ref="L10065" r:id="rId10063" tooltip="🔗 Ver Mapa" display="🔗 Ver Mapa"/>
    <hyperlink ref="L10066" r:id="rId10064" tooltip="🔗 Ver Mapa" display="🔗 Ver Mapa"/>
    <hyperlink ref="L10067" r:id="rId10065" tooltip="🔗 Ver Mapa" display="🔗 Ver Mapa"/>
    <hyperlink ref="L10068" r:id="rId10066" tooltip="🔗 Ver Mapa" display="🔗 Ver Mapa"/>
    <hyperlink ref="L10069" r:id="rId10067" tooltip="🔗 Ver Mapa" display="🔗 Ver Mapa"/>
    <hyperlink ref="L10070" r:id="rId10068" tooltip="🔗 Ver Mapa" display="🔗 Ver Mapa"/>
    <hyperlink ref="L10071" r:id="rId10069" tooltip="🔗 Ver Mapa" display="🔗 Ver Mapa"/>
    <hyperlink ref="L10072" r:id="rId10070" tooltip="🔗 Ver Mapa" display="🔗 Ver Mapa"/>
    <hyperlink ref="L10073" r:id="rId10071" tooltip="🔗 Ver Mapa" display="🔗 Ver Mapa"/>
    <hyperlink ref="L10074" r:id="rId10072" tooltip="🔗 Ver Mapa" display="🔗 Ver Mapa"/>
    <hyperlink ref="L10075" r:id="rId10073" tooltip="🔗 Ver Mapa" display="🔗 Ver Mapa"/>
    <hyperlink ref="L10076" r:id="rId10074" tooltip="🔗 Ver Mapa" display="🔗 Ver Mapa"/>
    <hyperlink ref="L10077" r:id="rId10075" tooltip="🔗 Ver Mapa" display="🔗 Ver Mapa"/>
    <hyperlink ref="L10078" r:id="rId10076" tooltip="🔗 Ver Mapa" display="🔗 Ver Mapa"/>
    <hyperlink ref="L10079" r:id="rId10077" tooltip="🔗 Ver Mapa" display="🔗 Ver Mapa"/>
    <hyperlink ref="L10080" r:id="rId10078" tooltip="🔗 Ver Mapa" display="🔗 Ver Mapa"/>
    <hyperlink ref="L10081" r:id="rId10079" tooltip="🔗 Ver Mapa" display="🔗 Ver Mapa"/>
    <hyperlink ref="L10082" r:id="rId10080" tooltip="🔗 Ver Mapa" display="🔗 Ver Mapa"/>
    <hyperlink ref="L10083" r:id="rId10081" tooltip="🔗 Ver Mapa" display="🔗 Ver Mapa"/>
    <hyperlink ref="L10084" r:id="rId10082" tooltip="🔗 Ver Mapa" display="🔗 Ver Mapa"/>
    <hyperlink ref="L10085" r:id="rId10083" tooltip="🔗 Ver Mapa" display="🔗 Ver Mapa"/>
    <hyperlink ref="L10086" r:id="rId10084" tooltip="🔗 Ver Mapa" display="🔗 Ver Mapa"/>
    <hyperlink ref="L10087" r:id="rId10085" tooltip="🔗 Ver Mapa" display="🔗 Ver Mapa"/>
    <hyperlink ref="L10088" r:id="rId10086" tooltip="🔗 Ver Mapa" display="🔗 Ver Mapa"/>
    <hyperlink ref="L10089" r:id="rId10087" tooltip="🔗 Ver Mapa" display="🔗 Ver Mapa"/>
    <hyperlink ref="L10090" r:id="rId10088" tooltip="🔗 Ver Mapa" display="🔗 Ver Mapa"/>
    <hyperlink ref="L10091" r:id="rId10089" tooltip="🔗 Ver Mapa" display="🔗 Ver Mapa"/>
    <hyperlink ref="L10092" r:id="rId10090" tooltip="🔗 Ver Mapa" display="🔗 Ver Mapa"/>
    <hyperlink ref="L10093" r:id="rId10091" tooltip="🔗 Ver Mapa" display="🔗 Ver Mapa"/>
    <hyperlink ref="L10094" r:id="rId10092" tooltip="🔗 Ver Mapa" display="🔗 Ver Mapa"/>
    <hyperlink ref="L10095" r:id="rId10093" tooltip="🔗 Ver Mapa" display="🔗 Ver Mapa"/>
    <hyperlink ref="L10096" r:id="rId10094" tooltip="🔗 Ver Mapa" display="🔗 Ver Mapa"/>
    <hyperlink ref="L10097" r:id="rId10095" tooltip="🔗 Ver Mapa" display="🔗 Ver Mapa"/>
    <hyperlink ref="L10098" r:id="rId10096" tooltip="🔗 Ver Mapa" display="🔗 Ver Mapa"/>
    <hyperlink ref="L10099" r:id="rId10097" tooltip="🔗 Ver Mapa" display="🔗 Ver Mapa"/>
    <hyperlink ref="L10100" r:id="rId10098" tooltip="🔗 Ver Mapa" display="🔗 Ver Mapa"/>
    <hyperlink ref="L10101" r:id="rId10099" tooltip="🔗 Ver Mapa" display="🔗 Ver Mapa"/>
    <hyperlink ref="L10102" r:id="rId10100" tooltip="🔗 Ver Mapa" display="🔗 Ver Mapa"/>
    <hyperlink ref="L10103" r:id="rId10101" tooltip="🔗 Ver Mapa" display="🔗 Ver Mapa"/>
    <hyperlink ref="L10104" r:id="rId10102" tooltip="🔗 Ver Mapa" display="🔗 Ver Mapa"/>
    <hyperlink ref="L10105" r:id="rId10103" tooltip="🔗 Ver Mapa" display="🔗 Ver Mapa"/>
    <hyperlink ref="L10106" r:id="rId10104" tooltip="🔗 Ver Mapa" display="🔗 Ver Mapa"/>
    <hyperlink ref="L10107" r:id="rId10105" tooltip="🔗 Ver Mapa" display="🔗 Ver Mapa"/>
    <hyperlink ref="L10108" r:id="rId10106" tooltip="🔗 Ver Mapa" display="🔗 Ver Mapa"/>
    <hyperlink ref="L10109" r:id="rId10107" tooltip="🔗 Ver Mapa" display="🔗 Ver Mapa"/>
    <hyperlink ref="L10110" r:id="rId10108" tooltip="🔗 Ver Mapa" display="🔗 Ver Mapa"/>
    <hyperlink ref="L10111" r:id="rId10109" tooltip="🔗 Ver Mapa" display="🔗 Ver Mapa"/>
    <hyperlink ref="L10112" r:id="rId10110" tooltip="🔗 Ver Mapa" display="🔗 Ver Mapa"/>
    <hyperlink ref="L10113" r:id="rId10111" tooltip="🔗 Ver Mapa" display="🔗 Ver Mapa"/>
    <hyperlink ref="L10114" r:id="rId10112" tooltip="🔗 Ver Mapa" display="🔗 Ver Mapa"/>
    <hyperlink ref="L10115" r:id="rId10113" tooltip="🔗 Ver Mapa" display="🔗 Ver Mapa"/>
    <hyperlink ref="L10116" r:id="rId10114" tooltip="🔗 Ver Mapa" display="🔗 Ver Mapa"/>
    <hyperlink ref="L10117" r:id="rId10115" tooltip="🔗 Ver Mapa" display="🔗 Ver Mapa"/>
    <hyperlink ref="L10118" r:id="rId10116" tooltip="🔗 Ver Mapa" display="🔗 Ver Mapa"/>
    <hyperlink ref="L10119" r:id="rId10117" tooltip="🔗 Ver Mapa" display="🔗 Ver Mapa"/>
    <hyperlink ref="L10120" r:id="rId10118" tooltip="🔗 Ver Mapa" display="🔗 Ver Mapa"/>
    <hyperlink ref="L10121" r:id="rId10119" tooltip="🔗 Ver Mapa" display="🔗 Ver Mapa"/>
    <hyperlink ref="L10122" r:id="rId10120" tooltip="🔗 Ver Mapa" display="🔗 Ver Mapa"/>
    <hyperlink ref="L10123" r:id="rId10121" tooltip="🔗 Ver Mapa" display="🔗 Ver Mapa"/>
    <hyperlink ref="L10124" r:id="rId10122" tooltip="🔗 Ver Mapa" display="🔗 Ver Mapa"/>
    <hyperlink ref="L10125" r:id="rId10123" tooltip="🔗 Ver Mapa" display="🔗 Ver Mapa"/>
    <hyperlink ref="L10126" r:id="rId10124" tooltip="🔗 Ver Mapa" display="🔗 Ver Mapa"/>
    <hyperlink ref="L10127" r:id="rId10125" tooltip="🔗 Ver Mapa" display="🔗 Ver Mapa"/>
    <hyperlink ref="L10128" r:id="rId10126" tooltip="🔗 Ver Mapa" display="🔗 Ver Mapa"/>
    <hyperlink ref="L10129" r:id="rId10127" tooltip="🔗 Ver Mapa" display="🔗 Ver Mapa"/>
    <hyperlink ref="L10130" r:id="rId10128" tooltip="🔗 Ver Mapa" display="🔗 Ver Mapa"/>
    <hyperlink ref="L10131" r:id="rId10129" tooltip="🔗 Ver Mapa" display="🔗 Ver Mapa"/>
    <hyperlink ref="L10132" r:id="rId10130" tooltip="🔗 Ver Mapa" display="🔗 Ver Mapa"/>
    <hyperlink ref="L10133" r:id="rId10131" tooltip="🔗 Ver Mapa" display="🔗 Ver Mapa"/>
    <hyperlink ref="L10134" r:id="rId10132" tooltip="🔗 Ver Mapa" display="🔗 Ver Mapa"/>
    <hyperlink ref="L10135" r:id="rId10133" tooltip="🔗 Ver Mapa" display="🔗 Ver Mapa"/>
    <hyperlink ref="L10136" r:id="rId10134" tooltip="🔗 Ver Mapa" display="🔗 Ver Mapa"/>
    <hyperlink ref="L10137" r:id="rId10135" tooltip="🔗 Ver Mapa" display="🔗 Ver Mapa"/>
    <hyperlink ref="L10138" r:id="rId10136" tooltip="🔗 Ver Mapa" display="🔗 Ver Mapa"/>
    <hyperlink ref="L10139" r:id="rId10137" tooltip="🔗 Ver Mapa" display="🔗 Ver Mapa"/>
    <hyperlink ref="L10140" r:id="rId10138" tooltip="🔗 Ver Mapa" display="🔗 Ver Mapa"/>
    <hyperlink ref="L10141" r:id="rId10139" tooltip="🔗 Ver Mapa" display="🔗 Ver Mapa"/>
    <hyperlink ref="L10142" r:id="rId10140" tooltip="🔗 Ver Mapa" display="🔗 Ver Mapa"/>
    <hyperlink ref="L10143" r:id="rId10141" tooltip="🔗 Ver Mapa" display="🔗 Ver Mapa"/>
    <hyperlink ref="L10144" r:id="rId10142" tooltip="🔗 Ver Mapa" display="🔗 Ver Mapa"/>
    <hyperlink ref="L10145" r:id="rId10143" tooltip="🔗 Ver Mapa" display="🔗 Ver Mapa"/>
    <hyperlink ref="L10146" r:id="rId10144" tooltip="🔗 Ver Mapa" display="🔗 Ver Mapa"/>
    <hyperlink ref="L10147" r:id="rId10145" tooltip="🔗 Ver Mapa" display="🔗 Ver Mapa"/>
    <hyperlink ref="L10148" r:id="rId10146" tooltip="🔗 Ver Mapa" display="🔗 Ver Mapa"/>
    <hyperlink ref="L10149" r:id="rId10147" tooltip="🔗 Ver Mapa" display="🔗 Ver Mapa"/>
    <hyperlink ref="L10150" r:id="rId10148" tooltip="🔗 Ver Mapa" display="🔗 Ver Mapa"/>
    <hyperlink ref="L10151" r:id="rId10149" tooltip="🔗 Ver Mapa" display="🔗 Ver Mapa"/>
    <hyperlink ref="L10152" r:id="rId10150" tooltip="🔗 Ver Mapa" display="🔗 Ver Mapa"/>
    <hyperlink ref="L10153" r:id="rId10151" tooltip="🔗 Ver Mapa" display="🔗 Ver Mapa"/>
    <hyperlink ref="L10154" r:id="rId10152" tooltip="🔗 Ver Mapa" display="🔗 Ver Mapa"/>
    <hyperlink ref="L10155" r:id="rId10153" tooltip="🔗 Ver Mapa" display="🔗 Ver Mapa"/>
    <hyperlink ref="L10156" r:id="rId10154" tooltip="🔗 Ver Mapa" display="🔗 Ver Mapa"/>
    <hyperlink ref="L10157" r:id="rId10155" tooltip="🔗 Ver Mapa" display="🔗 Ver Mapa"/>
    <hyperlink ref="L10158" r:id="rId10156" tooltip="🔗 Ver Mapa" display="🔗 Ver Mapa"/>
    <hyperlink ref="L10159" r:id="rId10157" tooltip="🔗 Ver Mapa" display="🔗 Ver Mapa"/>
    <hyperlink ref="L10160" r:id="rId10158" tooltip="🔗 Ver Mapa" display="🔗 Ver Mapa"/>
    <hyperlink ref="L10161" r:id="rId10159" tooltip="🔗 Ver Mapa" display="🔗 Ver Mapa"/>
    <hyperlink ref="L10162" r:id="rId10160" tooltip="🔗 Ver Mapa" display="🔗 Ver Mapa"/>
    <hyperlink ref="L10163" r:id="rId10161" tooltip="🔗 Ver Mapa" display="🔗 Ver Mapa"/>
    <hyperlink ref="L10164" r:id="rId10162" tooltip="🔗 Ver Mapa" display="🔗 Ver Mapa"/>
    <hyperlink ref="L10165" r:id="rId10163" tooltip="🔗 Ver Mapa" display="🔗 Ver Mapa"/>
    <hyperlink ref="L10166" r:id="rId10164" tooltip="🔗 Ver Mapa" display="🔗 Ver Mapa"/>
    <hyperlink ref="L10167" r:id="rId10165" tooltip="🔗 Ver Mapa" display="🔗 Ver Mapa"/>
    <hyperlink ref="L10168" r:id="rId10166" tooltip="🔗 Ver Mapa" display="🔗 Ver Mapa"/>
    <hyperlink ref="L10169" r:id="rId10167" tooltip="🔗 Ver Mapa" display="🔗 Ver Mapa"/>
    <hyperlink ref="L10170" r:id="rId10168" tooltip="🔗 Ver Mapa" display="🔗 Ver Mapa"/>
    <hyperlink ref="L10171" r:id="rId10169" tooltip="🔗 Ver Mapa" display="🔗 Ver Mapa"/>
    <hyperlink ref="L10172" r:id="rId10170" tooltip="🔗 Ver Mapa" display="🔗 Ver Mapa"/>
    <hyperlink ref="L10173" r:id="rId10171" tooltip="🔗 Ver Mapa" display="🔗 Ver Mapa"/>
    <hyperlink ref="L10174" r:id="rId10172" tooltip="🔗 Ver Mapa" display="🔗 Ver Mapa"/>
    <hyperlink ref="L10175" r:id="rId10173" tooltip="🔗 Ver Mapa" display="🔗 Ver Mapa"/>
    <hyperlink ref="L10176" r:id="rId10174" tooltip="🔗 Ver Mapa" display="🔗 Ver Mapa"/>
    <hyperlink ref="L10177" r:id="rId10175" tooltip="🔗 Ver Mapa" display="🔗 Ver Mapa"/>
    <hyperlink ref="L10178" r:id="rId10176" tooltip="🔗 Ver Mapa" display="🔗 Ver Mapa"/>
    <hyperlink ref="L10179" r:id="rId10177" tooltip="🔗 Ver Mapa" display="🔗 Ver Mapa"/>
    <hyperlink ref="L10180" r:id="rId10178" tooltip="🔗 Ver Mapa" display="🔗 Ver Mapa"/>
    <hyperlink ref="L10181" r:id="rId10179" tooltip="🔗 Ver Mapa" display="🔗 Ver Mapa"/>
    <hyperlink ref="L10182" r:id="rId10180" tooltip="🔗 Ver Mapa" display="🔗 Ver Mapa"/>
    <hyperlink ref="L10183" r:id="rId10181" tooltip="🔗 Ver Mapa" display="🔗 Ver Mapa"/>
    <hyperlink ref="L10184" r:id="rId10182" tooltip="🔗 Ver Mapa" display="🔗 Ver Mapa"/>
    <hyperlink ref="L10185" r:id="rId10183" tooltip="🔗 Ver Mapa" display="🔗 Ver Mapa"/>
    <hyperlink ref="L10186" r:id="rId10184" tooltip="🔗 Ver Mapa" display="🔗 Ver Mapa"/>
    <hyperlink ref="L10187" r:id="rId10185" tooltip="🔗 Ver Mapa" display="🔗 Ver Mapa"/>
    <hyperlink ref="L10188" r:id="rId10186" tooltip="🔗 Ver Mapa" display="🔗 Ver Mapa"/>
    <hyperlink ref="L10189" r:id="rId10187" tooltip="🔗 Ver Mapa" display="🔗 Ver Mapa"/>
    <hyperlink ref="L10190" r:id="rId10188" tooltip="🔗 Ver Mapa" display="🔗 Ver Mapa"/>
    <hyperlink ref="L10191" r:id="rId10189" tooltip="🔗 Ver Mapa" display="🔗 Ver Mapa"/>
    <hyperlink ref="L10192" r:id="rId10190" tooltip="🔗 Ver Mapa" display="🔗 Ver Mapa"/>
    <hyperlink ref="L10193" r:id="rId10191" tooltip="🔗 Ver Mapa" display="🔗 Ver Mapa"/>
    <hyperlink ref="L10194" r:id="rId10192" tooltip="🔗 Ver Mapa" display="🔗 Ver Mapa"/>
    <hyperlink ref="L10195" r:id="rId10193" tooltip="🔗 Ver Mapa" display="🔗 Ver Mapa"/>
    <hyperlink ref="L10196" r:id="rId10194" tooltip="🔗 Ver Mapa" display="🔗 Ver Mapa"/>
    <hyperlink ref="L10197" r:id="rId10195" tooltip="🔗 Ver Mapa" display="🔗 Ver Mapa"/>
    <hyperlink ref="L10198" r:id="rId10196" tooltip="🔗 Ver Mapa" display="🔗 Ver Mapa"/>
    <hyperlink ref="L10199" r:id="rId10197" tooltip="🔗 Ver Mapa" display="🔗 Ver Mapa"/>
    <hyperlink ref="L10200" r:id="rId10198" tooltip="🔗 Ver Mapa" display="🔗 Ver Mapa"/>
    <hyperlink ref="L10201" r:id="rId10199" tooltip="🔗 Ver Mapa" display="🔗 Ver Mapa"/>
    <hyperlink ref="L10202" r:id="rId10200" tooltip="🔗 Ver Mapa" display="🔗 Ver Mapa"/>
    <hyperlink ref="L10203" r:id="rId10201" tooltip="🔗 Ver Mapa" display="🔗 Ver Mapa"/>
    <hyperlink ref="L10204" r:id="rId10202" tooltip="🔗 Ver Mapa" display="🔗 Ver Mapa"/>
    <hyperlink ref="L10205" r:id="rId10203" tooltip="🔗 Ver Mapa" display="🔗 Ver Mapa"/>
    <hyperlink ref="L10206" r:id="rId10204" tooltip="🔗 Ver Mapa" display="🔗 Ver Mapa"/>
    <hyperlink ref="L10207" r:id="rId10205" tooltip="🔗 Ver Mapa" display="🔗 Ver Mapa"/>
    <hyperlink ref="L10208" r:id="rId10206" tooltip="🔗 Ver Mapa" display="🔗 Ver Mapa"/>
    <hyperlink ref="L10209" r:id="rId10207" tooltip="🔗 Ver Mapa" display="🔗 Ver Mapa"/>
    <hyperlink ref="L10210" r:id="rId10208" tooltip="🔗 Ver Mapa" display="🔗 Ver Mapa"/>
    <hyperlink ref="L10211" r:id="rId10209" tooltip="🔗 Ver Mapa" display="🔗 Ver Mapa"/>
    <hyperlink ref="L10212" r:id="rId10210" tooltip="🔗 Ver Mapa" display="🔗 Ver Mapa"/>
    <hyperlink ref="L10213" r:id="rId10211" tooltip="🔗 Ver Mapa" display="🔗 Ver Mapa"/>
    <hyperlink ref="L10214" r:id="rId10212" tooltip="🔗 Ver Mapa" display="🔗 Ver Mapa"/>
    <hyperlink ref="L10215" r:id="rId10213" tooltip="🔗 Ver Mapa" display="🔗 Ver Mapa"/>
    <hyperlink ref="L10216" r:id="rId10214" tooltip="🔗 Ver Mapa" display="🔗 Ver Mapa"/>
    <hyperlink ref="L10217" r:id="rId10215" tooltip="🔗 Ver Mapa" display="🔗 Ver Mapa"/>
    <hyperlink ref="L10218" r:id="rId10216" tooltip="🔗 Ver Mapa" display="🔗 Ver Mapa"/>
    <hyperlink ref="L10219" r:id="rId10217" tooltip="🔗 Ver Mapa" display="🔗 Ver Mapa"/>
    <hyperlink ref="L10220" r:id="rId10218" tooltip="🔗 Ver Mapa" display="🔗 Ver Mapa"/>
    <hyperlink ref="L10221" r:id="rId10219" tooltip="🔗 Ver Mapa" display="🔗 Ver Mapa"/>
    <hyperlink ref="L10222" r:id="rId10220" tooltip="🔗 Ver Mapa" display="🔗 Ver Mapa"/>
    <hyperlink ref="L10223" r:id="rId10221" tooltip="🔗 Ver Mapa" display="🔗 Ver Mapa"/>
    <hyperlink ref="L10224" r:id="rId10222" tooltip="🔗 Ver Mapa" display="🔗 Ver Mapa"/>
    <hyperlink ref="L10225" r:id="rId10223" tooltip="🔗 Ver Mapa" display="🔗 Ver Mapa"/>
    <hyperlink ref="L10226" r:id="rId10224" tooltip="🔗 Ver Mapa" display="🔗 Ver Mapa"/>
    <hyperlink ref="L10227" r:id="rId10225" tooltip="🔗 Ver Mapa" display="🔗 Ver Mapa"/>
    <hyperlink ref="L10228" r:id="rId10226" tooltip="🔗 Ver Mapa" display="🔗 Ver Mapa"/>
    <hyperlink ref="L10229" r:id="rId10227" tooltip="🔗 Ver Mapa" display="🔗 Ver Mapa"/>
    <hyperlink ref="L10230" r:id="rId10228" tooltip="🔗 Ver Mapa" display="🔗 Ver Mapa"/>
    <hyperlink ref="L10231" r:id="rId10229" tooltip="🔗 Ver Mapa" display="🔗 Ver Mapa"/>
    <hyperlink ref="L10232" r:id="rId10230" tooltip="🔗 Ver Mapa" display="🔗 Ver Mapa"/>
    <hyperlink ref="L10233" r:id="rId10231" tooltip="🔗 Ver Mapa" display="🔗 Ver Mapa"/>
    <hyperlink ref="L10234" r:id="rId10232" tooltip="🔗 Ver Mapa" display="🔗 Ver Mapa"/>
    <hyperlink ref="L10235" r:id="rId10233" tooltip="🔗 Ver Mapa" display="🔗 Ver Mapa"/>
    <hyperlink ref="L10236" r:id="rId10234" tooltip="🔗 Ver Mapa" display="🔗 Ver Mapa"/>
    <hyperlink ref="L10237" r:id="rId10235" tooltip="🔗 Ver Mapa" display="🔗 Ver Mapa"/>
    <hyperlink ref="L10238" r:id="rId10236" tooltip="🔗 Ver Mapa" display="🔗 Ver Mapa"/>
    <hyperlink ref="L10239" r:id="rId10237" tooltip="🔗 Ver Mapa" display="🔗 Ver Mapa"/>
    <hyperlink ref="L10240" r:id="rId10238" tooltip="🔗 Ver Mapa" display="🔗 Ver Mapa"/>
    <hyperlink ref="L10241" r:id="rId10239" tooltip="🔗 Ver Mapa" display="🔗 Ver Mapa"/>
    <hyperlink ref="L10242" r:id="rId10240" tooltip="🔗 Ver Mapa" display="🔗 Ver Mapa"/>
    <hyperlink ref="L10243" r:id="rId10241" tooltip="🔗 Ver Mapa" display="🔗 Ver Mapa"/>
    <hyperlink ref="L10244" r:id="rId10242" tooltip="🔗 Ver Mapa" display="🔗 Ver Mapa"/>
    <hyperlink ref="L10245" r:id="rId10243" tooltip="🔗 Ver Mapa" display="🔗 Ver Mapa"/>
    <hyperlink ref="L10246" r:id="rId10244" tooltip="🔗 Ver Mapa" display="🔗 Ver Mapa"/>
    <hyperlink ref="L10247" r:id="rId10245" tooltip="🔗 Ver Mapa" display="🔗 Ver Mapa"/>
    <hyperlink ref="L10248" r:id="rId10246" tooltip="🔗 Ver Mapa" display="🔗 Ver Mapa"/>
    <hyperlink ref="L10249" r:id="rId10247" tooltip="🔗 Ver Mapa" display="🔗 Ver Mapa"/>
    <hyperlink ref="L10250" r:id="rId10248" tooltip="🔗 Ver Mapa" display="🔗 Ver Mapa"/>
    <hyperlink ref="L10251" r:id="rId10249" tooltip="🔗 Ver Mapa" display="🔗 Ver Mapa"/>
    <hyperlink ref="L10252" r:id="rId10250" tooltip="🔗 Ver Mapa" display="🔗 Ver Mapa"/>
    <hyperlink ref="L10253" r:id="rId10251" tooltip="🔗 Ver Mapa" display="🔗 Ver Mapa"/>
    <hyperlink ref="L10254" r:id="rId10252" tooltip="🔗 Ver Mapa" display="🔗 Ver Mapa"/>
    <hyperlink ref="L10255" r:id="rId10253" tooltip="🔗 Ver Mapa" display="🔗 Ver Mapa"/>
    <hyperlink ref="L10256" r:id="rId10254" tooltip="🔗 Ver Mapa" display="🔗 Ver Mapa"/>
    <hyperlink ref="L10257" r:id="rId10255" tooltip="🔗 Ver Mapa" display="🔗 Ver Mapa"/>
    <hyperlink ref="L10258" r:id="rId10256" tooltip="🔗 Ver Mapa" display="🔗 Ver Mapa"/>
    <hyperlink ref="L10259" r:id="rId10257" tooltip="🔗 Ver Mapa" display="🔗 Ver Mapa"/>
    <hyperlink ref="L10260" r:id="rId10258" tooltip="🔗 Ver Mapa" display="🔗 Ver Mapa"/>
    <hyperlink ref="L10261" r:id="rId10259" tooltip="🔗 Ver Mapa" display="🔗 Ver Mapa"/>
    <hyperlink ref="L10262" r:id="rId10260" tooltip="🔗 Ver Mapa" display="🔗 Ver Mapa"/>
    <hyperlink ref="L10263" r:id="rId10261" tooltip="🔗 Ver Mapa" display="🔗 Ver Mapa"/>
    <hyperlink ref="L10264" r:id="rId10262" tooltip="🔗 Ver Mapa" display="🔗 Ver Mapa"/>
    <hyperlink ref="L10265" r:id="rId10263" tooltip="🔗 Ver Mapa" display="🔗 Ver Mapa"/>
    <hyperlink ref="L10266" r:id="rId10264" tooltip="🔗 Ver Mapa" display="🔗 Ver Mapa"/>
    <hyperlink ref="L10267" r:id="rId10265" tooltip="🔗 Ver Mapa" display="🔗 Ver Mapa"/>
    <hyperlink ref="L10268" r:id="rId10266" tooltip="🔗 Ver Mapa" display="🔗 Ver Mapa"/>
    <hyperlink ref="L10269" r:id="rId10267" tooltip="🔗 Ver Mapa" display="🔗 Ver Mapa"/>
    <hyperlink ref="L10270" r:id="rId10268" tooltip="🔗 Ver Mapa" display="🔗 Ver Mapa"/>
    <hyperlink ref="L10271" r:id="rId10269" tooltip="🔗 Ver Mapa" display="🔗 Ver Mapa"/>
    <hyperlink ref="L10272" r:id="rId10270" tooltip="🔗 Ver Mapa" display="🔗 Ver Mapa"/>
    <hyperlink ref="L10273" r:id="rId10271" tooltip="🔗 Ver Mapa" display="🔗 Ver Mapa"/>
    <hyperlink ref="L10274" r:id="rId10272" tooltip="🔗 Ver Mapa" display="🔗 Ver Mapa"/>
    <hyperlink ref="L10275" r:id="rId10273" tooltip="🔗 Ver Mapa" display="🔗 Ver Mapa"/>
    <hyperlink ref="L10276" r:id="rId10274" tooltip="🔗 Ver Mapa" display="🔗 Ver Mapa"/>
    <hyperlink ref="L10277" r:id="rId10275" tooltip="🔗 Ver Mapa" display="🔗 Ver Mapa"/>
    <hyperlink ref="L10278" r:id="rId10276" tooltip="🔗 Ver Mapa" display="🔗 Ver Mapa"/>
    <hyperlink ref="L10279" r:id="rId10277" tooltip="🔗 Ver Mapa" display="🔗 Ver Mapa"/>
    <hyperlink ref="L10280" r:id="rId10278" tooltip="🔗 Ver Mapa" display="🔗 Ver Mapa"/>
    <hyperlink ref="L10281" r:id="rId10279" tooltip="🔗 Ver Mapa" display="🔗 Ver Mapa"/>
    <hyperlink ref="L10282" r:id="rId10280" tooltip="🔗 Ver Mapa" display="🔗 Ver Mapa"/>
    <hyperlink ref="L10283" r:id="rId10281" tooltip="🔗 Ver Mapa" display="🔗 Ver Mapa"/>
    <hyperlink ref="L10284" r:id="rId10282" tooltip="🔗 Ver Mapa" display="🔗 Ver Mapa"/>
    <hyperlink ref="L10285" r:id="rId10283" tooltip="🔗 Ver Mapa" display="🔗 Ver Mapa"/>
    <hyperlink ref="L10286" r:id="rId10284" tooltip="🔗 Ver Mapa" display="🔗 Ver Mapa"/>
    <hyperlink ref="L10287" r:id="rId10285" tooltip="🔗 Ver Mapa" display="🔗 Ver Mapa"/>
    <hyperlink ref="L10288" r:id="rId10286" tooltip="🔗 Ver Mapa" display="🔗 Ver Mapa"/>
    <hyperlink ref="L10289" r:id="rId10287" tooltip="🔗 Ver Mapa" display="🔗 Ver Mapa"/>
    <hyperlink ref="L10290" r:id="rId10288" tooltip="🔗 Ver Mapa" display="🔗 Ver Mapa"/>
    <hyperlink ref="L10291" r:id="rId10289" tooltip="🔗 Ver Mapa" display="🔗 Ver Mapa"/>
    <hyperlink ref="L10292" r:id="rId10290" tooltip="🔗 Ver Mapa" display="🔗 Ver Mapa"/>
    <hyperlink ref="L10293" r:id="rId10291" tooltip="🔗 Ver Mapa" display="🔗 Ver Mapa"/>
    <hyperlink ref="L10294" r:id="rId10292" tooltip="🔗 Ver Mapa" display="🔗 Ver Mapa"/>
    <hyperlink ref="L10295" r:id="rId10293" tooltip="🔗 Ver Mapa" display="🔗 Ver Mapa"/>
    <hyperlink ref="L10296" r:id="rId10294" tooltip="🔗 Ver Mapa" display="🔗 Ver Mapa"/>
    <hyperlink ref="L10297" r:id="rId10295" tooltip="🔗 Ver Mapa" display="🔗 Ver Mapa"/>
    <hyperlink ref="L10298" r:id="rId10296" tooltip="🔗 Ver Mapa" display="🔗 Ver Mapa"/>
    <hyperlink ref="L10299" r:id="rId10297" tooltip="🔗 Ver Mapa" display="🔗 Ver Mapa"/>
    <hyperlink ref="L10300" r:id="rId10298" tooltip="🔗 Ver Mapa" display="🔗 Ver Mapa"/>
    <hyperlink ref="L10301" r:id="rId10299" tooltip="🔗 Ver Mapa" display="🔗 Ver Mapa"/>
    <hyperlink ref="L10302" r:id="rId10300" tooltip="🔗 Ver Mapa" display="🔗 Ver Mapa"/>
    <hyperlink ref="L10303" r:id="rId10301" tooltip="🔗 Ver Mapa" display="🔗 Ver Mapa"/>
    <hyperlink ref="L10304" r:id="rId10302" tooltip="🔗 Ver Mapa" display="🔗 Ver Mapa"/>
    <hyperlink ref="L10305" r:id="rId10303" tooltip="🔗 Ver Mapa" display="🔗 Ver Mapa"/>
    <hyperlink ref="L10306" r:id="rId10304" tooltip="🔗 Ver Mapa" display="🔗 Ver Mapa"/>
    <hyperlink ref="L10307" r:id="rId10305" tooltip="🔗 Ver Mapa" display="🔗 Ver Mapa"/>
    <hyperlink ref="L10308" r:id="rId10306" tooltip="🔗 Ver Mapa" display="🔗 Ver Mapa"/>
    <hyperlink ref="L10309" r:id="rId10307" tooltip="🔗 Ver Mapa" display="🔗 Ver Mapa"/>
    <hyperlink ref="L10310" r:id="rId10308" tooltip="🔗 Ver Mapa" display="🔗 Ver Mapa"/>
    <hyperlink ref="L10311" r:id="rId10309" tooltip="🔗 Ver Mapa" display="🔗 Ver Mapa"/>
    <hyperlink ref="L10312" r:id="rId10310" tooltip="🔗 Ver Mapa" display="🔗 Ver Mapa"/>
    <hyperlink ref="L10313" r:id="rId10311" tooltip="🔗 Ver Mapa" display="🔗 Ver Mapa"/>
    <hyperlink ref="L10314" r:id="rId10312" tooltip="🔗 Ver Mapa" display="🔗 Ver Mapa"/>
    <hyperlink ref="L10315" r:id="rId10313" tooltip="🔗 Ver Mapa" display="🔗 Ver Mapa"/>
    <hyperlink ref="L10316" r:id="rId10314" tooltip="🔗 Ver Mapa" display="🔗 Ver Mapa"/>
    <hyperlink ref="L10317" r:id="rId10315" tooltip="🔗 Ver Mapa" display="🔗 Ver Mapa"/>
    <hyperlink ref="L10318" r:id="rId10316" tooltip="🔗 Ver Mapa" display="🔗 Ver Mapa"/>
    <hyperlink ref="L10319" r:id="rId10317" tooltip="🔗 Ver Mapa" display="🔗 Ver Mapa"/>
    <hyperlink ref="L10320" r:id="rId10318" tooltip="🔗 Ver Mapa" display="🔗 Ver Mapa"/>
    <hyperlink ref="L10321" r:id="rId10319" tooltip="🔗 Ver Mapa" display="🔗 Ver Mapa"/>
    <hyperlink ref="L10322" r:id="rId10320" tooltip="🔗 Ver Mapa" display="🔗 Ver Mapa"/>
    <hyperlink ref="L10323" r:id="rId10321" tooltip="🔗 Ver Mapa" display="🔗 Ver Mapa"/>
    <hyperlink ref="L10324" r:id="rId10322" tooltip="🔗 Ver Mapa" display="🔗 Ver Mapa"/>
    <hyperlink ref="L10325" r:id="rId10323" tooltip="🔗 Ver Mapa" display="🔗 Ver Mapa"/>
    <hyperlink ref="L10326" r:id="rId10324" tooltip="🔗 Ver Mapa" display="🔗 Ver Mapa"/>
    <hyperlink ref="L10327" r:id="rId10325" tooltip="🔗 Ver Mapa" display="🔗 Ver Mapa"/>
    <hyperlink ref="L10328" r:id="rId10326" tooltip="🔗 Ver Mapa" display="🔗 Ver Mapa"/>
    <hyperlink ref="L10329" r:id="rId10327" tooltip="🔗 Ver Mapa" display="🔗 Ver Mapa"/>
    <hyperlink ref="L10330" r:id="rId10328" tooltip="🔗 Ver Mapa" display="🔗 Ver Mapa"/>
    <hyperlink ref="L10331" r:id="rId10329" tooltip="🔗 Ver Mapa" display="🔗 Ver Mapa"/>
    <hyperlink ref="L10332" r:id="rId10330" tooltip="🔗 Ver Mapa" display="🔗 Ver Mapa"/>
    <hyperlink ref="L10333" r:id="rId10331" tooltip="🔗 Ver Mapa" display="🔗 Ver Mapa"/>
    <hyperlink ref="L10334" r:id="rId10332" tooltip="🔗 Ver Mapa" display="🔗 Ver Mapa"/>
    <hyperlink ref="L10335" r:id="rId10333" tooltip="🔗 Ver Mapa" display="🔗 Ver Mapa"/>
    <hyperlink ref="L10336" r:id="rId10334" tooltip="🔗 Ver Mapa" display="🔗 Ver Mapa"/>
    <hyperlink ref="L10337" r:id="rId10335" tooltip="🔗 Ver Mapa" display="🔗 Ver Mapa"/>
    <hyperlink ref="L10338" r:id="rId10336" tooltip="🔗 Ver Mapa" display="🔗 Ver Mapa"/>
    <hyperlink ref="L10339" r:id="rId10337" tooltip="🔗 Ver Mapa" display="🔗 Ver Mapa"/>
    <hyperlink ref="L10340" r:id="rId10338" tooltip="🔗 Ver Mapa" display="🔗 Ver Mapa"/>
    <hyperlink ref="L10341" r:id="rId10339" tooltip="🔗 Ver Mapa" display="🔗 Ver Mapa"/>
    <hyperlink ref="L10342" r:id="rId10340" tooltip="🔗 Ver Mapa" display="🔗 Ver Mapa"/>
    <hyperlink ref="L10343" r:id="rId10341" tooltip="🔗 Ver Mapa" display="🔗 Ver Mapa"/>
    <hyperlink ref="L10344" r:id="rId10342" tooltip="🔗 Ver Mapa" display="🔗 Ver Mapa"/>
    <hyperlink ref="L10345" r:id="rId10343" tooltip="🔗 Ver Mapa" display="🔗 Ver Mapa"/>
    <hyperlink ref="L10346" r:id="rId10344" tooltip="🔗 Ver Mapa" display="🔗 Ver Mapa"/>
    <hyperlink ref="L10347" r:id="rId10345" tooltip="🔗 Ver Mapa" display="🔗 Ver Mapa"/>
    <hyperlink ref="L10348" r:id="rId10346" tooltip="🔗 Ver Mapa" display="🔗 Ver Mapa"/>
    <hyperlink ref="L10349" r:id="rId10347" tooltip="🔗 Ver Mapa" display="🔗 Ver Mapa"/>
    <hyperlink ref="L10350" r:id="rId10348" tooltip="🔗 Ver Mapa" display="🔗 Ver Mapa"/>
    <hyperlink ref="L10351" r:id="rId10349" tooltip="🔗 Ver Mapa" display="🔗 Ver Mapa"/>
    <hyperlink ref="L10352" r:id="rId10350" tooltip="🔗 Ver Mapa" display="🔗 Ver Mapa"/>
    <hyperlink ref="L10353" r:id="rId10351" tooltip="🔗 Ver Mapa" display="🔗 Ver Mapa"/>
    <hyperlink ref="L10354" r:id="rId10352" tooltip="🔗 Ver Mapa" display="🔗 Ver Mapa"/>
    <hyperlink ref="L10355" r:id="rId10353" tooltip="🔗 Ver Mapa" display="🔗 Ver Mapa"/>
    <hyperlink ref="L10356" r:id="rId10354" tooltip="🔗 Ver Mapa" display="🔗 Ver Mapa"/>
    <hyperlink ref="L10357" r:id="rId10355" tooltip="🔗 Ver Mapa" display="🔗 Ver Mapa"/>
    <hyperlink ref="L10358" r:id="rId10356" tooltip="🔗 Ver Mapa" display="🔗 Ver Mapa"/>
    <hyperlink ref="L10359" r:id="rId10357" tooltip="🔗 Ver Mapa" display="🔗 Ver Mapa"/>
    <hyperlink ref="L10360" r:id="rId10358" tooltip="🔗 Ver Mapa" display="🔗 Ver Mapa"/>
    <hyperlink ref="L10361" r:id="rId10359" tooltip="🔗 Ver Mapa" display="🔗 Ver Mapa"/>
    <hyperlink ref="L10362" r:id="rId10360" tooltip="🔗 Ver Mapa" display="🔗 Ver Mapa"/>
    <hyperlink ref="L10363" r:id="rId10361" tooltip="🔗 Ver Mapa" display="🔗 Ver Mapa"/>
    <hyperlink ref="L10364" r:id="rId10362" tooltip="🔗 Ver Mapa" display="🔗 Ver Mapa"/>
    <hyperlink ref="L10365" r:id="rId10363" tooltip="🔗 Ver Mapa" display="🔗 Ver Mapa"/>
    <hyperlink ref="L10366" r:id="rId10364" tooltip="🔗 Ver Mapa" display="🔗 Ver Mapa"/>
    <hyperlink ref="L10367" r:id="rId10365" tooltip="🔗 Ver Mapa" display="🔗 Ver Mapa"/>
    <hyperlink ref="L10368" r:id="rId10366" tooltip="🔗 Ver Mapa" display="🔗 Ver Mapa"/>
    <hyperlink ref="L10369" r:id="rId10367" tooltip="🔗 Ver Mapa" display="🔗 Ver Mapa"/>
    <hyperlink ref="L10370" r:id="rId10368" tooltip="🔗 Ver Mapa" display="🔗 Ver Mapa"/>
    <hyperlink ref="L10371" r:id="rId10369" tooltip="🔗 Ver Mapa" display="🔗 Ver Mapa"/>
    <hyperlink ref="L10372" r:id="rId10370" tooltip="🔗 Ver Mapa" display="🔗 Ver Mapa"/>
    <hyperlink ref="L10373" r:id="rId10371" tooltip="🔗 Ver Mapa" display="🔗 Ver Mapa"/>
    <hyperlink ref="L10374" r:id="rId10372" tooltip="🔗 Ver Mapa" display="🔗 Ver Mapa"/>
    <hyperlink ref="L10375" r:id="rId10373" tooltip="🔗 Ver Mapa" display="🔗 Ver Mapa"/>
    <hyperlink ref="L10376" r:id="rId10374" tooltip="🔗 Ver Mapa" display="🔗 Ver Mapa"/>
    <hyperlink ref="L10377" r:id="rId10375" tooltip="🔗 Ver Mapa" display="🔗 Ver Mapa"/>
    <hyperlink ref="L10378" r:id="rId10376" tooltip="🔗 Ver Mapa" display="🔗 Ver Mapa"/>
    <hyperlink ref="L10379" r:id="rId10377" tooltip="🔗 Ver Mapa" display="🔗 Ver Mapa"/>
    <hyperlink ref="L10380" r:id="rId10378" tooltip="🔗 Ver Mapa" display="🔗 Ver Mapa"/>
    <hyperlink ref="L10381" r:id="rId10379" tooltip="🔗 Ver Mapa" display="🔗 Ver Mapa"/>
    <hyperlink ref="L10382" r:id="rId10380" tooltip="🔗 Ver Mapa" display="🔗 Ver Mapa"/>
    <hyperlink ref="L10383" r:id="rId10381" tooltip="🔗 Ver Mapa" display="🔗 Ver Mapa"/>
    <hyperlink ref="L10384" r:id="rId10382" tooltip="🔗 Ver Mapa" display="🔗 Ver Mapa"/>
    <hyperlink ref="L10385" r:id="rId10383" tooltip="🔗 Ver Mapa" display="🔗 Ver Mapa"/>
    <hyperlink ref="L10386" r:id="rId10384" tooltip="🔗 Ver Mapa" display="🔗 Ver Mapa"/>
    <hyperlink ref="L10387" r:id="rId10385" tooltip="🔗 Ver Mapa" display="🔗 Ver Mapa"/>
    <hyperlink ref="L10388" r:id="rId10386" tooltip="🔗 Ver Mapa" display="🔗 Ver Mapa"/>
    <hyperlink ref="L10389" r:id="rId10387" tooltip="🔗 Ver Mapa" display="🔗 Ver Mapa"/>
    <hyperlink ref="L10390" r:id="rId10388" tooltip="🔗 Ver Mapa" display="🔗 Ver Mapa"/>
    <hyperlink ref="L10391" r:id="rId10389" tooltip="🔗 Ver Mapa" display="🔗 Ver Mapa"/>
    <hyperlink ref="L10392" r:id="rId10390" tooltip="🔗 Ver Mapa" display="🔗 Ver Mapa"/>
    <hyperlink ref="L10393" r:id="rId10391" tooltip="🔗 Ver Mapa" display="🔗 Ver Mapa"/>
    <hyperlink ref="L10394" r:id="rId10392" tooltip="🔗 Ver Mapa" display="🔗 Ver Mapa"/>
    <hyperlink ref="L10395" r:id="rId10393" tooltip="🔗 Ver Mapa" display="🔗 Ver Mapa"/>
    <hyperlink ref="L10396" r:id="rId10394" tooltip="🔗 Ver Mapa" display="🔗 Ver Mapa"/>
    <hyperlink ref="L10397" r:id="rId10395" tooltip="🔗 Ver Mapa" display="🔗 Ver Mapa"/>
    <hyperlink ref="L10398" r:id="rId10396" tooltip="🔗 Ver Mapa" display="🔗 Ver Mapa"/>
    <hyperlink ref="L10399" r:id="rId10397" tooltip="🔗 Ver Mapa" display="🔗 Ver Mapa"/>
    <hyperlink ref="L10400" r:id="rId10398" tooltip="🔗 Ver Mapa" display="🔗 Ver Mapa"/>
    <hyperlink ref="L10401" r:id="rId10399" tooltip="🔗 Ver Mapa" display="🔗 Ver Mapa"/>
    <hyperlink ref="L10402" r:id="rId10400" tooltip="🔗 Ver Mapa" display="🔗 Ver Mapa"/>
    <hyperlink ref="L10403" r:id="rId10401" tooltip="🔗 Ver Mapa" display="🔗 Ver Mapa"/>
    <hyperlink ref="L10404" r:id="rId10402" tooltip="🔗 Ver Mapa" display="🔗 Ver Mapa"/>
    <hyperlink ref="L10405" r:id="rId10403" tooltip="🔗 Ver Mapa" display="🔗 Ver Mapa"/>
    <hyperlink ref="L10406" r:id="rId10404" tooltip="🔗 Ver Mapa" display="🔗 Ver Mapa"/>
    <hyperlink ref="L10407" r:id="rId10405" tooltip="🔗 Ver Mapa" display="🔗 Ver Mapa"/>
    <hyperlink ref="L10408" r:id="rId10406" tooltip="🔗 Ver Mapa" display="🔗 Ver Mapa"/>
    <hyperlink ref="L10409" r:id="rId10407" tooltip="🔗 Ver Mapa" display="🔗 Ver Mapa"/>
    <hyperlink ref="L10410" r:id="rId10408" tooltip="🔗 Ver Mapa" display="🔗 Ver Mapa"/>
    <hyperlink ref="L10411" r:id="rId10409" tooltip="🔗 Ver Mapa" display="🔗 Ver Mapa"/>
    <hyperlink ref="L10412" r:id="rId10410" tooltip="🔗 Ver Mapa" display="🔗 Ver Mapa"/>
    <hyperlink ref="L10413" r:id="rId10411" tooltip="🔗 Ver Mapa" display="🔗 Ver Mapa"/>
    <hyperlink ref="L10414" r:id="rId10412" tooltip="🔗 Ver Mapa" display="🔗 Ver Mapa"/>
    <hyperlink ref="L10415" r:id="rId10413" tooltip="🔗 Ver Mapa" display="🔗 Ver Mapa"/>
    <hyperlink ref="L10416" r:id="rId10414" tooltip="🔗 Ver Mapa" display="🔗 Ver Mapa"/>
    <hyperlink ref="L10417" r:id="rId10415" tooltip="🔗 Ver Mapa" display="🔗 Ver Mapa"/>
    <hyperlink ref="L10418" r:id="rId10416" tooltip="🔗 Ver Mapa" display="🔗 Ver Mapa"/>
    <hyperlink ref="L10419" r:id="rId10417" tooltip="🔗 Ver Mapa" display="🔗 Ver Mapa"/>
    <hyperlink ref="L10420" r:id="rId10418" tooltip="🔗 Ver Mapa" display="🔗 Ver Mapa"/>
    <hyperlink ref="L10421" r:id="rId10419" tooltip="🔗 Ver Mapa" display="🔗 Ver Mapa"/>
    <hyperlink ref="L10422" r:id="rId10420" tooltip="🔗 Ver Mapa" display="🔗 Ver Mapa"/>
    <hyperlink ref="L10423" r:id="rId10421" tooltip="🔗 Ver Mapa" display="🔗 Ver Mapa"/>
    <hyperlink ref="L10424" r:id="rId10422" tooltip="🔗 Ver Mapa" display="🔗 Ver Mapa"/>
    <hyperlink ref="L10425" r:id="rId10423" tooltip="🔗 Ver Mapa" display="🔗 Ver Mapa"/>
    <hyperlink ref="L10426" r:id="rId10424" tooltip="🔗 Ver Mapa" display="🔗 Ver Mapa"/>
    <hyperlink ref="L10427" r:id="rId10425" tooltip="🔗 Ver Mapa" display="🔗 Ver Mapa"/>
    <hyperlink ref="L10428" r:id="rId10426" tooltip="🔗 Ver Mapa" display="🔗 Ver Mapa"/>
    <hyperlink ref="L10429" r:id="rId10427" tooltip="🔗 Ver Mapa" display="🔗 Ver Mapa"/>
    <hyperlink ref="L10430" r:id="rId10428" tooltip="🔗 Ver Mapa" display="🔗 Ver Mapa"/>
    <hyperlink ref="L10431" r:id="rId10429" tooltip="🔗 Ver Mapa" display="🔗 Ver Mapa"/>
    <hyperlink ref="L10432" r:id="rId10430" tooltip="🔗 Ver Mapa" display="🔗 Ver Mapa"/>
    <hyperlink ref="L10433" r:id="rId10431" tooltip="🔗 Ver Mapa" display="🔗 Ver Mapa"/>
    <hyperlink ref="L10434" r:id="rId10432" tooltip="🔗 Ver Mapa" display="🔗 Ver Mapa"/>
    <hyperlink ref="L10435" r:id="rId10433" tooltip="🔗 Ver Mapa" display="🔗 Ver Mapa"/>
    <hyperlink ref="L10436" r:id="rId10434" tooltip="🔗 Ver Mapa" display="🔗 Ver Mapa"/>
    <hyperlink ref="L10437" r:id="rId10435" tooltip="🔗 Ver Mapa" display="🔗 Ver Mapa"/>
    <hyperlink ref="L10438" r:id="rId10436" tooltip="🔗 Ver Mapa" display="🔗 Ver Mapa"/>
    <hyperlink ref="L10439" r:id="rId10437" tooltip="🔗 Ver Mapa" display="🔗 Ver Mapa"/>
    <hyperlink ref="L10440" r:id="rId10438" tooltip="🔗 Ver Mapa" display="🔗 Ver Mapa"/>
    <hyperlink ref="L10441" r:id="rId10439" tooltip="🔗 Ver Mapa" display="🔗 Ver Mapa"/>
    <hyperlink ref="L10442" r:id="rId10440" tooltip="🔗 Ver Mapa" display="🔗 Ver Mapa"/>
    <hyperlink ref="L10443" r:id="rId10441" tooltip="🔗 Ver Mapa" display="🔗 Ver Mapa"/>
    <hyperlink ref="L10444" r:id="rId10442" tooltip="🔗 Ver Mapa" display="🔗 Ver Mapa"/>
    <hyperlink ref="L10445" r:id="rId10443" tooltip="🔗 Ver Mapa" display="🔗 Ver Mapa"/>
    <hyperlink ref="L10446" r:id="rId10444" tooltip="🔗 Ver Mapa" display="🔗 Ver Mapa"/>
    <hyperlink ref="L10447" r:id="rId10445" tooltip="🔗 Ver Mapa" display="🔗 Ver Mapa"/>
    <hyperlink ref="L10448" r:id="rId10446" tooltip="🔗 Ver Mapa" display="🔗 Ver Mapa"/>
    <hyperlink ref="L10449" r:id="rId10447" tooltip="🔗 Ver Mapa" display="🔗 Ver Mapa"/>
    <hyperlink ref="L10450" r:id="rId10448" tooltip="🔗 Ver Mapa" display="🔗 Ver Mapa"/>
    <hyperlink ref="L10451" r:id="rId10449" tooltip="🔗 Ver Mapa" display="🔗 Ver Mapa"/>
    <hyperlink ref="L10452" r:id="rId10450" tooltip="🔗 Ver Mapa" display="🔗 Ver Mapa"/>
    <hyperlink ref="L10453" r:id="rId10451" tooltip="🔗 Ver Mapa" display="🔗 Ver Mapa"/>
    <hyperlink ref="L10454" r:id="rId10452" tooltip="🔗 Ver Mapa" display="🔗 Ver Mapa"/>
    <hyperlink ref="L10455" r:id="rId10453" tooltip="🔗 Ver Mapa" display="🔗 Ver Mapa"/>
    <hyperlink ref="L10456" r:id="rId10454" tooltip="🔗 Ver Mapa" display="🔗 Ver Mapa"/>
    <hyperlink ref="L10457" r:id="rId10455" tooltip="🔗 Ver Mapa" display="🔗 Ver Mapa"/>
    <hyperlink ref="L10458" r:id="rId10456" tooltip="🔗 Ver Mapa" display="🔗 Ver Mapa"/>
    <hyperlink ref="L10459" r:id="rId10457" tooltip="🔗 Ver Mapa" display="🔗 Ver Mapa"/>
    <hyperlink ref="L10460" r:id="rId10458" tooltip="🔗 Ver Mapa" display="🔗 Ver Mapa"/>
    <hyperlink ref="L10461" r:id="rId10459" tooltip="🔗 Ver Mapa" display="🔗 Ver Mapa"/>
    <hyperlink ref="L10462" r:id="rId10460" tooltip="🔗 Ver Mapa" display="🔗 Ver Mapa"/>
    <hyperlink ref="L10463" r:id="rId10461" tooltip="🔗 Ver Mapa" display="🔗 Ver Mapa"/>
    <hyperlink ref="L10464" r:id="rId10462" tooltip="🔗 Ver Mapa" display="🔗 Ver Mapa"/>
    <hyperlink ref="L10465" r:id="rId10463" tooltip="🔗 Ver Mapa" display="🔗 Ver Mapa"/>
    <hyperlink ref="L10466" r:id="rId10464" tooltip="🔗 Ver Mapa" display="🔗 Ver Mapa"/>
    <hyperlink ref="L10467" r:id="rId10465" tooltip="🔗 Ver Mapa" display="🔗 Ver Mapa"/>
    <hyperlink ref="L10468" r:id="rId10466" tooltip="🔗 Ver Mapa" display="🔗 Ver Mapa"/>
    <hyperlink ref="L10469" r:id="rId10467" tooltip="🔗 Ver Mapa" display="🔗 Ver Mapa"/>
    <hyperlink ref="L10470" r:id="rId10468" tooltip="🔗 Ver Mapa" display="🔗 Ver Mapa"/>
    <hyperlink ref="L10471" r:id="rId10469" tooltip="🔗 Ver Mapa" display="🔗 Ver Mapa"/>
    <hyperlink ref="L10472" r:id="rId10470" tooltip="🔗 Ver Mapa" display="🔗 Ver Mapa"/>
    <hyperlink ref="L10473" r:id="rId10471" tooltip="🔗 Ver Mapa" display="🔗 Ver Mapa"/>
    <hyperlink ref="L10474" r:id="rId10472" tooltip="🔗 Ver Mapa" display="🔗 Ver Mapa"/>
    <hyperlink ref="L10475" r:id="rId10473" tooltip="🔗 Ver Mapa" display="🔗 Ver Mapa"/>
    <hyperlink ref="L10476" r:id="rId10474" tooltip="🔗 Ver Mapa" display="🔗 Ver Mapa"/>
    <hyperlink ref="L10477" r:id="rId10475" tooltip="🔗 Ver Mapa" display="🔗 Ver Mapa"/>
    <hyperlink ref="L10478" r:id="rId10476" tooltip="🔗 Ver Mapa" display="🔗 Ver Mapa"/>
    <hyperlink ref="L10479" r:id="rId10477" tooltip="🔗 Ver Mapa" display="🔗 Ver Mapa"/>
    <hyperlink ref="L10480" r:id="rId10478" tooltip="🔗 Ver Mapa" display="🔗 Ver Mapa"/>
    <hyperlink ref="L10481" r:id="rId10479" tooltip="🔗 Ver Mapa" display="🔗 Ver Mapa"/>
    <hyperlink ref="L10482" r:id="rId10480" tooltip="🔗 Ver Mapa" display="🔗 Ver Mapa"/>
    <hyperlink ref="L10483" r:id="rId10481" tooltip="🔗 Ver Mapa" display="🔗 Ver Mapa"/>
    <hyperlink ref="L10484" r:id="rId10482" tooltip="🔗 Ver Mapa" display="🔗 Ver Mapa"/>
    <hyperlink ref="L10485" r:id="rId10483" tooltip="🔗 Ver Mapa" display="🔗 Ver Mapa"/>
    <hyperlink ref="L10486" r:id="rId10484" tooltip="🔗 Ver Mapa" display="🔗 Ver Mapa"/>
    <hyperlink ref="L10487" r:id="rId10485" tooltip="🔗 Ver Mapa" display="🔗 Ver Mapa"/>
    <hyperlink ref="L10488" r:id="rId10486" tooltip="🔗 Ver Mapa" display="🔗 Ver Mapa"/>
    <hyperlink ref="L10489" r:id="rId10487" tooltip="🔗 Ver Mapa" display="🔗 Ver Mapa"/>
    <hyperlink ref="L10490" r:id="rId10488" tooltip="🔗 Ver Mapa" display="🔗 Ver Mapa"/>
    <hyperlink ref="L10491" r:id="rId10489" tooltip="🔗 Ver Mapa" display="🔗 Ver Mapa"/>
    <hyperlink ref="L10492" r:id="rId10490" tooltip="🔗 Ver Mapa" display="🔗 Ver Mapa"/>
    <hyperlink ref="L10493" r:id="rId10491" tooltip="🔗 Ver Mapa" display="🔗 Ver Mapa"/>
    <hyperlink ref="L10494" r:id="rId10492" tooltip="🔗 Ver Mapa" display="🔗 Ver Mapa"/>
    <hyperlink ref="L10495" r:id="rId10493" tooltip="🔗 Ver Mapa" display="🔗 Ver Mapa"/>
    <hyperlink ref="L10496" r:id="rId10494" tooltip="🔗 Ver Mapa" display="🔗 Ver Mapa"/>
    <hyperlink ref="L10497" r:id="rId10495" tooltip="🔗 Ver Mapa" display="🔗 Ver Mapa"/>
    <hyperlink ref="L10498" r:id="rId10496" tooltip="🔗 Ver Mapa" display="🔗 Ver Mapa"/>
    <hyperlink ref="L10499" r:id="rId10497" tooltip="🔗 Ver Mapa" display="🔗 Ver Mapa"/>
    <hyperlink ref="L10500" r:id="rId10498" tooltip="🔗 Ver Mapa" display="🔗 Ver Mapa"/>
    <hyperlink ref="L10501" r:id="rId10499" tooltip="🔗 Ver Mapa" display="🔗 Ver Mapa"/>
    <hyperlink ref="L10502" r:id="rId10500" tooltip="🔗 Ver Mapa" display="🔗 Ver Mapa"/>
    <hyperlink ref="L10503" r:id="rId10501" tooltip="🔗 Ver Mapa" display="🔗 Ver Mapa"/>
    <hyperlink ref="L10504" r:id="rId10502" tooltip="🔗 Ver Mapa" display="🔗 Ver Mapa"/>
    <hyperlink ref="L10505" r:id="rId10503" tooltip="🔗 Ver Mapa" display="🔗 Ver Mapa"/>
    <hyperlink ref="L10506" r:id="rId10504" tooltip="🔗 Ver Mapa" display="🔗 Ver Mapa"/>
    <hyperlink ref="L10507" r:id="rId10505" tooltip="🔗 Ver Mapa" display="🔗 Ver Mapa"/>
    <hyperlink ref="L10508" r:id="rId10506" tooltip="🔗 Ver Mapa" display="🔗 Ver Mapa"/>
    <hyperlink ref="L10509" r:id="rId10507" tooltip="🔗 Ver Mapa" display="🔗 Ver Mapa"/>
    <hyperlink ref="L10510" r:id="rId10508" tooltip="🔗 Ver Mapa" display="🔗 Ver Mapa"/>
    <hyperlink ref="L10511" r:id="rId10509" tooltip="🔗 Ver Mapa" display="🔗 Ver Mapa"/>
    <hyperlink ref="L10512" r:id="rId10510" tooltip="🔗 Ver Mapa" display="🔗 Ver Mapa"/>
    <hyperlink ref="L10513" r:id="rId10511" tooltip="🔗 Ver Mapa" display="🔗 Ver Mapa"/>
    <hyperlink ref="L10514" r:id="rId10512" tooltip="🔗 Ver Mapa" display="🔗 Ver Mapa"/>
    <hyperlink ref="L10515" r:id="rId10513" tooltip="🔗 Ver Mapa" display="🔗 Ver Mapa"/>
    <hyperlink ref="L10516" r:id="rId10514" tooltip="🔗 Ver Mapa" display="🔗 Ver Mapa"/>
    <hyperlink ref="L10517" r:id="rId10515" tooltip="🔗 Ver Mapa" display="🔗 Ver Mapa"/>
    <hyperlink ref="L10518" r:id="rId10516" tooltip="🔗 Ver Mapa" display="🔗 Ver Mapa"/>
    <hyperlink ref="L10519" r:id="rId10517" tooltip="🔗 Ver Mapa" display="🔗 Ver Mapa"/>
    <hyperlink ref="L10520" r:id="rId10518" tooltip="🔗 Ver Mapa" display="🔗 Ver Mapa"/>
    <hyperlink ref="L10521" r:id="rId10519" tooltip="🔗 Ver Mapa" display="🔗 Ver Mapa"/>
    <hyperlink ref="L10522" r:id="rId10520" tooltip="🔗 Ver Mapa" display="🔗 Ver Mapa"/>
    <hyperlink ref="L10523" r:id="rId10521" tooltip="🔗 Ver Mapa" display="🔗 Ver Mapa"/>
    <hyperlink ref="L10524" r:id="rId10522" tooltip="🔗 Ver Mapa" display="🔗 Ver Mapa"/>
    <hyperlink ref="L10525" r:id="rId10523" tooltip="🔗 Ver Mapa" display="🔗 Ver Mapa"/>
    <hyperlink ref="L10526" r:id="rId10524" tooltip="🔗 Ver Mapa" display="🔗 Ver Mapa"/>
    <hyperlink ref="L10527" r:id="rId10525" tooltip="🔗 Ver Mapa" display="🔗 Ver Mapa"/>
    <hyperlink ref="L10528" r:id="rId10526" tooltip="🔗 Ver Mapa" display="🔗 Ver Mapa"/>
    <hyperlink ref="L10529" r:id="rId10527" tooltip="🔗 Ver Mapa" display="🔗 Ver Mapa"/>
    <hyperlink ref="L10530" r:id="rId10528" tooltip="🔗 Ver Mapa" display="🔗 Ver Mapa"/>
    <hyperlink ref="L10531" r:id="rId10529" tooltip="🔗 Ver Mapa" display="🔗 Ver Mapa"/>
    <hyperlink ref="L10532" r:id="rId10530" tooltip="🔗 Ver Mapa" display="🔗 Ver Mapa"/>
    <hyperlink ref="L10533" r:id="rId10531" tooltip="🔗 Ver Mapa" display="🔗 Ver Mapa"/>
    <hyperlink ref="L10534" r:id="rId10532" tooltip="🔗 Ver Mapa" display="🔗 Ver Mapa"/>
    <hyperlink ref="L10535" r:id="rId10533" tooltip="🔗 Ver Mapa" display="🔗 Ver Mapa"/>
    <hyperlink ref="L10536" r:id="rId10534" tooltip="🔗 Ver Mapa" display="🔗 Ver Mapa"/>
    <hyperlink ref="L10537" r:id="rId10535" tooltip="🔗 Ver Mapa" display="🔗 Ver Mapa"/>
    <hyperlink ref="L10538" r:id="rId10536" tooltip="🔗 Ver Mapa" display="🔗 Ver Mapa"/>
    <hyperlink ref="L10539" r:id="rId10537" tooltip="🔗 Ver Mapa" display="🔗 Ver Mapa"/>
    <hyperlink ref="L10540" r:id="rId10538" tooltip="🔗 Ver Mapa" display="🔗 Ver Mapa"/>
    <hyperlink ref="L10541" r:id="rId10539" tooltip="🔗 Ver Mapa" display="🔗 Ver Mapa"/>
    <hyperlink ref="L10542" r:id="rId10540" tooltip="🔗 Ver Mapa" display="🔗 Ver Mapa"/>
    <hyperlink ref="L10543" r:id="rId10541" tooltip="🔗 Ver Mapa" display="🔗 Ver Mapa"/>
    <hyperlink ref="L10544" r:id="rId10542" tooltip="🔗 Ver Mapa" display="🔗 Ver Mapa"/>
    <hyperlink ref="L10545" r:id="rId10543" tooltip="🔗 Ver Mapa" display="🔗 Ver Mapa"/>
    <hyperlink ref="L10546" r:id="rId10544" tooltip="🔗 Ver Mapa" display="🔗 Ver Mapa"/>
    <hyperlink ref="L10547" r:id="rId10545" tooltip="🔗 Ver Mapa" display="🔗 Ver Mapa"/>
    <hyperlink ref="L10548" r:id="rId10546" tooltip="🔗 Ver Mapa" display="🔗 Ver Mapa"/>
    <hyperlink ref="L10549" r:id="rId10547" tooltip="🔗 Ver Mapa" display="🔗 Ver Mapa"/>
    <hyperlink ref="L10550" r:id="rId10548" tooltip="🔗 Ver Mapa" display="🔗 Ver Mapa"/>
    <hyperlink ref="L10551" r:id="rId10549" tooltip="🔗 Ver Mapa" display="🔗 Ver Mapa"/>
    <hyperlink ref="L10552" r:id="rId10550" tooltip="🔗 Ver Mapa" display="🔗 Ver Mapa"/>
    <hyperlink ref="L10553" r:id="rId10551" tooltip="🔗 Ver Mapa" display="🔗 Ver Mapa"/>
    <hyperlink ref="L10554" r:id="rId10552" tooltip="🔗 Ver Mapa" display="🔗 Ver Mapa"/>
    <hyperlink ref="L10555" r:id="rId10553" tooltip="🔗 Ver Mapa" display="🔗 Ver Mapa"/>
    <hyperlink ref="L10556" r:id="rId10554" tooltip="🔗 Ver Mapa" display="🔗 Ver Mapa"/>
    <hyperlink ref="L10557" r:id="rId10555" tooltip="🔗 Ver Mapa" display="🔗 Ver Mapa"/>
    <hyperlink ref="L10558" r:id="rId10556" tooltip="🔗 Ver Mapa" display="🔗 Ver Mapa"/>
    <hyperlink ref="L10559" r:id="rId10557" tooltip="🔗 Ver Mapa" display="🔗 Ver Mapa"/>
    <hyperlink ref="L10560" r:id="rId10558" tooltip="🔗 Ver Mapa" display="🔗 Ver Mapa"/>
    <hyperlink ref="L10561" r:id="rId10559" tooltip="🔗 Ver Mapa" display="🔗 Ver Mapa"/>
    <hyperlink ref="L10562" r:id="rId10560" tooltip="🔗 Ver Mapa" display="🔗 Ver Mapa"/>
    <hyperlink ref="L10563" r:id="rId10561" tooltip="🔗 Ver Mapa" display="🔗 Ver Mapa"/>
    <hyperlink ref="L10564" r:id="rId10562" tooltip="🔗 Ver Mapa" display="🔗 Ver Mapa"/>
    <hyperlink ref="L10565" r:id="rId10563" tooltip="🔗 Ver Mapa" display="🔗 Ver Mapa"/>
    <hyperlink ref="L10566" r:id="rId10564" tooltip="🔗 Ver Mapa" display="🔗 Ver Mapa"/>
    <hyperlink ref="L10567" r:id="rId10565" tooltip="🔗 Ver Mapa" display="🔗 Ver Mapa"/>
    <hyperlink ref="L10568" r:id="rId10566" tooltip="🔗 Ver Mapa" display="🔗 Ver Mapa"/>
    <hyperlink ref="L10569" r:id="rId10567" tooltip="🔗 Ver Mapa" display="🔗 Ver Mapa"/>
    <hyperlink ref="L10570" r:id="rId10568" tooltip="🔗 Ver Mapa" display="🔗 Ver Mapa"/>
    <hyperlink ref="L10571" r:id="rId10569" tooltip="🔗 Ver Mapa" display="🔗 Ver Mapa"/>
    <hyperlink ref="L10572" r:id="rId10570" tooltip="🔗 Ver Mapa" display="🔗 Ver Mapa"/>
    <hyperlink ref="L10573" r:id="rId10571" tooltip="🔗 Ver Mapa" display="🔗 Ver Mapa"/>
    <hyperlink ref="L10574" r:id="rId10572" tooltip="🔗 Ver Mapa" display="🔗 Ver Mapa"/>
    <hyperlink ref="L10575" r:id="rId10573" tooltip="🔗 Ver Mapa" display="🔗 Ver Mapa"/>
    <hyperlink ref="L10576" r:id="rId10574" tooltip="🔗 Ver Mapa" display="🔗 Ver Mapa"/>
    <hyperlink ref="L10577" r:id="rId10575" tooltip="🔗 Ver Mapa" display="🔗 Ver Mapa"/>
    <hyperlink ref="L10578" r:id="rId10576" tooltip="🔗 Ver Mapa" display="🔗 Ver Mapa"/>
    <hyperlink ref="L10579" r:id="rId10577" tooltip="🔗 Ver Mapa" display="🔗 Ver Mapa"/>
    <hyperlink ref="L10580" r:id="rId10578" tooltip="🔗 Ver Mapa" display="🔗 Ver Mapa"/>
    <hyperlink ref="L10581" r:id="rId10579" tooltip="🔗 Ver Mapa" display="🔗 Ver Mapa"/>
    <hyperlink ref="L10582" r:id="rId10580" tooltip="🔗 Ver Mapa" display="🔗 Ver Mapa"/>
    <hyperlink ref="L10583" r:id="rId10581" tooltip="🔗 Ver Mapa" display="🔗 Ver Mapa"/>
    <hyperlink ref="L10584" r:id="rId10582" tooltip="🔗 Ver Mapa" display="🔗 Ver Mapa"/>
    <hyperlink ref="L10585" r:id="rId10583" tooltip="🔗 Ver Mapa" display="🔗 Ver Mapa"/>
    <hyperlink ref="L10586" r:id="rId10584" tooltip="🔗 Ver Mapa" display="🔗 Ver Mapa"/>
    <hyperlink ref="L10587" r:id="rId10585" tooltip="🔗 Ver Mapa" display="🔗 Ver Mapa"/>
    <hyperlink ref="L10588" r:id="rId10586" tooltip="🔗 Ver Mapa" display="🔗 Ver Mapa"/>
    <hyperlink ref="L10589" r:id="rId10587" tooltip="🔗 Ver Mapa" display="🔗 Ver Mapa"/>
    <hyperlink ref="L10590" r:id="rId10588" tooltip="🔗 Ver Mapa" display="🔗 Ver Mapa"/>
    <hyperlink ref="L10591" r:id="rId10589" tooltip="🔗 Ver Mapa" display="🔗 Ver Mapa"/>
    <hyperlink ref="L10592" r:id="rId10590" tooltip="🔗 Ver Mapa" display="🔗 Ver Mapa"/>
    <hyperlink ref="L10593" r:id="rId10591" tooltip="🔗 Ver Mapa" display="🔗 Ver Mapa"/>
    <hyperlink ref="L10594" r:id="rId10592" tooltip="🔗 Ver Mapa" display="🔗 Ver Mapa"/>
    <hyperlink ref="L10595" r:id="rId10593" tooltip="🔗 Ver Mapa" display="🔗 Ver Mapa"/>
    <hyperlink ref="L10596" r:id="rId10594" tooltip="🔗 Ver Mapa" display="🔗 Ver Mapa"/>
    <hyperlink ref="L10597" r:id="rId10595" tooltip="🔗 Ver Mapa" display="🔗 Ver Mapa"/>
    <hyperlink ref="L10598" r:id="rId10596" tooltip="🔗 Ver Mapa" display="🔗 Ver Mapa"/>
    <hyperlink ref="L10599" r:id="rId10597" tooltip="🔗 Ver Mapa" display="🔗 Ver Mapa"/>
    <hyperlink ref="L10600" r:id="rId10598" tooltip="🔗 Ver Mapa" display="🔗 Ver Mapa"/>
    <hyperlink ref="L10601" r:id="rId10599" tooltip="🔗 Ver Mapa" display="🔗 Ver Mapa"/>
    <hyperlink ref="L10602" r:id="rId10600" tooltip="🔗 Ver Mapa" display="🔗 Ver Mapa"/>
    <hyperlink ref="L10603" r:id="rId10601" tooltip="🔗 Ver Mapa" display="🔗 Ver Mapa"/>
    <hyperlink ref="L10604" r:id="rId10602" tooltip="🔗 Ver Mapa" display="🔗 Ver Mapa"/>
    <hyperlink ref="L10605" r:id="rId10603" tooltip="🔗 Ver Mapa" display="🔗 Ver Mapa"/>
    <hyperlink ref="L10606" r:id="rId10604" tooltip="🔗 Ver Mapa" display="🔗 Ver Mapa"/>
    <hyperlink ref="L10607" r:id="rId10605" tooltip="🔗 Ver Mapa" display="🔗 Ver Mapa"/>
    <hyperlink ref="L10608" r:id="rId10606" tooltip="🔗 Ver Mapa" display="🔗 Ver Mapa"/>
    <hyperlink ref="L10609" r:id="rId10607" tooltip="🔗 Ver Mapa" display="🔗 Ver Mapa"/>
    <hyperlink ref="L10610" r:id="rId10608" tooltip="🔗 Ver Mapa" display="🔗 Ver Mapa"/>
    <hyperlink ref="L10611" r:id="rId10609" tooltip="🔗 Ver Mapa" display="🔗 Ver Mapa"/>
    <hyperlink ref="L10612" r:id="rId10610" tooltip="🔗 Ver Mapa" display="🔗 Ver Mapa"/>
    <hyperlink ref="L10613" r:id="rId10611" tooltip="🔗 Ver Mapa" display="🔗 Ver Mapa"/>
    <hyperlink ref="L10614" r:id="rId10612" tooltip="🔗 Ver Mapa" display="🔗 Ver Mapa"/>
    <hyperlink ref="L10615" r:id="rId10613" tooltip="🔗 Ver Mapa" display="🔗 Ver Mapa"/>
    <hyperlink ref="L10616" r:id="rId10614" tooltip="🔗 Ver Mapa" display="🔗 Ver Mapa"/>
    <hyperlink ref="L10617" r:id="rId10615" tooltip="🔗 Ver Mapa" display="🔗 Ver Mapa"/>
    <hyperlink ref="L10618" r:id="rId10616" tooltip="🔗 Ver Mapa" display="🔗 Ver Mapa"/>
    <hyperlink ref="L10619" r:id="rId10617" tooltip="🔗 Ver Mapa" display="🔗 Ver Mapa"/>
    <hyperlink ref="L10620" r:id="rId10618" tooltip="🔗 Ver Mapa" display="🔗 Ver Mapa"/>
    <hyperlink ref="L10621" r:id="rId10619" tooltip="🔗 Ver Mapa" display="🔗 Ver Mapa"/>
    <hyperlink ref="L10622" r:id="rId10620" tooltip="🔗 Ver Mapa" display="🔗 Ver Mapa"/>
    <hyperlink ref="L10623" r:id="rId10621" tooltip="🔗 Ver Mapa" display="🔗 Ver Mapa"/>
    <hyperlink ref="L10624" r:id="rId10622" tooltip="🔗 Ver Mapa" display="🔗 Ver Mapa"/>
    <hyperlink ref="L10625" r:id="rId10623" tooltip="🔗 Ver Mapa" display="🔗 Ver Mapa"/>
    <hyperlink ref="L10626" r:id="rId10624" tooltip="🔗 Ver Mapa" display="🔗 Ver Mapa"/>
    <hyperlink ref="L10627" r:id="rId10625" tooltip="🔗 Ver Mapa" display="🔗 Ver Mapa"/>
    <hyperlink ref="L10628" r:id="rId10626" tooltip="🔗 Ver Mapa" display="🔗 Ver Mapa"/>
    <hyperlink ref="L10629" r:id="rId10627" tooltip="🔗 Ver Mapa" display="🔗 Ver Mapa"/>
    <hyperlink ref="L10630" r:id="rId10628" tooltip="🔗 Ver Mapa" display="🔗 Ver Mapa"/>
    <hyperlink ref="L10631" r:id="rId10629" tooltip="🔗 Ver Mapa" display="🔗 Ver Mapa"/>
    <hyperlink ref="L10632" r:id="rId10630" tooltip="🔗 Ver Mapa" display="🔗 Ver Mapa"/>
    <hyperlink ref="L10633" r:id="rId10631" tooltip="🔗 Ver Mapa" display="🔗 Ver Mapa"/>
    <hyperlink ref="L10634" r:id="rId10632" tooltip="🔗 Ver Mapa" display="🔗 Ver Mapa"/>
    <hyperlink ref="L10635" r:id="rId10633" tooltip="🔗 Ver Mapa" display="🔗 Ver Mapa"/>
    <hyperlink ref="L10636" r:id="rId10634" tooltip="🔗 Ver Mapa" display="🔗 Ver Mapa"/>
    <hyperlink ref="L10637" r:id="rId10635" tooltip="🔗 Ver Mapa" display="🔗 Ver Mapa"/>
    <hyperlink ref="L10638" r:id="rId10636" tooltip="🔗 Ver Mapa" display="🔗 Ver Mapa"/>
    <hyperlink ref="L10639" r:id="rId10637" tooltip="🔗 Ver Mapa" display="🔗 Ver Mapa"/>
    <hyperlink ref="L10640" r:id="rId10638" tooltip="🔗 Ver Mapa" display="🔗 Ver Mapa"/>
    <hyperlink ref="L10641" r:id="rId10639" tooltip="🔗 Ver Mapa" display="🔗 Ver Mapa"/>
    <hyperlink ref="L10642" r:id="rId10640" tooltip="🔗 Ver Mapa" display="🔗 Ver Mapa"/>
    <hyperlink ref="L10643" r:id="rId10641" tooltip="🔗 Ver Mapa" display="🔗 Ver Mapa"/>
    <hyperlink ref="L10644" r:id="rId10642" tooltip="🔗 Ver Mapa" display="🔗 Ver Mapa"/>
    <hyperlink ref="L10645" r:id="rId10643" tooltip="🔗 Ver Mapa" display="🔗 Ver Mapa"/>
    <hyperlink ref="L10646" r:id="rId10644" tooltip="🔗 Ver Mapa" display="🔗 Ver Mapa"/>
    <hyperlink ref="L10647" r:id="rId10645" tooltip="🔗 Ver Mapa" display="🔗 Ver Mapa"/>
    <hyperlink ref="L10648" r:id="rId10646" tooltip="🔗 Ver Mapa" display="🔗 Ver Mapa"/>
    <hyperlink ref="L10649" r:id="rId10647" tooltip="🔗 Ver Mapa" display="🔗 Ver Mapa"/>
    <hyperlink ref="L10650" r:id="rId10648" tooltip="🔗 Ver Mapa" display="🔗 Ver Mapa"/>
    <hyperlink ref="L10651" r:id="rId10649" tooltip="🔗 Ver Mapa" display="🔗 Ver Mapa"/>
    <hyperlink ref="L10652" r:id="rId10650" tooltip="🔗 Ver Mapa" display="🔗 Ver Mapa"/>
    <hyperlink ref="L10653" r:id="rId10651" tooltip="🔗 Ver Mapa" display="🔗 Ver Mapa"/>
    <hyperlink ref="L10654" r:id="rId10652" tooltip="🔗 Ver Mapa" display="🔗 Ver Mapa"/>
    <hyperlink ref="L10655" r:id="rId10653" tooltip="🔗 Ver Mapa" display="🔗 Ver Mapa"/>
    <hyperlink ref="L10656" r:id="rId10654" tooltip="🔗 Ver Mapa" display="🔗 Ver Mapa"/>
    <hyperlink ref="L10657" r:id="rId10655" tooltip="🔗 Ver Mapa" display="🔗 Ver Mapa"/>
    <hyperlink ref="L10658" r:id="rId10656" tooltip="🔗 Ver Mapa" display="🔗 Ver Mapa"/>
    <hyperlink ref="L10659" r:id="rId10657" tooltip="🔗 Ver Mapa" display="🔗 Ver Mapa"/>
    <hyperlink ref="L10660" r:id="rId10658" tooltip="🔗 Ver Mapa" display="🔗 Ver Mapa"/>
    <hyperlink ref="L10661" r:id="rId10659" tooltip="🔗 Ver Mapa" display="🔗 Ver Mapa"/>
    <hyperlink ref="L10662" r:id="rId10660" tooltip="🔗 Ver Mapa" display="🔗 Ver Mapa"/>
    <hyperlink ref="L10663" r:id="rId10661" tooltip="🔗 Ver Mapa" display="🔗 Ver Mapa"/>
    <hyperlink ref="L10664" r:id="rId10662" tooltip="🔗 Ver Mapa" display="🔗 Ver Mapa"/>
    <hyperlink ref="L10665" r:id="rId10663" tooltip="🔗 Ver Mapa" display="🔗 Ver Mapa"/>
    <hyperlink ref="L10666" r:id="rId10664" tooltip="🔗 Ver Mapa" display="🔗 Ver Mapa"/>
    <hyperlink ref="L10667" r:id="rId10665" tooltip="🔗 Ver Mapa" display="🔗 Ver Mapa"/>
    <hyperlink ref="L10668" r:id="rId10666" tooltip="🔗 Ver Mapa" display="🔗 Ver Mapa"/>
    <hyperlink ref="L10669" r:id="rId10667" tooltip="🔗 Ver Mapa" display="🔗 Ver Mapa"/>
    <hyperlink ref="L10670" r:id="rId10668" tooltip="🔗 Ver Mapa" display="🔗 Ver Mapa"/>
    <hyperlink ref="L10671" r:id="rId10669" tooltip="🔗 Ver Mapa" display="🔗 Ver Mapa"/>
    <hyperlink ref="L10672" r:id="rId10670" tooltip="🔗 Ver Mapa" display="🔗 Ver Mapa"/>
    <hyperlink ref="L10673" r:id="rId10671" tooltip="🔗 Ver Mapa" display="🔗 Ver Mapa"/>
    <hyperlink ref="L10674" r:id="rId10672" tooltip="🔗 Ver Mapa" display="🔗 Ver Mapa"/>
    <hyperlink ref="L10675" r:id="rId10673" tooltip="🔗 Ver Mapa" display="🔗 Ver Mapa"/>
    <hyperlink ref="L10676" r:id="rId10674" tooltip="🔗 Ver Mapa" display="🔗 Ver Mapa"/>
    <hyperlink ref="L10677" r:id="rId10675" tooltip="🔗 Ver Mapa" display="🔗 Ver Mapa"/>
    <hyperlink ref="L10678" r:id="rId10676" tooltip="🔗 Ver Mapa" display="🔗 Ver Mapa"/>
    <hyperlink ref="L10679" r:id="rId10677" tooltip="🔗 Ver Mapa" display="🔗 Ver Mapa"/>
    <hyperlink ref="L10680" r:id="rId10678" tooltip="🔗 Ver Mapa" display="🔗 Ver Mapa"/>
    <hyperlink ref="L10681" r:id="rId10679" tooltip="🔗 Ver Mapa" display="🔗 Ver Mapa"/>
    <hyperlink ref="L10682" r:id="rId10680" tooltip="🔗 Ver Mapa" display="🔗 Ver Mapa"/>
    <hyperlink ref="L10683" r:id="rId10681" tooltip="🔗 Ver Mapa" display="🔗 Ver Mapa"/>
    <hyperlink ref="L10684" r:id="rId10682" tooltip="🔗 Ver Mapa" display="🔗 Ver Mapa"/>
    <hyperlink ref="L10685" r:id="rId10683" tooltip="🔗 Ver Mapa" display="🔗 Ver Mapa"/>
    <hyperlink ref="L10686" r:id="rId10684" tooltip="🔗 Ver Mapa" display="🔗 Ver Mapa"/>
    <hyperlink ref="L10687" r:id="rId10685" tooltip="🔗 Ver Mapa" display="🔗 Ver Mapa"/>
    <hyperlink ref="L10688" r:id="rId10686" tooltip="🔗 Ver Mapa" display="🔗 Ver Mapa"/>
    <hyperlink ref="L10689" r:id="rId10687" tooltip="🔗 Ver Mapa" display="🔗 Ver Mapa"/>
    <hyperlink ref="L10690" r:id="rId10688" tooltip="🔗 Ver Mapa" display="🔗 Ver Mapa"/>
    <hyperlink ref="L10691" r:id="rId10689" tooltip="🔗 Ver Mapa" display="🔗 Ver Mapa"/>
    <hyperlink ref="L10692" r:id="rId10690" tooltip="🔗 Ver Mapa" display="🔗 Ver Mapa"/>
    <hyperlink ref="L10693" r:id="rId10691" tooltip="🔗 Ver Mapa" display="🔗 Ver Mapa"/>
    <hyperlink ref="L10694" r:id="rId10692" tooltip="🔗 Ver Mapa" display="🔗 Ver Mapa"/>
    <hyperlink ref="L10695" r:id="rId10693" tooltip="🔗 Ver Mapa" display="🔗 Ver Mapa"/>
    <hyperlink ref="L10696" r:id="rId10694" tooltip="🔗 Ver Mapa" display="🔗 Ver Mapa"/>
    <hyperlink ref="L10697" r:id="rId10695" tooltip="🔗 Ver Mapa" display="🔗 Ver Mapa"/>
    <hyperlink ref="L10698" r:id="rId10696" tooltip="🔗 Ver Mapa" display="🔗 Ver Mapa"/>
    <hyperlink ref="L10699" r:id="rId10697" tooltip="🔗 Ver Mapa" display="🔗 Ver Mapa"/>
    <hyperlink ref="L10700" r:id="rId10698" tooltip="🔗 Ver Mapa" display="🔗 Ver Mapa"/>
    <hyperlink ref="L10701" r:id="rId10699" tooltip="🔗 Ver Mapa" display="🔗 Ver Mapa"/>
    <hyperlink ref="L10702" r:id="rId10700" tooltip="🔗 Ver Mapa" display="🔗 Ver Mapa"/>
    <hyperlink ref="L10703" r:id="rId10701" tooltip="🔗 Ver Mapa" display="🔗 Ver Mapa"/>
    <hyperlink ref="L10704" r:id="rId10702" tooltip="🔗 Ver Mapa" display="🔗 Ver Mapa"/>
    <hyperlink ref="L10705" r:id="rId10703" tooltip="🔗 Ver Mapa" display="🔗 Ver Mapa"/>
    <hyperlink ref="L10706" r:id="rId10704" tooltip="🔗 Ver Mapa" display="🔗 Ver Mapa"/>
    <hyperlink ref="L10707" r:id="rId10705" tooltip="🔗 Ver Mapa" display="🔗 Ver Mapa"/>
    <hyperlink ref="L10708" r:id="rId10706" tooltip="🔗 Ver Mapa" display="🔗 Ver Mapa"/>
    <hyperlink ref="L10709" r:id="rId10707" tooltip="🔗 Ver Mapa" display="🔗 Ver Mapa"/>
    <hyperlink ref="L10710" r:id="rId10708" tooltip="🔗 Ver Mapa" display="🔗 Ver Mapa"/>
    <hyperlink ref="L10711" r:id="rId10709" tooltip="🔗 Ver Mapa" display="🔗 Ver Mapa"/>
    <hyperlink ref="L10712" r:id="rId10710" tooltip="🔗 Ver Mapa" display="🔗 Ver Mapa"/>
    <hyperlink ref="L10713" r:id="rId10711" tooltip="🔗 Ver Mapa" display="🔗 Ver Mapa"/>
    <hyperlink ref="L10714" r:id="rId10712" tooltip="🔗 Ver Mapa" display="🔗 Ver Mapa"/>
    <hyperlink ref="L10715" r:id="rId10713" tooltip="🔗 Ver Mapa" display="🔗 Ver Mapa"/>
    <hyperlink ref="L10716" r:id="rId10714" tooltip="🔗 Ver Mapa" display="🔗 Ver Mapa"/>
    <hyperlink ref="L10717" r:id="rId10715" tooltip="🔗 Ver Mapa" display="🔗 Ver Mapa"/>
    <hyperlink ref="L10718" r:id="rId10716" tooltip="🔗 Ver Mapa" display="🔗 Ver Mapa"/>
    <hyperlink ref="L10719" r:id="rId10717" tooltip="🔗 Ver Mapa" display="🔗 Ver Mapa"/>
    <hyperlink ref="L10720" r:id="rId10718" tooltip="🔗 Ver Mapa" display="🔗 Ver Mapa"/>
    <hyperlink ref="L10721" r:id="rId10719" tooltip="🔗 Ver Mapa" display="🔗 Ver Mapa"/>
    <hyperlink ref="L10722" r:id="rId10720" tooltip="🔗 Ver Mapa" display="🔗 Ver Mapa"/>
    <hyperlink ref="L10723" r:id="rId10721" tooltip="🔗 Ver Mapa" display="🔗 Ver Mapa"/>
    <hyperlink ref="L10724" r:id="rId10722" tooltip="🔗 Ver Mapa" display="🔗 Ver Mapa"/>
    <hyperlink ref="L10725" r:id="rId10723" tooltip="🔗 Ver Mapa" display="🔗 Ver Mapa"/>
    <hyperlink ref="L10726" r:id="rId10724" tooltip="🔗 Ver Mapa" display="🔗 Ver Mapa"/>
    <hyperlink ref="L10727" r:id="rId10725" tooltip="🔗 Ver Mapa" display="🔗 Ver Mapa"/>
    <hyperlink ref="L10728" r:id="rId10726" tooltip="🔗 Ver Mapa" display="🔗 Ver Mapa"/>
    <hyperlink ref="L10729" r:id="rId10727" tooltip="🔗 Ver Mapa" display="🔗 Ver Mapa"/>
    <hyperlink ref="L10730" r:id="rId10728" tooltip="🔗 Ver Mapa" display="🔗 Ver Mapa"/>
    <hyperlink ref="L10731" r:id="rId10729" tooltip="🔗 Ver Mapa" display="🔗 Ver Mapa"/>
    <hyperlink ref="L10732" r:id="rId10730" tooltip="🔗 Ver Mapa" display="🔗 Ver Mapa"/>
    <hyperlink ref="L10733" r:id="rId10731" tooltip="🔗 Ver Mapa" display="🔗 Ver Mapa"/>
    <hyperlink ref="L10734" r:id="rId10732" tooltip="🔗 Ver Mapa" display="🔗 Ver Mapa"/>
    <hyperlink ref="L10735" r:id="rId10733" tooltip="🔗 Ver Mapa" display="🔗 Ver Mapa"/>
    <hyperlink ref="L10736" r:id="rId10734" tooltip="🔗 Ver Mapa" display="🔗 Ver Mapa"/>
    <hyperlink ref="L10737" r:id="rId10735" tooltip="🔗 Ver Mapa" display="🔗 Ver Mapa"/>
    <hyperlink ref="L10738" r:id="rId10736" tooltip="🔗 Ver Mapa" display="🔗 Ver Mapa"/>
    <hyperlink ref="L10739" r:id="rId10737" tooltip="🔗 Ver Mapa" display="🔗 Ver Mapa"/>
    <hyperlink ref="L10740" r:id="rId10738" tooltip="🔗 Ver Mapa" display="🔗 Ver Mapa"/>
    <hyperlink ref="L10741" r:id="rId10739" tooltip="🔗 Ver Mapa" display="🔗 Ver Mapa"/>
    <hyperlink ref="L10742" r:id="rId10740" tooltip="🔗 Ver Mapa" display="🔗 Ver Mapa"/>
    <hyperlink ref="L10743" r:id="rId10741" tooltip="🔗 Ver Mapa" display="🔗 Ver Mapa"/>
    <hyperlink ref="L10744" r:id="rId10742" tooltip="🔗 Ver Mapa" display="🔗 Ver Mapa"/>
    <hyperlink ref="L10745" r:id="rId10743" tooltip="🔗 Ver Mapa" display="🔗 Ver Mapa"/>
    <hyperlink ref="L10746" r:id="rId10744" tooltip="🔗 Ver Mapa" display="🔗 Ver Mapa"/>
    <hyperlink ref="L10747" r:id="rId10745" tooltip="🔗 Ver Mapa" display="🔗 Ver Mapa"/>
    <hyperlink ref="L10748" r:id="rId10746" tooltip="🔗 Ver Mapa" display="🔗 Ver Mapa"/>
    <hyperlink ref="L10749" r:id="rId10747" tooltip="🔗 Ver Mapa" display="🔗 Ver Mapa"/>
    <hyperlink ref="L10750" r:id="rId10748" tooltip="🔗 Ver Mapa" display="🔗 Ver Mapa"/>
    <hyperlink ref="L10751" r:id="rId10749" tooltip="🔗 Ver Mapa" display="🔗 Ver Mapa"/>
    <hyperlink ref="L10752" r:id="rId10750" tooltip="🔗 Ver Mapa" display="🔗 Ver Mapa"/>
    <hyperlink ref="L10753" r:id="rId10751" tooltip="🔗 Ver Mapa" display="🔗 Ver Mapa"/>
    <hyperlink ref="L10754" r:id="rId10752" tooltip="🔗 Ver Mapa" display="🔗 Ver Mapa"/>
    <hyperlink ref="L10755" r:id="rId10753" tooltip="🔗 Ver Mapa" display="🔗 Ver Mapa"/>
    <hyperlink ref="L10756" r:id="rId10754" tooltip="🔗 Ver Mapa" display="🔗 Ver Mapa"/>
    <hyperlink ref="L10757" r:id="rId10755" tooltip="🔗 Ver Mapa" display="🔗 Ver Mapa"/>
    <hyperlink ref="L10758" r:id="rId10756" tooltip="🔗 Ver Mapa" display="🔗 Ver Mapa"/>
    <hyperlink ref="L10759" r:id="rId10757" tooltip="🔗 Ver Mapa" display="🔗 Ver Mapa"/>
    <hyperlink ref="L10760" r:id="rId10758" tooltip="🔗 Ver Mapa" display="🔗 Ver Mapa"/>
    <hyperlink ref="L10761" r:id="rId10759" tooltip="🔗 Ver Mapa" display="🔗 Ver Mapa"/>
    <hyperlink ref="L10762" r:id="rId10760" tooltip="🔗 Ver Mapa" display="🔗 Ver Mapa"/>
    <hyperlink ref="L10763" r:id="rId10761" tooltip="🔗 Ver Mapa" display="🔗 Ver Mapa"/>
    <hyperlink ref="L10764" r:id="rId10762" tooltip="🔗 Ver Mapa" display="🔗 Ver Mapa"/>
    <hyperlink ref="L10765" r:id="rId10763" tooltip="🔗 Ver Mapa" display="🔗 Ver Mapa"/>
    <hyperlink ref="L10766" r:id="rId10764" tooltip="🔗 Ver Mapa" display="🔗 Ver Mapa"/>
    <hyperlink ref="L10767" r:id="rId10765" tooltip="🔗 Ver Mapa" display="🔗 Ver Mapa"/>
    <hyperlink ref="L10768" r:id="rId10766" tooltip="🔗 Ver Mapa" display="🔗 Ver Mapa"/>
    <hyperlink ref="L10769" r:id="rId10767" tooltip="🔗 Ver Mapa" display="🔗 Ver Mapa"/>
    <hyperlink ref="L10770" r:id="rId10768" tooltip="🔗 Ver Mapa" display="🔗 Ver Mapa"/>
    <hyperlink ref="L10771" r:id="rId10769" tooltip="🔗 Ver Mapa" display="🔗 Ver Mapa"/>
    <hyperlink ref="L10772" r:id="rId10770" tooltip="🔗 Ver Mapa" display="🔗 Ver Mapa"/>
    <hyperlink ref="L10773" r:id="rId10771" tooltip="🔗 Ver Mapa" display="🔗 Ver Mapa"/>
    <hyperlink ref="L10774" r:id="rId10772" tooltip="🔗 Ver Mapa" display="🔗 Ver Mapa"/>
    <hyperlink ref="L10775" r:id="rId10773" tooltip="🔗 Ver Mapa" display="🔗 Ver Mapa"/>
    <hyperlink ref="L10776" r:id="rId10774" tooltip="🔗 Ver Mapa" display="🔗 Ver Mapa"/>
    <hyperlink ref="L10777" r:id="rId10775" tooltip="🔗 Ver Mapa" display="🔗 Ver Mapa"/>
    <hyperlink ref="L10778" r:id="rId10776" tooltip="🔗 Ver Mapa" display="🔗 Ver Mapa"/>
    <hyperlink ref="L10779" r:id="rId10777" tooltip="🔗 Ver Mapa" display="🔗 Ver Mapa"/>
    <hyperlink ref="L10780" r:id="rId10778" tooltip="🔗 Ver Mapa" display="🔗 Ver Mapa"/>
    <hyperlink ref="L10781" r:id="rId10779" tooltip="🔗 Ver Mapa" display="🔗 Ver Mapa"/>
    <hyperlink ref="L10782" r:id="rId10780" tooltip="🔗 Ver Mapa" display="🔗 Ver Mapa"/>
    <hyperlink ref="L10783" r:id="rId10781" tooltip="🔗 Ver Mapa" display="🔗 Ver Mapa"/>
    <hyperlink ref="L10784" r:id="rId10782" tooltip="🔗 Ver Mapa" display="🔗 Ver Mapa"/>
    <hyperlink ref="L10785" r:id="rId10783" tooltip="🔗 Ver Mapa" display="🔗 Ver Mapa"/>
    <hyperlink ref="L10786" r:id="rId10784" tooltip="🔗 Ver Mapa" display="🔗 Ver Mapa"/>
    <hyperlink ref="L10787" r:id="rId10785" tooltip="🔗 Ver Mapa" display="🔗 Ver Mapa"/>
    <hyperlink ref="L10788" r:id="rId10786" tooltip="🔗 Ver Mapa" display="🔗 Ver Mapa"/>
    <hyperlink ref="L10789" r:id="rId10787" tooltip="🔗 Ver Mapa" display="🔗 Ver Mapa"/>
    <hyperlink ref="L10790" r:id="rId10788" tooltip="🔗 Ver Mapa" display="🔗 Ver Mapa"/>
    <hyperlink ref="L10791" r:id="rId10789" tooltip="🔗 Ver Mapa" display="🔗 Ver Mapa"/>
    <hyperlink ref="L10792" r:id="rId10790" tooltip="🔗 Ver Mapa" display="🔗 Ver Mapa"/>
    <hyperlink ref="L10793" r:id="rId10791" tooltip="🔗 Ver Mapa" display="🔗 Ver Mapa"/>
    <hyperlink ref="L10794" r:id="rId10792" tooltip="🔗 Ver Mapa" display="🔗 Ver Mapa"/>
    <hyperlink ref="L10795" r:id="rId10793" tooltip="🔗 Ver Mapa" display="🔗 Ver Mapa"/>
    <hyperlink ref="L10796" r:id="rId10794" tooltip="🔗 Ver Mapa" display="🔗 Ver Mapa"/>
    <hyperlink ref="L10797" r:id="rId10795" tooltip="🔗 Ver Mapa" display="🔗 Ver Mapa"/>
    <hyperlink ref="L10798" r:id="rId10796" tooltip="🔗 Ver Mapa" display="🔗 Ver Mapa"/>
    <hyperlink ref="L10799" r:id="rId10797" tooltip="🔗 Ver Mapa" display="🔗 Ver Mapa"/>
    <hyperlink ref="L10800" r:id="rId10798" tooltip="🔗 Ver Mapa" display="🔗 Ver Mapa"/>
    <hyperlink ref="L10801" r:id="rId10799" tooltip="🔗 Ver Mapa" display="🔗 Ver Mapa"/>
    <hyperlink ref="L10802" r:id="rId10800" tooltip="🔗 Ver Mapa" display="🔗 Ver Mapa"/>
    <hyperlink ref="L10803" r:id="rId10801" tooltip="🔗 Ver Mapa" display="🔗 Ver Mapa"/>
    <hyperlink ref="L10804" r:id="rId10802" tooltip="🔗 Ver Mapa" display="🔗 Ver Mapa"/>
    <hyperlink ref="L10805" r:id="rId10803" tooltip="🔗 Ver Mapa" display="🔗 Ver Mapa"/>
    <hyperlink ref="L10806" r:id="rId10804" tooltip="🔗 Ver Mapa" display="🔗 Ver Mapa"/>
    <hyperlink ref="L10807" r:id="rId10805" tooltip="🔗 Ver Mapa" display="🔗 Ver Mapa"/>
    <hyperlink ref="L10808" r:id="rId10806" tooltip="🔗 Ver Mapa" display="🔗 Ver Mapa"/>
    <hyperlink ref="L10809" r:id="rId10807" tooltip="🔗 Ver Mapa" display="🔗 Ver Mapa"/>
    <hyperlink ref="L10810" r:id="rId10808" tooltip="🔗 Ver Mapa" display="🔗 Ver Mapa"/>
    <hyperlink ref="L10811" r:id="rId10809" tooltip="🔗 Ver Mapa" display="🔗 Ver Mapa"/>
    <hyperlink ref="L10812" r:id="rId10810" tooltip="🔗 Ver Mapa" display="🔗 Ver Mapa"/>
    <hyperlink ref="L10813" r:id="rId10811" tooltip="🔗 Ver Mapa" display="🔗 Ver Mapa"/>
    <hyperlink ref="L10814" r:id="rId10812" tooltip="🔗 Ver Mapa" display="🔗 Ver Mapa"/>
    <hyperlink ref="L10815" r:id="rId10813" tooltip="🔗 Ver Mapa" display="🔗 Ver Mapa"/>
    <hyperlink ref="L10816" r:id="rId10814" tooltip="🔗 Ver Mapa" display="🔗 Ver Mapa"/>
    <hyperlink ref="L10817" r:id="rId10815" tooltip="🔗 Ver Mapa" display="🔗 Ver Mapa"/>
    <hyperlink ref="L10818" r:id="rId10816" tooltip="🔗 Ver Mapa" display="🔗 Ver Mapa"/>
    <hyperlink ref="L10819" r:id="rId10817" tooltip="🔗 Ver Mapa" display="🔗 Ver Mapa"/>
    <hyperlink ref="L10820" r:id="rId10818" tooltip="🔗 Ver Mapa" display="🔗 Ver Mapa"/>
    <hyperlink ref="L10821" r:id="rId10819" tooltip="🔗 Ver Mapa" display="🔗 Ver Mapa"/>
    <hyperlink ref="L10822" r:id="rId10820" tooltip="🔗 Ver Mapa" display="🔗 Ver Mapa"/>
    <hyperlink ref="L10823" r:id="rId10821" tooltip="🔗 Ver Mapa" display="🔗 Ver Mapa"/>
    <hyperlink ref="L10824" r:id="rId10822" tooltip="🔗 Ver Mapa" display="🔗 Ver Mapa"/>
    <hyperlink ref="L10825" r:id="rId10823" tooltip="🔗 Ver Mapa" display="🔗 Ver Mapa"/>
    <hyperlink ref="L10826" r:id="rId10824" tooltip="🔗 Ver Mapa" display="🔗 Ver Mapa"/>
    <hyperlink ref="L10827" r:id="rId10825" tooltip="🔗 Ver Mapa" display="🔗 Ver Mapa"/>
    <hyperlink ref="L10828" r:id="rId10826" tooltip="🔗 Ver Mapa" display="🔗 Ver Mapa"/>
    <hyperlink ref="L10829" r:id="rId10827" tooltip="🔗 Ver Mapa" display="🔗 Ver Mapa"/>
    <hyperlink ref="L10830" r:id="rId10828" tooltip="🔗 Ver Mapa" display="🔗 Ver Mapa"/>
    <hyperlink ref="L10831" r:id="rId10829" tooltip="🔗 Ver Mapa" display="🔗 Ver Mapa"/>
    <hyperlink ref="L10832" r:id="rId10830" tooltip="🔗 Ver Mapa" display="🔗 Ver Mapa"/>
    <hyperlink ref="L10833" r:id="rId10831" tooltip="🔗 Ver Mapa" display="🔗 Ver Mapa"/>
    <hyperlink ref="L10834" r:id="rId10832" tooltip="🔗 Ver Mapa" display="🔗 Ver Mapa"/>
    <hyperlink ref="L10835" r:id="rId10833" tooltip="🔗 Ver Mapa" display="🔗 Ver Mapa"/>
    <hyperlink ref="L10836" r:id="rId10834" tooltip="🔗 Ver Mapa" display="🔗 Ver Mapa"/>
    <hyperlink ref="L10837" r:id="rId10835" tooltip="🔗 Ver Mapa" display="🔗 Ver Mapa"/>
    <hyperlink ref="L10838" r:id="rId10836" tooltip="🔗 Ver Mapa" display="🔗 Ver Mapa"/>
    <hyperlink ref="L10839" r:id="rId10837" tooltip="🔗 Ver Mapa" display="🔗 Ver Mapa"/>
    <hyperlink ref="L10840" r:id="rId10838" tooltip="🔗 Ver Mapa" display="🔗 Ver Mapa"/>
    <hyperlink ref="L10841" r:id="rId10839" tooltip="🔗 Ver Mapa" display="🔗 Ver Mapa"/>
    <hyperlink ref="L10842" r:id="rId10840" tooltip="🔗 Ver Mapa" display="🔗 Ver Mapa"/>
    <hyperlink ref="L10843" r:id="rId10841" tooltip="🔗 Ver Mapa" display="🔗 Ver Mapa"/>
    <hyperlink ref="L10844" r:id="rId10842" tooltip="🔗 Ver Mapa" display="🔗 Ver Mapa"/>
    <hyperlink ref="L10845" r:id="rId10843" tooltip="🔗 Ver Mapa" display="🔗 Ver Mapa"/>
    <hyperlink ref="L10846" r:id="rId10844" tooltip="🔗 Ver Mapa" display="🔗 Ver Mapa"/>
    <hyperlink ref="L10847" r:id="rId10845" tooltip="🔗 Ver Mapa" display="🔗 Ver Mapa"/>
    <hyperlink ref="L10848" r:id="rId10846" tooltip="🔗 Ver Mapa" display="🔗 Ver Mapa"/>
    <hyperlink ref="L10849" r:id="rId10847" tooltip="🔗 Ver Mapa" display="🔗 Ver Mapa"/>
    <hyperlink ref="L10850" r:id="rId10848" tooltip="🔗 Ver Mapa" display="🔗 Ver Mapa"/>
    <hyperlink ref="L10851" r:id="rId10849" tooltip="🔗 Ver Mapa" display="🔗 Ver Mapa"/>
    <hyperlink ref="L10852" r:id="rId10850" tooltip="🔗 Ver Mapa" display="🔗 Ver Mapa"/>
    <hyperlink ref="L10853" r:id="rId10851" tooltip="🔗 Ver Mapa" display="🔗 Ver Mapa"/>
    <hyperlink ref="L10854" r:id="rId10852" tooltip="🔗 Ver Mapa" display="🔗 Ver Mapa"/>
    <hyperlink ref="L10855" r:id="rId10853" tooltip="🔗 Ver Mapa" display="🔗 Ver Mapa"/>
    <hyperlink ref="L10856" r:id="rId10854" tooltip="🔗 Ver Mapa" display="🔗 Ver Mapa"/>
    <hyperlink ref="L10857" r:id="rId10855" tooltip="🔗 Ver Mapa" display="🔗 Ver Mapa"/>
    <hyperlink ref="L10858" r:id="rId10856" tooltip="🔗 Ver Mapa" display="🔗 Ver Mapa"/>
    <hyperlink ref="L10859" r:id="rId10857" tooltip="🔗 Ver Mapa" display="🔗 Ver Mapa"/>
    <hyperlink ref="L10860" r:id="rId10858" tooltip="🔗 Ver Mapa" display="🔗 Ver Mapa"/>
    <hyperlink ref="L10861" r:id="rId10859" tooltip="🔗 Ver Mapa" display="🔗 Ver Mapa"/>
    <hyperlink ref="L10862" r:id="rId10860" tooltip="🔗 Ver Mapa" display="🔗 Ver Mapa"/>
    <hyperlink ref="L10863" r:id="rId10861" tooltip="🔗 Ver Mapa" display="🔗 Ver Mapa"/>
    <hyperlink ref="L10864" r:id="rId10862" tooltip="🔗 Ver Mapa" display="🔗 Ver Mapa"/>
    <hyperlink ref="L10865" r:id="rId10863" tooltip="🔗 Ver Mapa" display="🔗 Ver Mapa"/>
    <hyperlink ref="L10866" r:id="rId10864" tooltip="🔗 Ver Mapa" display="🔗 Ver Mapa"/>
    <hyperlink ref="L10867" r:id="rId10865" tooltip="🔗 Ver Mapa" display="🔗 Ver Mapa"/>
    <hyperlink ref="L10868" r:id="rId10866" tooltip="🔗 Ver Mapa" display="🔗 Ver Mapa"/>
    <hyperlink ref="L10869" r:id="rId10867" tooltip="🔗 Ver Mapa" display="🔗 Ver Mapa"/>
    <hyperlink ref="L10870" r:id="rId10868" tooltip="🔗 Ver Mapa" display="🔗 Ver Mapa"/>
    <hyperlink ref="L10871" r:id="rId10869" tooltip="🔗 Ver Mapa" display="🔗 Ver Mapa"/>
    <hyperlink ref="L10872" r:id="rId10870" tooltip="🔗 Ver Mapa" display="🔗 Ver Mapa"/>
    <hyperlink ref="L10873" r:id="rId10871" tooltip="🔗 Ver Mapa" display="🔗 Ver Mapa"/>
    <hyperlink ref="L10874" r:id="rId10872" tooltip="🔗 Ver Mapa" display="🔗 Ver Mapa"/>
    <hyperlink ref="L10875" r:id="rId10873" tooltip="🔗 Ver Mapa" display="🔗 Ver Mapa"/>
    <hyperlink ref="L10876" r:id="rId10874" tooltip="🔗 Ver Mapa" display="🔗 Ver Mapa"/>
    <hyperlink ref="L10877" r:id="rId10875" tooltip="🔗 Ver Mapa" display="🔗 Ver Mapa"/>
    <hyperlink ref="L10878" r:id="rId10876" tooltip="🔗 Ver Mapa" display="🔗 Ver Mapa"/>
    <hyperlink ref="L10879" r:id="rId10877" tooltip="🔗 Ver Mapa" display="🔗 Ver Mapa"/>
    <hyperlink ref="L10880" r:id="rId10878" tooltip="🔗 Ver Mapa" display="🔗 Ver Mapa"/>
    <hyperlink ref="L10881" r:id="rId10879" tooltip="🔗 Ver Mapa" display="🔗 Ver Mapa"/>
    <hyperlink ref="L10882" r:id="rId10880" tooltip="🔗 Ver Mapa" display="🔗 Ver Mapa"/>
    <hyperlink ref="L10883" r:id="rId10881" tooltip="🔗 Ver Mapa" display="🔗 Ver Mapa"/>
    <hyperlink ref="L10884" r:id="rId10882" tooltip="🔗 Ver Mapa" display="🔗 Ver Mapa"/>
    <hyperlink ref="L10885" r:id="rId10883" tooltip="🔗 Ver Mapa" display="🔗 Ver Mapa"/>
    <hyperlink ref="L10886" r:id="rId10884" tooltip="🔗 Ver Mapa" display="🔗 Ver Mapa"/>
    <hyperlink ref="L10887" r:id="rId10885" tooltip="🔗 Ver Mapa" display="🔗 Ver Mapa"/>
    <hyperlink ref="L10888" r:id="rId10886" tooltip="🔗 Ver Mapa" display="🔗 Ver Mapa"/>
    <hyperlink ref="L10889" r:id="rId10887" tooltip="🔗 Ver Mapa" display="🔗 Ver Mapa"/>
    <hyperlink ref="L10890" r:id="rId10888" tooltip="🔗 Ver Mapa" display="🔗 Ver Mapa"/>
    <hyperlink ref="L10891" r:id="rId10889" tooltip="🔗 Ver Mapa" display="🔗 Ver Mapa"/>
    <hyperlink ref="L10892" r:id="rId10890" tooltip="🔗 Ver Mapa" display="🔗 Ver Mapa"/>
    <hyperlink ref="L10893" r:id="rId10891" tooltip="🔗 Ver Mapa" display="🔗 Ver Mapa"/>
    <hyperlink ref="L10894" r:id="rId10892" tooltip="🔗 Ver Mapa" display="🔗 Ver Mapa"/>
    <hyperlink ref="L10895" r:id="rId10893" tooltip="🔗 Ver Mapa" display="🔗 Ver Mapa"/>
    <hyperlink ref="L10896" r:id="rId10894" tooltip="🔗 Ver Mapa" display="🔗 Ver Mapa"/>
    <hyperlink ref="L10897" r:id="rId10895" tooltip="🔗 Ver Mapa" display="🔗 Ver Mapa"/>
    <hyperlink ref="L10898" r:id="rId10896" tooltip="🔗 Ver Mapa" display="🔗 Ver Mapa"/>
    <hyperlink ref="L10899" r:id="rId10897" tooltip="🔗 Ver Mapa" display="🔗 Ver Mapa"/>
    <hyperlink ref="L10900" r:id="rId10898" tooltip="🔗 Ver Mapa" display="🔗 Ver Mapa"/>
    <hyperlink ref="L10901" r:id="rId10899" tooltip="🔗 Ver Mapa" display="🔗 Ver Mapa"/>
    <hyperlink ref="L10902" r:id="rId10900" tooltip="🔗 Ver Mapa" display="🔗 Ver Mapa"/>
    <hyperlink ref="L10903" r:id="rId10901" tooltip="🔗 Ver Mapa" display="🔗 Ver Mapa"/>
    <hyperlink ref="L10904" r:id="rId10902" tooltip="🔗 Ver Mapa" display="🔗 Ver Mapa"/>
    <hyperlink ref="L10905" r:id="rId10903" tooltip="🔗 Ver Mapa" display="🔗 Ver Mapa"/>
    <hyperlink ref="L10906" r:id="rId10904" tooltip="🔗 Ver Mapa" display="🔗 Ver Mapa"/>
    <hyperlink ref="L10907" r:id="rId10905" tooltip="🔗 Ver Mapa" display="🔗 Ver Mapa"/>
    <hyperlink ref="L10908" r:id="rId10906" tooltip="🔗 Ver Mapa" display="🔗 Ver Mapa"/>
    <hyperlink ref="L10909" r:id="rId10907" tooltip="🔗 Ver Mapa" display="🔗 Ver Mapa"/>
    <hyperlink ref="L10910" r:id="rId10908" tooltip="🔗 Ver Mapa" display="🔗 Ver Mapa"/>
    <hyperlink ref="L10911" r:id="rId10909" tooltip="🔗 Ver Mapa" display="🔗 Ver Mapa"/>
    <hyperlink ref="L10912" r:id="rId10910" tooltip="🔗 Ver Mapa" display="🔗 Ver Mapa"/>
    <hyperlink ref="L10913" r:id="rId10911" tooltip="🔗 Ver Mapa" display="🔗 Ver Mapa"/>
    <hyperlink ref="L10914" r:id="rId10912" tooltip="🔗 Ver Mapa" display="🔗 Ver Mapa"/>
    <hyperlink ref="L10915" r:id="rId10913" tooltip="🔗 Ver Mapa" display="🔗 Ver Mapa"/>
    <hyperlink ref="L10916" r:id="rId10914" tooltip="🔗 Ver Mapa" display="🔗 Ver Mapa"/>
    <hyperlink ref="L10917" r:id="rId10915" tooltip="🔗 Ver Mapa" display="🔗 Ver Mapa"/>
    <hyperlink ref="L10918" r:id="rId10916" tooltip="🔗 Ver Mapa" display="🔗 Ver Mapa"/>
    <hyperlink ref="L10919" r:id="rId10917" tooltip="🔗 Ver Mapa" display="🔗 Ver Mapa"/>
    <hyperlink ref="L10920" r:id="rId10918" tooltip="🔗 Ver Mapa" display="🔗 Ver Mapa"/>
    <hyperlink ref="L10921" r:id="rId10919" tooltip="🔗 Ver Mapa" display="🔗 Ver Mapa"/>
    <hyperlink ref="L10922" r:id="rId10920" tooltip="🔗 Ver Mapa" display="🔗 Ver Mapa"/>
    <hyperlink ref="L10923" r:id="rId10921" tooltip="🔗 Ver Mapa" display="🔗 Ver Mapa"/>
    <hyperlink ref="L10924" r:id="rId10922" tooltip="🔗 Ver Mapa" display="🔗 Ver Mapa"/>
    <hyperlink ref="L10925" r:id="rId10923" tooltip="🔗 Ver Mapa" display="🔗 Ver Mapa"/>
    <hyperlink ref="L10926" r:id="rId10924" tooltip="🔗 Ver Mapa" display="🔗 Ver Mapa"/>
    <hyperlink ref="L10927" r:id="rId10925" tooltip="🔗 Ver Mapa" display="🔗 Ver Mapa"/>
    <hyperlink ref="L10928" r:id="rId10926" tooltip="🔗 Ver Mapa" display="🔗 Ver Mapa"/>
    <hyperlink ref="L10929" r:id="rId10927" tooltip="🔗 Ver Mapa" display="🔗 Ver Mapa"/>
    <hyperlink ref="L10930" r:id="rId10928" tooltip="🔗 Ver Mapa" display="🔗 Ver Mapa"/>
    <hyperlink ref="L10931" r:id="rId10929" tooltip="🔗 Ver Mapa" display="🔗 Ver Mapa"/>
    <hyperlink ref="L10932" r:id="rId10930" tooltip="🔗 Ver Mapa" display="🔗 Ver Mapa"/>
    <hyperlink ref="L10933" r:id="rId10931" tooltip="🔗 Ver Mapa" display="🔗 Ver Mapa"/>
    <hyperlink ref="L10934" r:id="rId10932" tooltip="🔗 Ver Mapa" display="🔗 Ver Mapa"/>
    <hyperlink ref="L10935" r:id="rId10933" tooltip="🔗 Ver Mapa" display="🔗 Ver Mapa"/>
    <hyperlink ref="L10936" r:id="rId10934" tooltip="🔗 Ver Mapa" display="🔗 Ver Mapa"/>
    <hyperlink ref="L10937" r:id="rId10935" tooltip="🔗 Ver Mapa" display="🔗 Ver Mapa"/>
    <hyperlink ref="L10938" r:id="rId10936" tooltip="🔗 Ver Mapa" display="🔗 Ver Mapa"/>
    <hyperlink ref="L10939" r:id="rId10937" tooltip="🔗 Ver Mapa" display="🔗 Ver Mapa"/>
    <hyperlink ref="L10940" r:id="rId10938" tooltip="🔗 Ver Mapa" display="🔗 Ver Mapa"/>
    <hyperlink ref="L10941" r:id="rId10939" tooltip="🔗 Ver Mapa" display="🔗 Ver Mapa"/>
    <hyperlink ref="L10942" r:id="rId10940" tooltip="🔗 Ver Mapa" display="🔗 Ver Mapa"/>
    <hyperlink ref="L10943" r:id="rId10941" tooltip="🔗 Ver Mapa" display="🔗 Ver Mapa"/>
    <hyperlink ref="L10944" r:id="rId10942" tooltip="🔗 Ver Mapa" display="🔗 Ver Mapa"/>
    <hyperlink ref="L10945" r:id="rId10943" tooltip="🔗 Ver Mapa" display="🔗 Ver Mapa"/>
    <hyperlink ref="L10946" r:id="rId10944" tooltip="🔗 Ver Mapa" display="🔗 Ver Mapa"/>
    <hyperlink ref="L10947" r:id="rId10945" tooltip="🔗 Ver Mapa" display="🔗 Ver Mapa"/>
    <hyperlink ref="L10948" r:id="rId10946" tooltip="🔗 Ver Mapa" display="🔗 Ver Mapa"/>
    <hyperlink ref="L10949" r:id="rId10947" tooltip="🔗 Ver Mapa" display="🔗 Ver Mapa"/>
    <hyperlink ref="L10950" r:id="rId10948" tooltip="🔗 Ver Mapa" display="🔗 Ver Mapa"/>
    <hyperlink ref="L10951" r:id="rId10949" tooltip="🔗 Ver Mapa" display="🔗 Ver Mapa"/>
    <hyperlink ref="L10952" r:id="rId10950" tooltip="🔗 Ver Mapa" display="🔗 Ver Mapa"/>
    <hyperlink ref="L10953" r:id="rId10951" tooltip="🔗 Ver Mapa" display="🔗 Ver Mapa"/>
    <hyperlink ref="L10954" r:id="rId10952" tooltip="🔗 Ver Mapa" display="🔗 Ver Mapa"/>
    <hyperlink ref="L10955" r:id="rId10953" tooltip="🔗 Ver Mapa" display="🔗 Ver Mapa"/>
    <hyperlink ref="L10956" r:id="rId10954" tooltip="🔗 Ver Mapa" display="🔗 Ver Mapa"/>
    <hyperlink ref="L10957" r:id="rId10955" tooltip="🔗 Ver Mapa" display="🔗 Ver Mapa"/>
    <hyperlink ref="L10958" r:id="rId10956" tooltip="🔗 Ver Mapa" display="🔗 Ver Mapa"/>
    <hyperlink ref="L10959" r:id="rId10957" tooltip="🔗 Ver Mapa" display="🔗 Ver Mapa"/>
    <hyperlink ref="L10960" r:id="rId10958" tooltip="🔗 Ver Mapa" display="🔗 Ver Mapa"/>
    <hyperlink ref="L10961" r:id="rId10959" tooltip="🔗 Ver Mapa" display="🔗 Ver Mapa"/>
    <hyperlink ref="L10962" r:id="rId10960" tooltip="🔗 Ver Mapa" display="🔗 Ver Mapa"/>
    <hyperlink ref="L10963" r:id="rId10961" tooltip="🔗 Ver Mapa" display="🔗 Ver Mapa"/>
    <hyperlink ref="L10964" r:id="rId10962" tooltip="🔗 Ver Mapa" display="🔗 Ver Mapa"/>
    <hyperlink ref="L10965" r:id="rId10963" tooltip="🔗 Ver Mapa" display="🔗 Ver Mapa"/>
    <hyperlink ref="L10966" r:id="rId10964" tooltip="🔗 Ver Mapa" display="🔗 Ver Mapa"/>
    <hyperlink ref="L10967" r:id="rId10965" tooltip="🔗 Ver Mapa" display="🔗 Ver Mapa"/>
    <hyperlink ref="L10968" r:id="rId10966" tooltip="🔗 Ver Mapa" display="🔗 Ver Mapa"/>
    <hyperlink ref="L10969" r:id="rId10967" tooltip="🔗 Ver Mapa" display="🔗 Ver Mapa"/>
    <hyperlink ref="L10970" r:id="rId10968" tooltip="🔗 Ver Mapa" display="🔗 Ver Mapa"/>
    <hyperlink ref="L10971" r:id="rId10969" tooltip="🔗 Ver Mapa" display="🔗 Ver Mapa"/>
    <hyperlink ref="L10972" r:id="rId10970" tooltip="🔗 Ver Mapa" display="🔗 Ver Mapa"/>
    <hyperlink ref="L10973" r:id="rId10971" tooltip="🔗 Ver Mapa" display="🔗 Ver Mapa"/>
    <hyperlink ref="L10974" r:id="rId10972" tooltip="🔗 Ver Mapa" display="🔗 Ver Mapa"/>
    <hyperlink ref="L10975" r:id="rId10973" tooltip="🔗 Ver Mapa" display="🔗 Ver Mapa"/>
    <hyperlink ref="L10976" r:id="rId10974" tooltip="🔗 Ver Mapa" display="🔗 Ver Mapa"/>
    <hyperlink ref="L10977" r:id="rId10975" tooltip="🔗 Ver Mapa" display="🔗 Ver Mapa"/>
    <hyperlink ref="L10978" r:id="rId10976" tooltip="🔗 Ver Mapa" display="🔗 Ver Mapa"/>
    <hyperlink ref="L10979" r:id="rId10977" tooltip="🔗 Ver Mapa" display="🔗 Ver Mapa"/>
    <hyperlink ref="L10980" r:id="rId10978" tooltip="🔗 Ver Mapa" display="🔗 Ver Mapa"/>
    <hyperlink ref="L10981" r:id="rId10979" tooltip="🔗 Ver Mapa" display="🔗 Ver Mapa"/>
    <hyperlink ref="L10982" r:id="rId10980" tooltip="🔗 Ver Mapa" display="🔗 Ver Mapa"/>
    <hyperlink ref="L10983" r:id="rId10981" tooltip="🔗 Ver Mapa" display="🔗 Ver Mapa"/>
    <hyperlink ref="L10984" r:id="rId10982" tooltip="🔗 Ver Mapa" display="🔗 Ver Mapa"/>
    <hyperlink ref="L10985" r:id="rId10983" tooltip="🔗 Ver Mapa" display="🔗 Ver Mapa"/>
    <hyperlink ref="L10986" r:id="rId10984" tooltip="🔗 Ver Mapa" display="🔗 Ver Mapa"/>
    <hyperlink ref="L10987" r:id="rId10985" tooltip="🔗 Ver Mapa" display="🔗 Ver Mapa"/>
    <hyperlink ref="L10988" r:id="rId10986" tooltip="🔗 Ver Mapa" display="🔗 Ver Mapa"/>
    <hyperlink ref="L10989" r:id="rId10987" tooltip="🔗 Ver Mapa" display="🔗 Ver Mapa"/>
    <hyperlink ref="L10990" r:id="rId10988" tooltip="🔗 Ver Mapa" display="🔗 Ver Mapa"/>
    <hyperlink ref="L10991" r:id="rId10989" tooltip="🔗 Ver Mapa" display="🔗 Ver Mapa"/>
    <hyperlink ref="L10992" r:id="rId10990" tooltip="🔗 Ver Mapa" display="🔗 Ver Mapa"/>
    <hyperlink ref="L10993" r:id="rId10991" tooltip="🔗 Ver Mapa" display="🔗 Ver Mapa"/>
    <hyperlink ref="L10994" r:id="rId10992" tooltip="🔗 Ver Mapa" display="🔗 Ver Mapa"/>
    <hyperlink ref="L10995" r:id="rId10993" tooltip="🔗 Ver Mapa" display="🔗 Ver Mapa"/>
    <hyperlink ref="L10996" r:id="rId10994" tooltip="🔗 Ver Mapa" display="🔗 Ver Mapa"/>
    <hyperlink ref="L10997" r:id="rId10995" tooltip="🔗 Ver Mapa" display="🔗 Ver Mapa"/>
    <hyperlink ref="L10998" r:id="rId10996" tooltip="🔗 Ver Mapa" display="🔗 Ver Mapa"/>
    <hyperlink ref="L10999" r:id="rId10997" tooltip="🔗 Ver Mapa" display="🔗 Ver Mapa"/>
    <hyperlink ref="L11000" r:id="rId10998" tooltip="🔗 Ver Mapa" display="🔗 Ver Mapa"/>
    <hyperlink ref="L11001" r:id="rId10999" tooltip="🔗 Ver Mapa" display="🔗 Ver Mapa"/>
    <hyperlink ref="L11002" r:id="rId11000" tooltip="🔗 Ver Mapa" display="🔗 Ver Mapa"/>
    <hyperlink ref="L11003" r:id="rId11001" tooltip="🔗 Ver Mapa" display="🔗 Ver Mapa"/>
    <hyperlink ref="L11004" r:id="rId11002" tooltip="🔗 Ver Mapa" display="🔗 Ver Mapa"/>
    <hyperlink ref="L11005" r:id="rId11003" tooltip="🔗 Ver Mapa" display="🔗 Ver Mapa"/>
    <hyperlink ref="L11006" r:id="rId11004" tooltip="🔗 Ver Mapa" display="🔗 Ver Mapa"/>
    <hyperlink ref="L11007" r:id="rId11005" tooltip="🔗 Ver Mapa" display="🔗 Ver Mapa"/>
    <hyperlink ref="L11008" r:id="rId11006" tooltip="🔗 Ver Mapa" display="🔗 Ver Mapa"/>
    <hyperlink ref="L11009" r:id="rId11007" tooltip="🔗 Ver Mapa" display="🔗 Ver Mapa"/>
    <hyperlink ref="L11010" r:id="rId11008" tooltip="🔗 Ver Mapa" display="🔗 Ver Mapa"/>
    <hyperlink ref="L11011" r:id="rId11009" tooltip="🔗 Ver Mapa" display="🔗 Ver Mapa"/>
    <hyperlink ref="L11012" r:id="rId11010" tooltip="🔗 Ver Mapa" display="🔗 Ver Mapa"/>
    <hyperlink ref="L11013" r:id="rId11011" tooltip="🔗 Ver Mapa" display="🔗 Ver Mapa"/>
    <hyperlink ref="L11014" r:id="rId11012" tooltip="🔗 Ver Mapa" display="🔗 Ver Mapa"/>
    <hyperlink ref="L11015" r:id="rId11013" tooltip="🔗 Ver Mapa" display="🔗 Ver Mapa"/>
    <hyperlink ref="L11016" r:id="rId11014" tooltip="🔗 Ver Mapa" display="🔗 Ver Mapa"/>
    <hyperlink ref="L11017" r:id="rId11015" tooltip="🔗 Ver Mapa" display="🔗 Ver Mapa"/>
    <hyperlink ref="L11018" r:id="rId11016" tooltip="🔗 Ver Mapa" display="🔗 Ver Mapa"/>
    <hyperlink ref="L11019" r:id="rId11017" tooltip="🔗 Ver Mapa" display="🔗 Ver Mapa"/>
    <hyperlink ref="L11020" r:id="rId11018" tooltip="🔗 Ver Mapa" display="🔗 Ver Mapa"/>
    <hyperlink ref="L11021" r:id="rId11019" tooltip="🔗 Ver Mapa" display="🔗 Ver Mapa"/>
    <hyperlink ref="L11022" r:id="rId11020" tooltip="🔗 Ver Mapa" display="🔗 Ver Mapa"/>
    <hyperlink ref="L11023" r:id="rId11021" tooltip="🔗 Ver Mapa" display="🔗 Ver Mapa"/>
    <hyperlink ref="L11024" r:id="rId11022" tooltip="🔗 Ver Mapa" display="🔗 Ver Mapa"/>
    <hyperlink ref="L11025" r:id="rId11023" tooltip="🔗 Ver Mapa" display="🔗 Ver Mapa"/>
    <hyperlink ref="L11026" r:id="rId11024" tooltip="🔗 Ver Mapa" display="🔗 Ver Mapa"/>
    <hyperlink ref="L11027" r:id="rId11025" tooltip="🔗 Ver Mapa" display="🔗 Ver Mapa"/>
    <hyperlink ref="L11028" r:id="rId11026" tooltip="🔗 Ver Mapa" display="🔗 Ver Mapa"/>
    <hyperlink ref="L11029" r:id="rId11027" tooltip="🔗 Ver Mapa" display="🔗 Ver Mapa"/>
    <hyperlink ref="L11030" r:id="rId11028" tooltip="🔗 Ver Mapa" display="🔗 Ver Mapa"/>
    <hyperlink ref="L11031" r:id="rId11029" tooltip="🔗 Ver Mapa" display="🔗 Ver Mapa"/>
    <hyperlink ref="L11032" r:id="rId11030" tooltip="🔗 Ver Mapa" display="🔗 Ver Mapa"/>
    <hyperlink ref="L11033" r:id="rId11031" tooltip="🔗 Ver Mapa" display="🔗 Ver Mapa"/>
    <hyperlink ref="L11034" r:id="rId11032" tooltip="🔗 Ver Mapa" display="🔗 Ver Mapa"/>
    <hyperlink ref="L11035" r:id="rId11033" tooltip="🔗 Ver Mapa" display="🔗 Ver Mapa"/>
    <hyperlink ref="L11036" r:id="rId11034" tooltip="🔗 Ver Mapa" display="🔗 Ver Mapa"/>
    <hyperlink ref="L11037" r:id="rId11035" tooltip="🔗 Ver Mapa" display="🔗 Ver Mapa"/>
    <hyperlink ref="L11038" r:id="rId11036" tooltip="🔗 Ver Mapa" display="🔗 Ver Mapa"/>
    <hyperlink ref="L11039" r:id="rId11037" tooltip="🔗 Ver Mapa" display="🔗 Ver Mapa"/>
    <hyperlink ref="L11040" r:id="rId11038" tooltip="🔗 Ver Mapa" display="🔗 Ver Mapa"/>
    <hyperlink ref="L11041" r:id="rId11039" tooltip="🔗 Ver Mapa" display="🔗 Ver Mapa"/>
    <hyperlink ref="L11042" r:id="rId11040" tooltip="🔗 Ver Mapa" display="🔗 Ver Mapa"/>
    <hyperlink ref="L11043" r:id="rId11041" tooltip="🔗 Ver Mapa" display="🔗 Ver Mapa"/>
    <hyperlink ref="L11044" r:id="rId11042" tooltip="🔗 Ver Mapa" display="🔗 Ver Mapa"/>
    <hyperlink ref="L11045" r:id="rId11043" tooltip="🔗 Ver Mapa" display="🔗 Ver Mapa"/>
    <hyperlink ref="L11046" r:id="rId11044" tooltip="🔗 Ver Mapa" display="🔗 Ver Mapa"/>
    <hyperlink ref="L11047" r:id="rId11045" tooltip="🔗 Ver Mapa" display="🔗 Ver Mapa"/>
    <hyperlink ref="L11048" r:id="rId11046" tooltip="🔗 Ver Mapa" display="🔗 Ver Mapa"/>
    <hyperlink ref="L11049" r:id="rId11047" tooltip="🔗 Ver Mapa" display="🔗 Ver Mapa"/>
    <hyperlink ref="L11050" r:id="rId11048" tooltip="🔗 Ver Mapa" display="🔗 Ver Mapa"/>
    <hyperlink ref="L11051" r:id="rId11049" tooltip="🔗 Ver Mapa" display="🔗 Ver Mapa"/>
    <hyperlink ref="L11052" r:id="rId11050" tooltip="🔗 Ver Mapa" display="🔗 Ver Mapa"/>
    <hyperlink ref="L11053" r:id="rId11051" tooltip="🔗 Ver Mapa" display="🔗 Ver Mapa"/>
    <hyperlink ref="L11054" r:id="rId11052" tooltip="🔗 Ver Mapa" display="🔗 Ver Mapa"/>
    <hyperlink ref="L11055" r:id="rId11053" tooltip="🔗 Ver Mapa" display="🔗 Ver Mapa"/>
    <hyperlink ref="L11056" r:id="rId11054" tooltip="🔗 Ver Mapa" display="🔗 Ver Mapa"/>
    <hyperlink ref="L11057" r:id="rId11055" tooltip="🔗 Ver Mapa" display="🔗 Ver Mapa"/>
    <hyperlink ref="L11058" r:id="rId11056" tooltip="🔗 Ver Mapa" display="🔗 Ver Mapa"/>
    <hyperlink ref="L11059" r:id="rId11057" tooltip="🔗 Ver Mapa" display="🔗 Ver Mapa"/>
    <hyperlink ref="L11060" r:id="rId11058" tooltip="🔗 Ver Mapa" display="🔗 Ver Mapa"/>
    <hyperlink ref="L11061" r:id="rId11059" tooltip="🔗 Ver Mapa" display="🔗 Ver Mapa"/>
    <hyperlink ref="L11062" r:id="rId11060" tooltip="🔗 Ver Mapa" display="🔗 Ver Mapa"/>
    <hyperlink ref="L11063" r:id="rId11061" tooltip="🔗 Ver Mapa" display="🔗 Ver Mapa"/>
    <hyperlink ref="L11064" r:id="rId11062" tooltip="🔗 Ver Mapa" display="🔗 Ver Mapa"/>
    <hyperlink ref="L11065" r:id="rId11063" tooltip="🔗 Ver Mapa" display="🔗 Ver Mapa"/>
    <hyperlink ref="L11066" r:id="rId11064" tooltip="🔗 Ver Mapa" display="🔗 Ver Mapa"/>
    <hyperlink ref="L11067" r:id="rId11065" tooltip="🔗 Ver Mapa" display="🔗 Ver Mapa"/>
    <hyperlink ref="L11068" r:id="rId11066" tooltip="🔗 Ver Mapa" display="🔗 Ver Mapa"/>
    <hyperlink ref="L11069" r:id="rId11067" tooltip="🔗 Ver Mapa" display="🔗 Ver Mapa"/>
    <hyperlink ref="L11070" r:id="rId11068" tooltip="🔗 Ver Mapa" display="🔗 Ver Mapa"/>
    <hyperlink ref="L11071" r:id="rId11069" tooltip="🔗 Ver Mapa" display="🔗 Ver Mapa"/>
    <hyperlink ref="L11072" r:id="rId11070" tooltip="🔗 Ver Mapa" display="🔗 Ver Mapa"/>
    <hyperlink ref="L11073" r:id="rId11071" tooltip="🔗 Ver Mapa" display="🔗 Ver Mapa"/>
    <hyperlink ref="L11074" r:id="rId11072" tooltip="🔗 Ver Mapa" display="🔗 Ver Mapa"/>
    <hyperlink ref="L11075" r:id="rId11073" tooltip="🔗 Ver Mapa" display="🔗 Ver Mapa"/>
    <hyperlink ref="L11076" r:id="rId11074" tooltip="🔗 Ver Mapa" display="🔗 Ver Mapa"/>
    <hyperlink ref="L11077" r:id="rId11075" tooltip="🔗 Ver Mapa" display="🔗 Ver Mapa"/>
    <hyperlink ref="L11078" r:id="rId11076" tooltip="🔗 Ver Mapa" display="🔗 Ver Mapa"/>
    <hyperlink ref="L11079" r:id="rId11077" tooltip="🔗 Ver Mapa" display="🔗 Ver Mapa"/>
    <hyperlink ref="L11080" r:id="rId11078" tooltip="🔗 Ver Mapa" display="🔗 Ver Mapa"/>
    <hyperlink ref="L11081" r:id="rId11079" tooltip="🔗 Ver Mapa" display="🔗 Ver Mapa"/>
    <hyperlink ref="L11082" r:id="rId11080" tooltip="🔗 Ver Mapa" display="🔗 Ver Mapa"/>
    <hyperlink ref="L11083" r:id="rId11081" tooltip="🔗 Ver Mapa" display="🔗 Ver Mapa"/>
    <hyperlink ref="L11084" r:id="rId11082" tooltip="🔗 Ver Mapa" display="🔗 Ver Mapa"/>
    <hyperlink ref="L11085" r:id="rId11083" tooltip="🔗 Ver Mapa" display="🔗 Ver Mapa"/>
    <hyperlink ref="L11086" r:id="rId11084" tooltip="🔗 Ver Mapa" display="🔗 Ver Mapa"/>
    <hyperlink ref="L11087" r:id="rId11085" tooltip="🔗 Ver Mapa" display="🔗 Ver Mapa"/>
    <hyperlink ref="L11088" r:id="rId11086" tooltip="🔗 Ver Mapa" display="🔗 Ver Mapa"/>
    <hyperlink ref="L11089" r:id="rId11087" tooltip="🔗 Ver Mapa" display="🔗 Ver Mapa"/>
    <hyperlink ref="L11090" r:id="rId11088" tooltip="🔗 Ver Mapa" display="🔗 Ver Mapa"/>
    <hyperlink ref="L11091" r:id="rId11089" tooltip="🔗 Ver Mapa" display="🔗 Ver Mapa"/>
    <hyperlink ref="L11092" r:id="rId11090" tooltip="🔗 Ver Mapa" display="🔗 Ver Mapa"/>
    <hyperlink ref="L11093" r:id="rId11091" tooltip="🔗 Ver Mapa" display="🔗 Ver Mapa"/>
    <hyperlink ref="L11094" r:id="rId11092" tooltip="🔗 Ver Mapa" display="🔗 Ver Mapa"/>
    <hyperlink ref="L11095" r:id="rId11093" tooltip="🔗 Ver Mapa" display="🔗 Ver Mapa"/>
    <hyperlink ref="L11096" r:id="rId11094" tooltip="🔗 Ver Mapa" display="🔗 Ver Mapa"/>
    <hyperlink ref="L11097" r:id="rId11095" tooltip="🔗 Ver Mapa" display="🔗 Ver Mapa"/>
    <hyperlink ref="L11098" r:id="rId11096" tooltip="🔗 Ver Mapa" display="🔗 Ver Mapa"/>
    <hyperlink ref="L11099" r:id="rId11097" tooltip="🔗 Ver Mapa" display="🔗 Ver Mapa"/>
    <hyperlink ref="L11100" r:id="rId11098" tooltip="🔗 Ver Mapa" display="🔗 Ver Mapa"/>
    <hyperlink ref="L11101" r:id="rId11099" tooltip="🔗 Ver Mapa" display="🔗 Ver Mapa"/>
    <hyperlink ref="L11102" r:id="rId11100" tooltip="🔗 Ver Mapa" display="🔗 Ver Mapa"/>
    <hyperlink ref="L11103" r:id="rId11101" tooltip="🔗 Ver Mapa" display="🔗 Ver Mapa"/>
    <hyperlink ref="L11104" r:id="rId11102" tooltip="🔗 Ver Mapa" display="🔗 Ver Mapa"/>
    <hyperlink ref="L11105" r:id="rId11103" tooltip="🔗 Ver Mapa" display="🔗 Ver Mapa"/>
    <hyperlink ref="L11106" r:id="rId11104" tooltip="🔗 Ver Mapa" display="🔗 Ver Mapa"/>
    <hyperlink ref="L11107" r:id="rId11105" tooltip="🔗 Ver Mapa" display="🔗 Ver Mapa"/>
    <hyperlink ref="L11108" r:id="rId11106" tooltip="🔗 Ver Mapa" display="🔗 Ver Mapa"/>
    <hyperlink ref="L11109" r:id="rId11107" tooltip="🔗 Ver Mapa" display="🔗 Ver Mapa"/>
    <hyperlink ref="L11110" r:id="rId11108" tooltip="🔗 Ver Mapa" display="🔗 Ver Mapa"/>
    <hyperlink ref="L11111" r:id="rId11109" tooltip="🔗 Ver Mapa" display="🔗 Ver Mapa"/>
    <hyperlink ref="L11112" r:id="rId11110" tooltip="🔗 Ver Mapa" display="🔗 Ver Mapa"/>
    <hyperlink ref="L11113" r:id="rId11111" tooltip="🔗 Ver Mapa" display="🔗 Ver Mapa"/>
    <hyperlink ref="L11114" r:id="rId11112" tooltip="🔗 Ver Mapa" display="🔗 Ver Mapa"/>
    <hyperlink ref="L11115" r:id="rId11113" tooltip="🔗 Ver Mapa" display="🔗 Ver Mapa"/>
    <hyperlink ref="L11116" r:id="rId11114" tooltip="🔗 Ver Mapa" display="🔗 Ver Mapa"/>
    <hyperlink ref="L11117" r:id="rId11115" tooltip="🔗 Ver Mapa" display="🔗 Ver Mapa"/>
    <hyperlink ref="L11118" r:id="rId11116" tooltip="🔗 Ver Mapa" display="🔗 Ver Mapa"/>
    <hyperlink ref="L11119" r:id="rId11117" tooltip="🔗 Ver Mapa" display="🔗 Ver Mapa"/>
    <hyperlink ref="L11120" r:id="rId11118" tooltip="🔗 Ver Mapa" display="🔗 Ver Mapa"/>
    <hyperlink ref="L11121" r:id="rId11119" tooltip="🔗 Ver Mapa" display="🔗 Ver Mapa"/>
    <hyperlink ref="L11122" r:id="rId11120" tooltip="🔗 Ver Mapa" display="🔗 Ver Mapa"/>
    <hyperlink ref="L11123" r:id="rId11121" tooltip="🔗 Ver Mapa" display="🔗 Ver Mapa"/>
    <hyperlink ref="L11124" r:id="rId11122" tooltip="🔗 Ver Mapa" display="🔗 Ver Mapa"/>
    <hyperlink ref="L11125" r:id="rId11123" tooltip="🔗 Ver Mapa" display="🔗 Ver Mapa"/>
    <hyperlink ref="L11126" r:id="rId11124" tooltip="🔗 Ver Mapa" display="🔗 Ver Mapa"/>
    <hyperlink ref="L11127" r:id="rId11125" tooltip="🔗 Ver Mapa" display="🔗 Ver Mapa"/>
    <hyperlink ref="L11128" r:id="rId11126" tooltip="🔗 Ver Mapa" display="🔗 Ver Mapa"/>
    <hyperlink ref="L11129" r:id="rId11127" tooltip="🔗 Ver Mapa" display="🔗 Ver Mapa"/>
    <hyperlink ref="L11130" r:id="rId11128" tooltip="🔗 Ver Mapa" display="🔗 Ver Mapa"/>
    <hyperlink ref="L11131" r:id="rId11129" tooltip="🔗 Ver Mapa" display="🔗 Ver Mapa"/>
    <hyperlink ref="L11132" r:id="rId11130" tooltip="🔗 Ver Mapa" display="🔗 Ver Mapa"/>
    <hyperlink ref="L11133" r:id="rId11131" tooltip="🔗 Ver Mapa" display="🔗 Ver Mapa"/>
    <hyperlink ref="L11134" r:id="rId11132" tooltip="🔗 Ver Mapa" display="🔗 Ver Mapa"/>
    <hyperlink ref="L11135" r:id="rId11133" tooltip="🔗 Ver Mapa" display="🔗 Ver Mapa"/>
    <hyperlink ref="L11136" r:id="rId11134" tooltip="🔗 Ver Mapa" display="🔗 Ver Mapa"/>
    <hyperlink ref="L11137" r:id="rId11135" tooltip="🔗 Ver Mapa" display="🔗 Ver Mapa"/>
    <hyperlink ref="L11138" r:id="rId11136" tooltip="🔗 Ver Mapa" display="🔗 Ver Mapa"/>
    <hyperlink ref="L11139" r:id="rId11137" tooltip="🔗 Ver Mapa" display="🔗 Ver Mapa"/>
    <hyperlink ref="L11140" r:id="rId11138" tooltip="🔗 Ver Mapa" display="🔗 Ver Mapa"/>
    <hyperlink ref="L11141" r:id="rId11139" tooltip="🔗 Ver Mapa" display="🔗 Ver Mapa"/>
    <hyperlink ref="L11142" r:id="rId11140" tooltip="🔗 Ver Mapa" display="🔗 Ver Mapa"/>
    <hyperlink ref="L11143" r:id="rId11141" tooltip="🔗 Ver Mapa" display="🔗 Ver Mapa"/>
    <hyperlink ref="L11144" r:id="rId11142" tooltip="🔗 Ver Mapa" display="🔗 Ver Mapa"/>
    <hyperlink ref="L11145" r:id="rId11143" tooltip="🔗 Ver Mapa" display="🔗 Ver Mapa"/>
    <hyperlink ref="L11146" r:id="rId11144" tooltip="🔗 Ver Mapa" display="🔗 Ver Mapa"/>
    <hyperlink ref="L11147" r:id="rId11145" tooltip="🔗 Ver Mapa" display="🔗 Ver Mapa"/>
    <hyperlink ref="L11148" r:id="rId11146" tooltip="🔗 Ver Mapa" display="🔗 Ver Mapa"/>
    <hyperlink ref="L11149" r:id="rId11147" tooltip="🔗 Ver Mapa" display="🔗 Ver Mapa"/>
    <hyperlink ref="L11150" r:id="rId11148" tooltip="🔗 Ver Mapa" display="🔗 Ver Mapa"/>
    <hyperlink ref="L11151" r:id="rId11149" tooltip="🔗 Ver Mapa" display="🔗 Ver Mapa"/>
    <hyperlink ref="L11152" r:id="rId11150" tooltip="🔗 Ver Mapa" display="🔗 Ver Mapa"/>
    <hyperlink ref="L11153" r:id="rId11151" tooltip="🔗 Ver Mapa" display="🔗 Ver Mapa"/>
    <hyperlink ref="L11154" r:id="rId11152" tooltip="🔗 Ver Mapa" display="🔗 Ver Mapa"/>
    <hyperlink ref="L11155" r:id="rId11153" tooltip="🔗 Ver Mapa" display="🔗 Ver Mapa"/>
    <hyperlink ref="L11156" r:id="rId11154" tooltip="🔗 Ver Mapa" display="🔗 Ver Mapa"/>
    <hyperlink ref="L11157" r:id="rId11155" tooltip="🔗 Ver Mapa" display="🔗 Ver Mapa"/>
    <hyperlink ref="L11158" r:id="rId11156" tooltip="🔗 Ver Mapa" display="🔗 Ver Mapa"/>
    <hyperlink ref="L11159" r:id="rId11157" tooltip="🔗 Ver Mapa" display="🔗 Ver Mapa"/>
    <hyperlink ref="L11160" r:id="rId11158" tooltip="🔗 Ver Mapa" display="🔗 Ver Mapa"/>
    <hyperlink ref="L11161" r:id="rId11159" tooltip="🔗 Ver Mapa" display="🔗 Ver Mapa"/>
    <hyperlink ref="L11162" r:id="rId11160" tooltip="🔗 Ver Mapa" display="🔗 Ver Mapa"/>
    <hyperlink ref="L11163" r:id="rId11161" tooltip="🔗 Ver Mapa" display="🔗 Ver Mapa"/>
    <hyperlink ref="L11164" r:id="rId11162" tooltip="🔗 Ver Mapa" display="🔗 Ver Mapa"/>
    <hyperlink ref="L11165" r:id="rId11163" tooltip="🔗 Ver Mapa" display="🔗 Ver Mapa"/>
    <hyperlink ref="L11166" r:id="rId11164" tooltip="🔗 Ver Mapa" display="🔗 Ver Mapa"/>
    <hyperlink ref="L11167" r:id="rId11165" tooltip="🔗 Ver Mapa" display="🔗 Ver Mapa"/>
    <hyperlink ref="L11168" r:id="rId11166" tooltip="🔗 Ver Mapa" display="🔗 Ver Mapa"/>
    <hyperlink ref="L11169" r:id="rId11167" tooltip="🔗 Ver Mapa" display="🔗 Ver Mapa"/>
    <hyperlink ref="L11170" r:id="rId11168" tooltip="🔗 Ver Mapa" display="🔗 Ver Mapa"/>
    <hyperlink ref="L11171" r:id="rId11169" tooltip="🔗 Ver Mapa" display="🔗 Ver Mapa"/>
    <hyperlink ref="L11172" r:id="rId11170" tooltip="🔗 Ver Mapa" display="🔗 Ver Mapa"/>
    <hyperlink ref="L11173" r:id="rId11171" tooltip="🔗 Ver Mapa" display="🔗 Ver Mapa"/>
    <hyperlink ref="L11174" r:id="rId11172" tooltip="🔗 Ver Mapa" display="🔗 Ver Mapa"/>
    <hyperlink ref="L11175" r:id="rId11173" tooltip="🔗 Ver Mapa" display="🔗 Ver Mapa"/>
    <hyperlink ref="L11176" r:id="rId11174" tooltip="🔗 Ver Mapa" display="🔗 Ver Mapa"/>
    <hyperlink ref="L11177" r:id="rId11175" tooltip="🔗 Ver Mapa" display="🔗 Ver Mapa"/>
    <hyperlink ref="L11178" r:id="rId11176" tooltip="🔗 Ver Mapa" display="🔗 Ver Mapa"/>
    <hyperlink ref="L11179" r:id="rId11177" tooltip="🔗 Ver Mapa" display="🔗 Ver Mapa"/>
    <hyperlink ref="L11180" r:id="rId11178" tooltip="🔗 Ver Mapa" display="🔗 Ver Mapa"/>
    <hyperlink ref="L11181" r:id="rId11179" tooltip="🔗 Ver Mapa" display="🔗 Ver Mapa"/>
    <hyperlink ref="L11182" r:id="rId11180" tooltip="🔗 Ver Mapa" display="🔗 Ver Mapa"/>
    <hyperlink ref="L11183" r:id="rId11181" tooltip="🔗 Ver Mapa" display="🔗 Ver Mapa"/>
    <hyperlink ref="L11184" r:id="rId11182" tooltip="🔗 Ver Mapa" display="🔗 Ver Mapa"/>
    <hyperlink ref="L11185" r:id="rId11183" tooltip="🔗 Ver Mapa" display="🔗 Ver Mapa"/>
    <hyperlink ref="L11186" r:id="rId11184" tooltip="🔗 Ver Mapa" display="🔗 Ver Mapa"/>
    <hyperlink ref="L11187" r:id="rId11185" tooltip="🔗 Ver Mapa" display="🔗 Ver Mapa"/>
    <hyperlink ref="L11188" r:id="rId11186" tooltip="🔗 Ver Mapa" display="🔗 Ver Mapa"/>
    <hyperlink ref="L11189" r:id="rId11187" tooltip="🔗 Ver Mapa" display="🔗 Ver Mapa"/>
    <hyperlink ref="L11190" r:id="rId11188" tooltip="🔗 Ver Mapa" display="🔗 Ver Mapa"/>
    <hyperlink ref="L11191" r:id="rId11189" tooltip="🔗 Ver Mapa" display="🔗 Ver Mapa"/>
    <hyperlink ref="L11192" r:id="rId11190" tooltip="🔗 Ver Mapa" display="🔗 Ver Mapa"/>
    <hyperlink ref="L11193" r:id="rId11191" tooltip="🔗 Ver Mapa" display="🔗 Ver Mapa"/>
    <hyperlink ref="L11194" r:id="rId11192" tooltip="🔗 Ver Mapa" display="🔗 Ver Mapa"/>
    <hyperlink ref="L11195" r:id="rId11193" tooltip="🔗 Ver Mapa" display="🔗 Ver Mapa"/>
    <hyperlink ref="L11196" r:id="rId11194" tooltip="🔗 Ver Mapa" display="🔗 Ver Mapa"/>
    <hyperlink ref="L11197" r:id="rId11195" tooltip="🔗 Ver Mapa" display="🔗 Ver Mapa"/>
    <hyperlink ref="L11198" r:id="rId11196" tooltip="🔗 Ver Mapa" display="🔗 Ver Mapa"/>
    <hyperlink ref="L11199" r:id="rId11197" tooltip="🔗 Ver Mapa" display="🔗 Ver Mapa"/>
    <hyperlink ref="L11200" r:id="rId11198" tooltip="🔗 Ver Mapa" display="🔗 Ver Mapa"/>
    <hyperlink ref="L11201" r:id="rId11199" tooltip="🔗 Ver Mapa" display="🔗 Ver Mapa"/>
    <hyperlink ref="L11202" r:id="rId11200" tooltip="🔗 Ver Mapa" display="🔗 Ver Mapa"/>
    <hyperlink ref="L11203" r:id="rId11201" tooltip="🔗 Ver Mapa" display="🔗 Ver Mapa"/>
    <hyperlink ref="L11204" r:id="rId11202" tooltip="🔗 Ver Mapa" display="🔗 Ver Mapa"/>
    <hyperlink ref="L11205" r:id="rId11203" tooltip="🔗 Ver Mapa" display="🔗 Ver Mapa"/>
    <hyperlink ref="L11206" r:id="rId11204" tooltip="🔗 Ver Mapa" display="🔗 Ver Mapa"/>
    <hyperlink ref="L11207" r:id="rId11205" tooltip="🔗 Ver Mapa" display="🔗 Ver Mapa"/>
    <hyperlink ref="L11208" r:id="rId11206" tooltip="🔗 Ver Mapa" display="🔗 Ver Mapa"/>
    <hyperlink ref="L11209" r:id="rId11207" tooltip="🔗 Ver Mapa" display="🔗 Ver Mapa"/>
    <hyperlink ref="L11210" r:id="rId11208" tooltip="🔗 Ver Mapa" display="🔗 Ver Mapa"/>
    <hyperlink ref="L11211" r:id="rId11209" tooltip="🔗 Ver Mapa" display="🔗 Ver Mapa"/>
    <hyperlink ref="L11212" r:id="rId11210" tooltip="🔗 Ver Mapa" display="🔗 Ver Mapa"/>
    <hyperlink ref="L11213" r:id="rId11211" tooltip="🔗 Ver Mapa" display="🔗 Ver Mapa"/>
    <hyperlink ref="L11214" r:id="rId11212" tooltip="🔗 Ver Mapa" display="🔗 Ver Mapa"/>
    <hyperlink ref="L11215" r:id="rId11213" tooltip="🔗 Ver Mapa" display="🔗 Ver Mapa"/>
    <hyperlink ref="L11216" r:id="rId11214" tooltip="🔗 Ver Mapa" display="🔗 Ver Mapa"/>
    <hyperlink ref="L11217" r:id="rId11215" tooltip="🔗 Ver Mapa" display="🔗 Ver Mapa"/>
    <hyperlink ref="L11218" r:id="rId11216" tooltip="🔗 Ver Mapa" display="🔗 Ver Mapa"/>
    <hyperlink ref="L11219" r:id="rId11217" tooltip="🔗 Ver Mapa" display="🔗 Ver Mapa"/>
    <hyperlink ref="L11220" r:id="rId11218" tooltip="🔗 Ver Mapa" display="🔗 Ver Mapa"/>
    <hyperlink ref="L11221" r:id="rId11219" tooltip="🔗 Ver Mapa" display="🔗 Ver Mapa"/>
    <hyperlink ref="L11222" r:id="rId11220" tooltip="🔗 Ver Mapa" display="🔗 Ver Mapa"/>
    <hyperlink ref="L11223" r:id="rId11221" tooltip="🔗 Ver Mapa" display="🔗 Ver Mapa"/>
    <hyperlink ref="L11224" r:id="rId11222" tooltip="🔗 Ver Mapa" display="🔗 Ver Mapa"/>
    <hyperlink ref="L11225" r:id="rId11223" tooltip="🔗 Ver Mapa" display="🔗 Ver Mapa"/>
    <hyperlink ref="L11226" r:id="rId11224" tooltip="🔗 Ver Mapa" display="🔗 Ver Mapa"/>
    <hyperlink ref="L11227" r:id="rId11225" tooltip="🔗 Ver Mapa" display="🔗 Ver Mapa"/>
    <hyperlink ref="L11228" r:id="rId11226" tooltip="🔗 Ver Mapa" display="🔗 Ver Mapa"/>
    <hyperlink ref="L11229" r:id="rId11227" tooltip="🔗 Ver Mapa" display="🔗 Ver Mapa"/>
    <hyperlink ref="L11230" r:id="rId11228" tooltip="🔗 Ver Mapa" display="🔗 Ver Mapa"/>
    <hyperlink ref="L11231" r:id="rId11229" tooltip="🔗 Ver Mapa" display="🔗 Ver Mapa"/>
    <hyperlink ref="L11232" r:id="rId11230" tooltip="🔗 Ver Mapa" display="🔗 Ver Mapa"/>
    <hyperlink ref="L11233" r:id="rId11231" tooltip="🔗 Ver Mapa" display="🔗 Ver Mapa"/>
    <hyperlink ref="L11234" r:id="rId11232" tooltip="🔗 Ver Mapa" display="🔗 Ver Mapa"/>
    <hyperlink ref="L11235" r:id="rId11233" tooltip="🔗 Ver Mapa" display="🔗 Ver Mapa"/>
    <hyperlink ref="L11236" r:id="rId11234" tooltip="🔗 Ver Mapa" display="🔗 Ver Mapa"/>
    <hyperlink ref="L11237" r:id="rId11235" tooltip="🔗 Ver Mapa" display="🔗 Ver Mapa"/>
    <hyperlink ref="L11238" r:id="rId11236" tooltip="🔗 Ver Mapa" display="🔗 Ver Mapa"/>
    <hyperlink ref="L11239" r:id="rId11237" tooltip="🔗 Ver Mapa" display="🔗 Ver Mapa"/>
    <hyperlink ref="L11240" r:id="rId11238" tooltip="🔗 Ver Mapa" display="🔗 Ver Mapa"/>
    <hyperlink ref="L11241" r:id="rId11239" tooltip="🔗 Ver Mapa" display="🔗 Ver Mapa"/>
    <hyperlink ref="L11242" r:id="rId11240" tooltip="🔗 Ver Mapa" display="🔗 Ver Mapa"/>
    <hyperlink ref="L11243" r:id="rId11241" tooltip="🔗 Ver Mapa" display="🔗 Ver Mapa"/>
    <hyperlink ref="L11244" r:id="rId11242" tooltip="🔗 Ver Mapa" display="🔗 Ver Mapa"/>
    <hyperlink ref="L11245" r:id="rId11243" tooltip="🔗 Ver Mapa" display="🔗 Ver Mapa"/>
    <hyperlink ref="L11246" r:id="rId11244" tooltip="🔗 Ver Mapa" display="🔗 Ver Mapa"/>
    <hyperlink ref="L11247" r:id="rId11245" tooltip="🔗 Ver Mapa" display="🔗 Ver Mapa"/>
    <hyperlink ref="L11248" r:id="rId11246" tooltip="🔗 Ver Mapa" display="🔗 Ver Mapa"/>
    <hyperlink ref="L11249" r:id="rId11247" tooltip="🔗 Ver Mapa" display="🔗 Ver Mapa"/>
    <hyperlink ref="L11250" r:id="rId11248" tooltip="🔗 Ver Mapa" display="🔗 Ver Mapa"/>
    <hyperlink ref="L11251" r:id="rId11249" tooltip="🔗 Ver Mapa" display="🔗 Ver Mapa"/>
    <hyperlink ref="L11252" r:id="rId11250" tooltip="🔗 Ver Mapa" display="🔗 Ver Mapa"/>
    <hyperlink ref="L11253" r:id="rId11251" tooltip="🔗 Ver Mapa" display="🔗 Ver Mapa"/>
    <hyperlink ref="L11254" r:id="rId11252" tooltip="🔗 Ver Mapa" display="🔗 Ver Mapa"/>
    <hyperlink ref="L11255" r:id="rId11253" tooltip="🔗 Ver Mapa" display="🔗 Ver Mapa"/>
    <hyperlink ref="L11256" r:id="rId11254" tooltip="🔗 Ver Mapa" display="🔗 Ver Mapa"/>
    <hyperlink ref="L11257" r:id="rId11255" tooltip="🔗 Ver Mapa" display="🔗 Ver Mapa"/>
    <hyperlink ref="L11258" r:id="rId11256" tooltip="🔗 Ver Mapa" display="🔗 Ver Mapa"/>
    <hyperlink ref="L11259" r:id="rId11257" tooltip="🔗 Ver Mapa" display="🔗 Ver Mapa"/>
    <hyperlink ref="L11260" r:id="rId11258" tooltip="🔗 Ver Mapa" display="🔗 Ver Mapa"/>
    <hyperlink ref="L11261" r:id="rId11259" tooltip="🔗 Ver Mapa" display="🔗 Ver Mapa"/>
    <hyperlink ref="L11262" r:id="rId11260" tooltip="🔗 Ver Mapa" display="🔗 Ver Mapa"/>
    <hyperlink ref="L11263" r:id="rId11261" tooltip="🔗 Ver Mapa" display="🔗 Ver Mapa"/>
    <hyperlink ref="L11264" r:id="rId11262" tooltip="🔗 Ver Mapa" display="🔗 Ver Mapa"/>
    <hyperlink ref="L11265" r:id="rId11263" tooltip="🔗 Ver Mapa" display="🔗 Ver Mapa"/>
    <hyperlink ref="L11266" r:id="rId11264" tooltip="🔗 Ver Mapa" display="🔗 Ver Mapa"/>
    <hyperlink ref="L11267" r:id="rId11265" tooltip="🔗 Ver Mapa" display="🔗 Ver Mapa"/>
    <hyperlink ref="L11268" r:id="rId11266" tooltip="🔗 Ver Mapa" display="🔗 Ver Mapa"/>
    <hyperlink ref="L11269" r:id="rId11267" tooltip="🔗 Ver Mapa" display="🔗 Ver Mapa"/>
    <hyperlink ref="L11270" r:id="rId11268" tooltip="🔗 Ver Mapa" display="🔗 Ver Mapa"/>
    <hyperlink ref="L11271" r:id="rId11269" tooltip="🔗 Ver Mapa" display="🔗 Ver Mapa"/>
    <hyperlink ref="L11272" r:id="rId11270" tooltip="🔗 Ver Mapa" display="🔗 Ver Mapa"/>
    <hyperlink ref="L11273" r:id="rId11271" tooltip="🔗 Ver Mapa" display="🔗 Ver Mapa"/>
    <hyperlink ref="L11274" r:id="rId11272" tooltip="🔗 Ver Mapa" display="🔗 Ver Mapa"/>
    <hyperlink ref="L11275" r:id="rId11273" tooltip="🔗 Ver Mapa" display="🔗 Ver Mapa"/>
    <hyperlink ref="L11276" r:id="rId11274" tooltip="🔗 Ver Mapa" display="🔗 Ver Mapa"/>
    <hyperlink ref="L11277" r:id="rId11275" tooltip="🔗 Ver Mapa" display="🔗 Ver Mapa"/>
    <hyperlink ref="L11278" r:id="rId11276" tooltip="🔗 Ver Mapa" display="🔗 Ver Mapa"/>
    <hyperlink ref="L11279" r:id="rId11277" tooltip="🔗 Ver Mapa" display="🔗 Ver Mapa"/>
    <hyperlink ref="L11280" r:id="rId11278" tooltip="🔗 Ver Mapa" display="🔗 Ver Mapa"/>
    <hyperlink ref="L11281" r:id="rId11279" tooltip="🔗 Ver Mapa" display="🔗 Ver Mapa"/>
    <hyperlink ref="L11282" r:id="rId11280" tooltip="🔗 Ver Mapa" display="🔗 Ver Mapa"/>
    <hyperlink ref="L11283" r:id="rId11281" tooltip="🔗 Ver Mapa" display="🔗 Ver Mapa"/>
    <hyperlink ref="L11284" r:id="rId11282" tooltip="🔗 Ver Mapa" display="🔗 Ver Mapa"/>
    <hyperlink ref="L11285" r:id="rId11283" tooltip="🔗 Ver Mapa" display="🔗 Ver Mapa"/>
    <hyperlink ref="L11286" r:id="rId11284" tooltip="🔗 Ver Mapa" display="🔗 Ver Mapa"/>
    <hyperlink ref="L11287" r:id="rId11285" tooltip="🔗 Ver Mapa" display="🔗 Ver Mapa"/>
    <hyperlink ref="L11288" r:id="rId11286" tooltip="🔗 Ver Mapa" display="🔗 Ver Mapa"/>
    <hyperlink ref="L11289" r:id="rId11287" tooltip="🔗 Ver Mapa" display="🔗 Ver Mapa"/>
    <hyperlink ref="L11290" r:id="rId11288" tooltip="🔗 Ver Mapa" display="🔗 Ver Mapa"/>
    <hyperlink ref="L11291" r:id="rId11289" tooltip="🔗 Ver Mapa" display="🔗 Ver Mapa"/>
    <hyperlink ref="L11292" r:id="rId11290" tooltip="🔗 Ver Mapa" display="🔗 Ver Mapa"/>
    <hyperlink ref="L11293" r:id="rId11291" tooltip="🔗 Ver Mapa" display="🔗 Ver Mapa"/>
    <hyperlink ref="L11294" r:id="rId11292" tooltip="🔗 Ver Mapa" display="🔗 Ver Mapa"/>
    <hyperlink ref="L11295" r:id="rId11293" tooltip="🔗 Ver Mapa" display="🔗 Ver Mapa"/>
    <hyperlink ref="L11296" r:id="rId11294" tooltip="🔗 Ver Mapa" display="🔗 Ver Mapa"/>
    <hyperlink ref="L11297" r:id="rId11295" tooltip="🔗 Ver Mapa" display="🔗 Ver Mapa"/>
    <hyperlink ref="L11298" r:id="rId11296" tooltip="🔗 Ver Mapa" display="🔗 Ver Mapa"/>
    <hyperlink ref="L11299" r:id="rId11297" tooltip="🔗 Ver Mapa" display="🔗 Ver Mapa"/>
    <hyperlink ref="L11300" r:id="rId11298" tooltip="🔗 Ver Mapa" display="🔗 Ver Mapa"/>
    <hyperlink ref="L11301" r:id="rId11299" tooltip="🔗 Ver Mapa" display="🔗 Ver Mapa"/>
    <hyperlink ref="L11302" r:id="rId11300" tooltip="🔗 Ver Mapa" display="🔗 Ver Mapa"/>
    <hyperlink ref="L11303" r:id="rId11301" tooltip="🔗 Ver Mapa" display="🔗 Ver Mapa"/>
    <hyperlink ref="L11304" r:id="rId11302" tooltip="🔗 Ver Mapa" display="🔗 Ver Mapa"/>
    <hyperlink ref="L11305" r:id="rId11303" tooltip="🔗 Ver Mapa" display="🔗 Ver Mapa"/>
    <hyperlink ref="L11306" r:id="rId11304" tooltip="🔗 Ver Mapa" display="🔗 Ver Mapa"/>
    <hyperlink ref="L11307" r:id="rId11305" tooltip="🔗 Ver Mapa" display="🔗 Ver Mapa"/>
    <hyperlink ref="L11308" r:id="rId11306" tooltip="🔗 Ver Mapa" display="🔗 Ver Mapa"/>
    <hyperlink ref="L11309" r:id="rId11307" tooltip="🔗 Ver Mapa" display="🔗 Ver Mapa"/>
    <hyperlink ref="L11310" r:id="rId11308" tooltip="🔗 Ver Mapa" display="🔗 Ver Mapa"/>
    <hyperlink ref="L11311" r:id="rId11309" tooltip="🔗 Ver Mapa" display="🔗 Ver Mapa"/>
    <hyperlink ref="L11312" r:id="rId11310" tooltip="🔗 Ver Mapa" display="🔗 Ver Mapa"/>
    <hyperlink ref="L11313" r:id="rId11311" tooltip="🔗 Ver Mapa" display="🔗 Ver Mapa"/>
    <hyperlink ref="L11314" r:id="rId11312" tooltip="🔗 Ver Mapa" display="🔗 Ver Mapa"/>
    <hyperlink ref="L11315" r:id="rId11313" tooltip="🔗 Ver Mapa" display="🔗 Ver Mapa"/>
    <hyperlink ref="L11316" r:id="rId11314" tooltip="🔗 Ver Mapa" display="🔗 Ver Mapa"/>
    <hyperlink ref="L11317" r:id="rId11315" tooltip="🔗 Ver Mapa" display="🔗 Ver Mapa"/>
    <hyperlink ref="L11318" r:id="rId11316" tooltip="🔗 Ver Mapa" display="🔗 Ver Mapa"/>
    <hyperlink ref="L11319" r:id="rId11317" tooltip="🔗 Ver Mapa" display="🔗 Ver Mapa"/>
    <hyperlink ref="L11320" r:id="rId11318" tooltip="🔗 Ver Mapa" display="🔗 Ver Mapa"/>
    <hyperlink ref="L11321" r:id="rId11319" tooltip="🔗 Ver Mapa" display="🔗 Ver Mapa"/>
    <hyperlink ref="L11322" r:id="rId11320" tooltip="🔗 Ver Mapa" display="🔗 Ver Mapa"/>
    <hyperlink ref="L11323" r:id="rId11321" tooltip="🔗 Ver Mapa" display="🔗 Ver Mapa"/>
    <hyperlink ref="L11324" r:id="rId11322" tooltip="🔗 Ver Mapa" display="🔗 Ver Mapa"/>
    <hyperlink ref="L11325" r:id="rId11323" tooltip="🔗 Ver Mapa" display="🔗 Ver Mapa"/>
    <hyperlink ref="L11326" r:id="rId11324" tooltip="🔗 Ver Mapa" display="🔗 Ver Mapa"/>
    <hyperlink ref="L11327" r:id="rId11325" tooltip="🔗 Ver Mapa" display="🔗 Ver Mapa"/>
    <hyperlink ref="L11328" r:id="rId11326" tooltip="🔗 Ver Mapa" display="🔗 Ver Mapa"/>
    <hyperlink ref="L11329" r:id="rId11327" tooltip="🔗 Ver Mapa" display="🔗 Ver Mapa"/>
    <hyperlink ref="L11330" r:id="rId11328" tooltip="🔗 Ver Mapa" display="🔗 Ver Mapa"/>
    <hyperlink ref="L11331" r:id="rId11329" tooltip="🔗 Ver Mapa" display="🔗 Ver Mapa"/>
    <hyperlink ref="L11332" r:id="rId11330" tooltip="🔗 Ver Mapa" display="🔗 Ver Mapa"/>
    <hyperlink ref="L11333" r:id="rId11331" tooltip="🔗 Ver Mapa" display="🔗 Ver Mapa"/>
    <hyperlink ref="L11334" r:id="rId11332" tooltip="🔗 Ver Mapa" display="🔗 Ver Mapa"/>
    <hyperlink ref="L11335" r:id="rId11333" tooltip="🔗 Ver Mapa" display="🔗 Ver Mapa"/>
    <hyperlink ref="L11336" r:id="rId11334" tooltip="🔗 Ver Mapa" display="🔗 Ver Mapa"/>
    <hyperlink ref="L11337" r:id="rId11335" tooltip="🔗 Ver Mapa" display="🔗 Ver Mapa"/>
    <hyperlink ref="L11338" r:id="rId11336" tooltip="🔗 Ver Mapa" display="🔗 Ver Mapa"/>
    <hyperlink ref="L11339" r:id="rId11337" tooltip="🔗 Ver Mapa" display="🔗 Ver Mapa"/>
    <hyperlink ref="L11340" r:id="rId11338" tooltip="🔗 Ver Mapa" display="🔗 Ver Mapa"/>
    <hyperlink ref="L11341" r:id="rId11339" tooltip="🔗 Ver Mapa" display="🔗 Ver Mapa"/>
    <hyperlink ref="L11342" r:id="rId11340" tooltip="🔗 Ver Mapa" display="🔗 Ver Mapa"/>
    <hyperlink ref="L11343" r:id="rId11341" tooltip="🔗 Ver Mapa" display="🔗 Ver Mapa"/>
    <hyperlink ref="L11344" r:id="rId11342" tooltip="🔗 Ver Mapa" display="🔗 Ver Mapa"/>
    <hyperlink ref="L11345" r:id="rId11343" tooltip="🔗 Ver Mapa" display="🔗 Ver Mapa"/>
    <hyperlink ref="L11346" r:id="rId11344" tooltip="🔗 Ver Mapa" display="🔗 Ver Mapa"/>
    <hyperlink ref="L11347" r:id="rId11345" tooltip="🔗 Ver Mapa" display="🔗 Ver Mapa"/>
    <hyperlink ref="L11348" r:id="rId11346" tooltip="🔗 Ver Mapa" display="🔗 Ver Mapa"/>
    <hyperlink ref="L11349" r:id="rId11347" tooltip="🔗 Ver Mapa" display="🔗 Ver Mapa"/>
    <hyperlink ref="L11350" r:id="rId11348" tooltip="🔗 Ver Mapa" display="🔗 Ver Mapa"/>
    <hyperlink ref="L11351" r:id="rId11349" tooltip="🔗 Ver Mapa" display="🔗 Ver Mapa"/>
    <hyperlink ref="L11352" r:id="rId11350" tooltip="🔗 Ver Mapa" display="🔗 Ver Mapa"/>
    <hyperlink ref="L11353" r:id="rId11351" tooltip="🔗 Ver Mapa" display="🔗 Ver Mapa"/>
    <hyperlink ref="L11354" r:id="rId11352" tooltip="🔗 Ver Mapa" display="🔗 Ver Mapa"/>
    <hyperlink ref="L11355" r:id="rId11353" tooltip="🔗 Ver Mapa" display="🔗 Ver Mapa"/>
    <hyperlink ref="L11356" r:id="rId11354" tooltip="🔗 Ver Mapa" display="🔗 Ver Mapa"/>
    <hyperlink ref="L11357" r:id="rId11355" tooltip="🔗 Ver Mapa" display="🔗 Ver Mapa"/>
    <hyperlink ref="L11358" r:id="rId11356" tooltip="🔗 Ver Mapa" display="🔗 Ver Mapa"/>
    <hyperlink ref="L11359" r:id="rId11357" tooltip="🔗 Ver Mapa" display="🔗 Ver Mapa"/>
    <hyperlink ref="L11360" r:id="rId11358" tooltip="🔗 Ver Mapa" display="🔗 Ver Mapa"/>
    <hyperlink ref="L11361" r:id="rId11359" tooltip="🔗 Ver Mapa" display="🔗 Ver Mapa"/>
    <hyperlink ref="L11362" r:id="rId11360" tooltip="🔗 Ver Mapa" display="🔗 Ver Mapa"/>
    <hyperlink ref="L11363" r:id="rId11361" tooltip="🔗 Ver Mapa" display="🔗 Ver Mapa"/>
    <hyperlink ref="L11364" r:id="rId11362" tooltip="🔗 Ver Mapa" display="🔗 Ver Mapa"/>
    <hyperlink ref="L11365" r:id="rId11363" tooltip="🔗 Ver Mapa" display="🔗 Ver Mapa"/>
    <hyperlink ref="L11366" r:id="rId11364" tooltip="🔗 Ver Mapa" display="🔗 Ver Mapa"/>
    <hyperlink ref="L11367" r:id="rId11365" tooltip="🔗 Ver Mapa" display="🔗 Ver Mapa"/>
    <hyperlink ref="L11368" r:id="rId11366" tooltip="🔗 Ver Mapa" display="🔗 Ver Mapa"/>
    <hyperlink ref="L11369" r:id="rId11367" tooltip="🔗 Ver Mapa" display="🔗 Ver Mapa"/>
    <hyperlink ref="L11370" r:id="rId11368" tooltip="🔗 Ver Mapa" display="🔗 Ver Mapa"/>
    <hyperlink ref="L11371" r:id="rId11369" tooltip="🔗 Ver Mapa" display="🔗 Ver Mapa"/>
    <hyperlink ref="L11372" r:id="rId11370" tooltip="🔗 Ver Mapa" display="🔗 Ver Mapa"/>
    <hyperlink ref="L11373" r:id="rId11371" tooltip="🔗 Ver Mapa" display="🔗 Ver Mapa"/>
    <hyperlink ref="L11374" r:id="rId11372" tooltip="🔗 Ver Mapa" display="🔗 Ver Mapa"/>
    <hyperlink ref="L11375" r:id="rId11373" tooltip="🔗 Ver Mapa" display="🔗 Ver Mapa"/>
    <hyperlink ref="L11376" r:id="rId11374" tooltip="🔗 Ver Mapa" display="🔗 Ver Mapa"/>
    <hyperlink ref="L11377" r:id="rId11375" tooltip="🔗 Ver Mapa" display="🔗 Ver Mapa"/>
    <hyperlink ref="L11378" r:id="rId11376" tooltip="🔗 Ver Mapa" display="🔗 Ver Mapa"/>
    <hyperlink ref="L11379" r:id="rId11377" tooltip="🔗 Ver Mapa" display="🔗 Ver Mapa"/>
    <hyperlink ref="L11380" r:id="rId11378" tooltip="🔗 Ver Mapa" display="🔗 Ver Mapa"/>
    <hyperlink ref="L11381" r:id="rId11379" tooltip="🔗 Ver Mapa" display="🔗 Ver Mapa"/>
    <hyperlink ref="L11382" r:id="rId11380" tooltip="🔗 Ver Mapa" display="🔗 Ver Mapa"/>
    <hyperlink ref="L11383" r:id="rId11381" tooltip="🔗 Ver Mapa" display="🔗 Ver Mapa"/>
    <hyperlink ref="L11384" r:id="rId11382" tooltip="🔗 Ver Mapa" display="🔗 Ver Mapa"/>
    <hyperlink ref="L11385" r:id="rId11383" tooltip="🔗 Ver Mapa" display="🔗 Ver Mapa"/>
    <hyperlink ref="L11386" r:id="rId11384" tooltip="🔗 Ver Mapa" display="🔗 Ver Mapa"/>
    <hyperlink ref="L11387" r:id="rId11385" tooltip="🔗 Ver Mapa" display="🔗 Ver Mapa"/>
    <hyperlink ref="L11388" r:id="rId11386" tooltip="🔗 Ver Mapa" display="🔗 Ver Mapa"/>
    <hyperlink ref="L11389" r:id="rId11387" tooltip="🔗 Ver Mapa" display="🔗 Ver Mapa"/>
    <hyperlink ref="L11390" r:id="rId11388" tooltip="🔗 Ver Mapa" display="🔗 Ver Mapa"/>
    <hyperlink ref="L11391" r:id="rId11389" tooltip="🔗 Ver Mapa" display="🔗 Ver Mapa"/>
    <hyperlink ref="L11392" r:id="rId11390" tooltip="🔗 Ver Mapa" display="🔗 Ver Mapa"/>
    <hyperlink ref="L11393" r:id="rId11391" tooltip="🔗 Ver Mapa" display="🔗 Ver Mapa"/>
    <hyperlink ref="L11394" r:id="rId11392" tooltip="🔗 Ver Mapa" display="🔗 Ver Mapa"/>
    <hyperlink ref="L11395" r:id="rId11393" tooltip="🔗 Ver Mapa" display="🔗 Ver Mapa"/>
    <hyperlink ref="L11396" r:id="rId11394" tooltip="🔗 Ver Mapa" display="🔗 Ver Mapa"/>
    <hyperlink ref="L11397" r:id="rId11395" tooltip="🔗 Ver Mapa" display="🔗 Ver Mapa"/>
    <hyperlink ref="L11398" r:id="rId11396" tooltip="🔗 Ver Mapa" display="🔗 Ver Mapa"/>
    <hyperlink ref="L11399" r:id="rId11397" tooltip="🔗 Ver Mapa" display="🔗 Ver Mapa"/>
    <hyperlink ref="L11400" r:id="rId11398" tooltip="🔗 Ver Mapa" display="🔗 Ver Mapa"/>
    <hyperlink ref="L11401" r:id="rId11399" tooltip="🔗 Ver Mapa" display="🔗 Ver Mapa"/>
    <hyperlink ref="L11402" r:id="rId11400" tooltip="🔗 Ver Mapa" display="🔗 Ver Mapa"/>
    <hyperlink ref="L11403" r:id="rId11401" tooltip="🔗 Ver Mapa" display="🔗 Ver Mapa"/>
    <hyperlink ref="L11404" r:id="rId11402" tooltip="🔗 Ver Mapa" display="🔗 Ver Mapa"/>
    <hyperlink ref="L11405" r:id="rId11403" tooltip="🔗 Ver Mapa" display="🔗 Ver Mapa"/>
    <hyperlink ref="L11406" r:id="rId11404" tooltip="🔗 Ver Mapa" display="🔗 Ver Mapa"/>
    <hyperlink ref="L11407" r:id="rId11405" tooltip="🔗 Ver Mapa" display="🔗 Ver Mapa"/>
    <hyperlink ref="L11408" r:id="rId11406" tooltip="🔗 Ver Mapa" display="🔗 Ver Mapa"/>
    <hyperlink ref="L11409" r:id="rId11407" tooltip="🔗 Ver Mapa" display="🔗 Ver Mapa"/>
    <hyperlink ref="L11410" r:id="rId11408" tooltip="🔗 Ver Mapa" display="🔗 Ver Mapa"/>
    <hyperlink ref="L11411" r:id="rId11409" tooltip="🔗 Ver Mapa" display="🔗 Ver Mapa"/>
    <hyperlink ref="L11412" r:id="rId11410" tooltip="🔗 Ver Mapa" display="🔗 Ver Mapa"/>
    <hyperlink ref="L11413" r:id="rId11411" tooltip="🔗 Ver Mapa" display="🔗 Ver Mapa"/>
    <hyperlink ref="L11414" r:id="rId11412" tooltip="🔗 Ver Mapa" display="🔗 Ver Mapa"/>
    <hyperlink ref="L11415" r:id="rId11413" tooltip="🔗 Ver Mapa" display="🔗 Ver Mapa"/>
    <hyperlink ref="L11416" r:id="rId11414" tooltip="🔗 Ver Mapa" display="🔗 Ver Mapa"/>
    <hyperlink ref="L11417" r:id="rId11415" tooltip="🔗 Ver Mapa" display="🔗 Ver Mapa"/>
    <hyperlink ref="L11418" r:id="rId11416" tooltip="🔗 Ver Mapa" display="🔗 Ver Mapa"/>
    <hyperlink ref="L11419" r:id="rId11417" tooltip="🔗 Ver Mapa" display="🔗 Ver Mapa"/>
    <hyperlink ref="L11420" r:id="rId11418" tooltip="🔗 Ver Mapa" display="🔗 Ver Mapa"/>
    <hyperlink ref="L11421" r:id="rId11419" tooltip="🔗 Ver Mapa" display="🔗 Ver Mapa"/>
    <hyperlink ref="L11422" r:id="rId11420" tooltip="🔗 Ver Mapa" display="🔗 Ver Mapa"/>
    <hyperlink ref="L11423" r:id="rId11421" tooltip="🔗 Ver Mapa" display="🔗 Ver Mapa"/>
    <hyperlink ref="L11424" r:id="rId11422" tooltip="🔗 Ver Mapa" display="🔗 Ver Mapa"/>
    <hyperlink ref="L11425" r:id="rId11423" tooltip="🔗 Ver Mapa" display="🔗 Ver Mapa"/>
    <hyperlink ref="L11426" r:id="rId11424" tooltip="🔗 Ver Mapa" display="🔗 Ver Mapa"/>
    <hyperlink ref="L11427" r:id="rId11425" tooltip="🔗 Ver Mapa" display="🔗 Ver Mapa"/>
    <hyperlink ref="L11428" r:id="rId11426" tooltip="🔗 Ver Mapa" display="🔗 Ver Mapa"/>
    <hyperlink ref="L11429" r:id="rId11427" tooltip="🔗 Ver Mapa" display="🔗 Ver Mapa"/>
    <hyperlink ref="L11430" r:id="rId11428" tooltip="🔗 Ver Mapa" display="🔗 Ver Mapa"/>
    <hyperlink ref="L11431" r:id="rId11429" tooltip="🔗 Ver Mapa" display="🔗 Ver Mapa"/>
    <hyperlink ref="L11432" r:id="rId11430" tooltip="🔗 Ver Mapa" display="🔗 Ver Mapa"/>
    <hyperlink ref="L11433" r:id="rId11431" tooltip="🔗 Ver Mapa" display="🔗 Ver Mapa"/>
    <hyperlink ref="L11434" r:id="rId11432" tooltip="🔗 Ver Mapa" display="🔗 Ver Mapa"/>
    <hyperlink ref="L11435" r:id="rId11433" tooltip="🔗 Ver Mapa" display="🔗 Ver Mapa"/>
    <hyperlink ref="L11436" r:id="rId11434" tooltip="🔗 Ver Mapa" display="🔗 Ver Mapa"/>
    <hyperlink ref="L11437" r:id="rId11435" tooltip="🔗 Ver Mapa" display="🔗 Ver Mapa"/>
    <hyperlink ref="L11438" r:id="rId11436" tooltip="🔗 Ver Mapa" display="🔗 Ver Mapa"/>
    <hyperlink ref="L11439" r:id="rId11437" tooltip="🔗 Ver Mapa" display="🔗 Ver Mapa"/>
    <hyperlink ref="L11440" r:id="rId11438" tooltip="🔗 Ver Mapa" display="🔗 Ver Mapa"/>
    <hyperlink ref="L11441" r:id="rId11439" tooltip="🔗 Ver Mapa" display="🔗 Ver Mapa"/>
    <hyperlink ref="L11442" r:id="rId11440" tooltip="🔗 Ver Mapa" display="🔗 Ver Mapa"/>
    <hyperlink ref="L11443" r:id="rId11441" tooltip="🔗 Ver Mapa" display="🔗 Ver Mapa"/>
    <hyperlink ref="L11444" r:id="rId11442" tooltip="🔗 Ver Mapa" display="🔗 Ver Mapa"/>
    <hyperlink ref="L11445" r:id="rId11443" tooltip="🔗 Ver Mapa" display="🔗 Ver Mapa"/>
    <hyperlink ref="L11446" r:id="rId11444" tooltip="🔗 Ver Mapa" display="🔗 Ver Mapa"/>
    <hyperlink ref="L11447" r:id="rId11445" tooltip="🔗 Ver Mapa" display="🔗 Ver Mapa"/>
    <hyperlink ref="L11448" r:id="rId11446" tooltip="🔗 Ver Mapa" display="🔗 Ver Mapa"/>
    <hyperlink ref="L11449" r:id="rId11447" tooltip="🔗 Ver Mapa" display="🔗 Ver Mapa"/>
    <hyperlink ref="L11450" r:id="rId11448" tooltip="🔗 Ver Mapa" display="🔗 Ver Mapa"/>
    <hyperlink ref="L11451" r:id="rId11449" tooltip="🔗 Ver Mapa" display="🔗 Ver Mapa"/>
    <hyperlink ref="L11452" r:id="rId11450" tooltip="🔗 Ver Mapa" display="🔗 Ver Mapa"/>
    <hyperlink ref="L11453" r:id="rId11451" tooltip="🔗 Ver Mapa" display="🔗 Ver Mapa"/>
    <hyperlink ref="L11454" r:id="rId11452" tooltip="🔗 Ver Mapa" display="🔗 Ver Mapa"/>
    <hyperlink ref="L11455" r:id="rId11453" tooltip="🔗 Ver Mapa" display="🔗 Ver Mapa"/>
    <hyperlink ref="L11456" r:id="rId11454" tooltip="🔗 Ver Mapa" display="🔗 Ver Mapa"/>
    <hyperlink ref="L11457" r:id="rId11455" tooltip="🔗 Ver Mapa" display="🔗 Ver Mapa"/>
    <hyperlink ref="L11458" r:id="rId11456" tooltip="🔗 Ver Mapa" display="🔗 Ver Mapa"/>
    <hyperlink ref="L11459" r:id="rId11457" tooltip="🔗 Ver Mapa" display="🔗 Ver Mapa"/>
    <hyperlink ref="L11460" r:id="rId11458" tooltip="🔗 Ver Mapa" display="🔗 Ver Mapa"/>
    <hyperlink ref="L11461" r:id="rId11459" tooltip="🔗 Ver Mapa" display="🔗 Ver Mapa"/>
    <hyperlink ref="L11462" r:id="rId11460" tooltip="🔗 Ver Mapa" display="🔗 Ver Mapa"/>
    <hyperlink ref="L11463" r:id="rId11461" tooltip="🔗 Ver Mapa" display="🔗 Ver Mapa"/>
    <hyperlink ref="L11464" r:id="rId11462" tooltip="🔗 Ver Mapa" display="🔗 Ver Mapa"/>
    <hyperlink ref="L11465" r:id="rId11463" tooltip="🔗 Ver Mapa" display="🔗 Ver Mapa"/>
    <hyperlink ref="L11466" r:id="rId11464" tooltip="🔗 Ver Mapa" display="🔗 Ver Mapa"/>
    <hyperlink ref="L11467" r:id="rId11465" tooltip="🔗 Ver Mapa" display="🔗 Ver Mapa"/>
    <hyperlink ref="L11468" r:id="rId11466" tooltip="🔗 Ver Mapa" display="🔗 Ver Mapa"/>
    <hyperlink ref="L11469" r:id="rId11467" tooltip="🔗 Ver Mapa" display="🔗 Ver Mapa"/>
    <hyperlink ref="L11470" r:id="rId11468" tooltip="🔗 Ver Mapa" display="🔗 Ver Mapa"/>
    <hyperlink ref="L11471" r:id="rId11469" tooltip="🔗 Ver Mapa" display="🔗 Ver Mapa"/>
    <hyperlink ref="L11472" r:id="rId11470" tooltip="🔗 Ver Mapa" display="🔗 Ver Mapa"/>
    <hyperlink ref="L11473" r:id="rId11471" tooltip="🔗 Ver Mapa" display="🔗 Ver Mapa"/>
    <hyperlink ref="L11474" r:id="rId11472" tooltip="🔗 Ver Mapa" display="🔗 Ver Mapa"/>
    <hyperlink ref="L11475" r:id="rId11473" tooltip="🔗 Ver Mapa" display="🔗 Ver Mapa"/>
    <hyperlink ref="L11476" r:id="rId11474" tooltip="🔗 Ver Mapa" display="🔗 Ver Mapa"/>
    <hyperlink ref="L11477" r:id="rId11475" tooltip="🔗 Ver Mapa" display="🔗 Ver Mapa"/>
    <hyperlink ref="L11478" r:id="rId11476" tooltip="🔗 Ver Mapa" display="🔗 Ver Mapa"/>
    <hyperlink ref="L11479" r:id="rId11477" tooltip="🔗 Ver Mapa" display="🔗 Ver Mapa"/>
    <hyperlink ref="L11480" r:id="rId11478" tooltip="🔗 Ver Mapa" display="🔗 Ver Mapa"/>
    <hyperlink ref="L11481" r:id="rId11479" tooltip="🔗 Ver Mapa" display="🔗 Ver Mapa"/>
    <hyperlink ref="L11482" r:id="rId11480" tooltip="🔗 Ver Mapa" display="🔗 Ver Mapa"/>
    <hyperlink ref="L11483" r:id="rId11481" tooltip="🔗 Ver Mapa" display="🔗 Ver Mapa"/>
    <hyperlink ref="L11484" r:id="rId11482" tooltip="🔗 Ver Mapa" display="🔗 Ver Mapa"/>
    <hyperlink ref="L11485" r:id="rId11483" tooltip="🔗 Ver Mapa" display="🔗 Ver Mapa"/>
    <hyperlink ref="L11486" r:id="rId11484" tooltip="🔗 Ver Mapa" display="🔗 Ver Mapa"/>
    <hyperlink ref="L11487" r:id="rId11485" tooltip="🔗 Ver Mapa" display="🔗 Ver Mapa"/>
    <hyperlink ref="L11488" r:id="rId11486" tooltip="🔗 Ver Mapa" display="🔗 Ver Mapa"/>
    <hyperlink ref="L11489" r:id="rId11487" tooltip="🔗 Ver Mapa" display="🔗 Ver Mapa"/>
    <hyperlink ref="L11490" r:id="rId11488" tooltip="🔗 Ver Mapa" display="🔗 Ver Mapa"/>
    <hyperlink ref="L11491" r:id="rId11489" tooltip="🔗 Ver Mapa" display="🔗 Ver Mapa"/>
    <hyperlink ref="L11492" r:id="rId11490" tooltip="🔗 Ver Mapa" display="🔗 Ver Mapa"/>
    <hyperlink ref="L11493" r:id="rId11491" tooltip="🔗 Ver Mapa" display="🔗 Ver Mapa"/>
    <hyperlink ref="L11494" r:id="rId11492" tooltip="🔗 Ver Mapa" display="🔗 Ver Mapa"/>
    <hyperlink ref="L11495" r:id="rId11493" tooltip="🔗 Ver Mapa" display="🔗 Ver Mapa"/>
    <hyperlink ref="L11496" r:id="rId11494" tooltip="🔗 Ver Mapa" display="🔗 Ver Mapa"/>
    <hyperlink ref="L11497" r:id="rId11495" tooltip="🔗 Ver Mapa" display="🔗 Ver Mapa"/>
    <hyperlink ref="L11498" r:id="rId11496" tooltip="🔗 Ver Mapa" display="🔗 Ver Mapa"/>
    <hyperlink ref="L11499" r:id="rId11497" tooltip="🔗 Ver Mapa" display="🔗 Ver Mapa"/>
    <hyperlink ref="L11500" r:id="rId11498" tooltip="🔗 Ver Mapa" display="🔗 Ver Mapa"/>
    <hyperlink ref="L11501" r:id="rId11499" tooltip="🔗 Ver Mapa" display="🔗 Ver Mapa"/>
    <hyperlink ref="L11502" r:id="rId11500" tooltip="🔗 Ver Mapa" display="🔗 Ver Mapa"/>
    <hyperlink ref="L11503" r:id="rId11501" tooltip="🔗 Ver Mapa" display="🔗 Ver Mapa"/>
    <hyperlink ref="L11504" r:id="rId11502" tooltip="🔗 Ver Mapa" display="🔗 Ver Mapa"/>
    <hyperlink ref="L11505" r:id="rId11503" tooltip="🔗 Ver Mapa" display="🔗 Ver Mapa"/>
    <hyperlink ref="L11506" r:id="rId11504" tooltip="🔗 Ver Mapa" display="🔗 Ver Mapa"/>
    <hyperlink ref="L11507" r:id="rId11505" tooltip="🔗 Ver Mapa" display="🔗 Ver Mapa"/>
    <hyperlink ref="L11508" r:id="rId11506" tooltip="🔗 Ver Mapa" display="🔗 Ver Mapa"/>
    <hyperlink ref="L11509" r:id="rId11507" tooltip="🔗 Ver Mapa" display="🔗 Ver Mapa"/>
    <hyperlink ref="L11510" r:id="rId11508" tooltip="🔗 Ver Mapa" display="🔗 Ver Mapa"/>
    <hyperlink ref="L11511" r:id="rId11509" tooltip="🔗 Ver Mapa" display="🔗 Ver Mapa"/>
    <hyperlink ref="L11512" r:id="rId11510" tooltip="🔗 Ver Mapa" display="🔗 Ver Mapa"/>
    <hyperlink ref="L11513" r:id="rId11511" tooltip="🔗 Ver Mapa" display="🔗 Ver Mapa"/>
    <hyperlink ref="L11514" r:id="rId11512" tooltip="🔗 Ver Mapa" display="🔗 Ver Mapa"/>
    <hyperlink ref="L11515" r:id="rId11513" tooltip="🔗 Ver Mapa" display="🔗 Ver Mapa"/>
    <hyperlink ref="L11516" r:id="rId11514" tooltip="🔗 Ver Mapa" display="🔗 Ver Mapa"/>
    <hyperlink ref="L11517" r:id="rId11515" tooltip="🔗 Ver Mapa" display="🔗 Ver Mapa"/>
    <hyperlink ref="L11518" r:id="rId11516" tooltip="🔗 Ver Mapa" display="🔗 Ver Mapa"/>
    <hyperlink ref="L11519" r:id="rId11517" tooltip="🔗 Ver Mapa" display="🔗 Ver Mapa"/>
    <hyperlink ref="L11520" r:id="rId11518" tooltip="🔗 Ver Mapa" display="🔗 Ver Mapa"/>
    <hyperlink ref="L11521" r:id="rId11519" tooltip="🔗 Ver Mapa" display="🔗 Ver Mapa"/>
    <hyperlink ref="L11522" r:id="rId11520" tooltip="🔗 Ver Mapa" display="🔗 Ver Mapa"/>
    <hyperlink ref="L11523" r:id="rId11521" tooltip="🔗 Ver Mapa" display="🔗 Ver Mapa"/>
    <hyperlink ref="L11524" r:id="rId11522" tooltip="🔗 Ver Mapa" display="🔗 Ver Mapa"/>
    <hyperlink ref="L11525" r:id="rId11523" tooltip="🔗 Ver Mapa" display="🔗 Ver Mapa"/>
    <hyperlink ref="L11526" r:id="rId11524" tooltip="🔗 Ver Mapa" display="🔗 Ver Mapa"/>
    <hyperlink ref="L11527" r:id="rId11525" tooltip="🔗 Ver Mapa" display="🔗 Ver Mapa"/>
    <hyperlink ref="L11528" r:id="rId11526" tooltip="🔗 Ver Mapa" display="🔗 Ver Mapa"/>
    <hyperlink ref="L11529" r:id="rId11527" tooltip="🔗 Ver Mapa" display="🔗 Ver Mapa"/>
    <hyperlink ref="L11530" r:id="rId11528" tooltip="🔗 Ver Mapa" display="🔗 Ver Mapa"/>
    <hyperlink ref="L11531" r:id="rId11529" tooltip="🔗 Ver Mapa" display="🔗 Ver Mapa"/>
    <hyperlink ref="L11532" r:id="rId11530" tooltip="🔗 Ver Mapa" display="🔗 Ver Mapa"/>
    <hyperlink ref="L11533" r:id="rId11531" tooltip="🔗 Ver Mapa" display="🔗 Ver Mapa"/>
    <hyperlink ref="L11534" r:id="rId11532" tooltip="🔗 Ver Mapa" display="🔗 Ver Mapa"/>
    <hyperlink ref="L11535" r:id="rId11533" tooltip="🔗 Ver Mapa" display="🔗 Ver Mapa"/>
    <hyperlink ref="L11536" r:id="rId11534" tooltip="🔗 Ver Mapa" display="🔗 Ver Mapa"/>
    <hyperlink ref="L11537" r:id="rId11535" tooltip="🔗 Ver Mapa" display="🔗 Ver Mapa"/>
    <hyperlink ref="L11538" r:id="rId11536" tooltip="🔗 Ver Mapa" display="🔗 Ver Mapa"/>
    <hyperlink ref="L11539" r:id="rId11537" tooltip="🔗 Ver Mapa" display="🔗 Ver Mapa"/>
    <hyperlink ref="L11540" r:id="rId11538" tooltip="🔗 Ver Mapa" display="🔗 Ver Mapa"/>
    <hyperlink ref="L11541" r:id="rId11539" tooltip="🔗 Ver Mapa" display="🔗 Ver Mapa"/>
    <hyperlink ref="L11542" r:id="rId11540" tooltip="🔗 Ver Mapa" display="🔗 Ver Mapa"/>
    <hyperlink ref="L11543" r:id="rId11541" tooltip="🔗 Ver Mapa" display="🔗 Ver Mapa"/>
    <hyperlink ref="L11544" r:id="rId11542" tooltip="🔗 Ver Mapa" display="🔗 Ver Mapa"/>
    <hyperlink ref="L11545" r:id="rId11543" tooltip="🔗 Ver Mapa" display="🔗 Ver Mapa"/>
    <hyperlink ref="L11546" r:id="rId11544" tooltip="🔗 Ver Mapa" display="🔗 Ver Mapa"/>
    <hyperlink ref="L11547" r:id="rId11545" tooltip="🔗 Ver Mapa" display="🔗 Ver Mapa"/>
    <hyperlink ref="L11548" r:id="rId11546" tooltip="🔗 Ver Mapa" display="🔗 Ver Mapa"/>
    <hyperlink ref="L11549" r:id="rId11547" tooltip="🔗 Ver Mapa" display="🔗 Ver Mapa"/>
    <hyperlink ref="L11550" r:id="rId11548" tooltip="🔗 Ver Mapa" display="🔗 Ver Mapa"/>
    <hyperlink ref="L11551" r:id="rId11549" tooltip="🔗 Ver Mapa" display="🔗 Ver Mapa"/>
    <hyperlink ref="L11552" r:id="rId11550" tooltip="🔗 Ver Mapa" display="🔗 Ver Mapa"/>
    <hyperlink ref="L11553" r:id="rId11551" tooltip="🔗 Ver Mapa" display="🔗 Ver Mapa"/>
    <hyperlink ref="L11554" r:id="rId11552" tooltip="🔗 Ver Mapa" display="🔗 Ver Mapa"/>
    <hyperlink ref="L11555" r:id="rId11553" tooltip="🔗 Ver Mapa" display="🔗 Ver Mapa"/>
    <hyperlink ref="L11556" r:id="rId11554" tooltip="🔗 Ver Mapa" display="🔗 Ver Mapa"/>
    <hyperlink ref="L11557" r:id="rId11555" tooltip="🔗 Ver Mapa" display="🔗 Ver Mapa"/>
    <hyperlink ref="L11558" r:id="rId11556" tooltip="🔗 Ver Mapa" display="🔗 Ver Mapa"/>
    <hyperlink ref="L11559" r:id="rId11557" tooltip="🔗 Ver Mapa" display="🔗 Ver Mapa"/>
    <hyperlink ref="L11560" r:id="rId11558" tooltip="🔗 Ver Mapa" display="🔗 Ver Mapa"/>
    <hyperlink ref="L11561" r:id="rId11559" tooltip="🔗 Ver Mapa" display="🔗 Ver Mapa"/>
    <hyperlink ref="L11562" r:id="rId11560" tooltip="🔗 Ver Mapa" display="🔗 Ver Mapa"/>
    <hyperlink ref="L11563" r:id="rId11561" tooltip="🔗 Ver Mapa" display="🔗 Ver Mapa"/>
    <hyperlink ref="L11564" r:id="rId11562" tooltip="🔗 Ver Mapa" display="🔗 Ver Mapa"/>
    <hyperlink ref="L11565" r:id="rId11563" tooltip="🔗 Ver Mapa" display="🔗 Ver Mapa"/>
    <hyperlink ref="L11566" r:id="rId11564" tooltip="🔗 Ver Mapa" display="🔗 Ver Mapa"/>
    <hyperlink ref="L11567" r:id="rId11565" tooltip="🔗 Ver Mapa" display="🔗 Ver Mapa"/>
    <hyperlink ref="L11568" r:id="rId11566" tooltip="🔗 Ver Mapa" display="🔗 Ver Mapa"/>
    <hyperlink ref="L11569" r:id="rId11567" tooltip="🔗 Ver Mapa" display="🔗 Ver Mapa"/>
    <hyperlink ref="L11570" r:id="rId11568" tooltip="🔗 Ver Mapa" display="🔗 Ver Mapa"/>
    <hyperlink ref="L11571" r:id="rId11569" tooltip="🔗 Ver Mapa" display="🔗 Ver Mapa"/>
    <hyperlink ref="L11572" r:id="rId11570" tooltip="🔗 Ver Mapa" display="🔗 Ver Mapa"/>
    <hyperlink ref="L11573" r:id="rId11571" tooltip="🔗 Ver Mapa" display="🔗 Ver Mapa"/>
    <hyperlink ref="L11574" r:id="rId11572" tooltip="🔗 Ver Mapa" display="🔗 Ver Mapa"/>
    <hyperlink ref="L11575" r:id="rId11573" tooltip="🔗 Ver Mapa" display="🔗 Ver Mapa"/>
    <hyperlink ref="L11576" r:id="rId11574" tooltip="🔗 Ver Mapa" display="🔗 Ver Mapa"/>
    <hyperlink ref="L11577" r:id="rId11575" tooltip="🔗 Ver Mapa" display="🔗 Ver Mapa"/>
    <hyperlink ref="L11578" r:id="rId11576" tooltip="🔗 Ver Mapa" display="🔗 Ver Mapa"/>
    <hyperlink ref="L11579" r:id="rId11577" tooltip="🔗 Ver Mapa" display="🔗 Ver Mapa"/>
    <hyperlink ref="L11580" r:id="rId11578" tooltip="🔗 Ver Mapa" display="🔗 Ver Mapa"/>
    <hyperlink ref="L11581" r:id="rId11579" tooltip="🔗 Ver Mapa" display="🔗 Ver Mapa"/>
    <hyperlink ref="L11582" r:id="rId11580" tooltip="🔗 Ver Mapa" display="🔗 Ver Mapa"/>
    <hyperlink ref="L11583" r:id="rId11581" tooltip="🔗 Ver Mapa" display="🔗 Ver Mapa"/>
    <hyperlink ref="L11584" r:id="rId11582" tooltip="🔗 Ver Mapa" display="🔗 Ver Mapa"/>
    <hyperlink ref="L11585" r:id="rId11583" tooltip="🔗 Ver Mapa" display="🔗 Ver Mapa"/>
    <hyperlink ref="L11586" r:id="rId11584" tooltip="🔗 Ver Mapa" display="🔗 Ver Mapa"/>
    <hyperlink ref="L11587" r:id="rId11585" tooltip="🔗 Ver Mapa" display="🔗 Ver Mapa"/>
    <hyperlink ref="L11588" r:id="rId11586" tooltip="🔗 Ver Mapa" display="🔗 Ver Mapa"/>
    <hyperlink ref="L11589" r:id="rId11587" tooltip="🔗 Ver Mapa" display="🔗 Ver Mapa"/>
    <hyperlink ref="L11590" r:id="rId11588" tooltip="🔗 Ver Mapa" display="🔗 Ver Mapa"/>
    <hyperlink ref="L11591" r:id="rId11589" tooltip="🔗 Ver Mapa" display="🔗 Ver Mapa"/>
    <hyperlink ref="L11592" r:id="rId11590" tooltip="🔗 Ver Mapa" display="🔗 Ver Mapa"/>
    <hyperlink ref="L11593" r:id="rId11591" tooltip="🔗 Ver Mapa" display="🔗 Ver Mapa"/>
    <hyperlink ref="L11594" r:id="rId11592" tooltip="🔗 Ver Mapa" display="🔗 Ver Mapa"/>
    <hyperlink ref="L11595" r:id="rId11593" tooltip="🔗 Ver Mapa" display="🔗 Ver Mapa"/>
    <hyperlink ref="L11596" r:id="rId11594" tooltip="🔗 Ver Mapa" display="🔗 Ver Mapa"/>
    <hyperlink ref="L11597" r:id="rId11595" tooltip="🔗 Ver Mapa" display="🔗 Ver Mapa"/>
    <hyperlink ref="L11598" r:id="rId11596" tooltip="🔗 Ver Mapa" display="🔗 Ver Mapa"/>
    <hyperlink ref="L11599" r:id="rId11597" tooltip="🔗 Ver Mapa" display="🔗 Ver Mapa"/>
    <hyperlink ref="L11600" r:id="rId11598" tooltip="🔗 Ver Mapa" display="🔗 Ver Mapa"/>
    <hyperlink ref="L11601" r:id="rId11599" tooltip="🔗 Ver Mapa" display="🔗 Ver Mapa"/>
    <hyperlink ref="L11602" r:id="rId11600" tooltip="🔗 Ver Mapa" display="🔗 Ver Mapa"/>
    <hyperlink ref="L11603" r:id="rId11601" tooltip="🔗 Ver Mapa" display="🔗 Ver Mapa"/>
    <hyperlink ref="L11604" r:id="rId11602" tooltip="🔗 Ver Mapa" display="🔗 Ver Mapa"/>
    <hyperlink ref="L11605" r:id="rId11603" tooltip="🔗 Ver Mapa" display="🔗 Ver Mapa"/>
    <hyperlink ref="L11606" r:id="rId11604" tooltip="🔗 Ver Mapa" display="🔗 Ver Mapa"/>
    <hyperlink ref="L11607" r:id="rId11605" tooltip="🔗 Ver Mapa" display="🔗 Ver Mapa"/>
    <hyperlink ref="L11608" r:id="rId11606" tooltip="🔗 Ver Mapa" display="🔗 Ver Mapa"/>
    <hyperlink ref="L11609" r:id="rId11607" tooltip="🔗 Ver Mapa" display="🔗 Ver Mapa"/>
    <hyperlink ref="L11610" r:id="rId11608" tooltip="🔗 Ver Mapa" display="🔗 Ver Mapa"/>
    <hyperlink ref="L11611" r:id="rId11609" tooltip="🔗 Ver Mapa" display="🔗 Ver Mapa"/>
    <hyperlink ref="L11612" r:id="rId11610" tooltip="🔗 Ver Mapa" display="🔗 Ver Mapa"/>
    <hyperlink ref="L11613" r:id="rId11611" tooltip="🔗 Ver Mapa" display="🔗 Ver Mapa"/>
    <hyperlink ref="L11614" r:id="rId11612" tooltip="🔗 Ver Mapa" display="🔗 Ver Mapa"/>
    <hyperlink ref="L11615" r:id="rId11613" tooltip="🔗 Ver Mapa" display="🔗 Ver Mapa"/>
    <hyperlink ref="L11616" r:id="rId11614" tooltip="🔗 Ver Mapa" display="🔗 Ver Mapa"/>
    <hyperlink ref="L11617" r:id="rId11615" tooltip="🔗 Ver Mapa" display="🔗 Ver Mapa"/>
    <hyperlink ref="L11618" r:id="rId11616" tooltip="🔗 Ver Mapa" display="🔗 Ver Mapa"/>
    <hyperlink ref="L11619" r:id="rId11617" tooltip="🔗 Ver Mapa" display="🔗 Ver Mapa"/>
    <hyperlink ref="L11620" r:id="rId11618" tooltip="🔗 Ver Mapa" display="🔗 Ver Mapa"/>
    <hyperlink ref="L11621" r:id="rId11619" tooltip="🔗 Ver Mapa" display="🔗 Ver Mapa"/>
    <hyperlink ref="L11622" r:id="rId11620" tooltip="🔗 Ver Mapa" display="🔗 Ver Mapa"/>
    <hyperlink ref="L11623" r:id="rId11621" tooltip="🔗 Ver Mapa" display="🔗 Ver Mapa"/>
    <hyperlink ref="L11624" r:id="rId11622" tooltip="🔗 Ver Mapa" display="🔗 Ver Mapa"/>
    <hyperlink ref="L11625" r:id="rId11623" tooltip="🔗 Ver Mapa" display="🔗 Ver Mapa"/>
    <hyperlink ref="L11626" r:id="rId11624" tooltip="🔗 Ver Mapa" display="🔗 Ver Mapa"/>
    <hyperlink ref="L11627" r:id="rId11625" tooltip="🔗 Ver Mapa" display="🔗 Ver Mapa"/>
    <hyperlink ref="L11628" r:id="rId11626" tooltip="🔗 Ver Mapa" display="🔗 Ver Mapa"/>
    <hyperlink ref="L11629" r:id="rId11627" tooltip="🔗 Ver Mapa" display="🔗 Ver Mapa"/>
    <hyperlink ref="L11630" r:id="rId11628" tooltip="🔗 Ver Mapa" display="🔗 Ver Mapa"/>
    <hyperlink ref="L11631" r:id="rId11629" tooltip="🔗 Ver Mapa" display="🔗 Ver Mapa"/>
    <hyperlink ref="L11632" r:id="rId11630" tooltip="🔗 Ver Mapa" display="🔗 Ver Mapa"/>
    <hyperlink ref="L11633" r:id="rId11631" tooltip="🔗 Ver Mapa" display="🔗 Ver Mapa"/>
    <hyperlink ref="L11634" r:id="rId11632" tooltip="🔗 Ver Mapa" display="🔗 Ver Mapa"/>
    <hyperlink ref="L11635" r:id="rId11633" tooltip="🔗 Ver Mapa" display="🔗 Ver Mapa"/>
    <hyperlink ref="L11636" r:id="rId11634" tooltip="🔗 Ver Mapa" display="🔗 Ver Mapa"/>
    <hyperlink ref="L11637" r:id="rId11635" tooltip="🔗 Ver Mapa" display="🔗 Ver Mapa"/>
    <hyperlink ref="L11638" r:id="rId11636" tooltip="🔗 Ver Mapa" display="🔗 Ver Mapa"/>
    <hyperlink ref="L11639" r:id="rId11637" tooltip="🔗 Ver Mapa" display="🔗 Ver Mapa"/>
    <hyperlink ref="L11640" r:id="rId11638" tooltip="🔗 Ver Mapa" display="🔗 Ver Mapa"/>
    <hyperlink ref="L11641" r:id="rId11639" tooltip="🔗 Ver Mapa" display="🔗 Ver Mapa"/>
    <hyperlink ref="L11642" r:id="rId11640" tooltip="🔗 Ver Mapa" display="🔗 Ver Mapa"/>
    <hyperlink ref="L11643" r:id="rId11641" tooltip="🔗 Ver Mapa" display="🔗 Ver Mapa"/>
    <hyperlink ref="L11644" r:id="rId11642" tooltip="🔗 Ver Mapa" display="🔗 Ver Mapa"/>
    <hyperlink ref="L11645" r:id="rId11643" tooltip="🔗 Ver Mapa" display="🔗 Ver Mapa"/>
    <hyperlink ref="L11646" r:id="rId11644" tooltip="🔗 Ver Mapa" display="🔗 Ver Mapa"/>
    <hyperlink ref="L11647" r:id="rId11645" tooltip="🔗 Ver Mapa" display="🔗 Ver Mapa"/>
    <hyperlink ref="L11648" r:id="rId11646" tooltip="🔗 Ver Mapa" display="🔗 Ver Mapa"/>
    <hyperlink ref="L11649" r:id="rId11647" tooltip="🔗 Ver Mapa" display="🔗 Ver Mapa"/>
    <hyperlink ref="L11650" r:id="rId11648" tooltip="🔗 Ver Mapa" display="🔗 Ver Mapa"/>
    <hyperlink ref="L11651" r:id="rId11649" tooltip="🔗 Ver Mapa" display="🔗 Ver Mapa"/>
    <hyperlink ref="L11652" r:id="rId11650" tooltip="🔗 Ver Mapa" display="🔗 Ver Mapa"/>
    <hyperlink ref="L11653" r:id="rId11651" tooltip="🔗 Ver Mapa" display="🔗 Ver Mapa"/>
    <hyperlink ref="L11654" r:id="rId11652" tooltip="🔗 Ver Mapa" display="🔗 Ver Mapa"/>
    <hyperlink ref="L11655" r:id="rId11653" tooltip="🔗 Ver Mapa" display="🔗 Ver Mapa"/>
    <hyperlink ref="L11656" r:id="rId11654" tooltip="🔗 Ver Mapa" display="🔗 Ver Mapa"/>
    <hyperlink ref="L11657" r:id="rId11655" tooltip="🔗 Ver Mapa" display="🔗 Ver Mapa"/>
    <hyperlink ref="L11658" r:id="rId11656" tooltip="🔗 Ver Mapa" display="🔗 Ver Mapa"/>
    <hyperlink ref="L11659" r:id="rId11657" tooltip="🔗 Ver Mapa" display="🔗 Ver Mapa"/>
    <hyperlink ref="L11660" r:id="rId11658" tooltip="🔗 Ver Mapa" display="🔗 Ver Mapa"/>
    <hyperlink ref="L11661" r:id="rId11659" tooltip="🔗 Ver Mapa" display="🔗 Ver Mapa"/>
    <hyperlink ref="L11662" r:id="rId11660" tooltip="🔗 Ver Mapa" display="🔗 Ver Mapa"/>
    <hyperlink ref="L11663" r:id="rId11661" tooltip="🔗 Ver Mapa" display="🔗 Ver Mapa"/>
    <hyperlink ref="L11664" r:id="rId11662" tooltip="🔗 Ver Mapa" display="🔗 Ver Mapa"/>
    <hyperlink ref="L11665" r:id="rId11663" tooltip="🔗 Ver Mapa" display="🔗 Ver Mapa"/>
    <hyperlink ref="L11666" r:id="rId11664" tooltip="🔗 Ver Mapa" display="🔗 Ver Mapa"/>
    <hyperlink ref="L11667" r:id="rId11665" tooltip="🔗 Ver Mapa" display="🔗 Ver Mapa"/>
    <hyperlink ref="L11668" r:id="rId11666" tooltip="🔗 Ver Mapa" display="🔗 Ver Mapa"/>
    <hyperlink ref="L11669" r:id="rId11667" tooltip="🔗 Ver Mapa" display="🔗 Ver Mapa"/>
    <hyperlink ref="L11670" r:id="rId11668" tooltip="🔗 Ver Mapa" display="🔗 Ver Mapa"/>
    <hyperlink ref="L11671" r:id="rId11669" tooltip="🔗 Ver Mapa" display="🔗 Ver Mapa"/>
    <hyperlink ref="L11672" r:id="rId11670" tooltip="🔗 Ver Mapa" display="🔗 Ver Mapa"/>
    <hyperlink ref="L11673" r:id="rId11671" tooltip="🔗 Ver Mapa" display="🔗 Ver Mapa"/>
    <hyperlink ref="L11674" r:id="rId11672" tooltip="🔗 Ver Mapa" display="🔗 Ver Mapa"/>
    <hyperlink ref="L11675" r:id="rId11673" tooltip="🔗 Ver Mapa" display="🔗 Ver Mapa"/>
    <hyperlink ref="L11676" r:id="rId11674" tooltip="🔗 Ver Mapa" display="🔗 Ver Mapa"/>
    <hyperlink ref="L11677" r:id="rId11675" tooltip="🔗 Ver Mapa" display="🔗 Ver Mapa"/>
    <hyperlink ref="L11678" r:id="rId11676" tooltip="🔗 Ver Mapa" display="🔗 Ver Mapa"/>
    <hyperlink ref="L11679" r:id="rId11677" tooltip="🔗 Ver Mapa" display="🔗 Ver Mapa"/>
    <hyperlink ref="L11680" r:id="rId11678" tooltip="🔗 Ver Mapa" display="🔗 Ver Mapa"/>
    <hyperlink ref="L11681" r:id="rId11679" tooltip="🔗 Ver Mapa" display="🔗 Ver Mapa"/>
    <hyperlink ref="L11682" r:id="rId11680" tooltip="🔗 Ver Mapa" display="🔗 Ver Mapa"/>
    <hyperlink ref="L11683" r:id="rId11681" tooltip="🔗 Ver Mapa" display="🔗 Ver Mapa"/>
    <hyperlink ref="L11684" r:id="rId11682" tooltip="🔗 Ver Mapa" display="🔗 Ver Mapa"/>
    <hyperlink ref="L11685" r:id="rId11683" tooltip="🔗 Ver Mapa" display="🔗 Ver Mapa"/>
    <hyperlink ref="L11686" r:id="rId11684" tooltip="🔗 Ver Mapa" display="🔗 Ver Mapa"/>
    <hyperlink ref="L11687" r:id="rId11685" tooltip="🔗 Ver Mapa" display="🔗 Ver Mapa"/>
    <hyperlink ref="L11688" r:id="rId11686" tooltip="🔗 Ver Mapa" display="🔗 Ver Mapa"/>
    <hyperlink ref="L11689" r:id="rId11687" tooltip="🔗 Ver Mapa" display="🔗 Ver Mapa"/>
    <hyperlink ref="L11690" r:id="rId11688" tooltip="🔗 Ver Mapa" display="🔗 Ver Mapa"/>
    <hyperlink ref="L11691" r:id="rId11689" tooltip="🔗 Ver Mapa" display="🔗 Ver Mapa"/>
    <hyperlink ref="L11692" r:id="rId11690" tooltip="🔗 Ver Mapa" display="🔗 Ver Mapa"/>
    <hyperlink ref="L11693" r:id="rId11691" tooltip="🔗 Ver Mapa" display="🔗 Ver Mapa"/>
    <hyperlink ref="L11694" r:id="rId11692" tooltip="🔗 Ver Mapa" display="🔗 Ver Mapa"/>
    <hyperlink ref="L11695" r:id="rId11693" tooltip="🔗 Ver Mapa" display="🔗 Ver Mapa"/>
    <hyperlink ref="L11696" r:id="rId11694" tooltip="🔗 Ver Mapa" display="🔗 Ver Mapa"/>
    <hyperlink ref="L11697" r:id="rId11695" tooltip="🔗 Ver Mapa" display="🔗 Ver Mapa"/>
    <hyperlink ref="L11698" r:id="rId11696" tooltip="🔗 Ver Mapa" display="🔗 Ver Mapa"/>
    <hyperlink ref="L11699" r:id="rId11697" tooltip="🔗 Ver Mapa" display="🔗 Ver Mapa"/>
    <hyperlink ref="L11700" r:id="rId11698" tooltip="🔗 Ver Mapa" display="🔗 Ver Mapa"/>
    <hyperlink ref="L11701" r:id="rId11699" tooltip="🔗 Ver Mapa" display="🔗 Ver Mapa"/>
    <hyperlink ref="L11702" r:id="rId11700" tooltip="🔗 Ver Mapa" display="🔗 Ver Mapa"/>
    <hyperlink ref="L11703" r:id="rId11701" tooltip="🔗 Ver Mapa" display="🔗 Ver Mapa"/>
    <hyperlink ref="L11704" r:id="rId11702" tooltip="🔗 Ver Mapa" display="🔗 Ver Mapa"/>
    <hyperlink ref="L11705" r:id="rId11703" tooltip="🔗 Ver Mapa" display="🔗 Ver Mapa"/>
    <hyperlink ref="L11706" r:id="rId11704" tooltip="🔗 Ver Mapa" display="🔗 Ver Mapa"/>
    <hyperlink ref="L11707" r:id="rId11705" tooltip="🔗 Ver Mapa" display="🔗 Ver Mapa"/>
    <hyperlink ref="L11708" r:id="rId11706" tooltip="🔗 Ver Mapa" display="🔗 Ver Mapa"/>
    <hyperlink ref="L11709" r:id="rId11707" tooltip="🔗 Ver Mapa" display="🔗 Ver Mapa"/>
    <hyperlink ref="L11710" r:id="rId11708" tooltip="🔗 Ver Mapa" display="🔗 Ver Mapa"/>
    <hyperlink ref="L11711" r:id="rId11709" tooltip="🔗 Ver Mapa" display="🔗 Ver Mapa"/>
    <hyperlink ref="L11712" r:id="rId11710" tooltip="🔗 Ver Mapa" display="🔗 Ver Mapa"/>
    <hyperlink ref="L11713" r:id="rId11711" tooltip="🔗 Ver Mapa" display="🔗 Ver Mapa"/>
    <hyperlink ref="L11714" r:id="rId11712" tooltip="🔗 Ver Mapa" display="🔗 Ver Mapa"/>
    <hyperlink ref="L11715" r:id="rId11713" tooltip="🔗 Ver Mapa" display="🔗 Ver Mapa"/>
    <hyperlink ref="L11716" r:id="rId11714" tooltip="🔗 Ver Mapa" display="🔗 Ver Mapa"/>
    <hyperlink ref="L11717" r:id="rId11715" tooltip="🔗 Ver Mapa" display="🔗 Ver Mapa"/>
    <hyperlink ref="L11718" r:id="rId11716" tooltip="🔗 Ver Mapa" display="🔗 Ver Mapa"/>
    <hyperlink ref="L11719" r:id="rId11717" tooltip="🔗 Ver Mapa" display="🔗 Ver Mapa"/>
    <hyperlink ref="L11720" r:id="rId11718" tooltip="🔗 Ver Mapa" display="🔗 Ver Mapa"/>
    <hyperlink ref="L11721" r:id="rId11719" tooltip="🔗 Ver Mapa" display="🔗 Ver Mapa"/>
    <hyperlink ref="L11722" r:id="rId11720" tooltip="🔗 Ver Mapa" display="🔗 Ver Mapa"/>
    <hyperlink ref="L11723" r:id="rId11721" tooltip="🔗 Ver Mapa" display="🔗 Ver Mapa"/>
    <hyperlink ref="L11724" r:id="rId11722" tooltip="🔗 Ver Mapa" display="🔗 Ver Mapa"/>
    <hyperlink ref="L11725" r:id="rId11723" tooltip="🔗 Ver Mapa" display="🔗 Ver Mapa"/>
    <hyperlink ref="L11726" r:id="rId11724" tooltip="🔗 Ver Mapa" display="🔗 Ver Mapa"/>
    <hyperlink ref="L11727" r:id="rId11725" tooltip="🔗 Ver Mapa" display="🔗 Ver Mapa"/>
    <hyperlink ref="L11728" r:id="rId11726" tooltip="🔗 Ver Mapa" display="🔗 Ver Mapa"/>
    <hyperlink ref="L11729" r:id="rId11727" tooltip="🔗 Ver Mapa" display="🔗 Ver Mapa"/>
    <hyperlink ref="L11730" r:id="rId11728" tooltip="🔗 Ver Mapa" display="🔗 Ver Mapa"/>
    <hyperlink ref="L11731" r:id="rId11729" tooltip="🔗 Ver Mapa" display="🔗 Ver Mapa"/>
    <hyperlink ref="L11732" r:id="rId11730" tooltip="🔗 Ver Mapa" display="🔗 Ver Mapa"/>
    <hyperlink ref="L11733" r:id="rId11731" tooltip="🔗 Ver Mapa" display="🔗 Ver Mapa"/>
    <hyperlink ref="L11734" r:id="rId11732" tooltip="🔗 Ver Mapa" display="🔗 Ver Mapa"/>
    <hyperlink ref="L11735" r:id="rId11733" tooltip="🔗 Ver Mapa" display="🔗 Ver Mapa"/>
    <hyperlink ref="L11736" r:id="rId11734" tooltip="🔗 Ver Mapa" display="🔗 Ver Mapa"/>
    <hyperlink ref="L11737" r:id="rId11735" tooltip="🔗 Ver Mapa" display="🔗 Ver Mapa"/>
    <hyperlink ref="L11738" r:id="rId11736" tooltip="🔗 Ver Mapa" display="🔗 Ver Mapa"/>
    <hyperlink ref="L11739" r:id="rId11737" tooltip="🔗 Ver Mapa" display="🔗 Ver Mapa"/>
    <hyperlink ref="L11740" r:id="rId11738" tooltip="🔗 Ver Mapa" display="🔗 Ver Mapa"/>
    <hyperlink ref="L11741" r:id="rId11739" tooltip="🔗 Ver Mapa" display="🔗 Ver Mapa"/>
    <hyperlink ref="L11742" r:id="rId11740" tooltip="🔗 Ver Mapa" display="🔗 Ver Mapa"/>
    <hyperlink ref="L11743" r:id="rId11741" tooltip="🔗 Ver Mapa" display="🔗 Ver Mapa"/>
    <hyperlink ref="L11744" r:id="rId11742" tooltip="🔗 Ver Mapa" display="🔗 Ver Mapa"/>
    <hyperlink ref="L11745" r:id="rId11743" tooltip="🔗 Ver Mapa" display="🔗 Ver Mapa"/>
    <hyperlink ref="L11746" r:id="rId11744" tooltip="🔗 Ver Mapa" display="🔗 Ver Mapa"/>
    <hyperlink ref="L11747" r:id="rId11745" tooltip="🔗 Ver Mapa" display="🔗 Ver Mapa"/>
    <hyperlink ref="L11748" r:id="rId11746" tooltip="🔗 Ver Mapa" display="🔗 Ver Mapa"/>
    <hyperlink ref="L11749" r:id="rId11747" tooltip="🔗 Ver Mapa" display="🔗 Ver Mapa"/>
    <hyperlink ref="L11750" r:id="rId11748" tooltip="🔗 Ver Mapa" display="🔗 Ver Mapa"/>
    <hyperlink ref="L11751" r:id="rId11749" tooltip="🔗 Ver Mapa" display="🔗 Ver Mapa"/>
    <hyperlink ref="L11752" r:id="rId11750" tooltip="🔗 Ver Mapa" display="🔗 Ver Mapa"/>
    <hyperlink ref="L11753" r:id="rId11751" tooltip="🔗 Ver Mapa" display="🔗 Ver Mapa"/>
    <hyperlink ref="L11754" r:id="rId11752" tooltip="🔗 Ver Mapa" display="🔗 Ver Mapa"/>
    <hyperlink ref="L11755" r:id="rId11753" tooltip="🔗 Ver Mapa" display="🔗 Ver Mapa"/>
    <hyperlink ref="L11756" r:id="rId11754" tooltip="🔗 Ver Mapa" display="🔗 Ver Mapa"/>
    <hyperlink ref="L11757" r:id="rId11755" tooltip="🔗 Ver Mapa" display="🔗 Ver Mapa"/>
    <hyperlink ref="L11758" r:id="rId11756" tooltip="🔗 Ver Mapa" display="🔗 Ver Mapa"/>
    <hyperlink ref="L11759" r:id="rId11757" tooltip="🔗 Ver Mapa" display="🔗 Ver Mapa"/>
    <hyperlink ref="L11760" r:id="rId11758" tooltip="🔗 Ver Mapa" display="🔗 Ver Mapa"/>
    <hyperlink ref="L11761" r:id="rId11759" tooltip="🔗 Ver Mapa" display="🔗 Ver Mapa"/>
    <hyperlink ref="L11762" r:id="rId11760" tooltip="🔗 Ver Mapa" display="🔗 Ver Mapa"/>
    <hyperlink ref="L11763" r:id="rId11761" tooltip="🔗 Ver Mapa" display="🔗 Ver Mapa"/>
    <hyperlink ref="L11764" r:id="rId11762" tooltip="🔗 Ver Mapa" display="🔗 Ver Mapa"/>
    <hyperlink ref="L11765" r:id="rId11763" tooltip="🔗 Ver Mapa" display="🔗 Ver Mapa"/>
    <hyperlink ref="L11766" r:id="rId11764" tooltip="🔗 Ver Mapa" display="🔗 Ver Mapa"/>
    <hyperlink ref="L11767" r:id="rId11765" tooltip="🔗 Ver Mapa" display="🔗 Ver Mapa"/>
    <hyperlink ref="L11768" r:id="rId11766" tooltip="🔗 Ver Mapa" display="🔗 Ver Mapa"/>
    <hyperlink ref="L11769" r:id="rId11767" tooltip="🔗 Ver Mapa" display="🔗 Ver Mapa"/>
    <hyperlink ref="L11770" r:id="rId11768" tooltip="🔗 Ver Mapa" display="🔗 Ver Mapa"/>
    <hyperlink ref="L11771" r:id="rId11769" tooltip="🔗 Ver Mapa" display="🔗 Ver Mapa"/>
    <hyperlink ref="L11772" r:id="rId11770" tooltip="🔗 Ver Mapa" display="🔗 Ver Mapa"/>
    <hyperlink ref="L11773" r:id="rId11771" tooltip="🔗 Ver Mapa" display="🔗 Ver Mapa"/>
    <hyperlink ref="L11774" r:id="rId11772" tooltip="🔗 Ver Mapa" display="🔗 Ver Mapa"/>
    <hyperlink ref="L11775" r:id="rId11773" tooltip="🔗 Ver Mapa" display="🔗 Ver Mapa"/>
    <hyperlink ref="L11776" r:id="rId11774" tooltip="🔗 Ver Mapa" display="🔗 Ver Mapa"/>
    <hyperlink ref="L11777" r:id="rId11775" tooltip="🔗 Ver Mapa" display="🔗 Ver Mapa"/>
    <hyperlink ref="L11778" r:id="rId11776" tooltip="🔗 Ver Mapa" display="🔗 Ver Mapa"/>
    <hyperlink ref="L11779" r:id="rId11777" tooltip="🔗 Ver Mapa" display="🔗 Ver Mapa"/>
    <hyperlink ref="L11780" r:id="rId11778" tooltip="🔗 Ver Mapa" display="🔗 Ver Mapa"/>
    <hyperlink ref="L11781" r:id="rId11779" tooltip="🔗 Ver Mapa" display="🔗 Ver Mapa"/>
    <hyperlink ref="L11782" r:id="rId11780" tooltip="🔗 Ver Mapa" display="🔗 Ver Mapa"/>
    <hyperlink ref="L11783" r:id="rId11781" tooltip="🔗 Ver Mapa" display="🔗 Ver Mapa"/>
    <hyperlink ref="L11784" r:id="rId11782" tooltip="🔗 Ver Mapa" display="🔗 Ver Mapa"/>
    <hyperlink ref="L11785" r:id="rId11783" tooltip="🔗 Ver Mapa" display="🔗 Ver Mapa"/>
    <hyperlink ref="L11786" r:id="rId11784" tooltip="🔗 Ver Mapa" display="🔗 Ver Mapa"/>
    <hyperlink ref="L11787" r:id="rId11785" tooltip="🔗 Ver Mapa" display="🔗 Ver Mapa"/>
    <hyperlink ref="L11788" r:id="rId11786" tooltip="🔗 Ver Mapa" display="🔗 Ver Mapa"/>
    <hyperlink ref="L11789" r:id="rId11787" tooltip="🔗 Ver Mapa" display="🔗 Ver Mapa"/>
    <hyperlink ref="L11790" r:id="rId11788" tooltip="🔗 Ver Mapa" display="🔗 Ver Mapa"/>
    <hyperlink ref="L11791" r:id="rId11789" tooltip="🔗 Ver Mapa" display="🔗 Ver Mapa"/>
    <hyperlink ref="L11792" r:id="rId11790" tooltip="🔗 Ver Mapa" display="🔗 Ver Mapa"/>
    <hyperlink ref="L11793" r:id="rId11791" tooltip="🔗 Ver Mapa" display="🔗 Ver Mapa"/>
    <hyperlink ref="L11794" r:id="rId11792" tooltip="🔗 Ver Mapa" display="🔗 Ver Mapa"/>
    <hyperlink ref="L11795" r:id="rId11793" tooltip="🔗 Ver Mapa" display="🔗 Ver Mapa"/>
    <hyperlink ref="L11796" r:id="rId11794" tooltip="🔗 Ver Mapa" display="🔗 Ver Mapa"/>
    <hyperlink ref="L11797" r:id="rId11795" tooltip="🔗 Ver Mapa" display="🔗 Ver Mapa"/>
    <hyperlink ref="L11798" r:id="rId11796" tooltip="🔗 Ver Mapa" display="🔗 Ver Mapa"/>
    <hyperlink ref="L11799" r:id="rId11797" tooltip="🔗 Ver Mapa" display="🔗 Ver Mapa"/>
    <hyperlink ref="L11800" r:id="rId11798" tooltip="🔗 Ver Mapa" display="🔗 Ver Mapa"/>
    <hyperlink ref="L11801" r:id="rId11799" tooltip="🔗 Ver Mapa" display="🔗 Ver Mapa"/>
    <hyperlink ref="L11802" r:id="rId11800" tooltip="🔗 Ver Mapa" display="🔗 Ver Mapa"/>
    <hyperlink ref="L11803" r:id="rId11801" tooltip="🔗 Ver Mapa" display="🔗 Ver Mapa"/>
    <hyperlink ref="L11804" r:id="rId11802" tooltip="🔗 Ver Mapa" display="🔗 Ver Mapa"/>
    <hyperlink ref="L11805" r:id="rId11803" tooltip="🔗 Ver Mapa" display="🔗 Ver Mapa"/>
    <hyperlink ref="L11806" r:id="rId11804" tooltip="🔗 Ver Mapa" display="🔗 Ver Mapa"/>
    <hyperlink ref="L11807" r:id="rId11805" tooltip="🔗 Ver Mapa" display="🔗 Ver Mapa"/>
    <hyperlink ref="L11808" r:id="rId11806" tooltip="🔗 Ver Mapa" display="🔗 Ver Mapa"/>
    <hyperlink ref="L11809" r:id="rId11807" tooltip="🔗 Ver Mapa" display="🔗 Ver Mapa"/>
    <hyperlink ref="L11810" r:id="rId11808" tooltip="🔗 Ver Mapa" display="🔗 Ver Mapa"/>
    <hyperlink ref="L11811" r:id="rId11809" tooltip="🔗 Ver Mapa" display="🔗 Ver Mapa"/>
    <hyperlink ref="L11812" r:id="rId11810" tooltip="🔗 Ver Mapa" display="🔗 Ver Mapa"/>
    <hyperlink ref="L11813" r:id="rId11811" tooltip="🔗 Ver Mapa" display="🔗 Ver Mapa"/>
    <hyperlink ref="L11814" r:id="rId11812" tooltip="🔗 Ver Mapa" display="🔗 Ver Mapa"/>
    <hyperlink ref="L11815" r:id="rId11813" tooltip="🔗 Ver Mapa" display="🔗 Ver Mapa"/>
    <hyperlink ref="L11816" r:id="rId11814" tooltip="🔗 Ver Mapa" display="🔗 Ver Mapa"/>
    <hyperlink ref="L11817" r:id="rId11815" tooltip="🔗 Ver Mapa" display="🔗 Ver Mapa"/>
    <hyperlink ref="L11818" r:id="rId11816" tooltip="🔗 Ver Mapa" display="🔗 Ver Mapa"/>
    <hyperlink ref="L11819" r:id="rId11817" tooltip="🔗 Ver Mapa" display="🔗 Ver Mapa"/>
    <hyperlink ref="L11820" r:id="rId11818" tooltip="🔗 Ver Mapa" display="🔗 Ver Mapa"/>
    <hyperlink ref="L11821" r:id="rId11819" tooltip="🔗 Ver Mapa" display="🔗 Ver Mapa"/>
    <hyperlink ref="L11822" r:id="rId11820" tooltip="🔗 Ver Mapa" display="🔗 Ver Mapa"/>
    <hyperlink ref="L11823" r:id="rId11821" tooltip="🔗 Ver Mapa" display="🔗 Ver Mapa"/>
    <hyperlink ref="L11824" r:id="rId11822" tooltip="🔗 Ver Mapa" display="🔗 Ver Mapa"/>
    <hyperlink ref="L11825" r:id="rId11823" tooltip="🔗 Ver Mapa" display="🔗 Ver Mapa"/>
    <hyperlink ref="L11826" r:id="rId11824" tooltip="🔗 Ver Mapa" display="🔗 Ver Mapa"/>
    <hyperlink ref="L11827" r:id="rId11825" tooltip="🔗 Ver Mapa" display="🔗 Ver Mapa"/>
    <hyperlink ref="L11828" r:id="rId11826" tooltip="🔗 Ver Mapa" display="🔗 Ver Mapa"/>
    <hyperlink ref="L11829" r:id="rId11827" tooltip="🔗 Ver Mapa" display="🔗 Ver Mapa"/>
    <hyperlink ref="L11830" r:id="rId11828" tooltip="🔗 Ver Mapa" display="🔗 Ver Mapa"/>
    <hyperlink ref="L11831" r:id="rId11829" tooltip="🔗 Ver Mapa" display="🔗 Ver Mapa"/>
    <hyperlink ref="L11832" r:id="rId11830" tooltip="🔗 Ver Mapa" display="🔗 Ver Mapa"/>
    <hyperlink ref="L11833" r:id="rId11831" tooltip="🔗 Ver Mapa" display="🔗 Ver Mapa"/>
    <hyperlink ref="L11834" r:id="rId11832" tooltip="🔗 Ver Mapa" display="🔗 Ver Mapa"/>
    <hyperlink ref="L11835" r:id="rId11833" tooltip="🔗 Ver Mapa" display="🔗 Ver Mapa"/>
    <hyperlink ref="L11836" r:id="rId11834" tooltip="🔗 Ver Mapa" display="🔗 Ver Mapa"/>
    <hyperlink ref="L11837" r:id="rId11835" tooltip="🔗 Ver Mapa" display="🔗 Ver Mapa"/>
    <hyperlink ref="L11838" r:id="rId11836" tooltip="🔗 Ver Mapa" display="🔗 Ver Mapa"/>
    <hyperlink ref="L11839" r:id="rId11837" tooltip="🔗 Ver Mapa" display="🔗 Ver Mapa"/>
    <hyperlink ref="L11840" r:id="rId11838" tooltip="🔗 Ver Mapa" display="🔗 Ver Mapa"/>
    <hyperlink ref="L11841" r:id="rId11839" tooltip="🔗 Ver Mapa" display="🔗 Ver Mapa"/>
    <hyperlink ref="L11842" r:id="rId11840" tooltip="🔗 Ver Mapa" display="🔗 Ver Mapa"/>
    <hyperlink ref="L11843" r:id="rId11841" tooltip="🔗 Ver Mapa" display="🔗 Ver Mapa"/>
    <hyperlink ref="L11844" r:id="rId11842" tooltip="🔗 Ver Mapa" display="🔗 Ver Mapa"/>
    <hyperlink ref="L11845" r:id="rId11843" tooltip="🔗 Ver Mapa" display="🔗 Ver Mapa"/>
    <hyperlink ref="L11846" r:id="rId11844" tooltip="🔗 Ver Mapa" display="🔗 Ver Mapa"/>
    <hyperlink ref="L11847" r:id="rId11845" tooltip="🔗 Ver Mapa" display="🔗 Ver Mapa"/>
    <hyperlink ref="L11848" r:id="rId11846" tooltip="🔗 Ver Mapa" display="🔗 Ver Mapa"/>
    <hyperlink ref="L11849" r:id="rId11847" tooltip="🔗 Ver Mapa" display="🔗 Ver Mapa"/>
    <hyperlink ref="L11850" r:id="rId11848" tooltip="🔗 Ver Mapa" display="🔗 Ver Mapa"/>
    <hyperlink ref="L11851" r:id="rId11849" tooltip="🔗 Ver Mapa" display="🔗 Ver Mapa"/>
    <hyperlink ref="L11852" r:id="rId11850" tooltip="🔗 Ver Mapa" display="🔗 Ver Mapa"/>
    <hyperlink ref="L11853" r:id="rId11851" tooltip="🔗 Ver Mapa" display="🔗 Ver Mapa"/>
    <hyperlink ref="L11854" r:id="rId11852" tooltip="🔗 Ver Mapa" display="🔗 Ver Mapa"/>
    <hyperlink ref="L11855" r:id="rId11853" tooltip="🔗 Ver Mapa" display="🔗 Ver Mapa"/>
    <hyperlink ref="L11856" r:id="rId11854" tooltip="🔗 Ver Mapa" display="🔗 Ver Mapa"/>
    <hyperlink ref="L11857" r:id="rId11855" tooltip="🔗 Ver Mapa" display="🔗 Ver Mapa"/>
    <hyperlink ref="L11858" r:id="rId11856" tooltip="🔗 Ver Mapa" display="🔗 Ver Mapa"/>
    <hyperlink ref="L11859" r:id="rId11857" tooltip="🔗 Ver Mapa" display="🔗 Ver Mapa"/>
    <hyperlink ref="L11860" r:id="rId11858" tooltip="🔗 Ver Mapa" display="🔗 Ver Mapa"/>
    <hyperlink ref="L11861" r:id="rId11859" tooltip="🔗 Ver Mapa" display="🔗 Ver Mapa"/>
    <hyperlink ref="L11862" r:id="rId11860" tooltip="🔗 Ver Mapa" display="🔗 Ver Mapa"/>
    <hyperlink ref="L11863" r:id="rId11861" tooltip="🔗 Ver Mapa" display="🔗 Ver Mapa"/>
    <hyperlink ref="L11864" r:id="rId11862" tooltip="🔗 Ver Mapa" display="🔗 Ver Mapa"/>
    <hyperlink ref="L11865" r:id="rId11863" tooltip="🔗 Ver Mapa" display="🔗 Ver Mapa"/>
    <hyperlink ref="L11866" r:id="rId11864" tooltip="🔗 Ver Mapa" display="🔗 Ver Mapa"/>
    <hyperlink ref="L11867" r:id="rId11865" tooltip="🔗 Ver Mapa" display="🔗 Ver Mapa"/>
    <hyperlink ref="L11868" r:id="rId11866" tooltip="🔗 Ver Mapa" display="🔗 Ver Mapa"/>
    <hyperlink ref="L11869" r:id="rId11867" tooltip="🔗 Ver Mapa" display="🔗 Ver Mapa"/>
    <hyperlink ref="L11870" r:id="rId11868" tooltip="🔗 Ver Mapa" display="🔗 Ver Mapa"/>
    <hyperlink ref="L11871" r:id="rId11869" tooltip="🔗 Ver Mapa" display="🔗 Ver Mapa"/>
    <hyperlink ref="L11872" r:id="rId11870" tooltip="🔗 Ver Mapa" display="🔗 Ver Mapa"/>
    <hyperlink ref="L11873" r:id="rId11871" tooltip="🔗 Ver Mapa" display="🔗 Ver Mapa"/>
    <hyperlink ref="L11874" r:id="rId11872" tooltip="🔗 Ver Mapa" display="🔗 Ver Mapa"/>
    <hyperlink ref="L11875" r:id="rId11873" tooltip="🔗 Ver Mapa" display="🔗 Ver Mapa"/>
    <hyperlink ref="L11876" r:id="rId11874" tooltip="🔗 Ver Mapa" display="🔗 Ver Mapa"/>
    <hyperlink ref="L11877" r:id="rId11875" tooltip="🔗 Ver Mapa" display="🔗 Ver Mapa"/>
    <hyperlink ref="L11878" r:id="rId11876" tooltip="🔗 Ver Mapa" display="🔗 Ver Mapa"/>
    <hyperlink ref="L11879" r:id="rId11877" tooltip="🔗 Ver Mapa" display="🔗 Ver Mapa"/>
    <hyperlink ref="L11880" r:id="rId11878" tooltip="🔗 Ver Mapa" display="🔗 Ver Mapa"/>
    <hyperlink ref="L11881" r:id="rId11879" tooltip="🔗 Ver Mapa" display="🔗 Ver Mapa"/>
    <hyperlink ref="L11882" r:id="rId11880" tooltip="🔗 Ver Mapa" display="🔗 Ver Mapa"/>
    <hyperlink ref="L11883" r:id="rId11881" tooltip="🔗 Ver Mapa" display="🔗 Ver Mapa"/>
    <hyperlink ref="L11884" r:id="rId11882" tooltip="🔗 Ver Mapa" display="🔗 Ver Mapa"/>
    <hyperlink ref="L11885" r:id="rId11883" tooltip="🔗 Ver Mapa" display="🔗 Ver Mapa"/>
    <hyperlink ref="L11886" r:id="rId11884" tooltip="🔗 Ver Mapa" display="🔗 Ver Mapa"/>
    <hyperlink ref="L11887" r:id="rId11885" tooltip="🔗 Ver Mapa" display="🔗 Ver Mapa"/>
    <hyperlink ref="L11888" r:id="rId11886" tooltip="🔗 Ver Mapa" display="🔗 Ver Mapa"/>
    <hyperlink ref="L11889" r:id="rId11887" tooltip="🔗 Ver Mapa" display="🔗 Ver Mapa"/>
    <hyperlink ref="L11890" r:id="rId11888" tooltip="🔗 Ver Mapa" display="🔗 Ver Mapa"/>
    <hyperlink ref="L11891" r:id="rId11889" tooltip="🔗 Ver Mapa" display="🔗 Ver Mapa"/>
    <hyperlink ref="L11892" r:id="rId11890" tooltip="🔗 Ver Mapa" display="🔗 Ver Mapa"/>
    <hyperlink ref="L11893" r:id="rId11891" tooltip="🔗 Ver Mapa" display="🔗 Ver Mapa"/>
    <hyperlink ref="L11894" r:id="rId11892" tooltip="🔗 Ver Mapa" display="🔗 Ver Mapa"/>
    <hyperlink ref="L11895" r:id="rId11893" tooltip="🔗 Ver Mapa" display="🔗 Ver Mapa"/>
    <hyperlink ref="L11896" r:id="rId11894" tooltip="🔗 Ver Mapa" display="🔗 Ver Mapa"/>
    <hyperlink ref="L11897" r:id="rId11895" tooltip="🔗 Ver Mapa" display="🔗 Ver Mapa"/>
    <hyperlink ref="L11898" r:id="rId11896" tooltip="🔗 Ver Mapa" display="🔗 Ver Mapa"/>
    <hyperlink ref="L11899" r:id="rId11897" tooltip="🔗 Ver Mapa" display="🔗 Ver Mapa"/>
    <hyperlink ref="L11900" r:id="rId11898" tooltip="🔗 Ver Mapa" display="🔗 Ver Mapa"/>
    <hyperlink ref="L11901" r:id="rId11899" tooltip="🔗 Ver Mapa" display="🔗 Ver Mapa"/>
    <hyperlink ref="L11902" r:id="rId11900" tooltip="🔗 Ver Mapa" display="🔗 Ver Mapa"/>
    <hyperlink ref="L11903" r:id="rId11901" tooltip="🔗 Ver Mapa" display="🔗 Ver Mapa"/>
    <hyperlink ref="L11904" r:id="rId11902" tooltip="🔗 Ver Mapa" display="🔗 Ver Mapa"/>
    <hyperlink ref="L11905" r:id="rId11903" tooltip="🔗 Ver Mapa" display="🔗 Ver Mapa"/>
    <hyperlink ref="L11906" r:id="rId11904" tooltip="🔗 Ver Mapa" display="🔗 Ver Mapa"/>
    <hyperlink ref="L11907" r:id="rId11905" tooltip="🔗 Ver Mapa" display="🔗 Ver Mapa"/>
    <hyperlink ref="L11908" r:id="rId11906" tooltip="🔗 Ver Mapa" display="🔗 Ver Mapa"/>
    <hyperlink ref="L11909" r:id="rId11907" tooltip="🔗 Ver Mapa" display="🔗 Ver Mapa"/>
    <hyperlink ref="L11910" r:id="rId11908" tooltip="🔗 Ver Mapa" display="🔗 Ver Mapa"/>
    <hyperlink ref="L11911" r:id="rId11909" tooltip="🔗 Ver Mapa" display="🔗 Ver Mapa"/>
    <hyperlink ref="L11912" r:id="rId11910" tooltip="🔗 Ver Mapa" display="🔗 Ver Mapa"/>
    <hyperlink ref="L11913" r:id="rId11911" tooltip="🔗 Ver Mapa" display="🔗 Ver Mapa"/>
    <hyperlink ref="L11914" r:id="rId11912" tooltip="🔗 Ver Mapa" display="🔗 Ver Mapa"/>
    <hyperlink ref="L11915" r:id="rId11913" tooltip="🔗 Ver Mapa" display="🔗 Ver Mapa"/>
    <hyperlink ref="L11916" r:id="rId11914" tooltip="🔗 Ver Mapa" display="🔗 Ver Mapa"/>
    <hyperlink ref="L11917" r:id="rId11915" tooltip="🔗 Ver Mapa" display="🔗 Ver Mapa"/>
    <hyperlink ref="L11918" r:id="rId11916" tooltip="🔗 Ver Mapa" display="🔗 Ver Mapa"/>
    <hyperlink ref="L11919" r:id="rId11917" tooltip="🔗 Ver Mapa" display="🔗 Ver Mapa"/>
    <hyperlink ref="L11920" r:id="rId11918" tooltip="🔗 Ver Mapa" display="🔗 Ver Mapa"/>
    <hyperlink ref="L11921" r:id="rId11919" tooltip="🔗 Ver Mapa" display="🔗 Ver Mapa"/>
    <hyperlink ref="L11922" r:id="rId11920" tooltip="🔗 Ver Mapa" display="🔗 Ver Mapa"/>
    <hyperlink ref="L11923" r:id="rId11921" tooltip="🔗 Ver Mapa" display="🔗 Ver Mapa"/>
    <hyperlink ref="L11924" r:id="rId11922" tooltip="🔗 Ver Mapa" display="🔗 Ver Mapa"/>
    <hyperlink ref="L11925" r:id="rId11923" tooltip="🔗 Ver Mapa" display="🔗 Ver Mapa"/>
    <hyperlink ref="L11926" r:id="rId11924" tooltip="🔗 Ver Mapa" display="🔗 Ver Mapa"/>
    <hyperlink ref="L11927" r:id="rId11925" tooltip="🔗 Ver Mapa" display="🔗 Ver Mapa"/>
    <hyperlink ref="L11928" r:id="rId11926" tooltip="🔗 Ver Mapa" display="🔗 Ver Mapa"/>
    <hyperlink ref="L11929" r:id="rId11927" tooltip="🔗 Ver Mapa" display="🔗 Ver Mapa"/>
    <hyperlink ref="L11930" r:id="rId11928" tooltip="🔗 Ver Mapa" display="🔗 Ver Mapa"/>
    <hyperlink ref="L11931" r:id="rId11929" tooltip="🔗 Ver Mapa" display="🔗 Ver Mapa"/>
    <hyperlink ref="L11932" r:id="rId11930" tooltip="🔗 Ver Mapa" display="🔗 Ver Mapa"/>
    <hyperlink ref="L11933" r:id="rId11931" tooltip="🔗 Ver Mapa" display="🔗 Ver Mapa"/>
    <hyperlink ref="L11934" r:id="rId11932" tooltip="🔗 Ver Mapa" display="🔗 Ver Mapa"/>
    <hyperlink ref="L11935" r:id="rId11933" tooltip="🔗 Ver Mapa" display="🔗 Ver Mapa"/>
    <hyperlink ref="L11936" r:id="rId11934" tooltip="🔗 Ver Mapa" display="🔗 Ver Mapa"/>
    <hyperlink ref="L11937" r:id="rId11935" tooltip="🔗 Ver Mapa" display="🔗 Ver Mapa"/>
    <hyperlink ref="L11938" r:id="rId11936" tooltip="🔗 Ver Mapa" display="🔗 Ver Mapa"/>
    <hyperlink ref="L11939" r:id="rId11937" tooltip="🔗 Ver Mapa" display="🔗 Ver Mapa"/>
    <hyperlink ref="L11940" r:id="rId11938" tooltip="🔗 Ver Mapa" display="🔗 Ver Mapa"/>
    <hyperlink ref="L11941" r:id="rId11939" tooltip="🔗 Ver Mapa" display="🔗 Ver Mapa"/>
    <hyperlink ref="L11942" r:id="rId11940" tooltip="🔗 Ver Mapa" display="🔗 Ver Mapa"/>
    <hyperlink ref="L11943" r:id="rId11941" tooltip="🔗 Ver Mapa" display="🔗 Ver Mapa"/>
    <hyperlink ref="L11944" r:id="rId11942" tooltip="🔗 Ver Mapa" display="🔗 Ver Mapa"/>
    <hyperlink ref="L11945" r:id="rId11943" tooltip="🔗 Ver Mapa" display="🔗 Ver Mapa"/>
    <hyperlink ref="L11946" r:id="rId11944" tooltip="🔗 Ver Mapa" display="🔗 Ver Mapa"/>
    <hyperlink ref="L11947" r:id="rId11945" tooltip="🔗 Ver Mapa" display="🔗 Ver Mapa"/>
    <hyperlink ref="L11948" r:id="rId11946" tooltip="🔗 Ver Mapa" display="🔗 Ver Mapa"/>
    <hyperlink ref="L11949" r:id="rId11947" tooltip="🔗 Ver Mapa" display="🔗 Ver Mapa"/>
    <hyperlink ref="L11950" r:id="rId11948" tooltip="🔗 Ver Mapa" display="🔗 Ver Mapa"/>
    <hyperlink ref="L11951" r:id="rId11949" tooltip="🔗 Ver Mapa" display="🔗 Ver Mapa"/>
    <hyperlink ref="L11952" r:id="rId11950" tooltip="🔗 Ver Mapa" display="🔗 Ver Mapa"/>
    <hyperlink ref="L11953" r:id="rId11951" tooltip="🔗 Ver Mapa" display="🔗 Ver Mapa"/>
    <hyperlink ref="L11954" r:id="rId11952" tooltip="🔗 Ver Mapa" display="🔗 Ver Mapa"/>
    <hyperlink ref="L11955" r:id="rId11953" tooltip="🔗 Ver Mapa" display="🔗 Ver Mapa"/>
    <hyperlink ref="L11956" r:id="rId11954" tooltip="🔗 Ver Mapa" display="🔗 Ver Mapa"/>
    <hyperlink ref="L11957" r:id="rId11955" tooltip="🔗 Ver Mapa" display="🔗 Ver Mapa"/>
    <hyperlink ref="L11958" r:id="rId11956" tooltip="🔗 Ver Mapa" display="🔗 Ver Mapa"/>
    <hyperlink ref="L11959" r:id="rId11957" tooltip="🔗 Ver Mapa" display="🔗 Ver Mapa"/>
    <hyperlink ref="L11960" r:id="rId11958" tooltip="🔗 Ver Mapa" display="🔗 Ver Mapa"/>
    <hyperlink ref="L11961" r:id="rId11959" tooltip="🔗 Ver Mapa" display="🔗 Ver Mapa"/>
    <hyperlink ref="L11962" r:id="rId11960" tooltip="🔗 Ver Mapa" display="🔗 Ver Mapa"/>
    <hyperlink ref="L11963" r:id="rId11961" tooltip="🔗 Ver Mapa" display="🔗 Ver Mapa"/>
    <hyperlink ref="L11964" r:id="rId11962" tooltip="🔗 Ver Mapa" display="🔗 Ver Mapa"/>
    <hyperlink ref="L11965" r:id="rId11963" tooltip="🔗 Ver Mapa" display="🔗 Ver Mapa"/>
    <hyperlink ref="L11966" r:id="rId11964" tooltip="🔗 Ver Mapa" display="🔗 Ver Mapa"/>
    <hyperlink ref="L11967" r:id="rId11965" tooltip="🔗 Ver Mapa" display="🔗 Ver Mapa"/>
    <hyperlink ref="L11968" r:id="rId11966" tooltip="🔗 Ver Mapa" display="🔗 Ver Mapa"/>
    <hyperlink ref="L11969" r:id="rId11967" tooltip="🔗 Ver Mapa" display="🔗 Ver Mapa"/>
    <hyperlink ref="L11970" r:id="rId11968" tooltip="🔗 Ver Mapa" display="🔗 Ver Mapa"/>
    <hyperlink ref="L11971" r:id="rId11969" tooltip="🔗 Ver Mapa" display="🔗 Ver Mapa"/>
    <hyperlink ref="L11972" r:id="rId11970" tooltip="🔗 Ver Mapa" display="🔗 Ver Mapa"/>
    <hyperlink ref="L11973" r:id="rId11971" tooltip="🔗 Ver Mapa" display="🔗 Ver Mapa"/>
    <hyperlink ref="L11974" r:id="rId11972" tooltip="🔗 Ver Mapa" display="🔗 Ver Mapa"/>
    <hyperlink ref="L11975" r:id="rId11973" tooltip="🔗 Ver Mapa" display="🔗 Ver Mapa"/>
    <hyperlink ref="L11976" r:id="rId11974" tooltip="🔗 Ver Mapa" display="🔗 Ver Mapa"/>
    <hyperlink ref="L11977" r:id="rId11975" tooltip="🔗 Ver Mapa" display="🔗 Ver Mapa"/>
    <hyperlink ref="L11978" r:id="rId11976" tooltip="🔗 Ver Mapa" display="🔗 Ver Mapa"/>
    <hyperlink ref="L11979" r:id="rId11977" tooltip="🔗 Ver Mapa" display="🔗 Ver Mapa"/>
    <hyperlink ref="L11980" r:id="rId11978" tooltip="🔗 Ver Mapa" display="🔗 Ver Mapa"/>
    <hyperlink ref="L11981" r:id="rId11979" tooltip="🔗 Ver Mapa" display="🔗 Ver Mapa"/>
    <hyperlink ref="L11982" r:id="rId11980" tooltip="🔗 Ver Mapa" display="🔗 Ver Mapa"/>
    <hyperlink ref="L11983" r:id="rId11981" tooltip="🔗 Ver Mapa" display="🔗 Ver Mapa"/>
    <hyperlink ref="L11984" r:id="rId11982" tooltip="🔗 Ver Mapa" display="🔗 Ver Mapa"/>
    <hyperlink ref="L11985" r:id="rId11983" tooltip="🔗 Ver Mapa" display="🔗 Ver Mapa"/>
    <hyperlink ref="L11986" r:id="rId11984" tooltip="🔗 Ver Mapa" display="🔗 Ver Mapa"/>
    <hyperlink ref="L11987" r:id="rId11985" tooltip="🔗 Ver Mapa" display="🔗 Ver Mapa"/>
    <hyperlink ref="L11988" r:id="rId11986" tooltip="🔗 Ver Mapa" display="🔗 Ver Mapa"/>
    <hyperlink ref="L11989" r:id="rId11987" tooltip="🔗 Ver Mapa" display="🔗 Ver Mapa"/>
    <hyperlink ref="L11990" r:id="rId11988" tooltip="🔗 Ver Mapa" display="🔗 Ver Mapa"/>
    <hyperlink ref="L11991" r:id="rId11989" tooltip="🔗 Ver Mapa" display="🔗 Ver Mapa"/>
    <hyperlink ref="L11992" r:id="rId11990" tooltip="🔗 Ver Mapa" display="🔗 Ver Mapa"/>
    <hyperlink ref="L11993" r:id="rId11991" tooltip="🔗 Ver Mapa" display="🔗 Ver Mapa"/>
    <hyperlink ref="L11994" r:id="rId11992" tooltip="🔗 Ver Mapa" display="🔗 Ver Mapa"/>
    <hyperlink ref="L11995" r:id="rId11993" tooltip="🔗 Ver Mapa" display="🔗 Ver Mapa"/>
    <hyperlink ref="L11996" r:id="rId11994" tooltip="🔗 Ver Mapa" display="🔗 Ver Mapa"/>
    <hyperlink ref="L11997" r:id="rId11995" tooltip="🔗 Ver Mapa" display="🔗 Ver Mapa"/>
    <hyperlink ref="L11998" r:id="rId11996" tooltip="🔗 Ver Mapa" display="🔗 Ver Mapa"/>
    <hyperlink ref="L11999" r:id="rId11997" tooltip="🔗 Ver Mapa" display="🔗 Ver Mapa"/>
    <hyperlink ref="L12000" r:id="rId11998" tooltip="🔗 Ver Mapa" display="🔗 Ver Mapa"/>
    <hyperlink ref="L12001" r:id="rId11999" tooltip="🔗 Ver Mapa" display="🔗 Ver Mapa"/>
    <hyperlink ref="L12002" r:id="rId12000" tooltip="🔗 Ver Mapa" display="🔗 Ver Mapa"/>
    <hyperlink ref="L12003" r:id="rId12001" tooltip="🔗 Ver Mapa" display="🔗 Ver Mapa"/>
    <hyperlink ref="L12004" r:id="rId12002" tooltip="🔗 Ver Mapa" display="🔗 Ver Mapa"/>
    <hyperlink ref="L12005" r:id="rId12003" tooltip="🔗 Ver Mapa" display="🔗 Ver Mapa"/>
    <hyperlink ref="L12006" r:id="rId12004" tooltip="🔗 Ver Mapa" display="🔗 Ver Mapa"/>
    <hyperlink ref="L12007" r:id="rId12005" tooltip="🔗 Ver Mapa" display="🔗 Ver Mapa"/>
    <hyperlink ref="L12008" r:id="rId12006" tooltip="🔗 Ver Mapa" display="🔗 Ver Mapa"/>
    <hyperlink ref="L12009" r:id="rId12007" tooltip="🔗 Ver Mapa" display="🔗 Ver Mapa"/>
    <hyperlink ref="L12010" r:id="rId12008" tooltip="🔗 Ver Mapa" display="🔗 Ver Mapa"/>
    <hyperlink ref="L12011" r:id="rId12009" tooltip="🔗 Ver Mapa" display="🔗 Ver Mapa"/>
    <hyperlink ref="L12012" r:id="rId12010" tooltip="🔗 Ver Mapa" display="🔗 Ver Mapa"/>
    <hyperlink ref="L12013" r:id="rId12011" tooltip="🔗 Ver Mapa" display="🔗 Ver Mapa"/>
    <hyperlink ref="L12014" r:id="rId12012" tooltip="🔗 Ver Mapa" display="🔗 Ver Mapa"/>
    <hyperlink ref="L12015" r:id="rId12013" tooltip="🔗 Ver Mapa" display="🔗 Ver Mapa"/>
    <hyperlink ref="L12016" r:id="rId12014" tooltip="🔗 Ver Mapa" display="🔗 Ver Mapa"/>
    <hyperlink ref="L12017" r:id="rId12015" tooltip="🔗 Ver Mapa" display="🔗 Ver Mapa"/>
    <hyperlink ref="L12018" r:id="rId12016" tooltip="🔗 Ver Mapa" display="🔗 Ver Mapa"/>
    <hyperlink ref="L12019" r:id="rId12017" tooltip="🔗 Ver Mapa" display="🔗 Ver Mapa"/>
    <hyperlink ref="L12020" r:id="rId12018" tooltip="🔗 Ver Mapa" display="🔗 Ver Mapa"/>
    <hyperlink ref="L12021" r:id="rId12019" tooltip="🔗 Ver Mapa" display="🔗 Ver Mapa"/>
    <hyperlink ref="L12022" r:id="rId12020" tooltip="🔗 Ver Mapa" display="🔗 Ver Mapa"/>
    <hyperlink ref="L12023" r:id="rId12021" tooltip="🔗 Ver Mapa" display="🔗 Ver Mapa"/>
    <hyperlink ref="L12024" r:id="rId12022" tooltip="🔗 Ver Mapa" display="🔗 Ver Mapa"/>
    <hyperlink ref="L12025" r:id="rId12023" tooltip="🔗 Ver Mapa" display="🔗 Ver Mapa"/>
    <hyperlink ref="L12026" r:id="rId12024" tooltip="🔗 Ver Mapa" display="🔗 Ver Mapa"/>
    <hyperlink ref="L12027" r:id="rId12025" tooltip="🔗 Ver Mapa" display="🔗 Ver Mapa"/>
    <hyperlink ref="L12028" r:id="rId12026" tooltip="🔗 Ver Mapa" display="🔗 Ver Mapa"/>
    <hyperlink ref="L12029" r:id="rId12027" tooltip="🔗 Ver Mapa" display="🔗 Ver Mapa"/>
    <hyperlink ref="L12030" r:id="rId12028" tooltip="🔗 Ver Mapa" display="🔗 Ver Mapa"/>
    <hyperlink ref="L12031" r:id="rId12029" tooltip="🔗 Ver Mapa" display="🔗 Ver Mapa"/>
    <hyperlink ref="L12032" r:id="rId12030" tooltip="🔗 Ver Mapa" display="🔗 Ver Mapa"/>
    <hyperlink ref="L12033" r:id="rId12031" tooltip="🔗 Ver Mapa" display="🔗 Ver Mapa"/>
    <hyperlink ref="L12034" r:id="rId12032" tooltip="🔗 Ver Mapa" display="🔗 Ver Mapa"/>
    <hyperlink ref="L12035" r:id="rId12033" tooltip="🔗 Ver Mapa" display="🔗 Ver Mapa"/>
    <hyperlink ref="L12036" r:id="rId12034" tooltip="🔗 Ver Mapa" display="🔗 Ver Mapa"/>
    <hyperlink ref="L12037" r:id="rId12035" tooltip="🔗 Ver Mapa" display="🔗 Ver Mapa"/>
    <hyperlink ref="L12038" r:id="rId12036" tooltip="🔗 Ver Mapa" display="🔗 Ver Mapa"/>
    <hyperlink ref="L12039" r:id="rId12037" tooltip="🔗 Ver Mapa" display="🔗 Ver Mapa"/>
    <hyperlink ref="L12040" r:id="rId12038" tooltip="🔗 Ver Mapa" display="🔗 Ver Mapa"/>
    <hyperlink ref="L12041" r:id="rId12039" tooltip="🔗 Ver Mapa" display="🔗 Ver Mapa"/>
    <hyperlink ref="L12042" r:id="rId12040" tooltip="🔗 Ver Mapa" display="🔗 Ver Mapa"/>
    <hyperlink ref="L12043" r:id="rId12041" tooltip="🔗 Ver Mapa" display="🔗 Ver Mapa"/>
    <hyperlink ref="L12044" r:id="rId12042" tooltip="🔗 Ver Mapa" display="🔗 Ver Mapa"/>
    <hyperlink ref="L12045" r:id="rId12043" tooltip="🔗 Ver Mapa" display="🔗 Ver Mapa"/>
    <hyperlink ref="L12046" r:id="rId12044" tooltip="🔗 Ver Mapa" display="🔗 Ver Mapa"/>
    <hyperlink ref="L12047" r:id="rId12045" tooltip="🔗 Ver Mapa" display="🔗 Ver Mapa"/>
    <hyperlink ref="L12048" r:id="rId12046" tooltip="🔗 Ver Mapa" display="🔗 Ver Mapa"/>
    <hyperlink ref="L12049" r:id="rId12047" tooltip="🔗 Ver Mapa" display="🔗 Ver Mapa"/>
    <hyperlink ref="L12050" r:id="rId12048" tooltip="🔗 Ver Mapa" display="🔗 Ver Mapa"/>
    <hyperlink ref="L12051" r:id="rId12049" tooltip="🔗 Ver Mapa" display="🔗 Ver Mapa"/>
    <hyperlink ref="L12052" r:id="rId12050" tooltip="🔗 Ver Mapa" display="🔗 Ver Mapa"/>
    <hyperlink ref="L12053" r:id="rId12051" tooltip="🔗 Ver Mapa" display="🔗 Ver Mapa"/>
    <hyperlink ref="L12054" r:id="rId12052" tooltip="🔗 Ver Mapa" display="🔗 Ver Mapa"/>
    <hyperlink ref="L12055" r:id="rId12053" tooltip="🔗 Ver Mapa" display="🔗 Ver Mapa"/>
    <hyperlink ref="L12056" r:id="rId12054" tooltip="🔗 Ver Mapa" display="🔗 Ver Mapa"/>
    <hyperlink ref="L12057" r:id="rId12055" tooltip="🔗 Ver Mapa" display="🔗 Ver Mapa"/>
    <hyperlink ref="L12058" r:id="rId12056" tooltip="🔗 Ver Mapa" display="🔗 Ver Mapa"/>
    <hyperlink ref="L12059" r:id="rId12057" tooltip="🔗 Ver Mapa" display="🔗 Ver Mapa"/>
    <hyperlink ref="L12060" r:id="rId12058" tooltip="🔗 Ver Mapa" display="🔗 Ver Mapa"/>
    <hyperlink ref="L12061" r:id="rId12059" tooltip="🔗 Ver Mapa" display="🔗 Ver Mapa"/>
    <hyperlink ref="L12062" r:id="rId12060" tooltip="🔗 Ver Mapa" display="🔗 Ver Mapa"/>
    <hyperlink ref="L12063" r:id="rId12061" tooltip="🔗 Ver Mapa" display="🔗 Ver Mapa"/>
    <hyperlink ref="L12064" r:id="rId12062" tooltip="🔗 Ver Mapa" display="🔗 Ver Mapa"/>
    <hyperlink ref="L12065" r:id="rId12063" tooltip="🔗 Ver Mapa" display="🔗 Ver Mapa"/>
    <hyperlink ref="L12066" r:id="rId12064" tooltip="🔗 Ver Mapa" display="🔗 Ver Mapa"/>
    <hyperlink ref="L12067" r:id="rId12065" tooltip="🔗 Ver Mapa" display="🔗 Ver Mapa"/>
    <hyperlink ref="L12068" r:id="rId12066" tooltip="🔗 Ver Mapa" display="🔗 Ver Mapa"/>
    <hyperlink ref="L12069" r:id="rId12067" tooltip="🔗 Ver Mapa" display="🔗 Ver Mapa"/>
    <hyperlink ref="L12070" r:id="rId12068" tooltip="🔗 Ver Mapa" display="🔗 Ver Mapa"/>
    <hyperlink ref="L12071" r:id="rId12069" tooltip="🔗 Ver Mapa" display="🔗 Ver Mapa"/>
    <hyperlink ref="L12072" r:id="rId12070" tooltip="🔗 Ver Mapa" display="🔗 Ver Mapa"/>
    <hyperlink ref="L12073" r:id="rId12071" tooltip="🔗 Ver Mapa" display="🔗 Ver Mapa"/>
    <hyperlink ref="L12074" r:id="rId12072" tooltip="🔗 Ver Mapa" display="🔗 Ver Mapa"/>
    <hyperlink ref="L12075" r:id="rId12073" tooltip="🔗 Ver Mapa" display="🔗 Ver Mapa"/>
    <hyperlink ref="L12076" r:id="rId12074" tooltip="🔗 Ver Mapa" display="🔗 Ver Mapa"/>
    <hyperlink ref="L12077" r:id="rId12075" tooltip="🔗 Ver Mapa" display="🔗 Ver Mapa"/>
    <hyperlink ref="L12078" r:id="rId12076" tooltip="🔗 Ver Mapa" display="🔗 Ver Mapa"/>
    <hyperlink ref="L12079" r:id="rId12077" tooltip="🔗 Ver Mapa" display="🔗 Ver Mapa"/>
    <hyperlink ref="L12080" r:id="rId12078" tooltip="🔗 Ver Mapa" display="🔗 Ver Mapa"/>
    <hyperlink ref="L12081" r:id="rId12079" tooltip="🔗 Ver Mapa" display="🔗 Ver Mapa"/>
    <hyperlink ref="L12082" r:id="rId12080" tooltip="🔗 Ver Mapa" display="🔗 Ver Mapa"/>
    <hyperlink ref="L12083" r:id="rId12081" tooltip="🔗 Ver Mapa" display="🔗 Ver Mapa"/>
    <hyperlink ref="L12084" r:id="rId12082" tooltip="🔗 Ver Mapa" display="🔗 Ver Mapa"/>
    <hyperlink ref="L12085" r:id="rId12083" tooltip="🔗 Ver Mapa" display="🔗 Ver Mapa"/>
    <hyperlink ref="L12086" r:id="rId12084" tooltip="🔗 Ver Mapa" display="🔗 Ver Mapa"/>
    <hyperlink ref="L12087" r:id="rId12085" tooltip="🔗 Ver Mapa" display="🔗 Ver Mapa"/>
    <hyperlink ref="L12088" r:id="rId12086" tooltip="🔗 Ver Mapa" display="🔗 Ver Mapa"/>
    <hyperlink ref="L12089" r:id="rId12087" tooltip="🔗 Ver Mapa" display="🔗 Ver Mapa"/>
    <hyperlink ref="L12090" r:id="rId12088" tooltip="🔗 Ver Mapa" display="🔗 Ver Mapa"/>
    <hyperlink ref="L12091" r:id="rId12089" tooltip="🔗 Ver Mapa" display="🔗 Ver Mapa"/>
    <hyperlink ref="L12092" r:id="rId12090" tooltip="🔗 Ver Mapa" display="🔗 Ver Mapa"/>
    <hyperlink ref="L12093" r:id="rId12091" tooltip="🔗 Ver Mapa" display="🔗 Ver Mapa"/>
    <hyperlink ref="L12094" r:id="rId12092" tooltip="🔗 Ver Mapa" display="🔗 Ver Mapa"/>
    <hyperlink ref="L12095" r:id="rId12093" tooltip="🔗 Ver Mapa" display="🔗 Ver Mapa"/>
    <hyperlink ref="L12096" r:id="rId12094" tooltip="🔗 Ver Mapa" display="🔗 Ver Mapa"/>
    <hyperlink ref="L12097" r:id="rId12095" tooltip="🔗 Ver Mapa" display="🔗 Ver Mapa"/>
    <hyperlink ref="L12098" r:id="rId12096" tooltip="🔗 Ver Mapa" display="🔗 Ver Mapa"/>
    <hyperlink ref="L12099" r:id="rId12097" tooltip="🔗 Ver Mapa" display="🔗 Ver Mapa"/>
    <hyperlink ref="L12100" r:id="rId12098" tooltip="🔗 Ver Mapa" display="🔗 Ver Mapa"/>
    <hyperlink ref="L12101" r:id="rId12099" tooltip="🔗 Ver Mapa" display="🔗 Ver Mapa"/>
    <hyperlink ref="L12102" r:id="rId12100" tooltip="🔗 Ver Mapa" display="🔗 Ver Mapa"/>
    <hyperlink ref="L12103" r:id="rId12101" tooltip="🔗 Ver Mapa" display="🔗 Ver Mapa"/>
    <hyperlink ref="L12104" r:id="rId12102" tooltip="🔗 Ver Mapa" display="🔗 Ver Mapa"/>
    <hyperlink ref="L12105" r:id="rId12103" tooltip="🔗 Ver Mapa" display="🔗 Ver Mapa"/>
    <hyperlink ref="L12106" r:id="rId12104" tooltip="🔗 Ver Mapa" display="🔗 Ver Mapa"/>
    <hyperlink ref="L12107" r:id="rId12105" tooltip="🔗 Ver Mapa" display="🔗 Ver Mapa"/>
    <hyperlink ref="L12108" r:id="rId12106" tooltip="🔗 Ver Mapa" display="🔗 Ver Mapa"/>
    <hyperlink ref="L12109" r:id="rId12107" tooltip="🔗 Ver Mapa" display="🔗 Ver Mapa"/>
    <hyperlink ref="L12110" r:id="rId12108" tooltip="🔗 Ver Mapa" display="🔗 Ver Mapa"/>
    <hyperlink ref="L12111" r:id="rId12109" tooltip="🔗 Ver Mapa" display="🔗 Ver Mapa"/>
    <hyperlink ref="L12112" r:id="rId12110" tooltip="🔗 Ver Mapa" display="🔗 Ver Mapa"/>
    <hyperlink ref="L12113" r:id="rId12111" tooltip="🔗 Ver Mapa" display="🔗 Ver Mapa"/>
    <hyperlink ref="L12114" r:id="rId12112" tooltip="🔗 Ver Mapa" display="🔗 Ver Mapa"/>
    <hyperlink ref="L12115" r:id="rId12113" tooltip="🔗 Ver Mapa" display="🔗 Ver Mapa"/>
    <hyperlink ref="L12116" r:id="rId12114" tooltip="🔗 Ver Mapa" display="🔗 Ver Mapa"/>
    <hyperlink ref="L12117" r:id="rId12115" tooltip="🔗 Ver Mapa" display="🔗 Ver Mapa"/>
    <hyperlink ref="L12118" r:id="rId12116" tooltip="🔗 Ver Mapa" display="🔗 Ver Mapa"/>
    <hyperlink ref="L12119" r:id="rId12117" tooltip="🔗 Ver Mapa" display="🔗 Ver Mapa"/>
    <hyperlink ref="L12120" r:id="rId12118" tooltip="🔗 Ver Mapa" display="🔗 Ver Mapa"/>
    <hyperlink ref="L12121" r:id="rId12119" tooltip="🔗 Ver Mapa" display="🔗 Ver Mapa"/>
    <hyperlink ref="L12122" r:id="rId12120" tooltip="🔗 Ver Mapa" display="🔗 Ver Mapa"/>
    <hyperlink ref="L12123" r:id="rId12121" tooltip="🔗 Ver Mapa" display="🔗 Ver Mapa"/>
    <hyperlink ref="L12124" r:id="rId12122" tooltip="🔗 Ver Mapa" display="🔗 Ver Mapa"/>
    <hyperlink ref="L12125" r:id="rId12123" tooltip="🔗 Ver Mapa" display="🔗 Ver Mapa"/>
    <hyperlink ref="L12126" r:id="rId12124" tooltip="🔗 Ver Mapa" display="🔗 Ver Mapa"/>
    <hyperlink ref="L12127" r:id="rId12125" tooltip="🔗 Ver Mapa" display="🔗 Ver Mapa"/>
    <hyperlink ref="L12128" r:id="rId12126" tooltip="🔗 Ver Mapa" display="🔗 Ver Mapa"/>
    <hyperlink ref="L12129" r:id="rId12127" tooltip="🔗 Ver Mapa" display="🔗 Ver Mapa"/>
    <hyperlink ref="L12130" r:id="rId12128" tooltip="🔗 Ver Mapa" display="🔗 Ver Mapa"/>
    <hyperlink ref="L12131" r:id="rId12129" tooltip="🔗 Ver Mapa" display="🔗 Ver Mapa"/>
    <hyperlink ref="L12132" r:id="rId12130" tooltip="🔗 Ver Mapa" display="🔗 Ver Mapa"/>
    <hyperlink ref="L12133" r:id="rId12131" tooltip="🔗 Ver Mapa" display="🔗 Ver Mapa"/>
    <hyperlink ref="L12134" r:id="rId12132" tooltip="🔗 Ver Mapa" display="🔗 Ver Mapa"/>
    <hyperlink ref="L12135" r:id="rId12133" tooltip="🔗 Ver Mapa" display="🔗 Ver Mapa"/>
    <hyperlink ref="L12136" r:id="rId12134" tooltip="🔗 Ver Mapa" display="🔗 Ver Mapa"/>
    <hyperlink ref="L12137" r:id="rId12135" tooltip="🔗 Ver Mapa" display="🔗 Ver Mapa"/>
    <hyperlink ref="L12138" r:id="rId12136" tooltip="🔗 Ver Mapa" display="🔗 Ver Mapa"/>
    <hyperlink ref="L12139" r:id="rId12137" tooltip="🔗 Ver Mapa" display="🔗 Ver Mapa"/>
    <hyperlink ref="L12140" r:id="rId12138" tooltip="🔗 Ver Mapa" display="🔗 Ver Mapa"/>
    <hyperlink ref="L12141" r:id="rId12139" tooltip="🔗 Ver Mapa" display="🔗 Ver Mapa"/>
    <hyperlink ref="L12142" r:id="rId12140" tooltip="🔗 Ver Mapa" display="🔗 Ver Mapa"/>
    <hyperlink ref="L12143" r:id="rId12141" tooltip="🔗 Ver Mapa" display="🔗 Ver Mapa"/>
    <hyperlink ref="L12144" r:id="rId12142" tooltip="🔗 Ver Mapa" display="🔗 Ver Mapa"/>
    <hyperlink ref="L12145" r:id="rId12143" tooltip="🔗 Ver Mapa" display="🔗 Ver Mapa"/>
    <hyperlink ref="L12146" r:id="rId12144" tooltip="🔗 Ver Mapa" display="🔗 Ver Mapa"/>
    <hyperlink ref="L12147" r:id="rId12145" tooltip="🔗 Ver Mapa" display="🔗 Ver Mapa"/>
    <hyperlink ref="L12148" r:id="rId12146" tooltip="🔗 Ver Mapa" display="🔗 Ver Mapa"/>
    <hyperlink ref="L12149" r:id="rId12147" tooltip="🔗 Ver Mapa" display="🔗 Ver Mapa"/>
    <hyperlink ref="L12150" r:id="rId12148" tooltip="🔗 Ver Mapa" display="🔗 Ver Mapa"/>
    <hyperlink ref="L12151" r:id="rId12149" tooltip="🔗 Ver Mapa" display="🔗 Ver Mapa"/>
    <hyperlink ref="L12152" r:id="rId12150" tooltip="🔗 Ver Mapa" display="🔗 Ver Mapa"/>
    <hyperlink ref="L12153" r:id="rId12151" tooltip="🔗 Ver Mapa" display="🔗 Ver Mapa"/>
    <hyperlink ref="L12154" r:id="rId12152" tooltip="🔗 Ver Mapa" display="🔗 Ver Mapa"/>
    <hyperlink ref="L12155" r:id="rId12153" tooltip="🔗 Ver Mapa" display="🔗 Ver Mapa"/>
    <hyperlink ref="L12156" r:id="rId12154" tooltip="🔗 Ver Mapa" display="🔗 Ver Mapa"/>
    <hyperlink ref="L12157" r:id="rId12155" tooltip="🔗 Ver Mapa" display="🔗 Ver Mapa"/>
    <hyperlink ref="L12158" r:id="rId12156" tooltip="🔗 Ver Mapa" display="🔗 Ver Mapa"/>
    <hyperlink ref="L12159" r:id="rId12157" tooltip="🔗 Ver Mapa" display="🔗 Ver Mapa"/>
    <hyperlink ref="L12160" r:id="rId12158" tooltip="🔗 Ver Mapa" display="🔗 Ver Mapa"/>
    <hyperlink ref="L12161" r:id="rId12159" tooltip="🔗 Ver Mapa" display="🔗 Ver Mapa"/>
    <hyperlink ref="L12162" r:id="rId12160" tooltip="🔗 Ver Mapa" display="🔗 Ver Mapa"/>
    <hyperlink ref="L12163" r:id="rId12161" tooltip="🔗 Ver Mapa" display="🔗 Ver Mapa"/>
    <hyperlink ref="L12164" r:id="rId12162" tooltip="🔗 Ver Mapa" display="🔗 Ver Mapa"/>
    <hyperlink ref="L12165" r:id="rId12163" tooltip="🔗 Ver Mapa" display="🔗 Ver Mapa"/>
    <hyperlink ref="L12166" r:id="rId12164" tooltip="🔗 Ver Mapa" display="🔗 Ver Mapa"/>
    <hyperlink ref="L12167" r:id="rId12165" tooltip="🔗 Ver Mapa" display="🔗 Ver Mapa"/>
    <hyperlink ref="L12168" r:id="rId12166" tooltip="🔗 Ver Mapa" display="🔗 Ver Mapa"/>
    <hyperlink ref="L12169" r:id="rId12167" tooltip="🔗 Ver Mapa" display="🔗 Ver Mapa"/>
    <hyperlink ref="L12170" r:id="rId12168" tooltip="🔗 Ver Mapa" display="🔗 Ver Mapa"/>
    <hyperlink ref="L12171" r:id="rId12169" tooltip="🔗 Ver Mapa" display="🔗 Ver Mapa"/>
    <hyperlink ref="L12172" r:id="rId12170" tooltip="🔗 Ver Mapa" display="🔗 Ver Mapa"/>
    <hyperlink ref="L12173" r:id="rId12171" tooltip="🔗 Ver Mapa" display="🔗 Ver Mapa"/>
    <hyperlink ref="L12174" r:id="rId12172" tooltip="🔗 Ver Mapa" display="🔗 Ver Mapa"/>
    <hyperlink ref="L12175" r:id="rId12173" tooltip="🔗 Ver Mapa" display="🔗 Ver Mapa"/>
    <hyperlink ref="L12176" r:id="rId12174" tooltip="🔗 Ver Mapa" display="🔗 Ver Mapa"/>
    <hyperlink ref="L12177" r:id="rId12175" tooltip="🔗 Ver Mapa" display="🔗 Ver Mapa"/>
    <hyperlink ref="L12178" r:id="rId12176" tooltip="🔗 Ver Mapa" display="🔗 Ver Mapa"/>
    <hyperlink ref="L12179" r:id="rId12177" tooltip="🔗 Ver Mapa" display="🔗 Ver Mapa"/>
    <hyperlink ref="L12180" r:id="rId12178" tooltip="🔗 Ver Mapa" display="🔗 Ver Mapa"/>
    <hyperlink ref="L12181" r:id="rId12179" tooltip="🔗 Ver Mapa" display="🔗 Ver Mapa"/>
    <hyperlink ref="L12182" r:id="rId12180" tooltip="🔗 Ver Mapa" display="🔗 Ver Mapa"/>
    <hyperlink ref="L12183" r:id="rId12181" tooltip="🔗 Ver Mapa" display="🔗 Ver Mapa"/>
    <hyperlink ref="L12184" r:id="rId12182" tooltip="🔗 Ver Mapa" display="🔗 Ver Mapa"/>
    <hyperlink ref="L12185" r:id="rId12183" tooltip="🔗 Ver Mapa" display="🔗 Ver Mapa"/>
    <hyperlink ref="L12186" r:id="rId12184" tooltip="🔗 Ver Mapa" display="🔗 Ver Mapa"/>
    <hyperlink ref="L12187" r:id="rId12185" tooltip="🔗 Ver Mapa" display="🔗 Ver Mapa"/>
    <hyperlink ref="L12188" r:id="rId12186" tooltip="🔗 Ver Mapa" display="🔗 Ver Mapa"/>
    <hyperlink ref="L12189" r:id="rId12187" tooltip="🔗 Ver Mapa" display="🔗 Ver Mapa"/>
    <hyperlink ref="L12190" r:id="rId12188" tooltip="🔗 Ver Mapa" display="🔗 Ver Mapa"/>
    <hyperlink ref="L12191" r:id="rId12189" tooltip="🔗 Ver Mapa" display="🔗 Ver Mapa"/>
    <hyperlink ref="L12192" r:id="rId12190" tooltip="🔗 Ver Mapa" display="🔗 Ver Mapa"/>
    <hyperlink ref="L12193" r:id="rId12191" tooltip="🔗 Ver Mapa" display="🔗 Ver Mapa"/>
    <hyperlink ref="L12194" r:id="rId12192" tooltip="🔗 Ver Mapa" display="🔗 Ver Mapa"/>
    <hyperlink ref="L12195" r:id="rId12193" tooltip="🔗 Ver Mapa" display="🔗 Ver Mapa"/>
    <hyperlink ref="L12196" r:id="rId12194" tooltip="🔗 Ver Mapa" display="🔗 Ver Mapa"/>
    <hyperlink ref="L12197" r:id="rId12195" tooltip="🔗 Ver Mapa" display="🔗 Ver Mapa"/>
    <hyperlink ref="L12198" r:id="rId12196" tooltip="🔗 Ver Mapa" display="🔗 Ver Mapa"/>
    <hyperlink ref="L12199" r:id="rId12197" tooltip="🔗 Ver Mapa" display="🔗 Ver Mapa"/>
    <hyperlink ref="L12200" r:id="rId12198" tooltip="🔗 Ver Mapa" display="🔗 Ver Mapa"/>
    <hyperlink ref="L12201" r:id="rId12199" tooltip="🔗 Ver Mapa" display="🔗 Ver Mapa"/>
    <hyperlink ref="L12202" r:id="rId12200" tooltip="🔗 Ver Mapa" display="🔗 Ver Mapa"/>
    <hyperlink ref="L12203" r:id="rId12201" tooltip="🔗 Ver Mapa" display="🔗 Ver Mapa"/>
    <hyperlink ref="L12204" r:id="rId12202" tooltip="🔗 Ver Mapa" display="🔗 Ver Mapa"/>
    <hyperlink ref="L12205" r:id="rId12203" tooltip="🔗 Ver Mapa" display="🔗 Ver Mapa"/>
    <hyperlink ref="L12206" r:id="rId12204" tooltip="🔗 Ver Mapa" display="🔗 Ver Mapa"/>
    <hyperlink ref="L12207" r:id="rId12205" tooltip="🔗 Ver Mapa" display="🔗 Ver Mapa"/>
    <hyperlink ref="L12208" r:id="rId12206" tooltip="🔗 Ver Mapa" display="🔗 Ver Mapa"/>
    <hyperlink ref="L12209" r:id="rId12207" tooltip="🔗 Ver Mapa" display="🔗 Ver Mapa"/>
    <hyperlink ref="L12210" r:id="rId12208" tooltip="🔗 Ver Mapa" display="🔗 Ver Mapa"/>
    <hyperlink ref="L12211" r:id="rId12209" tooltip="🔗 Ver Mapa" display="🔗 Ver Mapa"/>
    <hyperlink ref="L12212" r:id="rId12210" tooltip="🔗 Ver Mapa" display="🔗 Ver Mapa"/>
    <hyperlink ref="L12213" r:id="rId12211" tooltip="🔗 Ver Mapa" display="🔗 Ver Mapa"/>
    <hyperlink ref="L12214" r:id="rId12212" tooltip="🔗 Ver Mapa" display="🔗 Ver Mapa"/>
    <hyperlink ref="L12215" r:id="rId12213" tooltip="🔗 Ver Mapa" display="🔗 Ver Mapa"/>
    <hyperlink ref="L12216" r:id="rId12214" tooltip="🔗 Ver Mapa" display="🔗 Ver Mapa"/>
    <hyperlink ref="L12217" r:id="rId12215" tooltip="🔗 Ver Mapa" display="🔗 Ver Mapa"/>
    <hyperlink ref="L12218" r:id="rId12216" tooltip="🔗 Ver Mapa" display="🔗 Ver Mapa"/>
    <hyperlink ref="L12219" r:id="rId12217" tooltip="🔗 Ver Mapa" display="🔗 Ver Mapa"/>
    <hyperlink ref="L12220" r:id="rId12218" tooltip="🔗 Ver Mapa" display="🔗 Ver Mapa"/>
    <hyperlink ref="L12221" r:id="rId12219" tooltip="🔗 Ver Mapa" display="🔗 Ver Mapa"/>
    <hyperlink ref="L12222" r:id="rId12220" tooltip="🔗 Ver Mapa" display="🔗 Ver Mapa"/>
    <hyperlink ref="L12223" r:id="rId12221" tooltip="🔗 Ver Mapa" display="🔗 Ver Mapa"/>
    <hyperlink ref="L12224" r:id="rId12222" tooltip="🔗 Ver Mapa" display="🔗 Ver Mapa"/>
    <hyperlink ref="L12225" r:id="rId12223" tooltip="🔗 Ver Mapa" display="🔗 Ver Mapa"/>
    <hyperlink ref="L12226" r:id="rId12224" tooltip="🔗 Ver Mapa" display="🔗 Ver Mapa"/>
    <hyperlink ref="L12227" r:id="rId12225" tooltip="🔗 Ver Mapa" display="🔗 Ver Mapa"/>
    <hyperlink ref="L12228" r:id="rId12226" tooltip="🔗 Ver Mapa" display="🔗 Ver Mapa"/>
    <hyperlink ref="L12229" r:id="rId12227" tooltip="🔗 Ver Mapa" display="🔗 Ver Mapa"/>
    <hyperlink ref="L12230" r:id="rId12228" tooltip="🔗 Ver Mapa" display="🔗 Ver Mapa"/>
    <hyperlink ref="L12231" r:id="rId12229" tooltip="🔗 Ver Mapa" display="🔗 Ver Mapa"/>
    <hyperlink ref="L12232" r:id="rId12230" tooltip="🔗 Ver Mapa" display="🔗 Ver Mapa"/>
    <hyperlink ref="L12233" r:id="rId12231" tooltip="🔗 Ver Mapa" display="🔗 Ver Mapa"/>
    <hyperlink ref="L12234" r:id="rId12232" tooltip="🔗 Ver Mapa" display="🔗 Ver Mapa"/>
    <hyperlink ref="L12235" r:id="rId12233" tooltip="🔗 Ver Mapa" display="🔗 Ver Mapa"/>
    <hyperlink ref="L12236" r:id="rId12234" tooltip="🔗 Ver Mapa" display="🔗 Ver Mapa"/>
    <hyperlink ref="L12237" r:id="rId12235" tooltip="🔗 Ver Mapa" display="🔗 Ver Mapa"/>
    <hyperlink ref="L12238" r:id="rId12236" tooltip="🔗 Ver Mapa" display="🔗 Ver Mapa"/>
    <hyperlink ref="L12239" r:id="rId12237" tooltip="🔗 Ver Mapa" display="🔗 Ver Mapa"/>
    <hyperlink ref="L12240" r:id="rId12238" tooltip="🔗 Ver Mapa" display="🔗 Ver Mapa"/>
    <hyperlink ref="L12241" r:id="rId12239" tooltip="🔗 Ver Mapa" display="🔗 Ver Mapa"/>
    <hyperlink ref="L12242" r:id="rId12240" tooltip="🔗 Ver Mapa" display="🔗 Ver Mapa"/>
    <hyperlink ref="L12243" r:id="rId12241" tooltip="🔗 Ver Mapa" display="🔗 Ver Mapa"/>
    <hyperlink ref="L12244" r:id="rId12242" tooltip="🔗 Ver Mapa" display="🔗 Ver Mapa"/>
    <hyperlink ref="L12245" r:id="rId12243" tooltip="🔗 Ver Mapa" display="🔗 Ver Mapa"/>
    <hyperlink ref="L12246" r:id="rId12244" tooltip="🔗 Ver Mapa" display="🔗 Ver Mapa"/>
    <hyperlink ref="L12247" r:id="rId12245" tooltip="🔗 Ver Mapa" display="🔗 Ver Mapa"/>
    <hyperlink ref="L12248" r:id="rId12246" tooltip="🔗 Ver Mapa" display="🔗 Ver Mapa"/>
    <hyperlink ref="L12249" r:id="rId12247" tooltip="🔗 Ver Mapa" display="🔗 Ver Mapa"/>
    <hyperlink ref="L12250" r:id="rId12248" tooltip="🔗 Ver Mapa" display="🔗 Ver Mapa"/>
    <hyperlink ref="L12251" r:id="rId12249" tooltip="🔗 Ver Mapa" display="🔗 Ver Mapa"/>
    <hyperlink ref="L12252" r:id="rId12250" tooltip="🔗 Ver Mapa" display="🔗 Ver Mapa"/>
    <hyperlink ref="L12253" r:id="rId12251" tooltip="🔗 Ver Mapa" display="🔗 Ver Mapa"/>
    <hyperlink ref="L12254" r:id="rId12252" tooltip="🔗 Ver Mapa" display="🔗 Ver Mapa"/>
    <hyperlink ref="L12255" r:id="rId12253" tooltip="🔗 Ver Mapa" display="🔗 Ver Mapa"/>
    <hyperlink ref="L12256" r:id="rId12254" tooltip="🔗 Ver Mapa" display="🔗 Ver Mapa"/>
    <hyperlink ref="L12257" r:id="rId12255" tooltip="🔗 Ver Mapa" display="🔗 Ver Mapa"/>
    <hyperlink ref="L12258" r:id="rId12256" tooltip="🔗 Ver Mapa" display="🔗 Ver Mapa"/>
    <hyperlink ref="L12259" r:id="rId12257" tooltip="🔗 Ver Mapa" display="🔗 Ver Mapa"/>
    <hyperlink ref="L12260" r:id="rId12258" tooltip="🔗 Ver Mapa" display="🔗 Ver Mapa"/>
    <hyperlink ref="L12261" r:id="rId12259" tooltip="🔗 Ver Mapa" display="🔗 Ver Mapa"/>
    <hyperlink ref="L12262" r:id="rId12260" tooltip="🔗 Ver Mapa" display="🔗 Ver Mapa"/>
    <hyperlink ref="L12263" r:id="rId12261" tooltip="🔗 Ver Mapa" display="🔗 Ver Mapa"/>
    <hyperlink ref="L12264" r:id="rId12262" tooltip="🔗 Ver Mapa" display="🔗 Ver Mapa"/>
    <hyperlink ref="L12265" r:id="rId12263" tooltip="🔗 Ver Mapa" display="🔗 Ver Mapa"/>
    <hyperlink ref="L12266" r:id="rId12264" tooltip="🔗 Ver Mapa" display="🔗 Ver Mapa"/>
    <hyperlink ref="L12267" r:id="rId12265" tooltip="🔗 Ver Mapa" display="🔗 Ver Mapa"/>
    <hyperlink ref="L12268" r:id="rId12266" tooltip="🔗 Ver Mapa" display="🔗 Ver Mapa"/>
    <hyperlink ref="L12269" r:id="rId12267" tooltip="🔗 Ver Mapa" display="🔗 Ver Mapa"/>
    <hyperlink ref="L12270" r:id="rId12268" tooltip="🔗 Ver Mapa" display="🔗 Ver Mapa"/>
    <hyperlink ref="L12271" r:id="rId12269" tooltip="🔗 Ver Mapa" display="🔗 Ver Mapa"/>
    <hyperlink ref="L12272" r:id="rId12270" tooltip="🔗 Ver Mapa" display="🔗 Ver Mapa"/>
    <hyperlink ref="L12273" r:id="rId12271" tooltip="🔗 Ver Mapa" display="🔗 Ver Mapa"/>
    <hyperlink ref="L12274" r:id="rId12272" tooltip="🔗 Ver Mapa" display="🔗 Ver Mapa"/>
    <hyperlink ref="L12275" r:id="rId12273" tooltip="🔗 Ver Mapa" display="🔗 Ver Mapa"/>
    <hyperlink ref="L12276" r:id="rId12274" tooltip="🔗 Ver Mapa" display="🔗 Ver Mapa"/>
    <hyperlink ref="L12277" r:id="rId12275" tooltip="🔗 Ver Mapa" display="🔗 Ver Mapa"/>
    <hyperlink ref="L12278" r:id="rId12276" tooltip="🔗 Ver Mapa" display="🔗 Ver Mapa"/>
    <hyperlink ref="L12279" r:id="rId12277" tooltip="🔗 Ver Mapa" display="🔗 Ver Mapa"/>
    <hyperlink ref="L12280" r:id="rId12278" tooltip="🔗 Ver Mapa" display="🔗 Ver Mapa"/>
    <hyperlink ref="L12281" r:id="rId12279" tooltip="🔗 Ver Mapa" display="🔗 Ver Mapa"/>
    <hyperlink ref="L12282" r:id="rId12280" tooltip="🔗 Ver Mapa" display="🔗 Ver Mapa"/>
    <hyperlink ref="L12283" r:id="rId12281" tooltip="🔗 Ver Mapa" display="🔗 Ver Mapa"/>
    <hyperlink ref="L12284" r:id="rId12282" tooltip="🔗 Ver Mapa" display="🔗 Ver Mapa"/>
    <hyperlink ref="L12285" r:id="rId12283" tooltip="🔗 Ver Mapa" display="🔗 Ver Mapa"/>
    <hyperlink ref="L12286" r:id="rId12284" tooltip="🔗 Ver Mapa" display="🔗 Ver Mapa"/>
    <hyperlink ref="L12287" r:id="rId12285" tooltip="🔗 Ver Mapa" display="🔗 Ver Mapa"/>
    <hyperlink ref="L12288" r:id="rId12286" tooltip="🔗 Ver Mapa" display="🔗 Ver Mapa"/>
    <hyperlink ref="L12289" r:id="rId12287" tooltip="🔗 Ver Mapa" display="🔗 Ver Mapa"/>
    <hyperlink ref="L12290" r:id="rId12288" tooltip="🔗 Ver Mapa" display="🔗 Ver Mapa"/>
    <hyperlink ref="L12291" r:id="rId12289" tooltip="🔗 Ver Mapa" display="🔗 Ver Mapa"/>
    <hyperlink ref="L12292" r:id="rId12290" tooltip="🔗 Ver Mapa" display="🔗 Ver Mapa"/>
    <hyperlink ref="L12293" r:id="rId12291" tooltip="🔗 Ver Mapa" display="🔗 Ver Mapa"/>
    <hyperlink ref="L12294" r:id="rId12292" tooltip="🔗 Ver Mapa" display="🔗 Ver Mapa"/>
    <hyperlink ref="L12295" r:id="rId12293" tooltip="🔗 Ver Mapa" display="🔗 Ver Mapa"/>
    <hyperlink ref="L12296" r:id="rId12294" tooltip="🔗 Ver Mapa" display="🔗 Ver Mapa"/>
    <hyperlink ref="L12297" r:id="rId12295" tooltip="🔗 Ver Mapa" display="🔗 Ver Mapa"/>
    <hyperlink ref="L12298" r:id="rId12296" tooltip="🔗 Ver Mapa" display="🔗 Ver Mapa"/>
    <hyperlink ref="L12299" r:id="rId12297" tooltip="🔗 Ver Mapa" display="🔗 Ver Mapa"/>
    <hyperlink ref="L12300" r:id="rId12298" tooltip="🔗 Ver Mapa" display="🔗 Ver Mapa"/>
    <hyperlink ref="L12301" r:id="rId12299" tooltip="🔗 Ver Mapa" display="🔗 Ver Mapa"/>
    <hyperlink ref="L12302" r:id="rId12300" tooltip="🔗 Ver Mapa" display="🔗 Ver Mapa"/>
    <hyperlink ref="L12303" r:id="rId12301" tooltip="🔗 Ver Mapa" display="🔗 Ver Mapa"/>
    <hyperlink ref="L12304" r:id="rId12302" tooltip="🔗 Ver Mapa" display="🔗 Ver Mapa"/>
    <hyperlink ref="L12305" r:id="rId12303" tooltip="🔗 Ver Mapa" display="🔗 Ver Mapa"/>
    <hyperlink ref="L12306" r:id="rId12304" tooltip="🔗 Ver Mapa" display="🔗 Ver Mapa"/>
    <hyperlink ref="L12307" r:id="rId12305" tooltip="🔗 Ver Mapa" display="🔗 Ver Mapa"/>
    <hyperlink ref="L12308" r:id="rId12306" tooltip="🔗 Ver Mapa" display="🔗 Ver Mapa"/>
    <hyperlink ref="L12309" r:id="rId12307" tooltip="🔗 Ver Mapa" display="🔗 Ver Mapa"/>
    <hyperlink ref="L12310" r:id="rId12308" tooltip="🔗 Ver Mapa" display="🔗 Ver Mapa"/>
    <hyperlink ref="L12311" r:id="rId12309" tooltip="🔗 Ver Mapa" display="🔗 Ver Mapa"/>
    <hyperlink ref="L12312" r:id="rId12310" tooltip="🔗 Ver Mapa" display="🔗 Ver Mapa"/>
    <hyperlink ref="L12313" r:id="rId12311" tooltip="🔗 Ver Mapa" display="🔗 Ver Mapa"/>
    <hyperlink ref="L12314" r:id="rId12312" tooltip="🔗 Ver Mapa" display="🔗 Ver Mapa"/>
    <hyperlink ref="L12315" r:id="rId12313" tooltip="🔗 Ver Mapa" display="🔗 Ver Mapa"/>
    <hyperlink ref="L12316" r:id="rId12314" tooltip="🔗 Ver Mapa" display="🔗 Ver Mapa"/>
    <hyperlink ref="L12317" r:id="rId12315" tooltip="🔗 Ver Mapa" display="🔗 Ver Mapa"/>
    <hyperlink ref="L12318" r:id="rId12316" tooltip="🔗 Ver Mapa" display="🔗 Ver Mapa"/>
    <hyperlink ref="L12319" r:id="rId12317" tooltip="🔗 Ver Mapa" display="🔗 Ver Mapa"/>
    <hyperlink ref="L12320" r:id="rId12318" tooltip="🔗 Ver Mapa" display="🔗 Ver Mapa"/>
    <hyperlink ref="L12321" r:id="rId12319" tooltip="🔗 Ver Mapa" display="🔗 Ver Mapa"/>
    <hyperlink ref="L12322" r:id="rId12320" tooltip="🔗 Ver Mapa" display="🔗 Ver Mapa"/>
    <hyperlink ref="L12323" r:id="rId12321" tooltip="🔗 Ver Mapa" display="🔗 Ver Mapa"/>
    <hyperlink ref="L12324" r:id="rId12322" tooltip="🔗 Ver Mapa" display="🔗 Ver Mapa"/>
    <hyperlink ref="L12325" r:id="rId12323" tooltip="🔗 Ver Mapa" display="🔗 Ver Mapa"/>
    <hyperlink ref="L12326" r:id="rId12324" tooltip="🔗 Ver Mapa" display="🔗 Ver Mapa"/>
    <hyperlink ref="L12327" r:id="rId12325" tooltip="🔗 Ver Mapa" display="🔗 Ver Mapa"/>
    <hyperlink ref="L12328" r:id="rId12326" tooltip="🔗 Ver Mapa" display="🔗 Ver Mapa"/>
    <hyperlink ref="L12329" r:id="rId12327" tooltip="🔗 Ver Mapa" display="🔗 Ver Mapa"/>
    <hyperlink ref="L12330" r:id="rId12328" tooltip="🔗 Ver Mapa" display="🔗 Ver Mapa"/>
    <hyperlink ref="L12331" r:id="rId12329" tooltip="🔗 Ver Mapa" display="🔗 Ver Mapa"/>
    <hyperlink ref="L12332" r:id="rId12330" tooltip="🔗 Ver Mapa" display="🔗 Ver Mapa"/>
    <hyperlink ref="L12333" r:id="rId12331" tooltip="🔗 Ver Mapa" display="🔗 Ver Mapa"/>
    <hyperlink ref="L12334" r:id="rId12332" tooltip="🔗 Ver Mapa" display="🔗 Ver Mapa"/>
    <hyperlink ref="L12335" r:id="rId12333" tooltip="🔗 Ver Mapa" display="🔗 Ver Mapa"/>
    <hyperlink ref="L12336" r:id="rId12334" tooltip="🔗 Ver Mapa" display="🔗 Ver Mapa"/>
    <hyperlink ref="L12337" r:id="rId12335" tooltip="🔗 Ver Mapa" display="🔗 Ver Mapa"/>
    <hyperlink ref="L12338" r:id="rId12336" tooltip="🔗 Ver Mapa" display="🔗 Ver Mapa"/>
    <hyperlink ref="L12339" r:id="rId12337" tooltip="🔗 Ver Mapa" display="🔗 Ver Mapa"/>
    <hyperlink ref="L12340" r:id="rId12338" tooltip="🔗 Ver Mapa" display="🔗 Ver Mapa"/>
    <hyperlink ref="L12341" r:id="rId12339" tooltip="🔗 Ver Mapa" display="🔗 Ver Mapa"/>
    <hyperlink ref="L12342" r:id="rId12340" tooltip="🔗 Ver Mapa" display="🔗 Ver Mapa"/>
    <hyperlink ref="L12343" r:id="rId12341" tooltip="🔗 Ver Mapa" display="🔗 Ver Mapa"/>
    <hyperlink ref="L12344" r:id="rId12342" tooltip="🔗 Ver Mapa" display="🔗 Ver Mapa"/>
    <hyperlink ref="L12345" r:id="rId12343" tooltip="🔗 Ver Mapa" display="🔗 Ver Mapa"/>
    <hyperlink ref="L12346" r:id="rId12344" tooltip="🔗 Ver Mapa" display="🔗 Ver Mapa"/>
    <hyperlink ref="L12347" r:id="rId12345" tooltip="🔗 Ver Mapa" display="🔗 Ver Mapa"/>
    <hyperlink ref="L12348" r:id="rId12346" tooltip="🔗 Ver Mapa" display="🔗 Ver Mapa"/>
    <hyperlink ref="L12349" r:id="rId12347" tooltip="🔗 Ver Mapa" display="🔗 Ver Mapa"/>
    <hyperlink ref="L12350" r:id="rId12348" tooltip="🔗 Ver Mapa" display="🔗 Ver Mapa"/>
    <hyperlink ref="L12351" r:id="rId12349" tooltip="🔗 Ver Mapa" display="🔗 Ver Mapa"/>
    <hyperlink ref="L12352" r:id="rId12350" tooltip="🔗 Ver Mapa" display="🔗 Ver Mapa"/>
    <hyperlink ref="L12353" r:id="rId12351" tooltip="🔗 Ver Mapa" display="🔗 Ver Mapa"/>
    <hyperlink ref="L12354" r:id="rId12352" tooltip="🔗 Ver Mapa" display="🔗 Ver Mapa"/>
    <hyperlink ref="L12355" r:id="rId12353" tooltip="🔗 Ver Mapa" display="🔗 Ver Mapa"/>
    <hyperlink ref="L12356" r:id="rId12354" tooltip="🔗 Ver Mapa" display="🔗 Ver Mapa"/>
    <hyperlink ref="L12357" r:id="rId12355" tooltip="🔗 Ver Mapa" display="🔗 Ver Mapa"/>
    <hyperlink ref="L12358" r:id="rId12356" tooltip="🔗 Ver Mapa" display="🔗 Ver Mapa"/>
    <hyperlink ref="L12359" r:id="rId12357" tooltip="🔗 Ver Mapa" display="🔗 Ver Mapa"/>
    <hyperlink ref="L12360" r:id="rId12358" tooltip="🔗 Ver Mapa" display="🔗 Ver Mapa"/>
    <hyperlink ref="L12361" r:id="rId12359" tooltip="🔗 Ver Mapa" display="🔗 Ver Mapa"/>
    <hyperlink ref="L12362" r:id="rId12360" tooltip="🔗 Ver Mapa" display="🔗 Ver Mapa"/>
    <hyperlink ref="L12363" r:id="rId12361" tooltip="🔗 Ver Mapa" display="🔗 Ver Mapa"/>
    <hyperlink ref="L12364" r:id="rId12362" tooltip="🔗 Ver Mapa" display="🔗 Ver Mapa"/>
    <hyperlink ref="L12365" r:id="rId12363" tooltip="🔗 Ver Mapa" display="🔗 Ver Mapa"/>
    <hyperlink ref="L12366" r:id="rId12364" tooltip="🔗 Ver Mapa" display="🔗 Ver Mapa"/>
    <hyperlink ref="L12367" r:id="rId12365" tooltip="🔗 Ver Mapa" display="🔗 Ver Mapa"/>
    <hyperlink ref="L12368" r:id="rId12366" tooltip="🔗 Ver Mapa" display="🔗 Ver Mapa"/>
    <hyperlink ref="L12369" r:id="rId12367" tooltip="🔗 Ver Mapa" display="🔗 Ver Mapa"/>
    <hyperlink ref="L12370" r:id="rId12368" tooltip="🔗 Ver Mapa" display="🔗 Ver Mapa"/>
    <hyperlink ref="L12371" r:id="rId12369" tooltip="🔗 Ver Mapa" display="🔗 Ver Mapa"/>
    <hyperlink ref="L12372" r:id="rId12370" tooltip="🔗 Ver Mapa" display="🔗 Ver Mapa"/>
    <hyperlink ref="L12373" r:id="rId12371" tooltip="🔗 Ver Mapa" display="🔗 Ver Mapa"/>
    <hyperlink ref="L12374" r:id="rId12372" tooltip="🔗 Ver Mapa" display="🔗 Ver Mapa"/>
    <hyperlink ref="L12375" r:id="rId12373" tooltip="🔗 Ver Mapa" display="🔗 Ver Mapa"/>
    <hyperlink ref="L12376" r:id="rId12374" tooltip="🔗 Ver Mapa" display="🔗 Ver Mapa"/>
    <hyperlink ref="L12377" r:id="rId12375" tooltip="🔗 Ver Mapa" display="🔗 Ver Mapa"/>
    <hyperlink ref="L12378" r:id="rId12376" tooltip="🔗 Ver Mapa" display="🔗 Ver Mapa"/>
    <hyperlink ref="L12379" r:id="rId12377" tooltip="🔗 Ver Mapa" display="🔗 Ver Mapa"/>
    <hyperlink ref="L12380" r:id="rId12378" tooltip="🔗 Ver Mapa" display="🔗 Ver Mapa"/>
    <hyperlink ref="L12381" r:id="rId12379" tooltip="🔗 Ver Mapa" display="🔗 Ver Mapa"/>
    <hyperlink ref="L12382" r:id="rId12380" tooltip="🔗 Ver Mapa" display="🔗 Ver Mapa"/>
    <hyperlink ref="L12383" r:id="rId12381" tooltip="🔗 Ver Mapa" display="🔗 Ver Mapa"/>
    <hyperlink ref="L12384" r:id="rId12382" tooltip="🔗 Ver Mapa" display="🔗 Ver Mapa"/>
    <hyperlink ref="L12385" r:id="rId12383" tooltip="🔗 Ver Mapa" display="🔗 Ver Mapa"/>
    <hyperlink ref="L12386" r:id="rId12384" tooltip="🔗 Ver Mapa" display="🔗 Ver Mapa"/>
    <hyperlink ref="L12387" r:id="rId12385" tooltip="🔗 Ver Mapa" display="🔗 Ver Mapa"/>
    <hyperlink ref="L12388" r:id="rId12386" tooltip="🔗 Ver Mapa" display="🔗 Ver Mapa"/>
    <hyperlink ref="L12389" r:id="rId12387" tooltip="🔗 Ver Mapa" display="🔗 Ver Mapa"/>
    <hyperlink ref="L12390" r:id="rId12388" tooltip="🔗 Ver Mapa" display="🔗 Ver Mapa"/>
    <hyperlink ref="L12391" r:id="rId12389" tooltip="🔗 Ver Mapa" display="🔗 Ver Mapa"/>
    <hyperlink ref="L12392" r:id="rId12390" tooltip="🔗 Ver Mapa" display="🔗 Ver Mapa"/>
    <hyperlink ref="L12393" r:id="rId12391" tooltip="🔗 Ver Mapa" display="🔗 Ver Mapa"/>
    <hyperlink ref="L12394" r:id="rId12392" tooltip="🔗 Ver Mapa" display="🔗 Ver Mapa"/>
    <hyperlink ref="L12395" r:id="rId12393" tooltip="🔗 Ver Mapa" display="🔗 Ver Mapa"/>
    <hyperlink ref="L12396" r:id="rId12394" tooltip="🔗 Ver Mapa" display="🔗 Ver Mapa"/>
    <hyperlink ref="L12397" r:id="rId12395" tooltip="🔗 Ver Mapa" display="🔗 Ver Mapa"/>
    <hyperlink ref="L12398" r:id="rId12396" tooltip="🔗 Ver Mapa" display="🔗 Ver Mapa"/>
    <hyperlink ref="L12399" r:id="rId12397" tooltip="🔗 Ver Mapa" display="🔗 Ver Mapa"/>
    <hyperlink ref="L12400" r:id="rId12398" tooltip="🔗 Ver Mapa" display="🔗 Ver Mapa"/>
    <hyperlink ref="L12401" r:id="rId12399" tooltip="🔗 Ver Mapa" display="🔗 Ver Mapa"/>
    <hyperlink ref="L12402" r:id="rId12400" tooltip="🔗 Ver Mapa" display="🔗 Ver Mapa"/>
    <hyperlink ref="L12403" r:id="rId12401" tooltip="🔗 Ver Mapa" display="🔗 Ver Mapa"/>
    <hyperlink ref="L12404" r:id="rId12402" tooltip="🔗 Ver Mapa" display="🔗 Ver Mapa"/>
    <hyperlink ref="L12405" r:id="rId12403" tooltip="🔗 Ver Mapa" display="🔗 Ver Mapa"/>
    <hyperlink ref="L12406" r:id="rId12404" tooltip="🔗 Ver Mapa" display="🔗 Ver Mapa"/>
    <hyperlink ref="L12407" r:id="rId12405" tooltip="🔗 Ver Mapa" display="🔗 Ver Mapa"/>
    <hyperlink ref="L12408" r:id="rId12406" tooltip="🔗 Ver Mapa" display="🔗 Ver Mapa"/>
    <hyperlink ref="L12409" r:id="rId12407" tooltip="🔗 Ver Mapa" display="🔗 Ver Mapa"/>
    <hyperlink ref="L12410" r:id="rId12408" tooltip="🔗 Ver Mapa" display="🔗 Ver Mapa"/>
    <hyperlink ref="L12411" r:id="rId12409" tooltip="🔗 Ver Mapa" display="🔗 Ver Mapa"/>
    <hyperlink ref="L12412" r:id="rId12410" tooltip="🔗 Ver Mapa" display="🔗 Ver Mapa"/>
    <hyperlink ref="L12413" r:id="rId12411" tooltip="🔗 Ver Mapa" display="🔗 Ver Mapa"/>
    <hyperlink ref="L12414" r:id="rId12412" tooltip="🔗 Ver Mapa" display="🔗 Ver Mapa"/>
    <hyperlink ref="L12415" r:id="rId12413" tooltip="🔗 Ver Mapa" display="🔗 Ver Mapa"/>
    <hyperlink ref="L12416" r:id="rId12414" tooltip="🔗 Ver Mapa" display="🔗 Ver Mapa"/>
    <hyperlink ref="L12417" r:id="rId12415" tooltip="🔗 Ver Mapa" display="🔗 Ver Mapa"/>
    <hyperlink ref="L12418" r:id="rId12416" tooltip="🔗 Ver Mapa" display="🔗 Ver Mapa"/>
    <hyperlink ref="L12419" r:id="rId12417" tooltip="🔗 Ver Mapa" display="🔗 Ver Mapa"/>
    <hyperlink ref="L12420" r:id="rId12418" tooltip="🔗 Ver Mapa" display="🔗 Ver Mapa"/>
    <hyperlink ref="L12421" r:id="rId12419" tooltip="🔗 Ver Mapa" display="🔗 Ver Mapa"/>
    <hyperlink ref="L12422" r:id="rId12420" tooltip="🔗 Ver Mapa" display="🔗 Ver Mapa"/>
    <hyperlink ref="L12423" r:id="rId12421" tooltip="🔗 Ver Mapa" display="🔗 Ver Mapa"/>
    <hyperlink ref="L12424" r:id="rId12422" tooltip="🔗 Ver Mapa" display="🔗 Ver Mapa"/>
    <hyperlink ref="L12425" r:id="rId12423" tooltip="🔗 Ver Mapa" display="🔗 Ver Mapa"/>
    <hyperlink ref="L12426" r:id="rId12424" tooltip="🔗 Ver Mapa" display="🔗 Ver Mapa"/>
    <hyperlink ref="L12427" r:id="rId12425" tooltip="🔗 Ver Mapa" display="🔗 Ver Mapa"/>
    <hyperlink ref="L12428" r:id="rId12426" tooltip="🔗 Ver Mapa" display="🔗 Ver Mapa"/>
    <hyperlink ref="L12429" r:id="rId12427" tooltip="🔗 Ver Mapa" display="🔗 Ver Mapa"/>
    <hyperlink ref="L12430" r:id="rId12428" tooltip="🔗 Ver Mapa" display="🔗 Ver Mapa"/>
    <hyperlink ref="L12431" r:id="rId12429" tooltip="🔗 Ver Mapa" display="🔗 Ver Mapa"/>
    <hyperlink ref="L12432" r:id="rId12430" tooltip="🔗 Ver Mapa" display="🔗 Ver Mapa"/>
    <hyperlink ref="L12433" r:id="rId12431" tooltip="🔗 Ver Mapa" display="🔗 Ver Mapa"/>
    <hyperlink ref="L12434" r:id="rId12432" tooltip="🔗 Ver Mapa" display="🔗 Ver Mapa"/>
    <hyperlink ref="L12435" r:id="rId12433" tooltip="🔗 Ver Mapa" display="🔗 Ver Mapa"/>
    <hyperlink ref="L12436" r:id="rId12434" tooltip="🔗 Ver Mapa" display="🔗 Ver Mapa"/>
    <hyperlink ref="L12437" r:id="rId12435" tooltip="🔗 Ver Mapa" display="🔗 Ver Mapa"/>
    <hyperlink ref="L12438" r:id="rId12436" tooltip="🔗 Ver Mapa" display="🔗 Ver Mapa"/>
    <hyperlink ref="L12439" r:id="rId12437" tooltip="🔗 Ver Mapa" display="🔗 Ver Mapa"/>
    <hyperlink ref="L12440" r:id="rId12438" tooltip="🔗 Ver Mapa" display="🔗 Ver Mapa"/>
    <hyperlink ref="L12441" r:id="rId12439" tooltip="🔗 Ver Mapa" display="🔗 Ver Mapa"/>
    <hyperlink ref="L12442" r:id="rId12440" tooltip="🔗 Ver Mapa" display="🔗 Ver Mapa"/>
    <hyperlink ref="L12443" r:id="rId12441" tooltip="🔗 Ver Mapa" display="🔗 Ver Mapa"/>
    <hyperlink ref="L12444" r:id="rId12442" tooltip="🔗 Ver Mapa" display="🔗 Ver Mapa"/>
    <hyperlink ref="L12445" r:id="rId12443" tooltip="🔗 Ver Mapa" display="🔗 Ver Mapa"/>
    <hyperlink ref="L12446" r:id="rId12444" tooltip="🔗 Ver Mapa" display="🔗 Ver Mapa"/>
    <hyperlink ref="L12447" r:id="rId12445" tooltip="🔗 Ver Mapa" display="🔗 Ver Mapa"/>
    <hyperlink ref="L12448" r:id="rId12446" tooltip="🔗 Ver Mapa" display="🔗 Ver Mapa"/>
    <hyperlink ref="L12449" r:id="rId12447" tooltip="🔗 Ver Mapa" display="🔗 Ver Mapa"/>
    <hyperlink ref="L12450" r:id="rId12448" tooltip="🔗 Ver Mapa" display="🔗 Ver Mapa"/>
    <hyperlink ref="L12451" r:id="rId12449" tooltip="🔗 Ver Mapa" display="🔗 Ver Mapa"/>
    <hyperlink ref="L12452" r:id="rId12450" tooltip="🔗 Ver Mapa" display="🔗 Ver Mapa"/>
    <hyperlink ref="L12453" r:id="rId12451" tooltip="🔗 Ver Mapa" display="🔗 Ver Mapa"/>
    <hyperlink ref="L12454" r:id="rId12452" tooltip="🔗 Ver Mapa" display="🔗 Ver Mapa"/>
    <hyperlink ref="L12455" r:id="rId12453" tooltip="🔗 Ver Mapa" display="🔗 Ver Mapa"/>
    <hyperlink ref="L12456" r:id="rId12454" tooltip="🔗 Ver Mapa" display="🔗 Ver Mapa"/>
    <hyperlink ref="L12457" r:id="rId12455" tooltip="🔗 Ver Mapa" display="🔗 Ver Mapa"/>
    <hyperlink ref="L12458" r:id="rId12456" tooltip="🔗 Ver Mapa" display="🔗 Ver Mapa"/>
    <hyperlink ref="L12459" r:id="rId12457" tooltip="🔗 Ver Mapa" display="🔗 Ver Mapa"/>
    <hyperlink ref="L12460" r:id="rId12458" tooltip="🔗 Ver Mapa" display="🔗 Ver Mapa"/>
    <hyperlink ref="L12461" r:id="rId12459" tooltip="🔗 Ver Mapa" display="🔗 Ver Mapa"/>
    <hyperlink ref="L12462" r:id="rId12460" tooltip="🔗 Ver Mapa" display="🔗 Ver Mapa"/>
    <hyperlink ref="L12463" r:id="rId12461" tooltip="🔗 Ver Mapa" display="🔗 Ver Mapa"/>
    <hyperlink ref="L12464" r:id="rId12462" tooltip="🔗 Ver Mapa" display="🔗 Ver Mapa"/>
    <hyperlink ref="L12465" r:id="rId12463" tooltip="🔗 Ver Mapa" display="🔗 Ver Mapa"/>
    <hyperlink ref="L12466" r:id="rId12464" tooltip="🔗 Ver Mapa" display="🔗 Ver Mapa"/>
    <hyperlink ref="L12467" r:id="rId12465" tooltip="🔗 Ver Mapa" display="🔗 Ver Mapa"/>
    <hyperlink ref="L12468" r:id="rId12466" tooltip="🔗 Ver Mapa" display="🔗 Ver Mapa"/>
    <hyperlink ref="L12469" r:id="rId12467" tooltip="🔗 Ver Mapa" display="🔗 Ver Mapa"/>
    <hyperlink ref="L12470" r:id="rId12468" tooltip="🔗 Ver Mapa" display="🔗 Ver Mapa"/>
    <hyperlink ref="L12471" r:id="rId12469" tooltip="🔗 Ver Mapa" display="🔗 Ver Mapa"/>
    <hyperlink ref="L12472" r:id="rId12470" tooltip="🔗 Ver Mapa" display="🔗 Ver Mapa"/>
    <hyperlink ref="L12473" r:id="rId12471" tooltip="🔗 Ver Mapa" display="🔗 Ver Mapa"/>
    <hyperlink ref="L12474" r:id="rId12472" tooltip="🔗 Ver Mapa" display="🔗 Ver Mapa"/>
    <hyperlink ref="L12475" r:id="rId12473" tooltip="🔗 Ver Mapa" display="🔗 Ver Mapa"/>
    <hyperlink ref="L12476" r:id="rId12474" tooltip="🔗 Ver Mapa" display="🔗 Ver Mapa"/>
    <hyperlink ref="L12477" r:id="rId12475" tooltip="🔗 Ver Mapa" display="🔗 Ver Mapa"/>
    <hyperlink ref="L12478" r:id="rId12476" tooltip="🔗 Ver Mapa" display="🔗 Ver Mapa"/>
    <hyperlink ref="L12479" r:id="rId12477" tooltip="🔗 Ver Mapa" display="🔗 Ver Mapa"/>
    <hyperlink ref="L12480" r:id="rId12478" tooltip="🔗 Ver Mapa" display="🔗 Ver Mapa"/>
    <hyperlink ref="L12481" r:id="rId12479" tooltip="🔗 Ver Mapa" display="🔗 Ver Mapa"/>
    <hyperlink ref="L12482" r:id="rId12480" tooltip="🔗 Ver Mapa" display="🔗 Ver Mapa"/>
    <hyperlink ref="L12483" r:id="rId12481" tooltip="🔗 Ver Mapa" display="🔗 Ver Mapa"/>
    <hyperlink ref="L12484" r:id="rId12482" tooltip="🔗 Ver Mapa" display="🔗 Ver Mapa"/>
    <hyperlink ref="L12485" r:id="rId12483" tooltip="🔗 Ver Mapa" display="🔗 Ver Mapa"/>
    <hyperlink ref="L12486" r:id="rId12484" tooltip="🔗 Ver Mapa" display="🔗 Ver Mapa"/>
    <hyperlink ref="L12487" r:id="rId12485" tooltip="🔗 Ver Mapa" display="🔗 Ver Mapa"/>
    <hyperlink ref="L12488" r:id="rId12486" tooltip="🔗 Ver Mapa" display="🔗 Ver Mapa"/>
    <hyperlink ref="L12489" r:id="rId12487" tooltip="🔗 Ver Mapa" display="🔗 Ver Mapa"/>
    <hyperlink ref="L12490" r:id="rId12488" tooltip="🔗 Ver Mapa" display="🔗 Ver Mapa"/>
    <hyperlink ref="L12491" r:id="rId12489" tooltip="🔗 Ver Mapa" display="🔗 Ver Mapa"/>
    <hyperlink ref="L12492" r:id="rId12490" tooltip="🔗 Ver Mapa" display="🔗 Ver Mapa"/>
    <hyperlink ref="L12493" r:id="rId12491" tooltip="🔗 Ver Mapa" display="🔗 Ver Mapa"/>
    <hyperlink ref="L12494" r:id="rId12492" tooltip="🔗 Ver Mapa" display="🔗 Ver Mapa"/>
    <hyperlink ref="L12495" r:id="rId12493" tooltip="🔗 Ver Mapa" display="🔗 Ver Mapa"/>
    <hyperlink ref="L12496" r:id="rId12494" tooltip="🔗 Ver Mapa" display="🔗 Ver Mapa"/>
    <hyperlink ref="L12497" r:id="rId12495" tooltip="🔗 Ver Mapa" display="🔗 Ver Mapa"/>
    <hyperlink ref="L12498" r:id="rId12496" tooltip="🔗 Ver Mapa" display="🔗 Ver Mapa"/>
    <hyperlink ref="L12499" r:id="rId12497" tooltip="🔗 Ver Mapa" display="🔗 Ver Mapa"/>
    <hyperlink ref="L12500" r:id="rId12498" tooltip="🔗 Ver Mapa" display="🔗 Ver Mapa"/>
    <hyperlink ref="L12501" r:id="rId12499" tooltip="🔗 Ver Mapa" display="🔗 Ver Mapa"/>
    <hyperlink ref="L12502" r:id="rId12500" tooltip="🔗 Ver Mapa" display="🔗 Ver Mapa"/>
    <hyperlink ref="L12503" r:id="rId12501" tooltip="🔗 Ver Mapa" display="🔗 Ver Mapa"/>
    <hyperlink ref="L12504" r:id="rId12502" tooltip="🔗 Ver Mapa" display="🔗 Ver Mapa"/>
    <hyperlink ref="L12505" r:id="rId12503" tooltip="🔗 Ver Mapa" display="🔗 Ver Mapa"/>
    <hyperlink ref="L12506" r:id="rId12504" tooltip="🔗 Ver Mapa" display="🔗 Ver Mapa"/>
    <hyperlink ref="L12507" r:id="rId12505" tooltip="🔗 Ver Mapa" display="🔗 Ver Mapa"/>
    <hyperlink ref="L12508" r:id="rId12506" tooltip="🔗 Ver Mapa" display="🔗 Ver Mapa"/>
    <hyperlink ref="L12509" r:id="rId12507" tooltip="🔗 Ver Mapa" display="🔗 Ver Mapa"/>
    <hyperlink ref="L12510" r:id="rId12508" tooltip="🔗 Ver Mapa" display="🔗 Ver Mapa"/>
    <hyperlink ref="L12511" r:id="rId12509" tooltip="🔗 Ver Mapa" display="🔗 Ver Mapa"/>
    <hyperlink ref="L12512" r:id="rId12510" tooltip="🔗 Ver Mapa" display="🔗 Ver Mapa"/>
    <hyperlink ref="L12513" r:id="rId12511" tooltip="🔗 Ver Mapa" display="🔗 Ver Mapa"/>
    <hyperlink ref="L12514" r:id="rId12512" tooltip="🔗 Ver Mapa" display="🔗 Ver Mapa"/>
    <hyperlink ref="L12515" r:id="rId12513" tooltip="🔗 Ver Mapa" display="🔗 Ver Mapa"/>
    <hyperlink ref="L12516" r:id="rId12514" tooltip="🔗 Ver Mapa" display="🔗 Ver Mapa"/>
    <hyperlink ref="L12517" r:id="rId12515" tooltip="🔗 Ver Mapa" display="🔗 Ver Mapa"/>
    <hyperlink ref="L12518" r:id="rId12516" tooltip="🔗 Ver Mapa" display="🔗 Ver Mapa"/>
    <hyperlink ref="L12519" r:id="rId12517" tooltip="🔗 Ver Mapa" display="🔗 Ver Mapa"/>
    <hyperlink ref="L12520" r:id="rId12518" tooltip="🔗 Ver Mapa" display="🔗 Ver Mapa"/>
    <hyperlink ref="L12521" r:id="rId12519" tooltip="🔗 Ver Mapa" display="🔗 Ver Mapa"/>
    <hyperlink ref="L12522" r:id="rId12520" tooltip="🔗 Ver Mapa" display="🔗 Ver Mapa"/>
    <hyperlink ref="L12523" r:id="rId12521" tooltip="🔗 Ver Mapa" display="🔗 Ver Mapa"/>
    <hyperlink ref="L12524" r:id="rId12522" tooltip="🔗 Ver Mapa" display="🔗 Ver Mapa"/>
    <hyperlink ref="L12525" r:id="rId12523" tooltip="🔗 Ver Mapa" display="🔗 Ver Mapa"/>
    <hyperlink ref="L12526" r:id="rId12524" tooltip="🔗 Ver Mapa" display="🔗 Ver Mapa"/>
    <hyperlink ref="L12527" r:id="rId12525" tooltip="🔗 Ver Mapa" display="🔗 Ver Mapa"/>
    <hyperlink ref="L12528" r:id="rId12526" tooltip="🔗 Ver Mapa" display="🔗 Ver Mapa"/>
    <hyperlink ref="L12529" r:id="rId12527" tooltip="🔗 Ver Mapa" display="🔗 Ver Mapa"/>
    <hyperlink ref="L12530" r:id="rId12528" tooltip="🔗 Ver Mapa" display="🔗 Ver Mapa"/>
    <hyperlink ref="L12531" r:id="rId12529" tooltip="🔗 Ver Mapa" display="🔗 Ver Mapa"/>
    <hyperlink ref="L12532" r:id="rId12530" tooltip="🔗 Ver Mapa" display="🔗 Ver Mapa"/>
    <hyperlink ref="L12533" r:id="rId12531" tooltip="🔗 Ver Mapa" display="🔗 Ver Mapa"/>
    <hyperlink ref="L12534" r:id="rId12532" tooltip="🔗 Ver Mapa" display="🔗 Ver Mapa"/>
    <hyperlink ref="L12535" r:id="rId12533" tooltip="🔗 Ver Mapa" display="🔗 Ver Mapa"/>
    <hyperlink ref="L12536" r:id="rId12534" tooltip="🔗 Ver Mapa" display="🔗 Ver Mapa"/>
    <hyperlink ref="L12537" r:id="rId12535" tooltip="🔗 Ver Mapa" display="🔗 Ver Mapa"/>
    <hyperlink ref="L12538" r:id="rId12536" tooltip="🔗 Ver Mapa" display="🔗 Ver Mapa"/>
    <hyperlink ref="L12539" r:id="rId12537" tooltip="🔗 Ver Mapa" display="🔗 Ver Mapa"/>
    <hyperlink ref="L12540" r:id="rId12538" tooltip="🔗 Ver Mapa" display="🔗 Ver Mapa"/>
    <hyperlink ref="L12541" r:id="rId12539" tooltip="🔗 Ver Mapa" display="🔗 Ver Mapa"/>
    <hyperlink ref="L12542" r:id="rId12540" tooltip="🔗 Ver Mapa" display="🔗 Ver Mapa"/>
    <hyperlink ref="L12543" r:id="rId12541" tooltip="🔗 Ver Mapa" display="🔗 Ver Mapa"/>
    <hyperlink ref="L12544" r:id="rId12542" tooltip="🔗 Ver Mapa" display="🔗 Ver Mapa"/>
    <hyperlink ref="L12545" r:id="rId12543" tooltip="🔗 Ver Mapa" display="🔗 Ver Mapa"/>
    <hyperlink ref="L12546" r:id="rId12544" tooltip="🔗 Ver Mapa" display="🔗 Ver Mapa"/>
    <hyperlink ref="L12547" r:id="rId12545" tooltip="🔗 Ver Mapa" display="🔗 Ver Mapa"/>
    <hyperlink ref="L12548" r:id="rId12546" tooltip="🔗 Ver Mapa" display="🔗 Ver Mapa"/>
    <hyperlink ref="L12549" r:id="rId12547" tooltip="🔗 Ver Mapa" display="🔗 Ver Mapa"/>
    <hyperlink ref="L12550" r:id="rId12548" tooltip="🔗 Ver Mapa" display="🔗 Ver Mapa"/>
    <hyperlink ref="L12551" r:id="rId12549" tooltip="🔗 Ver Mapa" display="🔗 Ver Mapa"/>
    <hyperlink ref="L12552" r:id="rId12550" tooltip="🔗 Ver Mapa" display="🔗 Ver Mapa"/>
    <hyperlink ref="L12553" r:id="rId12551" tooltip="🔗 Ver Mapa" display="🔗 Ver Mapa"/>
    <hyperlink ref="L12554" r:id="rId12552" tooltip="🔗 Ver Mapa" display="🔗 Ver Mapa"/>
    <hyperlink ref="L12555" r:id="rId12553" tooltip="🔗 Ver Mapa" display="🔗 Ver Mapa"/>
    <hyperlink ref="L12556" r:id="rId12554" tooltip="🔗 Ver Mapa" display="🔗 Ver Mapa"/>
    <hyperlink ref="L12557" r:id="rId12555" tooltip="🔗 Ver Mapa" display="🔗 Ver Mapa"/>
    <hyperlink ref="L12558" r:id="rId12556" tooltip="🔗 Ver Mapa" display="🔗 Ver Mapa"/>
    <hyperlink ref="L12559" r:id="rId12557" tooltip="🔗 Ver Mapa" display="🔗 Ver Mapa"/>
    <hyperlink ref="L12560" r:id="rId12558" tooltip="🔗 Ver Mapa" display="🔗 Ver Mapa"/>
    <hyperlink ref="L12561" r:id="rId12559" tooltip="🔗 Ver Mapa" display="🔗 Ver Mapa"/>
    <hyperlink ref="L12562" r:id="rId12560" tooltip="🔗 Ver Mapa" display="🔗 Ver Mapa"/>
    <hyperlink ref="L12563" r:id="rId12561" tooltip="🔗 Ver Mapa" display="🔗 Ver Mapa"/>
    <hyperlink ref="L12564" r:id="rId12562" tooltip="🔗 Ver Mapa" display="🔗 Ver Mapa"/>
    <hyperlink ref="L12565" r:id="rId12563" tooltip="🔗 Ver Mapa" display="🔗 Ver Mapa"/>
    <hyperlink ref="L12566" r:id="rId12564" tooltip="🔗 Ver Mapa" display="🔗 Ver Mapa"/>
    <hyperlink ref="L12567" r:id="rId12565" tooltip="🔗 Ver Mapa" display="🔗 Ver Mapa"/>
    <hyperlink ref="L12568" r:id="rId12566" tooltip="🔗 Ver Mapa" display="🔗 Ver Mapa"/>
    <hyperlink ref="L12569" r:id="rId12567" tooltip="🔗 Ver Mapa" display="🔗 Ver Mapa"/>
    <hyperlink ref="L12570" r:id="rId12568" tooltip="🔗 Ver Mapa" display="🔗 Ver Mapa"/>
    <hyperlink ref="L12571" r:id="rId12569" tooltip="🔗 Ver Mapa" display="🔗 Ver Mapa"/>
    <hyperlink ref="L12572" r:id="rId12570" tooltip="🔗 Ver Mapa" display="🔗 Ver Mapa"/>
    <hyperlink ref="L12573" r:id="rId12571" tooltip="🔗 Ver Mapa" display="🔗 Ver Mapa"/>
    <hyperlink ref="L12574" r:id="rId12572" tooltip="🔗 Ver Mapa" display="🔗 Ver Mapa"/>
    <hyperlink ref="L12575" r:id="rId12573" tooltip="🔗 Ver Mapa" display="🔗 Ver Mapa"/>
    <hyperlink ref="L12576" r:id="rId12574" tooltip="🔗 Ver Mapa" display="🔗 Ver Mapa"/>
    <hyperlink ref="L12577" r:id="rId12575" tooltip="🔗 Ver Mapa" display="🔗 Ver Mapa"/>
    <hyperlink ref="L12578" r:id="rId12576" tooltip="🔗 Ver Mapa" display="🔗 Ver Mapa"/>
    <hyperlink ref="L12579" r:id="rId12577" tooltip="🔗 Ver Mapa" display="🔗 Ver Mapa"/>
    <hyperlink ref="L12580" r:id="rId12578" tooltip="🔗 Ver Mapa" display="🔗 Ver Mapa"/>
    <hyperlink ref="L12581" r:id="rId12579" tooltip="🔗 Ver Mapa" display="🔗 Ver Mapa"/>
    <hyperlink ref="L12582" r:id="rId12580" tooltip="🔗 Ver Mapa" display="🔗 Ver Mapa"/>
    <hyperlink ref="L12583" r:id="rId12581" tooltip="🔗 Ver Mapa" display="🔗 Ver Mapa"/>
    <hyperlink ref="L12584" r:id="rId12582" tooltip="🔗 Ver Mapa" display="🔗 Ver Mapa"/>
    <hyperlink ref="L12585" r:id="rId12583" tooltip="🔗 Ver Mapa" display="🔗 Ver Mapa"/>
    <hyperlink ref="L12586" r:id="rId12584" tooltip="🔗 Ver Mapa" display="🔗 Ver Mapa"/>
    <hyperlink ref="L12587" r:id="rId12585" tooltip="🔗 Ver Mapa" display="🔗 Ver Mapa"/>
    <hyperlink ref="L12588" r:id="rId12586" tooltip="🔗 Ver Mapa" display="🔗 Ver Mapa"/>
    <hyperlink ref="L12589" r:id="rId12587" tooltip="🔗 Ver Mapa" display="🔗 Ver Mapa"/>
    <hyperlink ref="L12590" r:id="rId12588" tooltip="🔗 Ver Mapa" display="🔗 Ver Mapa"/>
    <hyperlink ref="L12591" r:id="rId12589" tooltip="🔗 Ver Mapa" display="🔗 Ver Mapa"/>
    <hyperlink ref="L12592" r:id="rId12590" tooltip="🔗 Ver Mapa" display="🔗 Ver Mapa"/>
    <hyperlink ref="L12593" r:id="rId12591" tooltip="🔗 Ver Mapa" display="🔗 Ver Mapa"/>
    <hyperlink ref="L12594" r:id="rId12592" tooltip="🔗 Ver Mapa" display="🔗 Ver Mapa"/>
    <hyperlink ref="L12595" r:id="rId12593" tooltip="🔗 Ver Mapa" display="🔗 Ver Mapa"/>
    <hyperlink ref="L12596" r:id="rId12594" tooltip="🔗 Ver Mapa" display="🔗 Ver Mapa"/>
    <hyperlink ref="L12597" r:id="rId12595" tooltip="🔗 Ver Mapa" display="🔗 Ver Mapa"/>
    <hyperlink ref="L12598" r:id="rId12596" tooltip="🔗 Ver Mapa" display="🔗 Ver Mapa"/>
    <hyperlink ref="L12599" r:id="rId12597" tooltip="🔗 Ver Mapa" display="🔗 Ver Mapa"/>
    <hyperlink ref="L12600" r:id="rId12598" tooltip="🔗 Ver Mapa" display="🔗 Ver Mapa"/>
    <hyperlink ref="L12601" r:id="rId12599" tooltip="🔗 Ver Mapa" display="🔗 Ver Mapa"/>
    <hyperlink ref="L12602" r:id="rId12600" tooltip="🔗 Ver Mapa" display="🔗 Ver Mapa"/>
    <hyperlink ref="L12603" r:id="rId12601" tooltip="🔗 Ver Mapa" display="🔗 Ver Mapa"/>
    <hyperlink ref="L12604" r:id="rId12602" tooltip="🔗 Ver Mapa" display="🔗 Ver Mapa"/>
    <hyperlink ref="L12605" r:id="rId12603" tooltip="🔗 Ver Mapa" display="🔗 Ver Mapa"/>
    <hyperlink ref="L12606" r:id="rId12604" tooltip="🔗 Ver Mapa" display="🔗 Ver Mapa"/>
    <hyperlink ref="L12607" r:id="rId12605" tooltip="🔗 Ver Mapa" display="🔗 Ver Mapa"/>
    <hyperlink ref="L12608" r:id="rId12606" tooltip="🔗 Ver Mapa" display="🔗 Ver Mapa"/>
    <hyperlink ref="L12609" r:id="rId12607" tooltip="🔗 Ver Mapa" display="🔗 Ver Mapa"/>
    <hyperlink ref="L12610" r:id="rId12608" tooltip="🔗 Ver Mapa" display="🔗 Ver Mapa"/>
    <hyperlink ref="L12611" r:id="rId12609" tooltip="🔗 Ver Mapa" display="🔗 Ver Mapa"/>
    <hyperlink ref="L12612" r:id="rId12610" tooltip="🔗 Ver Mapa" display="🔗 Ver Mapa"/>
    <hyperlink ref="L12613" r:id="rId12611" tooltip="🔗 Ver Mapa" display="🔗 Ver Mapa"/>
    <hyperlink ref="L12614" r:id="rId12612" tooltip="🔗 Ver Mapa" display="🔗 Ver Mapa"/>
    <hyperlink ref="L12615" r:id="rId12613" tooltip="🔗 Ver Mapa" display="🔗 Ver Mapa"/>
    <hyperlink ref="L12616" r:id="rId12614" tooltip="🔗 Ver Mapa" display="🔗 Ver Mapa"/>
    <hyperlink ref="L12617" r:id="rId12615" tooltip="🔗 Ver Mapa" display="🔗 Ver Mapa"/>
    <hyperlink ref="L12618" r:id="rId12616" tooltip="🔗 Ver Mapa" display="🔗 Ver Mapa"/>
    <hyperlink ref="L12619" r:id="rId12617" tooltip="🔗 Ver Mapa" display="🔗 Ver Mapa"/>
    <hyperlink ref="L12620" r:id="rId12618" tooltip="🔗 Ver Mapa" display="🔗 Ver Mapa"/>
    <hyperlink ref="L12621" r:id="rId12619" tooltip="🔗 Ver Mapa" display="🔗 Ver Mapa"/>
    <hyperlink ref="L12622" r:id="rId12620" tooltip="🔗 Ver Mapa" display="🔗 Ver Mapa"/>
    <hyperlink ref="L12623" r:id="rId12621" tooltip="🔗 Ver Mapa" display="🔗 Ver Mapa"/>
    <hyperlink ref="L12624" r:id="rId12622" tooltip="🔗 Ver Mapa" display="🔗 Ver Mapa"/>
    <hyperlink ref="L12625" r:id="rId12623" tooltip="🔗 Ver Mapa" display="🔗 Ver Mapa"/>
    <hyperlink ref="L12626" r:id="rId12624" tooltip="🔗 Ver Mapa" display="🔗 Ver Mapa"/>
    <hyperlink ref="L12627" r:id="rId12625" tooltip="🔗 Ver Mapa" display="🔗 Ver Mapa"/>
    <hyperlink ref="L12628" r:id="rId12626" tooltip="🔗 Ver Mapa" display="🔗 Ver Mapa"/>
    <hyperlink ref="L12629" r:id="rId12627" tooltip="🔗 Ver Mapa" display="🔗 Ver Mapa"/>
    <hyperlink ref="L12630" r:id="rId12628" tooltip="🔗 Ver Mapa" display="🔗 Ver Mapa"/>
    <hyperlink ref="L12631" r:id="rId12629" tooltip="🔗 Ver Mapa" display="🔗 Ver Mapa"/>
    <hyperlink ref="L12632" r:id="rId12630" tooltip="🔗 Ver Mapa" display="🔗 Ver Mapa"/>
    <hyperlink ref="L12633" r:id="rId12631" tooltip="🔗 Ver Mapa" display="🔗 Ver Mapa"/>
    <hyperlink ref="L12634" r:id="rId12632" tooltip="🔗 Ver Mapa" display="🔗 Ver Mapa"/>
    <hyperlink ref="L12635" r:id="rId12633" tooltip="🔗 Ver Mapa" display="🔗 Ver Mapa"/>
    <hyperlink ref="L12636" r:id="rId12634" tooltip="🔗 Ver Mapa" display="🔗 Ver Mapa"/>
    <hyperlink ref="L12637" r:id="rId12635" tooltip="🔗 Ver Mapa" display="🔗 Ver Mapa"/>
    <hyperlink ref="L12638" r:id="rId12636" tooltip="🔗 Ver Mapa" display="🔗 Ver Mapa"/>
    <hyperlink ref="L12639" r:id="rId12637" tooltip="🔗 Ver Mapa" display="🔗 Ver Mapa"/>
    <hyperlink ref="L12640" r:id="rId12638" tooltip="🔗 Ver Mapa" display="🔗 Ver Mapa"/>
    <hyperlink ref="L12641" r:id="rId12639" tooltip="🔗 Ver Mapa" display="🔗 Ver Mapa"/>
    <hyperlink ref="L12642" r:id="rId12640" tooltip="🔗 Ver Mapa" display="🔗 Ver Mapa"/>
    <hyperlink ref="L12643" r:id="rId12641" tooltip="🔗 Ver Mapa" display="🔗 Ver Mapa"/>
    <hyperlink ref="L12644" r:id="rId12642" tooltip="🔗 Ver Mapa" display="🔗 Ver Mapa"/>
    <hyperlink ref="L12645" r:id="rId12643" tooltip="🔗 Ver Mapa" display="🔗 Ver Mapa"/>
    <hyperlink ref="L12646" r:id="rId12644" tooltip="🔗 Ver Mapa" display="🔗 Ver Mapa"/>
    <hyperlink ref="L12647" r:id="rId12645" tooltip="🔗 Ver Mapa" display="🔗 Ver Mapa"/>
    <hyperlink ref="L12648" r:id="rId12646" tooltip="🔗 Ver Mapa" display="🔗 Ver Mapa"/>
    <hyperlink ref="L12649" r:id="rId12647" tooltip="🔗 Ver Mapa" display="🔗 Ver Mapa"/>
    <hyperlink ref="L12650" r:id="rId12648" tooltip="🔗 Ver Mapa" display="🔗 Ver Mapa"/>
    <hyperlink ref="L12651" r:id="rId12649" tooltip="🔗 Ver Mapa" display="🔗 Ver Mapa"/>
    <hyperlink ref="L12652" r:id="rId12650" tooltip="🔗 Ver Mapa" display="🔗 Ver Mapa"/>
    <hyperlink ref="L12653" r:id="rId12651" tooltip="🔗 Ver Mapa" display="🔗 Ver Mapa"/>
    <hyperlink ref="L12654" r:id="rId12652" tooltip="🔗 Ver Mapa" display="🔗 Ver Mapa"/>
    <hyperlink ref="L12655" r:id="rId12653" tooltip="🔗 Ver Mapa" display="🔗 Ver Mapa"/>
    <hyperlink ref="L12656" r:id="rId12654" tooltip="🔗 Ver Mapa" display="🔗 Ver Mapa"/>
    <hyperlink ref="L12657" r:id="rId12655" tooltip="🔗 Ver Mapa" display="🔗 Ver Mapa"/>
    <hyperlink ref="L12658" r:id="rId12656" tooltip="🔗 Ver Mapa" display="🔗 Ver Mapa"/>
    <hyperlink ref="L12659" r:id="rId12657" tooltip="🔗 Ver Mapa" display="🔗 Ver Mapa"/>
    <hyperlink ref="L12660" r:id="rId12658" tooltip="🔗 Ver Mapa" display="🔗 Ver Mapa"/>
    <hyperlink ref="L12661" r:id="rId12659" tooltip="🔗 Ver Mapa" display="🔗 Ver Mapa"/>
    <hyperlink ref="L12662" r:id="rId12660" tooltip="🔗 Ver Mapa" display="🔗 Ver Mapa"/>
    <hyperlink ref="L12663" r:id="rId12661" tooltip="🔗 Ver Mapa" display="🔗 Ver Mapa"/>
    <hyperlink ref="L12664" r:id="rId12662" tooltip="🔗 Ver Mapa" display="🔗 Ver Mapa"/>
    <hyperlink ref="L12665" r:id="rId12663" tooltip="🔗 Ver Mapa" display="🔗 Ver Mapa"/>
    <hyperlink ref="L12666" r:id="rId12664" tooltip="🔗 Ver Mapa" display="🔗 Ver Mapa"/>
    <hyperlink ref="L12667" r:id="rId12665" tooltip="🔗 Ver Mapa" display="🔗 Ver Mapa"/>
    <hyperlink ref="L12668" r:id="rId12666" tooltip="🔗 Ver Mapa" display="🔗 Ver Mapa"/>
    <hyperlink ref="L12669" r:id="rId12667" tooltip="🔗 Ver Mapa" display="🔗 Ver Mapa"/>
    <hyperlink ref="L12670" r:id="rId12668" tooltip="🔗 Ver Mapa" display="🔗 Ver Mapa"/>
    <hyperlink ref="L12671" r:id="rId12669" tooltip="🔗 Ver Mapa" display="🔗 Ver Mapa"/>
    <hyperlink ref="L12672" r:id="rId12670" tooltip="🔗 Ver Mapa" display="🔗 Ver Mapa"/>
    <hyperlink ref="L12673" r:id="rId12671" tooltip="🔗 Ver Mapa" display="🔗 Ver Mapa"/>
    <hyperlink ref="L12674" r:id="rId12672" tooltip="🔗 Ver Mapa" display="🔗 Ver Mapa"/>
    <hyperlink ref="L12675" r:id="rId12673" tooltip="🔗 Ver Mapa" display="🔗 Ver Mapa"/>
    <hyperlink ref="L12676" r:id="rId12674" tooltip="🔗 Ver Mapa" display="🔗 Ver Mapa"/>
    <hyperlink ref="L12677" r:id="rId12675" tooltip="🔗 Ver Mapa" display="🔗 Ver Mapa"/>
    <hyperlink ref="L12678" r:id="rId12676" tooltip="🔗 Ver Mapa" display="🔗 Ver Mapa"/>
    <hyperlink ref="L12679" r:id="rId12677" tooltip="🔗 Ver Mapa" display="🔗 Ver Mapa"/>
    <hyperlink ref="L12680" r:id="rId12678" tooltip="🔗 Ver Mapa" display="🔗 Ver Mapa"/>
    <hyperlink ref="L12681" r:id="rId12679" tooltip="🔗 Ver Mapa" display="🔗 Ver Mapa"/>
    <hyperlink ref="L12682" r:id="rId12680" tooltip="🔗 Ver Mapa" display="🔗 Ver Mapa"/>
    <hyperlink ref="L12683" r:id="rId12681" tooltip="🔗 Ver Mapa" display="🔗 Ver Mapa"/>
    <hyperlink ref="L12684" r:id="rId12682" tooltip="🔗 Ver Mapa" display="🔗 Ver Mapa"/>
    <hyperlink ref="L12685" r:id="rId12683" tooltip="🔗 Ver Mapa" display="🔗 Ver Mapa"/>
    <hyperlink ref="L12686" r:id="rId12684" tooltip="🔗 Ver Mapa" display="🔗 Ver Mapa"/>
    <hyperlink ref="L12687" r:id="rId12685" tooltip="🔗 Ver Mapa" display="🔗 Ver Mapa"/>
    <hyperlink ref="L12688" r:id="rId12686" tooltip="🔗 Ver Mapa" display="🔗 Ver Mapa"/>
    <hyperlink ref="L12689" r:id="rId12687" tooltip="🔗 Ver Mapa" display="🔗 Ver Mapa"/>
    <hyperlink ref="L12690" r:id="rId12688" tooltip="🔗 Ver Mapa" display="🔗 Ver Mapa"/>
    <hyperlink ref="L12691" r:id="rId12689" tooltip="🔗 Ver Mapa" display="🔗 Ver Mapa"/>
    <hyperlink ref="L12692" r:id="rId12690" tooltip="🔗 Ver Mapa" display="🔗 Ver Mapa"/>
    <hyperlink ref="L12693" r:id="rId12691" tooltip="🔗 Ver Mapa" display="🔗 Ver Mapa"/>
    <hyperlink ref="L12694" r:id="rId12692" tooltip="🔗 Ver Mapa" display="🔗 Ver Mapa"/>
    <hyperlink ref="L12695" r:id="rId12693" tooltip="🔗 Ver Mapa" display="🔗 Ver Mapa"/>
    <hyperlink ref="L12696" r:id="rId12694" tooltip="🔗 Ver Mapa" display="🔗 Ver Mapa"/>
    <hyperlink ref="L12697" r:id="rId12695" tooltip="🔗 Ver Mapa" display="🔗 Ver Mapa"/>
    <hyperlink ref="L12698" r:id="rId12696" tooltip="🔗 Ver Mapa" display="🔗 Ver Mapa"/>
    <hyperlink ref="L12699" r:id="rId12697" tooltip="🔗 Ver Mapa" display="🔗 Ver Mapa"/>
    <hyperlink ref="L12700" r:id="rId12698" tooltip="🔗 Ver Mapa" display="🔗 Ver Mapa"/>
    <hyperlink ref="L12701" r:id="rId12699" tooltip="🔗 Ver Mapa" display="🔗 Ver Mapa"/>
    <hyperlink ref="L12702" r:id="rId12700" tooltip="🔗 Ver Mapa" display="🔗 Ver Mapa"/>
    <hyperlink ref="L12703" r:id="rId12701" tooltip="🔗 Ver Mapa" display="🔗 Ver Mapa"/>
    <hyperlink ref="L12704" r:id="rId12702" tooltip="🔗 Ver Mapa" display="🔗 Ver Mapa"/>
    <hyperlink ref="L12705" r:id="rId12703" tooltip="🔗 Ver Mapa" display="🔗 Ver Mapa"/>
    <hyperlink ref="L12706" r:id="rId12704" tooltip="🔗 Ver Mapa" display="🔗 Ver Mapa"/>
    <hyperlink ref="L12707" r:id="rId12705" tooltip="🔗 Ver Mapa" display="🔗 Ver Mapa"/>
    <hyperlink ref="L12708" r:id="rId12706" tooltip="🔗 Ver Mapa" display="🔗 Ver Mapa"/>
    <hyperlink ref="L12709" r:id="rId12707" tooltip="🔗 Ver Mapa" display="🔗 Ver Mapa"/>
    <hyperlink ref="L12710" r:id="rId12708" tooltip="🔗 Ver Mapa" display="🔗 Ver Mapa"/>
    <hyperlink ref="L12711" r:id="rId12709" tooltip="🔗 Ver Mapa" display="🔗 Ver Mapa"/>
    <hyperlink ref="L12712" r:id="rId12710" tooltip="🔗 Ver Mapa" display="🔗 Ver Mapa"/>
    <hyperlink ref="L12713" r:id="rId12711" tooltip="🔗 Ver Mapa" display="🔗 Ver Mapa"/>
    <hyperlink ref="L12714" r:id="rId12712" tooltip="🔗 Ver Mapa" display="🔗 Ver Mapa"/>
    <hyperlink ref="L12715" r:id="rId12713" tooltip="🔗 Ver Mapa" display="🔗 Ver Mapa"/>
    <hyperlink ref="L12716" r:id="rId12714" tooltip="🔗 Ver Mapa" display="🔗 Ver Mapa"/>
    <hyperlink ref="L12717" r:id="rId12715" tooltip="🔗 Ver Mapa" display="🔗 Ver Mapa"/>
    <hyperlink ref="L12718" r:id="rId12716" tooltip="🔗 Ver Mapa" display="🔗 Ver Mapa"/>
    <hyperlink ref="L12719" r:id="rId12717" tooltip="🔗 Ver Mapa" display="🔗 Ver Mapa"/>
    <hyperlink ref="L12720" r:id="rId12718" tooltip="🔗 Ver Mapa" display="🔗 Ver Mapa"/>
    <hyperlink ref="L12721" r:id="rId12719" tooltip="🔗 Ver Mapa" display="🔗 Ver Mapa"/>
    <hyperlink ref="L12722" r:id="rId12720" tooltip="🔗 Ver Mapa" display="🔗 Ver Mapa"/>
    <hyperlink ref="L12723" r:id="rId12721" tooltip="🔗 Ver Mapa" display="🔗 Ver Mapa"/>
    <hyperlink ref="L12724" r:id="rId12722" tooltip="🔗 Ver Mapa" display="🔗 Ver Mapa"/>
    <hyperlink ref="L12725" r:id="rId12723" tooltip="🔗 Ver Mapa" display="🔗 Ver Mapa"/>
    <hyperlink ref="L12726" r:id="rId12724" tooltip="🔗 Ver Mapa" display="🔗 Ver Mapa"/>
    <hyperlink ref="L12727" r:id="rId12725" tooltip="🔗 Ver Mapa" display="🔗 Ver Mapa"/>
    <hyperlink ref="L12728" r:id="rId12726" tooltip="🔗 Ver Mapa" display="🔗 Ver Mapa"/>
    <hyperlink ref="L12729" r:id="rId12727" tooltip="🔗 Ver Mapa" display="🔗 Ver Mapa"/>
    <hyperlink ref="L12730" r:id="rId12728" tooltip="🔗 Ver Mapa" display="🔗 Ver Mapa"/>
    <hyperlink ref="L12731" r:id="rId12729" tooltip="🔗 Ver Mapa" display="🔗 Ver Mapa"/>
    <hyperlink ref="L12732" r:id="rId12730" tooltip="🔗 Ver Mapa" display="🔗 Ver Mapa"/>
    <hyperlink ref="L12733" r:id="rId12731" tooltip="🔗 Ver Mapa" display="🔗 Ver Mapa"/>
    <hyperlink ref="L12734" r:id="rId12732" tooltip="🔗 Ver Mapa" display="🔗 Ver Mapa"/>
    <hyperlink ref="L12735" r:id="rId12733" tooltip="🔗 Ver Mapa" display="🔗 Ver Mapa"/>
    <hyperlink ref="L12736" r:id="rId12734" tooltip="🔗 Ver Mapa" display="🔗 Ver Mapa"/>
    <hyperlink ref="L12737" r:id="rId12735" tooltip="🔗 Ver Mapa" display="🔗 Ver Mapa"/>
    <hyperlink ref="L12738" r:id="rId12736" tooltip="🔗 Ver Mapa" display="🔗 Ver Mapa"/>
    <hyperlink ref="L12739" r:id="rId12737" tooltip="🔗 Ver Mapa" display="🔗 Ver Mapa"/>
    <hyperlink ref="L12740" r:id="rId12738" tooltip="🔗 Ver Mapa" display="🔗 Ver Mapa"/>
    <hyperlink ref="L12741" r:id="rId12739" tooltip="🔗 Ver Mapa" display="🔗 Ver Mapa"/>
    <hyperlink ref="L12742" r:id="rId12740" tooltip="🔗 Ver Mapa" display="🔗 Ver Mapa"/>
    <hyperlink ref="L12743" r:id="rId12741" tooltip="🔗 Ver Mapa" display="🔗 Ver Mapa"/>
    <hyperlink ref="L12744" r:id="rId12742" tooltip="🔗 Ver Mapa" display="🔗 Ver Mapa"/>
    <hyperlink ref="L12745" r:id="rId12743" tooltip="🔗 Ver Mapa" display="🔗 Ver Mapa"/>
    <hyperlink ref="L12746" r:id="rId12744" tooltip="🔗 Ver Mapa" display="🔗 Ver Mapa"/>
    <hyperlink ref="L12747" r:id="rId12745" tooltip="🔗 Ver Mapa" display="🔗 Ver Mapa"/>
    <hyperlink ref="L12748" r:id="rId12746" tooltip="🔗 Ver Mapa" display="🔗 Ver Mapa"/>
    <hyperlink ref="L12749" r:id="rId12747" tooltip="🔗 Ver Mapa" display="🔗 Ver Mapa"/>
    <hyperlink ref="L12750" r:id="rId12748" tooltip="🔗 Ver Mapa" display="🔗 Ver Mapa"/>
    <hyperlink ref="L12751" r:id="rId12749" tooltip="🔗 Ver Mapa" display="🔗 Ver Mapa"/>
    <hyperlink ref="L12752" r:id="rId12750" tooltip="🔗 Ver Mapa" display="🔗 Ver Mapa"/>
    <hyperlink ref="L12753" r:id="rId12751" tooltip="🔗 Ver Mapa" display="🔗 Ver Mapa"/>
    <hyperlink ref="L12754" r:id="rId12752" tooltip="🔗 Ver Mapa" display="🔗 Ver Mapa"/>
    <hyperlink ref="L12755" r:id="rId12753" tooltip="🔗 Ver Mapa" display="🔗 Ver Mapa"/>
    <hyperlink ref="L12756" r:id="rId12754" tooltip="🔗 Ver Mapa" display="🔗 Ver Mapa"/>
    <hyperlink ref="L12757" r:id="rId12755" tooltip="🔗 Ver Mapa" display="🔗 Ver Mapa"/>
    <hyperlink ref="L12758" r:id="rId12756" tooltip="🔗 Ver Mapa" display="🔗 Ver Mapa"/>
    <hyperlink ref="L12759" r:id="rId12757" tooltip="🔗 Ver Mapa" display="🔗 Ver Mapa"/>
    <hyperlink ref="L12760" r:id="rId12758" tooltip="🔗 Ver Mapa" display="🔗 Ver Mapa"/>
    <hyperlink ref="L12761" r:id="rId12759" tooltip="🔗 Ver Mapa" display="🔗 Ver Mapa"/>
    <hyperlink ref="L12762" r:id="rId12760" tooltip="🔗 Ver Mapa" display="🔗 Ver Mapa"/>
    <hyperlink ref="L12763" r:id="rId12761" tooltip="🔗 Ver Mapa" display="🔗 Ver Mapa"/>
    <hyperlink ref="L12764" r:id="rId12762" tooltip="🔗 Ver Mapa" display="🔗 Ver Mapa"/>
    <hyperlink ref="L12765" r:id="rId12763" tooltip="🔗 Ver Mapa" display="🔗 Ver Mapa"/>
    <hyperlink ref="L12766" r:id="rId12764" tooltip="🔗 Ver Mapa" display="🔗 Ver Mapa"/>
    <hyperlink ref="L12767" r:id="rId12765" tooltip="🔗 Ver Mapa" display="🔗 Ver Mapa"/>
    <hyperlink ref="L12768" r:id="rId12766" tooltip="🔗 Ver Mapa" display="🔗 Ver Mapa"/>
    <hyperlink ref="L12769" r:id="rId12767" tooltip="🔗 Ver Mapa" display="🔗 Ver Mapa"/>
    <hyperlink ref="L12770" r:id="rId12768" tooltip="🔗 Ver Mapa" display="🔗 Ver Mapa"/>
    <hyperlink ref="L12771" r:id="rId12769" tooltip="🔗 Ver Mapa" display="🔗 Ver Mapa"/>
    <hyperlink ref="L12772" r:id="rId12770" tooltip="🔗 Ver Mapa" display="🔗 Ver Mapa"/>
    <hyperlink ref="L12773" r:id="rId12771" tooltip="🔗 Ver Mapa" display="🔗 Ver Mapa"/>
    <hyperlink ref="L12774" r:id="rId12772" tooltip="🔗 Ver Mapa" display="🔗 Ver Mapa"/>
    <hyperlink ref="L12775" r:id="rId12773" tooltip="🔗 Ver Mapa" display="🔗 Ver Mapa"/>
    <hyperlink ref="L12776" r:id="rId12774" tooltip="🔗 Ver Mapa" display="🔗 Ver Mapa"/>
    <hyperlink ref="L12777" r:id="rId12775" tooltip="🔗 Ver Mapa" display="🔗 Ver Mapa"/>
    <hyperlink ref="L12778" r:id="rId12776" tooltip="🔗 Ver Mapa" display="🔗 Ver Mapa"/>
    <hyperlink ref="L12779" r:id="rId12777" tooltip="🔗 Ver Mapa" display="🔗 Ver Mapa"/>
    <hyperlink ref="L12780" r:id="rId12778" tooltip="🔗 Ver Mapa" display="🔗 Ver Mapa"/>
    <hyperlink ref="L12781" r:id="rId12779" tooltip="🔗 Ver Mapa" display="🔗 Ver Mapa"/>
    <hyperlink ref="L12782" r:id="rId12780" tooltip="🔗 Ver Mapa" display="🔗 Ver Mapa"/>
    <hyperlink ref="L12783" r:id="rId12781" tooltip="🔗 Ver Mapa" display="🔗 Ver Mapa"/>
    <hyperlink ref="L12784" r:id="rId12782" tooltip="🔗 Ver Mapa" display="🔗 Ver Mapa"/>
    <hyperlink ref="L12785" r:id="rId12783" tooltip="🔗 Ver Mapa" display="🔗 Ver Mapa"/>
    <hyperlink ref="L12786" r:id="rId12784" tooltip="🔗 Ver Mapa" display="🔗 Ver Mapa"/>
    <hyperlink ref="L12787" r:id="rId12785" tooltip="🔗 Ver Mapa" display="🔗 Ver Mapa"/>
    <hyperlink ref="L12788" r:id="rId12786" tooltip="🔗 Ver Mapa" display="🔗 Ver Mapa"/>
    <hyperlink ref="L12789" r:id="rId12787" tooltip="🔗 Ver Mapa" display="🔗 Ver Mapa"/>
    <hyperlink ref="L12790" r:id="rId12788" tooltip="🔗 Ver Mapa" display="🔗 Ver Mapa"/>
    <hyperlink ref="L12791" r:id="rId12789" tooltip="🔗 Ver Mapa" display="🔗 Ver Mapa"/>
    <hyperlink ref="L12792" r:id="rId12790" tooltip="🔗 Ver Mapa" display="🔗 Ver Mapa"/>
    <hyperlink ref="L12793" r:id="rId12791" tooltip="🔗 Ver Mapa" display="🔗 Ver Mapa"/>
    <hyperlink ref="L12794" r:id="rId12792" tooltip="🔗 Ver Mapa" display="🔗 Ver Mapa"/>
    <hyperlink ref="L12795" r:id="rId12793" tooltip="🔗 Ver Mapa" display="🔗 Ver Mapa"/>
    <hyperlink ref="L12796" r:id="rId12794" tooltip="🔗 Ver Mapa" display="🔗 Ver Mapa"/>
    <hyperlink ref="L12797" r:id="rId12795" tooltip="🔗 Ver Mapa" display="🔗 Ver Mapa"/>
    <hyperlink ref="L12798" r:id="rId12796" tooltip="🔗 Ver Mapa" display="🔗 Ver Mapa"/>
    <hyperlink ref="L12799" r:id="rId12797" tooltip="🔗 Ver Mapa" display="🔗 Ver Mapa"/>
    <hyperlink ref="L12800" r:id="rId12798" tooltip="🔗 Ver Mapa" display="🔗 Ver Mapa"/>
    <hyperlink ref="L12801" r:id="rId12799" tooltip="🔗 Ver Mapa" display="🔗 Ver Mapa"/>
    <hyperlink ref="L12802" r:id="rId12800" tooltip="🔗 Ver Mapa" display="🔗 Ver Mapa"/>
    <hyperlink ref="L12803" r:id="rId12801" tooltip="🔗 Ver Mapa" display="🔗 Ver Mapa"/>
    <hyperlink ref="L12804" r:id="rId12802" tooltip="🔗 Ver Mapa" display="🔗 Ver Mapa"/>
    <hyperlink ref="L12805" r:id="rId12803" tooltip="🔗 Ver Mapa" display="🔗 Ver Mapa"/>
    <hyperlink ref="L12806" r:id="rId12804" tooltip="🔗 Ver Mapa" display="🔗 Ver Mapa"/>
    <hyperlink ref="L12807" r:id="rId12805" tooltip="🔗 Ver Mapa" display="🔗 Ver Mapa"/>
    <hyperlink ref="L12808" r:id="rId12806" tooltip="🔗 Ver Mapa" display="🔗 Ver Mapa"/>
    <hyperlink ref="L12809" r:id="rId12807" tooltip="🔗 Ver Mapa" display="🔗 Ver Mapa"/>
    <hyperlink ref="L12810" r:id="rId12808" tooltip="🔗 Ver Mapa" display="🔗 Ver Mapa"/>
    <hyperlink ref="L12811" r:id="rId12809" tooltip="🔗 Ver Mapa" display="🔗 Ver Mapa"/>
    <hyperlink ref="L12812" r:id="rId12810" tooltip="🔗 Ver Mapa" display="🔗 Ver Mapa"/>
    <hyperlink ref="L12813" r:id="rId12811" tooltip="🔗 Ver Mapa" display="🔗 Ver Mapa"/>
    <hyperlink ref="L12814" r:id="rId12812" tooltip="🔗 Ver Mapa" display="🔗 Ver Mapa"/>
    <hyperlink ref="L12815" r:id="rId12813" tooltip="🔗 Ver Mapa" display="🔗 Ver Mapa"/>
    <hyperlink ref="L12816" r:id="rId12814" tooltip="🔗 Ver Mapa" display="🔗 Ver Mapa"/>
    <hyperlink ref="L12817" r:id="rId12815" tooltip="🔗 Ver Mapa" display="🔗 Ver Mapa"/>
    <hyperlink ref="L12818" r:id="rId12816" tooltip="🔗 Ver Mapa" display="🔗 Ver Mapa"/>
    <hyperlink ref="L12819" r:id="rId12817" tooltip="🔗 Ver Mapa" display="🔗 Ver Mapa"/>
    <hyperlink ref="L12820" r:id="rId12818" tooltip="🔗 Ver Mapa" display="🔗 Ver Mapa"/>
    <hyperlink ref="L12821" r:id="rId12819" tooltip="🔗 Ver Mapa" display="🔗 Ver Mapa"/>
    <hyperlink ref="L12822" r:id="rId12820" tooltip="🔗 Ver Mapa" display="🔗 Ver Mapa"/>
    <hyperlink ref="L12823" r:id="rId12821" tooltip="🔗 Ver Mapa" display="🔗 Ver Mapa"/>
    <hyperlink ref="L12824" r:id="rId12822" tooltip="🔗 Ver Mapa" display="🔗 Ver Mapa"/>
    <hyperlink ref="L12825" r:id="rId12823" tooltip="🔗 Ver Mapa" display="🔗 Ver Mapa"/>
    <hyperlink ref="L12826" r:id="rId12824" tooltip="🔗 Ver Mapa" display="🔗 Ver Mapa"/>
    <hyperlink ref="L12827" r:id="rId12825" tooltip="🔗 Ver Mapa" display="🔗 Ver Mapa"/>
    <hyperlink ref="L12828" r:id="rId12826" tooltip="🔗 Ver Mapa" display="🔗 Ver Mapa"/>
    <hyperlink ref="L12829" r:id="rId12827" tooltip="🔗 Ver Mapa" display="🔗 Ver Mapa"/>
    <hyperlink ref="L12830" r:id="rId12828" tooltip="🔗 Ver Mapa" display="🔗 Ver Mapa"/>
    <hyperlink ref="L12831" r:id="rId12829" tooltip="🔗 Ver Mapa" display="🔗 Ver Mapa"/>
    <hyperlink ref="L12832" r:id="rId12830" tooltip="🔗 Ver Mapa" display="🔗 Ver Mapa"/>
    <hyperlink ref="L12833" r:id="rId12831" tooltip="🔗 Ver Mapa" display="🔗 Ver Mapa"/>
    <hyperlink ref="L12834" r:id="rId12832" tooltip="🔗 Ver Mapa" display="🔗 Ver Mapa"/>
    <hyperlink ref="L12835" r:id="rId12833" tooltip="🔗 Ver Mapa" display="🔗 Ver Mapa"/>
    <hyperlink ref="L12836" r:id="rId12834" tooltip="🔗 Ver Mapa" display="🔗 Ver Mapa"/>
    <hyperlink ref="L12837" r:id="rId12835" tooltip="🔗 Ver Mapa" display="🔗 Ver Mapa"/>
    <hyperlink ref="L12838" r:id="rId12836" tooltip="🔗 Ver Mapa" display="🔗 Ver Mapa"/>
    <hyperlink ref="L12839" r:id="rId12837" tooltip="🔗 Ver Mapa" display="🔗 Ver Mapa"/>
    <hyperlink ref="L12840" r:id="rId12838" tooltip="🔗 Ver Mapa" display="🔗 Ver Mapa"/>
    <hyperlink ref="L12841" r:id="rId12839" tooltip="🔗 Ver Mapa" display="🔗 Ver Mapa"/>
    <hyperlink ref="L12842" r:id="rId12840" tooltip="🔗 Ver Mapa" display="🔗 Ver Mapa"/>
    <hyperlink ref="L12843" r:id="rId12841" tooltip="🔗 Ver Mapa" display="🔗 Ver Mapa"/>
    <hyperlink ref="L12844" r:id="rId12842" tooltip="🔗 Ver Mapa" display="🔗 Ver Mapa"/>
    <hyperlink ref="L12845" r:id="rId12843" tooltip="🔗 Ver Mapa" display="🔗 Ver Mapa"/>
    <hyperlink ref="L12846" r:id="rId12844" tooltip="🔗 Ver Mapa" display="🔗 Ver Mapa"/>
    <hyperlink ref="L12847" r:id="rId12845" tooltip="🔗 Ver Mapa" display="🔗 Ver Mapa"/>
    <hyperlink ref="L12848" r:id="rId12846" tooltip="🔗 Ver Mapa" display="🔗 Ver Mapa"/>
    <hyperlink ref="L12849" r:id="rId12847" tooltip="🔗 Ver Mapa" display="🔗 Ver Mapa"/>
    <hyperlink ref="L12850" r:id="rId12848" tooltip="🔗 Ver Mapa" display="🔗 Ver Mapa"/>
    <hyperlink ref="L12851" r:id="rId12849" tooltip="🔗 Ver Mapa" display="🔗 Ver Mapa"/>
    <hyperlink ref="L12852" r:id="rId12850" tooltip="🔗 Ver Mapa" display="🔗 Ver Mapa"/>
    <hyperlink ref="L12853" r:id="rId12851" tooltip="🔗 Ver Mapa" display="🔗 Ver Mapa"/>
    <hyperlink ref="L12854" r:id="rId12852" tooltip="🔗 Ver Mapa" display="🔗 Ver Mapa"/>
    <hyperlink ref="L12855" r:id="rId12853" tooltip="🔗 Ver Mapa" display="🔗 Ver Mapa"/>
    <hyperlink ref="L12856" r:id="rId12854" tooltip="🔗 Ver Mapa" display="🔗 Ver Mapa"/>
    <hyperlink ref="L12857" r:id="rId12855" tooltip="🔗 Ver Mapa" display="🔗 Ver Mapa"/>
    <hyperlink ref="L12858" r:id="rId12856" tooltip="🔗 Ver Mapa" display="🔗 Ver Mapa"/>
    <hyperlink ref="L12859" r:id="rId12857" tooltip="🔗 Ver Mapa" display="🔗 Ver Mapa"/>
    <hyperlink ref="L12860" r:id="rId12858" tooltip="🔗 Ver Mapa" display="🔗 Ver Mapa"/>
    <hyperlink ref="L12861" r:id="rId12859" tooltip="🔗 Ver Mapa" display="🔗 Ver Mapa"/>
    <hyperlink ref="L12862" r:id="rId12860" tooltip="🔗 Ver Mapa" display="🔗 Ver Mapa"/>
    <hyperlink ref="L12863" r:id="rId12861" tooltip="🔗 Ver Mapa" display="🔗 Ver Mapa"/>
    <hyperlink ref="L12864" r:id="rId12862" tooltip="🔗 Ver Mapa" display="🔗 Ver Mapa"/>
    <hyperlink ref="L12865" r:id="rId12863" tooltip="🔗 Ver Mapa" display="🔗 Ver Mapa"/>
    <hyperlink ref="L12866" r:id="rId12864" tooltip="🔗 Ver Mapa" display="🔗 Ver Mapa"/>
    <hyperlink ref="L12867" r:id="rId12865" tooltip="🔗 Ver Mapa" display="🔗 Ver Mapa"/>
    <hyperlink ref="L12868" r:id="rId12866" tooltip="🔗 Ver Mapa" display="🔗 Ver Mapa"/>
    <hyperlink ref="L12869" r:id="rId12867" tooltip="🔗 Ver Mapa" display="🔗 Ver Mapa"/>
    <hyperlink ref="L12870" r:id="rId12868" tooltip="🔗 Ver Mapa" display="🔗 Ver Mapa"/>
    <hyperlink ref="L12871" r:id="rId12869" tooltip="🔗 Ver Mapa" display="🔗 Ver Mapa"/>
    <hyperlink ref="L12872" r:id="rId12870" tooltip="🔗 Ver Mapa" display="🔗 Ver Mapa"/>
    <hyperlink ref="L12873" r:id="rId12871" tooltip="🔗 Ver Mapa" display="🔗 Ver Mapa"/>
    <hyperlink ref="L12874" r:id="rId12872" tooltip="🔗 Ver Mapa" display="🔗 Ver Mapa"/>
    <hyperlink ref="L12875" r:id="rId12873" tooltip="🔗 Ver Mapa" display="🔗 Ver Mapa"/>
    <hyperlink ref="L12876" r:id="rId12874" tooltip="🔗 Ver Mapa" display="🔗 Ver Mapa"/>
    <hyperlink ref="L12877" r:id="rId12875" tooltip="🔗 Ver Mapa" display="🔗 Ver Mapa"/>
    <hyperlink ref="L12878" r:id="rId12876" tooltip="🔗 Ver Mapa" display="🔗 Ver Mapa"/>
    <hyperlink ref="L12879" r:id="rId12877" tooltip="🔗 Ver Mapa" display="🔗 Ver Mapa"/>
    <hyperlink ref="L12880" r:id="rId12878" tooltip="🔗 Ver Mapa" display="🔗 Ver Mapa"/>
    <hyperlink ref="L12881" r:id="rId12879" tooltip="🔗 Ver Mapa" display="🔗 Ver Mapa"/>
    <hyperlink ref="L12882" r:id="rId12880" tooltip="🔗 Ver Mapa" display="🔗 Ver Mapa"/>
    <hyperlink ref="L12883" r:id="rId12881" tooltip="🔗 Ver Mapa" display="🔗 Ver Mapa"/>
    <hyperlink ref="L12884" r:id="rId12882" tooltip="🔗 Ver Mapa" display="🔗 Ver Mapa"/>
    <hyperlink ref="L12885" r:id="rId12883" tooltip="🔗 Ver Mapa" display="🔗 Ver Mapa"/>
    <hyperlink ref="L12886" r:id="rId12884" tooltip="🔗 Ver Mapa" display="🔗 Ver Mapa"/>
    <hyperlink ref="L12887" r:id="rId12885" tooltip="🔗 Ver Mapa" display="🔗 Ver Mapa"/>
    <hyperlink ref="L12888" r:id="rId12886" tooltip="🔗 Ver Mapa" display="🔗 Ver Mapa"/>
    <hyperlink ref="L12889" r:id="rId12887" tooltip="🔗 Ver Mapa" display="🔗 Ver Mapa"/>
    <hyperlink ref="L12890" r:id="rId12888" tooltip="🔗 Ver Mapa" display="🔗 Ver Mapa"/>
    <hyperlink ref="L12891" r:id="rId12889" tooltip="🔗 Ver Mapa" display="🔗 Ver Mapa"/>
    <hyperlink ref="L12892" r:id="rId12890" tooltip="🔗 Ver Mapa" display="🔗 Ver Mapa"/>
    <hyperlink ref="L12893" r:id="rId12891" tooltip="🔗 Ver Mapa" display="🔗 Ver Mapa"/>
    <hyperlink ref="L12894" r:id="rId12892" tooltip="🔗 Ver Mapa" display="🔗 Ver Mapa"/>
    <hyperlink ref="L12895" r:id="rId12893" tooltip="🔗 Ver Mapa" display="🔗 Ver Mapa"/>
    <hyperlink ref="L12896" r:id="rId12894" tooltip="🔗 Ver Mapa" display="🔗 Ver Mapa"/>
    <hyperlink ref="L12897" r:id="rId12895" tooltip="🔗 Ver Mapa" display="🔗 Ver Mapa"/>
    <hyperlink ref="L12898" r:id="rId12896" tooltip="🔗 Ver Mapa" display="🔗 Ver Mapa"/>
    <hyperlink ref="L12899" r:id="rId12897" tooltip="🔗 Ver Mapa" display="🔗 Ver Mapa"/>
    <hyperlink ref="L12900" r:id="rId12898" tooltip="🔗 Ver Mapa" display="🔗 Ver Mapa"/>
    <hyperlink ref="L12901" r:id="rId12899" tooltip="🔗 Ver Mapa" display="🔗 Ver Mapa"/>
    <hyperlink ref="L12902" r:id="rId12900" tooltip="🔗 Ver Mapa" display="🔗 Ver Mapa"/>
    <hyperlink ref="L12903" r:id="rId12901" tooltip="🔗 Ver Mapa" display="🔗 Ver Mapa"/>
    <hyperlink ref="L12904" r:id="rId12902" tooltip="🔗 Ver Mapa" display="🔗 Ver Mapa"/>
    <hyperlink ref="L12905" r:id="rId12903" tooltip="🔗 Ver Mapa" display="🔗 Ver Mapa"/>
    <hyperlink ref="L12906" r:id="rId12904" tooltip="🔗 Ver Mapa" display="🔗 Ver Mapa"/>
    <hyperlink ref="L12907" r:id="rId12905" tooltip="🔗 Ver Mapa" display="🔗 Ver Mapa"/>
    <hyperlink ref="L12908" r:id="rId12906" tooltip="🔗 Ver Mapa" display="🔗 Ver Mapa"/>
    <hyperlink ref="L12909" r:id="rId12907" tooltip="🔗 Ver Mapa" display="🔗 Ver Mapa"/>
    <hyperlink ref="L12910" r:id="rId12908" tooltip="🔗 Ver Mapa" display="🔗 Ver Mapa"/>
    <hyperlink ref="L12911" r:id="rId12909" tooltip="🔗 Ver Mapa" display="🔗 Ver Mapa"/>
    <hyperlink ref="L12912" r:id="rId12910" tooltip="🔗 Ver Mapa" display="🔗 Ver Mapa"/>
    <hyperlink ref="L12913" r:id="rId12911" tooltip="🔗 Ver Mapa" display="🔗 Ver Mapa"/>
    <hyperlink ref="L12914" r:id="rId12912" tooltip="🔗 Ver Mapa" display="🔗 Ver Mapa"/>
    <hyperlink ref="L12915" r:id="rId12913" tooltip="🔗 Ver Mapa" display="🔗 Ver Mapa"/>
    <hyperlink ref="L12916" r:id="rId12914" tooltip="🔗 Ver Mapa" display="🔗 Ver Mapa"/>
    <hyperlink ref="L12917" r:id="rId12915" tooltip="🔗 Ver Mapa" display="🔗 Ver Mapa"/>
    <hyperlink ref="L12918" r:id="rId12916" tooltip="🔗 Ver Mapa" display="🔗 Ver Mapa"/>
    <hyperlink ref="L12919" r:id="rId12917" tooltip="🔗 Ver Mapa" display="🔗 Ver Mapa"/>
    <hyperlink ref="L12920" r:id="rId12918" tooltip="🔗 Ver Mapa" display="🔗 Ver Mapa"/>
    <hyperlink ref="L12921" r:id="rId12919" tooltip="🔗 Ver Mapa" display="🔗 Ver Mapa"/>
    <hyperlink ref="L12922" r:id="rId12920" tooltip="🔗 Ver Mapa" display="🔗 Ver Mapa"/>
    <hyperlink ref="L12923" r:id="rId12921" tooltip="🔗 Ver Mapa" display="🔗 Ver Mapa"/>
    <hyperlink ref="L12924" r:id="rId12922" tooltip="🔗 Ver Mapa" display="🔗 Ver Mapa"/>
    <hyperlink ref="L12925" r:id="rId12923" tooltip="🔗 Ver Mapa" display="🔗 Ver Mapa"/>
    <hyperlink ref="L12926" r:id="rId12924" tooltip="🔗 Ver Mapa" display="🔗 Ver Mapa"/>
    <hyperlink ref="L12927" r:id="rId12925" tooltip="🔗 Ver Mapa" display="🔗 Ver Mapa"/>
    <hyperlink ref="L12928" r:id="rId12926" tooltip="🔗 Ver Mapa" display="🔗 Ver Mapa"/>
    <hyperlink ref="L12929" r:id="rId12927" tooltip="🔗 Ver Mapa" display="🔗 Ver Mapa"/>
    <hyperlink ref="L12930" r:id="rId12928" tooltip="🔗 Ver Mapa" display="🔗 Ver Mapa"/>
    <hyperlink ref="L12931" r:id="rId12929" tooltip="🔗 Ver Mapa" display="🔗 Ver Mapa"/>
    <hyperlink ref="L12932" r:id="rId12930" tooltip="🔗 Ver Mapa" display="🔗 Ver Mapa"/>
    <hyperlink ref="L12933" r:id="rId12931" tooltip="🔗 Ver Mapa" display="🔗 Ver Mapa"/>
    <hyperlink ref="L12934" r:id="rId12932" tooltip="🔗 Ver Mapa" display="🔗 Ver Mapa"/>
    <hyperlink ref="L12935" r:id="rId12933" tooltip="🔗 Ver Mapa" display="🔗 Ver Mapa"/>
    <hyperlink ref="L12936" r:id="rId12934" tooltip="🔗 Ver Mapa" display="🔗 Ver Mapa"/>
    <hyperlink ref="L12937" r:id="rId12935" tooltip="🔗 Ver Mapa" display="🔗 Ver Mapa"/>
    <hyperlink ref="L12938" r:id="rId12936" tooltip="🔗 Ver Mapa" display="🔗 Ver Mapa"/>
    <hyperlink ref="L12939" r:id="rId12937" tooltip="🔗 Ver Mapa" display="🔗 Ver Mapa"/>
    <hyperlink ref="L12940" r:id="rId12938" tooltip="🔗 Ver Mapa" display="🔗 Ver Mapa"/>
    <hyperlink ref="L12941" r:id="rId12939" tooltip="🔗 Ver Mapa" display="🔗 Ver Mapa"/>
    <hyperlink ref="L12942" r:id="rId12940" tooltip="🔗 Ver Mapa" display="🔗 Ver Mapa"/>
    <hyperlink ref="L12943" r:id="rId12941" tooltip="🔗 Ver Mapa" display="🔗 Ver Mapa"/>
    <hyperlink ref="L12944" r:id="rId12942" tooltip="🔗 Ver Mapa" display="🔗 Ver Mapa"/>
    <hyperlink ref="L12945" r:id="rId12943" tooltip="🔗 Ver Mapa" display="🔗 Ver Mapa"/>
    <hyperlink ref="L12946" r:id="rId12944" tooltip="🔗 Ver Mapa" display="🔗 Ver Mapa"/>
    <hyperlink ref="L12947" r:id="rId12945" tooltip="🔗 Ver Mapa" display="🔗 Ver Mapa"/>
    <hyperlink ref="L12948" r:id="rId12946" tooltip="🔗 Ver Mapa" display="🔗 Ver Mapa"/>
    <hyperlink ref="L12949" r:id="rId12947" tooltip="🔗 Ver Mapa" display="🔗 Ver Mapa"/>
    <hyperlink ref="L12950" r:id="rId12948" tooltip="🔗 Ver Mapa" display="🔗 Ver Mapa"/>
    <hyperlink ref="L12951" r:id="rId12949" tooltip="🔗 Ver Mapa" display="🔗 Ver Mapa"/>
    <hyperlink ref="L12952" r:id="rId12950" tooltip="🔗 Ver Mapa" display="🔗 Ver Mapa"/>
    <hyperlink ref="L12953" r:id="rId12951" tooltip="🔗 Ver Mapa" display="🔗 Ver Mapa"/>
    <hyperlink ref="L12954" r:id="rId12952" tooltip="🔗 Ver Mapa" display="🔗 Ver Mapa"/>
    <hyperlink ref="L12955" r:id="rId12953" tooltip="🔗 Ver Mapa" display="🔗 Ver Mapa"/>
    <hyperlink ref="L12956" r:id="rId12954" tooltip="🔗 Ver Mapa" display="🔗 Ver Mapa"/>
    <hyperlink ref="L12957" r:id="rId12955" tooltip="🔗 Ver Mapa" display="🔗 Ver Mapa"/>
    <hyperlink ref="L12958" r:id="rId12956" tooltip="🔗 Ver Mapa" display="🔗 Ver Mapa"/>
    <hyperlink ref="L12959" r:id="rId12957" tooltip="🔗 Ver Mapa" display="🔗 Ver Mapa"/>
    <hyperlink ref="L12960" r:id="rId12958" tooltip="🔗 Ver Mapa" display="🔗 Ver Mapa"/>
    <hyperlink ref="L12961" r:id="rId12959" tooltip="🔗 Ver Mapa" display="🔗 Ver Mapa"/>
    <hyperlink ref="L12962" r:id="rId12960" tooltip="🔗 Ver Mapa" display="🔗 Ver Mapa"/>
    <hyperlink ref="L12963" r:id="rId12961" tooltip="🔗 Ver Mapa" display="🔗 Ver Mapa"/>
    <hyperlink ref="L12964" r:id="rId12962" tooltip="🔗 Ver Mapa" display="🔗 Ver Mapa"/>
    <hyperlink ref="L12965" r:id="rId12963" tooltip="🔗 Ver Mapa" display="🔗 Ver Mapa"/>
    <hyperlink ref="L12966" r:id="rId12964" tooltip="🔗 Ver Mapa" display="🔗 Ver Mapa"/>
    <hyperlink ref="L12967" r:id="rId12965" tooltip="🔗 Ver Mapa" display="🔗 Ver Mapa"/>
    <hyperlink ref="L12968" r:id="rId12966" tooltip="🔗 Ver Mapa" display="🔗 Ver Mapa"/>
    <hyperlink ref="L12969" r:id="rId12967" tooltip="🔗 Ver Mapa" display="🔗 Ver Mapa"/>
    <hyperlink ref="L12970" r:id="rId12968" tooltip="🔗 Ver Mapa" display="🔗 Ver Mapa"/>
    <hyperlink ref="L12971" r:id="rId12969" tooltip="🔗 Ver Mapa" display="🔗 Ver Mapa"/>
    <hyperlink ref="L12972" r:id="rId12970" tooltip="🔗 Ver Mapa" display="🔗 Ver Mapa"/>
    <hyperlink ref="L12973" r:id="rId12971" tooltip="🔗 Ver Mapa" display="🔗 Ver Mapa"/>
    <hyperlink ref="L12974" r:id="rId12972" tooltip="🔗 Ver Mapa" display="🔗 Ver Mapa"/>
    <hyperlink ref="L12975" r:id="rId12973" tooltip="🔗 Ver Mapa" display="🔗 Ver Mapa"/>
    <hyperlink ref="L12976" r:id="rId12974" tooltip="🔗 Ver Mapa" display="🔗 Ver Mapa"/>
    <hyperlink ref="L12977" r:id="rId12975" tooltip="🔗 Ver Mapa" display="🔗 Ver Mapa"/>
    <hyperlink ref="L12978" r:id="rId12976" tooltip="🔗 Ver Mapa" display="🔗 Ver Mapa"/>
    <hyperlink ref="L12979" r:id="rId12977" tooltip="🔗 Ver Mapa" display="🔗 Ver Mapa"/>
    <hyperlink ref="L12980" r:id="rId12978" tooltip="🔗 Ver Mapa" display="🔗 Ver Mapa"/>
    <hyperlink ref="L12981" r:id="rId12979" tooltip="🔗 Ver Mapa" display="🔗 Ver Mapa"/>
    <hyperlink ref="L12982" r:id="rId12980" tooltip="🔗 Ver Mapa" display="🔗 Ver Mapa"/>
    <hyperlink ref="L12983" r:id="rId12981" tooltip="🔗 Ver Mapa" display="🔗 Ver Mapa"/>
    <hyperlink ref="L12984" r:id="rId12982" tooltip="🔗 Ver Mapa" display="🔗 Ver Mapa"/>
    <hyperlink ref="L12985" r:id="rId12983" tooltip="🔗 Ver Mapa" display="🔗 Ver Mapa"/>
    <hyperlink ref="L12986" r:id="rId12984" tooltip="🔗 Ver Mapa" display="🔗 Ver Mapa"/>
    <hyperlink ref="L12987" r:id="rId12985" tooltip="🔗 Ver Mapa" display="🔗 Ver Mapa"/>
    <hyperlink ref="L12988" r:id="rId12986" tooltip="🔗 Ver Mapa" display="🔗 Ver Mapa"/>
    <hyperlink ref="L12989" r:id="rId12987" tooltip="🔗 Ver Mapa" display="🔗 Ver Mapa"/>
    <hyperlink ref="L12990" r:id="rId12988" tooltip="🔗 Ver Mapa" display="🔗 Ver Mapa"/>
    <hyperlink ref="L12991" r:id="rId12989" tooltip="🔗 Ver Mapa" display="🔗 Ver Mapa"/>
    <hyperlink ref="L12992" r:id="rId12990" tooltip="🔗 Ver Mapa" display="🔗 Ver Mapa"/>
    <hyperlink ref="L12993" r:id="rId12991" tooltip="🔗 Ver Mapa" display="🔗 Ver Mapa"/>
    <hyperlink ref="L12994" r:id="rId12992" tooltip="🔗 Ver Mapa" display="🔗 Ver Mapa"/>
    <hyperlink ref="L12995" r:id="rId12993" tooltip="🔗 Ver Mapa" display="🔗 Ver Mapa"/>
    <hyperlink ref="L12996" r:id="rId12994" tooltip="🔗 Ver Mapa" display="🔗 Ver Mapa"/>
    <hyperlink ref="L12997" r:id="rId12995" tooltip="🔗 Ver Mapa" display="🔗 Ver Mapa"/>
    <hyperlink ref="L12998" r:id="rId12996" tooltip="🔗 Ver Mapa" display="🔗 Ver Mapa"/>
    <hyperlink ref="L12999" r:id="rId12997" tooltip="🔗 Ver Mapa" display="🔗 Ver Mapa"/>
    <hyperlink ref="L13000" r:id="rId12998" tooltip="🔗 Ver Mapa" display="🔗 Ver Mapa"/>
    <hyperlink ref="L13001" r:id="rId12999" tooltip="🔗 Ver Mapa" display="🔗 Ver Mapa"/>
    <hyperlink ref="L13002" r:id="rId13000" tooltip="🔗 Ver Mapa" display="🔗 Ver Mapa"/>
    <hyperlink ref="L13003" r:id="rId13001" tooltip="🔗 Ver Mapa" display="🔗 Ver Mapa"/>
    <hyperlink ref="L13004" r:id="rId13002" tooltip="🔗 Ver Mapa" display="🔗 Ver Mapa"/>
    <hyperlink ref="L13005" r:id="rId13003" tooltip="🔗 Ver Mapa" display="🔗 Ver Mapa"/>
    <hyperlink ref="L13006" r:id="rId13004" tooltip="🔗 Ver Mapa" display="🔗 Ver Mapa"/>
    <hyperlink ref="L13007" r:id="rId13005" tooltip="🔗 Ver Mapa" display="🔗 Ver Mapa"/>
    <hyperlink ref="L13008" r:id="rId13006" tooltip="🔗 Ver Mapa" display="🔗 Ver Mapa"/>
    <hyperlink ref="L13009" r:id="rId13007" tooltip="🔗 Ver Mapa" display="🔗 Ver Mapa"/>
    <hyperlink ref="L13010" r:id="rId13008" tooltip="🔗 Ver Mapa" display="🔗 Ver Mapa"/>
    <hyperlink ref="L13011" r:id="rId13009" tooltip="🔗 Ver Mapa" display="🔗 Ver Mapa"/>
    <hyperlink ref="L13012" r:id="rId13010" tooltip="🔗 Ver Mapa" display="🔗 Ver Mapa"/>
    <hyperlink ref="L13013" r:id="rId13011" tooltip="🔗 Ver Mapa" display="🔗 Ver Mapa"/>
    <hyperlink ref="L13014" r:id="rId13012" tooltip="🔗 Ver Mapa" display="🔗 Ver Mapa"/>
    <hyperlink ref="L13015" r:id="rId13013" tooltip="🔗 Ver Mapa" display="🔗 Ver Mapa"/>
    <hyperlink ref="L13016" r:id="rId13014" tooltip="🔗 Ver Mapa" display="🔗 Ver Mapa"/>
    <hyperlink ref="L13017" r:id="rId13015" tooltip="🔗 Ver Mapa" display="🔗 Ver Mapa"/>
    <hyperlink ref="L13018" r:id="rId13016" tooltip="🔗 Ver Mapa" display="🔗 Ver Mapa"/>
    <hyperlink ref="L13019" r:id="rId13017" tooltip="🔗 Ver Mapa" display="🔗 Ver Mapa"/>
    <hyperlink ref="L13020" r:id="rId13018" tooltip="🔗 Ver Mapa" display="🔗 Ver Mapa"/>
    <hyperlink ref="L13021" r:id="rId13019" tooltip="🔗 Ver Mapa" display="🔗 Ver Mapa"/>
    <hyperlink ref="L13022" r:id="rId13020" tooltip="🔗 Ver Mapa" display="🔗 Ver Mapa"/>
    <hyperlink ref="L13023" r:id="rId13021" tooltip="🔗 Ver Mapa" display="🔗 Ver Mapa"/>
    <hyperlink ref="L13024" r:id="rId13022" tooltip="🔗 Ver Mapa" display="🔗 Ver Mapa"/>
    <hyperlink ref="L13025" r:id="rId13023" tooltip="🔗 Ver Mapa" display="🔗 Ver Mapa"/>
    <hyperlink ref="L13026" r:id="rId13024" tooltip="🔗 Ver Mapa" display="🔗 Ver Mapa"/>
    <hyperlink ref="L13027" r:id="rId13025" tooltip="🔗 Ver Mapa" display="🔗 Ver Mapa"/>
    <hyperlink ref="L13028" r:id="rId13026" tooltip="🔗 Ver Mapa" display="🔗 Ver Mapa"/>
    <hyperlink ref="L13029" r:id="rId13027" tooltip="🔗 Ver Mapa" display="🔗 Ver Mapa"/>
    <hyperlink ref="L13030" r:id="rId13028" tooltip="🔗 Ver Mapa" display="🔗 Ver Mapa"/>
    <hyperlink ref="L13031" r:id="rId13029" tooltip="🔗 Ver Mapa" display="🔗 Ver Mapa"/>
    <hyperlink ref="L13032" r:id="rId13030" tooltip="🔗 Ver Mapa" display="🔗 Ver Mapa"/>
    <hyperlink ref="L13033" r:id="rId13031" tooltip="🔗 Ver Mapa" display="🔗 Ver Mapa"/>
    <hyperlink ref="L13034" r:id="rId13032" tooltip="🔗 Ver Mapa" display="🔗 Ver Mapa"/>
    <hyperlink ref="L13035" r:id="rId13033" tooltip="🔗 Ver Mapa" display="🔗 Ver Mapa"/>
    <hyperlink ref="L13036" r:id="rId13034" tooltip="🔗 Ver Mapa" display="🔗 Ver Mapa"/>
    <hyperlink ref="L13037" r:id="rId13035" tooltip="🔗 Ver Mapa" display="🔗 Ver Mapa"/>
    <hyperlink ref="L13038" r:id="rId13036" tooltip="🔗 Ver Mapa" display="🔗 Ver Mapa"/>
    <hyperlink ref="L13039" r:id="rId13037" tooltip="🔗 Ver Mapa" display="🔗 Ver Mapa"/>
    <hyperlink ref="L13040" r:id="rId13038" tooltip="🔗 Ver Mapa" display="🔗 Ver Mapa"/>
    <hyperlink ref="L13041" r:id="rId13039" tooltip="🔗 Ver Mapa" display="🔗 Ver Mapa"/>
    <hyperlink ref="L13042" r:id="rId13040" tooltip="🔗 Ver Mapa" display="🔗 Ver Mapa"/>
    <hyperlink ref="L13043" r:id="rId13041" tooltip="🔗 Ver Mapa" display="🔗 Ver Mapa"/>
    <hyperlink ref="L13044" r:id="rId13042" tooltip="🔗 Ver Mapa" display="🔗 Ver Mapa"/>
    <hyperlink ref="L13045" r:id="rId13043" tooltip="🔗 Ver Mapa" display="🔗 Ver Mapa"/>
    <hyperlink ref="L13046" r:id="rId13044" tooltip="🔗 Ver Mapa" display="🔗 Ver Mapa"/>
    <hyperlink ref="L13047" r:id="rId13045" tooltip="🔗 Ver Mapa" display="🔗 Ver Mapa"/>
    <hyperlink ref="L13048" r:id="rId13046" tooltip="🔗 Ver Mapa" display="🔗 Ver Mapa"/>
    <hyperlink ref="L13049" r:id="rId13047" tooltip="🔗 Ver Mapa" display="🔗 Ver Mapa"/>
    <hyperlink ref="L13050" r:id="rId13048" tooltip="🔗 Ver Mapa" display="🔗 Ver Mapa"/>
    <hyperlink ref="L13051" r:id="rId13049" tooltip="🔗 Ver Mapa" display="🔗 Ver Mapa"/>
    <hyperlink ref="L13052" r:id="rId13050" tooltip="🔗 Ver Mapa" display="🔗 Ver Mapa"/>
    <hyperlink ref="L13053" r:id="rId13051" tooltip="🔗 Ver Mapa" display="🔗 Ver Mapa"/>
    <hyperlink ref="L13054" r:id="rId13052" tooltip="🔗 Ver Mapa" display="🔗 Ver Mapa"/>
    <hyperlink ref="L13055" r:id="rId13053" tooltip="🔗 Ver Mapa" display="🔗 Ver Mapa"/>
    <hyperlink ref="L13056" r:id="rId13054" tooltip="🔗 Ver Mapa" display="🔗 Ver Mapa"/>
    <hyperlink ref="L13057" r:id="rId13055" tooltip="🔗 Ver Mapa" display="🔗 Ver Mapa"/>
    <hyperlink ref="L13058" r:id="rId13056" tooltip="🔗 Ver Mapa" display="🔗 Ver Mapa"/>
    <hyperlink ref="L13059" r:id="rId13057" tooltip="🔗 Ver Mapa" display="🔗 Ver Mapa"/>
    <hyperlink ref="L13060" r:id="rId13058" tooltip="🔗 Ver Mapa" display="🔗 Ver Mapa"/>
    <hyperlink ref="L13061" r:id="rId13059" tooltip="🔗 Ver Mapa" display="🔗 Ver Mapa"/>
    <hyperlink ref="L13062" r:id="rId13060" tooltip="🔗 Ver Mapa" display="🔗 Ver Mapa"/>
    <hyperlink ref="L13063" r:id="rId13061" tooltip="🔗 Ver Mapa" display="🔗 Ver Mapa"/>
    <hyperlink ref="L13064" r:id="rId13062" tooltip="🔗 Ver Mapa" display="🔗 Ver Mapa"/>
    <hyperlink ref="L13065" r:id="rId13063" tooltip="🔗 Ver Mapa" display="🔗 Ver Mapa"/>
    <hyperlink ref="L13066" r:id="rId13064" tooltip="🔗 Ver Mapa" display="🔗 Ver Mapa"/>
    <hyperlink ref="L13067" r:id="rId13065" tooltip="🔗 Ver Mapa" display="🔗 Ver Mapa"/>
    <hyperlink ref="L13068" r:id="rId13066" tooltip="🔗 Ver Mapa" display="🔗 Ver Mapa"/>
    <hyperlink ref="L13069" r:id="rId13067" tooltip="🔗 Ver Mapa" display="🔗 Ver Mapa"/>
    <hyperlink ref="L13070" r:id="rId13068" tooltip="🔗 Ver Mapa" display="🔗 Ver Mapa"/>
    <hyperlink ref="L13071" r:id="rId13069" tooltip="🔗 Ver Mapa" display="🔗 Ver Mapa"/>
    <hyperlink ref="L13072" r:id="rId13070" tooltip="🔗 Ver Mapa" display="🔗 Ver Mapa"/>
    <hyperlink ref="L13073" r:id="rId13071" tooltip="🔗 Ver Mapa" display="🔗 Ver Mapa"/>
    <hyperlink ref="L13074" r:id="rId13072" tooltip="🔗 Ver Mapa" display="🔗 Ver Mapa"/>
    <hyperlink ref="L13075" r:id="rId13073" tooltip="🔗 Ver Mapa" display="🔗 Ver Mapa"/>
    <hyperlink ref="L13076" r:id="rId13074" tooltip="🔗 Ver Mapa" display="🔗 Ver Mapa"/>
    <hyperlink ref="L13077" r:id="rId13075" tooltip="🔗 Ver Mapa" display="🔗 Ver Mapa"/>
    <hyperlink ref="L13078" r:id="rId13076" tooltip="🔗 Ver Mapa" display="🔗 Ver Mapa"/>
    <hyperlink ref="L13079" r:id="rId13077" tooltip="🔗 Ver Mapa" display="🔗 Ver Mapa"/>
    <hyperlink ref="L13080" r:id="rId13078" tooltip="🔗 Ver Mapa" display="🔗 Ver Mapa"/>
    <hyperlink ref="L13081" r:id="rId13079" tooltip="🔗 Ver Mapa" display="🔗 Ver Mapa"/>
    <hyperlink ref="L13082" r:id="rId13080" tooltip="🔗 Ver Mapa" display="🔗 Ver Mapa"/>
    <hyperlink ref="L13083" r:id="rId13081" tooltip="🔗 Ver Mapa" display="🔗 Ver Mapa"/>
    <hyperlink ref="L13084" r:id="rId13082" tooltip="🔗 Ver Mapa" display="🔗 Ver Mapa"/>
    <hyperlink ref="L13085" r:id="rId13083" tooltip="🔗 Ver Mapa" display="🔗 Ver Mapa"/>
    <hyperlink ref="L13086" r:id="rId13084" tooltip="🔗 Ver Mapa" display="🔗 Ver Mapa"/>
    <hyperlink ref="L13087" r:id="rId13085" tooltip="🔗 Ver Mapa" display="🔗 Ver Mapa"/>
    <hyperlink ref="L13088" r:id="rId13086" tooltip="🔗 Ver Mapa" display="🔗 Ver Mapa"/>
    <hyperlink ref="L13089" r:id="rId13087" tooltip="🔗 Ver Mapa" display="🔗 Ver Mapa"/>
    <hyperlink ref="L13090" r:id="rId13088" tooltip="🔗 Ver Mapa" display="🔗 Ver Mapa"/>
    <hyperlink ref="L13091" r:id="rId13089" tooltip="🔗 Ver Mapa" display="🔗 Ver Mapa"/>
    <hyperlink ref="L13092" r:id="rId13090" tooltip="🔗 Ver Mapa" display="🔗 Ver Mapa"/>
    <hyperlink ref="L13093" r:id="rId13091" tooltip="🔗 Ver Mapa" display="🔗 Ver Mapa"/>
    <hyperlink ref="L13094" r:id="rId13092" tooltip="🔗 Ver Mapa" display="🔗 Ver Mapa"/>
    <hyperlink ref="L13095" r:id="rId13093" tooltip="🔗 Ver Mapa" display="🔗 Ver Mapa"/>
    <hyperlink ref="L13096" r:id="rId13094" tooltip="🔗 Ver Mapa" display="🔗 Ver Mapa"/>
    <hyperlink ref="L13097" r:id="rId13095" tooltip="🔗 Ver Mapa" display="🔗 Ver Mapa"/>
    <hyperlink ref="L13098" r:id="rId13096" tooltip="🔗 Ver Mapa" display="🔗 Ver Mapa"/>
    <hyperlink ref="L13099" r:id="rId13097" tooltip="🔗 Ver Mapa" display="🔗 Ver Mapa"/>
    <hyperlink ref="L13100" r:id="rId13098" tooltip="🔗 Ver Mapa" display="🔗 Ver Mapa"/>
    <hyperlink ref="L13101" r:id="rId13099" tooltip="🔗 Ver Mapa" display="🔗 Ver Mapa"/>
    <hyperlink ref="L13102" r:id="rId13100" tooltip="🔗 Ver Mapa" display="🔗 Ver Mapa"/>
    <hyperlink ref="L13103" r:id="rId13101" tooltip="🔗 Ver Mapa" display="🔗 Ver Mapa"/>
    <hyperlink ref="L13104" r:id="rId13102" tooltip="🔗 Ver Mapa" display="🔗 Ver Mapa"/>
    <hyperlink ref="L13105" r:id="rId13103" tooltip="🔗 Ver Mapa" display="🔗 Ver Mapa"/>
    <hyperlink ref="L13106" r:id="rId13104" tooltip="🔗 Ver Mapa" display="🔗 Ver Mapa"/>
    <hyperlink ref="L13107" r:id="rId13105" tooltip="🔗 Ver Mapa" display="🔗 Ver Mapa"/>
    <hyperlink ref="L13108" r:id="rId13106" tooltip="🔗 Ver Mapa" display="🔗 Ver Mapa"/>
    <hyperlink ref="L13109" r:id="rId13107" tooltip="🔗 Ver Mapa" display="🔗 Ver Mapa"/>
    <hyperlink ref="L13110" r:id="rId13108" tooltip="🔗 Ver Mapa" display="🔗 Ver Mapa"/>
    <hyperlink ref="L13111" r:id="rId13109" tooltip="🔗 Ver Mapa" display="🔗 Ver Mapa"/>
    <hyperlink ref="L13112" r:id="rId13110" tooltip="🔗 Ver Mapa" display="🔗 Ver Mapa"/>
    <hyperlink ref="L13113" r:id="rId13111" tooltip="🔗 Ver Mapa" display="🔗 Ver Mapa"/>
    <hyperlink ref="L13114" r:id="rId13112" tooltip="🔗 Ver Mapa" display="🔗 Ver Mapa"/>
    <hyperlink ref="L13115" r:id="rId13113" tooltip="🔗 Ver Mapa" display="🔗 Ver Mapa"/>
    <hyperlink ref="L13116" r:id="rId13114" tooltip="🔗 Ver Mapa" display="🔗 Ver Mapa"/>
    <hyperlink ref="L13117" r:id="rId13115" tooltip="🔗 Ver Mapa" display="🔗 Ver Mapa"/>
    <hyperlink ref="L13118" r:id="rId13116" tooltip="🔗 Ver Mapa" display="🔗 Ver Mapa"/>
    <hyperlink ref="L13119" r:id="rId13117" tooltip="🔗 Ver Mapa" display="🔗 Ver Mapa"/>
    <hyperlink ref="L13120" r:id="rId13118" tooltip="🔗 Ver Mapa" display="🔗 Ver Mapa"/>
    <hyperlink ref="L13121" r:id="rId13119" tooltip="🔗 Ver Mapa" display="🔗 Ver Mapa"/>
    <hyperlink ref="L13122" r:id="rId13120" tooltip="🔗 Ver Mapa" display="🔗 Ver Mapa"/>
    <hyperlink ref="L13123" r:id="rId13121" tooltip="🔗 Ver Mapa" display="🔗 Ver Mapa"/>
    <hyperlink ref="L13124" r:id="rId13122" tooltip="🔗 Ver Mapa" display="🔗 Ver Mapa"/>
    <hyperlink ref="L13125" r:id="rId13123" tooltip="🔗 Ver Mapa" display="🔗 Ver Mapa"/>
    <hyperlink ref="L13126" r:id="rId13124" tooltip="🔗 Ver Mapa" display="🔗 Ver Mapa"/>
    <hyperlink ref="L13127" r:id="rId13125" tooltip="🔗 Ver Mapa" display="🔗 Ver Mapa"/>
    <hyperlink ref="L13128" r:id="rId13126" tooltip="🔗 Ver Mapa" display="🔗 Ver Mapa"/>
    <hyperlink ref="L13129" r:id="rId13127" tooltip="🔗 Ver Mapa" display="🔗 Ver Mapa"/>
    <hyperlink ref="L13130" r:id="rId13128" tooltip="🔗 Ver Mapa" display="🔗 Ver Mapa"/>
    <hyperlink ref="L13131" r:id="rId13129" tooltip="🔗 Ver Mapa" display="🔗 Ver Mapa"/>
    <hyperlink ref="L13132" r:id="rId13130" tooltip="🔗 Ver Mapa" display="🔗 Ver Mapa"/>
    <hyperlink ref="L13133" r:id="rId13131" tooltip="🔗 Ver Mapa" display="🔗 Ver Mapa"/>
    <hyperlink ref="L13134" r:id="rId13132" tooltip="🔗 Ver Mapa" display="🔗 Ver Mapa"/>
    <hyperlink ref="L13135" r:id="rId13133" tooltip="🔗 Ver Mapa" display="🔗 Ver Mapa"/>
    <hyperlink ref="L13136" r:id="rId13134" tooltip="🔗 Ver Mapa" display="🔗 Ver Mapa"/>
    <hyperlink ref="L13137" r:id="rId13135" tooltip="🔗 Ver Mapa" display="🔗 Ver Mapa"/>
    <hyperlink ref="L13138" r:id="rId13136" tooltip="🔗 Ver Mapa" display="🔗 Ver Mapa"/>
    <hyperlink ref="L13139" r:id="rId13137" tooltip="🔗 Ver Mapa" display="🔗 Ver Mapa"/>
    <hyperlink ref="L13140" r:id="rId13138" tooltip="🔗 Ver Mapa" display="🔗 Ver Mapa"/>
    <hyperlink ref="L13141" r:id="rId13139" tooltip="🔗 Ver Mapa" display="🔗 Ver Mapa"/>
    <hyperlink ref="L13142" r:id="rId13140" tooltip="🔗 Ver Mapa" display="🔗 Ver Mapa"/>
    <hyperlink ref="L13143" r:id="rId13141" tooltip="🔗 Ver Mapa" display="🔗 Ver Mapa"/>
    <hyperlink ref="L13144" r:id="rId13142" tooltip="🔗 Ver Mapa" display="🔗 Ver Mapa"/>
    <hyperlink ref="L13145" r:id="rId13143" tooltip="🔗 Ver Mapa" display="🔗 Ver Mapa"/>
    <hyperlink ref="L13146" r:id="rId13144" tooltip="🔗 Ver Mapa" display="🔗 Ver Mapa"/>
    <hyperlink ref="L13147" r:id="rId13145" tooltip="🔗 Ver Mapa" display="🔗 Ver Mapa"/>
    <hyperlink ref="L13148" r:id="rId13146" tooltip="🔗 Ver Mapa" display="🔗 Ver Mapa"/>
    <hyperlink ref="L13149" r:id="rId13147" tooltip="🔗 Ver Mapa" display="🔗 Ver Mapa"/>
    <hyperlink ref="L13150" r:id="rId13148" tooltip="🔗 Ver Mapa" display="🔗 Ver Mapa"/>
    <hyperlink ref="L13151" r:id="rId13149" tooltip="🔗 Ver Mapa" display="🔗 Ver Mapa"/>
    <hyperlink ref="L13152" r:id="rId13150" tooltip="🔗 Ver Mapa" display="🔗 Ver Mapa"/>
    <hyperlink ref="L13153" r:id="rId13151" tooltip="🔗 Ver Mapa" display="🔗 Ver Mapa"/>
    <hyperlink ref="L13154" r:id="rId13152" tooltip="🔗 Ver Mapa" display="🔗 Ver Mapa"/>
    <hyperlink ref="L13155" r:id="rId13153" tooltip="🔗 Ver Mapa" display="🔗 Ver Mapa"/>
    <hyperlink ref="L13156" r:id="rId13154" tooltip="🔗 Ver Mapa" display="🔗 Ver Mapa"/>
    <hyperlink ref="L13157" r:id="rId13155" tooltip="🔗 Ver Mapa" display="🔗 Ver Mapa"/>
    <hyperlink ref="L13158" r:id="rId13156" tooltip="🔗 Ver Mapa" display="🔗 Ver Mapa"/>
    <hyperlink ref="L13159" r:id="rId13157" tooltip="🔗 Ver Mapa" display="🔗 Ver Mapa"/>
    <hyperlink ref="L13160" r:id="rId13158" tooltip="🔗 Ver Mapa" display="🔗 Ver Mapa"/>
    <hyperlink ref="L13161" r:id="rId13159" tooltip="🔗 Ver Mapa" display="🔗 Ver Mapa"/>
    <hyperlink ref="L13162" r:id="rId13160" tooltip="🔗 Ver Mapa" display="🔗 Ver Mapa"/>
    <hyperlink ref="L13163" r:id="rId13161" tooltip="🔗 Ver Mapa" display="🔗 Ver Mapa"/>
    <hyperlink ref="L13164" r:id="rId13162" tooltip="🔗 Ver Mapa" display="🔗 Ver Mapa"/>
    <hyperlink ref="L13165" r:id="rId13163" tooltip="🔗 Ver Mapa" display="🔗 Ver Mapa"/>
    <hyperlink ref="L13166" r:id="rId13164" tooltip="🔗 Ver Mapa" display="🔗 Ver Mapa"/>
    <hyperlink ref="L13167" r:id="rId13165" tooltip="🔗 Ver Mapa" display="🔗 Ver Mapa"/>
    <hyperlink ref="L13168" r:id="rId13166" tooltip="🔗 Ver Mapa" display="🔗 Ver Mapa"/>
    <hyperlink ref="L13169" r:id="rId13167" tooltip="🔗 Ver Mapa" display="🔗 Ver Mapa"/>
    <hyperlink ref="L13170" r:id="rId13168" tooltip="🔗 Ver Mapa" display="🔗 Ver Mapa"/>
    <hyperlink ref="L13171" r:id="rId13169" tooltip="🔗 Ver Mapa" display="🔗 Ver Mapa"/>
    <hyperlink ref="L13172" r:id="rId13170" tooltip="🔗 Ver Mapa" display="🔗 Ver Mapa"/>
    <hyperlink ref="L13173" r:id="rId13171" tooltip="🔗 Ver Mapa" display="🔗 Ver Mapa"/>
    <hyperlink ref="L13174" r:id="rId13172" tooltip="🔗 Ver Mapa" display="🔗 Ver Mapa"/>
    <hyperlink ref="L13175" r:id="rId13173" tooltip="🔗 Ver Mapa" display="🔗 Ver Mapa"/>
    <hyperlink ref="L13176" r:id="rId13174" tooltip="🔗 Ver Mapa" display="🔗 Ver Mapa"/>
    <hyperlink ref="L13177" r:id="rId13175" tooltip="🔗 Ver Mapa" display="🔗 Ver Mapa"/>
    <hyperlink ref="L13178" r:id="rId13176" tooltip="🔗 Ver Mapa" display="🔗 Ver Mapa"/>
    <hyperlink ref="L13179" r:id="rId13177" tooltip="🔗 Ver Mapa" display="🔗 Ver Mapa"/>
    <hyperlink ref="L13180" r:id="rId13178" tooltip="🔗 Ver Mapa" display="🔗 Ver Mapa"/>
    <hyperlink ref="L13181" r:id="rId13179" tooltip="🔗 Ver Mapa" display="🔗 Ver Mapa"/>
    <hyperlink ref="L13182" r:id="rId13180" tooltip="🔗 Ver Mapa" display="🔗 Ver Mapa"/>
    <hyperlink ref="L13183" r:id="rId13181" tooltip="🔗 Ver Mapa" display="🔗 Ver Mapa"/>
    <hyperlink ref="L13184" r:id="rId13182" tooltip="🔗 Ver Mapa" display="🔗 Ver Mapa"/>
    <hyperlink ref="L13185" r:id="rId13183" tooltip="🔗 Ver Mapa" display="🔗 Ver Mapa"/>
    <hyperlink ref="L13186" r:id="rId13184" tooltip="🔗 Ver Mapa" display="🔗 Ver Mapa"/>
    <hyperlink ref="L13187" r:id="rId13185" tooltip="🔗 Ver Mapa" display="🔗 Ver Mapa"/>
    <hyperlink ref="L13188" r:id="rId13186" tooltip="🔗 Ver Mapa" display="🔗 Ver Mapa"/>
    <hyperlink ref="L13189" r:id="rId13187" tooltip="🔗 Ver Mapa" display="🔗 Ver Mapa"/>
    <hyperlink ref="L13190" r:id="rId13188" tooltip="🔗 Ver Mapa" display="🔗 Ver Mapa"/>
    <hyperlink ref="L13191" r:id="rId13189" tooltip="🔗 Ver Mapa" display="🔗 Ver Mapa"/>
    <hyperlink ref="L13192" r:id="rId13190" tooltip="🔗 Ver Mapa" display="🔗 Ver Mapa"/>
    <hyperlink ref="L13193" r:id="rId13191" tooltip="🔗 Ver Mapa" display="🔗 Ver Mapa"/>
    <hyperlink ref="L13194" r:id="rId13192" tooltip="🔗 Ver Mapa" display="🔗 Ver Mapa"/>
    <hyperlink ref="L13195" r:id="rId13193" tooltip="🔗 Ver Mapa" display="🔗 Ver Mapa"/>
    <hyperlink ref="L13196" r:id="rId13194" tooltip="🔗 Ver Mapa" display="🔗 Ver Mapa"/>
    <hyperlink ref="L13197" r:id="rId13195" tooltip="🔗 Ver Mapa" display="🔗 Ver Mapa"/>
    <hyperlink ref="L13198" r:id="rId13196" tooltip="🔗 Ver Mapa" display="🔗 Ver Mapa"/>
    <hyperlink ref="L13199" r:id="rId13197" tooltip="🔗 Ver Mapa" display="🔗 Ver Mapa"/>
    <hyperlink ref="L13200" r:id="rId13198" tooltip="🔗 Ver Mapa" display="🔗 Ver Mapa"/>
    <hyperlink ref="L13201" r:id="rId13199" tooltip="🔗 Ver Mapa" display="🔗 Ver Mapa"/>
    <hyperlink ref="L13202" r:id="rId13200" tooltip="🔗 Ver Mapa" display="🔗 Ver Mapa"/>
    <hyperlink ref="L13203" r:id="rId13201" tooltip="🔗 Ver Mapa" display="🔗 Ver Mapa"/>
    <hyperlink ref="L13204" r:id="rId13202" tooltip="🔗 Ver Mapa" display="🔗 Ver Mapa"/>
    <hyperlink ref="L13205" r:id="rId13203" tooltip="🔗 Ver Mapa" display="🔗 Ver Mapa"/>
    <hyperlink ref="L13206" r:id="rId13204" tooltip="🔗 Ver Mapa" display="🔗 Ver Mapa"/>
    <hyperlink ref="L13207" r:id="rId13205" tooltip="🔗 Ver Mapa" display="🔗 Ver Mapa"/>
    <hyperlink ref="L13208" r:id="rId13206" tooltip="🔗 Ver Mapa" display="🔗 Ver Mapa"/>
    <hyperlink ref="L13209" r:id="rId13207" tooltip="🔗 Ver Mapa" display="🔗 Ver Mapa"/>
    <hyperlink ref="L13210" r:id="rId13208" tooltip="🔗 Ver Mapa" display="🔗 Ver Mapa"/>
    <hyperlink ref="L13211" r:id="rId13209" tooltip="🔗 Ver Mapa" display="🔗 Ver Mapa"/>
    <hyperlink ref="L13212" r:id="rId13210" tooltip="🔗 Ver Mapa" display="🔗 Ver Mapa"/>
    <hyperlink ref="L13213" r:id="rId13211" tooltip="🔗 Ver Mapa" display="🔗 Ver Mapa"/>
    <hyperlink ref="L13214" r:id="rId13212" tooltip="🔗 Ver Mapa" display="🔗 Ver Mapa"/>
    <hyperlink ref="L13215" r:id="rId13213" tooltip="🔗 Ver Mapa" display="🔗 Ver Mapa"/>
    <hyperlink ref="L13216" r:id="rId13214" tooltip="🔗 Ver Mapa" display="🔗 Ver Mapa"/>
    <hyperlink ref="L13217" r:id="rId13215" tooltip="🔗 Ver Mapa" display="🔗 Ver Mapa"/>
    <hyperlink ref="L13218" r:id="rId13216" tooltip="🔗 Ver Mapa" display="🔗 Ver Mapa"/>
    <hyperlink ref="L13219" r:id="rId13217" tooltip="🔗 Ver Mapa" display="🔗 Ver Mapa"/>
    <hyperlink ref="L13220" r:id="rId13218" tooltip="🔗 Ver Mapa" display="🔗 Ver Mapa"/>
    <hyperlink ref="L13221" r:id="rId13219" tooltip="🔗 Ver Mapa" display="🔗 Ver Mapa"/>
    <hyperlink ref="L13222" r:id="rId13220" tooltip="🔗 Ver Mapa" display="🔗 Ver Mapa"/>
    <hyperlink ref="L13223" r:id="rId13221" tooltip="🔗 Ver Mapa" display="🔗 Ver Mapa"/>
    <hyperlink ref="L13224" r:id="rId13222" tooltip="🔗 Ver Mapa" display="🔗 Ver Mapa"/>
    <hyperlink ref="L13225" r:id="rId13223" tooltip="🔗 Ver Mapa" display="🔗 Ver Mapa"/>
    <hyperlink ref="L13226" r:id="rId13224" tooltip="🔗 Ver Mapa" display="🔗 Ver Mapa"/>
    <hyperlink ref="L13227" r:id="rId13225" tooltip="🔗 Ver Mapa" display="🔗 Ver Mapa"/>
    <hyperlink ref="L13228" r:id="rId13226" tooltip="🔗 Ver Mapa" display="🔗 Ver Mapa"/>
    <hyperlink ref="L13229" r:id="rId13227" tooltip="🔗 Ver Mapa" display="🔗 Ver Mapa"/>
    <hyperlink ref="L13230" r:id="rId13228" tooltip="🔗 Ver Mapa" display="🔗 Ver Mapa"/>
    <hyperlink ref="L13231" r:id="rId13229" tooltip="🔗 Ver Mapa" display="🔗 Ver Mapa"/>
    <hyperlink ref="L13232" r:id="rId13230" tooltip="🔗 Ver Mapa" display="🔗 Ver Mapa"/>
    <hyperlink ref="L13233" r:id="rId13231" tooltip="🔗 Ver Mapa" display="🔗 Ver Mapa"/>
    <hyperlink ref="L13234" r:id="rId13232" tooltip="🔗 Ver Mapa" display="🔗 Ver Mapa"/>
    <hyperlink ref="L13235" r:id="rId13233" tooltip="🔗 Ver Mapa" display="🔗 Ver Mapa"/>
    <hyperlink ref="L13236" r:id="rId13234" tooltip="🔗 Ver Mapa" display="🔗 Ver Mapa"/>
    <hyperlink ref="L13237" r:id="rId13235" tooltip="🔗 Ver Mapa" display="🔗 Ver Mapa"/>
    <hyperlink ref="L13238" r:id="rId13236" tooltip="🔗 Ver Mapa" display="🔗 Ver Mapa"/>
    <hyperlink ref="L13239" r:id="rId13237" tooltip="🔗 Ver Mapa" display="🔗 Ver Mapa"/>
    <hyperlink ref="L13240" r:id="rId13238" tooltip="🔗 Ver Mapa" display="🔗 Ver Mapa"/>
    <hyperlink ref="L13241" r:id="rId13239" tooltip="🔗 Ver Mapa" display="🔗 Ver Mapa"/>
    <hyperlink ref="L13242" r:id="rId13240" tooltip="🔗 Ver Mapa" display="🔗 Ver Mapa"/>
    <hyperlink ref="L13243" r:id="rId13241" tooltip="🔗 Ver Mapa" display="🔗 Ver Mapa"/>
    <hyperlink ref="L13244" r:id="rId13242" tooltip="🔗 Ver Mapa" display="🔗 Ver Mapa"/>
    <hyperlink ref="L13245" r:id="rId13243" tooltip="🔗 Ver Mapa" display="🔗 Ver Mapa"/>
    <hyperlink ref="L13246" r:id="rId13244" tooltip="🔗 Ver Mapa" display="🔗 Ver Mapa"/>
    <hyperlink ref="L13247" r:id="rId13245" tooltip="🔗 Ver Mapa" display="🔗 Ver Mapa"/>
    <hyperlink ref="L13248" r:id="rId13246" tooltip="🔗 Ver Mapa" display="🔗 Ver Mapa"/>
    <hyperlink ref="L13249" r:id="rId13247" tooltip="🔗 Ver Mapa" display="🔗 Ver Mapa"/>
    <hyperlink ref="L13250" r:id="rId13248" tooltip="🔗 Ver Mapa" display="🔗 Ver Mapa"/>
    <hyperlink ref="L13251" r:id="rId13249" tooltip="🔗 Ver Mapa" display="🔗 Ver Mapa"/>
    <hyperlink ref="L13252" r:id="rId13250" tooltip="🔗 Ver Mapa" display="🔗 Ver Mapa"/>
    <hyperlink ref="L13253" r:id="rId13251" tooltip="🔗 Ver Mapa" display="🔗 Ver Mapa"/>
    <hyperlink ref="L13254" r:id="rId13252" tooltip="🔗 Ver Mapa" display="🔗 Ver Mapa"/>
    <hyperlink ref="L13255" r:id="rId13253" tooltip="🔗 Ver Mapa" display="🔗 Ver Mapa"/>
    <hyperlink ref="L13256" r:id="rId13254" tooltip="🔗 Ver Mapa" display="🔗 Ver Mapa"/>
    <hyperlink ref="L13257" r:id="rId13255" tooltip="🔗 Ver Mapa" display="🔗 Ver Mapa"/>
    <hyperlink ref="L13258" r:id="rId13256" tooltip="🔗 Ver Mapa" display="🔗 Ver Mapa"/>
    <hyperlink ref="L13259" r:id="rId13257" tooltip="🔗 Ver Mapa" display="🔗 Ver Mapa"/>
    <hyperlink ref="L13260" r:id="rId13258" tooltip="🔗 Ver Mapa" display="🔗 Ver Mapa"/>
    <hyperlink ref="L13261" r:id="rId13259" tooltip="🔗 Ver Mapa" display="🔗 Ver Mapa"/>
    <hyperlink ref="L13262" r:id="rId13260" tooltip="🔗 Ver Mapa" display="🔗 Ver Mapa"/>
    <hyperlink ref="L13263" r:id="rId13261" tooltip="🔗 Ver Mapa" display="🔗 Ver Mapa"/>
    <hyperlink ref="L13264" r:id="rId13262" tooltip="🔗 Ver Mapa" display="🔗 Ver Mapa"/>
    <hyperlink ref="L13265" r:id="rId13263" tooltip="🔗 Ver Mapa" display="🔗 Ver Mapa"/>
    <hyperlink ref="L13266" r:id="rId13264" tooltip="🔗 Ver Mapa" display="🔗 Ver Mapa"/>
    <hyperlink ref="L13267" r:id="rId13265" tooltip="🔗 Ver Mapa" display="🔗 Ver Mapa"/>
    <hyperlink ref="L13268" r:id="rId13266" tooltip="🔗 Ver Mapa" display="🔗 Ver Mapa"/>
    <hyperlink ref="L13269" r:id="rId13267" tooltip="🔗 Ver Mapa" display="🔗 Ver Mapa"/>
    <hyperlink ref="L13270" r:id="rId13268" tooltip="🔗 Ver Mapa" display="🔗 Ver Mapa"/>
    <hyperlink ref="L13271" r:id="rId13269" tooltip="🔗 Ver Mapa" display="🔗 Ver Mapa"/>
    <hyperlink ref="L13272" r:id="rId13270" tooltip="🔗 Ver Mapa" display="🔗 Ver Mapa"/>
    <hyperlink ref="L13273" r:id="rId13271" tooltip="🔗 Ver Mapa" display="🔗 Ver Mapa"/>
    <hyperlink ref="L13274" r:id="rId13272" tooltip="🔗 Ver Mapa" display="🔗 Ver Mapa"/>
    <hyperlink ref="L13275" r:id="rId13273" tooltip="🔗 Ver Mapa" display="🔗 Ver Mapa"/>
    <hyperlink ref="L13276" r:id="rId13274" tooltip="🔗 Ver Mapa" display="🔗 Ver Mapa"/>
    <hyperlink ref="L13277" r:id="rId13275" tooltip="🔗 Ver Mapa" display="🔗 Ver Mapa"/>
    <hyperlink ref="L13278" r:id="rId13276" tooltip="🔗 Ver Mapa" display="🔗 Ver Mapa"/>
    <hyperlink ref="L13279" r:id="rId13277" tooltip="🔗 Ver Mapa" display="🔗 Ver Mapa"/>
    <hyperlink ref="L13280" r:id="rId13278" tooltip="🔗 Ver Mapa" display="🔗 Ver Mapa"/>
    <hyperlink ref="L13281" r:id="rId13279" tooltip="🔗 Ver Mapa" display="🔗 Ver Mapa"/>
    <hyperlink ref="L13282" r:id="rId13280" tooltip="🔗 Ver Mapa" display="🔗 Ver Mapa"/>
    <hyperlink ref="L13283" r:id="rId13281" tooltip="🔗 Ver Mapa" display="🔗 Ver Mapa"/>
    <hyperlink ref="L13284" r:id="rId13282" tooltip="🔗 Ver Mapa" display="🔗 Ver Mapa"/>
    <hyperlink ref="L13285" r:id="rId13283" tooltip="🔗 Ver Mapa" display="🔗 Ver Mapa"/>
    <hyperlink ref="L13286" r:id="rId13284" tooltip="🔗 Ver Mapa" display="🔗 Ver Mapa"/>
    <hyperlink ref="L13287" r:id="rId13285" tooltip="🔗 Ver Mapa" display="🔗 Ver Mapa"/>
    <hyperlink ref="L13288" r:id="rId13286" tooltip="🔗 Ver Mapa" display="🔗 Ver Mapa"/>
    <hyperlink ref="L13289" r:id="rId13287" tooltip="🔗 Ver Mapa" display="🔗 Ver Mapa"/>
    <hyperlink ref="L13290" r:id="rId13288" tooltip="🔗 Ver Mapa" display="🔗 Ver Mapa"/>
    <hyperlink ref="L13291" r:id="rId13289" tooltip="🔗 Ver Mapa" display="🔗 Ver Mapa"/>
    <hyperlink ref="L13292" r:id="rId13290" tooltip="🔗 Ver Mapa" display="🔗 Ver Mapa"/>
    <hyperlink ref="L13293" r:id="rId13291" tooltip="🔗 Ver Mapa" display="🔗 Ver Mapa"/>
    <hyperlink ref="L13294" r:id="rId13292" tooltip="🔗 Ver Mapa" display="🔗 Ver Mapa"/>
    <hyperlink ref="L13295" r:id="rId13293" tooltip="🔗 Ver Mapa" display="🔗 Ver Mapa"/>
    <hyperlink ref="L13296" r:id="rId13294" tooltip="🔗 Ver Mapa" display="🔗 Ver Mapa"/>
    <hyperlink ref="L13297" r:id="rId13295" tooltip="🔗 Ver Mapa" display="🔗 Ver Mapa"/>
    <hyperlink ref="L13298" r:id="rId13296" tooltip="🔗 Ver Mapa" display="🔗 Ver Mapa"/>
    <hyperlink ref="L13299" r:id="rId13297" tooltip="🔗 Ver Mapa" display="🔗 Ver Mapa"/>
    <hyperlink ref="L13300" r:id="rId13298" tooltip="🔗 Ver Mapa" display="🔗 Ver Mapa"/>
    <hyperlink ref="L13301" r:id="rId13299" tooltip="🔗 Ver Mapa" display="🔗 Ver Mapa"/>
    <hyperlink ref="L13302" r:id="rId13300" tooltip="🔗 Ver Mapa" display="🔗 Ver Mapa"/>
    <hyperlink ref="L13303" r:id="rId13301" tooltip="🔗 Ver Mapa" display="🔗 Ver Mapa"/>
    <hyperlink ref="L13304" r:id="rId13302" tooltip="🔗 Ver Mapa" display="🔗 Ver Mapa"/>
    <hyperlink ref="L13305" r:id="rId13303" tooltip="🔗 Ver Mapa" display="🔗 Ver Mapa"/>
    <hyperlink ref="L13306" r:id="rId13304" tooltip="🔗 Ver Mapa" display="🔗 Ver Mapa"/>
    <hyperlink ref="L13307" r:id="rId13305" tooltip="🔗 Ver Mapa" display="🔗 Ver Mapa"/>
    <hyperlink ref="L13308" r:id="rId13306" tooltip="🔗 Ver Mapa" display="🔗 Ver Mapa"/>
    <hyperlink ref="L13309" r:id="rId13307" tooltip="🔗 Ver Mapa" display="🔗 Ver Mapa"/>
    <hyperlink ref="L13310" r:id="rId13308" tooltip="🔗 Ver Mapa" display="🔗 Ver Mapa"/>
    <hyperlink ref="L13311" r:id="rId13309" tooltip="🔗 Ver Mapa" display="🔗 Ver Mapa"/>
    <hyperlink ref="L13312" r:id="rId13310" tooltip="🔗 Ver Mapa" display="🔗 Ver Mapa"/>
    <hyperlink ref="L13313" r:id="rId13311" tooltip="🔗 Ver Mapa" display="🔗 Ver Mapa"/>
    <hyperlink ref="L13314" r:id="rId13312" tooltip="🔗 Ver Mapa" display="🔗 Ver Mapa"/>
    <hyperlink ref="L13315" r:id="rId13313" tooltip="🔗 Ver Mapa" display="🔗 Ver Mapa"/>
    <hyperlink ref="L13316" r:id="rId13314" tooltip="🔗 Ver Mapa" display="🔗 Ver Mapa"/>
    <hyperlink ref="L13317" r:id="rId13315" tooltip="🔗 Ver Mapa" display="🔗 Ver Mapa"/>
    <hyperlink ref="L13318" r:id="rId13316" tooltip="🔗 Ver Mapa" display="🔗 Ver Mapa"/>
    <hyperlink ref="L13319" r:id="rId13317" tooltip="🔗 Ver Mapa" display="🔗 Ver Mapa"/>
    <hyperlink ref="L13320" r:id="rId13318" tooltip="🔗 Ver Mapa" display="🔗 Ver Mapa"/>
    <hyperlink ref="L13321" r:id="rId13319" tooltip="🔗 Ver Mapa" display="🔗 Ver Mapa"/>
    <hyperlink ref="L13322" r:id="rId13320" tooltip="🔗 Ver Mapa" display="🔗 Ver Mapa"/>
    <hyperlink ref="L13323" r:id="rId13321" tooltip="🔗 Ver Mapa" display="🔗 Ver Mapa"/>
    <hyperlink ref="L13324" r:id="rId13322" tooltip="🔗 Ver Mapa" display="🔗 Ver Mapa"/>
    <hyperlink ref="L13325" r:id="rId13323" tooltip="🔗 Ver Mapa" display="🔗 Ver Mapa"/>
    <hyperlink ref="L13326" r:id="rId13324" tooltip="🔗 Ver Mapa" display="🔗 Ver Mapa"/>
    <hyperlink ref="L13327" r:id="rId13325" tooltip="🔗 Ver Mapa" display="🔗 Ver Mapa"/>
    <hyperlink ref="L13328" r:id="rId13326" tooltip="🔗 Ver Mapa" display="🔗 Ver Mapa"/>
    <hyperlink ref="L13329" r:id="rId13327" tooltip="🔗 Ver Mapa" display="🔗 Ver Mapa"/>
    <hyperlink ref="L13330" r:id="rId13328" tooltip="🔗 Ver Mapa" display="🔗 Ver Mapa"/>
    <hyperlink ref="L13331" r:id="rId13329" tooltip="🔗 Ver Mapa" display="🔗 Ver Mapa"/>
    <hyperlink ref="L13332" r:id="rId13330" tooltip="🔗 Ver Mapa" display="🔗 Ver Mapa"/>
    <hyperlink ref="L13333" r:id="rId13331" tooltip="🔗 Ver Mapa" display="🔗 Ver Mapa"/>
    <hyperlink ref="L13334" r:id="rId13332" tooltip="🔗 Ver Mapa" display="🔗 Ver Mapa"/>
    <hyperlink ref="L13335" r:id="rId13333" tooltip="🔗 Ver Mapa" display="🔗 Ver Mapa"/>
    <hyperlink ref="L13336" r:id="rId13334" tooltip="🔗 Ver Mapa" display="🔗 Ver Mapa"/>
    <hyperlink ref="L13337" r:id="rId13335" tooltip="🔗 Ver Mapa" display="🔗 Ver Mapa"/>
    <hyperlink ref="L13338" r:id="rId13336" tooltip="🔗 Ver Mapa" display="🔗 Ver Mapa"/>
    <hyperlink ref="L13339" r:id="rId13337" tooltip="🔗 Ver Mapa" display="🔗 Ver Mapa"/>
    <hyperlink ref="L13340" r:id="rId13338" tooltip="🔗 Ver Mapa" display="🔗 Ver Mapa"/>
    <hyperlink ref="L13341" r:id="rId13339" tooltip="🔗 Ver Mapa" display="🔗 Ver Mapa"/>
    <hyperlink ref="L13342" r:id="rId13340" tooltip="🔗 Ver Mapa" display="🔗 Ver Mapa"/>
    <hyperlink ref="L13343" r:id="rId13341" tooltip="🔗 Ver Mapa" display="🔗 Ver Mapa"/>
    <hyperlink ref="L13344" r:id="rId13342" tooltip="🔗 Ver Mapa" display="🔗 Ver Mapa"/>
    <hyperlink ref="L13345" r:id="rId13343" tooltip="🔗 Ver Mapa" display="🔗 Ver Mapa"/>
    <hyperlink ref="L13346" r:id="rId13344" tooltip="🔗 Ver Mapa" display="🔗 Ver Mapa"/>
    <hyperlink ref="L13347" r:id="rId13345" tooltip="🔗 Ver Mapa" display="🔗 Ver Mapa"/>
    <hyperlink ref="L13348" r:id="rId13346" tooltip="🔗 Ver Mapa" display="🔗 Ver Mapa"/>
    <hyperlink ref="L13349" r:id="rId13347" tooltip="🔗 Ver Mapa" display="🔗 Ver Mapa"/>
    <hyperlink ref="L13350" r:id="rId13348" tooltip="🔗 Ver Mapa" display="🔗 Ver Mapa"/>
    <hyperlink ref="L13351" r:id="rId13349" tooltip="🔗 Ver Mapa" display="🔗 Ver Mapa"/>
    <hyperlink ref="L13352" r:id="rId13350" tooltip="🔗 Ver Mapa" display="🔗 Ver Mapa"/>
    <hyperlink ref="L13353" r:id="rId13351" tooltip="🔗 Ver Mapa" display="🔗 Ver Mapa"/>
    <hyperlink ref="L13354" r:id="rId13352" tooltip="🔗 Ver Mapa" display="🔗 Ver Mapa"/>
    <hyperlink ref="L13355" r:id="rId13353" tooltip="🔗 Ver Mapa" display="🔗 Ver Mapa"/>
    <hyperlink ref="L13356" r:id="rId13354" tooltip="🔗 Ver Mapa" display="🔗 Ver Mapa"/>
    <hyperlink ref="L13357" r:id="rId13355" tooltip="🔗 Ver Mapa" display="🔗 Ver Mapa"/>
    <hyperlink ref="L13358" r:id="rId13356" tooltip="🔗 Ver Mapa" display="🔗 Ver Mapa"/>
    <hyperlink ref="L13359" r:id="rId13357" tooltip="🔗 Ver Mapa" display="🔗 Ver Mapa"/>
    <hyperlink ref="L13360" r:id="rId13358" tooltip="🔗 Ver Mapa" display="🔗 Ver Mapa"/>
    <hyperlink ref="L13361" r:id="rId13359" tooltip="🔗 Ver Mapa" display="🔗 Ver Mapa"/>
    <hyperlink ref="L13362" r:id="rId13360" tooltip="🔗 Ver Mapa" display="🔗 Ver Mapa"/>
    <hyperlink ref="L13363" r:id="rId13361" tooltip="🔗 Ver Mapa" display="🔗 Ver Mapa"/>
    <hyperlink ref="L13364" r:id="rId13362" tooltip="🔗 Ver Mapa" display="🔗 Ver Mapa"/>
    <hyperlink ref="L13365" r:id="rId13363" tooltip="🔗 Ver Mapa" display="🔗 Ver Mapa"/>
    <hyperlink ref="L13366" r:id="rId13364" tooltip="🔗 Ver Mapa" display="🔗 Ver Mapa"/>
    <hyperlink ref="L13367" r:id="rId13365" tooltip="🔗 Ver Mapa" display="🔗 Ver Mapa"/>
    <hyperlink ref="L13368" r:id="rId13366" tooltip="🔗 Ver Mapa" display="🔗 Ver Mapa"/>
    <hyperlink ref="L13369" r:id="rId13367" tooltip="🔗 Ver Mapa" display="🔗 Ver Mapa"/>
    <hyperlink ref="L13370" r:id="rId13368" tooltip="🔗 Ver Mapa" display="🔗 Ver Mapa"/>
    <hyperlink ref="L13371" r:id="rId13369" tooltip="🔗 Ver Mapa" display="🔗 Ver Mapa"/>
    <hyperlink ref="L13372" r:id="rId13370" tooltip="🔗 Ver Mapa" display="🔗 Ver Mapa"/>
    <hyperlink ref="L13373" r:id="rId13371" tooltip="🔗 Ver Mapa" display="🔗 Ver Mapa"/>
    <hyperlink ref="L13374" r:id="rId13372" tooltip="🔗 Ver Mapa" display="🔗 Ver Mapa"/>
    <hyperlink ref="L13375" r:id="rId13373" tooltip="🔗 Ver Mapa" display="🔗 Ver Mapa"/>
    <hyperlink ref="L13376" r:id="rId13374" tooltip="🔗 Ver Mapa" display="🔗 Ver Mapa"/>
    <hyperlink ref="L13377" r:id="rId13375" tooltip="🔗 Ver Mapa" display="🔗 Ver Mapa"/>
    <hyperlink ref="L13378" r:id="rId13376" tooltip="🔗 Ver Mapa" display="🔗 Ver Mapa"/>
    <hyperlink ref="L13379" r:id="rId13377" tooltip="🔗 Ver Mapa" display="🔗 Ver Mapa"/>
    <hyperlink ref="L13380" r:id="rId13378" tooltip="🔗 Ver Mapa" display="🔗 Ver Mapa"/>
    <hyperlink ref="L13381" r:id="rId13379" tooltip="🔗 Ver Mapa" display="🔗 Ver Mapa"/>
    <hyperlink ref="L13382" r:id="rId13380" tooltip="🔗 Ver Mapa" display="🔗 Ver Mapa"/>
    <hyperlink ref="L13383" r:id="rId13381" tooltip="🔗 Ver Mapa" display="🔗 Ver Mapa"/>
    <hyperlink ref="L13384" r:id="rId13382" tooltip="🔗 Ver Mapa" display="🔗 Ver Mapa"/>
    <hyperlink ref="L13385" r:id="rId13383" tooltip="🔗 Ver Mapa" display="🔗 Ver Mapa"/>
    <hyperlink ref="L13386" r:id="rId13384" tooltip="🔗 Ver Mapa" display="🔗 Ver Mapa"/>
    <hyperlink ref="L13387" r:id="rId13385" tooltip="🔗 Ver Mapa" display="🔗 Ver Mapa"/>
    <hyperlink ref="L13388" r:id="rId13386" tooltip="🔗 Ver Mapa" display="🔗 Ver Mapa"/>
    <hyperlink ref="L13389" r:id="rId13387" tooltip="🔗 Ver Mapa" display="🔗 Ver Mapa"/>
    <hyperlink ref="L13390" r:id="rId13388" tooltip="🔗 Ver Mapa" display="🔗 Ver Mapa"/>
    <hyperlink ref="L13391" r:id="rId13389" tooltip="🔗 Ver Mapa" display="🔗 Ver Mapa"/>
    <hyperlink ref="L13392" r:id="rId13390" tooltip="🔗 Ver Mapa" display="🔗 Ver Mapa"/>
    <hyperlink ref="L13393" r:id="rId13391" tooltip="🔗 Ver Mapa" display="🔗 Ver Mapa"/>
    <hyperlink ref="L13394" r:id="rId13392" tooltip="🔗 Ver Mapa" display="🔗 Ver Mapa"/>
    <hyperlink ref="L13395" r:id="rId13393" tooltip="🔗 Ver Mapa" display="🔗 Ver Mapa"/>
    <hyperlink ref="L13396" r:id="rId13394" tooltip="🔗 Ver Mapa" display="🔗 Ver Mapa"/>
    <hyperlink ref="L13397" r:id="rId13395" tooltip="🔗 Ver Mapa" display="🔗 Ver Mapa"/>
    <hyperlink ref="L13398" r:id="rId13396" tooltip="🔗 Ver Mapa" display="🔗 Ver Mapa"/>
    <hyperlink ref="L13399" r:id="rId13397" tooltip="🔗 Ver Mapa" display="🔗 Ver Mapa"/>
    <hyperlink ref="L13400" r:id="rId13398" tooltip="🔗 Ver Mapa" display="🔗 Ver Mapa"/>
    <hyperlink ref="L13401" r:id="rId13399" tooltip="🔗 Ver Mapa" display="🔗 Ver Mapa"/>
    <hyperlink ref="L13402" r:id="rId13400" tooltip="🔗 Ver Mapa" display="🔗 Ver Mapa"/>
    <hyperlink ref="L13403" r:id="rId13401" tooltip="🔗 Ver Mapa" display="🔗 Ver Mapa"/>
    <hyperlink ref="L13404" r:id="rId13402" tooltip="🔗 Ver Mapa" display="🔗 Ver Mapa"/>
    <hyperlink ref="L13405" r:id="rId13403" tooltip="🔗 Ver Mapa" display="🔗 Ver Mapa"/>
    <hyperlink ref="L13406" r:id="rId13404" tooltip="🔗 Ver Mapa" display="🔗 Ver Mapa"/>
    <hyperlink ref="L13407" r:id="rId13405" tooltip="🔗 Ver Mapa" display="🔗 Ver Mapa"/>
    <hyperlink ref="L13408" r:id="rId13406" tooltip="🔗 Ver Mapa" display="🔗 Ver Mapa"/>
    <hyperlink ref="L13409" r:id="rId13407" tooltip="🔗 Ver Mapa" display="🔗 Ver Mapa"/>
    <hyperlink ref="L13410" r:id="rId13408" tooltip="🔗 Ver Mapa" display="🔗 Ver Mapa"/>
    <hyperlink ref="L13411" r:id="rId13409" tooltip="🔗 Ver Mapa" display="🔗 Ver Mapa"/>
    <hyperlink ref="L13412" r:id="rId13410" tooltip="🔗 Ver Mapa" display="🔗 Ver Mapa"/>
    <hyperlink ref="L13413" r:id="rId13411" tooltip="🔗 Ver Mapa" display="🔗 Ver Mapa"/>
    <hyperlink ref="L13414" r:id="rId13412" tooltip="🔗 Ver Mapa" display="🔗 Ver Mapa"/>
    <hyperlink ref="L13415" r:id="rId13413" tooltip="🔗 Ver Mapa" display="🔗 Ver Mapa"/>
    <hyperlink ref="L13416" r:id="rId13414" tooltip="🔗 Ver Mapa" display="🔗 Ver Mapa"/>
    <hyperlink ref="L13417" r:id="rId13415" tooltip="🔗 Ver Mapa" display="🔗 Ver Mapa"/>
    <hyperlink ref="L13418" r:id="rId13416" tooltip="🔗 Ver Mapa" display="🔗 Ver Mapa"/>
    <hyperlink ref="L13419" r:id="rId13417" tooltip="🔗 Ver Mapa" display="🔗 Ver Mapa"/>
    <hyperlink ref="L13420" r:id="rId13418" tooltip="🔗 Ver Mapa" display="🔗 Ver Mapa"/>
    <hyperlink ref="L13421" r:id="rId13419" tooltip="🔗 Ver Mapa" display="🔗 Ver Mapa"/>
    <hyperlink ref="L13422" r:id="rId13420" tooltip="🔗 Ver Mapa" display="🔗 Ver Mapa"/>
    <hyperlink ref="L13423" r:id="rId13421" tooltip="🔗 Ver Mapa" display="🔗 Ver Mapa"/>
    <hyperlink ref="L13424" r:id="rId13422" tooltip="🔗 Ver Mapa" display="🔗 Ver Mapa"/>
    <hyperlink ref="L13425" r:id="rId13423" tooltip="🔗 Ver Mapa" display="🔗 Ver Mapa"/>
    <hyperlink ref="L13426" r:id="rId13424" tooltip="🔗 Ver Mapa" display="🔗 Ver Mapa"/>
    <hyperlink ref="L13427" r:id="rId13425" tooltip="🔗 Ver Mapa" display="🔗 Ver Mapa"/>
    <hyperlink ref="L13428" r:id="rId13426" tooltip="🔗 Ver Mapa" display="🔗 Ver Mapa"/>
    <hyperlink ref="L13429" r:id="rId13427" tooltip="🔗 Ver Mapa" display="🔗 Ver Mapa"/>
    <hyperlink ref="L13430" r:id="rId13428" tooltip="🔗 Ver Mapa" display="🔗 Ver Mapa"/>
    <hyperlink ref="L13431" r:id="rId13429" tooltip="🔗 Ver Mapa" display="🔗 Ver Mapa"/>
    <hyperlink ref="L13432" r:id="rId13430" tooltip="🔗 Ver Mapa" display="🔗 Ver Mapa"/>
    <hyperlink ref="L13433" r:id="rId13431" tooltip="🔗 Ver Mapa" display="🔗 Ver Mapa"/>
    <hyperlink ref="L13434" r:id="rId13432" tooltip="🔗 Ver Mapa" display="🔗 Ver Mapa"/>
    <hyperlink ref="L13435" r:id="rId13433" tooltip="🔗 Ver Mapa" display="🔗 Ver Mapa"/>
    <hyperlink ref="L13436" r:id="rId13434" tooltip="🔗 Ver Mapa" display="🔗 Ver Mapa"/>
    <hyperlink ref="L13437" r:id="rId13435" tooltip="🔗 Ver Mapa" display="🔗 Ver Mapa"/>
    <hyperlink ref="L13438" r:id="rId13436" tooltip="🔗 Ver Mapa" display="🔗 Ver Mapa"/>
    <hyperlink ref="L13439" r:id="rId13437" tooltip="🔗 Ver Mapa" display="🔗 Ver Mapa"/>
    <hyperlink ref="L13440" r:id="rId13438" tooltip="🔗 Ver Mapa" display="🔗 Ver Mapa"/>
    <hyperlink ref="L13441" r:id="rId13439" tooltip="🔗 Ver Mapa" display="🔗 Ver Mapa"/>
    <hyperlink ref="L13442" r:id="rId13440" tooltip="🔗 Ver Mapa" display="🔗 Ver Mapa"/>
    <hyperlink ref="L13443" r:id="rId13441" tooltip="🔗 Ver Mapa" display="🔗 Ver Mapa"/>
    <hyperlink ref="L13444" r:id="rId13442" tooltip="🔗 Ver Mapa" display="🔗 Ver Mapa"/>
    <hyperlink ref="L13445" r:id="rId13443" tooltip="🔗 Ver Mapa" display="🔗 Ver Mapa"/>
    <hyperlink ref="L13446" r:id="rId13444" tooltip="🔗 Ver Mapa" display="🔗 Ver Mapa"/>
    <hyperlink ref="L13447" r:id="rId13445" tooltip="🔗 Ver Mapa" display="🔗 Ver Mapa"/>
    <hyperlink ref="L13448" r:id="rId13446" tooltip="🔗 Ver Mapa" display="🔗 Ver Mapa"/>
    <hyperlink ref="L13449" r:id="rId13447" tooltip="🔗 Ver Mapa" display="🔗 Ver Mapa"/>
    <hyperlink ref="L13450" r:id="rId13448" tooltip="🔗 Ver Mapa" display="🔗 Ver Mapa"/>
    <hyperlink ref="L13451" r:id="rId13449" tooltip="🔗 Ver Mapa" display="🔗 Ver Mapa"/>
    <hyperlink ref="L13452" r:id="rId13450" tooltip="🔗 Ver Mapa" display="🔗 Ver Mapa"/>
    <hyperlink ref="L13453" r:id="rId13451" tooltip="🔗 Ver Mapa" display="🔗 Ver Mapa"/>
    <hyperlink ref="L13454" r:id="rId13452" tooltip="🔗 Ver Mapa" display="🔗 Ver Mapa"/>
    <hyperlink ref="L13455" r:id="rId13453" tooltip="🔗 Ver Mapa" display="🔗 Ver Mapa"/>
    <hyperlink ref="L13456" r:id="rId13454" tooltip="🔗 Ver Mapa" display="🔗 Ver Mapa"/>
    <hyperlink ref="L13457" r:id="rId13455" tooltip="🔗 Ver Mapa" display="🔗 Ver Mapa"/>
    <hyperlink ref="L13458" r:id="rId13456" tooltip="🔗 Ver Mapa" display="🔗 Ver Mapa"/>
    <hyperlink ref="L13459" r:id="rId13457" tooltip="🔗 Ver Mapa" display="🔗 Ver Mapa"/>
    <hyperlink ref="L13460" r:id="rId13458" tooltip="🔗 Ver Mapa" display="🔗 Ver Mapa"/>
    <hyperlink ref="L13461" r:id="rId13459" tooltip="🔗 Ver Mapa" display="🔗 Ver Mapa"/>
    <hyperlink ref="L13462" r:id="rId13460" tooltip="🔗 Ver Mapa" display="🔗 Ver Mapa"/>
    <hyperlink ref="L13463" r:id="rId13461" tooltip="🔗 Ver Mapa" display="🔗 Ver Mapa"/>
    <hyperlink ref="L13464" r:id="rId13462" tooltip="🔗 Ver Mapa" display="🔗 Ver Mapa"/>
    <hyperlink ref="L13465" r:id="rId13463" tooltip="🔗 Ver Mapa" display="🔗 Ver Mapa"/>
    <hyperlink ref="L13466" r:id="rId13464" tooltip="🔗 Ver Mapa" display="🔗 Ver Mapa"/>
    <hyperlink ref="L13467" r:id="rId13465" tooltip="🔗 Ver Mapa" display="🔗 Ver Mapa"/>
    <hyperlink ref="L13468" r:id="rId13466" tooltip="🔗 Ver Mapa" display="🔗 Ver Mapa"/>
    <hyperlink ref="L13469" r:id="rId13467" tooltip="🔗 Ver Mapa" display="🔗 Ver Mapa"/>
    <hyperlink ref="L13470" r:id="rId13468" tooltip="🔗 Ver Mapa" display="🔗 Ver Mapa"/>
    <hyperlink ref="L13471" r:id="rId13469" tooltip="🔗 Ver Mapa" display="🔗 Ver Mapa"/>
    <hyperlink ref="L13472" r:id="rId13470" tooltip="🔗 Ver Mapa" display="🔗 Ver Mapa"/>
    <hyperlink ref="L13473" r:id="rId13471" tooltip="🔗 Ver Mapa" display="🔗 Ver Mapa"/>
    <hyperlink ref="L13474" r:id="rId13472" tooltip="🔗 Ver Mapa" display="🔗 Ver Mapa"/>
    <hyperlink ref="L13475" r:id="rId13473" tooltip="🔗 Ver Mapa" display="🔗 Ver Mapa"/>
    <hyperlink ref="L13476" r:id="rId13474" tooltip="🔗 Ver Mapa" display="🔗 Ver Mapa"/>
    <hyperlink ref="L13477" r:id="rId13475" tooltip="🔗 Ver Mapa" display="🔗 Ver Mapa"/>
    <hyperlink ref="L13478" r:id="rId13476" tooltip="🔗 Ver Mapa" display="🔗 Ver Mapa"/>
    <hyperlink ref="L13479" r:id="rId13477" tooltip="🔗 Ver Mapa" display="🔗 Ver Mapa"/>
    <hyperlink ref="L13480" r:id="rId13478" tooltip="🔗 Ver Mapa" display="🔗 Ver Mapa"/>
    <hyperlink ref="L13481" r:id="rId13479" tooltip="🔗 Ver Mapa" display="🔗 Ver Mapa"/>
    <hyperlink ref="L13482" r:id="rId13480" tooltip="🔗 Ver Mapa" display="🔗 Ver Mapa"/>
    <hyperlink ref="L13483" r:id="rId13481" tooltip="🔗 Ver Mapa" display="🔗 Ver Mapa"/>
    <hyperlink ref="L13484" r:id="rId13482" tooltip="🔗 Ver Mapa" display="🔗 Ver Mapa"/>
    <hyperlink ref="L13485" r:id="rId13483" tooltip="🔗 Ver Mapa" display="🔗 Ver Mapa"/>
    <hyperlink ref="L13486" r:id="rId13484" tooltip="🔗 Ver Mapa" display="🔗 Ver Mapa"/>
    <hyperlink ref="L13487" r:id="rId13485" tooltip="🔗 Ver Mapa" display="🔗 Ver Mapa"/>
    <hyperlink ref="L13488" r:id="rId13486" tooltip="🔗 Ver Mapa" display="🔗 Ver Mapa"/>
    <hyperlink ref="L13489" r:id="rId13487" tooltip="🔗 Ver Mapa" display="🔗 Ver Mapa"/>
    <hyperlink ref="L13490" r:id="rId13488" tooltip="🔗 Ver Mapa" display="🔗 Ver Mapa"/>
    <hyperlink ref="L13491" r:id="rId13489" tooltip="🔗 Ver Mapa" display="🔗 Ver Mapa"/>
    <hyperlink ref="L13492" r:id="rId13490" tooltip="🔗 Ver Mapa" display="🔗 Ver Mapa"/>
    <hyperlink ref="L13493" r:id="rId13491" tooltip="🔗 Ver Mapa" display="🔗 Ver Mapa"/>
    <hyperlink ref="L13494" r:id="rId13492" tooltip="🔗 Ver Mapa" display="🔗 Ver Mapa"/>
    <hyperlink ref="L13495" r:id="rId13493" tooltip="🔗 Ver Mapa" display="🔗 Ver Mapa"/>
    <hyperlink ref="L13496" r:id="rId13494" tooltip="🔗 Ver Mapa" display="🔗 Ver Mapa"/>
    <hyperlink ref="L13497" r:id="rId13495" tooltip="🔗 Ver Mapa" display="🔗 Ver Mapa"/>
    <hyperlink ref="L13498" r:id="rId13496" tooltip="🔗 Ver Mapa" display="🔗 Ver Mapa"/>
    <hyperlink ref="L13499" r:id="rId13497" tooltip="🔗 Ver Mapa" display="🔗 Ver Mapa"/>
    <hyperlink ref="L13500" r:id="rId13498" tooltip="🔗 Ver Mapa" display="🔗 Ver Mapa"/>
    <hyperlink ref="L13501" r:id="rId13499" tooltip="🔗 Ver Mapa" display="🔗 Ver Mapa"/>
    <hyperlink ref="L13502" r:id="rId13500" tooltip="🔗 Ver Mapa" display="🔗 Ver Mapa"/>
    <hyperlink ref="L13503" r:id="rId13501" tooltip="🔗 Ver Mapa" display="🔗 Ver Mapa"/>
    <hyperlink ref="L13504" r:id="rId13502" tooltip="🔗 Ver Mapa" display="🔗 Ver Mapa"/>
    <hyperlink ref="L13505" r:id="rId13503" tooltip="🔗 Ver Mapa" display="🔗 Ver Mapa"/>
    <hyperlink ref="L13506" r:id="rId13504" tooltip="🔗 Ver Mapa" display="🔗 Ver Mapa"/>
    <hyperlink ref="L13507" r:id="rId13505" tooltip="🔗 Ver Mapa" display="🔗 Ver Mapa"/>
    <hyperlink ref="L13508" r:id="rId13506" tooltip="🔗 Ver Mapa" display="🔗 Ver Mapa"/>
    <hyperlink ref="L13509" r:id="rId13507" tooltip="🔗 Ver Mapa" display="🔗 Ver Mapa"/>
    <hyperlink ref="L13510" r:id="rId13508" tooltip="🔗 Ver Mapa" display="🔗 Ver Mapa"/>
    <hyperlink ref="L13511" r:id="rId13509" tooltip="🔗 Ver Mapa" display="🔗 Ver Mapa"/>
    <hyperlink ref="L13512" r:id="rId13510" tooltip="🔗 Ver Mapa" display="🔗 Ver Mapa"/>
    <hyperlink ref="L13513" r:id="rId13511" tooltip="🔗 Ver Mapa" display="🔗 Ver Mapa"/>
    <hyperlink ref="L13514" r:id="rId13512" tooltip="🔗 Ver Mapa" display="🔗 Ver Mapa"/>
    <hyperlink ref="L13515" r:id="rId13513" tooltip="🔗 Ver Mapa" display="🔗 Ver Mapa"/>
    <hyperlink ref="L13516" r:id="rId13514" tooltip="🔗 Ver Mapa" display="🔗 Ver Mapa"/>
    <hyperlink ref="L13517" r:id="rId13515" tooltip="🔗 Ver Mapa" display="🔗 Ver Mapa"/>
    <hyperlink ref="L13518" r:id="rId13516" tooltip="🔗 Ver Mapa" display="🔗 Ver Mapa"/>
    <hyperlink ref="L13519" r:id="rId13517" tooltip="🔗 Ver Mapa" display="🔗 Ver Mapa"/>
    <hyperlink ref="L13520" r:id="rId13518" tooltip="🔗 Ver Mapa" display="🔗 Ver Mapa"/>
    <hyperlink ref="L13521" r:id="rId13519" tooltip="🔗 Ver Mapa" display="🔗 Ver Mapa"/>
    <hyperlink ref="L13522" r:id="rId13520" tooltip="🔗 Ver Mapa" display="🔗 Ver Mapa"/>
    <hyperlink ref="L13523" r:id="rId13521" tooltip="🔗 Ver Mapa" display="🔗 Ver Mapa"/>
    <hyperlink ref="L13524" r:id="rId13522" tooltip="🔗 Ver Mapa" display="🔗 Ver Mapa"/>
    <hyperlink ref="L13525" r:id="rId13523" tooltip="🔗 Ver Mapa" display="🔗 Ver Mapa"/>
    <hyperlink ref="L13526" r:id="rId13524" tooltip="🔗 Ver Mapa" display="🔗 Ver Mapa"/>
    <hyperlink ref="L13527" r:id="rId13525" tooltip="🔗 Ver Mapa" display="🔗 Ver Mapa"/>
    <hyperlink ref="L13528" r:id="rId13526" tooltip="🔗 Ver Mapa" display="🔗 Ver Mapa"/>
    <hyperlink ref="L13529" r:id="rId13527" tooltip="🔗 Ver Mapa" display="🔗 Ver Mapa"/>
    <hyperlink ref="L13530" r:id="rId13528" tooltip="🔗 Ver Mapa" display="🔗 Ver Mapa"/>
    <hyperlink ref="L13531" r:id="rId13529" tooltip="🔗 Ver Mapa" display="🔗 Ver Mapa"/>
    <hyperlink ref="L13532" r:id="rId13530" tooltip="🔗 Ver Mapa" display="🔗 Ver Mapa"/>
    <hyperlink ref="L13533" r:id="rId13531" tooltip="🔗 Ver Mapa" display="🔗 Ver Mapa"/>
    <hyperlink ref="L13534" r:id="rId13532" tooltip="🔗 Ver Mapa" display="🔗 Ver Mapa"/>
    <hyperlink ref="L13535" r:id="rId13533" tooltip="🔗 Ver Mapa" display="🔗 Ver Mapa"/>
    <hyperlink ref="L13536" r:id="rId13534" tooltip="🔗 Ver Mapa" display="🔗 Ver Mapa"/>
    <hyperlink ref="L13537" r:id="rId13535" tooltip="🔗 Ver Mapa" display="🔗 Ver Mapa"/>
    <hyperlink ref="L13538" r:id="rId13536" tooltip="🔗 Ver Mapa" display="🔗 Ver Mapa"/>
    <hyperlink ref="L13539" r:id="rId13537" tooltip="🔗 Ver Mapa" display="🔗 Ver Mapa"/>
    <hyperlink ref="L13540" r:id="rId13538" tooltip="🔗 Ver Mapa" display="🔗 Ver Mapa"/>
    <hyperlink ref="L13541" r:id="rId13539" tooltip="🔗 Ver Mapa" display="🔗 Ver Mapa"/>
    <hyperlink ref="L13542" r:id="rId13540" tooltip="🔗 Ver Mapa" display="🔗 Ver Mapa"/>
    <hyperlink ref="L13543" r:id="rId13541" tooltip="🔗 Ver Mapa" display="🔗 Ver Mapa"/>
    <hyperlink ref="L13544" r:id="rId13542" tooltip="🔗 Ver Mapa" display="🔗 Ver Mapa"/>
    <hyperlink ref="L13545" r:id="rId13543" tooltip="🔗 Ver Mapa" display="🔗 Ver Mapa"/>
    <hyperlink ref="L13546" r:id="rId13544" tooltip="🔗 Ver Mapa" display="🔗 Ver Mapa"/>
    <hyperlink ref="L13547" r:id="rId13545" tooltip="🔗 Ver Mapa" display="🔗 Ver Mapa"/>
    <hyperlink ref="L13548" r:id="rId13546" tooltip="🔗 Ver Mapa" display="🔗 Ver Mapa"/>
    <hyperlink ref="L13549" r:id="rId13547" tooltip="🔗 Ver Mapa" display="🔗 Ver Mapa"/>
    <hyperlink ref="L13550" r:id="rId13548" tooltip="🔗 Ver Mapa" display="🔗 Ver Mapa"/>
    <hyperlink ref="L13551" r:id="rId13549" tooltip="🔗 Ver Mapa" display="🔗 Ver Mapa"/>
    <hyperlink ref="L13552" r:id="rId13550" tooltip="🔗 Ver Mapa" display="🔗 Ver Mapa"/>
    <hyperlink ref="L13553" r:id="rId13551" tooltip="🔗 Ver Mapa" display="🔗 Ver Mapa"/>
    <hyperlink ref="L13554" r:id="rId13552" tooltip="🔗 Ver Mapa" display="🔗 Ver Mapa"/>
    <hyperlink ref="L13555" r:id="rId13553" tooltip="🔗 Ver Mapa" display="🔗 Ver Mapa"/>
    <hyperlink ref="L13556" r:id="rId13554" tooltip="🔗 Ver Mapa" display="🔗 Ver Mapa"/>
    <hyperlink ref="L13557" r:id="rId13555" tooltip="🔗 Ver Mapa" display="🔗 Ver Mapa"/>
    <hyperlink ref="L13558" r:id="rId13556" tooltip="🔗 Ver Mapa" display="🔗 Ver Mapa"/>
    <hyperlink ref="L13559" r:id="rId13557" tooltip="🔗 Ver Mapa" display="🔗 Ver Mapa"/>
    <hyperlink ref="L13560" r:id="rId13558" tooltip="🔗 Ver Mapa" display="🔗 Ver Mapa"/>
    <hyperlink ref="L13561" r:id="rId13559" tooltip="🔗 Ver Mapa" display="🔗 Ver Mapa"/>
    <hyperlink ref="L13562" r:id="rId13560" tooltip="🔗 Ver Mapa" display="🔗 Ver Mapa"/>
    <hyperlink ref="L13563" r:id="rId13561" tooltip="🔗 Ver Mapa" display="🔗 Ver Mapa"/>
    <hyperlink ref="L13564" r:id="rId13562" tooltip="🔗 Ver Mapa" display="🔗 Ver Mapa"/>
    <hyperlink ref="L13565" r:id="rId13563" tooltip="🔗 Ver Mapa" display="🔗 Ver Mapa"/>
    <hyperlink ref="L13566" r:id="rId13564" tooltip="🔗 Ver Mapa" display="🔗 Ver Mapa"/>
    <hyperlink ref="L13567" r:id="rId13565" tooltip="🔗 Ver Mapa" display="🔗 Ver Mapa"/>
    <hyperlink ref="L13568" r:id="rId13566" tooltip="🔗 Ver Mapa" display="🔗 Ver Mapa"/>
    <hyperlink ref="L13569" r:id="rId13567" tooltip="🔗 Ver Mapa" display="🔗 Ver Mapa"/>
    <hyperlink ref="L13570" r:id="rId13568" tooltip="🔗 Ver Mapa" display="🔗 Ver Mapa"/>
    <hyperlink ref="L13571" r:id="rId13569" tooltip="🔗 Ver Mapa" display="🔗 Ver Mapa"/>
    <hyperlink ref="L13572" r:id="rId13570" tooltip="🔗 Ver Mapa" display="🔗 Ver Mapa"/>
    <hyperlink ref="L13573" r:id="rId13571" tooltip="🔗 Ver Mapa" display="🔗 Ver Mapa"/>
    <hyperlink ref="L13574" r:id="rId13572" tooltip="🔗 Ver Mapa" display="🔗 Ver Mapa"/>
    <hyperlink ref="L13575" r:id="rId13573" tooltip="🔗 Ver Mapa" display="🔗 Ver Mapa"/>
    <hyperlink ref="L13576" r:id="rId13574" tooltip="🔗 Ver Mapa" display="🔗 Ver Mapa"/>
    <hyperlink ref="L13577" r:id="rId13575" tooltip="🔗 Ver Mapa" display="🔗 Ver Mapa"/>
    <hyperlink ref="L13578" r:id="rId13576" tooltip="🔗 Ver Mapa" display="🔗 Ver Mapa"/>
    <hyperlink ref="L13579" r:id="rId13577" tooltip="🔗 Ver Mapa" display="🔗 Ver Mapa"/>
    <hyperlink ref="L13580" r:id="rId13578" tooltip="🔗 Ver Mapa" display="🔗 Ver Mapa"/>
    <hyperlink ref="L13581" r:id="rId13579" tooltip="🔗 Ver Mapa" display="🔗 Ver Mapa"/>
    <hyperlink ref="L13582" r:id="rId13580" tooltip="🔗 Ver Mapa" display="🔗 Ver Mapa"/>
    <hyperlink ref="L13583" r:id="rId13581" tooltip="🔗 Ver Mapa" display="🔗 Ver Mapa"/>
    <hyperlink ref="L13584" r:id="rId13582" tooltip="🔗 Ver Mapa" display="🔗 Ver Mapa"/>
    <hyperlink ref="L13585" r:id="rId13583" tooltip="🔗 Ver Mapa" display="🔗 Ver Mapa"/>
    <hyperlink ref="L13586" r:id="rId13584" tooltip="🔗 Ver Mapa" display="🔗 Ver Mapa"/>
    <hyperlink ref="L13587" r:id="rId13585" tooltip="🔗 Ver Mapa" display="🔗 Ver Mapa"/>
    <hyperlink ref="L13588" r:id="rId13586" tooltip="🔗 Ver Mapa" display="🔗 Ver Mapa"/>
    <hyperlink ref="L13589" r:id="rId13587" tooltip="🔗 Ver Mapa" display="🔗 Ver Mapa"/>
    <hyperlink ref="L13590" r:id="rId13588" tooltip="🔗 Ver Mapa" display="🔗 Ver Mapa"/>
    <hyperlink ref="L13591" r:id="rId13589" tooltip="🔗 Ver Mapa" display="🔗 Ver Mapa"/>
    <hyperlink ref="L13592" r:id="rId13590" tooltip="🔗 Ver Mapa" display="🔗 Ver Mapa"/>
    <hyperlink ref="L13593" r:id="rId13591" tooltip="🔗 Ver Mapa" display="🔗 Ver Mapa"/>
    <hyperlink ref="L13594" r:id="rId13592" tooltip="🔗 Ver Mapa" display="🔗 Ver Mapa"/>
    <hyperlink ref="L13595" r:id="rId13593" tooltip="🔗 Ver Mapa" display="🔗 Ver Mapa"/>
    <hyperlink ref="L13596" r:id="rId13594" tooltip="🔗 Ver Mapa" display="🔗 Ver Mapa"/>
    <hyperlink ref="L13597" r:id="rId13595" tooltip="🔗 Ver Mapa" display="🔗 Ver Mapa"/>
    <hyperlink ref="L13598" r:id="rId13596" tooltip="🔗 Ver Mapa" display="🔗 Ver Mapa"/>
    <hyperlink ref="L13599" r:id="rId13597" tooltip="🔗 Ver Mapa" display="🔗 Ver Mapa"/>
    <hyperlink ref="L13600" r:id="rId13598" tooltip="🔗 Ver Mapa" display="🔗 Ver Mapa"/>
    <hyperlink ref="L13601" r:id="rId13599" tooltip="🔗 Ver Mapa" display="🔗 Ver Mapa"/>
    <hyperlink ref="L13602" r:id="rId13600" tooltip="🔗 Ver Mapa" display="🔗 Ver Mapa"/>
    <hyperlink ref="L13603" r:id="rId13601" tooltip="🔗 Ver Mapa" display="🔗 Ver Mapa"/>
    <hyperlink ref="L13604" r:id="rId13602" tooltip="🔗 Ver Mapa" display="🔗 Ver Mapa"/>
    <hyperlink ref="L13605" r:id="rId13603" tooltip="🔗 Ver Mapa" display="🔗 Ver Mapa"/>
    <hyperlink ref="L13606" r:id="rId13604" tooltip="🔗 Ver Mapa" display="🔗 Ver Mapa"/>
    <hyperlink ref="L13607" r:id="rId13605" tooltip="🔗 Ver Mapa" display="🔗 Ver Mapa"/>
    <hyperlink ref="L13608" r:id="rId13606" tooltip="🔗 Ver Mapa" display="🔗 Ver Mapa"/>
    <hyperlink ref="L13609" r:id="rId13607" tooltip="🔗 Ver Mapa" display="🔗 Ver Mapa"/>
    <hyperlink ref="L13610" r:id="rId13608" tooltip="🔗 Ver Mapa" display="🔗 Ver Mapa"/>
    <hyperlink ref="L13611" r:id="rId13609" tooltip="🔗 Ver Mapa" display="🔗 Ver Mapa"/>
    <hyperlink ref="L13612" r:id="rId13610" tooltip="🔗 Ver Mapa" display="🔗 Ver Mapa"/>
    <hyperlink ref="L13613" r:id="rId13611" tooltip="🔗 Ver Mapa" display="🔗 Ver Mapa"/>
    <hyperlink ref="L13614" r:id="rId13612" tooltip="🔗 Ver Mapa" display="🔗 Ver Mapa"/>
    <hyperlink ref="L13615" r:id="rId13613" tooltip="🔗 Ver Mapa" display="🔗 Ver Mapa"/>
    <hyperlink ref="L13616" r:id="rId13614" tooltip="🔗 Ver Mapa" display="🔗 Ver Mapa"/>
    <hyperlink ref="L13617" r:id="rId13615" tooltip="🔗 Ver Mapa" display="🔗 Ver Mapa"/>
    <hyperlink ref="L13618" r:id="rId13616" tooltip="🔗 Ver Mapa" display="🔗 Ver Mapa"/>
    <hyperlink ref="L13619" r:id="rId13617" tooltip="🔗 Ver Mapa" display="🔗 Ver Mapa"/>
    <hyperlink ref="L13620" r:id="rId13618" tooltip="🔗 Ver Mapa" display="🔗 Ver Mapa"/>
    <hyperlink ref="L13621" r:id="rId13619" tooltip="🔗 Ver Mapa" display="🔗 Ver Mapa"/>
    <hyperlink ref="L13622" r:id="rId13620" tooltip="🔗 Ver Mapa" display="🔗 Ver Mapa"/>
    <hyperlink ref="L13623" r:id="rId13621" tooltip="🔗 Ver Mapa" display="🔗 Ver Mapa"/>
    <hyperlink ref="L13624" r:id="rId13622" tooltip="🔗 Ver Mapa" display="🔗 Ver Mapa"/>
    <hyperlink ref="L13625" r:id="rId13623" tooltip="🔗 Ver Mapa" display="🔗 Ver Mapa"/>
    <hyperlink ref="L13626" r:id="rId13624" tooltip="🔗 Ver Mapa" display="🔗 Ver Mapa"/>
    <hyperlink ref="L13627" r:id="rId13625" tooltip="🔗 Ver Mapa" display="🔗 Ver Mapa"/>
    <hyperlink ref="L13628" r:id="rId13626" tooltip="🔗 Ver Mapa" display="🔗 Ver Mapa"/>
    <hyperlink ref="L13629" r:id="rId13627" tooltip="🔗 Ver Mapa" display="🔗 Ver Mapa"/>
    <hyperlink ref="L13630" r:id="rId13628" tooltip="🔗 Ver Mapa" display="🔗 Ver Mapa"/>
    <hyperlink ref="L13631" r:id="rId13629" tooltip="🔗 Ver Mapa" display="🔗 Ver Mapa"/>
    <hyperlink ref="L13632" r:id="rId13630" tooltip="🔗 Ver Mapa" display="🔗 Ver Mapa"/>
    <hyperlink ref="L13633" r:id="rId13631" tooltip="🔗 Ver Mapa" display="🔗 Ver Mapa"/>
    <hyperlink ref="L13634" r:id="rId13632" tooltip="🔗 Ver Mapa" display="🔗 Ver Mapa"/>
    <hyperlink ref="L13635" r:id="rId13633" tooltip="🔗 Ver Mapa" display="🔗 Ver Mapa"/>
    <hyperlink ref="L13636" r:id="rId13634" tooltip="🔗 Ver Mapa" display="🔗 Ver Mapa"/>
    <hyperlink ref="L13637" r:id="rId13635" tooltip="🔗 Ver Mapa" display="🔗 Ver Mapa"/>
    <hyperlink ref="L13638" r:id="rId13636" tooltip="🔗 Ver Mapa" display="🔗 Ver Mapa"/>
    <hyperlink ref="L13639" r:id="rId13637" tooltip="🔗 Ver Mapa" display="🔗 Ver Mapa"/>
    <hyperlink ref="L13640" r:id="rId13638" tooltip="🔗 Ver Mapa" display="🔗 Ver Mapa"/>
    <hyperlink ref="L13641" r:id="rId13639" tooltip="🔗 Ver Mapa" display="🔗 Ver Mapa"/>
    <hyperlink ref="L13642" r:id="rId13640" tooltip="🔗 Ver Mapa" display="🔗 Ver Mapa"/>
    <hyperlink ref="L13643" r:id="rId13641" tooltip="🔗 Ver Mapa" display="🔗 Ver Mapa"/>
    <hyperlink ref="L13644" r:id="rId13642" tooltip="🔗 Ver Mapa" display="🔗 Ver Mapa"/>
    <hyperlink ref="L13645" r:id="rId13643" tooltip="🔗 Ver Mapa" display="🔗 Ver Mapa"/>
    <hyperlink ref="L13646" r:id="rId13644" tooltip="🔗 Ver Mapa" display="🔗 Ver Mapa"/>
    <hyperlink ref="L13647" r:id="rId13645" tooltip="🔗 Ver Mapa" display="🔗 Ver Mapa"/>
    <hyperlink ref="L13648" r:id="rId13646" tooltip="🔗 Ver Mapa" display="🔗 Ver Mapa"/>
    <hyperlink ref="L13649" r:id="rId13647" tooltip="🔗 Ver Mapa" display="🔗 Ver Mapa"/>
    <hyperlink ref="L13650" r:id="rId13648" tooltip="🔗 Ver Mapa" display="🔗 Ver Mapa"/>
    <hyperlink ref="L13651" r:id="rId13649" tooltip="🔗 Ver Mapa" display="🔗 Ver Mapa"/>
    <hyperlink ref="L13652" r:id="rId13650" tooltip="🔗 Ver Mapa" display="🔗 Ver Mapa"/>
    <hyperlink ref="L13653" r:id="rId13651" tooltip="🔗 Ver Mapa" display="🔗 Ver Mapa"/>
    <hyperlink ref="L13654" r:id="rId13652" tooltip="🔗 Ver Mapa" display="🔗 Ver Mapa"/>
    <hyperlink ref="L13655" r:id="rId13653" tooltip="🔗 Ver Mapa" display="🔗 Ver Mapa"/>
    <hyperlink ref="L13656" r:id="rId13654" tooltip="🔗 Ver Mapa" display="🔗 Ver Mapa"/>
    <hyperlink ref="L13657" r:id="rId13655" tooltip="🔗 Ver Mapa" display="🔗 Ver Mapa"/>
    <hyperlink ref="L13658" r:id="rId13656" tooltip="🔗 Ver Mapa" display="🔗 Ver Mapa"/>
    <hyperlink ref="L13659" r:id="rId13657" tooltip="🔗 Ver Mapa" display="🔗 Ver Mapa"/>
    <hyperlink ref="L13660" r:id="rId13658" tooltip="🔗 Ver Mapa" display="🔗 Ver Mapa"/>
    <hyperlink ref="L13661" r:id="rId13659" tooltip="🔗 Ver Mapa" display="🔗 Ver Mapa"/>
    <hyperlink ref="L13662" r:id="rId13660" tooltip="🔗 Ver Mapa" display="🔗 Ver Mapa"/>
    <hyperlink ref="L13663" r:id="rId13661" tooltip="🔗 Ver Mapa" display="🔗 Ver Mapa"/>
    <hyperlink ref="L13664" r:id="rId13662" tooltip="🔗 Ver Mapa" display="🔗 Ver Mapa"/>
    <hyperlink ref="L13665" r:id="rId13663" tooltip="🔗 Ver Mapa" display="🔗 Ver Mapa"/>
    <hyperlink ref="L13666" r:id="rId13664" tooltip="🔗 Ver Mapa" display="🔗 Ver Mapa"/>
    <hyperlink ref="L13667" r:id="rId13665" tooltip="🔗 Ver Mapa" display="🔗 Ver Mapa"/>
    <hyperlink ref="L13668" r:id="rId13666" tooltip="🔗 Ver Mapa" display="🔗 Ver Mapa"/>
    <hyperlink ref="L13669" r:id="rId13667" tooltip="🔗 Ver Mapa" display="🔗 Ver Mapa"/>
    <hyperlink ref="L13670" r:id="rId13668" tooltip="🔗 Ver Mapa" display="🔗 Ver Mapa"/>
    <hyperlink ref="L13671" r:id="rId13669" tooltip="🔗 Ver Mapa" display="🔗 Ver Mapa"/>
    <hyperlink ref="L13672" r:id="rId13670" tooltip="🔗 Ver Mapa" display="🔗 Ver Mapa"/>
    <hyperlink ref="L13673" r:id="rId13671" tooltip="🔗 Ver Mapa" display="🔗 Ver Mapa"/>
    <hyperlink ref="L13674" r:id="rId13672" tooltip="🔗 Ver Mapa" display="🔗 Ver Mapa"/>
    <hyperlink ref="L13675" r:id="rId13673" tooltip="🔗 Ver Mapa" display="🔗 Ver Mapa"/>
    <hyperlink ref="L13676" r:id="rId13674" tooltip="🔗 Ver Mapa" display="🔗 Ver Mapa"/>
    <hyperlink ref="L13677" r:id="rId13675" tooltip="🔗 Ver Mapa" display="🔗 Ver Mapa"/>
    <hyperlink ref="L13678" r:id="rId13676" tooltip="🔗 Ver Mapa" display="🔗 Ver Mapa"/>
    <hyperlink ref="L13679" r:id="rId13677" tooltip="🔗 Ver Mapa" display="🔗 Ver Mapa"/>
    <hyperlink ref="L13680" r:id="rId13678" tooltip="🔗 Ver Mapa" display="🔗 Ver Mapa"/>
    <hyperlink ref="L13681" r:id="rId13679" tooltip="🔗 Ver Mapa" display="🔗 Ver Mapa"/>
    <hyperlink ref="L13682" r:id="rId13680" tooltip="🔗 Ver Mapa" display="🔗 Ver Mapa"/>
    <hyperlink ref="L13683" r:id="rId13681" tooltip="🔗 Ver Mapa" display="🔗 Ver Mapa"/>
    <hyperlink ref="L13684" r:id="rId13682" tooltip="🔗 Ver Mapa" display="🔗 Ver Mapa"/>
    <hyperlink ref="L13685" r:id="rId13683" tooltip="🔗 Ver Mapa" display="🔗 Ver Mapa"/>
    <hyperlink ref="L13686" r:id="rId13684" tooltip="🔗 Ver Mapa" display="🔗 Ver Mapa"/>
    <hyperlink ref="L13687" r:id="rId13685" tooltip="🔗 Ver Mapa" display="🔗 Ver Mapa"/>
    <hyperlink ref="L13688" r:id="rId13686" tooltip="🔗 Ver Mapa" display="🔗 Ver Mapa"/>
    <hyperlink ref="L13689" r:id="rId13687" tooltip="🔗 Ver Mapa" display="🔗 Ver Mapa"/>
    <hyperlink ref="L13690" r:id="rId13688" tooltip="🔗 Ver Mapa" display="🔗 Ver Mapa"/>
    <hyperlink ref="L13691" r:id="rId13689" tooltip="🔗 Ver Mapa" display="🔗 Ver Mapa"/>
    <hyperlink ref="L13692" r:id="rId13690" tooltip="🔗 Ver Mapa" display="🔗 Ver Mapa"/>
    <hyperlink ref="L13693" r:id="rId13691" tooltip="🔗 Ver Mapa" display="🔗 Ver Mapa"/>
    <hyperlink ref="L13694" r:id="rId13692" tooltip="🔗 Ver Mapa" display="🔗 Ver Mapa"/>
    <hyperlink ref="L13695" r:id="rId13693" tooltip="🔗 Ver Mapa" display="🔗 Ver Mapa"/>
    <hyperlink ref="L13696" r:id="rId13694" tooltip="🔗 Ver Mapa" display="🔗 Ver Mapa"/>
    <hyperlink ref="L13697" r:id="rId13695" tooltip="🔗 Ver Mapa" display="🔗 Ver Mapa"/>
    <hyperlink ref="L13698" r:id="rId13696" tooltip="🔗 Ver Mapa" display="🔗 Ver Mapa"/>
    <hyperlink ref="L13699" r:id="rId13697" tooltip="🔗 Ver Mapa" display="🔗 Ver Mapa"/>
    <hyperlink ref="L13700" r:id="rId13698" tooltip="🔗 Ver Mapa" display="🔗 Ver Mapa"/>
    <hyperlink ref="L13701" r:id="rId13699" tooltip="🔗 Ver Mapa" display="🔗 Ver Mapa"/>
    <hyperlink ref="L13702" r:id="rId13700" tooltip="🔗 Ver Mapa" display="🔗 Ver Mapa"/>
    <hyperlink ref="L13703" r:id="rId13701" tooltip="🔗 Ver Mapa" display="🔗 Ver Mapa"/>
    <hyperlink ref="L13704" r:id="rId13702" tooltip="🔗 Ver Mapa" display="🔗 Ver Mapa"/>
    <hyperlink ref="L13705" r:id="rId13703" tooltip="🔗 Ver Mapa" display="🔗 Ver Mapa"/>
    <hyperlink ref="L13706" r:id="rId13704" tooltip="🔗 Ver Mapa" display="🔗 Ver Mapa"/>
    <hyperlink ref="L13707" r:id="rId13705" tooltip="🔗 Ver Mapa" display="🔗 Ver Mapa"/>
    <hyperlink ref="L13708" r:id="rId13706" tooltip="🔗 Ver Mapa" display="🔗 Ver Mapa"/>
    <hyperlink ref="L13709" r:id="rId13707" tooltip="🔗 Ver Mapa" display="🔗 Ver Mapa"/>
    <hyperlink ref="L13710" r:id="rId13708" tooltip="🔗 Ver Mapa" display="🔗 Ver Mapa"/>
    <hyperlink ref="L13711" r:id="rId13709" tooltip="🔗 Ver Mapa" display="🔗 Ver Mapa"/>
    <hyperlink ref="L13712" r:id="rId13710" tooltip="🔗 Ver Mapa" display="🔗 Ver Mapa"/>
    <hyperlink ref="L13713" r:id="rId13711" tooltip="🔗 Ver Mapa" display="🔗 Ver Mapa"/>
    <hyperlink ref="L13714" r:id="rId13712" tooltip="🔗 Ver Mapa" display="🔗 Ver Mapa"/>
    <hyperlink ref="L13715" r:id="rId13713" tooltip="🔗 Ver Mapa" display="🔗 Ver Mapa"/>
    <hyperlink ref="L13716" r:id="rId13714" tooltip="🔗 Ver Mapa" display="🔗 Ver Mapa"/>
    <hyperlink ref="L13717" r:id="rId13715" tooltip="🔗 Ver Mapa" display="🔗 Ver Mapa"/>
    <hyperlink ref="L13718" r:id="rId13716" tooltip="🔗 Ver Mapa" display="🔗 Ver Mapa"/>
    <hyperlink ref="L13719" r:id="rId13717" tooltip="🔗 Ver Mapa" display="🔗 Ver Mapa"/>
    <hyperlink ref="L13720" r:id="rId13718" tooltip="🔗 Ver Mapa" display="🔗 Ver Mapa"/>
    <hyperlink ref="L13721" r:id="rId13719" tooltip="🔗 Ver Mapa" display="🔗 Ver Mapa"/>
    <hyperlink ref="L13722" r:id="rId13720" tooltip="🔗 Ver Mapa" display="🔗 Ver Mapa"/>
    <hyperlink ref="L13723" r:id="rId13721" tooltip="🔗 Ver Mapa" display="🔗 Ver Mapa"/>
    <hyperlink ref="L13724" r:id="rId13722" tooltip="🔗 Ver Mapa" display="🔗 Ver Mapa"/>
    <hyperlink ref="L13725" r:id="rId13723" tooltip="🔗 Ver Mapa" display="🔗 Ver Mapa"/>
    <hyperlink ref="L13726" r:id="rId13724" tooltip="🔗 Ver Mapa" display="🔗 Ver Mapa"/>
    <hyperlink ref="L13727" r:id="rId13725" tooltip="🔗 Ver Mapa" display="🔗 Ver Mapa"/>
    <hyperlink ref="L13728" r:id="rId13726" tooltip="🔗 Ver Mapa" display="🔗 Ver Mapa"/>
    <hyperlink ref="L13729" r:id="rId13727" tooltip="🔗 Ver Mapa" display="🔗 Ver Mapa"/>
    <hyperlink ref="L13730" r:id="rId13728" tooltip="🔗 Ver Mapa" display="🔗 Ver Mapa"/>
    <hyperlink ref="L13731" r:id="rId13729" tooltip="🔗 Ver Mapa" display="🔗 Ver Mapa"/>
    <hyperlink ref="L13732" r:id="rId13730" tooltip="🔗 Ver Mapa" display="🔗 Ver Mapa"/>
    <hyperlink ref="L13733" r:id="rId13731" tooltip="🔗 Ver Mapa" display="🔗 Ver Mapa"/>
    <hyperlink ref="L13734" r:id="rId13732" tooltip="🔗 Ver Mapa" display="🔗 Ver Mapa"/>
    <hyperlink ref="L13735" r:id="rId13733" tooltip="🔗 Ver Mapa" display="🔗 Ver Mapa"/>
    <hyperlink ref="L13736" r:id="rId13734" tooltip="🔗 Ver Mapa" display="🔗 Ver Mapa"/>
    <hyperlink ref="L13737" r:id="rId13735" tooltip="🔗 Ver Mapa" display="🔗 Ver Mapa"/>
    <hyperlink ref="L13738" r:id="rId13736" tooltip="🔗 Ver Mapa" display="🔗 Ver Mapa"/>
    <hyperlink ref="L13739" r:id="rId13737" tooltip="🔗 Ver Mapa" display="🔗 Ver Mapa"/>
    <hyperlink ref="L13740" r:id="rId13738" tooltip="🔗 Ver Mapa" display="🔗 Ver Mapa"/>
    <hyperlink ref="L13741" r:id="rId13739" tooltip="🔗 Ver Mapa" display="🔗 Ver Mapa"/>
    <hyperlink ref="L13742" r:id="rId13740" tooltip="🔗 Ver Mapa" display="🔗 Ver Mapa"/>
    <hyperlink ref="L13743" r:id="rId13741" tooltip="🔗 Ver Mapa" display="🔗 Ver Mapa"/>
    <hyperlink ref="L13744" r:id="rId13742" tooltip="🔗 Ver Mapa" display="🔗 Ver Mapa"/>
    <hyperlink ref="L13745" r:id="rId13743" tooltip="🔗 Ver Mapa" display="🔗 Ver Mapa"/>
    <hyperlink ref="L13746" r:id="rId13744" tooltip="🔗 Ver Mapa" display="🔗 Ver Mapa"/>
    <hyperlink ref="L13747" r:id="rId13745" tooltip="🔗 Ver Mapa" display="🔗 Ver Mapa"/>
    <hyperlink ref="L13748" r:id="rId13746" tooltip="🔗 Ver Mapa" display="🔗 Ver Mapa"/>
    <hyperlink ref="L13749" r:id="rId13747" tooltip="🔗 Ver Mapa" display="🔗 Ver Mapa"/>
    <hyperlink ref="L13750" r:id="rId13748" tooltip="🔗 Ver Mapa" display="🔗 Ver Mapa"/>
    <hyperlink ref="L13751" r:id="rId13749" tooltip="🔗 Ver Mapa" display="🔗 Ver Mapa"/>
    <hyperlink ref="L13752" r:id="rId13750" tooltip="🔗 Ver Mapa" display="🔗 Ver Mapa"/>
    <hyperlink ref="L13753" r:id="rId13751" tooltip="🔗 Ver Mapa" display="🔗 Ver Mapa"/>
    <hyperlink ref="L13754" r:id="rId13752" tooltip="🔗 Ver Mapa" display="🔗 Ver Mapa"/>
    <hyperlink ref="L13755" r:id="rId13753" tooltip="🔗 Ver Mapa" display="🔗 Ver Mapa"/>
    <hyperlink ref="L13756" r:id="rId13754" tooltip="🔗 Ver Mapa" display="🔗 Ver Mapa"/>
    <hyperlink ref="L13757" r:id="rId13755" tooltip="🔗 Ver Mapa" display="🔗 Ver Mapa"/>
    <hyperlink ref="L13758" r:id="rId13756" tooltip="🔗 Ver Mapa" display="🔗 Ver Mapa"/>
    <hyperlink ref="L13759" r:id="rId13757" tooltip="🔗 Ver Mapa" display="🔗 Ver Mapa"/>
    <hyperlink ref="L13760" r:id="rId13758" tooltip="🔗 Ver Mapa" display="🔗 Ver Mapa"/>
    <hyperlink ref="L13761" r:id="rId13759" tooltip="🔗 Ver Mapa" display="🔗 Ver Mapa"/>
    <hyperlink ref="L13762" r:id="rId13760" tooltip="🔗 Ver Mapa" display="🔗 Ver Mapa"/>
    <hyperlink ref="L13763" r:id="rId13761" tooltip="🔗 Ver Mapa" display="🔗 Ver Mapa"/>
    <hyperlink ref="L13764" r:id="rId13762" tooltip="🔗 Ver Mapa" display="🔗 Ver Mapa"/>
    <hyperlink ref="L13765" r:id="rId13763" tooltip="🔗 Ver Mapa" display="🔗 Ver Mapa"/>
    <hyperlink ref="L13766" r:id="rId13764" tooltip="🔗 Ver Mapa" display="🔗 Ver Mapa"/>
    <hyperlink ref="L13767" r:id="rId13765" tooltip="🔗 Ver Mapa" display="🔗 Ver Mapa"/>
    <hyperlink ref="L13768" r:id="rId13766" tooltip="🔗 Ver Mapa" display="🔗 Ver Mapa"/>
    <hyperlink ref="L13769" r:id="rId13767" tooltip="🔗 Ver Mapa" display="🔗 Ver Mapa"/>
    <hyperlink ref="L13770" r:id="rId13768" tooltip="🔗 Ver Mapa" display="🔗 Ver Mapa"/>
    <hyperlink ref="L13771" r:id="rId13769" tooltip="🔗 Ver Mapa" display="🔗 Ver Mapa"/>
    <hyperlink ref="L13772" r:id="rId13770" tooltip="🔗 Ver Mapa" display="🔗 Ver Mapa"/>
    <hyperlink ref="L13773" r:id="rId13771" tooltip="🔗 Ver Mapa" display="🔗 Ver Mapa"/>
    <hyperlink ref="L13774" r:id="rId13772" tooltip="🔗 Ver Mapa" display="🔗 Ver Mapa"/>
    <hyperlink ref="L13775" r:id="rId13773" tooltip="🔗 Ver Mapa" display="🔗 Ver Mapa"/>
    <hyperlink ref="L13776" r:id="rId13774" tooltip="🔗 Ver Mapa" display="🔗 Ver Mapa"/>
    <hyperlink ref="L13777" r:id="rId13775" tooltip="🔗 Ver Mapa" display="🔗 Ver Mapa"/>
    <hyperlink ref="L13778" r:id="rId13776" tooltip="🔗 Ver Mapa" display="🔗 Ver Mapa"/>
    <hyperlink ref="L13779" r:id="rId13777" tooltip="🔗 Ver Mapa" display="🔗 Ver Mapa"/>
    <hyperlink ref="L13780" r:id="rId13778" tooltip="🔗 Ver Mapa" display="🔗 Ver Mapa"/>
    <hyperlink ref="L13781" r:id="rId13779" tooltip="🔗 Ver Mapa" display="🔗 Ver Mapa"/>
    <hyperlink ref="L13782" r:id="rId13780" tooltip="🔗 Ver Mapa" display="🔗 Ver Mapa"/>
    <hyperlink ref="L13783" r:id="rId13781" tooltip="🔗 Ver Mapa" display="🔗 Ver Mapa"/>
    <hyperlink ref="L13784" r:id="rId13782" tooltip="🔗 Ver Mapa" display="🔗 Ver Mapa"/>
    <hyperlink ref="L13785" r:id="rId13783" tooltip="🔗 Ver Mapa" display="🔗 Ver Mapa"/>
    <hyperlink ref="L13786" r:id="rId13784" tooltip="🔗 Ver Mapa" display="🔗 Ver Mapa"/>
    <hyperlink ref="L13787" r:id="rId13785" tooltip="🔗 Ver Mapa" display="🔗 Ver Mapa"/>
    <hyperlink ref="L13788" r:id="rId13786" tooltip="🔗 Ver Mapa" display="🔗 Ver Mapa"/>
    <hyperlink ref="L13789" r:id="rId13787" tooltip="🔗 Ver Mapa" display="🔗 Ver Mapa"/>
    <hyperlink ref="L13790" r:id="rId13788" tooltip="🔗 Ver Mapa" display="🔗 Ver Mapa"/>
    <hyperlink ref="L13791" r:id="rId13789" tooltip="🔗 Ver Mapa" display="🔗 Ver Mapa"/>
    <hyperlink ref="L13792" r:id="rId13790" tooltip="🔗 Ver Mapa" display="🔗 Ver Mapa"/>
    <hyperlink ref="L13793" r:id="rId13791" tooltip="🔗 Ver Mapa" display="🔗 Ver Mapa"/>
    <hyperlink ref="L13794" r:id="rId13792" tooltip="🔗 Ver Mapa" display="🔗 Ver Mapa"/>
    <hyperlink ref="L13795" r:id="rId13793" tooltip="🔗 Ver Mapa" display="🔗 Ver Mapa"/>
    <hyperlink ref="L13796" r:id="rId13794" tooltip="🔗 Ver Mapa" display="🔗 Ver Mapa"/>
    <hyperlink ref="L13797" r:id="rId13795" tooltip="🔗 Ver Mapa" display="🔗 Ver Mapa"/>
    <hyperlink ref="L13798" r:id="rId13796" tooltip="🔗 Ver Mapa" display="🔗 Ver Mapa"/>
    <hyperlink ref="L13799" r:id="rId13797" tooltip="🔗 Ver Mapa" display="🔗 Ver Mapa"/>
    <hyperlink ref="L13800" r:id="rId13798" tooltip="🔗 Ver Mapa" display="🔗 Ver Mapa"/>
    <hyperlink ref="L13801" r:id="rId13799" tooltip="🔗 Ver Mapa" display="🔗 Ver Mapa"/>
    <hyperlink ref="L13802" r:id="rId13800" tooltip="🔗 Ver Mapa" display="🔗 Ver Mapa"/>
    <hyperlink ref="L13803" r:id="rId13801" tooltip="🔗 Ver Mapa" display="🔗 Ver Mapa"/>
    <hyperlink ref="L13804" r:id="rId13802" tooltip="🔗 Ver Mapa" display="🔗 Ver Mapa"/>
    <hyperlink ref="L13805" r:id="rId13803" tooltip="🔗 Ver Mapa" display="🔗 Ver Mapa"/>
    <hyperlink ref="L13806" r:id="rId13804" tooltip="🔗 Ver Mapa" display="🔗 Ver Mapa"/>
    <hyperlink ref="L13807" r:id="rId13805" tooltip="🔗 Ver Mapa" display="🔗 Ver Mapa"/>
    <hyperlink ref="L13808" r:id="rId13806" tooltip="🔗 Ver Mapa" display="🔗 Ver Mapa"/>
    <hyperlink ref="L13809" r:id="rId13807" tooltip="🔗 Ver Mapa" display="🔗 Ver Mapa"/>
    <hyperlink ref="L13810" r:id="rId13808" tooltip="🔗 Ver Mapa" display="🔗 Ver Mapa"/>
    <hyperlink ref="L13811" r:id="rId13809" tooltip="🔗 Ver Mapa" display="🔗 Ver Mapa"/>
    <hyperlink ref="L13812" r:id="rId13810" tooltip="🔗 Ver Mapa" display="🔗 Ver Mapa"/>
    <hyperlink ref="L13813" r:id="rId13811" tooltip="🔗 Ver Mapa" display="🔗 Ver Mapa"/>
    <hyperlink ref="L13814" r:id="rId13812" tooltip="🔗 Ver Mapa" display="🔗 Ver Mapa"/>
    <hyperlink ref="L13815" r:id="rId13813" tooltip="🔗 Ver Mapa" display="🔗 Ver Mapa"/>
    <hyperlink ref="L13816" r:id="rId13814" tooltip="🔗 Ver Mapa" display="🔗 Ver Mapa"/>
    <hyperlink ref="L13817" r:id="rId13815" tooltip="🔗 Ver Mapa" display="🔗 Ver Mapa"/>
    <hyperlink ref="L13818" r:id="rId13816" tooltip="🔗 Ver Mapa" display="🔗 Ver Mapa"/>
    <hyperlink ref="L13819" r:id="rId13817" tooltip="🔗 Ver Mapa" display="🔗 Ver Mapa"/>
    <hyperlink ref="L13820" r:id="rId13818" tooltip="🔗 Ver Mapa" display="🔗 Ver Mapa"/>
    <hyperlink ref="L13821" r:id="rId13819" tooltip="🔗 Ver Mapa" display="🔗 Ver Mapa"/>
    <hyperlink ref="L13822" r:id="rId13820" tooltip="🔗 Ver Mapa" display="🔗 Ver Mapa"/>
    <hyperlink ref="L13823" r:id="rId13821" tooltip="🔗 Ver Mapa" display="🔗 Ver Mapa"/>
    <hyperlink ref="L13824" r:id="rId13822" tooltip="🔗 Ver Mapa" display="🔗 Ver Mapa"/>
    <hyperlink ref="L13825" r:id="rId13823" tooltip="🔗 Ver Mapa" display="🔗 Ver Mapa"/>
    <hyperlink ref="L13826" r:id="rId13824" tooltip="🔗 Ver Mapa" display="🔗 Ver Mapa"/>
    <hyperlink ref="L13827" r:id="rId13825" tooltip="🔗 Ver Mapa" display="🔗 Ver Mapa"/>
    <hyperlink ref="L13828" r:id="rId13826" tooltip="🔗 Ver Mapa" display="🔗 Ver Mapa"/>
    <hyperlink ref="L13829" r:id="rId13827" tooltip="🔗 Ver Mapa" display="🔗 Ver Mapa"/>
    <hyperlink ref="L13830" r:id="rId13828" tooltip="🔗 Ver Mapa" display="🔗 Ver Mapa"/>
    <hyperlink ref="L13831" r:id="rId13829" tooltip="🔗 Ver Mapa" display="🔗 Ver Mapa"/>
    <hyperlink ref="L13832" r:id="rId13830" tooltip="🔗 Ver Mapa" display="🔗 Ver Mapa"/>
    <hyperlink ref="L13833" r:id="rId13831" tooltip="🔗 Ver Mapa" display="🔗 Ver Mapa"/>
    <hyperlink ref="L13834" r:id="rId13832" tooltip="🔗 Ver Mapa" display="🔗 Ver Mapa"/>
    <hyperlink ref="L13835" r:id="rId13833" tooltip="🔗 Ver Mapa" display="🔗 Ver Mapa"/>
    <hyperlink ref="L13836" r:id="rId13834" tooltip="🔗 Ver Mapa" display="🔗 Ver Mapa"/>
    <hyperlink ref="L13837" r:id="rId13835" tooltip="🔗 Ver Mapa" display="🔗 Ver Mapa"/>
    <hyperlink ref="L13838" r:id="rId13836" tooltip="🔗 Ver Mapa" display="🔗 Ver Mapa"/>
    <hyperlink ref="L13839" r:id="rId13837" tooltip="🔗 Ver Mapa" display="🔗 Ver Mapa"/>
    <hyperlink ref="L13840" r:id="rId13838" tooltip="🔗 Ver Mapa" display="🔗 Ver Mapa"/>
    <hyperlink ref="L13841" r:id="rId13839" tooltip="🔗 Ver Mapa" display="🔗 Ver Mapa"/>
    <hyperlink ref="L13842" r:id="rId13840" tooltip="🔗 Ver Mapa" display="🔗 Ver Mapa"/>
    <hyperlink ref="L13843" r:id="rId13841" tooltip="🔗 Ver Mapa" display="🔗 Ver Mapa"/>
    <hyperlink ref="L13844" r:id="rId13842" tooltip="🔗 Ver Mapa" display="🔗 Ver Mapa"/>
    <hyperlink ref="L13845" r:id="rId13843" tooltip="🔗 Ver Mapa" display="🔗 Ver Mapa"/>
    <hyperlink ref="L13846" r:id="rId13844" tooltip="🔗 Ver Mapa" display="🔗 Ver Mapa"/>
    <hyperlink ref="L13847" r:id="rId13845" tooltip="🔗 Ver Mapa" display="🔗 Ver Mapa"/>
    <hyperlink ref="L13848" r:id="rId13846" tooltip="🔗 Ver Mapa" display="🔗 Ver Mapa"/>
    <hyperlink ref="L13849" r:id="rId13847" tooltip="🔗 Ver Mapa" display="🔗 Ver Mapa"/>
    <hyperlink ref="L13850" r:id="rId13848" tooltip="🔗 Ver Mapa" display="🔗 Ver Mapa"/>
    <hyperlink ref="L13851" r:id="rId13849" tooltip="🔗 Ver Mapa" display="🔗 Ver Mapa"/>
    <hyperlink ref="L13852" r:id="rId13850" tooltip="🔗 Ver Mapa" display="🔗 Ver Mapa"/>
    <hyperlink ref="L13853" r:id="rId13851" tooltip="🔗 Ver Mapa" display="🔗 Ver Mapa"/>
    <hyperlink ref="L13854" r:id="rId13852" tooltip="🔗 Ver Mapa" display="🔗 Ver Mapa"/>
    <hyperlink ref="L13855" r:id="rId13853" tooltip="🔗 Ver Mapa" display="🔗 Ver Mapa"/>
    <hyperlink ref="L13856" r:id="rId13854" tooltip="🔗 Ver Mapa" display="🔗 Ver Mapa"/>
    <hyperlink ref="L13857" r:id="rId13855" tooltip="🔗 Ver Mapa" display="🔗 Ver Mapa"/>
    <hyperlink ref="L13858" r:id="rId13856" tooltip="🔗 Ver Mapa" display="🔗 Ver Mapa"/>
    <hyperlink ref="L13859" r:id="rId13857" tooltip="🔗 Ver Mapa" display="🔗 Ver Mapa"/>
    <hyperlink ref="L13860" r:id="rId13858" tooltip="🔗 Ver Mapa" display="🔗 Ver Mapa"/>
    <hyperlink ref="L13861" r:id="rId13859" tooltip="🔗 Ver Mapa" display="🔗 Ver Mapa"/>
    <hyperlink ref="L13862" r:id="rId13860" tooltip="🔗 Ver Mapa" display="🔗 Ver Mapa"/>
    <hyperlink ref="L13863" r:id="rId13861" tooltip="🔗 Ver Mapa" display="🔗 Ver Mapa"/>
    <hyperlink ref="L13864" r:id="rId13862" tooltip="🔗 Ver Mapa" display="🔗 Ver Mapa"/>
    <hyperlink ref="L13865" r:id="rId13863" tooltip="🔗 Ver Mapa" display="🔗 Ver Mapa"/>
    <hyperlink ref="L13866" r:id="rId13864" tooltip="🔗 Ver Mapa" display="🔗 Ver Mapa"/>
    <hyperlink ref="L13867" r:id="rId13865" tooltip="🔗 Ver Mapa" display="🔗 Ver Mapa"/>
    <hyperlink ref="L13868" r:id="rId13866" tooltip="🔗 Ver Mapa" display="🔗 Ver Mapa"/>
    <hyperlink ref="L13869" r:id="rId13867" tooltip="🔗 Ver Mapa" display="🔗 Ver Mapa"/>
    <hyperlink ref="L13870" r:id="rId13868" tooltip="🔗 Ver Mapa" display="🔗 Ver Mapa"/>
    <hyperlink ref="L13871" r:id="rId13869" tooltip="🔗 Ver Mapa" display="🔗 Ver Mapa"/>
    <hyperlink ref="L13872" r:id="rId13870" tooltip="🔗 Ver Mapa" display="🔗 Ver Mapa"/>
    <hyperlink ref="L13873" r:id="rId13871" tooltip="🔗 Ver Mapa" display="🔗 Ver Mapa"/>
    <hyperlink ref="L13874" r:id="rId13872" tooltip="🔗 Ver Mapa" display="🔗 Ver Mapa"/>
    <hyperlink ref="L13875" r:id="rId13873" tooltip="🔗 Ver Mapa" display="🔗 Ver Mapa"/>
    <hyperlink ref="L13876" r:id="rId13874" tooltip="🔗 Ver Mapa" display="🔗 Ver Mapa"/>
    <hyperlink ref="L13877" r:id="rId13875" tooltip="🔗 Ver Mapa" display="🔗 Ver Mapa"/>
    <hyperlink ref="L13878" r:id="rId13876" tooltip="🔗 Ver Mapa" display="🔗 Ver Mapa"/>
    <hyperlink ref="L13879" r:id="rId13877" tooltip="🔗 Ver Mapa" display="🔗 Ver Mapa"/>
    <hyperlink ref="L13880" r:id="rId13878" tooltip="🔗 Ver Mapa" display="🔗 Ver Mapa"/>
    <hyperlink ref="L13881" r:id="rId13879" tooltip="🔗 Ver Mapa" display="🔗 Ver Mapa"/>
    <hyperlink ref="L13882" r:id="rId13880" tooltip="🔗 Ver Mapa" display="🔗 Ver Mapa"/>
    <hyperlink ref="L13883" r:id="rId13881" tooltip="🔗 Ver Mapa" display="🔗 Ver Mapa"/>
    <hyperlink ref="L13884" r:id="rId13882" tooltip="🔗 Ver Mapa" display="🔗 Ver Mapa"/>
    <hyperlink ref="L13885" r:id="rId13883" tooltip="🔗 Ver Mapa" display="🔗 Ver Mapa"/>
    <hyperlink ref="L13886" r:id="rId13884" tooltip="🔗 Ver Mapa" display="🔗 Ver Mapa"/>
    <hyperlink ref="L13887" r:id="rId13885" tooltip="🔗 Ver Mapa" display="🔗 Ver Mapa"/>
    <hyperlink ref="L13888" r:id="rId13886" tooltip="🔗 Ver Mapa" display="🔗 Ver Mapa"/>
    <hyperlink ref="L13889" r:id="rId13887" tooltip="🔗 Ver Mapa" display="🔗 Ver Mapa"/>
    <hyperlink ref="L13890" r:id="rId13888" tooltip="🔗 Ver Mapa" display="🔗 Ver Mapa"/>
    <hyperlink ref="L13891" r:id="rId13889" tooltip="🔗 Ver Mapa" display="🔗 Ver Mapa"/>
    <hyperlink ref="L13892" r:id="rId13890" tooltip="🔗 Ver Mapa" display="🔗 Ver Mapa"/>
    <hyperlink ref="L13893" r:id="rId13891" tooltip="🔗 Ver Mapa" display="🔗 Ver Mapa"/>
    <hyperlink ref="L13894" r:id="rId13892" tooltip="🔗 Ver Mapa" display="🔗 Ver Mapa"/>
    <hyperlink ref="L13895" r:id="rId13893" tooltip="🔗 Ver Mapa" display="🔗 Ver Mapa"/>
    <hyperlink ref="L13896" r:id="rId13894" tooltip="🔗 Ver Mapa" display="🔗 Ver Mapa"/>
    <hyperlink ref="L13897" r:id="rId13895" tooltip="🔗 Ver Mapa" display="🔗 Ver Mapa"/>
    <hyperlink ref="L13898" r:id="rId13896" tooltip="🔗 Ver Mapa" display="🔗 Ver Mapa"/>
    <hyperlink ref="L13899" r:id="rId13897" tooltip="🔗 Ver Mapa" display="🔗 Ver Mapa"/>
    <hyperlink ref="L13900" r:id="rId13898" tooltip="🔗 Ver Mapa" display="🔗 Ver Mapa"/>
    <hyperlink ref="L13901" r:id="rId13899" tooltip="🔗 Ver Mapa" display="🔗 Ver Mapa"/>
    <hyperlink ref="L13902" r:id="rId13900" tooltip="🔗 Ver Mapa" display="🔗 Ver Mapa"/>
    <hyperlink ref="L13903" r:id="rId13901" tooltip="🔗 Ver Mapa" display="🔗 Ver Mapa"/>
    <hyperlink ref="L13904" r:id="rId13902" tooltip="🔗 Ver Mapa" display="🔗 Ver Mapa"/>
    <hyperlink ref="L13905" r:id="rId13903" tooltip="🔗 Ver Mapa" display="🔗 Ver Mapa"/>
    <hyperlink ref="L13906" r:id="rId13904" tooltip="🔗 Ver Mapa" display="🔗 Ver Mapa"/>
    <hyperlink ref="L13907" r:id="rId13905" tooltip="🔗 Ver Mapa" display="🔗 Ver Mapa"/>
    <hyperlink ref="L13908" r:id="rId13906" tooltip="🔗 Ver Mapa" display="🔗 Ver Mapa"/>
    <hyperlink ref="L13909" r:id="rId13907" tooltip="🔗 Ver Mapa" display="🔗 Ver Mapa"/>
    <hyperlink ref="L13910" r:id="rId13908" tooltip="🔗 Ver Mapa" display="🔗 Ver Mapa"/>
    <hyperlink ref="L13911" r:id="rId13909" tooltip="🔗 Ver Mapa" display="🔗 Ver Mapa"/>
    <hyperlink ref="L13912" r:id="rId13910" tooltip="🔗 Ver Mapa" display="🔗 Ver Mapa"/>
    <hyperlink ref="L13913" r:id="rId13911" tooltip="🔗 Ver Mapa" display="🔗 Ver Mapa"/>
    <hyperlink ref="L13914" r:id="rId13912" tooltip="🔗 Ver Mapa" display="🔗 Ver Mapa"/>
    <hyperlink ref="L13915" r:id="rId13913" tooltip="🔗 Ver Mapa" display="🔗 Ver Mapa"/>
    <hyperlink ref="L13916" r:id="rId13914" tooltip="🔗 Ver Mapa" display="🔗 Ver Mapa"/>
    <hyperlink ref="L13917" r:id="rId13915" tooltip="🔗 Ver Mapa" display="🔗 Ver Mapa"/>
    <hyperlink ref="L13918" r:id="rId13916" tooltip="🔗 Ver Mapa" display="🔗 Ver Mapa"/>
    <hyperlink ref="L13919" r:id="rId13917" tooltip="🔗 Ver Mapa" display="🔗 Ver Mapa"/>
    <hyperlink ref="L13920" r:id="rId13918" tooltip="🔗 Ver Mapa" display="🔗 Ver Mapa"/>
    <hyperlink ref="L13921" r:id="rId13919" tooltip="🔗 Ver Mapa" display="🔗 Ver Mapa"/>
    <hyperlink ref="L13922" r:id="rId13920" tooltip="🔗 Ver Mapa" display="🔗 Ver Mapa"/>
    <hyperlink ref="L13923" r:id="rId13921" tooltip="🔗 Ver Mapa" display="🔗 Ver Mapa"/>
    <hyperlink ref="L13924" r:id="rId13922" tooltip="🔗 Ver Mapa" display="🔗 Ver Mapa"/>
    <hyperlink ref="L13925" r:id="rId13923" tooltip="🔗 Ver Mapa" display="🔗 Ver Mapa"/>
    <hyperlink ref="L13926" r:id="rId13924" tooltip="🔗 Ver Mapa" display="🔗 Ver Mapa"/>
    <hyperlink ref="L13927" r:id="rId13925" tooltip="🔗 Ver Mapa" display="🔗 Ver Mapa"/>
    <hyperlink ref="L13928" r:id="rId13926" tooltip="🔗 Ver Mapa" display="🔗 Ver Mapa"/>
    <hyperlink ref="L13929" r:id="rId13927" tooltip="🔗 Ver Mapa" display="🔗 Ver Mapa"/>
    <hyperlink ref="L13930" r:id="rId13928" tooltip="🔗 Ver Mapa" display="🔗 Ver Mapa"/>
    <hyperlink ref="L13931" r:id="rId13929" tooltip="🔗 Ver Mapa" display="🔗 Ver Mapa"/>
    <hyperlink ref="L13932" r:id="rId13930" tooltip="🔗 Ver Mapa" display="🔗 Ver Mapa"/>
    <hyperlink ref="L13933" r:id="rId13931" tooltip="🔗 Ver Mapa" display="🔗 Ver Mapa"/>
    <hyperlink ref="L13934" r:id="rId13932" tooltip="🔗 Ver Mapa" display="🔗 Ver Mapa"/>
    <hyperlink ref="L13935" r:id="rId13933" tooltip="🔗 Ver Mapa" display="🔗 Ver Mapa"/>
    <hyperlink ref="L13936" r:id="rId13934" tooltip="🔗 Ver Mapa" display="🔗 Ver Mapa"/>
    <hyperlink ref="L13937" r:id="rId13935" tooltip="🔗 Ver Mapa" display="🔗 Ver Mapa"/>
    <hyperlink ref="L13938" r:id="rId13936" tooltip="🔗 Ver Mapa" display="🔗 Ver Mapa"/>
    <hyperlink ref="L13939" r:id="rId13937" tooltip="🔗 Ver Mapa" display="🔗 Ver Mapa"/>
    <hyperlink ref="L13940" r:id="rId13938" tooltip="🔗 Ver Mapa" display="🔗 Ver Mapa"/>
    <hyperlink ref="L13941" r:id="rId13939" tooltip="🔗 Ver Mapa" display="🔗 Ver Mapa"/>
    <hyperlink ref="L13942" r:id="rId13940" tooltip="🔗 Ver Mapa" display="🔗 Ver Mapa"/>
    <hyperlink ref="L13943" r:id="rId13941" tooltip="🔗 Ver Mapa" display="🔗 Ver Mapa"/>
    <hyperlink ref="L13944" r:id="rId13942" tooltip="🔗 Ver Mapa" display="🔗 Ver Mapa"/>
    <hyperlink ref="L13945" r:id="rId13943" tooltip="🔗 Ver Mapa" display="🔗 Ver Mapa"/>
    <hyperlink ref="L13946" r:id="rId13944" tooltip="🔗 Ver Mapa" display="🔗 Ver Mapa"/>
    <hyperlink ref="L13947" r:id="rId13945" tooltip="🔗 Ver Mapa" display="🔗 Ver Mapa"/>
    <hyperlink ref="L13948" r:id="rId13946" tooltip="🔗 Ver Mapa" display="🔗 Ver Mapa"/>
    <hyperlink ref="L13949" r:id="rId13947" tooltip="🔗 Ver Mapa" display="🔗 Ver Mapa"/>
    <hyperlink ref="L13950" r:id="rId13948" tooltip="🔗 Ver Mapa" display="🔗 Ver Mapa"/>
    <hyperlink ref="L13951" r:id="rId13949" tooltip="🔗 Ver Mapa" display="🔗 Ver Mapa"/>
    <hyperlink ref="L13952" r:id="rId13950" tooltip="🔗 Ver Mapa" display="🔗 Ver Mapa"/>
    <hyperlink ref="L13953" r:id="rId13951" tooltip="🔗 Ver Mapa" display="🔗 Ver Mapa"/>
    <hyperlink ref="L13954" r:id="rId13952" tooltip="🔗 Ver Mapa" display="🔗 Ver Mapa"/>
    <hyperlink ref="L13955" r:id="rId13953" tooltip="🔗 Ver Mapa" display="🔗 Ver Mapa"/>
    <hyperlink ref="L13956" r:id="rId13954" tooltip="🔗 Ver Mapa" display="🔗 Ver Mapa"/>
    <hyperlink ref="L13957" r:id="rId13955" tooltip="🔗 Ver Mapa" display="🔗 Ver Mapa"/>
    <hyperlink ref="L13958" r:id="rId13956" tooltip="🔗 Ver Mapa" display="🔗 Ver Mapa"/>
    <hyperlink ref="L13959" r:id="rId13957" tooltip="🔗 Ver Mapa" display="🔗 Ver Mapa"/>
    <hyperlink ref="L13960" r:id="rId13958" tooltip="🔗 Ver Mapa" display="🔗 Ver Mapa"/>
    <hyperlink ref="L13961" r:id="rId13959" tooltip="🔗 Ver Mapa" display="🔗 Ver Mapa"/>
    <hyperlink ref="L13962" r:id="rId13960" tooltip="🔗 Ver Mapa" display="🔗 Ver Mapa"/>
    <hyperlink ref="L13963" r:id="rId13961" tooltip="🔗 Ver Mapa" display="🔗 Ver Mapa"/>
    <hyperlink ref="L13964" r:id="rId13962" tooltip="🔗 Ver Mapa" display="🔗 Ver Mapa"/>
    <hyperlink ref="L13965" r:id="rId13963" tooltip="🔗 Ver Mapa" display="🔗 Ver Mapa"/>
    <hyperlink ref="L13966" r:id="rId13964" tooltip="🔗 Ver Mapa" display="🔗 Ver Mapa"/>
    <hyperlink ref="L13967" r:id="rId13965" tooltip="🔗 Ver Mapa" display="🔗 Ver Mapa"/>
    <hyperlink ref="L13968" r:id="rId13966" tooltip="🔗 Ver Mapa" display="🔗 Ver Mapa"/>
    <hyperlink ref="L13969" r:id="rId13967" tooltip="🔗 Ver Mapa" display="🔗 Ver Mapa"/>
    <hyperlink ref="L13970" r:id="rId13968" tooltip="🔗 Ver Mapa" display="🔗 Ver Mapa"/>
    <hyperlink ref="L13971" r:id="rId13969" tooltip="🔗 Ver Mapa" display="🔗 Ver Mapa"/>
    <hyperlink ref="L13972" r:id="rId13970" tooltip="🔗 Ver Mapa" display="🔗 Ver Mapa"/>
    <hyperlink ref="L13973" r:id="rId13971" tooltip="🔗 Ver Mapa" display="🔗 Ver Mapa"/>
    <hyperlink ref="L13974" r:id="rId13972" tooltip="🔗 Ver Mapa" display="🔗 Ver Mapa"/>
    <hyperlink ref="L13975" r:id="rId13973" tooltip="🔗 Ver Mapa" display="🔗 Ver Mapa"/>
    <hyperlink ref="L13976" r:id="rId13974" tooltip="🔗 Ver Mapa" display="🔗 Ver Mapa"/>
    <hyperlink ref="L13977" r:id="rId13975" tooltip="🔗 Ver Mapa" display="🔗 Ver Mapa"/>
    <hyperlink ref="L13978" r:id="rId13976" tooltip="🔗 Ver Mapa" display="🔗 Ver Mapa"/>
    <hyperlink ref="L13979" r:id="rId13977" tooltip="🔗 Ver Mapa" display="🔗 Ver Mapa"/>
    <hyperlink ref="L13980" r:id="rId13978" tooltip="🔗 Ver Mapa" display="🔗 Ver Mapa"/>
    <hyperlink ref="L13981" r:id="rId13979" tooltip="🔗 Ver Mapa" display="🔗 Ver Mapa"/>
    <hyperlink ref="L13982" r:id="rId13980" tooltip="🔗 Ver Mapa" display="🔗 Ver Mapa"/>
    <hyperlink ref="L13983" r:id="rId13981" tooltip="🔗 Ver Mapa" display="🔗 Ver Mapa"/>
    <hyperlink ref="L13984" r:id="rId13982" tooltip="🔗 Ver Mapa" display="🔗 Ver Mapa"/>
    <hyperlink ref="L13985" r:id="rId13983" tooltip="🔗 Ver Mapa" display="🔗 Ver Mapa"/>
    <hyperlink ref="L13986" r:id="rId13984" tooltip="🔗 Ver Mapa" display="🔗 Ver Mapa"/>
    <hyperlink ref="L13987" r:id="rId13985" tooltip="🔗 Ver Mapa" display="🔗 Ver Mapa"/>
    <hyperlink ref="L13988" r:id="rId13986" tooltip="🔗 Ver Mapa" display="🔗 Ver Mapa"/>
    <hyperlink ref="L13989" r:id="rId13987" tooltip="🔗 Ver Mapa" display="🔗 Ver Mapa"/>
    <hyperlink ref="L13990" r:id="rId13988" tooltip="🔗 Ver Mapa" display="🔗 Ver Mapa"/>
    <hyperlink ref="L13991" r:id="rId13989" tooltip="🔗 Ver Mapa" display="🔗 Ver Mapa"/>
    <hyperlink ref="L13992" r:id="rId13990" tooltip="🔗 Ver Mapa" display="🔗 Ver Mapa"/>
    <hyperlink ref="L13993" r:id="rId13991" tooltip="🔗 Ver Mapa" display="🔗 Ver Mapa"/>
    <hyperlink ref="L13994" r:id="rId13992" tooltip="🔗 Ver Mapa" display="🔗 Ver Mapa"/>
    <hyperlink ref="L13995" r:id="rId13993" tooltip="🔗 Ver Mapa" display="🔗 Ver Mapa"/>
    <hyperlink ref="L13996" r:id="rId13994" tooltip="🔗 Ver Mapa" display="🔗 Ver Mapa"/>
    <hyperlink ref="L13997" r:id="rId13995" tooltip="🔗 Ver Mapa" display="🔗 Ver Mapa"/>
    <hyperlink ref="L13998" r:id="rId13996" tooltip="🔗 Ver Mapa" display="🔗 Ver Mapa"/>
    <hyperlink ref="L13999" r:id="rId13997" tooltip="🔗 Ver Mapa" display="🔗 Ver Mapa"/>
    <hyperlink ref="L14000" r:id="rId13998" tooltip="🔗 Ver Mapa" display="🔗 Ver Mapa"/>
    <hyperlink ref="L14001" r:id="rId13999" tooltip="🔗 Ver Mapa" display="🔗 Ver Mapa"/>
    <hyperlink ref="L14002" r:id="rId14000" tooltip="🔗 Ver Mapa" display="🔗 Ver Mapa"/>
    <hyperlink ref="L14003" r:id="rId14001" tooltip="🔗 Ver Mapa" display="🔗 Ver Mapa"/>
    <hyperlink ref="L14004" r:id="rId14002" tooltip="🔗 Ver Mapa" display="🔗 Ver Mapa"/>
    <hyperlink ref="L14005" r:id="rId14003" tooltip="🔗 Ver Mapa" display="🔗 Ver Mapa"/>
    <hyperlink ref="L14006" r:id="rId14004" tooltip="🔗 Ver Mapa" display="🔗 Ver Mapa"/>
    <hyperlink ref="L14007" r:id="rId14005" tooltip="🔗 Ver Mapa" display="🔗 Ver Mapa"/>
    <hyperlink ref="L14008" r:id="rId14006" tooltip="🔗 Ver Mapa" display="🔗 Ver Mapa"/>
    <hyperlink ref="L14009" r:id="rId14007" tooltip="🔗 Ver Mapa" display="🔗 Ver Mapa"/>
    <hyperlink ref="L14010" r:id="rId14008" tooltip="🔗 Ver Mapa" display="🔗 Ver Mapa"/>
    <hyperlink ref="L14011" r:id="rId14009" tooltip="🔗 Ver Mapa" display="🔗 Ver Mapa"/>
    <hyperlink ref="L14012" r:id="rId14010" tooltip="🔗 Ver Mapa" display="🔗 Ver Mapa"/>
    <hyperlink ref="L14013" r:id="rId14011" tooltip="🔗 Ver Mapa" display="🔗 Ver Mapa"/>
    <hyperlink ref="L14014" r:id="rId14012" tooltip="🔗 Ver Mapa" display="🔗 Ver Mapa"/>
    <hyperlink ref="L14015" r:id="rId14013" tooltip="🔗 Ver Mapa" display="🔗 Ver Mapa"/>
    <hyperlink ref="L14016" r:id="rId14014" tooltip="🔗 Ver Mapa" display="🔗 Ver Mapa"/>
    <hyperlink ref="L14017" r:id="rId14015" tooltip="🔗 Ver Mapa" display="🔗 Ver Mapa"/>
    <hyperlink ref="L14018" r:id="rId14016" tooltip="🔗 Ver Mapa" display="🔗 Ver Mapa"/>
    <hyperlink ref="L14019" r:id="rId14017" tooltip="🔗 Ver Mapa" display="🔗 Ver Mapa"/>
    <hyperlink ref="L14020" r:id="rId14018" tooltip="🔗 Ver Mapa" display="🔗 Ver Mapa"/>
    <hyperlink ref="L14021" r:id="rId14019" tooltip="🔗 Ver Mapa" display="🔗 Ver Mapa"/>
    <hyperlink ref="L14022" r:id="rId14020" tooltip="🔗 Ver Mapa" display="🔗 Ver Mapa"/>
    <hyperlink ref="L14023" r:id="rId14021" tooltip="🔗 Ver Mapa" display="🔗 Ver Mapa"/>
    <hyperlink ref="L14024" r:id="rId14022" tooltip="🔗 Ver Mapa" display="🔗 Ver Mapa"/>
    <hyperlink ref="L14025" r:id="rId14023" tooltip="🔗 Ver Mapa" display="🔗 Ver Mapa"/>
    <hyperlink ref="L14026" r:id="rId14024" tooltip="🔗 Ver Mapa" display="🔗 Ver Mapa"/>
    <hyperlink ref="L14027" r:id="rId14025" tooltip="🔗 Ver Mapa" display="🔗 Ver Mapa"/>
    <hyperlink ref="L14028" r:id="rId14026" tooltip="🔗 Ver Mapa" display="🔗 Ver Mapa"/>
    <hyperlink ref="L14029" r:id="rId14027" tooltip="🔗 Ver Mapa" display="🔗 Ver Mapa"/>
    <hyperlink ref="L14030" r:id="rId14028" tooltip="🔗 Ver Mapa" display="🔗 Ver Mapa"/>
    <hyperlink ref="L14031" r:id="rId14029" tooltip="🔗 Ver Mapa" display="🔗 Ver Mapa"/>
    <hyperlink ref="L14032" r:id="rId14030" tooltip="🔗 Ver Mapa" display="🔗 Ver Mapa"/>
    <hyperlink ref="L14033" r:id="rId14031" tooltip="🔗 Ver Mapa" display="🔗 Ver Mapa"/>
    <hyperlink ref="L14034" r:id="rId14032" tooltip="🔗 Ver Mapa" display="🔗 Ver Mapa"/>
    <hyperlink ref="L14035" r:id="rId14033" tooltip="🔗 Ver Mapa" display="🔗 Ver Mapa"/>
    <hyperlink ref="L14036" r:id="rId14034" tooltip="🔗 Ver Mapa" display="🔗 Ver Mapa"/>
    <hyperlink ref="L14037" r:id="rId14035" tooltip="🔗 Ver Mapa" display="🔗 Ver Mapa"/>
    <hyperlink ref="L14038" r:id="rId14036" tooltip="🔗 Ver Mapa" display="🔗 Ver Mapa"/>
    <hyperlink ref="L14039" r:id="rId14037" tooltip="🔗 Ver Mapa" display="🔗 Ver Mapa"/>
    <hyperlink ref="L14040" r:id="rId14038" tooltip="🔗 Ver Mapa" display="🔗 Ver Mapa"/>
    <hyperlink ref="L14041" r:id="rId14039" tooltip="🔗 Ver Mapa" display="🔗 Ver Mapa"/>
    <hyperlink ref="L14042" r:id="rId14040" tooltip="🔗 Ver Mapa" display="🔗 Ver Mapa"/>
    <hyperlink ref="L14043" r:id="rId14041" tooltip="🔗 Ver Mapa" display="🔗 Ver Mapa"/>
    <hyperlink ref="L14044" r:id="rId14042" tooltip="🔗 Ver Mapa" display="🔗 Ver Mapa"/>
    <hyperlink ref="L14045" r:id="rId14043" tooltip="🔗 Ver Mapa" display="🔗 Ver Mapa"/>
    <hyperlink ref="L14046" r:id="rId14044" tooltip="🔗 Ver Mapa" display="🔗 Ver Mapa"/>
    <hyperlink ref="L14047" r:id="rId14045" tooltip="🔗 Ver Mapa" display="🔗 Ver Mapa"/>
    <hyperlink ref="L14048" r:id="rId14046" tooltip="🔗 Ver Mapa" display="🔗 Ver Mapa"/>
    <hyperlink ref="L14049" r:id="rId14047" tooltip="🔗 Ver Mapa" display="🔗 Ver Mapa"/>
    <hyperlink ref="L14050" r:id="rId14048" tooltip="🔗 Ver Mapa" display="🔗 Ver Mapa"/>
    <hyperlink ref="L14051" r:id="rId14049" tooltip="🔗 Ver Mapa" display="🔗 Ver Mapa"/>
    <hyperlink ref="L14052" r:id="rId14050" tooltip="🔗 Ver Mapa" display="🔗 Ver Mapa"/>
    <hyperlink ref="L14053" r:id="rId14051" tooltip="🔗 Ver Mapa" display="🔗 Ver Mapa"/>
    <hyperlink ref="L14054" r:id="rId14052" tooltip="🔗 Ver Mapa" display="🔗 Ver Mapa"/>
    <hyperlink ref="L14055" r:id="rId14053" tooltip="🔗 Ver Mapa" display="🔗 Ver Mapa"/>
    <hyperlink ref="L14056" r:id="rId14054" tooltip="🔗 Ver Mapa" display="🔗 Ver Mapa"/>
    <hyperlink ref="L14057" r:id="rId14055" tooltip="🔗 Ver Mapa" display="🔗 Ver Mapa"/>
    <hyperlink ref="L14058" r:id="rId14056" tooltip="🔗 Ver Mapa" display="🔗 Ver Mapa"/>
    <hyperlink ref="L14059" r:id="rId14057" tooltip="🔗 Ver Mapa" display="🔗 Ver Mapa"/>
    <hyperlink ref="L14060" r:id="rId14058" tooltip="🔗 Ver Mapa" display="🔗 Ver Mapa"/>
    <hyperlink ref="L14061" r:id="rId14059" tooltip="🔗 Ver Mapa" display="🔗 Ver Mapa"/>
    <hyperlink ref="L14062" r:id="rId14060" tooltip="🔗 Ver Mapa" display="🔗 Ver Mapa"/>
    <hyperlink ref="L14063" r:id="rId14061" tooltip="🔗 Ver Mapa" display="🔗 Ver Mapa"/>
    <hyperlink ref="L14064" r:id="rId14062" tooltip="🔗 Ver Mapa" display="🔗 Ver Mapa"/>
    <hyperlink ref="L14065" r:id="rId14063" tooltip="🔗 Ver Mapa" display="🔗 Ver Mapa"/>
    <hyperlink ref="L14066" r:id="rId14064" tooltip="🔗 Ver Mapa" display="🔗 Ver Mapa"/>
    <hyperlink ref="L14067" r:id="rId14065" tooltip="🔗 Ver Mapa" display="🔗 Ver Mapa"/>
    <hyperlink ref="L14068" r:id="rId14066" tooltip="🔗 Ver Mapa" display="🔗 Ver Mapa"/>
    <hyperlink ref="L14069" r:id="rId14067" tooltip="🔗 Ver Mapa" display="🔗 Ver Mapa"/>
    <hyperlink ref="L14070" r:id="rId14068" tooltip="🔗 Ver Mapa" display="🔗 Ver Mapa"/>
    <hyperlink ref="L14071" r:id="rId14069" tooltip="🔗 Ver Mapa" display="🔗 Ver Mapa"/>
    <hyperlink ref="L14072" r:id="rId14070" tooltip="🔗 Ver Mapa" display="🔗 Ver Mapa"/>
    <hyperlink ref="L14073" r:id="rId14071" tooltip="🔗 Ver Mapa" display="🔗 Ver Mapa"/>
    <hyperlink ref="L14074" r:id="rId14072" tooltip="🔗 Ver Mapa" display="🔗 Ver Mapa"/>
    <hyperlink ref="L14075" r:id="rId14073" tooltip="🔗 Ver Mapa" display="🔗 Ver Mapa"/>
    <hyperlink ref="L14076" r:id="rId14074" tooltip="🔗 Ver Mapa" display="🔗 Ver Mapa"/>
    <hyperlink ref="L14077" r:id="rId14075" tooltip="🔗 Ver Mapa" display="🔗 Ver Mapa"/>
    <hyperlink ref="L14078" r:id="rId14076" tooltip="🔗 Ver Mapa" display="🔗 Ver Mapa"/>
    <hyperlink ref="L14079" r:id="rId14077" tooltip="🔗 Ver Mapa" display="🔗 Ver Mapa"/>
    <hyperlink ref="L14080" r:id="rId14078" tooltip="🔗 Ver Mapa" display="🔗 Ver Mapa"/>
    <hyperlink ref="L14081" r:id="rId14079" tooltip="🔗 Ver Mapa" display="🔗 Ver Mapa"/>
    <hyperlink ref="L14082" r:id="rId14080" tooltip="🔗 Ver Mapa" display="🔗 Ver Mapa"/>
    <hyperlink ref="L14083" r:id="rId14081" tooltip="🔗 Ver Mapa" display="🔗 Ver Mapa"/>
    <hyperlink ref="L14084" r:id="rId14082" tooltip="🔗 Ver Mapa" display="🔗 Ver Mapa"/>
    <hyperlink ref="L14085" r:id="rId14083" tooltip="🔗 Ver Mapa" display="🔗 Ver Mapa"/>
    <hyperlink ref="L14086" r:id="rId14084" tooltip="🔗 Ver Mapa" display="🔗 Ver Mapa"/>
    <hyperlink ref="L14087" r:id="rId14085" tooltip="🔗 Ver Mapa" display="🔗 Ver Mapa"/>
    <hyperlink ref="L14088" r:id="rId14086" tooltip="🔗 Ver Mapa" display="🔗 Ver Mapa"/>
    <hyperlink ref="L14089" r:id="rId14087" tooltip="🔗 Ver Mapa" display="🔗 Ver Mapa"/>
    <hyperlink ref="L14090" r:id="rId14088" tooltip="🔗 Ver Mapa" display="🔗 Ver Mapa"/>
    <hyperlink ref="L14091" r:id="rId14089" tooltip="🔗 Ver Mapa" display="🔗 Ver Mapa"/>
    <hyperlink ref="L14092" r:id="rId14090" tooltip="🔗 Ver Mapa" display="🔗 Ver Mapa"/>
    <hyperlink ref="L14093" r:id="rId14091" tooltip="🔗 Ver Mapa" display="🔗 Ver Mapa"/>
    <hyperlink ref="L14094" r:id="rId14092" tooltip="🔗 Ver Mapa" display="🔗 Ver Mapa"/>
    <hyperlink ref="L14095" r:id="rId14093" tooltip="🔗 Ver Mapa" display="🔗 Ver Mapa"/>
    <hyperlink ref="L14096" r:id="rId14094" tooltip="🔗 Ver Mapa" display="🔗 Ver Mapa"/>
    <hyperlink ref="L14097" r:id="rId14095" tooltip="🔗 Ver Mapa" display="🔗 Ver Mapa"/>
    <hyperlink ref="L14098" r:id="rId14096" tooltip="🔗 Ver Mapa" display="🔗 Ver Mapa"/>
    <hyperlink ref="L14099" r:id="rId14097" tooltip="🔗 Ver Mapa" display="🔗 Ver Mapa"/>
    <hyperlink ref="L14100" r:id="rId14098" tooltip="🔗 Ver Mapa" display="🔗 Ver Mapa"/>
    <hyperlink ref="L14101" r:id="rId14099" tooltip="🔗 Ver Mapa" display="🔗 Ver Mapa"/>
    <hyperlink ref="L14102" r:id="rId14100" tooltip="🔗 Ver Mapa" display="🔗 Ver Mapa"/>
    <hyperlink ref="L14103" r:id="rId14101" tooltip="🔗 Ver Mapa" display="🔗 Ver Mapa"/>
    <hyperlink ref="L14104" r:id="rId14102" tooltip="🔗 Ver Mapa" display="🔗 Ver Mapa"/>
    <hyperlink ref="L14105" r:id="rId14103" tooltip="🔗 Ver Mapa" display="🔗 Ver Mapa"/>
    <hyperlink ref="L14106" r:id="rId14104" tooltip="🔗 Ver Mapa" display="🔗 Ver Mapa"/>
    <hyperlink ref="L14107" r:id="rId14105" tooltip="🔗 Ver Mapa" display="🔗 Ver Mapa"/>
    <hyperlink ref="L14108" r:id="rId14106" tooltip="🔗 Ver Mapa" display="🔗 Ver Mapa"/>
    <hyperlink ref="L14109" r:id="rId14107" tooltip="🔗 Ver Mapa" display="🔗 Ver Mapa"/>
    <hyperlink ref="L14110" r:id="rId14108" tooltip="🔗 Ver Mapa" display="🔗 Ver Mapa"/>
    <hyperlink ref="L14111" r:id="rId14109" tooltip="🔗 Ver Mapa" display="🔗 Ver Mapa"/>
    <hyperlink ref="L14112" r:id="rId14110" tooltip="🔗 Ver Mapa" display="🔗 Ver Mapa"/>
    <hyperlink ref="L14113" r:id="rId14111" tooltip="🔗 Ver Mapa" display="🔗 Ver Mapa"/>
    <hyperlink ref="L14114" r:id="rId14112" tooltip="🔗 Ver Mapa" display="🔗 Ver Mapa"/>
    <hyperlink ref="L14115" r:id="rId14113" tooltip="🔗 Ver Mapa" display="🔗 Ver Mapa"/>
    <hyperlink ref="L14116" r:id="rId14114" tooltip="🔗 Ver Mapa" display="🔗 Ver Mapa"/>
    <hyperlink ref="L14117" r:id="rId14115" tooltip="🔗 Ver Mapa" display="🔗 Ver Mapa"/>
    <hyperlink ref="L14118" r:id="rId14116" tooltip="🔗 Ver Mapa" display="🔗 Ver Mapa"/>
    <hyperlink ref="L14119" r:id="rId14117" tooltip="🔗 Ver Mapa" display="🔗 Ver Mapa"/>
    <hyperlink ref="L14120" r:id="rId14118" tooltip="🔗 Ver Mapa" display="🔗 Ver Mapa"/>
    <hyperlink ref="L14121" r:id="rId14119" tooltip="🔗 Ver Mapa" display="🔗 Ver Mapa"/>
    <hyperlink ref="L14122" r:id="rId14120" tooltip="🔗 Ver Mapa" display="🔗 Ver Mapa"/>
    <hyperlink ref="L14123" r:id="rId14121" tooltip="🔗 Ver Mapa" display="🔗 Ver Mapa"/>
    <hyperlink ref="L14124" r:id="rId14122" tooltip="🔗 Ver Mapa" display="🔗 Ver Mapa"/>
    <hyperlink ref="L14125" r:id="rId14123" tooltip="🔗 Ver Mapa" display="🔗 Ver Mapa"/>
    <hyperlink ref="L14126" r:id="rId14124" tooltip="🔗 Ver Mapa" display="🔗 Ver Mapa"/>
    <hyperlink ref="L14127" r:id="rId14125" tooltip="🔗 Ver Mapa" display="🔗 Ver Mapa"/>
    <hyperlink ref="L14128" r:id="rId14126" tooltip="🔗 Ver Mapa" display="🔗 Ver Mapa"/>
    <hyperlink ref="L14129" r:id="rId14127" tooltip="🔗 Ver Mapa" display="🔗 Ver Mapa"/>
    <hyperlink ref="L14130" r:id="rId14128" tooltip="🔗 Ver Mapa" display="🔗 Ver Mapa"/>
    <hyperlink ref="L14131" r:id="rId14129" tooltip="🔗 Ver Mapa" display="🔗 Ver Mapa"/>
    <hyperlink ref="L14132" r:id="rId14130" tooltip="🔗 Ver Mapa" display="🔗 Ver Mapa"/>
    <hyperlink ref="L14133" r:id="rId14131" tooltip="🔗 Ver Mapa" display="🔗 Ver Mapa"/>
    <hyperlink ref="L14134" r:id="rId14132" tooltip="🔗 Ver Mapa" display="🔗 Ver Mapa"/>
    <hyperlink ref="L14135" r:id="rId14133" tooltip="🔗 Ver Mapa" display="🔗 Ver Mapa"/>
    <hyperlink ref="L14136" r:id="rId14134" tooltip="🔗 Ver Mapa" display="🔗 Ver Mapa"/>
    <hyperlink ref="L14137" r:id="rId14135" tooltip="🔗 Ver Mapa" display="🔗 Ver Mapa"/>
    <hyperlink ref="L14138" r:id="rId14136" tooltip="🔗 Ver Mapa" display="🔗 Ver Mapa"/>
    <hyperlink ref="L14139" r:id="rId14137" tooltip="🔗 Ver Mapa" display="🔗 Ver Mapa"/>
    <hyperlink ref="L14140" r:id="rId14138" tooltip="🔗 Ver Mapa" display="🔗 Ver Mapa"/>
    <hyperlink ref="L14141" r:id="rId14139" tooltip="🔗 Ver Mapa" display="🔗 Ver Mapa"/>
    <hyperlink ref="L14142" r:id="rId14140" tooltip="🔗 Ver Mapa" display="🔗 Ver Mapa"/>
    <hyperlink ref="L14143" r:id="rId14141" tooltip="🔗 Ver Mapa" display="🔗 Ver Mapa"/>
    <hyperlink ref="L14144" r:id="rId14142" tooltip="🔗 Ver Mapa" display="🔗 Ver Mapa"/>
    <hyperlink ref="L14145" r:id="rId14143" tooltip="🔗 Ver Mapa" display="🔗 Ver Mapa"/>
    <hyperlink ref="L14146" r:id="rId14144" tooltip="🔗 Ver Mapa" display="🔗 Ver Mapa"/>
    <hyperlink ref="L14147" r:id="rId14145" tooltip="🔗 Ver Mapa" display="🔗 Ver Mapa"/>
    <hyperlink ref="L14148" r:id="rId14146" tooltip="🔗 Ver Mapa" display="🔗 Ver Mapa"/>
    <hyperlink ref="L14149" r:id="rId14147" tooltip="🔗 Ver Mapa" display="🔗 Ver Mapa"/>
    <hyperlink ref="L14150" r:id="rId14148" tooltip="🔗 Ver Mapa" display="🔗 Ver Mapa"/>
    <hyperlink ref="L14151" r:id="rId14149" tooltip="🔗 Ver Mapa" display="🔗 Ver Mapa"/>
    <hyperlink ref="L14152" r:id="rId14150" tooltip="🔗 Ver Mapa" display="🔗 Ver Mapa"/>
    <hyperlink ref="L14153" r:id="rId14151" tooltip="🔗 Ver Mapa" display="🔗 Ver Mapa"/>
    <hyperlink ref="L14154" r:id="rId14152" tooltip="🔗 Ver Mapa" display="🔗 Ver Mapa"/>
    <hyperlink ref="L14155" r:id="rId14153" tooltip="🔗 Ver Mapa" display="🔗 Ver Mapa"/>
    <hyperlink ref="L14156" r:id="rId14154" tooltip="🔗 Ver Mapa" display="🔗 Ver Mapa"/>
    <hyperlink ref="L14157" r:id="rId14155" tooltip="🔗 Ver Mapa" display="🔗 Ver Mapa"/>
    <hyperlink ref="L14158" r:id="rId14156" tooltip="🔗 Ver Mapa" display="🔗 Ver Mapa"/>
    <hyperlink ref="L14159" r:id="rId14157" tooltip="🔗 Ver Mapa" display="🔗 Ver Mapa"/>
    <hyperlink ref="L14160" r:id="rId14158" tooltip="🔗 Ver Mapa" display="🔗 Ver Mapa"/>
    <hyperlink ref="L14161" r:id="rId14159" tooltip="🔗 Ver Mapa" display="🔗 Ver Mapa"/>
    <hyperlink ref="L14162" r:id="rId14160" tooltip="🔗 Ver Mapa" display="🔗 Ver Mapa"/>
    <hyperlink ref="L14163" r:id="rId14161" tooltip="🔗 Ver Mapa" display="🔗 Ver Mapa"/>
    <hyperlink ref="L14164" r:id="rId14162" tooltip="🔗 Ver Mapa" display="🔗 Ver Mapa"/>
    <hyperlink ref="L14165" r:id="rId14163" tooltip="🔗 Ver Mapa" display="🔗 Ver Mapa"/>
    <hyperlink ref="L14166" r:id="rId14164" tooltip="🔗 Ver Mapa" display="🔗 Ver Mapa"/>
    <hyperlink ref="L14167" r:id="rId14165" tooltip="🔗 Ver Mapa" display="🔗 Ver Mapa"/>
    <hyperlink ref="L14168" r:id="rId14166" tooltip="🔗 Ver Mapa" display="🔗 Ver Mapa"/>
    <hyperlink ref="L14169" r:id="rId14167" tooltip="🔗 Ver Mapa" display="🔗 Ver Mapa"/>
    <hyperlink ref="L14170" r:id="rId14168" tooltip="🔗 Ver Mapa" display="🔗 Ver Mapa"/>
    <hyperlink ref="L14171" r:id="rId14169" tooltip="🔗 Ver Mapa" display="🔗 Ver Mapa"/>
    <hyperlink ref="L14172" r:id="rId14170" tooltip="🔗 Ver Mapa" display="🔗 Ver Mapa"/>
    <hyperlink ref="L14173" r:id="rId14171" tooltip="🔗 Ver Mapa" display="🔗 Ver Mapa"/>
    <hyperlink ref="L14174" r:id="rId14172" tooltip="🔗 Ver Mapa" display="🔗 Ver Mapa"/>
    <hyperlink ref="L14175" r:id="rId14173" tooltip="🔗 Ver Mapa" display="🔗 Ver Mapa"/>
    <hyperlink ref="L14176" r:id="rId14174" tooltip="🔗 Ver Mapa" display="🔗 Ver Mapa"/>
    <hyperlink ref="L14177" r:id="rId14175" tooltip="🔗 Ver Mapa" display="🔗 Ver Mapa"/>
    <hyperlink ref="L14178" r:id="rId14176" tooltip="🔗 Ver Mapa" display="🔗 Ver Mapa"/>
  </hyperlinks>
  <pageMargins left="0.6" right="0.6" top="0.3" bottom="0.4" header="0.3" footer="0.3"/>
  <pageSetup paperSize="9" fitToHeight="0" orientation="landscape"/>
  <headerFooter>
    <oddFooter>&amp;L&amp;BPagina &amp;P of &amp;N</oddFooter>
  </headerFooter>
  <drawing r:id="rId141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Resumen</vt:lpstr>
      <vt:lpstr>Georreferencias</vt:lpstr>
      <vt:lpstr>Georreferencias!Títulos_a_imprimir</vt:lpstr>
      <vt:lpstr>Resumen!Títulos_a_imprimir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All data Safe Mexico</cp:lastModifiedBy>
  <dcterms:created xsi:type="dcterms:W3CDTF">2024-11-05T17:15:36Z</dcterms:created>
  <dcterms:modified xsi:type="dcterms:W3CDTF">2024-11-05T17:41:17Z</dcterms:modified>
  <cp:category/>
</cp:coreProperties>
</file>